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Chino\Doctorado\Tesis\TDTSP documents\"/>
    </mc:Choice>
  </mc:AlternateContent>
  <bookViews>
    <workbookView xWindow="0" yWindow="0" windowWidth="23040" windowHeight="8904" firstSheet="7" activeTab="7"/>
  </bookViews>
  <sheets>
    <sheet name="Pcell vs GRASP est-rand" sheetId="1" r:id="rId1"/>
    <sheet name="PCell vs GRASP random" sheetId="2" r:id="rId2"/>
    <sheet name="PCellRGRASP vs RGRASP" sheetId="3" r:id="rId3"/>
    <sheet name="Pcell est vs Pcell rand" sheetId="4" r:id="rId4"/>
    <sheet name="Pcell est vs PcellRGRASP" sheetId="5" r:id="rId5"/>
    <sheet name="PcellRGRASP vs Pcell rand" sheetId="6" r:id="rId6"/>
    <sheet name="Resultados" sheetId="7" r:id="rId7"/>
    <sheet name="Resultados_1" sheetId="8" r:id="rId8"/>
  </sheets>
  <definedNames>
    <definedName name="_xlnm._FilterDatabase" localSheetId="2" hidden="1">'PCellRGRASP vs RGRASP'!$A$396:$G$427</definedName>
    <definedName name="Instancia_15new_1_30" localSheetId="0">'Pcell vs GRASP est-rand'!$A$2:$H$105</definedName>
    <definedName name="Instancia_15new_1_30" localSheetId="1">'PCell vs GRASP random'!$A$2:$H$105</definedName>
    <definedName name="Instancia_15new_1_30_1" localSheetId="0">'Pcell vs GRASP est-rand'!$B$108:$H$374</definedName>
    <definedName name="Instancia_15new_1_30_1" localSheetId="1">'PCell vs GRASP random'!$A$171:$H$435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H8" i="7" l="1"/>
  <c r="BI8" i="7"/>
  <c r="BL8" i="7"/>
  <c r="BM8" i="7"/>
  <c r="BP8" i="7"/>
  <c r="BQ8" i="7"/>
  <c r="BT8" i="7"/>
  <c r="BU8" i="7"/>
  <c r="BH9" i="7"/>
  <c r="BI9" i="7"/>
  <c r="BL9" i="7"/>
  <c r="BM9" i="7"/>
  <c r="BP9" i="7"/>
  <c r="BQ9" i="7"/>
  <c r="BT9" i="7"/>
  <c r="BU9" i="7"/>
  <c r="BH10" i="7"/>
  <c r="BI10" i="7"/>
  <c r="BL10" i="7"/>
  <c r="BM10" i="7"/>
  <c r="BP10" i="7"/>
  <c r="BQ10" i="7"/>
  <c r="BT10" i="7"/>
  <c r="BU10" i="7"/>
  <c r="BH11" i="7"/>
  <c r="BI11" i="7"/>
  <c r="BL11" i="7"/>
  <c r="BM11" i="7"/>
  <c r="BP11" i="7"/>
  <c r="BQ11" i="7"/>
  <c r="BT11" i="7"/>
  <c r="BU11" i="7"/>
  <c r="BH12" i="7"/>
  <c r="BI12" i="7"/>
  <c r="BL12" i="7"/>
  <c r="BM12" i="7"/>
  <c r="BP12" i="7"/>
  <c r="BQ12" i="7"/>
  <c r="BT12" i="7"/>
  <c r="BU12" i="7"/>
  <c r="BH13" i="7"/>
  <c r="BI13" i="7"/>
  <c r="BL13" i="7"/>
  <c r="BM13" i="7"/>
  <c r="BP13" i="7"/>
  <c r="BQ13" i="7"/>
  <c r="BT13" i="7"/>
  <c r="BU13" i="7"/>
  <c r="BH14" i="7"/>
  <c r="BI14" i="7"/>
  <c r="BL14" i="7"/>
  <c r="BM14" i="7"/>
  <c r="BP14" i="7"/>
  <c r="BQ14" i="7"/>
  <c r="BT14" i="7"/>
  <c r="BU14" i="7"/>
  <c r="BH15" i="7"/>
  <c r="BI15" i="7"/>
  <c r="BL15" i="7"/>
  <c r="BM15" i="7"/>
  <c r="BP15" i="7"/>
  <c r="BQ15" i="7"/>
  <c r="BT15" i="7"/>
  <c r="BU15" i="7"/>
  <c r="BH16" i="7"/>
  <c r="BI16" i="7"/>
  <c r="BL16" i="7"/>
  <c r="BM16" i="7"/>
  <c r="BP16" i="7"/>
  <c r="BQ16" i="7"/>
  <c r="BT16" i="7"/>
  <c r="BU16" i="7"/>
  <c r="BH17" i="7"/>
  <c r="BI17" i="7"/>
  <c r="BL17" i="7"/>
  <c r="BM17" i="7"/>
  <c r="BP17" i="7"/>
  <c r="BQ17" i="7"/>
  <c r="BT17" i="7"/>
  <c r="BU17" i="7"/>
  <c r="BH20" i="7"/>
  <c r="BI20" i="7"/>
  <c r="BL20" i="7"/>
  <c r="BM20" i="7"/>
  <c r="BP20" i="7"/>
  <c r="BQ20" i="7"/>
  <c r="BT20" i="7"/>
  <c r="BU20" i="7"/>
  <c r="BH21" i="7"/>
  <c r="BI21" i="7"/>
  <c r="BL21" i="7"/>
  <c r="BM21" i="7"/>
  <c r="BP21" i="7"/>
  <c r="BQ21" i="7"/>
  <c r="BT21" i="7"/>
  <c r="BU21" i="7"/>
  <c r="BH22" i="7"/>
  <c r="BI22" i="7"/>
  <c r="BL22" i="7"/>
  <c r="BM22" i="7"/>
  <c r="BP22" i="7"/>
  <c r="BQ22" i="7"/>
  <c r="BT22" i="7"/>
  <c r="BU22" i="7"/>
  <c r="BH23" i="7"/>
  <c r="BI23" i="7"/>
  <c r="BL23" i="7"/>
  <c r="BM23" i="7"/>
  <c r="BP23" i="7"/>
  <c r="BQ23" i="7"/>
  <c r="BT23" i="7"/>
  <c r="BU23" i="7"/>
  <c r="BH24" i="7"/>
  <c r="BI24" i="7"/>
  <c r="BL24" i="7"/>
  <c r="BM24" i="7"/>
  <c r="BP24" i="7"/>
  <c r="BQ24" i="7"/>
  <c r="BT24" i="7"/>
  <c r="BU24" i="7"/>
  <c r="BH25" i="7"/>
  <c r="BI25" i="7"/>
  <c r="BL25" i="7"/>
  <c r="BM25" i="7"/>
  <c r="BP25" i="7"/>
  <c r="BQ25" i="7"/>
  <c r="BT25" i="7"/>
  <c r="BU25" i="7"/>
  <c r="BH26" i="7"/>
  <c r="BI26" i="7"/>
  <c r="BL26" i="7"/>
  <c r="BM26" i="7"/>
  <c r="BP26" i="7"/>
  <c r="BQ26" i="7"/>
  <c r="BT26" i="7"/>
  <c r="BU26" i="7"/>
  <c r="BH27" i="7"/>
  <c r="BI27" i="7"/>
  <c r="BL27" i="7"/>
  <c r="BM27" i="7"/>
  <c r="BP27" i="7"/>
  <c r="BQ27" i="7"/>
  <c r="BT27" i="7"/>
  <c r="BU27" i="7"/>
  <c r="BH28" i="7"/>
  <c r="BI28" i="7"/>
  <c r="BL28" i="7"/>
  <c r="BM28" i="7"/>
  <c r="BP28" i="7"/>
  <c r="BQ28" i="7"/>
  <c r="BT28" i="7"/>
  <c r="BU28" i="7"/>
  <c r="BH29" i="7"/>
  <c r="BI29" i="7"/>
  <c r="BL29" i="7"/>
  <c r="BM29" i="7"/>
  <c r="BP29" i="7"/>
  <c r="BQ29" i="7"/>
  <c r="BT29" i="7"/>
  <c r="BU29" i="7"/>
  <c r="BH32" i="7"/>
  <c r="BI32" i="7"/>
  <c r="BL32" i="7"/>
  <c r="BM32" i="7"/>
  <c r="BP32" i="7"/>
  <c r="BQ32" i="7"/>
  <c r="BT32" i="7"/>
  <c r="BU32" i="7"/>
  <c r="BH33" i="7"/>
  <c r="BI33" i="7"/>
  <c r="BL33" i="7"/>
  <c r="BM33" i="7"/>
  <c r="BP33" i="7"/>
  <c r="BQ33" i="7"/>
  <c r="BT33" i="7"/>
  <c r="BU33" i="7"/>
  <c r="BH34" i="7"/>
  <c r="BI34" i="7"/>
  <c r="BL34" i="7"/>
  <c r="BM34" i="7"/>
  <c r="BP34" i="7"/>
  <c r="BQ34" i="7"/>
  <c r="BT34" i="7"/>
  <c r="BU34" i="7"/>
  <c r="BH35" i="7"/>
  <c r="BI35" i="7"/>
  <c r="BL35" i="7"/>
  <c r="BM35" i="7"/>
  <c r="BP35" i="7"/>
  <c r="BQ35" i="7"/>
  <c r="BT35" i="7"/>
  <c r="BU35" i="7"/>
  <c r="BH36" i="7"/>
  <c r="BI36" i="7"/>
  <c r="BL36" i="7"/>
  <c r="BM36" i="7"/>
  <c r="BP36" i="7"/>
  <c r="BQ36" i="7"/>
  <c r="BT36" i="7"/>
  <c r="BU36" i="7"/>
  <c r="BH37" i="7"/>
  <c r="BI37" i="7"/>
  <c r="BL37" i="7"/>
  <c r="BM37" i="7"/>
  <c r="BP37" i="7"/>
  <c r="BQ37" i="7"/>
  <c r="BT37" i="7"/>
  <c r="BU37" i="7"/>
  <c r="BH38" i="7"/>
  <c r="BI38" i="7"/>
  <c r="BL38" i="7"/>
  <c r="BM38" i="7"/>
  <c r="BP38" i="7"/>
  <c r="BQ38" i="7"/>
  <c r="BT38" i="7"/>
  <c r="BU38" i="7"/>
  <c r="BH39" i="7"/>
  <c r="BI39" i="7"/>
  <c r="BL39" i="7"/>
  <c r="BM39" i="7"/>
  <c r="BP39" i="7"/>
  <c r="BQ39" i="7"/>
  <c r="BT39" i="7"/>
  <c r="BU39" i="7"/>
  <c r="BH40" i="7"/>
  <c r="BI40" i="7"/>
  <c r="BL40" i="7"/>
  <c r="BM40" i="7"/>
  <c r="BP40" i="7"/>
  <c r="BQ40" i="7"/>
  <c r="BT40" i="7"/>
  <c r="BU40" i="7"/>
  <c r="BH41" i="7"/>
  <c r="BI41" i="7"/>
  <c r="BL41" i="7"/>
  <c r="BM41" i="7"/>
  <c r="BP41" i="7"/>
  <c r="BQ41" i="7"/>
  <c r="BT41" i="7"/>
  <c r="BU41" i="7"/>
  <c r="AB68" i="7" l="1"/>
  <c r="AT4" i="7" l="1"/>
  <c r="AU4" i="7"/>
  <c r="AV4" i="7"/>
  <c r="AW4" i="7"/>
  <c r="AX4" i="7"/>
  <c r="AY4" i="7"/>
  <c r="AZ4" i="7"/>
  <c r="BA4" i="7"/>
  <c r="AT5" i="7"/>
  <c r="AU5" i="7"/>
  <c r="AV5" i="7"/>
  <c r="AW5" i="7"/>
  <c r="AX5" i="7"/>
  <c r="AY5" i="7"/>
  <c r="AZ5" i="7"/>
  <c r="BA5" i="7"/>
  <c r="AT7" i="7"/>
  <c r="AU7" i="7"/>
  <c r="AV7" i="7"/>
  <c r="AW7" i="7"/>
  <c r="AX7" i="7"/>
  <c r="AY7" i="7"/>
  <c r="AZ7" i="7"/>
  <c r="BA7" i="7"/>
  <c r="AT8" i="7"/>
  <c r="AU8" i="7"/>
  <c r="AV8" i="7"/>
  <c r="AW8" i="7"/>
  <c r="AX8" i="7"/>
  <c r="AY8" i="7"/>
  <c r="AZ8" i="7"/>
  <c r="BA8" i="7"/>
  <c r="AT10" i="7"/>
  <c r="AU10" i="7"/>
  <c r="AV10" i="7"/>
  <c r="AW10" i="7"/>
  <c r="AX10" i="7"/>
  <c r="AY10" i="7"/>
  <c r="AZ10" i="7"/>
  <c r="BA10" i="7"/>
  <c r="AT11" i="7"/>
  <c r="AU11" i="7"/>
  <c r="AV11" i="7"/>
  <c r="AW11" i="7"/>
  <c r="AX11" i="7"/>
  <c r="AY11" i="7"/>
  <c r="AZ11" i="7"/>
  <c r="BA11" i="7"/>
  <c r="AT16" i="7"/>
  <c r="AU16" i="7"/>
  <c r="AV16" i="7"/>
  <c r="AW16" i="7"/>
  <c r="AX16" i="7"/>
  <c r="AY16" i="7"/>
  <c r="AZ16" i="7"/>
  <c r="BA16" i="7"/>
  <c r="AT17" i="7"/>
  <c r="AU17" i="7"/>
  <c r="AV17" i="7"/>
  <c r="AW17" i="7"/>
  <c r="AX17" i="7"/>
  <c r="AY17" i="7"/>
  <c r="AZ17" i="7"/>
  <c r="BA17" i="7"/>
  <c r="AT19" i="7"/>
  <c r="AU19" i="7"/>
  <c r="AV19" i="7"/>
  <c r="AW19" i="7"/>
  <c r="AX19" i="7"/>
  <c r="AY19" i="7"/>
  <c r="AZ19" i="7"/>
  <c r="BA19" i="7"/>
  <c r="AT20" i="7"/>
  <c r="AU20" i="7"/>
  <c r="AV20" i="7"/>
  <c r="AW20" i="7"/>
  <c r="AX20" i="7"/>
  <c r="AY20" i="7"/>
  <c r="AZ20" i="7"/>
  <c r="BA20" i="7"/>
  <c r="AT22" i="7"/>
  <c r="AU22" i="7"/>
  <c r="AV22" i="7"/>
  <c r="AW22" i="7"/>
  <c r="AX22" i="7"/>
  <c r="AY22" i="7"/>
  <c r="AZ22" i="7"/>
  <c r="BA22" i="7"/>
  <c r="AT23" i="7"/>
  <c r="AU23" i="7"/>
  <c r="AV23" i="7"/>
  <c r="AW23" i="7"/>
  <c r="AX23" i="7"/>
  <c r="AY23" i="7"/>
  <c r="AZ23" i="7"/>
  <c r="BA23" i="7"/>
  <c r="AT28" i="7"/>
  <c r="AU28" i="7"/>
  <c r="AV28" i="7"/>
  <c r="AW28" i="7"/>
  <c r="AX28" i="7"/>
  <c r="AY28" i="7"/>
  <c r="AZ28" i="7"/>
  <c r="BA28" i="7"/>
  <c r="AT29" i="7"/>
  <c r="AU29" i="7"/>
  <c r="AV29" i="7"/>
  <c r="AW29" i="7"/>
  <c r="AX29" i="7"/>
  <c r="AY29" i="7"/>
  <c r="AZ29" i="7"/>
  <c r="BA29" i="7"/>
  <c r="AT31" i="7"/>
  <c r="AU31" i="7"/>
  <c r="AV31" i="7"/>
  <c r="AW31" i="7"/>
  <c r="AX31" i="7"/>
  <c r="AY31" i="7"/>
  <c r="AZ31" i="7"/>
  <c r="BA31" i="7"/>
  <c r="AT32" i="7"/>
  <c r="AU32" i="7"/>
  <c r="AV32" i="7"/>
  <c r="AW32" i="7"/>
  <c r="AX32" i="7"/>
  <c r="AY32" i="7"/>
  <c r="AZ32" i="7"/>
  <c r="BA32" i="7"/>
  <c r="AT34" i="7"/>
  <c r="AU34" i="7"/>
  <c r="AV34" i="7"/>
  <c r="AW34" i="7"/>
  <c r="AX34" i="7"/>
  <c r="AY34" i="7"/>
  <c r="AZ34" i="7"/>
  <c r="BA34" i="7"/>
  <c r="AT35" i="7"/>
  <c r="AU35" i="7"/>
  <c r="AV35" i="7"/>
  <c r="AW35" i="7"/>
  <c r="AX35" i="7"/>
  <c r="AY35" i="7"/>
  <c r="AZ35" i="7"/>
  <c r="BA35" i="7"/>
  <c r="AT40" i="7"/>
  <c r="AU40" i="7"/>
  <c r="AV40" i="7"/>
  <c r="AW40" i="7"/>
  <c r="AX40" i="7"/>
  <c r="AY40" i="7"/>
  <c r="AZ40" i="7"/>
  <c r="BA40" i="7"/>
  <c r="AT41" i="7"/>
  <c r="AU41" i="7"/>
  <c r="AV41" i="7"/>
  <c r="AW41" i="7"/>
  <c r="AX41" i="7"/>
  <c r="AY41" i="7"/>
  <c r="AZ41" i="7"/>
  <c r="BA41" i="7"/>
  <c r="AT43" i="7"/>
  <c r="AU43" i="7"/>
  <c r="AV43" i="7"/>
  <c r="AW43" i="7"/>
  <c r="AX43" i="7"/>
  <c r="AY43" i="7"/>
  <c r="AZ43" i="7"/>
  <c r="BA43" i="7"/>
  <c r="AT44" i="7"/>
  <c r="AU44" i="7"/>
  <c r="AV44" i="7"/>
  <c r="AW44" i="7"/>
  <c r="AX44" i="7"/>
  <c r="AY44" i="7"/>
  <c r="AZ44" i="7"/>
  <c r="BA44" i="7"/>
  <c r="AT46" i="7"/>
  <c r="AU46" i="7"/>
  <c r="AV46" i="7"/>
  <c r="AW46" i="7"/>
  <c r="AX46" i="7"/>
  <c r="AY46" i="7"/>
  <c r="AZ46" i="7"/>
  <c r="BA46" i="7"/>
  <c r="AT47" i="7"/>
  <c r="AU47" i="7"/>
  <c r="AV47" i="7"/>
  <c r="AW47" i="7"/>
  <c r="AX47" i="7"/>
  <c r="AY47" i="7"/>
  <c r="AZ47" i="7"/>
  <c r="BA47" i="7"/>
  <c r="AT52" i="7"/>
  <c r="AU52" i="7"/>
  <c r="AV52" i="7"/>
  <c r="AW52" i="7"/>
  <c r="AX52" i="7"/>
  <c r="AY52" i="7"/>
  <c r="AZ52" i="7"/>
  <c r="BA52" i="7"/>
  <c r="AT53" i="7"/>
  <c r="AU53" i="7"/>
  <c r="AV53" i="7"/>
  <c r="AW53" i="7"/>
  <c r="AX53" i="7"/>
  <c r="AY53" i="7"/>
  <c r="AZ53" i="7"/>
  <c r="BA53" i="7"/>
  <c r="AT55" i="7"/>
  <c r="AU55" i="7"/>
  <c r="AV55" i="7"/>
  <c r="AW55" i="7"/>
  <c r="AX55" i="7"/>
  <c r="AY55" i="7"/>
  <c r="AZ55" i="7"/>
  <c r="BA55" i="7"/>
  <c r="AT56" i="7"/>
  <c r="AU56" i="7"/>
  <c r="AV56" i="7"/>
  <c r="AW56" i="7"/>
  <c r="AX56" i="7"/>
  <c r="AY56" i="7"/>
  <c r="AZ56" i="7"/>
  <c r="BA56" i="7"/>
  <c r="AT58" i="7"/>
  <c r="AU58" i="7"/>
  <c r="AV58" i="7"/>
  <c r="AW58" i="7"/>
  <c r="AX58" i="7"/>
  <c r="AY58" i="7"/>
  <c r="AZ58" i="7"/>
  <c r="BA58" i="7"/>
  <c r="AT59" i="7"/>
  <c r="AU59" i="7"/>
  <c r="AV59" i="7"/>
  <c r="AW59" i="7"/>
  <c r="AX59" i="7"/>
  <c r="AY59" i="7"/>
  <c r="AZ59" i="7"/>
  <c r="BA59" i="7"/>
  <c r="AT64" i="7"/>
  <c r="AU64" i="7"/>
  <c r="AV64" i="7"/>
  <c r="AW64" i="7"/>
  <c r="AX64" i="7"/>
  <c r="AY64" i="7"/>
  <c r="AZ64" i="7"/>
  <c r="BA64" i="7"/>
  <c r="AT65" i="7"/>
  <c r="AU65" i="7"/>
  <c r="AV65" i="7"/>
  <c r="AW65" i="7"/>
  <c r="AX65" i="7"/>
  <c r="AY65" i="7"/>
  <c r="AZ65" i="7"/>
  <c r="BA65" i="7"/>
  <c r="AT67" i="7"/>
  <c r="AU67" i="7"/>
  <c r="AV67" i="7"/>
  <c r="AW67" i="7"/>
  <c r="AX67" i="7"/>
  <c r="AY67" i="7"/>
  <c r="AZ67" i="7"/>
  <c r="BA67" i="7"/>
  <c r="AT68" i="7"/>
  <c r="AU68" i="7"/>
  <c r="AV68" i="7"/>
  <c r="AW68" i="7"/>
  <c r="AX68" i="7"/>
  <c r="AY68" i="7"/>
  <c r="AZ68" i="7"/>
  <c r="BA68" i="7"/>
  <c r="AT70" i="7"/>
  <c r="AU70" i="7"/>
  <c r="AV70" i="7"/>
  <c r="AW70" i="7"/>
  <c r="AX70" i="7"/>
  <c r="AY70" i="7"/>
  <c r="AZ70" i="7"/>
  <c r="BA70" i="7"/>
  <c r="AT71" i="7"/>
  <c r="AU71" i="7"/>
  <c r="AV71" i="7"/>
  <c r="AW71" i="7"/>
  <c r="AX71" i="7"/>
  <c r="AY71" i="7"/>
  <c r="AZ71" i="7"/>
  <c r="BA71" i="7"/>
  <c r="AT76" i="7"/>
  <c r="AU76" i="7"/>
  <c r="AV76" i="7"/>
  <c r="AW76" i="7"/>
  <c r="AX76" i="7"/>
  <c r="AY76" i="7"/>
  <c r="AZ76" i="7"/>
  <c r="BA76" i="7"/>
  <c r="AT77" i="7"/>
  <c r="AU77" i="7"/>
  <c r="AV77" i="7"/>
  <c r="AW77" i="7"/>
  <c r="AX77" i="7"/>
  <c r="AY77" i="7"/>
  <c r="AZ77" i="7"/>
  <c r="BA77" i="7"/>
  <c r="AT79" i="7"/>
  <c r="AU79" i="7"/>
  <c r="AV79" i="7"/>
  <c r="AW79" i="7"/>
  <c r="AX79" i="7"/>
  <c r="AY79" i="7"/>
  <c r="AZ79" i="7"/>
  <c r="BA79" i="7"/>
  <c r="AT80" i="7"/>
  <c r="AU80" i="7"/>
  <c r="AV80" i="7"/>
  <c r="AW80" i="7"/>
  <c r="AX80" i="7"/>
  <c r="AY80" i="7"/>
  <c r="AZ80" i="7"/>
  <c r="BA80" i="7"/>
  <c r="AT82" i="7"/>
  <c r="AU82" i="7"/>
  <c r="AV82" i="7"/>
  <c r="AW82" i="7"/>
  <c r="AX82" i="7"/>
  <c r="AY82" i="7"/>
  <c r="AZ82" i="7"/>
  <c r="BA82" i="7"/>
  <c r="AT83" i="7"/>
  <c r="AU83" i="7"/>
  <c r="AV83" i="7"/>
  <c r="AW83" i="7"/>
  <c r="AX83" i="7"/>
  <c r="AY83" i="7"/>
  <c r="AZ83" i="7"/>
  <c r="BA83" i="7"/>
  <c r="AT88" i="7"/>
  <c r="AU88" i="7"/>
  <c r="AV88" i="7"/>
  <c r="AW88" i="7"/>
  <c r="AX88" i="7"/>
  <c r="AY88" i="7"/>
  <c r="AZ88" i="7"/>
  <c r="BA88" i="7"/>
  <c r="AT89" i="7"/>
  <c r="AU89" i="7"/>
  <c r="AV89" i="7"/>
  <c r="AW89" i="7"/>
  <c r="AX89" i="7"/>
  <c r="AY89" i="7"/>
  <c r="AZ89" i="7"/>
  <c r="BA89" i="7"/>
  <c r="AT91" i="7"/>
  <c r="AU91" i="7"/>
  <c r="AV91" i="7"/>
  <c r="AW91" i="7"/>
  <c r="AX91" i="7"/>
  <c r="AY91" i="7"/>
  <c r="AZ91" i="7"/>
  <c r="BA91" i="7"/>
  <c r="AT92" i="7"/>
  <c r="AU92" i="7"/>
  <c r="AV92" i="7"/>
  <c r="AW92" i="7"/>
  <c r="AX92" i="7"/>
  <c r="AY92" i="7"/>
  <c r="AZ92" i="7"/>
  <c r="BA92" i="7"/>
  <c r="AT94" i="7"/>
  <c r="AU94" i="7"/>
  <c r="AV94" i="7"/>
  <c r="AW94" i="7"/>
  <c r="AX94" i="7"/>
  <c r="AY94" i="7"/>
  <c r="AZ94" i="7"/>
  <c r="BA94" i="7"/>
  <c r="AT95" i="7"/>
  <c r="AU95" i="7"/>
  <c r="AV95" i="7"/>
  <c r="AW95" i="7"/>
  <c r="AX95" i="7"/>
  <c r="AY95" i="7"/>
  <c r="AZ95" i="7"/>
  <c r="BA95" i="7"/>
  <c r="AT100" i="7"/>
  <c r="AU100" i="7"/>
  <c r="AV100" i="7"/>
  <c r="AW100" i="7"/>
  <c r="AX100" i="7"/>
  <c r="AY100" i="7"/>
  <c r="AZ100" i="7"/>
  <c r="BA100" i="7"/>
  <c r="AT101" i="7"/>
  <c r="AU101" i="7"/>
  <c r="AV101" i="7"/>
  <c r="AW101" i="7"/>
  <c r="AX101" i="7"/>
  <c r="AY101" i="7"/>
  <c r="AZ101" i="7"/>
  <c r="BA101" i="7"/>
  <c r="AT103" i="7"/>
  <c r="AU103" i="7"/>
  <c r="AV103" i="7"/>
  <c r="AW103" i="7"/>
  <c r="AX103" i="7"/>
  <c r="AY103" i="7"/>
  <c r="AZ103" i="7"/>
  <c r="BA103" i="7"/>
  <c r="AT104" i="7"/>
  <c r="AU104" i="7"/>
  <c r="AV104" i="7"/>
  <c r="AW104" i="7"/>
  <c r="AX104" i="7"/>
  <c r="AY104" i="7"/>
  <c r="AZ104" i="7"/>
  <c r="BA104" i="7"/>
  <c r="AT106" i="7"/>
  <c r="AU106" i="7"/>
  <c r="AV106" i="7"/>
  <c r="AW106" i="7"/>
  <c r="AX106" i="7"/>
  <c r="AY106" i="7"/>
  <c r="AZ106" i="7"/>
  <c r="BA106" i="7"/>
  <c r="AT107" i="7"/>
  <c r="AU107" i="7"/>
  <c r="AV107" i="7"/>
  <c r="AW107" i="7"/>
  <c r="AX107" i="7"/>
  <c r="AY107" i="7"/>
  <c r="AZ107" i="7"/>
  <c r="BA107" i="7"/>
  <c r="AT112" i="7"/>
  <c r="AU112" i="7"/>
  <c r="AV112" i="7"/>
  <c r="AW112" i="7"/>
  <c r="AX112" i="7"/>
  <c r="AY112" i="7"/>
  <c r="AZ112" i="7"/>
  <c r="BA112" i="7"/>
  <c r="AT113" i="7"/>
  <c r="AU113" i="7"/>
  <c r="AV113" i="7"/>
  <c r="AW113" i="7"/>
  <c r="AX113" i="7"/>
  <c r="AY113" i="7"/>
  <c r="AZ113" i="7"/>
  <c r="BA113" i="7"/>
  <c r="AT115" i="7"/>
  <c r="AU115" i="7"/>
  <c r="AV115" i="7"/>
  <c r="AW115" i="7"/>
  <c r="AX115" i="7"/>
  <c r="AY115" i="7"/>
  <c r="AZ115" i="7"/>
  <c r="BA115" i="7"/>
  <c r="AT116" i="7"/>
  <c r="AU116" i="7"/>
  <c r="AV116" i="7"/>
  <c r="AW116" i="7"/>
  <c r="AX116" i="7"/>
  <c r="AY116" i="7"/>
  <c r="AZ116" i="7"/>
  <c r="BA116" i="7"/>
  <c r="AT118" i="7"/>
  <c r="AU118" i="7"/>
  <c r="AV118" i="7"/>
  <c r="AW118" i="7"/>
  <c r="AX118" i="7"/>
  <c r="AY118" i="7"/>
  <c r="AZ118" i="7"/>
  <c r="BA118" i="7"/>
  <c r="AT119" i="7"/>
  <c r="AU119" i="7"/>
  <c r="AV119" i="7"/>
  <c r="AW119" i="7"/>
  <c r="AX119" i="7"/>
  <c r="AY119" i="7"/>
  <c r="AZ119" i="7"/>
  <c r="BA119" i="7"/>
  <c r="AK4" i="7"/>
  <c r="AL4" i="7"/>
  <c r="AM4" i="7"/>
  <c r="AN4" i="7"/>
  <c r="AO4" i="7"/>
  <c r="AP4" i="7"/>
  <c r="AQ4" i="7"/>
  <c r="AR4" i="7"/>
  <c r="AK5" i="7"/>
  <c r="AL5" i="7"/>
  <c r="AM5" i="7"/>
  <c r="AN5" i="7"/>
  <c r="AO5" i="7"/>
  <c r="AP5" i="7"/>
  <c r="AQ5" i="7"/>
  <c r="AR5" i="7"/>
  <c r="AK7" i="7"/>
  <c r="AL7" i="7"/>
  <c r="AM7" i="7"/>
  <c r="AN7" i="7"/>
  <c r="AO7" i="7"/>
  <c r="AP7" i="7"/>
  <c r="AQ7" i="7"/>
  <c r="AR7" i="7"/>
  <c r="AK8" i="7"/>
  <c r="AL8" i="7"/>
  <c r="AM8" i="7"/>
  <c r="AN8" i="7"/>
  <c r="AO8" i="7"/>
  <c r="AP8" i="7"/>
  <c r="AQ8" i="7"/>
  <c r="AR8" i="7"/>
  <c r="AK10" i="7"/>
  <c r="AL10" i="7"/>
  <c r="AM10" i="7"/>
  <c r="AN10" i="7"/>
  <c r="AO10" i="7"/>
  <c r="AP10" i="7"/>
  <c r="AQ10" i="7"/>
  <c r="AR10" i="7"/>
  <c r="AK11" i="7"/>
  <c r="AL11" i="7"/>
  <c r="AM11" i="7"/>
  <c r="AN11" i="7"/>
  <c r="AO11" i="7"/>
  <c r="AP11" i="7"/>
  <c r="AQ11" i="7"/>
  <c r="AR11" i="7"/>
  <c r="AK16" i="7"/>
  <c r="AL16" i="7"/>
  <c r="AM16" i="7"/>
  <c r="AN16" i="7"/>
  <c r="AO16" i="7"/>
  <c r="AP16" i="7"/>
  <c r="AQ16" i="7"/>
  <c r="AR16" i="7"/>
  <c r="AK17" i="7"/>
  <c r="AL17" i="7"/>
  <c r="AM17" i="7"/>
  <c r="AN17" i="7"/>
  <c r="AO17" i="7"/>
  <c r="AP17" i="7"/>
  <c r="AQ17" i="7"/>
  <c r="AR17" i="7"/>
  <c r="AK19" i="7"/>
  <c r="AL19" i="7"/>
  <c r="AM19" i="7"/>
  <c r="AN19" i="7"/>
  <c r="AO19" i="7"/>
  <c r="AP19" i="7"/>
  <c r="AQ19" i="7"/>
  <c r="AR19" i="7"/>
  <c r="AK20" i="7"/>
  <c r="AL20" i="7"/>
  <c r="AM20" i="7"/>
  <c r="AN20" i="7"/>
  <c r="AO20" i="7"/>
  <c r="AP20" i="7"/>
  <c r="AQ20" i="7"/>
  <c r="AR20" i="7"/>
  <c r="AK22" i="7"/>
  <c r="AL22" i="7"/>
  <c r="AM22" i="7"/>
  <c r="AN22" i="7"/>
  <c r="AO22" i="7"/>
  <c r="AP22" i="7"/>
  <c r="AQ22" i="7"/>
  <c r="AR22" i="7"/>
  <c r="AK23" i="7"/>
  <c r="AL23" i="7"/>
  <c r="AM23" i="7"/>
  <c r="AN23" i="7"/>
  <c r="AO23" i="7"/>
  <c r="AP23" i="7"/>
  <c r="AQ23" i="7"/>
  <c r="AR23" i="7"/>
  <c r="AK28" i="7"/>
  <c r="AL28" i="7"/>
  <c r="AM28" i="7"/>
  <c r="AN28" i="7"/>
  <c r="AO28" i="7"/>
  <c r="AP28" i="7"/>
  <c r="AQ28" i="7"/>
  <c r="AR28" i="7"/>
  <c r="AK29" i="7"/>
  <c r="AL29" i="7"/>
  <c r="AM29" i="7"/>
  <c r="AN29" i="7"/>
  <c r="AO29" i="7"/>
  <c r="AP29" i="7"/>
  <c r="AQ29" i="7"/>
  <c r="AR29" i="7"/>
  <c r="AK31" i="7"/>
  <c r="AL31" i="7"/>
  <c r="AM31" i="7"/>
  <c r="AN31" i="7"/>
  <c r="AO31" i="7"/>
  <c r="AP31" i="7"/>
  <c r="AQ31" i="7"/>
  <c r="AR31" i="7"/>
  <c r="AK32" i="7"/>
  <c r="AL32" i="7"/>
  <c r="AM32" i="7"/>
  <c r="AN32" i="7"/>
  <c r="AO32" i="7"/>
  <c r="AP32" i="7"/>
  <c r="AQ32" i="7"/>
  <c r="AR32" i="7"/>
  <c r="AK34" i="7"/>
  <c r="AL34" i="7"/>
  <c r="AM34" i="7"/>
  <c r="AN34" i="7"/>
  <c r="AO34" i="7"/>
  <c r="AP34" i="7"/>
  <c r="AQ34" i="7"/>
  <c r="AR34" i="7"/>
  <c r="AK35" i="7"/>
  <c r="AL35" i="7"/>
  <c r="AM35" i="7"/>
  <c r="AN35" i="7"/>
  <c r="AO35" i="7"/>
  <c r="AP35" i="7"/>
  <c r="AQ35" i="7"/>
  <c r="AR35" i="7"/>
  <c r="AK40" i="7"/>
  <c r="AL40" i="7"/>
  <c r="AM40" i="7"/>
  <c r="AN40" i="7"/>
  <c r="AO40" i="7"/>
  <c r="AP40" i="7"/>
  <c r="AQ40" i="7"/>
  <c r="AR40" i="7"/>
  <c r="AK41" i="7"/>
  <c r="AL41" i="7"/>
  <c r="AM41" i="7"/>
  <c r="AN41" i="7"/>
  <c r="AO41" i="7"/>
  <c r="AP41" i="7"/>
  <c r="AQ41" i="7"/>
  <c r="AR41" i="7"/>
  <c r="AK43" i="7"/>
  <c r="AL43" i="7"/>
  <c r="AM43" i="7"/>
  <c r="AN43" i="7"/>
  <c r="AO43" i="7"/>
  <c r="AP43" i="7"/>
  <c r="AQ43" i="7"/>
  <c r="AR43" i="7"/>
  <c r="AK44" i="7"/>
  <c r="AL44" i="7"/>
  <c r="AM44" i="7"/>
  <c r="AN44" i="7"/>
  <c r="AO44" i="7"/>
  <c r="AP44" i="7"/>
  <c r="AQ44" i="7"/>
  <c r="AR44" i="7"/>
  <c r="AK46" i="7"/>
  <c r="AL46" i="7"/>
  <c r="AM46" i="7"/>
  <c r="AN46" i="7"/>
  <c r="AO46" i="7"/>
  <c r="AP46" i="7"/>
  <c r="AQ46" i="7"/>
  <c r="AR46" i="7"/>
  <c r="AK47" i="7"/>
  <c r="AL47" i="7"/>
  <c r="AM47" i="7"/>
  <c r="AN47" i="7"/>
  <c r="AO47" i="7"/>
  <c r="AP47" i="7"/>
  <c r="AQ47" i="7"/>
  <c r="AR47" i="7"/>
  <c r="AK52" i="7"/>
  <c r="AL52" i="7"/>
  <c r="AM52" i="7"/>
  <c r="AN52" i="7"/>
  <c r="AO52" i="7"/>
  <c r="AP52" i="7"/>
  <c r="AQ52" i="7"/>
  <c r="AR52" i="7"/>
  <c r="AK53" i="7"/>
  <c r="AL53" i="7"/>
  <c r="AM53" i="7"/>
  <c r="AN53" i="7"/>
  <c r="AO53" i="7"/>
  <c r="AP53" i="7"/>
  <c r="AQ53" i="7"/>
  <c r="AR53" i="7"/>
  <c r="AK55" i="7"/>
  <c r="AL55" i="7"/>
  <c r="AM55" i="7"/>
  <c r="AN55" i="7"/>
  <c r="AO55" i="7"/>
  <c r="AP55" i="7"/>
  <c r="AQ55" i="7"/>
  <c r="AR55" i="7"/>
  <c r="AK56" i="7"/>
  <c r="AL56" i="7"/>
  <c r="AM56" i="7"/>
  <c r="AN56" i="7"/>
  <c r="AO56" i="7"/>
  <c r="AP56" i="7"/>
  <c r="AQ56" i="7"/>
  <c r="AR56" i="7"/>
  <c r="AK58" i="7"/>
  <c r="AL58" i="7"/>
  <c r="AM58" i="7"/>
  <c r="AN58" i="7"/>
  <c r="AO58" i="7"/>
  <c r="AP58" i="7"/>
  <c r="AQ58" i="7"/>
  <c r="AR58" i="7"/>
  <c r="AK59" i="7"/>
  <c r="AL59" i="7"/>
  <c r="AM59" i="7"/>
  <c r="AN59" i="7"/>
  <c r="AO59" i="7"/>
  <c r="AP59" i="7"/>
  <c r="AQ59" i="7"/>
  <c r="AR59" i="7"/>
  <c r="AK64" i="7"/>
  <c r="AL64" i="7"/>
  <c r="AM64" i="7"/>
  <c r="AN64" i="7"/>
  <c r="AO64" i="7"/>
  <c r="AP64" i="7"/>
  <c r="AQ64" i="7"/>
  <c r="AR64" i="7"/>
  <c r="AK65" i="7"/>
  <c r="AL65" i="7"/>
  <c r="AM65" i="7"/>
  <c r="AN65" i="7"/>
  <c r="AO65" i="7"/>
  <c r="AP65" i="7"/>
  <c r="AQ65" i="7"/>
  <c r="AR65" i="7"/>
  <c r="AK67" i="7"/>
  <c r="AL67" i="7"/>
  <c r="AM67" i="7"/>
  <c r="AN67" i="7"/>
  <c r="AO67" i="7"/>
  <c r="AP67" i="7"/>
  <c r="AQ67" i="7"/>
  <c r="AR67" i="7"/>
  <c r="AK68" i="7"/>
  <c r="AL68" i="7"/>
  <c r="AM68" i="7"/>
  <c r="AN68" i="7"/>
  <c r="AO68" i="7"/>
  <c r="AP68" i="7"/>
  <c r="AQ68" i="7"/>
  <c r="AR68" i="7"/>
  <c r="AK70" i="7"/>
  <c r="AL70" i="7"/>
  <c r="AM70" i="7"/>
  <c r="AN70" i="7"/>
  <c r="AO70" i="7"/>
  <c r="AP70" i="7"/>
  <c r="AQ70" i="7"/>
  <c r="AR70" i="7"/>
  <c r="AK71" i="7"/>
  <c r="AL71" i="7"/>
  <c r="AM71" i="7"/>
  <c r="AN71" i="7"/>
  <c r="AO71" i="7"/>
  <c r="AP71" i="7"/>
  <c r="AQ71" i="7"/>
  <c r="AR71" i="7"/>
  <c r="AK76" i="7"/>
  <c r="AL76" i="7"/>
  <c r="AM76" i="7"/>
  <c r="AN76" i="7"/>
  <c r="AO76" i="7"/>
  <c r="AP76" i="7"/>
  <c r="AQ76" i="7"/>
  <c r="AR76" i="7"/>
  <c r="AK77" i="7"/>
  <c r="AL77" i="7"/>
  <c r="AM77" i="7"/>
  <c r="AN77" i="7"/>
  <c r="AO77" i="7"/>
  <c r="AP77" i="7"/>
  <c r="AQ77" i="7"/>
  <c r="AR77" i="7"/>
  <c r="AK79" i="7"/>
  <c r="AL79" i="7"/>
  <c r="AM79" i="7"/>
  <c r="AN79" i="7"/>
  <c r="AO79" i="7"/>
  <c r="AP79" i="7"/>
  <c r="AQ79" i="7"/>
  <c r="AR79" i="7"/>
  <c r="AK80" i="7"/>
  <c r="AL80" i="7"/>
  <c r="AM80" i="7"/>
  <c r="AN80" i="7"/>
  <c r="AO80" i="7"/>
  <c r="AP80" i="7"/>
  <c r="AQ80" i="7"/>
  <c r="AR80" i="7"/>
  <c r="AK82" i="7"/>
  <c r="AL82" i="7"/>
  <c r="AM82" i="7"/>
  <c r="AN82" i="7"/>
  <c r="AO82" i="7"/>
  <c r="AP82" i="7"/>
  <c r="AQ82" i="7"/>
  <c r="AR82" i="7"/>
  <c r="AK83" i="7"/>
  <c r="AL83" i="7"/>
  <c r="AM83" i="7"/>
  <c r="AN83" i="7"/>
  <c r="AO83" i="7"/>
  <c r="AP83" i="7"/>
  <c r="AQ83" i="7"/>
  <c r="AR83" i="7"/>
  <c r="AK88" i="7"/>
  <c r="AL88" i="7"/>
  <c r="AM88" i="7"/>
  <c r="AN88" i="7"/>
  <c r="AO88" i="7"/>
  <c r="AP88" i="7"/>
  <c r="AQ88" i="7"/>
  <c r="AR88" i="7"/>
  <c r="AK89" i="7"/>
  <c r="AL89" i="7"/>
  <c r="AM89" i="7"/>
  <c r="AN89" i="7"/>
  <c r="AO89" i="7"/>
  <c r="AP89" i="7"/>
  <c r="AQ89" i="7"/>
  <c r="AR89" i="7"/>
  <c r="AK91" i="7"/>
  <c r="AL91" i="7"/>
  <c r="AM91" i="7"/>
  <c r="AN91" i="7"/>
  <c r="AO91" i="7"/>
  <c r="AP91" i="7"/>
  <c r="AQ91" i="7"/>
  <c r="AR91" i="7"/>
  <c r="AK92" i="7"/>
  <c r="AL92" i="7"/>
  <c r="AM92" i="7"/>
  <c r="AN92" i="7"/>
  <c r="AO92" i="7"/>
  <c r="AP92" i="7"/>
  <c r="AQ92" i="7"/>
  <c r="AR92" i="7"/>
  <c r="AK94" i="7"/>
  <c r="AL94" i="7"/>
  <c r="AM94" i="7"/>
  <c r="AN94" i="7"/>
  <c r="AO94" i="7"/>
  <c r="AP94" i="7"/>
  <c r="AQ94" i="7"/>
  <c r="AR94" i="7"/>
  <c r="AK95" i="7"/>
  <c r="AL95" i="7"/>
  <c r="AM95" i="7"/>
  <c r="AN95" i="7"/>
  <c r="AO95" i="7"/>
  <c r="AP95" i="7"/>
  <c r="AQ95" i="7"/>
  <c r="AR95" i="7"/>
  <c r="AK100" i="7"/>
  <c r="AL100" i="7"/>
  <c r="AM100" i="7"/>
  <c r="AN100" i="7"/>
  <c r="AO100" i="7"/>
  <c r="AP100" i="7"/>
  <c r="AQ100" i="7"/>
  <c r="AR100" i="7"/>
  <c r="AK101" i="7"/>
  <c r="AL101" i="7"/>
  <c r="AM101" i="7"/>
  <c r="AN101" i="7"/>
  <c r="AO101" i="7"/>
  <c r="AP101" i="7"/>
  <c r="AQ101" i="7"/>
  <c r="AR101" i="7"/>
  <c r="AK103" i="7"/>
  <c r="AL103" i="7"/>
  <c r="AM103" i="7"/>
  <c r="AN103" i="7"/>
  <c r="AO103" i="7"/>
  <c r="AP103" i="7"/>
  <c r="AQ103" i="7"/>
  <c r="AR103" i="7"/>
  <c r="AK104" i="7"/>
  <c r="AL104" i="7"/>
  <c r="AM104" i="7"/>
  <c r="AN104" i="7"/>
  <c r="AO104" i="7"/>
  <c r="AP104" i="7"/>
  <c r="AQ104" i="7"/>
  <c r="AR104" i="7"/>
  <c r="AK106" i="7"/>
  <c r="AL106" i="7"/>
  <c r="AM106" i="7"/>
  <c r="AN106" i="7"/>
  <c r="AO106" i="7"/>
  <c r="AP106" i="7"/>
  <c r="AQ106" i="7"/>
  <c r="AR106" i="7"/>
  <c r="AK107" i="7"/>
  <c r="AL107" i="7"/>
  <c r="AM107" i="7"/>
  <c r="AN107" i="7"/>
  <c r="AO107" i="7"/>
  <c r="AP107" i="7"/>
  <c r="AQ107" i="7"/>
  <c r="AR107" i="7"/>
  <c r="AK112" i="7"/>
  <c r="AL112" i="7"/>
  <c r="AM112" i="7"/>
  <c r="AN112" i="7"/>
  <c r="AO112" i="7"/>
  <c r="AP112" i="7"/>
  <c r="AQ112" i="7"/>
  <c r="AR112" i="7"/>
  <c r="AK113" i="7"/>
  <c r="AL113" i="7"/>
  <c r="AM113" i="7"/>
  <c r="AN113" i="7"/>
  <c r="AO113" i="7"/>
  <c r="AP113" i="7"/>
  <c r="AQ113" i="7"/>
  <c r="AR113" i="7"/>
  <c r="AK115" i="7"/>
  <c r="AL115" i="7"/>
  <c r="AM115" i="7"/>
  <c r="AN115" i="7"/>
  <c r="AO115" i="7"/>
  <c r="AP115" i="7"/>
  <c r="AQ115" i="7"/>
  <c r="AR115" i="7"/>
  <c r="AK116" i="7"/>
  <c r="AL116" i="7"/>
  <c r="AM116" i="7"/>
  <c r="AN116" i="7"/>
  <c r="AO116" i="7"/>
  <c r="AP116" i="7"/>
  <c r="AQ116" i="7"/>
  <c r="AR116" i="7"/>
  <c r="AK118" i="7"/>
  <c r="AL118" i="7"/>
  <c r="AM118" i="7"/>
  <c r="AN118" i="7"/>
  <c r="AO118" i="7"/>
  <c r="AP118" i="7"/>
  <c r="AQ118" i="7"/>
  <c r="AR118" i="7"/>
  <c r="AK119" i="7"/>
  <c r="AL119" i="7"/>
  <c r="AM119" i="7"/>
  <c r="AN119" i="7"/>
  <c r="AO119" i="7"/>
  <c r="AP119" i="7"/>
  <c r="AQ119" i="7"/>
  <c r="AR119" i="7"/>
  <c r="AB4" i="7"/>
  <c r="AC4" i="7"/>
  <c r="AD4" i="7"/>
  <c r="AE4" i="7"/>
  <c r="AF4" i="7"/>
  <c r="AG4" i="7"/>
  <c r="AH4" i="7"/>
  <c r="AI4" i="7"/>
  <c r="AB5" i="7"/>
  <c r="AC5" i="7"/>
  <c r="AD5" i="7"/>
  <c r="AE5" i="7"/>
  <c r="AF5" i="7"/>
  <c r="AG5" i="7"/>
  <c r="AH5" i="7"/>
  <c r="AI5" i="7"/>
  <c r="AB7" i="7"/>
  <c r="AC7" i="7"/>
  <c r="AD7" i="7"/>
  <c r="AE7" i="7"/>
  <c r="AF7" i="7"/>
  <c r="AG7" i="7"/>
  <c r="AH7" i="7"/>
  <c r="AI7" i="7"/>
  <c r="AB8" i="7"/>
  <c r="AC8" i="7"/>
  <c r="AD8" i="7"/>
  <c r="AE8" i="7"/>
  <c r="AF8" i="7"/>
  <c r="AG8" i="7"/>
  <c r="AH8" i="7"/>
  <c r="AI8" i="7"/>
  <c r="AB10" i="7"/>
  <c r="AC10" i="7"/>
  <c r="AD10" i="7"/>
  <c r="AE10" i="7"/>
  <c r="AF10" i="7"/>
  <c r="AG10" i="7"/>
  <c r="AH10" i="7"/>
  <c r="AI10" i="7"/>
  <c r="AB11" i="7"/>
  <c r="AC11" i="7"/>
  <c r="AD11" i="7"/>
  <c r="AE11" i="7"/>
  <c r="AF11" i="7"/>
  <c r="AG11" i="7"/>
  <c r="AH11" i="7"/>
  <c r="AI11" i="7"/>
  <c r="AB16" i="7"/>
  <c r="AC16" i="7"/>
  <c r="AD16" i="7"/>
  <c r="AE16" i="7"/>
  <c r="AF16" i="7"/>
  <c r="AG16" i="7"/>
  <c r="AH16" i="7"/>
  <c r="AI16" i="7"/>
  <c r="AB17" i="7"/>
  <c r="AC17" i="7"/>
  <c r="AD17" i="7"/>
  <c r="AE17" i="7"/>
  <c r="AF17" i="7"/>
  <c r="AG17" i="7"/>
  <c r="AH17" i="7"/>
  <c r="AI17" i="7"/>
  <c r="AB19" i="7"/>
  <c r="AC19" i="7"/>
  <c r="AD19" i="7"/>
  <c r="AE19" i="7"/>
  <c r="AF19" i="7"/>
  <c r="AG19" i="7"/>
  <c r="AH19" i="7"/>
  <c r="AI19" i="7"/>
  <c r="AB20" i="7"/>
  <c r="AC20" i="7"/>
  <c r="AD20" i="7"/>
  <c r="AE20" i="7"/>
  <c r="AF20" i="7"/>
  <c r="AG20" i="7"/>
  <c r="AH20" i="7"/>
  <c r="AI20" i="7"/>
  <c r="AB22" i="7"/>
  <c r="AC22" i="7"/>
  <c r="AD22" i="7"/>
  <c r="AE22" i="7"/>
  <c r="AF22" i="7"/>
  <c r="AG22" i="7"/>
  <c r="AH22" i="7"/>
  <c r="AI22" i="7"/>
  <c r="AB23" i="7"/>
  <c r="AC23" i="7"/>
  <c r="AD23" i="7"/>
  <c r="AE23" i="7"/>
  <c r="AF23" i="7"/>
  <c r="AG23" i="7"/>
  <c r="AH23" i="7"/>
  <c r="AI23" i="7"/>
  <c r="AB28" i="7"/>
  <c r="AC28" i="7"/>
  <c r="AD28" i="7"/>
  <c r="AE28" i="7"/>
  <c r="AF28" i="7"/>
  <c r="AG28" i="7"/>
  <c r="AH28" i="7"/>
  <c r="AI28" i="7"/>
  <c r="AB29" i="7"/>
  <c r="AC29" i="7"/>
  <c r="AD29" i="7"/>
  <c r="AE29" i="7"/>
  <c r="AF29" i="7"/>
  <c r="AG29" i="7"/>
  <c r="AH29" i="7"/>
  <c r="AI29" i="7"/>
  <c r="AB31" i="7"/>
  <c r="AC31" i="7"/>
  <c r="AD31" i="7"/>
  <c r="AE31" i="7"/>
  <c r="AF31" i="7"/>
  <c r="AG31" i="7"/>
  <c r="AH31" i="7"/>
  <c r="AI31" i="7"/>
  <c r="AB32" i="7"/>
  <c r="AC32" i="7"/>
  <c r="AD32" i="7"/>
  <c r="AE32" i="7"/>
  <c r="AF32" i="7"/>
  <c r="AG32" i="7"/>
  <c r="AH32" i="7"/>
  <c r="AI32" i="7"/>
  <c r="AB34" i="7"/>
  <c r="AC34" i="7"/>
  <c r="AD34" i="7"/>
  <c r="AE34" i="7"/>
  <c r="AF34" i="7"/>
  <c r="AG34" i="7"/>
  <c r="AH34" i="7"/>
  <c r="AI34" i="7"/>
  <c r="AB35" i="7"/>
  <c r="AC35" i="7"/>
  <c r="AD35" i="7"/>
  <c r="AE35" i="7"/>
  <c r="AF35" i="7"/>
  <c r="AG35" i="7"/>
  <c r="AH35" i="7"/>
  <c r="AI35" i="7"/>
  <c r="AB40" i="7"/>
  <c r="AC40" i="7"/>
  <c r="AD40" i="7"/>
  <c r="AE40" i="7"/>
  <c r="AF40" i="7"/>
  <c r="AG40" i="7"/>
  <c r="AH40" i="7"/>
  <c r="AI40" i="7"/>
  <c r="AB41" i="7"/>
  <c r="AC41" i="7"/>
  <c r="AD41" i="7"/>
  <c r="AE41" i="7"/>
  <c r="AF41" i="7"/>
  <c r="AG41" i="7"/>
  <c r="AH41" i="7"/>
  <c r="AI41" i="7"/>
  <c r="AB43" i="7"/>
  <c r="AC43" i="7"/>
  <c r="AD43" i="7"/>
  <c r="AE43" i="7"/>
  <c r="AF43" i="7"/>
  <c r="AG43" i="7"/>
  <c r="AH43" i="7"/>
  <c r="AI43" i="7"/>
  <c r="AB44" i="7"/>
  <c r="AC44" i="7"/>
  <c r="AD44" i="7"/>
  <c r="AE44" i="7"/>
  <c r="AF44" i="7"/>
  <c r="AG44" i="7"/>
  <c r="AH44" i="7"/>
  <c r="AI44" i="7"/>
  <c r="AB46" i="7"/>
  <c r="AC46" i="7"/>
  <c r="AD46" i="7"/>
  <c r="AE46" i="7"/>
  <c r="AF46" i="7"/>
  <c r="AG46" i="7"/>
  <c r="AH46" i="7"/>
  <c r="AI46" i="7"/>
  <c r="AB47" i="7"/>
  <c r="AC47" i="7"/>
  <c r="AD47" i="7"/>
  <c r="AE47" i="7"/>
  <c r="AF47" i="7"/>
  <c r="AG47" i="7"/>
  <c r="AH47" i="7"/>
  <c r="AI47" i="7"/>
  <c r="AB52" i="7"/>
  <c r="AC52" i="7"/>
  <c r="AD52" i="7"/>
  <c r="AE52" i="7"/>
  <c r="AF52" i="7"/>
  <c r="AG52" i="7"/>
  <c r="AH52" i="7"/>
  <c r="AI52" i="7"/>
  <c r="AB53" i="7"/>
  <c r="AC53" i="7"/>
  <c r="AD53" i="7"/>
  <c r="AE53" i="7"/>
  <c r="AF53" i="7"/>
  <c r="AG53" i="7"/>
  <c r="AH53" i="7"/>
  <c r="AI53" i="7"/>
  <c r="AB55" i="7"/>
  <c r="AC55" i="7"/>
  <c r="AD55" i="7"/>
  <c r="AE55" i="7"/>
  <c r="AF55" i="7"/>
  <c r="AG55" i="7"/>
  <c r="AH55" i="7"/>
  <c r="AI55" i="7"/>
  <c r="AB56" i="7"/>
  <c r="AC56" i="7"/>
  <c r="AD56" i="7"/>
  <c r="AE56" i="7"/>
  <c r="AF56" i="7"/>
  <c r="AG56" i="7"/>
  <c r="AH56" i="7"/>
  <c r="AI56" i="7"/>
  <c r="AB58" i="7"/>
  <c r="AC58" i="7"/>
  <c r="AD58" i="7"/>
  <c r="AE58" i="7"/>
  <c r="AF58" i="7"/>
  <c r="AG58" i="7"/>
  <c r="AH58" i="7"/>
  <c r="AI58" i="7"/>
  <c r="AB59" i="7"/>
  <c r="AC59" i="7"/>
  <c r="AD59" i="7"/>
  <c r="AE59" i="7"/>
  <c r="AF59" i="7"/>
  <c r="AG59" i="7"/>
  <c r="AH59" i="7"/>
  <c r="AI59" i="7"/>
  <c r="AB64" i="7"/>
  <c r="AC64" i="7"/>
  <c r="AD64" i="7"/>
  <c r="AE64" i="7"/>
  <c r="AF64" i="7"/>
  <c r="AG64" i="7"/>
  <c r="AH64" i="7"/>
  <c r="AI64" i="7"/>
  <c r="AB65" i="7"/>
  <c r="AC65" i="7"/>
  <c r="AD65" i="7"/>
  <c r="AE65" i="7"/>
  <c r="AF65" i="7"/>
  <c r="AG65" i="7"/>
  <c r="AH65" i="7"/>
  <c r="AI65" i="7"/>
  <c r="AB67" i="7"/>
  <c r="AC67" i="7"/>
  <c r="AD67" i="7"/>
  <c r="AE67" i="7"/>
  <c r="AF67" i="7"/>
  <c r="AG67" i="7"/>
  <c r="AH67" i="7"/>
  <c r="AI67" i="7"/>
  <c r="AC68" i="7"/>
  <c r="AD68" i="7"/>
  <c r="AE68" i="7"/>
  <c r="AF68" i="7"/>
  <c r="AG68" i="7"/>
  <c r="AH68" i="7"/>
  <c r="AI68" i="7"/>
  <c r="AB70" i="7"/>
  <c r="AC70" i="7"/>
  <c r="AD70" i="7"/>
  <c r="AE70" i="7"/>
  <c r="AF70" i="7"/>
  <c r="AG70" i="7"/>
  <c r="AH70" i="7"/>
  <c r="AI70" i="7"/>
  <c r="AB71" i="7"/>
  <c r="AC71" i="7"/>
  <c r="AD71" i="7"/>
  <c r="AE71" i="7"/>
  <c r="AF71" i="7"/>
  <c r="AG71" i="7"/>
  <c r="AH71" i="7"/>
  <c r="AI71" i="7"/>
  <c r="AB76" i="7"/>
  <c r="AC76" i="7"/>
  <c r="AD76" i="7"/>
  <c r="AE76" i="7"/>
  <c r="AF76" i="7"/>
  <c r="AG76" i="7"/>
  <c r="AH76" i="7"/>
  <c r="AI76" i="7"/>
  <c r="AB77" i="7"/>
  <c r="AC77" i="7"/>
  <c r="AD77" i="7"/>
  <c r="AE77" i="7"/>
  <c r="AF77" i="7"/>
  <c r="AG77" i="7"/>
  <c r="AH77" i="7"/>
  <c r="AI77" i="7"/>
  <c r="AB79" i="7"/>
  <c r="AC79" i="7"/>
  <c r="AD79" i="7"/>
  <c r="AE79" i="7"/>
  <c r="AF79" i="7"/>
  <c r="AG79" i="7"/>
  <c r="AH79" i="7"/>
  <c r="AI79" i="7"/>
  <c r="AB80" i="7"/>
  <c r="AC80" i="7"/>
  <c r="AD80" i="7"/>
  <c r="AE80" i="7"/>
  <c r="AF80" i="7"/>
  <c r="AG80" i="7"/>
  <c r="AH80" i="7"/>
  <c r="AI80" i="7"/>
  <c r="AB82" i="7"/>
  <c r="AC82" i="7"/>
  <c r="AD82" i="7"/>
  <c r="AE82" i="7"/>
  <c r="AF82" i="7"/>
  <c r="AG82" i="7"/>
  <c r="AH82" i="7"/>
  <c r="AI82" i="7"/>
  <c r="AB83" i="7"/>
  <c r="AC83" i="7"/>
  <c r="AD83" i="7"/>
  <c r="AE83" i="7"/>
  <c r="AF83" i="7"/>
  <c r="AG83" i="7"/>
  <c r="AH83" i="7"/>
  <c r="AI83" i="7"/>
  <c r="AB88" i="7"/>
  <c r="AC88" i="7"/>
  <c r="AD88" i="7"/>
  <c r="AE88" i="7"/>
  <c r="AF88" i="7"/>
  <c r="AG88" i="7"/>
  <c r="AH88" i="7"/>
  <c r="AI88" i="7"/>
  <c r="AB89" i="7"/>
  <c r="AC89" i="7"/>
  <c r="AD89" i="7"/>
  <c r="AE89" i="7"/>
  <c r="AF89" i="7"/>
  <c r="AG89" i="7"/>
  <c r="AH89" i="7"/>
  <c r="AI89" i="7"/>
  <c r="AB91" i="7"/>
  <c r="AC91" i="7"/>
  <c r="AD91" i="7"/>
  <c r="AE91" i="7"/>
  <c r="AF91" i="7"/>
  <c r="AG91" i="7"/>
  <c r="AH91" i="7"/>
  <c r="AI91" i="7"/>
  <c r="AB92" i="7"/>
  <c r="AC92" i="7"/>
  <c r="AD92" i="7"/>
  <c r="AE92" i="7"/>
  <c r="AF92" i="7"/>
  <c r="AG92" i="7"/>
  <c r="AH92" i="7"/>
  <c r="AI92" i="7"/>
  <c r="AB94" i="7"/>
  <c r="AC94" i="7"/>
  <c r="AD94" i="7"/>
  <c r="AE94" i="7"/>
  <c r="AF94" i="7"/>
  <c r="AG94" i="7"/>
  <c r="AH94" i="7"/>
  <c r="AI94" i="7"/>
  <c r="AB95" i="7"/>
  <c r="AC95" i="7"/>
  <c r="AD95" i="7"/>
  <c r="AE95" i="7"/>
  <c r="AF95" i="7"/>
  <c r="AG95" i="7"/>
  <c r="AH95" i="7"/>
  <c r="AI95" i="7"/>
  <c r="AB100" i="7"/>
  <c r="AC100" i="7"/>
  <c r="AD100" i="7"/>
  <c r="AE100" i="7"/>
  <c r="AF100" i="7"/>
  <c r="AG100" i="7"/>
  <c r="AH100" i="7"/>
  <c r="AI100" i="7"/>
  <c r="AB101" i="7"/>
  <c r="AC101" i="7"/>
  <c r="AD101" i="7"/>
  <c r="AE101" i="7"/>
  <c r="AF101" i="7"/>
  <c r="AG101" i="7"/>
  <c r="AH101" i="7"/>
  <c r="AI101" i="7"/>
  <c r="AB103" i="7"/>
  <c r="AC103" i="7"/>
  <c r="AD103" i="7"/>
  <c r="AE103" i="7"/>
  <c r="AF103" i="7"/>
  <c r="AG103" i="7"/>
  <c r="AH103" i="7"/>
  <c r="AI103" i="7"/>
  <c r="AB104" i="7"/>
  <c r="AC104" i="7"/>
  <c r="AD104" i="7"/>
  <c r="AE104" i="7"/>
  <c r="AF104" i="7"/>
  <c r="AG104" i="7"/>
  <c r="AH104" i="7"/>
  <c r="AI104" i="7"/>
  <c r="AB106" i="7"/>
  <c r="AC106" i="7"/>
  <c r="AD106" i="7"/>
  <c r="AE106" i="7"/>
  <c r="AF106" i="7"/>
  <c r="AG106" i="7"/>
  <c r="AH106" i="7"/>
  <c r="AI106" i="7"/>
  <c r="AB107" i="7"/>
  <c r="AC107" i="7"/>
  <c r="AD107" i="7"/>
  <c r="AE107" i="7"/>
  <c r="AF107" i="7"/>
  <c r="AG107" i="7"/>
  <c r="AH107" i="7"/>
  <c r="AI107" i="7"/>
  <c r="AB112" i="7"/>
  <c r="AC112" i="7"/>
  <c r="AD112" i="7"/>
  <c r="AE112" i="7"/>
  <c r="AF112" i="7"/>
  <c r="AG112" i="7"/>
  <c r="AH112" i="7"/>
  <c r="AI112" i="7"/>
  <c r="AB113" i="7"/>
  <c r="AC113" i="7"/>
  <c r="AD113" i="7"/>
  <c r="AE113" i="7"/>
  <c r="AF113" i="7"/>
  <c r="AG113" i="7"/>
  <c r="AH113" i="7"/>
  <c r="AI113" i="7"/>
  <c r="AB115" i="7"/>
  <c r="AC115" i="7"/>
  <c r="AD115" i="7"/>
  <c r="AE115" i="7"/>
  <c r="AF115" i="7"/>
  <c r="AG115" i="7"/>
  <c r="AH115" i="7"/>
  <c r="AI115" i="7"/>
  <c r="AB116" i="7"/>
  <c r="AC116" i="7"/>
  <c r="AD116" i="7"/>
  <c r="AE116" i="7"/>
  <c r="AF116" i="7"/>
  <c r="AG116" i="7"/>
  <c r="AH116" i="7"/>
  <c r="AI116" i="7"/>
  <c r="AB118" i="7"/>
  <c r="AC118" i="7"/>
  <c r="AD118" i="7"/>
  <c r="AE118" i="7"/>
  <c r="AF118" i="7"/>
  <c r="AG118" i="7"/>
  <c r="AH118" i="7"/>
  <c r="AI118" i="7"/>
  <c r="AB119" i="7"/>
  <c r="AC119" i="7"/>
  <c r="AD119" i="7"/>
  <c r="AE119" i="7"/>
  <c r="AF119" i="7"/>
  <c r="AG119" i="7"/>
  <c r="AH119" i="7"/>
  <c r="AI119" i="7"/>
  <c r="S4" i="7"/>
  <c r="T4" i="7"/>
  <c r="U4" i="7"/>
  <c r="V4" i="7"/>
  <c r="W4" i="7"/>
  <c r="X4" i="7"/>
  <c r="Y4" i="7"/>
  <c r="Z4" i="7"/>
  <c r="S5" i="7"/>
  <c r="T5" i="7"/>
  <c r="U5" i="7"/>
  <c r="V5" i="7"/>
  <c r="W5" i="7"/>
  <c r="X5" i="7"/>
  <c r="Y5" i="7"/>
  <c r="Z5" i="7"/>
  <c r="S7" i="7"/>
  <c r="T7" i="7"/>
  <c r="U7" i="7"/>
  <c r="V7" i="7"/>
  <c r="W7" i="7"/>
  <c r="X7" i="7"/>
  <c r="Y7" i="7"/>
  <c r="Z7" i="7"/>
  <c r="S8" i="7"/>
  <c r="T8" i="7"/>
  <c r="U8" i="7"/>
  <c r="V8" i="7"/>
  <c r="W8" i="7"/>
  <c r="X8" i="7"/>
  <c r="Y8" i="7"/>
  <c r="Z8" i="7"/>
  <c r="S10" i="7"/>
  <c r="T10" i="7"/>
  <c r="U10" i="7"/>
  <c r="V10" i="7"/>
  <c r="W10" i="7"/>
  <c r="X10" i="7"/>
  <c r="Y10" i="7"/>
  <c r="Z10" i="7"/>
  <c r="S11" i="7"/>
  <c r="T11" i="7"/>
  <c r="U11" i="7"/>
  <c r="V11" i="7"/>
  <c r="W11" i="7"/>
  <c r="X11" i="7"/>
  <c r="Y11" i="7"/>
  <c r="Z11" i="7"/>
  <c r="S16" i="7"/>
  <c r="T16" i="7"/>
  <c r="U16" i="7"/>
  <c r="V16" i="7"/>
  <c r="W16" i="7"/>
  <c r="X16" i="7"/>
  <c r="Y16" i="7"/>
  <c r="Z16" i="7"/>
  <c r="S17" i="7"/>
  <c r="T17" i="7"/>
  <c r="U17" i="7"/>
  <c r="V17" i="7"/>
  <c r="W17" i="7"/>
  <c r="X17" i="7"/>
  <c r="Y17" i="7"/>
  <c r="Z17" i="7"/>
  <c r="S19" i="7"/>
  <c r="T19" i="7"/>
  <c r="U19" i="7"/>
  <c r="V19" i="7"/>
  <c r="W19" i="7"/>
  <c r="X19" i="7"/>
  <c r="Y19" i="7"/>
  <c r="Z19" i="7"/>
  <c r="S20" i="7"/>
  <c r="T20" i="7"/>
  <c r="U20" i="7"/>
  <c r="V20" i="7"/>
  <c r="W20" i="7"/>
  <c r="X20" i="7"/>
  <c r="Y20" i="7"/>
  <c r="Z20" i="7"/>
  <c r="S22" i="7"/>
  <c r="T22" i="7"/>
  <c r="U22" i="7"/>
  <c r="V22" i="7"/>
  <c r="W22" i="7"/>
  <c r="X22" i="7"/>
  <c r="Y22" i="7"/>
  <c r="Z22" i="7"/>
  <c r="S23" i="7"/>
  <c r="T23" i="7"/>
  <c r="U23" i="7"/>
  <c r="V23" i="7"/>
  <c r="W23" i="7"/>
  <c r="X23" i="7"/>
  <c r="Y23" i="7"/>
  <c r="Z23" i="7"/>
  <c r="S28" i="7"/>
  <c r="T28" i="7"/>
  <c r="U28" i="7"/>
  <c r="V28" i="7"/>
  <c r="W28" i="7"/>
  <c r="X28" i="7"/>
  <c r="Y28" i="7"/>
  <c r="Z28" i="7"/>
  <c r="S29" i="7"/>
  <c r="T29" i="7"/>
  <c r="U29" i="7"/>
  <c r="V29" i="7"/>
  <c r="W29" i="7"/>
  <c r="X29" i="7"/>
  <c r="Y29" i="7"/>
  <c r="Z29" i="7"/>
  <c r="S31" i="7"/>
  <c r="T31" i="7"/>
  <c r="U31" i="7"/>
  <c r="V31" i="7"/>
  <c r="W31" i="7"/>
  <c r="X31" i="7"/>
  <c r="Y31" i="7"/>
  <c r="Z31" i="7"/>
  <c r="S32" i="7"/>
  <c r="T32" i="7"/>
  <c r="U32" i="7"/>
  <c r="V32" i="7"/>
  <c r="W32" i="7"/>
  <c r="X32" i="7"/>
  <c r="Y32" i="7"/>
  <c r="Z32" i="7"/>
  <c r="S34" i="7"/>
  <c r="T34" i="7"/>
  <c r="U34" i="7"/>
  <c r="V34" i="7"/>
  <c r="W34" i="7"/>
  <c r="X34" i="7"/>
  <c r="Y34" i="7"/>
  <c r="Z34" i="7"/>
  <c r="S35" i="7"/>
  <c r="T35" i="7"/>
  <c r="U35" i="7"/>
  <c r="V35" i="7"/>
  <c r="W35" i="7"/>
  <c r="X35" i="7"/>
  <c r="Y35" i="7"/>
  <c r="Z35" i="7"/>
  <c r="S40" i="7"/>
  <c r="T40" i="7"/>
  <c r="U40" i="7"/>
  <c r="V40" i="7"/>
  <c r="W40" i="7"/>
  <c r="X40" i="7"/>
  <c r="Y40" i="7"/>
  <c r="Z40" i="7"/>
  <c r="S41" i="7"/>
  <c r="T41" i="7"/>
  <c r="U41" i="7"/>
  <c r="V41" i="7"/>
  <c r="W41" i="7"/>
  <c r="X41" i="7"/>
  <c r="Y41" i="7"/>
  <c r="Z41" i="7"/>
  <c r="S43" i="7"/>
  <c r="T43" i="7"/>
  <c r="U43" i="7"/>
  <c r="V43" i="7"/>
  <c r="W43" i="7"/>
  <c r="X43" i="7"/>
  <c r="Y43" i="7"/>
  <c r="Z43" i="7"/>
  <c r="S44" i="7"/>
  <c r="T44" i="7"/>
  <c r="U44" i="7"/>
  <c r="V44" i="7"/>
  <c r="W44" i="7"/>
  <c r="X44" i="7"/>
  <c r="Y44" i="7"/>
  <c r="Z44" i="7"/>
  <c r="S46" i="7"/>
  <c r="T46" i="7"/>
  <c r="U46" i="7"/>
  <c r="V46" i="7"/>
  <c r="W46" i="7"/>
  <c r="X46" i="7"/>
  <c r="Y46" i="7"/>
  <c r="Z46" i="7"/>
  <c r="S47" i="7"/>
  <c r="T47" i="7"/>
  <c r="U47" i="7"/>
  <c r="V47" i="7"/>
  <c r="W47" i="7"/>
  <c r="X47" i="7"/>
  <c r="Y47" i="7"/>
  <c r="Z47" i="7"/>
  <c r="S52" i="7"/>
  <c r="T52" i="7"/>
  <c r="U52" i="7"/>
  <c r="V52" i="7"/>
  <c r="W52" i="7"/>
  <c r="X52" i="7"/>
  <c r="Y52" i="7"/>
  <c r="Z52" i="7"/>
  <c r="S53" i="7"/>
  <c r="T53" i="7"/>
  <c r="U53" i="7"/>
  <c r="V53" i="7"/>
  <c r="W53" i="7"/>
  <c r="X53" i="7"/>
  <c r="Y53" i="7"/>
  <c r="Z53" i="7"/>
  <c r="S55" i="7"/>
  <c r="T55" i="7"/>
  <c r="U55" i="7"/>
  <c r="V55" i="7"/>
  <c r="W55" i="7"/>
  <c r="X55" i="7"/>
  <c r="Y55" i="7"/>
  <c r="Z55" i="7"/>
  <c r="S56" i="7"/>
  <c r="T56" i="7"/>
  <c r="U56" i="7"/>
  <c r="V56" i="7"/>
  <c r="W56" i="7"/>
  <c r="X56" i="7"/>
  <c r="Y56" i="7"/>
  <c r="Z56" i="7"/>
  <c r="S58" i="7"/>
  <c r="T58" i="7"/>
  <c r="U58" i="7"/>
  <c r="V58" i="7"/>
  <c r="W58" i="7"/>
  <c r="X58" i="7"/>
  <c r="Y58" i="7"/>
  <c r="Z58" i="7"/>
  <c r="S59" i="7"/>
  <c r="T59" i="7"/>
  <c r="U59" i="7"/>
  <c r="V59" i="7"/>
  <c r="W59" i="7"/>
  <c r="X59" i="7"/>
  <c r="Y59" i="7"/>
  <c r="Z59" i="7"/>
  <c r="S64" i="7"/>
  <c r="T64" i="7"/>
  <c r="U64" i="7"/>
  <c r="V64" i="7"/>
  <c r="W64" i="7"/>
  <c r="X64" i="7"/>
  <c r="Y64" i="7"/>
  <c r="Z64" i="7"/>
  <c r="S65" i="7"/>
  <c r="T65" i="7"/>
  <c r="U65" i="7"/>
  <c r="V65" i="7"/>
  <c r="W65" i="7"/>
  <c r="X65" i="7"/>
  <c r="Y65" i="7"/>
  <c r="Z65" i="7"/>
  <c r="S67" i="7"/>
  <c r="T67" i="7"/>
  <c r="U67" i="7"/>
  <c r="V67" i="7"/>
  <c r="W67" i="7"/>
  <c r="X67" i="7"/>
  <c r="Y67" i="7"/>
  <c r="Z67" i="7"/>
  <c r="S68" i="7"/>
  <c r="T68" i="7"/>
  <c r="U68" i="7"/>
  <c r="V68" i="7"/>
  <c r="Y68" i="7"/>
  <c r="Z68" i="7"/>
  <c r="S70" i="7"/>
  <c r="T70" i="7"/>
  <c r="U70" i="7"/>
  <c r="V70" i="7"/>
  <c r="W70" i="7"/>
  <c r="X70" i="7"/>
  <c r="Y70" i="7"/>
  <c r="Z70" i="7"/>
  <c r="S71" i="7"/>
  <c r="T71" i="7"/>
  <c r="U71" i="7"/>
  <c r="V71" i="7"/>
  <c r="W71" i="7"/>
  <c r="X71" i="7"/>
  <c r="Y71" i="7"/>
  <c r="Z71" i="7"/>
  <c r="S76" i="7"/>
  <c r="T76" i="7"/>
  <c r="U76" i="7"/>
  <c r="V76" i="7"/>
  <c r="W76" i="7"/>
  <c r="X76" i="7"/>
  <c r="Y76" i="7"/>
  <c r="Z76" i="7"/>
  <c r="S77" i="7"/>
  <c r="T77" i="7"/>
  <c r="U77" i="7"/>
  <c r="V77" i="7"/>
  <c r="W77" i="7"/>
  <c r="X77" i="7"/>
  <c r="Y77" i="7"/>
  <c r="Z77" i="7"/>
  <c r="S79" i="7"/>
  <c r="T79" i="7"/>
  <c r="U79" i="7"/>
  <c r="V79" i="7"/>
  <c r="W79" i="7"/>
  <c r="X79" i="7"/>
  <c r="Y79" i="7"/>
  <c r="Z79" i="7"/>
  <c r="S80" i="7"/>
  <c r="T80" i="7"/>
  <c r="U80" i="7"/>
  <c r="V80" i="7"/>
  <c r="Y80" i="7"/>
  <c r="Z80" i="7"/>
  <c r="S82" i="7"/>
  <c r="T82" i="7"/>
  <c r="U82" i="7"/>
  <c r="V82" i="7"/>
  <c r="W82" i="7"/>
  <c r="X82" i="7"/>
  <c r="Y82" i="7"/>
  <c r="Z82" i="7"/>
  <c r="S83" i="7"/>
  <c r="T83" i="7"/>
  <c r="U83" i="7"/>
  <c r="V83" i="7"/>
  <c r="W83" i="7"/>
  <c r="X83" i="7"/>
  <c r="Y83" i="7"/>
  <c r="Z83" i="7"/>
  <c r="S88" i="7"/>
  <c r="T88" i="7"/>
  <c r="U88" i="7"/>
  <c r="V88" i="7"/>
  <c r="W88" i="7"/>
  <c r="X88" i="7"/>
  <c r="Y88" i="7"/>
  <c r="Z88" i="7"/>
  <c r="S89" i="7"/>
  <c r="T89" i="7"/>
  <c r="U89" i="7"/>
  <c r="V89" i="7"/>
  <c r="W89" i="7"/>
  <c r="X89" i="7"/>
  <c r="Y89" i="7"/>
  <c r="Z89" i="7"/>
  <c r="S91" i="7"/>
  <c r="T91" i="7"/>
  <c r="U91" i="7"/>
  <c r="V91" i="7"/>
  <c r="W91" i="7"/>
  <c r="X91" i="7"/>
  <c r="Y91" i="7"/>
  <c r="Z91" i="7"/>
  <c r="S92" i="7"/>
  <c r="T92" i="7"/>
  <c r="U92" i="7"/>
  <c r="V92" i="7"/>
  <c r="Y92" i="7"/>
  <c r="Z92" i="7"/>
  <c r="S94" i="7"/>
  <c r="T94" i="7"/>
  <c r="U94" i="7"/>
  <c r="V94" i="7"/>
  <c r="W94" i="7"/>
  <c r="X94" i="7"/>
  <c r="Y94" i="7"/>
  <c r="Z94" i="7"/>
  <c r="S95" i="7"/>
  <c r="T95" i="7"/>
  <c r="U95" i="7"/>
  <c r="V95" i="7"/>
  <c r="W95" i="7"/>
  <c r="X95" i="7"/>
  <c r="Y95" i="7"/>
  <c r="Z95" i="7"/>
  <c r="S100" i="7"/>
  <c r="T100" i="7"/>
  <c r="U100" i="7"/>
  <c r="V100" i="7"/>
  <c r="W100" i="7"/>
  <c r="X100" i="7"/>
  <c r="Y100" i="7"/>
  <c r="Z100" i="7"/>
  <c r="S101" i="7"/>
  <c r="T101" i="7"/>
  <c r="U101" i="7"/>
  <c r="V101" i="7"/>
  <c r="W101" i="7"/>
  <c r="X101" i="7"/>
  <c r="Y101" i="7"/>
  <c r="Z101" i="7"/>
  <c r="S103" i="7"/>
  <c r="T103" i="7"/>
  <c r="U103" i="7"/>
  <c r="V103" i="7"/>
  <c r="W103" i="7"/>
  <c r="X103" i="7"/>
  <c r="Y103" i="7"/>
  <c r="Z103" i="7"/>
  <c r="S104" i="7"/>
  <c r="T104" i="7"/>
  <c r="U104" i="7"/>
  <c r="V104" i="7"/>
  <c r="Y104" i="7"/>
  <c r="Z104" i="7"/>
  <c r="S106" i="7"/>
  <c r="T106" i="7"/>
  <c r="U106" i="7"/>
  <c r="V106" i="7"/>
  <c r="W106" i="7"/>
  <c r="X106" i="7"/>
  <c r="Y106" i="7"/>
  <c r="Z106" i="7"/>
  <c r="S107" i="7"/>
  <c r="T107" i="7"/>
  <c r="U107" i="7"/>
  <c r="V107" i="7"/>
  <c r="W107" i="7"/>
  <c r="X107" i="7"/>
  <c r="Y107" i="7"/>
  <c r="Z107" i="7"/>
  <c r="S112" i="7"/>
  <c r="T112" i="7"/>
  <c r="U112" i="7"/>
  <c r="V112" i="7"/>
  <c r="W112" i="7"/>
  <c r="X112" i="7"/>
  <c r="Y112" i="7"/>
  <c r="Z112" i="7"/>
  <c r="S113" i="7"/>
  <c r="T113" i="7"/>
  <c r="U113" i="7"/>
  <c r="V113" i="7"/>
  <c r="W113" i="7"/>
  <c r="X113" i="7"/>
  <c r="Y113" i="7"/>
  <c r="Z113" i="7"/>
  <c r="S115" i="7"/>
  <c r="T115" i="7"/>
  <c r="U115" i="7"/>
  <c r="V115" i="7"/>
  <c r="W115" i="7"/>
  <c r="X115" i="7"/>
  <c r="Y115" i="7"/>
  <c r="Z115" i="7"/>
  <c r="S116" i="7"/>
  <c r="T116" i="7"/>
  <c r="U116" i="7"/>
  <c r="V116" i="7"/>
  <c r="Y116" i="7"/>
  <c r="Z116" i="7"/>
  <c r="S118" i="7"/>
  <c r="T118" i="7"/>
  <c r="U118" i="7"/>
  <c r="V118" i="7"/>
  <c r="W118" i="7"/>
  <c r="X118" i="7"/>
  <c r="Y118" i="7"/>
  <c r="Z118" i="7"/>
  <c r="S119" i="7"/>
  <c r="T119" i="7"/>
  <c r="U119" i="7"/>
  <c r="V119" i="7"/>
  <c r="W119" i="7"/>
  <c r="X119" i="7"/>
  <c r="Y119" i="7"/>
  <c r="Z119" i="7"/>
  <c r="J4" i="7"/>
  <c r="K4" i="7"/>
  <c r="L4" i="7"/>
  <c r="M4" i="7"/>
  <c r="N4" i="7"/>
  <c r="O4" i="7"/>
  <c r="P4" i="7"/>
  <c r="Q4" i="7"/>
  <c r="J7" i="7"/>
  <c r="K7" i="7"/>
  <c r="L7" i="7"/>
  <c r="M7" i="7"/>
  <c r="N7" i="7"/>
  <c r="O7" i="7"/>
  <c r="P7" i="7"/>
  <c r="Q7" i="7"/>
  <c r="J10" i="7"/>
  <c r="K10" i="7"/>
  <c r="L10" i="7"/>
  <c r="M10" i="7"/>
  <c r="N10" i="7"/>
  <c r="O10" i="7"/>
  <c r="P10" i="7"/>
  <c r="Q10" i="7"/>
  <c r="J16" i="7"/>
  <c r="K16" i="7"/>
  <c r="L16" i="7"/>
  <c r="M16" i="7"/>
  <c r="N16" i="7"/>
  <c r="O16" i="7"/>
  <c r="P16" i="7"/>
  <c r="Q16" i="7"/>
  <c r="J19" i="7"/>
  <c r="K19" i="7"/>
  <c r="L19" i="7"/>
  <c r="M19" i="7"/>
  <c r="N19" i="7"/>
  <c r="O19" i="7"/>
  <c r="P19" i="7"/>
  <c r="Q19" i="7"/>
  <c r="J22" i="7"/>
  <c r="K22" i="7"/>
  <c r="L22" i="7"/>
  <c r="M22" i="7"/>
  <c r="N22" i="7"/>
  <c r="O22" i="7"/>
  <c r="P22" i="7"/>
  <c r="Q22" i="7"/>
  <c r="J28" i="7"/>
  <c r="K28" i="7"/>
  <c r="L28" i="7"/>
  <c r="M28" i="7"/>
  <c r="N28" i="7"/>
  <c r="O28" i="7"/>
  <c r="P28" i="7"/>
  <c r="Q28" i="7"/>
  <c r="J31" i="7"/>
  <c r="K31" i="7"/>
  <c r="L31" i="7"/>
  <c r="M31" i="7"/>
  <c r="N31" i="7"/>
  <c r="O31" i="7"/>
  <c r="P31" i="7"/>
  <c r="Q31" i="7"/>
  <c r="J34" i="7"/>
  <c r="K34" i="7"/>
  <c r="L34" i="7"/>
  <c r="M34" i="7"/>
  <c r="N34" i="7"/>
  <c r="O34" i="7"/>
  <c r="P34" i="7"/>
  <c r="Q34" i="7"/>
  <c r="J88" i="7"/>
  <c r="K88" i="7"/>
  <c r="L88" i="7"/>
  <c r="M88" i="7"/>
  <c r="N88" i="7"/>
  <c r="O88" i="7"/>
  <c r="P88" i="7"/>
  <c r="Q88" i="7"/>
  <c r="J91" i="7"/>
  <c r="K91" i="7"/>
  <c r="L91" i="7"/>
  <c r="M91" i="7"/>
  <c r="N91" i="7"/>
  <c r="O91" i="7"/>
  <c r="P91" i="7"/>
  <c r="Q91" i="7"/>
  <c r="J94" i="7"/>
  <c r="K94" i="7"/>
  <c r="L94" i="7"/>
  <c r="M94" i="7"/>
  <c r="N94" i="7"/>
  <c r="O94" i="7"/>
  <c r="P94" i="7"/>
  <c r="Q94" i="7"/>
  <c r="J100" i="7"/>
  <c r="K100" i="7"/>
  <c r="L100" i="7"/>
  <c r="M100" i="7"/>
  <c r="N100" i="7"/>
  <c r="O100" i="7"/>
  <c r="P100" i="7"/>
  <c r="Q100" i="7"/>
  <c r="J103" i="7"/>
  <c r="K103" i="7"/>
  <c r="L103" i="7"/>
  <c r="M103" i="7"/>
  <c r="N103" i="7"/>
  <c r="O103" i="7"/>
  <c r="P103" i="7"/>
  <c r="Q103" i="7"/>
  <c r="J106" i="7"/>
  <c r="K106" i="7"/>
  <c r="L106" i="7"/>
  <c r="M106" i="7"/>
  <c r="N106" i="7"/>
  <c r="O106" i="7"/>
  <c r="P106" i="7"/>
  <c r="Q106" i="7"/>
  <c r="J112" i="7"/>
  <c r="K112" i="7"/>
  <c r="L112" i="7"/>
  <c r="M112" i="7"/>
  <c r="N112" i="7"/>
  <c r="O112" i="7"/>
  <c r="P112" i="7"/>
  <c r="Q112" i="7"/>
  <c r="J115" i="7"/>
  <c r="K115" i="7"/>
  <c r="L115" i="7"/>
  <c r="M115" i="7"/>
  <c r="N115" i="7"/>
  <c r="O115" i="7"/>
  <c r="P115" i="7"/>
  <c r="Q115" i="7"/>
  <c r="J118" i="7"/>
  <c r="K118" i="7"/>
  <c r="L118" i="7"/>
  <c r="M118" i="7"/>
  <c r="N118" i="7"/>
  <c r="O118" i="7"/>
  <c r="P118" i="7"/>
  <c r="Q118" i="7"/>
  <c r="E118" i="7"/>
  <c r="F118" i="7"/>
  <c r="G118" i="7"/>
  <c r="H118" i="7"/>
  <c r="E119" i="7"/>
  <c r="F119" i="7"/>
  <c r="G119" i="7"/>
  <c r="H119" i="7"/>
  <c r="A118" i="7"/>
  <c r="B118" i="7"/>
  <c r="C118" i="7"/>
  <c r="D118" i="7"/>
  <c r="A119" i="7"/>
  <c r="B119" i="7"/>
  <c r="C119" i="7"/>
  <c r="D119" i="7"/>
  <c r="E115" i="7"/>
  <c r="F115" i="7"/>
  <c r="G115" i="7"/>
  <c r="H115" i="7"/>
  <c r="E116" i="7"/>
  <c r="F116" i="7"/>
  <c r="G116" i="7"/>
  <c r="H116" i="7"/>
  <c r="A115" i="7"/>
  <c r="B115" i="7"/>
  <c r="C115" i="7"/>
  <c r="D115" i="7"/>
  <c r="A116" i="7"/>
  <c r="B116" i="7"/>
  <c r="C116" i="7"/>
  <c r="D116" i="7"/>
  <c r="E112" i="7"/>
  <c r="F112" i="7"/>
  <c r="G112" i="7"/>
  <c r="H112" i="7"/>
  <c r="E113" i="7"/>
  <c r="F113" i="7"/>
  <c r="G113" i="7"/>
  <c r="H113" i="7"/>
  <c r="A112" i="7"/>
  <c r="B112" i="7"/>
  <c r="C112" i="7"/>
  <c r="D112" i="7"/>
  <c r="A113" i="7"/>
  <c r="B113" i="7"/>
  <c r="C113" i="7"/>
  <c r="D113" i="7"/>
  <c r="E106" i="7"/>
  <c r="F106" i="7"/>
  <c r="G106" i="7"/>
  <c r="H106" i="7"/>
  <c r="E107" i="7"/>
  <c r="F107" i="7"/>
  <c r="G107" i="7"/>
  <c r="H107" i="7"/>
  <c r="A106" i="7"/>
  <c r="B106" i="7"/>
  <c r="C106" i="7"/>
  <c r="D106" i="7"/>
  <c r="A107" i="7"/>
  <c r="B107" i="7"/>
  <c r="C107" i="7"/>
  <c r="D107" i="7"/>
  <c r="E103" i="7"/>
  <c r="F103" i="7"/>
  <c r="G103" i="7"/>
  <c r="H103" i="7"/>
  <c r="E104" i="7"/>
  <c r="F104" i="7"/>
  <c r="G104" i="7"/>
  <c r="H104" i="7"/>
  <c r="A103" i="7"/>
  <c r="B103" i="7"/>
  <c r="C103" i="7"/>
  <c r="D103" i="7"/>
  <c r="A104" i="7"/>
  <c r="B104" i="7"/>
  <c r="C104" i="7"/>
  <c r="D104" i="7"/>
  <c r="E100" i="7"/>
  <c r="F100" i="7"/>
  <c r="G100" i="7"/>
  <c r="H100" i="7"/>
  <c r="E101" i="7"/>
  <c r="F101" i="7"/>
  <c r="G101" i="7"/>
  <c r="H101" i="7"/>
  <c r="A100" i="7"/>
  <c r="B100" i="7"/>
  <c r="C100" i="7"/>
  <c r="D100" i="7"/>
  <c r="A101" i="7"/>
  <c r="B101" i="7"/>
  <c r="C101" i="7"/>
  <c r="D101" i="7"/>
  <c r="E70" i="7"/>
  <c r="F70" i="7"/>
  <c r="G70" i="7"/>
  <c r="H70" i="7"/>
  <c r="E71" i="7"/>
  <c r="F71" i="7"/>
  <c r="G71" i="7"/>
  <c r="H71" i="7"/>
  <c r="A70" i="7"/>
  <c r="B70" i="7"/>
  <c r="C70" i="7"/>
  <c r="D70" i="7"/>
  <c r="A71" i="7"/>
  <c r="B71" i="7"/>
  <c r="C71" i="7"/>
  <c r="D71" i="7"/>
  <c r="E67" i="7"/>
  <c r="F67" i="7"/>
  <c r="G67" i="7"/>
  <c r="H67" i="7"/>
  <c r="E68" i="7"/>
  <c r="F68" i="7"/>
  <c r="G68" i="7"/>
  <c r="H68" i="7"/>
  <c r="A67" i="7"/>
  <c r="B67" i="7"/>
  <c r="C67" i="7"/>
  <c r="D67" i="7"/>
  <c r="A68" i="7"/>
  <c r="B68" i="7"/>
  <c r="C68" i="7"/>
  <c r="D68" i="7"/>
  <c r="E64" i="7"/>
  <c r="F64" i="7"/>
  <c r="G64" i="7"/>
  <c r="H64" i="7"/>
  <c r="E65" i="7"/>
  <c r="F65" i="7"/>
  <c r="G65" i="7"/>
  <c r="H65" i="7"/>
  <c r="A64" i="7"/>
  <c r="B64" i="7"/>
  <c r="C64" i="7"/>
  <c r="D64" i="7"/>
  <c r="A65" i="7"/>
  <c r="B65" i="7"/>
  <c r="C65" i="7"/>
  <c r="D65" i="7"/>
  <c r="E58" i="7"/>
  <c r="F58" i="7"/>
  <c r="G58" i="7"/>
  <c r="H58" i="7"/>
  <c r="E59" i="7"/>
  <c r="F59" i="7"/>
  <c r="G59" i="7"/>
  <c r="H59" i="7"/>
  <c r="A58" i="7"/>
  <c r="B58" i="7"/>
  <c r="C58" i="7"/>
  <c r="D58" i="7"/>
  <c r="A59" i="7"/>
  <c r="B59" i="7"/>
  <c r="C59" i="7"/>
  <c r="D59" i="7"/>
  <c r="E55" i="7"/>
  <c r="F55" i="7"/>
  <c r="G55" i="7"/>
  <c r="H55" i="7"/>
  <c r="E56" i="7"/>
  <c r="F56" i="7"/>
  <c r="G56" i="7"/>
  <c r="H56" i="7"/>
  <c r="A55" i="7"/>
  <c r="B55" i="7"/>
  <c r="C55" i="7"/>
  <c r="D55" i="7"/>
  <c r="A56" i="7"/>
  <c r="B56" i="7"/>
  <c r="C56" i="7"/>
  <c r="D56" i="7"/>
  <c r="E52" i="7"/>
  <c r="F52" i="7"/>
  <c r="G52" i="7"/>
  <c r="H52" i="7"/>
  <c r="E53" i="7"/>
  <c r="F53" i="7"/>
  <c r="G53" i="7"/>
  <c r="H53" i="7"/>
  <c r="A52" i="7"/>
  <c r="B52" i="7"/>
  <c r="C52" i="7"/>
  <c r="D52" i="7"/>
  <c r="A53" i="7"/>
  <c r="B53" i="7"/>
  <c r="C53" i="7"/>
  <c r="D53" i="7"/>
  <c r="E46" i="7"/>
  <c r="F46" i="7"/>
  <c r="G46" i="7"/>
  <c r="H46" i="7"/>
  <c r="E47" i="7"/>
  <c r="F47" i="7"/>
  <c r="G47" i="7"/>
  <c r="H47" i="7"/>
  <c r="A46" i="7"/>
  <c r="B46" i="7"/>
  <c r="C46" i="7"/>
  <c r="D46" i="7"/>
  <c r="A47" i="7"/>
  <c r="B47" i="7"/>
  <c r="C47" i="7"/>
  <c r="D47" i="7"/>
  <c r="E43" i="7"/>
  <c r="F43" i="7"/>
  <c r="G43" i="7"/>
  <c r="H43" i="7"/>
  <c r="E44" i="7"/>
  <c r="F44" i="7"/>
  <c r="G44" i="7"/>
  <c r="H44" i="7"/>
  <c r="A43" i="7"/>
  <c r="B43" i="7"/>
  <c r="C43" i="7"/>
  <c r="D43" i="7"/>
  <c r="A44" i="7"/>
  <c r="B44" i="7"/>
  <c r="C44" i="7"/>
  <c r="D44" i="7"/>
  <c r="E40" i="7"/>
  <c r="F40" i="7"/>
  <c r="G40" i="7"/>
  <c r="H40" i="7"/>
  <c r="E41" i="7"/>
  <c r="F41" i="7"/>
  <c r="G41" i="7"/>
  <c r="H41" i="7"/>
  <c r="A40" i="7"/>
  <c r="B40" i="7"/>
  <c r="C40" i="7"/>
  <c r="D40" i="7"/>
  <c r="A41" i="7"/>
  <c r="B41" i="7"/>
  <c r="C41" i="7"/>
  <c r="D41" i="7"/>
  <c r="E34" i="7"/>
  <c r="F34" i="7"/>
  <c r="G34" i="7"/>
  <c r="H34" i="7"/>
  <c r="E35" i="7"/>
  <c r="F35" i="7"/>
  <c r="G35" i="7"/>
  <c r="H35" i="7"/>
  <c r="A34" i="7"/>
  <c r="B34" i="7"/>
  <c r="C34" i="7"/>
  <c r="D34" i="7"/>
  <c r="A35" i="7"/>
  <c r="B35" i="7"/>
  <c r="C35" i="7"/>
  <c r="D35" i="7"/>
  <c r="E31" i="7"/>
  <c r="F31" i="7"/>
  <c r="G31" i="7"/>
  <c r="H31" i="7"/>
  <c r="E32" i="7"/>
  <c r="F32" i="7"/>
  <c r="G32" i="7"/>
  <c r="H32" i="7"/>
  <c r="A31" i="7"/>
  <c r="B31" i="7"/>
  <c r="C31" i="7"/>
  <c r="D31" i="7"/>
  <c r="A32" i="7"/>
  <c r="B32" i="7"/>
  <c r="C32" i="7"/>
  <c r="D32" i="7"/>
  <c r="E28" i="7"/>
  <c r="F28" i="7"/>
  <c r="G28" i="7"/>
  <c r="H28" i="7"/>
  <c r="E29" i="7"/>
  <c r="F29" i="7"/>
  <c r="G29" i="7"/>
  <c r="H29" i="7"/>
  <c r="A28" i="7"/>
  <c r="B28" i="7"/>
  <c r="C28" i="7"/>
  <c r="D28" i="7"/>
  <c r="A29" i="7"/>
  <c r="B29" i="7"/>
  <c r="C29" i="7"/>
  <c r="D29" i="7"/>
  <c r="E22" i="7"/>
  <c r="F22" i="7"/>
  <c r="G22" i="7"/>
  <c r="H22" i="7"/>
  <c r="E23" i="7"/>
  <c r="F23" i="7"/>
  <c r="G23" i="7"/>
  <c r="H23" i="7"/>
  <c r="A22" i="7"/>
  <c r="B22" i="7"/>
  <c r="C22" i="7"/>
  <c r="D22" i="7"/>
  <c r="A23" i="7"/>
  <c r="B23" i="7"/>
  <c r="C23" i="7"/>
  <c r="D23" i="7"/>
  <c r="E19" i="7"/>
  <c r="F19" i="7"/>
  <c r="G19" i="7"/>
  <c r="H19" i="7"/>
  <c r="E20" i="7"/>
  <c r="F20" i="7"/>
  <c r="G20" i="7"/>
  <c r="H20" i="7"/>
  <c r="A19" i="7"/>
  <c r="B19" i="7"/>
  <c r="C19" i="7"/>
  <c r="D19" i="7"/>
  <c r="A20" i="7"/>
  <c r="B20" i="7"/>
  <c r="C20" i="7"/>
  <c r="D20" i="7"/>
  <c r="E16" i="7"/>
  <c r="F16" i="7"/>
  <c r="G16" i="7"/>
  <c r="H16" i="7"/>
  <c r="E17" i="7"/>
  <c r="F17" i="7"/>
  <c r="G17" i="7"/>
  <c r="H17" i="7"/>
  <c r="A16" i="7"/>
  <c r="B16" i="7"/>
  <c r="C16" i="7"/>
  <c r="D16" i="7"/>
  <c r="A17" i="7"/>
  <c r="B17" i="7"/>
  <c r="C17" i="7"/>
  <c r="D17" i="7"/>
  <c r="E10" i="7"/>
  <c r="F10" i="7"/>
  <c r="G10" i="7"/>
  <c r="H10" i="7"/>
  <c r="E11" i="7"/>
  <c r="F11" i="7"/>
  <c r="G11" i="7"/>
  <c r="H11" i="7"/>
  <c r="E7" i="7"/>
  <c r="F7" i="7"/>
  <c r="G7" i="7"/>
  <c r="H7" i="7"/>
  <c r="E8" i="7"/>
  <c r="F8" i="7"/>
  <c r="G8" i="7"/>
  <c r="H8" i="7"/>
  <c r="E4" i="7"/>
  <c r="F4" i="7"/>
  <c r="G4" i="7"/>
  <c r="H4" i="7"/>
  <c r="E5" i="7"/>
  <c r="F5" i="7"/>
  <c r="G5" i="7"/>
  <c r="H5" i="7"/>
  <c r="A10" i="7"/>
  <c r="B10" i="7"/>
  <c r="C10" i="7"/>
  <c r="D10" i="7"/>
  <c r="A11" i="7"/>
  <c r="B11" i="7"/>
  <c r="C11" i="7"/>
  <c r="D11" i="7"/>
  <c r="A7" i="7"/>
  <c r="B7" i="7"/>
  <c r="C7" i="7"/>
  <c r="D7" i="7"/>
  <c r="A8" i="7"/>
  <c r="B8" i="7"/>
  <c r="C8" i="7"/>
  <c r="D8" i="7"/>
  <c r="A4" i="7"/>
  <c r="B4" i="7"/>
  <c r="C4" i="7"/>
  <c r="D4" i="7"/>
  <c r="A5" i="7"/>
  <c r="B5" i="7"/>
  <c r="C5" i="7"/>
  <c r="D5" i="7"/>
  <c r="BZ5" i="6"/>
  <c r="BX5" i="6"/>
  <c r="BZ41" i="6"/>
  <c r="BX41" i="6"/>
  <c r="BZ77" i="6"/>
  <c r="BX77" i="6"/>
  <c r="BZ112" i="6"/>
  <c r="BX112" i="6"/>
  <c r="BZ148" i="6"/>
  <c r="BX148" i="6"/>
  <c r="BZ184" i="6"/>
  <c r="BX184" i="6"/>
  <c r="BZ219" i="6"/>
  <c r="BX219" i="6"/>
  <c r="BZ255" i="6"/>
  <c r="BX255" i="6"/>
  <c r="BZ291" i="6"/>
  <c r="BX291" i="6"/>
  <c r="BZ326" i="6"/>
  <c r="BX326" i="6"/>
  <c r="BZ362" i="6"/>
  <c r="BX362" i="6"/>
  <c r="BZ398" i="6"/>
  <c r="BX398" i="6"/>
  <c r="BZ433" i="6"/>
  <c r="BX433" i="6"/>
  <c r="BZ469" i="6"/>
  <c r="BX469" i="6"/>
  <c r="BZ505" i="6"/>
  <c r="BX505" i="6"/>
  <c r="BF505" i="6"/>
  <c r="BD505" i="6"/>
  <c r="BF469" i="6"/>
  <c r="BD469" i="6"/>
  <c r="BF433" i="6"/>
  <c r="BD433" i="6"/>
  <c r="BF398" i="6"/>
  <c r="BD398" i="6"/>
  <c r="BF362" i="6"/>
  <c r="BD362" i="6"/>
  <c r="BF326" i="6"/>
  <c r="BD326" i="6"/>
  <c r="BF291" i="6"/>
  <c r="BD291" i="6"/>
  <c r="BF255" i="6"/>
  <c r="BD255" i="6"/>
  <c r="BF219" i="6"/>
  <c r="BD219" i="6"/>
  <c r="BF184" i="6"/>
  <c r="BD184" i="6"/>
  <c r="BF148" i="6"/>
  <c r="BD148" i="6"/>
  <c r="BF112" i="6"/>
  <c r="BD112" i="6"/>
  <c r="BF77" i="6"/>
  <c r="BD77" i="6"/>
  <c r="BF41" i="6"/>
  <c r="BD41" i="6"/>
  <c r="BF5" i="6"/>
  <c r="BD5" i="6"/>
  <c r="AL5" i="6"/>
  <c r="AJ5" i="6"/>
  <c r="AL41" i="6"/>
  <c r="AJ41" i="6"/>
  <c r="AL77" i="6"/>
  <c r="AJ77" i="6"/>
  <c r="AL112" i="6"/>
  <c r="AJ112" i="6"/>
  <c r="AL148" i="6"/>
  <c r="AJ148" i="6"/>
  <c r="AL184" i="6"/>
  <c r="AJ184" i="6"/>
  <c r="AL219" i="6"/>
  <c r="AJ219" i="6"/>
  <c r="AL255" i="6"/>
  <c r="AJ255" i="6"/>
  <c r="AL291" i="6"/>
  <c r="AL326" i="6"/>
  <c r="AJ326" i="6"/>
  <c r="AL362" i="6"/>
  <c r="AJ362" i="6"/>
  <c r="AL398" i="6"/>
  <c r="AJ398" i="6"/>
  <c r="AL433" i="6"/>
  <c r="AJ433" i="6"/>
  <c r="AL469" i="6"/>
  <c r="AJ469" i="6"/>
  <c r="AL505" i="6"/>
  <c r="AJ505" i="6"/>
  <c r="R505" i="6"/>
  <c r="P505" i="6"/>
  <c r="R469" i="6"/>
  <c r="P469" i="6"/>
  <c r="R433" i="6"/>
  <c r="P433" i="6"/>
  <c r="R398" i="6"/>
  <c r="P398" i="6"/>
  <c r="R362" i="6"/>
  <c r="P362" i="6"/>
  <c r="R326" i="6"/>
  <c r="P326" i="6"/>
  <c r="R291" i="6"/>
  <c r="P291" i="6"/>
  <c r="R255" i="6"/>
  <c r="P255" i="6"/>
  <c r="R219" i="6"/>
  <c r="P219" i="6"/>
  <c r="R184" i="6"/>
  <c r="P184" i="6"/>
  <c r="R148" i="6"/>
  <c r="P148" i="6"/>
  <c r="R112" i="6"/>
  <c r="P112" i="6"/>
  <c r="AW122" i="7" l="1"/>
  <c r="AL122" i="7"/>
  <c r="Y122" i="7"/>
  <c r="B122" i="7"/>
  <c r="AG122" i="7"/>
  <c r="AY122" i="7"/>
  <c r="AO122" i="7"/>
  <c r="AX122" i="7"/>
  <c r="AR122" i="7"/>
  <c r="BA122" i="7"/>
  <c r="AZ122" i="7"/>
  <c r="A122" i="7"/>
  <c r="E122" i="7"/>
  <c r="AD122" i="7"/>
  <c r="AV122" i="7"/>
  <c r="T122" i="7"/>
  <c r="F122" i="7"/>
  <c r="D122" i="7"/>
  <c r="AI122" i="7"/>
  <c r="AH122" i="7"/>
  <c r="AQ122" i="7"/>
  <c r="AP122" i="7"/>
  <c r="V122" i="7"/>
  <c r="AE122" i="7"/>
  <c r="U122" i="7"/>
  <c r="S122" i="7"/>
  <c r="AB122" i="7"/>
  <c r="H122" i="7"/>
  <c r="G122" i="7"/>
  <c r="Z122" i="7"/>
  <c r="C122" i="7"/>
  <c r="AF122" i="7"/>
  <c r="AN122" i="7"/>
  <c r="AM122" i="7"/>
  <c r="AC122" i="7"/>
  <c r="AU122" i="7"/>
  <c r="AK122" i="7"/>
  <c r="AT122" i="7"/>
  <c r="R77" i="6"/>
  <c r="P77" i="6"/>
  <c r="R41" i="6"/>
  <c r="P41" i="6"/>
  <c r="R5" i="6"/>
  <c r="P5" i="6"/>
  <c r="BZ5" i="5"/>
  <c r="BX5" i="5"/>
  <c r="BZ41" i="5"/>
  <c r="BX41" i="5"/>
  <c r="BZ77" i="5"/>
  <c r="BX77" i="5"/>
  <c r="BZ112" i="5"/>
  <c r="BX112" i="5"/>
  <c r="BZ148" i="5"/>
  <c r="BX148" i="5"/>
  <c r="BZ184" i="5"/>
  <c r="BX184" i="5"/>
  <c r="BZ219" i="5"/>
  <c r="BX219" i="5"/>
  <c r="BZ255" i="5"/>
  <c r="BX255" i="5"/>
  <c r="BZ291" i="5"/>
  <c r="BX291" i="5"/>
  <c r="BZ326" i="5"/>
  <c r="BX326" i="5"/>
  <c r="BZ362" i="5"/>
  <c r="BX362" i="5"/>
  <c r="BZ398" i="5"/>
  <c r="BX398" i="5"/>
  <c r="BZ433" i="5"/>
  <c r="BX433" i="5"/>
  <c r="BZ469" i="5"/>
  <c r="BX469" i="5"/>
  <c r="BZ505" i="5"/>
  <c r="BX505" i="5"/>
  <c r="BF505" i="5"/>
  <c r="BD505" i="5"/>
  <c r="BF469" i="5"/>
  <c r="BD469" i="5"/>
  <c r="BF433" i="5"/>
  <c r="BD433" i="5"/>
  <c r="BF398" i="5"/>
  <c r="BD398" i="5"/>
  <c r="BF362" i="5"/>
  <c r="BD362" i="5"/>
  <c r="BF326" i="5"/>
  <c r="BD326" i="5"/>
  <c r="BF291" i="5"/>
  <c r="BD291" i="5"/>
  <c r="BF255" i="5"/>
  <c r="BD255" i="5"/>
  <c r="BF219" i="5"/>
  <c r="BD219" i="5"/>
  <c r="BF184" i="5"/>
  <c r="BD184" i="5"/>
  <c r="BF148" i="5"/>
  <c r="BD148" i="5"/>
  <c r="BF112" i="5"/>
  <c r="BD112" i="5"/>
  <c r="BF77" i="5"/>
  <c r="BD77" i="5"/>
  <c r="BF41" i="5"/>
  <c r="BD41" i="5"/>
  <c r="BF5" i="5"/>
  <c r="BD5" i="5"/>
  <c r="AL5" i="5"/>
  <c r="AJ5" i="5"/>
  <c r="AL41" i="5"/>
  <c r="AJ41" i="5"/>
  <c r="AL77" i="5"/>
  <c r="AJ77" i="5"/>
  <c r="AL112" i="5"/>
  <c r="AJ112" i="5"/>
  <c r="AL148" i="5"/>
  <c r="AJ148" i="5"/>
  <c r="AL184" i="5"/>
  <c r="AJ184" i="5"/>
  <c r="AL219" i="5"/>
  <c r="AJ219" i="5"/>
  <c r="AL255" i="5"/>
  <c r="AJ255" i="5"/>
  <c r="AL291" i="5"/>
  <c r="AJ291" i="5"/>
  <c r="AL326" i="5"/>
  <c r="AJ326" i="5"/>
  <c r="AL362" i="5"/>
  <c r="AJ362" i="5"/>
  <c r="AL398" i="5"/>
  <c r="AJ398" i="5"/>
  <c r="AL433" i="5"/>
  <c r="AJ433" i="5"/>
  <c r="AL469" i="5"/>
  <c r="AJ469" i="5"/>
  <c r="AL505" i="5"/>
  <c r="AJ505" i="5"/>
  <c r="R505" i="5"/>
  <c r="P505" i="5"/>
  <c r="R469" i="5"/>
  <c r="P469" i="5"/>
  <c r="R433" i="5"/>
  <c r="P433" i="5"/>
  <c r="R398" i="5"/>
  <c r="P398" i="5"/>
  <c r="R362" i="5"/>
  <c r="P362" i="5"/>
  <c r="R326" i="5"/>
  <c r="P326" i="5"/>
  <c r="R291" i="5"/>
  <c r="P291" i="5"/>
  <c r="R255" i="5"/>
  <c r="P255" i="5"/>
  <c r="R219" i="5"/>
  <c r="P219" i="5"/>
  <c r="R184" i="5"/>
  <c r="P184" i="5"/>
  <c r="R148" i="5"/>
  <c r="P148" i="5"/>
  <c r="R112" i="5"/>
  <c r="P112" i="5"/>
  <c r="R77" i="5"/>
  <c r="P77" i="5"/>
  <c r="R41" i="5"/>
  <c r="P41" i="5"/>
  <c r="P5" i="5"/>
  <c r="BZ5" i="4"/>
  <c r="BX5" i="4"/>
  <c r="BZ41" i="4"/>
  <c r="BX41" i="4"/>
  <c r="BZ77" i="4"/>
  <c r="BX77" i="4"/>
  <c r="BX112" i="4"/>
  <c r="BZ148" i="4"/>
  <c r="BX148" i="4"/>
  <c r="BX184" i="4"/>
  <c r="BZ219" i="4"/>
  <c r="BX219" i="4"/>
  <c r="BZ255" i="4"/>
  <c r="BX255" i="4"/>
  <c r="BZ291" i="4"/>
  <c r="BX291" i="4"/>
  <c r="BZ326" i="4"/>
  <c r="BX326" i="4"/>
  <c r="BZ362" i="4"/>
  <c r="BX362" i="4"/>
  <c r="BZ398" i="4"/>
  <c r="BX398" i="4"/>
  <c r="BZ433" i="4"/>
  <c r="BX433" i="4"/>
  <c r="BZ469" i="4"/>
  <c r="BX469" i="4"/>
  <c r="BZ505" i="4"/>
  <c r="BX505" i="4"/>
  <c r="BD505" i="4"/>
  <c r="BF469" i="4"/>
  <c r="BD469" i="4"/>
  <c r="BF433" i="4"/>
  <c r="BD433" i="4"/>
  <c r="BF398" i="4"/>
  <c r="BD398" i="4"/>
  <c r="BD362" i="4"/>
  <c r="BF362" i="4"/>
  <c r="BF326" i="4"/>
  <c r="BD326" i="4"/>
  <c r="BF291" i="4"/>
  <c r="BD291" i="4"/>
  <c r="BF255" i="4"/>
  <c r="BD255" i="4"/>
  <c r="BF219" i="4"/>
  <c r="BD219" i="4"/>
  <c r="BD184" i="4"/>
  <c r="BF148" i="4"/>
  <c r="BD148" i="4"/>
  <c r="BF112" i="4"/>
  <c r="BD112" i="4"/>
  <c r="BD77" i="4"/>
  <c r="AL77" i="4"/>
  <c r="AJ77" i="4"/>
  <c r="AL112" i="4"/>
  <c r="AJ112" i="4"/>
  <c r="AJ148" i="4"/>
  <c r="AL184" i="4"/>
  <c r="AJ184" i="4"/>
  <c r="AL219" i="4"/>
  <c r="AJ219" i="4"/>
  <c r="AL255" i="4"/>
  <c r="AJ255" i="4"/>
  <c r="AL291" i="4"/>
  <c r="AJ291" i="4"/>
  <c r="AL326" i="4"/>
  <c r="AJ326" i="4"/>
  <c r="AL362" i="4"/>
  <c r="AJ362" i="4"/>
  <c r="AL398" i="4"/>
  <c r="AJ398" i="4"/>
  <c r="AL433" i="4"/>
  <c r="AJ433" i="4"/>
  <c r="AL469" i="4"/>
  <c r="AJ469" i="4"/>
  <c r="AL505" i="4"/>
  <c r="AJ505" i="4"/>
  <c r="R505" i="4"/>
  <c r="P505" i="4"/>
  <c r="R469" i="4"/>
  <c r="P469" i="4"/>
  <c r="R433" i="4"/>
  <c r="P433" i="4"/>
  <c r="R398" i="4"/>
  <c r="P398" i="4"/>
  <c r="R362" i="4"/>
  <c r="P362" i="4"/>
  <c r="R326" i="4"/>
  <c r="P326" i="4"/>
  <c r="R291" i="4"/>
  <c r="P291" i="4"/>
  <c r="R255" i="4"/>
  <c r="P255" i="4"/>
  <c r="R219" i="4"/>
  <c r="P219" i="4"/>
  <c r="R184" i="4"/>
  <c r="P184" i="4"/>
  <c r="R148" i="4"/>
  <c r="P148" i="4"/>
  <c r="R112" i="4"/>
  <c r="P112" i="4"/>
  <c r="R77" i="4"/>
  <c r="P77" i="4"/>
  <c r="R41" i="4"/>
  <c r="P41" i="4"/>
  <c r="P5" i="4" l="1"/>
  <c r="R5" i="4"/>
  <c r="CA505" i="6"/>
  <c r="BY505" i="6"/>
  <c r="CA469" i="6"/>
  <c r="BY469" i="6"/>
  <c r="CA433" i="6"/>
  <c r="BY433" i="6"/>
  <c r="CA398" i="6"/>
  <c r="BY398" i="6"/>
  <c r="CA362" i="6"/>
  <c r="BY362" i="6"/>
  <c r="CA326" i="6"/>
  <c r="BY326" i="6"/>
  <c r="CA291" i="6"/>
  <c r="BY291" i="6"/>
  <c r="CA255" i="6"/>
  <c r="BY255" i="6"/>
  <c r="CA219" i="6"/>
  <c r="BY219" i="6"/>
  <c r="CA184" i="6"/>
  <c r="BY184" i="6"/>
  <c r="CA148" i="6"/>
  <c r="BY148" i="6"/>
  <c r="CA112" i="6"/>
  <c r="BY112" i="6"/>
  <c r="CA77" i="6"/>
  <c r="BY77" i="6"/>
  <c r="CA41" i="6"/>
  <c r="BY41" i="6"/>
  <c r="CA5" i="6"/>
  <c r="BY5" i="6"/>
  <c r="BU534" i="6"/>
  <c r="BU498" i="6"/>
  <c r="BU462" i="6"/>
  <c r="BU427" i="6"/>
  <c r="BU391" i="6"/>
  <c r="BU355" i="6"/>
  <c r="BU320" i="6"/>
  <c r="BU284" i="6"/>
  <c r="BU248" i="6"/>
  <c r="BU213" i="6"/>
  <c r="BU177" i="6"/>
  <c r="BU141" i="6"/>
  <c r="BU106" i="6"/>
  <c r="BU70" i="6"/>
  <c r="BU34" i="6"/>
  <c r="BM534" i="6"/>
  <c r="BM498" i="6"/>
  <c r="BM462" i="6"/>
  <c r="BM427" i="6"/>
  <c r="BM391" i="6"/>
  <c r="BM355" i="6"/>
  <c r="BM320" i="6"/>
  <c r="BM284" i="6"/>
  <c r="BM248" i="6"/>
  <c r="BM213" i="6"/>
  <c r="BM177" i="6"/>
  <c r="BM141" i="6"/>
  <c r="BM106" i="6"/>
  <c r="BM70" i="6"/>
  <c r="BM34" i="6"/>
  <c r="BG505" i="6"/>
  <c r="BE505" i="6"/>
  <c r="BG469" i="6"/>
  <c r="BE469" i="6"/>
  <c r="BG433" i="6"/>
  <c r="BE433" i="6"/>
  <c r="BG398" i="6"/>
  <c r="BE398" i="6"/>
  <c r="BG362" i="6"/>
  <c r="BE362" i="6"/>
  <c r="BG326" i="6"/>
  <c r="BE326" i="6"/>
  <c r="BG291" i="6"/>
  <c r="BE291" i="6"/>
  <c r="BG255" i="6"/>
  <c r="BE255" i="6"/>
  <c r="BG219" i="6"/>
  <c r="BE219" i="6"/>
  <c r="BG184" i="6"/>
  <c r="BE184" i="6"/>
  <c r="BG148" i="6"/>
  <c r="BE148" i="6"/>
  <c r="BG112" i="6"/>
  <c r="BE112" i="6"/>
  <c r="BG77" i="6"/>
  <c r="BE77" i="6"/>
  <c r="BG41" i="6"/>
  <c r="BE41" i="6"/>
  <c r="BG5" i="6"/>
  <c r="BE5" i="6"/>
  <c r="BA534" i="6"/>
  <c r="BA498" i="6"/>
  <c r="BA462" i="6"/>
  <c r="BA427" i="6"/>
  <c r="BA391" i="6"/>
  <c r="BA355" i="6"/>
  <c r="BA320" i="6"/>
  <c r="BA284" i="6"/>
  <c r="BA248" i="6"/>
  <c r="BA213" i="6"/>
  <c r="BA177" i="6"/>
  <c r="BA141" i="6"/>
  <c r="BA106" i="6"/>
  <c r="BA70" i="6"/>
  <c r="BA34" i="6"/>
  <c r="AS534" i="6"/>
  <c r="AS498" i="6"/>
  <c r="AS462" i="6"/>
  <c r="AS427" i="6"/>
  <c r="AS391" i="6"/>
  <c r="AS355" i="6"/>
  <c r="AS320" i="6"/>
  <c r="AS284" i="6"/>
  <c r="AS248" i="6"/>
  <c r="AS213" i="6"/>
  <c r="AS177" i="6"/>
  <c r="AS141" i="6"/>
  <c r="AS106" i="6"/>
  <c r="AS70" i="6"/>
  <c r="AS34" i="6"/>
  <c r="AM505" i="6"/>
  <c r="AK505" i="6"/>
  <c r="AM469" i="6"/>
  <c r="AK469" i="6"/>
  <c r="AM433" i="6"/>
  <c r="AK433" i="6"/>
  <c r="AM398" i="6"/>
  <c r="AK398" i="6"/>
  <c r="AM362" i="6"/>
  <c r="AK362" i="6"/>
  <c r="AM326" i="6"/>
  <c r="AK326" i="6"/>
  <c r="AM291" i="6"/>
  <c r="AJ291" i="6"/>
  <c r="AK291" i="6" s="1"/>
  <c r="AM255" i="6"/>
  <c r="AK255" i="6"/>
  <c r="AM219" i="6"/>
  <c r="AK219" i="6"/>
  <c r="AM184" i="6"/>
  <c r="AK184" i="6"/>
  <c r="AM148" i="6"/>
  <c r="AK148" i="6"/>
  <c r="AM112" i="6"/>
  <c r="AK112" i="6"/>
  <c r="AM77" i="6"/>
  <c r="AK77" i="6"/>
  <c r="AM41" i="6"/>
  <c r="AK41" i="6"/>
  <c r="AM5" i="6"/>
  <c r="AK5" i="6"/>
  <c r="AG534" i="6"/>
  <c r="AG498" i="6"/>
  <c r="AG462" i="6"/>
  <c r="AG427" i="6"/>
  <c r="AG391" i="6"/>
  <c r="AG355" i="6"/>
  <c r="AG320" i="6"/>
  <c r="AG284" i="6"/>
  <c r="AG248" i="6"/>
  <c r="AG213" i="6"/>
  <c r="AG177" i="6"/>
  <c r="AG141" i="6"/>
  <c r="AG106" i="6"/>
  <c r="AG70" i="6"/>
  <c r="AG34" i="6"/>
  <c r="Y534" i="6"/>
  <c r="Y498" i="6"/>
  <c r="Y462" i="6"/>
  <c r="Y427" i="6"/>
  <c r="Y391" i="6"/>
  <c r="Y355" i="6"/>
  <c r="Y320" i="6"/>
  <c r="Y284" i="6"/>
  <c r="Y248" i="6"/>
  <c r="Y213" i="6"/>
  <c r="Y177" i="6"/>
  <c r="Y141" i="6"/>
  <c r="Y106" i="6"/>
  <c r="Y70" i="6"/>
  <c r="Y34" i="6"/>
  <c r="CA505" i="5"/>
  <c r="BY505" i="5"/>
  <c r="CA469" i="5"/>
  <c r="BY469" i="5"/>
  <c r="CA433" i="5"/>
  <c r="BY433" i="5"/>
  <c r="CA398" i="5"/>
  <c r="BY398" i="5"/>
  <c r="CA362" i="5"/>
  <c r="BY362" i="5"/>
  <c r="CA326" i="5"/>
  <c r="BY326" i="5"/>
  <c r="CA291" i="5"/>
  <c r="BY291" i="5"/>
  <c r="CA255" i="5"/>
  <c r="BY255" i="5"/>
  <c r="CA219" i="5"/>
  <c r="BY219" i="5"/>
  <c r="CA184" i="5"/>
  <c r="BY184" i="5"/>
  <c r="CA148" i="5"/>
  <c r="BY148" i="5"/>
  <c r="CA112" i="5"/>
  <c r="BY112" i="5"/>
  <c r="CA77" i="5"/>
  <c r="BY77" i="5"/>
  <c r="CA41" i="5"/>
  <c r="BY41" i="5"/>
  <c r="CA5" i="5"/>
  <c r="BY5" i="5"/>
  <c r="BU534" i="5"/>
  <c r="BU498" i="5"/>
  <c r="BU462" i="5"/>
  <c r="BU427" i="5"/>
  <c r="BU391" i="5"/>
  <c r="BU355" i="5"/>
  <c r="BU320" i="5"/>
  <c r="BU284" i="5"/>
  <c r="BU248" i="5"/>
  <c r="BU213" i="5"/>
  <c r="BU177" i="5"/>
  <c r="BU141" i="5"/>
  <c r="BU106" i="5"/>
  <c r="BU70" i="5"/>
  <c r="BU34" i="5"/>
  <c r="BM534" i="5"/>
  <c r="BM498" i="5"/>
  <c r="BM462" i="5"/>
  <c r="BM427" i="5"/>
  <c r="BM391" i="5"/>
  <c r="BM355" i="5"/>
  <c r="BM320" i="5"/>
  <c r="BM284" i="5"/>
  <c r="BM248" i="5"/>
  <c r="BM213" i="5"/>
  <c r="BM177" i="5"/>
  <c r="BM141" i="5"/>
  <c r="BM106" i="5"/>
  <c r="BM70" i="5"/>
  <c r="BM34" i="5"/>
  <c r="BG505" i="5"/>
  <c r="BE505" i="5"/>
  <c r="BG469" i="5"/>
  <c r="BE469" i="5"/>
  <c r="BG433" i="5"/>
  <c r="BE433" i="5"/>
  <c r="BG398" i="5"/>
  <c r="BE398" i="5"/>
  <c r="BG362" i="5"/>
  <c r="BE362" i="5"/>
  <c r="BG326" i="5"/>
  <c r="BE326" i="5"/>
  <c r="BG291" i="5"/>
  <c r="BE291" i="5"/>
  <c r="BG255" i="5"/>
  <c r="BE255" i="5"/>
  <c r="BG219" i="5"/>
  <c r="BE219" i="5"/>
  <c r="BG184" i="5"/>
  <c r="BE184" i="5"/>
  <c r="BG148" i="5"/>
  <c r="BE148" i="5"/>
  <c r="BG112" i="5"/>
  <c r="BE112" i="5"/>
  <c r="BG77" i="5"/>
  <c r="BE77" i="5"/>
  <c r="BG41" i="5"/>
  <c r="BE41" i="5"/>
  <c r="BG5" i="5"/>
  <c r="BE5" i="5"/>
  <c r="BA534" i="5"/>
  <c r="BA498" i="5"/>
  <c r="BA462" i="5"/>
  <c r="BA427" i="5"/>
  <c r="BA391" i="5"/>
  <c r="BA355" i="5"/>
  <c r="BA320" i="5"/>
  <c r="BA284" i="5"/>
  <c r="BA248" i="5"/>
  <c r="BA213" i="5"/>
  <c r="BA177" i="5"/>
  <c r="BA141" i="5"/>
  <c r="BA106" i="5"/>
  <c r="BA70" i="5"/>
  <c r="BA34" i="5"/>
  <c r="AS534" i="5"/>
  <c r="AS498" i="5"/>
  <c r="AS462" i="5"/>
  <c r="AS427" i="5"/>
  <c r="AS391" i="5"/>
  <c r="AS355" i="5"/>
  <c r="AS320" i="5"/>
  <c r="AS284" i="5"/>
  <c r="AS248" i="5"/>
  <c r="AS213" i="5"/>
  <c r="AS177" i="5"/>
  <c r="AS141" i="5"/>
  <c r="AS106" i="5"/>
  <c r="AS70" i="5"/>
  <c r="AS34" i="5"/>
  <c r="AM505" i="5"/>
  <c r="AK505" i="5"/>
  <c r="AM469" i="5"/>
  <c r="AK469" i="5"/>
  <c r="AM433" i="5"/>
  <c r="AK433" i="5"/>
  <c r="AM398" i="5"/>
  <c r="AK398" i="5"/>
  <c r="AM362" i="5"/>
  <c r="AK362" i="5"/>
  <c r="AM326" i="5"/>
  <c r="AK326" i="5"/>
  <c r="AM291" i="5"/>
  <c r="AK291" i="5"/>
  <c r="AM255" i="5"/>
  <c r="AK255" i="5"/>
  <c r="AM219" i="5"/>
  <c r="AK219" i="5"/>
  <c r="AM184" i="5"/>
  <c r="AK184" i="5"/>
  <c r="AM148" i="5"/>
  <c r="AK148" i="5"/>
  <c r="AM112" i="5"/>
  <c r="AK112" i="5"/>
  <c r="AM77" i="5"/>
  <c r="AK77" i="5"/>
  <c r="AM41" i="5"/>
  <c r="AK41" i="5"/>
  <c r="AM5" i="5"/>
  <c r="AK5" i="5"/>
  <c r="AG534" i="5"/>
  <c r="AG498" i="5"/>
  <c r="AG462" i="5"/>
  <c r="AG427" i="5"/>
  <c r="AG391" i="5"/>
  <c r="AG355" i="5"/>
  <c r="AG320" i="5"/>
  <c r="AG284" i="5"/>
  <c r="AG248" i="5"/>
  <c r="AG213" i="5"/>
  <c r="AG177" i="5"/>
  <c r="AG141" i="5"/>
  <c r="AG106" i="5"/>
  <c r="AG70" i="5"/>
  <c r="AG34" i="5"/>
  <c r="Y534" i="5"/>
  <c r="Y498" i="5"/>
  <c r="Y462" i="5"/>
  <c r="Y427" i="5"/>
  <c r="Y391" i="5"/>
  <c r="Y355" i="5"/>
  <c r="Y320" i="5"/>
  <c r="Y284" i="5"/>
  <c r="Y248" i="5"/>
  <c r="Y213" i="5"/>
  <c r="Y177" i="5"/>
  <c r="Y141" i="5"/>
  <c r="Y106" i="5"/>
  <c r="Y70" i="5"/>
  <c r="Y34" i="5"/>
  <c r="CA505" i="4"/>
  <c r="BY505" i="4"/>
  <c r="CA469" i="4"/>
  <c r="BY469" i="4"/>
  <c r="CA433" i="4"/>
  <c r="BY433" i="4"/>
  <c r="CA398" i="4"/>
  <c r="BY398" i="4"/>
  <c r="CA362" i="4"/>
  <c r="BY362" i="4"/>
  <c r="CA326" i="4"/>
  <c r="BY326" i="4"/>
  <c r="CA291" i="4"/>
  <c r="BY291" i="4"/>
  <c r="CA255" i="4"/>
  <c r="BY255" i="4"/>
  <c r="CA219" i="4"/>
  <c r="BY219" i="4"/>
  <c r="CA184" i="4"/>
  <c r="BY184" i="4"/>
  <c r="CA148" i="4"/>
  <c r="BY148" i="4"/>
  <c r="CA112" i="4"/>
  <c r="BY112" i="4"/>
  <c r="CA77" i="4"/>
  <c r="BY77" i="4"/>
  <c r="CA41" i="4"/>
  <c r="BY41" i="4"/>
  <c r="CA5" i="4"/>
  <c r="BY5" i="4"/>
  <c r="S41" i="4"/>
  <c r="Q41" i="4"/>
  <c r="BU534" i="4"/>
  <c r="BU498" i="4"/>
  <c r="BU462" i="4"/>
  <c r="BU427" i="4"/>
  <c r="BU391" i="4"/>
  <c r="BU355" i="4"/>
  <c r="BU320" i="4"/>
  <c r="BU284" i="4"/>
  <c r="BU248" i="4"/>
  <c r="BU213" i="4"/>
  <c r="BU177" i="4"/>
  <c r="BU141" i="4"/>
  <c r="BU106" i="4"/>
  <c r="BU70" i="4"/>
  <c r="BU34" i="4"/>
  <c r="BM534" i="4"/>
  <c r="BM498" i="4"/>
  <c r="BM462" i="4"/>
  <c r="BM427" i="4"/>
  <c r="BM391" i="4"/>
  <c r="BM355" i="4"/>
  <c r="BM320" i="4"/>
  <c r="BM284" i="4"/>
  <c r="BM248" i="4"/>
  <c r="BM213" i="4"/>
  <c r="BM177" i="4"/>
  <c r="BM141" i="4"/>
  <c r="BM106" i="4"/>
  <c r="BM70" i="4"/>
  <c r="BM34" i="4"/>
  <c r="BG505" i="4"/>
  <c r="BE505" i="4"/>
  <c r="BG469" i="4"/>
  <c r="BE469" i="4"/>
  <c r="BG433" i="4"/>
  <c r="BE433" i="4"/>
  <c r="BG398" i="4"/>
  <c r="BE398" i="4"/>
  <c r="BG362" i="4"/>
  <c r="BE362" i="4"/>
  <c r="BG326" i="4"/>
  <c r="BE326" i="4"/>
  <c r="BG291" i="4"/>
  <c r="BE291" i="4"/>
  <c r="BG255" i="4"/>
  <c r="BE255" i="4"/>
  <c r="BG219" i="4"/>
  <c r="BE219" i="4"/>
  <c r="BG184" i="4"/>
  <c r="BE184" i="4"/>
  <c r="BG148" i="4"/>
  <c r="BE148" i="4"/>
  <c r="BG112" i="4"/>
  <c r="BE112" i="4"/>
  <c r="BG77" i="4"/>
  <c r="BE77" i="4"/>
  <c r="BF41" i="4"/>
  <c r="BG41" i="4" s="1"/>
  <c r="BD41" i="4"/>
  <c r="BE41" i="4" s="1"/>
  <c r="BG5" i="4"/>
  <c r="BD5" i="4"/>
  <c r="BE5" i="4" s="1"/>
  <c r="AM505" i="4"/>
  <c r="AK505" i="4"/>
  <c r="AM469" i="4"/>
  <c r="AK469" i="4"/>
  <c r="AM433" i="4"/>
  <c r="AK433" i="4"/>
  <c r="AM398" i="4"/>
  <c r="AK398" i="4"/>
  <c r="AM362" i="4"/>
  <c r="AK362" i="4"/>
  <c r="AM326" i="4"/>
  <c r="AK326" i="4"/>
  <c r="AM291" i="4"/>
  <c r="AK291" i="4"/>
  <c r="AM255" i="4"/>
  <c r="AK255" i="4"/>
  <c r="AM219" i="4"/>
  <c r="AK219" i="4"/>
  <c r="AM184" i="4"/>
  <c r="AK184" i="4"/>
  <c r="AM148" i="4"/>
  <c r="AK148" i="4"/>
  <c r="AM112" i="4"/>
  <c r="AK112" i="4"/>
  <c r="AM77" i="4"/>
  <c r="AK77" i="4"/>
  <c r="AL41" i="4"/>
  <c r="AM41" i="4" s="1"/>
  <c r="AJ41" i="4"/>
  <c r="AK41" i="4" s="1"/>
  <c r="AM5" i="4"/>
  <c r="AJ5" i="4"/>
  <c r="AK5" i="4" s="1"/>
  <c r="BA534" i="4"/>
  <c r="BA498" i="4"/>
  <c r="BA462" i="4"/>
  <c r="BA427" i="4"/>
  <c r="BA391" i="4"/>
  <c r="BA355" i="4"/>
  <c r="BA320" i="4"/>
  <c r="BA284" i="4"/>
  <c r="BA248" i="4"/>
  <c r="BA213" i="4"/>
  <c r="BA177" i="4"/>
  <c r="BA141" i="4"/>
  <c r="BA106" i="4"/>
  <c r="BA70" i="4"/>
  <c r="BA34" i="4"/>
  <c r="AS534" i="4"/>
  <c r="AS498" i="4"/>
  <c r="AS462" i="4"/>
  <c r="AS427" i="4"/>
  <c r="AS391" i="4"/>
  <c r="AS355" i="4"/>
  <c r="AS320" i="4"/>
  <c r="AS284" i="4"/>
  <c r="AS248" i="4"/>
  <c r="AS213" i="4"/>
  <c r="AS177" i="4"/>
  <c r="AS141" i="4"/>
  <c r="AS106" i="4"/>
  <c r="AS70" i="4"/>
  <c r="AS34" i="4"/>
  <c r="AG534" i="4"/>
  <c r="AG498" i="4"/>
  <c r="AG462" i="4"/>
  <c r="AG427" i="4"/>
  <c r="AG391" i="4"/>
  <c r="AG355" i="4"/>
  <c r="AG320" i="4"/>
  <c r="AG284" i="4"/>
  <c r="AG248" i="4"/>
  <c r="AG213" i="4"/>
  <c r="AG177" i="4"/>
  <c r="AG141" i="4"/>
  <c r="AG106" i="4"/>
  <c r="AG70" i="4"/>
  <c r="AG34" i="4"/>
  <c r="Y534" i="4"/>
  <c r="Y498" i="4"/>
  <c r="Y462" i="4"/>
  <c r="Y427" i="4"/>
  <c r="Y391" i="4"/>
  <c r="Y355" i="4"/>
  <c r="Y320" i="4"/>
  <c r="Y284" i="4"/>
  <c r="Y248" i="4"/>
  <c r="Y213" i="4"/>
  <c r="Y177" i="4"/>
  <c r="Y141" i="4"/>
  <c r="Y106" i="4"/>
  <c r="Y70" i="4"/>
  <c r="Y34" i="4"/>
  <c r="BR5" i="1"/>
  <c r="BS5" i="1" s="1"/>
  <c r="BP5" i="1"/>
  <c r="BQ5" i="1" s="1"/>
  <c r="BR41" i="1"/>
  <c r="BP41" i="1"/>
  <c r="BQ41" i="1" s="1"/>
  <c r="BR77" i="1"/>
  <c r="BS77" i="1" s="1"/>
  <c r="BP77" i="1"/>
  <c r="BQ77" i="1" s="1"/>
  <c r="BR112" i="1"/>
  <c r="BS112" i="1" s="1"/>
  <c r="BP112" i="1"/>
  <c r="BQ112" i="1" s="1"/>
  <c r="BR148" i="1"/>
  <c r="BS148" i="1" s="1"/>
  <c r="BP148" i="1"/>
  <c r="BR184" i="1"/>
  <c r="BP184" i="1"/>
  <c r="BR219" i="1"/>
  <c r="BP219" i="1"/>
  <c r="BQ219" i="1" s="1"/>
  <c r="BR255" i="1"/>
  <c r="BP255" i="1"/>
  <c r="BQ255" i="1" s="1"/>
  <c r="BR291" i="1"/>
  <c r="BP291" i="1"/>
  <c r="BR326" i="1"/>
  <c r="BP326" i="1"/>
  <c r="BQ326" i="1" s="1"/>
  <c r="BR362" i="1"/>
  <c r="BS362" i="1" s="1"/>
  <c r="BP362" i="1"/>
  <c r="BQ362" i="1" s="1"/>
  <c r="BR398" i="1"/>
  <c r="BS398" i="1" s="1"/>
  <c r="BP398" i="1"/>
  <c r="BR433" i="1"/>
  <c r="BP433" i="1"/>
  <c r="BR469" i="1"/>
  <c r="BP469" i="1"/>
  <c r="BQ469" i="1" s="1"/>
  <c r="BR505" i="1"/>
  <c r="BS505" i="1" s="1"/>
  <c r="BP505" i="1"/>
  <c r="BQ505" i="1" s="1"/>
  <c r="AZ505" i="1"/>
  <c r="BA505" i="1" s="1"/>
  <c r="AX505" i="1"/>
  <c r="AY505" i="1" s="1"/>
  <c r="AZ469" i="1"/>
  <c r="AX469" i="1"/>
  <c r="AY469" i="1" s="1"/>
  <c r="AZ433" i="1"/>
  <c r="AX433" i="1"/>
  <c r="AY433" i="1" s="1"/>
  <c r="AZ398" i="1"/>
  <c r="AX398" i="1"/>
  <c r="AZ362" i="1"/>
  <c r="BA362" i="1" s="1"/>
  <c r="AX362" i="1"/>
  <c r="AY362" i="1" s="1"/>
  <c r="AZ326" i="1"/>
  <c r="AX326" i="1"/>
  <c r="AZ291" i="1"/>
  <c r="AX291" i="1"/>
  <c r="AZ255" i="1"/>
  <c r="BA255" i="1" s="1"/>
  <c r="AX255" i="1"/>
  <c r="AY255" i="1" s="1"/>
  <c r="AZ219" i="1"/>
  <c r="BA219" i="1" s="1"/>
  <c r="AX219" i="1"/>
  <c r="AY219" i="1" s="1"/>
  <c r="AZ184" i="1"/>
  <c r="AX184" i="1"/>
  <c r="AY184" i="1" s="1"/>
  <c r="AZ148" i="1"/>
  <c r="AX148" i="1"/>
  <c r="AZ112" i="1"/>
  <c r="AX112" i="1"/>
  <c r="AZ77" i="1"/>
  <c r="BA77" i="1" s="1"/>
  <c r="AX77" i="1"/>
  <c r="AY77" i="1" s="1"/>
  <c r="AZ41" i="1"/>
  <c r="AX41" i="1"/>
  <c r="AY41" i="1" s="1"/>
  <c r="AZ5" i="1"/>
  <c r="BA5" i="1" s="1"/>
  <c r="AX5" i="1"/>
  <c r="S505" i="6"/>
  <c r="Q505" i="6"/>
  <c r="S469" i="6"/>
  <c r="Q469" i="6"/>
  <c r="S433" i="6"/>
  <c r="Q433" i="6"/>
  <c r="S398" i="6"/>
  <c r="Q398" i="6"/>
  <c r="S362" i="6"/>
  <c r="Q362" i="6"/>
  <c r="S326" i="6"/>
  <c r="Q326" i="6"/>
  <c r="S291" i="6"/>
  <c r="Q291" i="6"/>
  <c r="S255" i="6"/>
  <c r="Q255" i="6"/>
  <c r="S219" i="6"/>
  <c r="Q219" i="6"/>
  <c r="S184" i="6"/>
  <c r="Q184" i="6"/>
  <c r="S148" i="6"/>
  <c r="Q148" i="6"/>
  <c r="S112" i="6"/>
  <c r="Q112" i="6"/>
  <c r="S77" i="6"/>
  <c r="Q77" i="6"/>
  <c r="S41" i="6"/>
  <c r="Q41" i="6"/>
  <c r="S5" i="6"/>
  <c r="Q5" i="6"/>
  <c r="M534" i="6"/>
  <c r="M498" i="6"/>
  <c r="M462" i="6"/>
  <c r="M427" i="6"/>
  <c r="M391" i="6"/>
  <c r="M355" i="6"/>
  <c r="M320" i="6"/>
  <c r="M284" i="6"/>
  <c r="M248" i="6"/>
  <c r="M213" i="6"/>
  <c r="M177" i="6"/>
  <c r="M141" i="6"/>
  <c r="M106" i="6"/>
  <c r="M70" i="6"/>
  <c r="M34" i="6"/>
  <c r="E534" i="6"/>
  <c r="E498" i="6"/>
  <c r="E462" i="6"/>
  <c r="E427" i="6"/>
  <c r="E391" i="6"/>
  <c r="E355" i="6"/>
  <c r="E320" i="6"/>
  <c r="E284" i="6"/>
  <c r="E248" i="6"/>
  <c r="E213" i="6"/>
  <c r="E177" i="6"/>
  <c r="E141" i="6"/>
  <c r="E106" i="6"/>
  <c r="E70" i="6"/>
  <c r="E34" i="6"/>
  <c r="S505" i="5"/>
  <c r="Q505" i="5"/>
  <c r="S469" i="5"/>
  <c r="Q469" i="5"/>
  <c r="S433" i="5"/>
  <c r="Q433" i="5"/>
  <c r="S398" i="5"/>
  <c r="Q398" i="5"/>
  <c r="S362" i="5"/>
  <c r="Q362" i="5"/>
  <c r="S326" i="5"/>
  <c r="Q326" i="5"/>
  <c r="S291" i="5"/>
  <c r="Q291" i="5"/>
  <c r="S255" i="5"/>
  <c r="Q255" i="5"/>
  <c r="S219" i="5"/>
  <c r="Q219" i="5"/>
  <c r="S184" i="5"/>
  <c r="Q184" i="5"/>
  <c r="S148" i="5"/>
  <c r="Q148" i="5"/>
  <c r="S112" i="5"/>
  <c r="Q112" i="5"/>
  <c r="S77" i="5"/>
  <c r="Q77" i="5"/>
  <c r="S41" i="5"/>
  <c r="Q41" i="5"/>
  <c r="S5" i="5"/>
  <c r="Q5" i="5"/>
  <c r="M534" i="5"/>
  <c r="M498" i="5"/>
  <c r="M462" i="5"/>
  <c r="M427" i="5"/>
  <c r="M391" i="5"/>
  <c r="M355" i="5"/>
  <c r="M320" i="5"/>
  <c r="M284" i="5"/>
  <c r="M248" i="5"/>
  <c r="M213" i="5"/>
  <c r="M177" i="5"/>
  <c r="M141" i="5"/>
  <c r="M106" i="5"/>
  <c r="M70" i="5"/>
  <c r="M34" i="5"/>
  <c r="E534" i="5"/>
  <c r="E498" i="5"/>
  <c r="E462" i="5"/>
  <c r="E427" i="5"/>
  <c r="E391" i="5"/>
  <c r="E355" i="5"/>
  <c r="E320" i="5"/>
  <c r="E284" i="5"/>
  <c r="E248" i="5"/>
  <c r="E213" i="5"/>
  <c r="E177" i="5"/>
  <c r="E141" i="5"/>
  <c r="E106" i="5"/>
  <c r="E70" i="5"/>
  <c r="E34" i="5"/>
  <c r="S505" i="4"/>
  <c r="Q505" i="4"/>
  <c r="S469" i="4"/>
  <c r="Q469" i="4"/>
  <c r="S433" i="4"/>
  <c r="Q433" i="4"/>
  <c r="S398" i="4"/>
  <c r="Q398" i="4"/>
  <c r="S362" i="4"/>
  <c r="Q362" i="4"/>
  <c r="S326" i="4"/>
  <c r="Q326" i="4"/>
  <c r="S291" i="4"/>
  <c r="Q291" i="4"/>
  <c r="S255" i="4"/>
  <c r="Q255" i="4"/>
  <c r="S219" i="4"/>
  <c r="Q219" i="4"/>
  <c r="S184" i="4"/>
  <c r="Q184" i="4"/>
  <c r="S148" i="4"/>
  <c r="Q148" i="4"/>
  <c r="S112" i="4"/>
  <c r="Q112" i="4"/>
  <c r="S77" i="4"/>
  <c r="Q77" i="4"/>
  <c r="S5" i="4"/>
  <c r="Q5" i="4"/>
  <c r="M534" i="4"/>
  <c r="M498" i="4"/>
  <c r="M462" i="4"/>
  <c r="M427" i="4"/>
  <c r="M391" i="4"/>
  <c r="M355" i="4"/>
  <c r="M320" i="4"/>
  <c r="M284" i="4"/>
  <c r="M248" i="4"/>
  <c r="M213" i="4"/>
  <c r="M177" i="4"/>
  <c r="M141" i="4"/>
  <c r="M106" i="4"/>
  <c r="M70" i="4"/>
  <c r="M34" i="4"/>
  <c r="E534" i="4"/>
  <c r="E498" i="4"/>
  <c r="E462" i="4"/>
  <c r="E427" i="4"/>
  <c r="E391" i="4"/>
  <c r="E355" i="4"/>
  <c r="E320" i="4"/>
  <c r="E284" i="4"/>
  <c r="E248" i="4"/>
  <c r="E213" i="4"/>
  <c r="E177" i="4"/>
  <c r="E141" i="4"/>
  <c r="E106" i="4"/>
  <c r="E70" i="4"/>
  <c r="E34" i="4"/>
  <c r="AH5" i="1"/>
  <c r="AI5" i="1" s="1"/>
  <c r="AF5" i="1"/>
  <c r="AH41" i="1"/>
  <c r="AF41" i="1"/>
  <c r="AH77" i="1"/>
  <c r="AI77" i="1" s="1"/>
  <c r="AF77" i="1"/>
  <c r="AG77" i="1" s="1"/>
  <c r="AH112" i="1"/>
  <c r="AI112" i="1" s="1"/>
  <c r="AF112" i="1"/>
  <c r="AH148" i="1"/>
  <c r="AF148" i="1"/>
  <c r="AH184" i="1"/>
  <c r="AF184" i="1"/>
  <c r="AG184" i="1" s="1"/>
  <c r="AH219" i="1"/>
  <c r="AF219" i="1"/>
  <c r="AG219" i="1" s="1"/>
  <c r="AH255" i="1"/>
  <c r="AI255" i="1" s="1"/>
  <c r="AF255" i="1"/>
  <c r="AG255" i="1" s="1"/>
  <c r="AH291" i="1"/>
  <c r="AF291" i="1"/>
  <c r="AH326" i="1"/>
  <c r="AI326" i="1" s="1"/>
  <c r="AF326" i="1"/>
  <c r="AH362" i="1"/>
  <c r="AI362" i="1" s="1"/>
  <c r="AF362" i="1"/>
  <c r="AH398" i="1"/>
  <c r="AI398" i="1" s="1"/>
  <c r="AF398" i="1"/>
  <c r="AG398" i="1" s="1"/>
  <c r="AH433" i="1"/>
  <c r="AI433" i="1" s="1"/>
  <c r="AF433" i="1"/>
  <c r="AG433" i="1" s="1"/>
  <c r="AH469" i="1"/>
  <c r="AF469" i="1"/>
  <c r="AH505" i="1"/>
  <c r="AF505" i="1"/>
  <c r="P505" i="1"/>
  <c r="Q505" i="1" s="1"/>
  <c r="N505" i="1"/>
  <c r="P469" i="1"/>
  <c r="N469" i="1"/>
  <c r="O469" i="1" s="1"/>
  <c r="P433" i="1"/>
  <c r="Q433" i="1" s="1"/>
  <c r="N433" i="1"/>
  <c r="O433" i="1" s="1"/>
  <c r="P398" i="1"/>
  <c r="N398" i="1"/>
  <c r="O398" i="1" s="1"/>
  <c r="P362" i="1"/>
  <c r="Q362" i="1" s="1"/>
  <c r="N362" i="1"/>
  <c r="P326" i="1"/>
  <c r="N326" i="1"/>
  <c r="P291" i="1"/>
  <c r="N291" i="1"/>
  <c r="P255" i="1"/>
  <c r="N255" i="1"/>
  <c r="O255" i="1" s="1"/>
  <c r="P219" i="1"/>
  <c r="N219" i="1"/>
  <c r="P184" i="1"/>
  <c r="N184" i="1"/>
  <c r="P148" i="1"/>
  <c r="Q148" i="1" s="1"/>
  <c r="N148" i="1"/>
  <c r="O148" i="1" s="1"/>
  <c r="P112" i="1"/>
  <c r="N112" i="1"/>
  <c r="O112" i="1" s="1"/>
  <c r="P77" i="1"/>
  <c r="Q77" i="1" s="1"/>
  <c r="N77" i="1"/>
  <c r="O77" i="1" s="1"/>
  <c r="P41" i="1"/>
  <c r="Q41" i="1" s="1"/>
  <c r="N41" i="1"/>
  <c r="P5" i="1"/>
  <c r="Q5" i="1" s="1"/>
  <c r="N5" i="1"/>
  <c r="BS469" i="1"/>
  <c r="BA469" i="1"/>
  <c r="BS433" i="1"/>
  <c r="BQ433" i="1"/>
  <c r="BA433" i="1"/>
  <c r="BQ398" i="1"/>
  <c r="BA398" i="1"/>
  <c r="AY398" i="1"/>
  <c r="BS326" i="1"/>
  <c r="BA326" i="1"/>
  <c r="AY326" i="1"/>
  <c r="BS291" i="1"/>
  <c r="BQ291" i="1"/>
  <c r="BA291" i="1"/>
  <c r="AY291" i="1"/>
  <c r="BS255" i="1"/>
  <c r="BS219" i="1"/>
  <c r="BS184" i="1"/>
  <c r="BQ184" i="1"/>
  <c r="BA184" i="1"/>
  <c r="BQ148" i="1"/>
  <c r="BA148" i="1"/>
  <c r="AY148" i="1"/>
  <c r="BA112" i="1"/>
  <c r="AY112" i="1"/>
  <c r="BS41" i="1"/>
  <c r="BA41" i="1"/>
  <c r="AY5" i="1"/>
  <c r="AI505" i="1"/>
  <c r="AG505" i="1"/>
  <c r="AI469" i="1"/>
  <c r="AG469" i="1"/>
  <c r="AG362" i="1"/>
  <c r="AG326" i="1"/>
  <c r="AI291" i="1"/>
  <c r="AG291" i="1"/>
  <c r="AI219" i="1"/>
  <c r="AI184" i="1"/>
  <c r="AI148" i="1"/>
  <c r="AG148" i="1"/>
  <c r="AG112" i="1"/>
  <c r="AG5" i="1"/>
  <c r="AI41" i="1"/>
  <c r="AG41" i="1"/>
  <c r="O505" i="1"/>
  <c r="Q469" i="1"/>
  <c r="Q398" i="1"/>
  <c r="O362" i="1"/>
  <c r="Q326" i="1"/>
  <c r="O326" i="1"/>
  <c r="Q291" i="1"/>
  <c r="O291" i="1"/>
  <c r="Q255" i="1"/>
  <c r="Q219" i="1"/>
  <c r="O219" i="1"/>
  <c r="Q184" i="1"/>
  <c r="O184" i="1"/>
  <c r="Q112" i="1"/>
  <c r="O41" i="1"/>
  <c r="BR5" i="2"/>
  <c r="BS5" i="2" s="1"/>
  <c r="BP5" i="2"/>
  <c r="BQ5" i="2" s="1"/>
  <c r="BR41" i="2"/>
  <c r="BP41" i="2"/>
  <c r="BR77" i="2"/>
  <c r="BS77" i="2" s="1"/>
  <c r="BP77" i="2"/>
  <c r="BR112" i="2"/>
  <c r="BS112" i="2" s="1"/>
  <c r="BP112" i="2"/>
  <c r="BQ112" i="2" s="1"/>
  <c r="BR148" i="2"/>
  <c r="BS148" i="2" s="1"/>
  <c r="BP148" i="2"/>
  <c r="BQ148" i="2" s="1"/>
  <c r="BR184" i="2"/>
  <c r="BS184" i="2" s="1"/>
  <c r="BP184" i="2"/>
  <c r="BR219" i="2"/>
  <c r="BP219" i="2"/>
  <c r="BR255" i="2"/>
  <c r="P92" i="7" s="1"/>
  <c r="BP255" i="2"/>
  <c r="BR291" i="2"/>
  <c r="BP291" i="2"/>
  <c r="BR326" i="2"/>
  <c r="P101" i="7" s="1"/>
  <c r="BP326" i="2"/>
  <c r="N101" i="7" s="1"/>
  <c r="BR362" i="2"/>
  <c r="P104" i="7" s="1"/>
  <c r="BP362" i="2"/>
  <c r="N104" i="7" s="1"/>
  <c r="BR398" i="2"/>
  <c r="P107" i="7" s="1"/>
  <c r="BP398" i="2"/>
  <c r="N107" i="7" s="1"/>
  <c r="BR433" i="2"/>
  <c r="P113" i="7" s="1"/>
  <c r="BP433" i="2"/>
  <c r="BR469" i="2"/>
  <c r="BP469" i="2"/>
  <c r="BR505" i="2"/>
  <c r="BP505" i="2"/>
  <c r="AZ505" i="2"/>
  <c r="L119" i="7" s="1"/>
  <c r="AX505" i="2"/>
  <c r="J119" i="7" s="1"/>
  <c r="AZ469" i="2"/>
  <c r="L116" i="7" s="1"/>
  <c r="AX469" i="2"/>
  <c r="AZ433" i="2"/>
  <c r="AX433" i="2"/>
  <c r="AZ398" i="2"/>
  <c r="AX398" i="2"/>
  <c r="AZ362" i="2"/>
  <c r="L104" i="7" s="1"/>
  <c r="AX362" i="2"/>
  <c r="AZ326" i="2"/>
  <c r="AX326" i="2"/>
  <c r="J101" i="7" s="1"/>
  <c r="AZ291" i="2"/>
  <c r="AX291" i="2"/>
  <c r="AZ255" i="2"/>
  <c r="L92" i="7" s="1"/>
  <c r="AX255" i="2"/>
  <c r="J92" i="7" s="1"/>
  <c r="AZ219" i="2"/>
  <c r="AX219" i="2"/>
  <c r="J89" i="7" s="1"/>
  <c r="AZ184" i="2"/>
  <c r="AX184" i="2"/>
  <c r="AY184" i="2" s="1"/>
  <c r="AZ148" i="2"/>
  <c r="AX148" i="2"/>
  <c r="AZ112" i="2"/>
  <c r="BA112" i="2" s="1"/>
  <c r="AX112" i="2"/>
  <c r="AY112" i="2" s="1"/>
  <c r="AZ77" i="2"/>
  <c r="BA77" i="2" s="1"/>
  <c r="AX77" i="2"/>
  <c r="AY77" i="2" s="1"/>
  <c r="AZ41" i="2"/>
  <c r="BA41" i="2" s="1"/>
  <c r="AX41" i="2"/>
  <c r="AY41" i="2" s="1"/>
  <c r="AZ5" i="2"/>
  <c r="BA5" i="2" s="1"/>
  <c r="AX5" i="2"/>
  <c r="AY5" i="2" s="1"/>
  <c r="AH505" i="2"/>
  <c r="AI505" i="2" s="1"/>
  <c r="AF505" i="2"/>
  <c r="AG505" i="2" s="1"/>
  <c r="AH469" i="2"/>
  <c r="AF469" i="2"/>
  <c r="AG469" i="2" s="1"/>
  <c r="AH433" i="2"/>
  <c r="AI433" i="2" s="1"/>
  <c r="AF433" i="2"/>
  <c r="AG433" i="2" s="1"/>
  <c r="AH398" i="2"/>
  <c r="AI398" i="2" s="1"/>
  <c r="AF398" i="2"/>
  <c r="AG398" i="2" s="1"/>
  <c r="AH362" i="2"/>
  <c r="AI362" i="2" s="1"/>
  <c r="AF362" i="2"/>
  <c r="AG362" i="2" s="1"/>
  <c r="AH326" i="2"/>
  <c r="AI326" i="2" s="1"/>
  <c r="AF326" i="2"/>
  <c r="AH291" i="2"/>
  <c r="P35" i="7" s="1"/>
  <c r="AF291" i="2"/>
  <c r="AH255" i="2"/>
  <c r="AF255" i="2"/>
  <c r="AH219" i="2"/>
  <c r="AF219" i="2"/>
  <c r="AH184" i="2"/>
  <c r="AF184" i="2"/>
  <c r="AH148" i="2"/>
  <c r="AF148" i="2"/>
  <c r="AH112" i="2"/>
  <c r="AF112" i="2"/>
  <c r="AH77" i="2"/>
  <c r="AF77" i="2"/>
  <c r="AH41" i="2"/>
  <c r="P8" i="7" s="1"/>
  <c r="AF41" i="2"/>
  <c r="N8" i="7" s="1"/>
  <c r="AH5" i="2"/>
  <c r="AF5" i="2"/>
  <c r="N5" i="7" s="1"/>
  <c r="P505" i="2"/>
  <c r="Q505" i="2" s="1"/>
  <c r="N505" i="2"/>
  <c r="O505" i="2" s="1"/>
  <c r="P469" i="2"/>
  <c r="Q469" i="2" s="1"/>
  <c r="N469" i="2"/>
  <c r="O469" i="2" s="1"/>
  <c r="P433" i="2"/>
  <c r="Q433" i="2" s="1"/>
  <c r="N433" i="2"/>
  <c r="P398" i="2"/>
  <c r="Q398" i="2" s="1"/>
  <c r="N398" i="2"/>
  <c r="O398" i="2" s="1"/>
  <c r="P362" i="2"/>
  <c r="Q362" i="2" s="1"/>
  <c r="N362" i="2"/>
  <c r="O362" i="2" s="1"/>
  <c r="P326" i="2"/>
  <c r="Q326" i="2" s="1"/>
  <c r="N326" i="2"/>
  <c r="O326" i="2" s="1"/>
  <c r="P291" i="2"/>
  <c r="N291" i="2"/>
  <c r="J35" i="7" s="1"/>
  <c r="P255" i="2"/>
  <c r="N255" i="2"/>
  <c r="P219" i="2"/>
  <c r="N219" i="2"/>
  <c r="P184" i="2"/>
  <c r="L23" i="7" s="1"/>
  <c r="N184" i="2"/>
  <c r="P148" i="2"/>
  <c r="N148" i="2"/>
  <c r="P112" i="2"/>
  <c r="N112" i="2"/>
  <c r="P77" i="2"/>
  <c r="N77" i="2"/>
  <c r="P41" i="2"/>
  <c r="N41" i="2"/>
  <c r="P5" i="2"/>
  <c r="N5" i="2"/>
  <c r="BA505" i="2"/>
  <c r="M119" i="7" s="1"/>
  <c r="AY505" i="2"/>
  <c r="K119" i="7" s="1"/>
  <c r="BA469" i="2"/>
  <c r="M116" i="7" s="1"/>
  <c r="BS433" i="2"/>
  <c r="Q113" i="7" s="1"/>
  <c r="BS398" i="2"/>
  <c r="Q107" i="7" s="1"/>
  <c r="BQ398" i="2"/>
  <c r="O107" i="7" s="1"/>
  <c r="BS362" i="2"/>
  <c r="Q104" i="7" s="1"/>
  <c r="BQ362" i="2"/>
  <c r="O104" i="7" s="1"/>
  <c r="BS326" i="2"/>
  <c r="Q101" i="7" s="1"/>
  <c r="BQ326" i="2"/>
  <c r="O101" i="7" s="1"/>
  <c r="BS255" i="2"/>
  <c r="Q92" i="7" s="1"/>
  <c r="BA255" i="2"/>
  <c r="M92" i="7" s="1"/>
  <c r="AY219" i="2"/>
  <c r="K89" i="7" s="1"/>
  <c r="BQ184" i="2"/>
  <c r="BA184" i="2"/>
  <c r="BA148" i="2"/>
  <c r="AY148" i="2"/>
  <c r="BQ77" i="2"/>
  <c r="BS41" i="2"/>
  <c r="BQ41" i="2"/>
  <c r="AG41" i="2"/>
  <c r="O8" i="7" s="1"/>
  <c r="AG326" i="2"/>
  <c r="AI469" i="2"/>
  <c r="O433" i="2"/>
  <c r="O291" i="2"/>
  <c r="K35" i="7" s="1"/>
  <c r="BR504" i="3"/>
  <c r="BP504" i="3"/>
  <c r="BR468" i="3"/>
  <c r="BP468" i="3"/>
  <c r="W116" i="7" s="1"/>
  <c r="BR432" i="3"/>
  <c r="BP432" i="3"/>
  <c r="BR397" i="3"/>
  <c r="BS397" i="3" s="1"/>
  <c r="BP397" i="3"/>
  <c r="BQ397" i="3" s="1"/>
  <c r="BR361" i="3"/>
  <c r="BS361" i="3" s="1"/>
  <c r="BP361" i="3"/>
  <c r="BR325" i="3"/>
  <c r="BS325" i="3" s="1"/>
  <c r="BP325" i="3"/>
  <c r="BQ325" i="3" s="1"/>
  <c r="BR290" i="3"/>
  <c r="BS290" i="3" s="1"/>
  <c r="BP290" i="3"/>
  <c r="BQ290" i="3" s="1"/>
  <c r="BR254" i="3"/>
  <c r="BS254" i="3" s="1"/>
  <c r="BP254" i="3"/>
  <c r="O5" i="1"/>
  <c r="BR218" i="3"/>
  <c r="BS218" i="3" s="1"/>
  <c r="BP218" i="3"/>
  <c r="BR183" i="3"/>
  <c r="BS183" i="3" s="1"/>
  <c r="BP183" i="3"/>
  <c r="BQ183" i="3" s="1"/>
  <c r="BR147" i="3"/>
  <c r="BS147" i="3" s="1"/>
  <c r="BP147" i="3"/>
  <c r="BR111" i="3"/>
  <c r="BS111" i="3" s="1"/>
  <c r="BP111" i="3"/>
  <c r="BQ111" i="3" s="1"/>
  <c r="BR76" i="3"/>
  <c r="BS76" i="3" s="1"/>
  <c r="BP76" i="3"/>
  <c r="BQ76" i="3" s="1"/>
  <c r="BR40" i="3"/>
  <c r="BS40" i="3" s="1"/>
  <c r="BP40" i="3"/>
  <c r="W68" i="7" s="1"/>
  <c r="BR4" i="3"/>
  <c r="BS4" i="3" s="1"/>
  <c r="BP4" i="3"/>
  <c r="BQ4" i="3" s="1"/>
  <c r="BQ218" i="3"/>
  <c r="AZ504" i="3"/>
  <c r="AX504" i="3"/>
  <c r="AZ468" i="3"/>
  <c r="AX468" i="3"/>
  <c r="AZ432" i="3"/>
  <c r="AX432" i="3"/>
  <c r="AZ397" i="3"/>
  <c r="BA397" i="3" s="1"/>
  <c r="AX397" i="3"/>
  <c r="AY397" i="3" s="1"/>
  <c r="AZ361" i="3"/>
  <c r="BA361" i="3" s="1"/>
  <c r="AX361" i="3"/>
  <c r="AY361" i="3" s="1"/>
  <c r="AZ325" i="3"/>
  <c r="BA325" i="3" s="1"/>
  <c r="AX325" i="3"/>
  <c r="AY325" i="3" s="1"/>
  <c r="AZ290" i="3"/>
  <c r="BA290" i="3" s="1"/>
  <c r="AX290" i="3"/>
  <c r="AY290" i="3" s="1"/>
  <c r="AZ254" i="3"/>
  <c r="BA254" i="3" s="1"/>
  <c r="AX254" i="3"/>
  <c r="AY254" i="3" s="1"/>
  <c r="BA218" i="3"/>
  <c r="AZ218" i="3"/>
  <c r="AY218" i="3"/>
  <c r="AX218" i="3"/>
  <c r="BQ147" i="3" l="1"/>
  <c r="X80" i="7" s="1"/>
  <c r="W80" i="7"/>
  <c r="BQ361" i="3"/>
  <c r="X104" i="7" s="1"/>
  <c r="W104" i="7"/>
  <c r="BQ40" i="3"/>
  <c r="X68" i="7" s="1"/>
  <c r="BQ254" i="3"/>
  <c r="X92" i="7" s="1"/>
  <c r="W92" i="7"/>
  <c r="W122" i="7"/>
  <c r="BQ433" i="2"/>
  <c r="O113" i="7" s="1"/>
  <c r="N113" i="7"/>
  <c r="BS469" i="2"/>
  <c r="Q116" i="7" s="1"/>
  <c r="P116" i="7"/>
  <c r="O5" i="2"/>
  <c r="K5" i="7" s="1"/>
  <c r="J5" i="7"/>
  <c r="BA326" i="2"/>
  <c r="M101" i="7" s="1"/>
  <c r="L101" i="7"/>
  <c r="AY362" i="2"/>
  <c r="K104" i="7" s="1"/>
  <c r="J104" i="7"/>
  <c r="Q291" i="2"/>
  <c r="M35" i="7" s="1"/>
  <c r="L35" i="7"/>
  <c r="Q41" i="2"/>
  <c r="M8" i="7" s="1"/>
  <c r="L8" i="7"/>
  <c r="AI77" i="2"/>
  <c r="Q11" i="7" s="1"/>
  <c r="P11" i="7"/>
  <c r="AY398" i="2"/>
  <c r="K107" i="7" s="1"/>
  <c r="J107" i="7"/>
  <c r="Q5" i="2"/>
  <c r="M5" i="7" s="1"/>
  <c r="L5" i="7"/>
  <c r="O77" i="2"/>
  <c r="K11" i="7" s="1"/>
  <c r="J11" i="7"/>
  <c r="AG112" i="2"/>
  <c r="O17" i="7" s="1"/>
  <c r="N17" i="7"/>
  <c r="BA398" i="2"/>
  <c r="M107" i="7" s="1"/>
  <c r="L107" i="7"/>
  <c r="Q184" i="2"/>
  <c r="M23" i="7" s="1"/>
  <c r="AG77" i="2"/>
  <c r="O11" i="7" s="1"/>
  <c r="N11" i="7"/>
  <c r="AY326" i="2"/>
  <c r="K101" i="7" s="1"/>
  <c r="Q77" i="2"/>
  <c r="M11" i="7" s="1"/>
  <c r="L11" i="7"/>
  <c r="AI112" i="2"/>
  <c r="Q17" i="7" s="1"/>
  <c r="P17" i="7"/>
  <c r="AY433" i="2"/>
  <c r="K113" i="7" s="1"/>
  <c r="J113" i="7"/>
  <c r="AI291" i="2"/>
  <c r="Q35" i="7" s="1"/>
  <c r="AI41" i="2"/>
  <c r="Q8" i="7" s="1"/>
  <c r="AG148" i="2"/>
  <c r="O20" i="7" s="1"/>
  <c r="N20" i="7"/>
  <c r="BA433" i="2"/>
  <c r="M113" i="7" s="1"/>
  <c r="L113" i="7"/>
  <c r="BA291" i="2"/>
  <c r="M95" i="7" s="1"/>
  <c r="L95" i="7"/>
  <c r="AG5" i="2"/>
  <c r="O5" i="7" s="1"/>
  <c r="BA362" i="2"/>
  <c r="M104" i="7" s="1"/>
  <c r="Q112" i="2"/>
  <c r="M17" i="7" s="1"/>
  <c r="L17" i="7"/>
  <c r="AI148" i="2"/>
  <c r="Q20" i="7" s="1"/>
  <c r="P20" i="7"/>
  <c r="AY469" i="2"/>
  <c r="K116" i="7" s="1"/>
  <c r="J116" i="7"/>
  <c r="BQ291" i="2"/>
  <c r="O95" i="7" s="1"/>
  <c r="N95" i="7"/>
  <c r="O255" i="2"/>
  <c r="K32" i="7" s="1"/>
  <c r="J32" i="7"/>
  <c r="AI5" i="2"/>
  <c r="Q5" i="7" s="1"/>
  <c r="P5" i="7"/>
  <c r="O41" i="2"/>
  <c r="K8" i="7" s="1"/>
  <c r="J8" i="7"/>
  <c r="O148" i="2"/>
  <c r="K20" i="7" s="1"/>
  <c r="J20" i="7"/>
  <c r="AG184" i="2"/>
  <c r="O23" i="7" s="1"/>
  <c r="N23" i="7"/>
  <c r="BS291" i="2"/>
  <c r="Q95" i="7" s="1"/>
  <c r="P95" i="7"/>
  <c r="AG291" i="2"/>
  <c r="O35" i="7" s="1"/>
  <c r="N35" i="7"/>
  <c r="Q255" i="2"/>
  <c r="M32" i="7" s="1"/>
  <c r="L32" i="7"/>
  <c r="Q148" i="2"/>
  <c r="M20" i="7" s="1"/>
  <c r="L20" i="7"/>
  <c r="AI184" i="2"/>
  <c r="Q23" i="7" s="1"/>
  <c r="P23" i="7"/>
  <c r="BA219" i="2"/>
  <c r="M89" i="7" s="1"/>
  <c r="L89" i="7"/>
  <c r="BQ255" i="2"/>
  <c r="O92" i="7" s="1"/>
  <c r="N92" i="7"/>
  <c r="O184" i="2"/>
  <c r="K23" i="7" s="1"/>
  <c r="J23" i="7"/>
  <c r="AG219" i="2"/>
  <c r="O29" i="7" s="1"/>
  <c r="N29" i="7"/>
  <c r="AY255" i="2"/>
  <c r="K92" i="7" s="1"/>
  <c r="BQ219" i="2"/>
  <c r="O89" i="7" s="1"/>
  <c r="N89" i="7"/>
  <c r="AI219" i="2"/>
  <c r="Q29" i="7" s="1"/>
  <c r="P29" i="7"/>
  <c r="BQ505" i="2"/>
  <c r="O119" i="7" s="1"/>
  <c r="N119" i="7"/>
  <c r="O219" i="2"/>
  <c r="K29" i="7" s="1"/>
  <c r="J29" i="7"/>
  <c r="AG255" i="2"/>
  <c r="O32" i="7" s="1"/>
  <c r="N32" i="7"/>
  <c r="BS505" i="2"/>
  <c r="Q119" i="7" s="1"/>
  <c r="P119" i="7"/>
  <c r="BS219" i="2"/>
  <c r="Q89" i="7" s="1"/>
  <c r="P89" i="7"/>
  <c r="Q219" i="2"/>
  <c r="M29" i="7" s="1"/>
  <c r="L29" i="7"/>
  <c r="AI255" i="2"/>
  <c r="Q32" i="7" s="1"/>
  <c r="P32" i="7"/>
  <c r="AY291" i="2"/>
  <c r="K95" i="7" s="1"/>
  <c r="J95" i="7"/>
  <c r="BQ469" i="2"/>
  <c r="O116" i="7" s="1"/>
  <c r="N116" i="7"/>
  <c r="O112" i="2"/>
  <c r="K17" i="7" s="1"/>
  <c r="J17" i="7"/>
  <c r="AY432" i="3"/>
  <c r="BA432" i="3"/>
  <c r="BQ432" i="3"/>
  <c r="AY468" i="3"/>
  <c r="BS432" i="3"/>
  <c r="BQ468" i="3"/>
  <c r="X116" i="7" s="1"/>
  <c r="BA468" i="3"/>
  <c r="AY504" i="3"/>
  <c r="BS468" i="3"/>
  <c r="BS504" i="3"/>
  <c r="BA504" i="3"/>
  <c r="BQ504" i="3"/>
  <c r="BA183" i="3"/>
  <c r="AZ183" i="3"/>
  <c r="AY183" i="3"/>
  <c r="AX183" i="3"/>
  <c r="BA147" i="3"/>
  <c r="AZ147" i="3"/>
  <c r="AY147" i="3"/>
  <c r="AX147" i="3"/>
  <c r="BA111" i="3"/>
  <c r="AZ111" i="3"/>
  <c r="AY111" i="3"/>
  <c r="AX111" i="3"/>
  <c r="BA76" i="3"/>
  <c r="AZ76" i="3"/>
  <c r="AY76" i="3"/>
  <c r="AX76" i="3"/>
  <c r="BA40" i="3"/>
  <c r="AZ40" i="3"/>
  <c r="AY40" i="3"/>
  <c r="AX40" i="3"/>
  <c r="BA4" i="3"/>
  <c r="AZ4" i="3"/>
  <c r="AY4" i="3"/>
  <c r="AX4" i="3"/>
  <c r="AI505" i="3"/>
  <c r="AH505" i="3"/>
  <c r="AG505" i="3"/>
  <c r="AF505" i="3"/>
  <c r="AI469" i="3"/>
  <c r="AH469" i="3"/>
  <c r="AG469" i="3"/>
  <c r="AF469" i="3"/>
  <c r="AI433" i="3"/>
  <c r="AG433" i="3"/>
  <c r="AH433" i="3"/>
  <c r="AF433" i="3"/>
  <c r="AI398" i="3"/>
  <c r="AH398" i="3"/>
  <c r="AG398" i="3"/>
  <c r="AF398" i="3"/>
  <c r="AI362" i="3"/>
  <c r="AH362" i="3"/>
  <c r="AG362" i="3"/>
  <c r="AF362" i="3"/>
  <c r="AI326" i="3"/>
  <c r="AH326" i="3"/>
  <c r="AG326" i="3"/>
  <c r="AF326" i="3"/>
  <c r="AI291" i="3"/>
  <c r="AH291" i="3"/>
  <c r="AG291" i="3"/>
  <c r="AF291" i="3"/>
  <c r="AI255" i="3"/>
  <c r="AH255" i="3"/>
  <c r="AG255" i="3"/>
  <c r="AF255" i="3"/>
  <c r="AI219" i="3"/>
  <c r="AH219" i="3"/>
  <c r="AG219" i="3"/>
  <c r="AF219" i="3"/>
  <c r="AI183" i="3"/>
  <c r="AH183" i="3"/>
  <c r="AG183" i="3"/>
  <c r="AF183" i="3"/>
  <c r="AI147" i="3"/>
  <c r="AH147" i="3"/>
  <c r="AG147" i="3"/>
  <c r="AF147" i="3"/>
  <c r="AI111" i="3"/>
  <c r="AH111" i="3"/>
  <c r="AG111" i="3"/>
  <c r="AF111" i="3"/>
  <c r="AI76" i="3"/>
  <c r="AH76" i="3"/>
  <c r="AG76" i="3"/>
  <c r="AF76" i="3"/>
  <c r="AI40" i="3"/>
  <c r="AH40" i="3"/>
  <c r="AG40" i="3"/>
  <c r="AF40" i="3"/>
  <c r="AI4" i="3"/>
  <c r="AH4" i="3"/>
  <c r="AG4" i="3"/>
  <c r="AF4" i="3"/>
  <c r="Q505" i="3"/>
  <c r="P505" i="3"/>
  <c r="O505" i="3"/>
  <c r="N505" i="3"/>
  <c r="Q469" i="3"/>
  <c r="P469" i="3"/>
  <c r="O469" i="3"/>
  <c r="N469" i="3"/>
  <c r="Q433" i="3"/>
  <c r="P433" i="3"/>
  <c r="O433" i="3"/>
  <c r="N433" i="3"/>
  <c r="Q398" i="3"/>
  <c r="P398" i="3"/>
  <c r="O398" i="3"/>
  <c r="N398" i="3"/>
  <c r="Q362" i="3"/>
  <c r="P362" i="3"/>
  <c r="O362" i="3"/>
  <c r="N362" i="3"/>
  <c r="Q326" i="3"/>
  <c r="P326" i="3"/>
  <c r="O326" i="3"/>
  <c r="N326" i="3"/>
  <c r="Q291" i="3"/>
  <c r="P291" i="3"/>
  <c r="O291" i="3"/>
  <c r="N291" i="3"/>
  <c r="Q255" i="3"/>
  <c r="O255" i="3"/>
  <c r="P255" i="3"/>
  <c r="N255" i="3"/>
  <c r="Q219" i="3"/>
  <c r="P219" i="3"/>
  <c r="O219" i="3"/>
  <c r="N219" i="3"/>
  <c r="N122" i="7" l="1"/>
  <c r="X122" i="7"/>
  <c r="P122" i="7"/>
  <c r="O122" i="7"/>
  <c r="Q122" i="7"/>
  <c r="J122" i="7"/>
  <c r="K122" i="7"/>
  <c r="L122" i="7"/>
  <c r="M122" i="7"/>
  <c r="Q184" i="3"/>
  <c r="P184" i="3"/>
  <c r="O184" i="3"/>
  <c r="N184" i="3"/>
  <c r="Q148" i="3"/>
  <c r="P148" i="3"/>
  <c r="O148" i="3"/>
  <c r="N148" i="3"/>
  <c r="Q111" i="3"/>
  <c r="P111" i="3"/>
  <c r="O111" i="3"/>
  <c r="N111" i="3"/>
  <c r="Q76" i="3"/>
  <c r="P76" i="3"/>
  <c r="O76" i="3"/>
  <c r="N76" i="3"/>
  <c r="Q40" i="3"/>
  <c r="P40" i="3"/>
  <c r="O40" i="3"/>
  <c r="N40" i="3"/>
  <c r="Q4" i="3"/>
  <c r="P4" i="3"/>
  <c r="O4" i="3"/>
  <c r="N4" i="3"/>
  <c r="BL534" i="3" l="1"/>
  <c r="AT534" i="3"/>
  <c r="AB534" i="3"/>
  <c r="J534" i="3"/>
  <c r="BL498" i="3"/>
  <c r="AT498" i="3"/>
  <c r="AB498" i="3"/>
  <c r="J498" i="3"/>
  <c r="BL462" i="3"/>
  <c r="AT462" i="3"/>
  <c r="AB462" i="3"/>
  <c r="J462" i="3"/>
  <c r="BL427" i="3"/>
  <c r="AT427" i="3"/>
  <c r="AB427" i="3"/>
  <c r="J427" i="3"/>
  <c r="BL391" i="3"/>
  <c r="AT391" i="3"/>
  <c r="AB391" i="3"/>
  <c r="J391" i="3"/>
  <c r="BL355" i="3"/>
  <c r="AT355" i="3"/>
  <c r="AB355" i="3"/>
  <c r="J355" i="3"/>
  <c r="BL320" i="3"/>
  <c r="AT320" i="3"/>
  <c r="AB320" i="3"/>
  <c r="J320" i="3"/>
  <c r="BL284" i="3"/>
  <c r="AT284" i="3"/>
  <c r="AB284" i="3"/>
  <c r="J284" i="3"/>
  <c r="BL248" i="3"/>
  <c r="AT248" i="3"/>
  <c r="AB248" i="3"/>
  <c r="J248" i="3"/>
  <c r="BL213" i="3"/>
  <c r="AT213" i="3"/>
  <c r="AB213" i="3"/>
  <c r="J213" i="3"/>
  <c r="BL177" i="3"/>
  <c r="AT177" i="3"/>
  <c r="AB177" i="3"/>
  <c r="J177" i="3"/>
  <c r="BL141" i="3"/>
  <c r="AT141" i="3"/>
  <c r="AB141" i="3"/>
  <c r="J141" i="3"/>
  <c r="BL106" i="3"/>
  <c r="AT106" i="3"/>
  <c r="AB106" i="3"/>
  <c r="J106" i="3"/>
  <c r="BL70" i="3"/>
  <c r="AT70" i="3"/>
  <c r="AB70" i="3"/>
  <c r="J70" i="3"/>
  <c r="AO34" i="3"/>
  <c r="BL34" i="3"/>
  <c r="AT34" i="3"/>
  <c r="AB34" i="3"/>
  <c r="J34" i="3"/>
  <c r="BG534" i="3"/>
  <c r="AO534" i="3"/>
  <c r="W534" i="3"/>
  <c r="E534" i="3"/>
  <c r="BG498" i="3"/>
  <c r="AO498" i="3"/>
  <c r="W498" i="3"/>
  <c r="E498" i="3"/>
  <c r="BG462" i="3"/>
  <c r="AO462" i="3"/>
  <c r="W462" i="3"/>
  <c r="E462" i="3"/>
  <c r="BG427" i="3"/>
  <c r="AO427" i="3"/>
  <c r="W427" i="3"/>
  <c r="E427" i="3"/>
  <c r="BG391" i="3"/>
  <c r="AO391" i="3"/>
  <c r="W391" i="3"/>
  <c r="E391" i="3"/>
  <c r="BG355" i="3"/>
  <c r="AO355" i="3"/>
  <c r="W355" i="3"/>
  <c r="E355" i="3"/>
  <c r="BG320" i="3"/>
  <c r="AO320" i="3"/>
  <c r="W320" i="3"/>
  <c r="E320" i="3"/>
  <c r="BG284" i="3"/>
  <c r="AO284" i="3"/>
  <c r="W284" i="3"/>
  <c r="E284" i="3"/>
  <c r="BG248" i="3"/>
  <c r="AO248" i="3"/>
  <c r="W248" i="3"/>
  <c r="E248" i="3"/>
  <c r="BG213" i="3"/>
  <c r="AO213" i="3"/>
  <c r="W213" i="3"/>
  <c r="E213" i="3"/>
  <c r="BG177" i="3"/>
  <c r="AO177" i="3"/>
  <c r="W177" i="3"/>
  <c r="E177" i="3"/>
  <c r="BG141" i="3"/>
  <c r="AO141" i="3"/>
  <c r="W141" i="3"/>
  <c r="E141" i="3"/>
  <c r="BG106" i="3"/>
  <c r="AO106" i="3"/>
  <c r="W106" i="3"/>
  <c r="E106" i="3"/>
  <c r="BG70" i="3"/>
  <c r="AO70" i="3"/>
  <c r="W70" i="3"/>
  <c r="E70" i="3"/>
  <c r="BG34" i="3"/>
  <c r="W34" i="3"/>
  <c r="E34" i="3"/>
  <c r="BO533" i="3"/>
  <c r="BO532" i="3"/>
  <c r="BO531" i="3"/>
  <c r="BO530" i="3"/>
  <c r="BO529" i="3"/>
  <c r="BO528" i="3"/>
  <c r="BO527" i="3"/>
  <c r="BO526" i="3"/>
  <c r="BO525" i="3"/>
  <c r="BO524" i="3"/>
  <c r="BO523" i="3"/>
  <c r="BO522" i="3"/>
  <c r="BO521" i="3"/>
  <c r="BO520" i="3"/>
  <c r="BO519" i="3"/>
  <c r="BO518" i="3"/>
  <c r="BO517" i="3"/>
  <c r="BO516" i="3"/>
  <c r="BO515" i="3"/>
  <c r="BO514" i="3"/>
  <c r="BO513" i="3"/>
  <c r="BO512" i="3"/>
  <c r="BO511" i="3"/>
  <c r="BO510" i="3"/>
  <c r="BO509" i="3"/>
  <c r="BO508" i="3"/>
  <c r="BO507" i="3"/>
  <c r="BO506" i="3"/>
  <c r="BO505" i="3"/>
  <c r="BO504" i="3"/>
  <c r="AW533" i="3"/>
  <c r="AW532" i="3"/>
  <c r="AW531" i="3"/>
  <c r="AW530" i="3"/>
  <c r="AW529" i="3"/>
  <c r="AW528" i="3"/>
  <c r="AW527" i="3"/>
  <c r="AW526" i="3"/>
  <c r="AW525" i="3"/>
  <c r="AW524" i="3"/>
  <c r="AW523" i="3"/>
  <c r="AW522" i="3"/>
  <c r="AW521" i="3"/>
  <c r="AW520" i="3"/>
  <c r="AW519" i="3"/>
  <c r="AW518" i="3"/>
  <c r="AW517" i="3"/>
  <c r="AW516" i="3"/>
  <c r="AW515" i="3"/>
  <c r="AW514" i="3"/>
  <c r="AW513" i="3"/>
  <c r="AW512" i="3"/>
  <c r="AW511" i="3"/>
  <c r="AW510" i="3"/>
  <c r="AW509" i="3"/>
  <c r="AW508" i="3"/>
  <c r="AW507" i="3"/>
  <c r="AW506" i="3"/>
  <c r="AW505" i="3"/>
  <c r="AW504" i="3"/>
  <c r="BO497" i="3"/>
  <c r="BO496" i="3"/>
  <c r="BO495" i="3"/>
  <c r="BO494" i="3"/>
  <c r="BO493" i="3"/>
  <c r="BO492" i="3"/>
  <c r="BO491" i="3"/>
  <c r="BO490" i="3"/>
  <c r="BO489" i="3"/>
  <c r="BO488" i="3"/>
  <c r="BO487" i="3"/>
  <c r="BO486" i="3"/>
  <c r="BO485" i="3"/>
  <c r="BO484" i="3"/>
  <c r="BO483" i="3"/>
  <c r="BO482" i="3"/>
  <c r="BO481" i="3"/>
  <c r="BO480" i="3"/>
  <c r="BO479" i="3"/>
  <c r="BO478" i="3"/>
  <c r="BO477" i="3"/>
  <c r="BO476" i="3"/>
  <c r="BO475" i="3"/>
  <c r="BO474" i="3"/>
  <c r="BO473" i="3"/>
  <c r="BO472" i="3"/>
  <c r="BO471" i="3"/>
  <c r="BO470" i="3"/>
  <c r="BO469" i="3"/>
  <c r="BO468" i="3"/>
  <c r="AW497" i="3"/>
  <c r="AW496" i="3"/>
  <c r="AW495" i="3"/>
  <c r="AW494" i="3"/>
  <c r="AW493" i="3"/>
  <c r="AW492" i="3"/>
  <c r="AW491" i="3"/>
  <c r="AW490" i="3"/>
  <c r="AW489" i="3"/>
  <c r="AW488" i="3"/>
  <c r="AW487" i="3"/>
  <c r="AW486" i="3"/>
  <c r="AW485" i="3"/>
  <c r="AW484" i="3"/>
  <c r="AW483" i="3"/>
  <c r="AW482" i="3"/>
  <c r="AW481" i="3"/>
  <c r="AW480" i="3"/>
  <c r="AW479" i="3"/>
  <c r="AW478" i="3"/>
  <c r="AW477" i="3"/>
  <c r="AW476" i="3"/>
  <c r="AW475" i="3"/>
  <c r="AW474" i="3"/>
  <c r="AW473" i="3"/>
  <c r="AW472" i="3"/>
  <c r="AW471" i="3"/>
  <c r="AW470" i="3"/>
  <c r="AW469" i="3"/>
  <c r="AW468" i="3"/>
  <c r="BO461" i="3"/>
  <c r="BO460" i="3"/>
  <c r="BO459" i="3"/>
  <c r="BO458" i="3"/>
  <c r="BO457" i="3"/>
  <c r="BO456" i="3"/>
  <c r="BO455" i="3"/>
  <c r="BO454" i="3"/>
  <c r="BO453" i="3"/>
  <c r="BO452" i="3"/>
  <c r="BO451" i="3"/>
  <c r="BO450" i="3"/>
  <c r="BO449" i="3"/>
  <c r="BO448" i="3"/>
  <c r="BO447" i="3"/>
  <c r="BO446" i="3"/>
  <c r="BO445" i="3"/>
  <c r="BO444" i="3"/>
  <c r="BO443" i="3"/>
  <c r="BO442" i="3"/>
  <c r="BO441" i="3"/>
  <c r="BO440" i="3"/>
  <c r="BO439" i="3"/>
  <c r="BO438" i="3"/>
  <c r="BO437" i="3"/>
  <c r="BO436" i="3"/>
  <c r="BO435" i="3"/>
  <c r="BO434" i="3"/>
  <c r="BO433" i="3"/>
  <c r="BO432" i="3"/>
  <c r="AW461" i="3"/>
  <c r="AW460" i="3"/>
  <c r="AW459" i="3"/>
  <c r="AW458" i="3"/>
  <c r="AW457" i="3"/>
  <c r="AW456" i="3"/>
  <c r="AW455" i="3"/>
  <c r="AW454" i="3"/>
  <c r="AW453" i="3"/>
  <c r="AW452" i="3"/>
  <c r="AW451" i="3"/>
  <c r="AW450" i="3"/>
  <c r="AW449" i="3"/>
  <c r="AW448" i="3"/>
  <c r="AW447" i="3"/>
  <c r="AW446" i="3"/>
  <c r="AW445" i="3"/>
  <c r="AW444" i="3"/>
  <c r="AW443" i="3"/>
  <c r="AW442" i="3"/>
  <c r="AW441" i="3"/>
  <c r="AW440" i="3"/>
  <c r="AW439" i="3"/>
  <c r="AW438" i="3"/>
  <c r="AW437" i="3"/>
  <c r="AW436" i="3"/>
  <c r="AW435" i="3"/>
  <c r="AW434" i="3"/>
  <c r="AW433" i="3"/>
  <c r="AW432" i="3"/>
  <c r="BO426" i="3"/>
  <c r="BO425" i="3"/>
  <c r="BO424" i="3"/>
  <c r="BO423" i="3"/>
  <c r="BO422" i="3"/>
  <c r="BO421" i="3"/>
  <c r="BO420" i="3"/>
  <c r="BO419" i="3"/>
  <c r="BO418" i="3"/>
  <c r="BO417" i="3"/>
  <c r="BO416" i="3"/>
  <c r="BO415" i="3"/>
  <c r="BO414" i="3"/>
  <c r="BO413" i="3"/>
  <c r="BO412" i="3"/>
  <c r="BO411" i="3"/>
  <c r="BO410" i="3"/>
  <c r="BO409" i="3"/>
  <c r="BO408" i="3"/>
  <c r="BO407" i="3"/>
  <c r="BO406" i="3"/>
  <c r="BO405" i="3"/>
  <c r="BO404" i="3"/>
  <c r="BO403" i="3"/>
  <c r="BO402" i="3"/>
  <c r="BO401" i="3"/>
  <c r="BO400" i="3"/>
  <c r="BO399" i="3"/>
  <c r="BO398" i="3"/>
  <c r="BO397" i="3"/>
  <c r="AW426" i="3"/>
  <c r="AW425" i="3"/>
  <c r="AW424" i="3"/>
  <c r="AW423" i="3"/>
  <c r="AW422" i="3"/>
  <c r="AW421" i="3"/>
  <c r="AW420" i="3"/>
  <c r="AW419" i="3"/>
  <c r="AW418" i="3"/>
  <c r="AW417" i="3"/>
  <c r="AW416" i="3"/>
  <c r="AW415" i="3"/>
  <c r="AW414" i="3"/>
  <c r="AW413" i="3"/>
  <c r="AW412" i="3"/>
  <c r="AW411" i="3"/>
  <c r="AW410" i="3"/>
  <c r="AW409" i="3"/>
  <c r="AW408" i="3"/>
  <c r="AW407" i="3"/>
  <c r="AW406" i="3"/>
  <c r="AW405" i="3"/>
  <c r="AW404" i="3"/>
  <c r="AW403" i="3"/>
  <c r="AW402" i="3"/>
  <c r="AW401" i="3"/>
  <c r="AW400" i="3"/>
  <c r="AW399" i="3"/>
  <c r="AW398" i="3"/>
  <c r="AW397" i="3"/>
  <c r="BO390" i="3"/>
  <c r="BO389" i="3"/>
  <c r="BO388" i="3"/>
  <c r="BO387" i="3"/>
  <c r="BO386" i="3"/>
  <c r="BO385" i="3"/>
  <c r="BO384" i="3"/>
  <c r="BO383" i="3"/>
  <c r="BO382" i="3"/>
  <c r="BO381" i="3"/>
  <c r="BO380" i="3"/>
  <c r="BO379" i="3"/>
  <c r="BO378" i="3"/>
  <c r="BO377" i="3"/>
  <c r="BO376" i="3"/>
  <c r="BO375" i="3"/>
  <c r="BO374" i="3"/>
  <c r="BO373" i="3"/>
  <c r="BO372" i="3"/>
  <c r="BO371" i="3"/>
  <c r="BO370" i="3"/>
  <c r="BO369" i="3"/>
  <c r="BO368" i="3"/>
  <c r="BO367" i="3"/>
  <c r="BO366" i="3"/>
  <c r="BO365" i="3"/>
  <c r="BO364" i="3"/>
  <c r="BO363" i="3"/>
  <c r="BO362" i="3"/>
  <c r="BO361" i="3"/>
  <c r="AW390" i="3"/>
  <c r="AW389" i="3"/>
  <c r="AW388" i="3"/>
  <c r="AW387" i="3"/>
  <c r="AW386" i="3"/>
  <c r="AW385" i="3"/>
  <c r="AW384" i="3"/>
  <c r="AW383" i="3"/>
  <c r="AW382" i="3"/>
  <c r="AW381" i="3"/>
  <c r="AW380" i="3"/>
  <c r="AW379" i="3"/>
  <c r="AW378" i="3"/>
  <c r="AW377" i="3"/>
  <c r="AW376" i="3"/>
  <c r="AW375" i="3"/>
  <c r="AW374" i="3"/>
  <c r="AW373" i="3"/>
  <c r="AW372" i="3"/>
  <c r="AW371" i="3"/>
  <c r="AW370" i="3"/>
  <c r="AW369" i="3"/>
  <c r="AW368" i="3"/>
  <c r="AW367" i="3"/>
  <c r="AW366" i="3"/>
  <c r="AW365" i="3"/>
  <c r="AW364" i="3"/>
  <c r="AW363" i="3"/>
  <c r="AW362" i="3"/>
  <c r="AW361" i="3"/>
  <c r="BO354" i="3"/>
  <c r="BO353" i="3"/>
  <c r="BO352" i="3"/>
  <c r="BO351" i="3"/>
  <c r="BO350" i="3"/>
  <c r="BO349" i="3"/>
  <c r="BO348" i="3"/>
  <c r="BO347" i="3"/>
  <c r="BO346" i="3"/>
  <c r="BO345" i="3"/>
  <c r="BO344" i="3"/>
  <c r="BO343" i="3"/>
  <c r="BO342" i="3"/>
  <c r="BO341" i="3"/>
  <c r="BO340" i="3"/>
  <c r="BO339" i="3"/>
  <c r="BO338" i="3"/>
  <c r="BO337" i="3"/>
  <c r="BO336" i="3"/>
  <c r="BO335" i="3"/>
  <c r="BO334" i="3"/>
  <c r="BO333" i="3"/>
  <c r="BO332" i="3"/>
  <c r="BO331" i="3"/>
  <c r="BO330" i="3"/>
  <c r="BO329" i="3"/>
  <c r="BO328" i="3"/>
  <c r="BO327" i="3"/>
  <c r="BO326" i="3"/>
  <c r="BO325" i="3"/>
  <c r="AW354" i="3"/>
  <c r="AW353" i="3"/>
  <c r="AW352" i="3"/>
  <c r="AW351" i="3"/>
  <c r="AW350" i="3"/>
  <c r="AW349" i="3"/>
  <c r="AW348" i="3"/>
  <c r="AW347" i="3"/>
  <c r="AW346" i="3"/>
  <c r="AW345" i="3"/>
  <c r="AW344" i="3"/>
  <c r="AW343" i="3"/>
  <c r="AW342" i="3"/>
  <c r="AW341" i="3"/>
  <c r="AW340" i="3"/>
  <c r="AW339" i="3"/>
  <c r="AW338" i="3"/>
  <c r="AW337" i="3"/>
  <c r="AW336" i="3"/>
  <c r="AW335" i="3"/>
  <c r="AW334" i="3"/>
  <c r="AW333" i="3"/>
  <c r="AW332" i="3"/>
  <c r="AW331" i="3"/>
  <c r="AW330" i="3"/>
  <c r="AW329" i="3"/>
  <c r="AW328" i="3"/>
  <c r="AW327" i="3"/>
  <c r="AW326" i="3"/>
  <c r="AW325" i="3"/>
  <c r="BO319" i="3"/>
  <c r="BO318" i="3"/>
  <c r="BO317" i="3"/>
  <c r="BO316" i="3"/>
  <c r="BO315" i="3"/>
  <c r="BO314" i="3"/>
  <c r="BO313" i="3"/>
  <c r="BO312" i="3"/>
  <c r="BO311" i="3"/>
  <c r="BO310" i="3"/>
  <c r="BO309" i="3"/>
  <c r="BO308" i="3"/>
  <c r="BO307" i="3"/>
  <c r="BO306" i="3"/>
  <c r="BO305" i="3"/>
  <c r="BO304" i="3"/>
  <c r="BO303" i="3"/>
  <c r="BO302" i="3"/>
  <c r="BO301" i="3"/>
  <c r="BO300" i="3"/>
  <c r="BO299" i="3"/>
  <c r="BO298" i="3"/>
  <c r="BO297" i="3"/>
  <c r="BO296" i="3"/>
  <c r="BO295" i="3"/>
  <c r="BO294" i="3"/>
  <c r="BO293" i="3"/>
  <c r="BO292" i="3"/>
  <c r="BO291" i="3"/>
  <c r="BO290" i="3"/>
  <c r="AW319" i="3"/>
  <c r="AW318" i="3"/>
  <c r="AW317" i="3"/>
  <c r="AW316" i="3"/>
  <c r="AW315" i="3"/>
  <c r="AW314" i="3"/>
  <c r="AW313" i="3"/>
  <c r="AW312" i="3"/>
  <c r="AW311" i="3"/>
  <c r="AW310" i="3"/>
  <c r="AW309" i="3"/>
  <c r="AW308" i="3"/>
  <c r="AW307" i="3"/>
  <c r="AW306" i="3"/>
  <c r="AW305" i="3"/>
  <c r="AW304" i="3"/>
  <c r="AW303" i="3"/>
  <c r="AW302" i="3"/>
  <c r="AW301" i="3"/>
  <c r="AW300" i="3"/>
  <c r="AW299" i="3"/>
  <c r="AW298" i="3"/>
  <c r="AW297" i="3"/>
  <c r="AW296" i="3"/>
  <c r="AW295" i="3"/>
  <c r="AW294" i="3"/>
  <c r="AW293" i="3"/>
  <c r="AW292" i="3"/>
  <c r="AW291" i="3"/>
  <c r="AW290" i="3"/>
  <c r="BO283" i="3"/>
  <c r="BO282" i="3"/>
  <c r="BO281" i="3"/>
  <c r="BO280" i="3"/>
  <c r="BO279" i="3"/>
  <c r="BO278" i="3"/>
  <c r="BO277" i="3"/>
  <c r="BO276" i="3"/>
  <c r="BO275" i="3"/>
  <c r="BO274" i="3"/>
  <c r="BO273" i="3"/>
  <c r="BO272" i="3"/>
  <c r="BO271" i="3"/>
  <c r="BO270" i="3"/>
  <c r="BO269" i="3"/>
  <c r="BO268" i="3"/>
  <c r="BO267" i="3"/>
  <c r="BO266" i="3"/>
  <c r="BO265" i="3"/>
  <c r="BO264" i="3"/>
  <c r="BO263" i="3"/>
  <c r="BO262" i="3"/>
  <c r="BO261" i="3"/>
  <c r="BO260" i="3"/>
  <c r="BO259" i="3"/>
  <c r="BO258" i="3"/>
  <c r="BO257" i="3"/>
  <c r="BO256" i="3"/>
  <c r="BO255" i="3"/>
  <c r="BO254" i="3"/>
  <c r="AW283" i="3"/>
  <c r="AW282" i="3"/>
  <c r="AW281" i="3"/>
  <c r="AW280" i="3"/>
  <c r="AW279" i="3"/>
  <c r="AW278" i="3"/>
  <c r="AW277" i="3"/>
  <c r="AW276" i="3"/>
  <c r="AW275" i="3"/>
  <c r="AW274" i="3"/>
  <c r="AW273" i="3"/>
  <c r="AW272" i="3"/>
  <c r="AW271" i="3"/>
  <c r="AW270" i="3"/>
  <c r="AW269" i="3"/>
  <c r="AW268" i="3"/>
  <c r="AW267" i="3"/>
  <c r="AW266" i="3"/>
  <c r="AW265" i="3"/>
  <c r="AW264" i="3"/>
  <c r="AW263" i="3"/>
  <c r="AW262" i="3"/>
  <c r="AW261" i="3"/>
  <c r="AW260" i="3"/>
  <c r="AW259" i="3"/>
  <c r="AW258" i="3"/>
  <c r="AW257" i="3"/>
  <c r="AW256" i="3"/>
  <c r="AW255" i="3"/>
  <c r="AW254" i="3"/>
  <c r="BO247" i="3"/>
  <c r="BO246" i="3"/>
  <c r="BO245" i="3"/>
  <c r="BO244" i="3"/>
  <c r="BO243" i="3"/>
  <c r="BO242" i="3"/>
  <c r="BO241" i="3"/>
  <c r="BO240" i="3"/>
  <c r="BO239" i="3"/>
  <c r="BO238" i="3"/>
  <c r="BO237" i="3"/>
  <c r="BO236" i="3"/>
  <c r="BO235" i="3"/>
  <c r="BO234" i="3"/>
  <c r="BO233" i="3"/>
  <c r="BO232" i="3"/>
  <c r="BO231" i="3"/>
  <c r="BO230" i="3"/>
  <c r="BO229" i="3"/>
  <c r="BO228" i="3"/>
  <c r="BO227" i="3"/>
  <c r="BO226" i="3"/>
  <c r="BO225" i="3"/>
  <c r="BO224" i="3"/>
  <c r="BO223" i="3"/>
  <c r="BO222" i="3"/>
  <c r="BO221" i="3"/>
  <c r="BO220" i="3"/>
  <c r="BO219" i="3"/>
  <c r="BO218" i="3"/>
  <c r="AW247" i="3"/>
  <c r="AW246" i="3"/>
  <c r="AW245" i="3"/>
  <c r="AW244" i="3"/>
  <c r="AW243" i="3"/>
  <c r="AW242" i="3"/>
  <c r="AW241" i="3"/>
  <c r="AW240" i="3"/>
  <c r="AW239" i="3"/>
  <c r="AW238" i="3"/>
  <c r="AW237" i="3"/>
  <c r="AW236" i="3"/>
  <c r="AW235" i="3"/>
  <c r="AW234" i="3"/>
  <c r="AW233" i="3"/>
  <c r="AW232" i="3"/>
  <c r="AW231" i="3"/>
  <c r="AW230" i="3"/>
  <c r="AW229" i="3"/>
  <c r="AW228" i="3"/>
  <c r="AW227" i="3"/>
  <c r="AW226" i="3"/>
  <c r="AW225" i="3"/>
  <c r="AW224" i="3"/>
  <c r="AW223" i="3"/>
  <c r="AW222" i="3"/>
  <c r="AW221" i="3"/>
  <c r="AW220" i="3"/>
  <c r="AW219" i="3"/>
  <c r="AW218" i="3"/>
  <c r="BO212" i="3"/>
  <c r="BO211" i="3"/>
  <c r="BO210" i="3"/>
  <c r="BO209" i="3"/>
  <c r="BO208" i="3"/>
  <c r="BO207" i="3"/>
  <c r="BO206" i="3"/>
  <c r="BO205" i="3"/>
  <c r="BO204" i="3"/>
  <c r="BO203" i="3"/>
  <c r="BO202" i="3"/>
  <c r="BO201" i="3"/>
  <c r="BO200" i="3"/>
  <c r="BO199" i="3"/>
  <c r="BO198" i="3"/>
  <c r="BO197" i="3"/>
  <c r="BO196" i="3"/>
  <c r="BO195" i="3"/>
  <c r="BO194" i="3"/>
  <c r="BO193" i="3"/>
  <c r="BO192" i="3"/>
  <c r="BO191" i="3"/>
  <c r="BO190" i="3"/>
  <c r="BO189" i="3"/>
  <c r="BO188" i="3"/>
  <c r="BO187" i="3"/>
  <c r="BO186" i="3"/>
  <c r="BO185" i="3"/>
  <c r="BO184" i="3"/>
  <c r="BO183" i="3"/>
  <c r="AW212" i="3"/>
  <c r="AW211" i="3"/>
  <c r="AW210" i="3"/>
  <c r="AW209" i="3"/>
  <c r="AW208" i="3"/>
  <c r="AW207" i="3"/>
  <c r="AW206" i="3"/>
  <c r="AW205" i="3"/>
  <c r="AW204" i="3"/>
  <c r="AW203" i="3"/>
  <c r="AW202" i="3"/>
  <c r="AW201" i="3"/>
  <c r="AW200" i="3"/>
  <c r="AW199" i="3"/>
  <c r="AW198" i="3"/>
  <c r="AW197" i="3"/>
  <c r="AW196" i="3"/>
  <c r="AW195" i="3"/>
  <c r="AW194" i="3"/>
  <c r="AW193" i="3"/>
  <c r="AW192" i="3"/>
  <c r="AW191" i="3"/>
  <c r="AW190" i="3"/>
  <c r="AW189" i="3"/>
  <c r="AW188" i="3"/>
  <c r="AW187" i="3"/>
  <c r="AW186" i="3"/>
  <c r="AW185" i="3"/>
  <c r="AW184" i="3"/>
  <c r="AW183" i="3"/>
  <c r="BO176" i="3"/>
  <c r="BO175" i="3"/>
  <c r="BO174" i="3"/>
  <c r="BO173" i="3"/>
  <c r="BO172" i="3"/>
  <c r="BO171" i="3"/>
  <c r="BO170" i="3"/>
  <c r="BO169" i="3"/>
  <c r="BO168" i="3"/>
  <c r="BO167" i="3"/>
  <c r="BO166" i="3"/>
  <c r="BO165" i="3"/>
  <c r="BO164" i="3"/>
  <c r="BO163" i="3"/>
  <c r="BO162" i="3"/>
  <c r="BO161" i="3"/>
  <c r="BO160" i="3"/>
  <c r="BO159" i="3"/>
  <c r="BO158" i="3"/>
  <c r="BO157" i="3"/>
  <c r="BO156" i="3"/>
  <c r="BO155" i="3"/>
  <c r="BO154" i="3"/>
  <c r="BO153" i="3"/>
  <c r="BO152" i="3"/>
  <c r="BO151" i="3"/>
  <c r="BO150" i="3"/>
  <c r="BO149" i="3"/>
  <c r="BO148" i="3"/>
  <c r="BO147" i="3"/>
  <c r="AW176" i="3"/>
  <c r="AW175" i="3"/>
  <c r="AW174" i="3"/>
  <c r="AW173" i="3"/>
  <c r="AW172" i="3"/>
  <c r="AW171" i="3"/>
  <c r="AW170" i="3"/>
  <c r="AW169" i="3"/>
  <c r="AW168" i="3"/>
  <c r="AW167" i="3"/>
  <c r="AW166" i="3"/>
  <c r="AW165" i="3"/>
  <c r="AW164" i="3"/>
  <c r="AW163" i="3"/>
  <c r="AW162" i="3"/>
  <c r="AW161" i="3"/>
  <c r="AW160" i="3"/>
  <c r="AW159" i="3"/>
  <c r="AW158" i="3"/>
  <c r="AW157" i="3"/>
  <c r="AW156" i="3"/>
  <c r="AW155" i="3"/>
  <c r="AW154" i="3"/>
  <c r="AW153" i="3"/>
  <c r="AW152" i="3"/>
  <c r="AW151" i="3"/>
  <c r="AW150" i="3"/>
  <c r="AW149" i="3"/>
  <c r="AW148" i="3"/>
  <c r="AW147" i="3"/>
  <c r="BO140" i="3"/>
  <c r="BO139" i="3"/>
  <c r="BO138" i="3"/>
  <c r="BO137" i="3"/>
  <c r="BO136" i="3"/>
  <c r="BO135" i="3"/>
  <c r="BO134" i="3"/>
  <c r="BO133" i="3"/>
  <c r="BO132" i="3"/>
  <c r="BO131" i="3"/>
  <c r="BO130" i="3"/>
  <c r="BO129" i="3"/>
  <c r="BO128" i="3"/>
  <c r="BO127" i="3"/>
  <c r="BO126" i="3"/>
  <c r="BO125" i="3"/>
  <c r="BO124" i="3"/>
  <c r="BO123" i="3"/>
  <c r="BO122" i="3"/>
  <c r="BO121" i="3"/>
  <c r="BO120" i="3"/>
  <c r="BO119" i="3"/>
  <c r="BO118" i="3"/>
  <c r="BO117" i="3"/>
  <c r="BO116" i="3"/>
  <c r="BO115" i="3"/>
  <c r="BO114" i="3"/>
  <c r="BO113" i="3"/>
  <c r="BO112" i="3"/>
  <c r="BO111" i="3"/>
  <c r="AW140" i="3"/>
  <c r="AW139" i="3"/>
  <c r="AW138" i="3"/>
  <c r="AW137" i="3"/>
  <c r="AW136" i="3"/>
  <c r="AW135" i="3"/>
  <c r="AW134" i="3"/>
  <c r="AW133" i="3"/>
  <c r="AW132" i="3"/>
  <c r="AW131" i="3"/>
  <c r="AW130" i="3"/>
  <c r="AW129" i="3"/>
  <c r="AW128" i="3"/>
  <c r="AW127" i="3"/>
  <c r="AW126" i="3"/>
  <c r="AW125" i="3"/>
  <c r="AW124" i="3"/>
  <c r="AW123" i="3"/>
  <c r="AW122" i="3"/>
  <c r="AW121" i="3"/>
  <c r="AW120" i="3"/>
  <c r="AW119" i="3"/>
  <c r="AW118" i="3"/>
  <c r="AW117" i="3"/>
  <c r="AW116" i="3"/>
  <c r="AW115" i="3"/>
  <c r="AW114" i="3"/>
  <c r="AW113" i="3"/>
  <c r="AW112" i="3"/>
  <c r="AW111" i="3"/>
  <c r="BO105" i="3"/>
  <c r="BO104" i="3"/>
  <c r="BO103" i="3"/>
  <c r="BO102" i="3"/>
  <c r="BO101" i="3"/>
  <c r="BO100" i="3"/>
  <c r="BO99" i="3"/>
  <c r="BO98" i="3"/>
  <c r="BO97" i="3"/>
  <c r="BO96" i="3"/>
  <c r="BO95" i="3"/>
  <c r="BO94" i="3"/>
  <c r="BO93" i="3"/>
  <c r="BO92" i="3"/>
  <c r="BO91" i="3"/>
  <c r="BO90" i="3"/>
  <c r="BO89" i="3"/>
  <c r="BO88" i="3"/>
  <c r="BO87" i="3"/>
  <c r="BO86" i="3"/>
  <c r="BO85" i="3"/>
  <c r="BO84" i="3"/>
  <c r="BO83" i="3"/>
  <c r="BO82" i="3"/>
  <c r="BO81" i="3"/>
  <c r="BO80" i="3"/>
  <c r="BO79" i="3"/>
  <c r="BO78" i="3"/>
  <c r="BO77" i="3"/>
  <c r="BO76" i="3"/>
  <c r="AW105" i="3"/>
  <c r="AW104" i="3"/>
  <c r="AW103" i="3"/>
  <c r="AW102" i="3"/>
  <c r="AW101" i="3"/>
  <c r="AW100" i="3"/>
  <c r="AW99" i="3"/>
  <c r="AW98" i="3"/>
  <c r="AW97" i="3"/>
  <c r="AW96" i="3"/>
  <c r="AW95" i="3"/>
  <c r="AW94" i="3"/>
  <c r="AW93" i="3"/>
  <c r="AW92" i="3"/>
  <c r="AW91" i="3"/>
  <c r="AW90" i="3"/>
  <c r="AW89" i="3"/>
  <c r="AW88" i="3"/>
  <c r="AW87" i="3"/>
  <c r="AW86" i="3"/>
  <c r="AW85" i="3"/>
  <c r="AW84" i="3"/>
  <c r="AW83" i="3"/>
  <c r="AW82" i="3"/>
  <c r="AW81" i="3"/>
  <c r="AW80" i="3"/>
  <c r="AW79" i="3"/>
  <c r="AW78" i="3"/>
  <c r="AW77" i="3"/>
  <c r="AW76" i="3"/>
  <c r="BO69" i="3"/>
  <c r="BO68" i="3"/>
  <c r="BO67" i="3"/>
  <c r="BO66" i="3"/>
  <c r="BO65" i="3"/>
  <c r="BO64" i="3"/>
  <c r="BO63" i="3"/>
  <c r="BO62" i="3"/>
  <c r="BO61" i="3"/>
  <c r="BO60" i="3"/>
  <c r="BO59" i="3"/>
  <c r="BO58" i="3"/>
  <c r="BO57" i="3"/>
  <c r="BO56" i="3"/>
  <c r="BO55" i="3"/>
  <c r="BO54" i="3"/>
  <c r="BO53" i="3"/>
  <c r="BO52" i="3"/>
  <c r="BO51" i="3"/>
  <c r="BO50" i="3"/>
  <c r="BO49" i="3"/>
  <c r="BO48" i="3"/>
  <c r="BO47" i="3"/>
  <c r="BO46" i="3"/>
  <c r="BO45" i="3"/>
  <c r="BO44" i="3"/>
  <c r="BO43" i="3"/>
  <c r="BO42" i="3"/>
  <c r="BO41" i="3"/>
  <c r="BO40" i="3"/>
  <c r="AW69" i="3"/>
  <c r="AW68" i="3"/>
  <c r="AW67" i="3"/>
  <c r="AW66" i="3"/>
  <c r="AW65" i="3"/>
  <c r="AW64" i="3"/>
  <c r="AW63" i="3"/>
  <c r="AW62" i="3"/>
  <c r="AW61" i="3"/>
  <c r="AW60" i="3"/>
  <c r="AW59" i="3"/>
  <c r="AW58" i="3"/>
  <c r="AW57" i="3"/>
  <c r="AW56" i="3"/>
  <c r="AW55" i="3"/>
  <c r="AW54" i="3"/>
  <c r="AW53" i="3"/>
  <c r="AW52" i="3"/>
  <c r="AW51" i="3"/>
  <c r="AW50" i="3"/>
  <c r="AW49" i="3"/>
  <c r="AW48" i="3"/>
  <c r="AW47" i="3"/>
  <c r="AW46" i="3"/>
  <c r="AW45" i="3"/>
  <c r="AW44" i="3"/>
  <c r="AW43" i="3"/>
  <c r="AW42" i="3"/>
  <c r="AW41" i="3"/>
  <c r="AW40" i="3"/>
  <c r="BO33" i="3"/>
  <c r="BO32" i="3"/>
  <c r="BO31" i="3"/>
  <c r="BO30" i="3"/>
  <c r="BO29" i="3"/>
  <c r="BO28" i="3"/>
  <c r="BO27" i="3"/>
  <c r="BO26" i="3"/>
  <c r="BO25" i="3"/>
  <c r="BO24" i="3"/>
  <c r="BO23" i="3"/>
  <c r="BO22" i="3"/>
  <c r="BO21" i="3"/>
  <c r="BO20" i="3"/>
  <c r="BO19" i="3"/>
  <c r="BO18" i="3"/>
  <c r="BO17" i="3"/>
  <c r="BO16" i="3"/>
  <c r="BO15" i="3"/>
  <c r="BO14" i="3"/>
  <c r="BO13" i="3"/>
  <c r="BO12" i="3"/>
  <c r="BO11" i="3"/>
  <c r="BO10" i="3"/>
  <c r="BO9" i="3"/>
  <c r="BO8" i="3"/>
  <c r="BO7" i="3"/>
  <c r="BO6" i="3"/>
  <c r="BO5" i="3"/>
  <c r="BO4" i="3"/>
  <c r="AW33" i="3"/>
  <c r="AW32" i="3"/>
  <c r="AW31" i="3"/>
  <c r="AW30" i="3"/>
  <c r="AW29" i="3"/>
  <c r="AW28" i="3"/>
  <c r="AW27" i="3"/>
  <c r="AW26" i="3"/>
  <c r="AW25" i="3"/>
  <c r="AW24" i="3"/>
  <c r="AW23" i="3"/>
  <c r="AW22" i="3"/>
  <c r="AW21" i="3"/>
  <c r="AW20" i="3"/>
  <c r="AW19" i="3"/>
  <c r="AW18" i="3"/>
  <c r="AW17" i="3"/>
  <c r="AW16" i="3"/>
  <c r="AW15" i="3"/>
  <c r="AW14" i="3"/>
  <c r="AW13" i="3"/>
  <c r="AW12" i="3"/>
  <c r="AW11" i="3"/>
  <c r="AW10" i="3"/>
  <c r="AW9" i="3"/>
  <c r="AW8" i="3"/>
  <c r="AW7" i="3"/>
  <c r="AW6" i="3"/>
  <c r="AW5" i="3"/>
  <c r="AW4" i="3"/>
  <c r="AE533" i="3"/>
  <c r="AE532" i="3"/>
  <c r="AE531" i="3"/>
  <c r="AE530" i="3"/>
  <c r="AE529" i="3"/>
  <c r="AE528" i="3"/>
  <c r="AE527" i="3"/>
  <c r="AE526" i="3"/>
  <c r="AE525" i="3"/>
  <c r="AE524" i="3"/>
  <c r="AE523" i="3"/>
  <c r="AE522" i="3"/>
  <c r="AE521" i="3"/>
  <c r="AE520" i="3"/>
  <c r="AE519" i="3"/>
  <c r="AE518" i="3"/>
  <c r="AE517" i="3"/>
  <c r="AE516" i="3"/>
  <c r="AE515" i="3"/>
  <c r="AE514" i="3"/>
  <c r="AE513" i="3"/>
  <c r="AE512" i="3"/>
  <c r="AE511" i="3"/>
  <c r="AE510" i="3"/>
  <c r="AE509" i="3"/>
  <c r="AE508" i="3"/>
  <c r="AE507" i="3"/>
  <c r="AE506" i="3"/>
  <c r="AE505" i="3"/>
  <c r="AE50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AE497" i="3"/>
  <c r="AE496" i="3"/>
  <c r="AE495" i="3"/>
  <c r="AE494" i="3"/>
  <c r="AE493" i="3"/>
  <c r="AE492" i="3"/>
  <c r="AE491" i="3"/>
  <c r="AE490" i="3"/>
  <c r="AE489" i="3"/>
  <c r="AE488" i="3"/>
  <c r="AE487" i="3"/>
  <c r="AE486" i="3"/>
  <c r="AE485" i="3"/>
  <c r="AE484" i="3"/>
  <c r="AE483" i="3"/>
  <c r="AE482" i="3"/>
  <c r="AE481" i="3"/>
  <c r="AE480" i="3"/>
  <c r="AE479" i="3"/>
  <c r="AE478" i="3"/>
  <c r="AE477" i="3"/>
  <c r="AE476" i="3"/>
  <c r="AE475" i="3"/>
  <c r="AE474" i="3"/>
  <c r="AE473" i="3"/>
  <c r="AE472" i="3"/>
  <c r="AE471" i="3"/>
  <c r="AE470" i="3"/>
  <c r="AE469" i="3"/>
  <c r="AE46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AE461" i="3"/>
  <c r="AE460" i="3"/>
  <c r="AE459" i="3"/>
  <c r="AE458" i="3"/>
  <c r="AE457" i="3"/>
  <c r="AE456" i="3"/>
  <c r="AE455" i="3"/>
  <c r="AE454" i="3"/>
  <c r="AE453" i="3"/>
  <c r="AE452" i="3"/>
  <c r="AE451" i="3"/>
  <c r="AE450" i="3"/>
  <c r="AE449" i="3"/>
  <c r="AE448" i="3"/>
  <c r="AE447" i="3"/>
  <c r="AE446" i="3"/>
  <c r="AE445" i="3"/>
  <c r="AE444" i="3"/>
  <c r="AE443" i="3"/>
  <c r="AE442" i="3"/>
  <c r="AE441" i="3"/>
  <c r="AE440" i="3"/>
  <c r="AE439" i="3"/>
  <c r="AE438" i="3"/>
  <c r="AE437" i="3"/>
  <c r="AE436" i="3"/>
  <c r="AE435" i="3"/>
  <c r="AE434" i="3"/>
  <c r="AE433" i="3"/>
  <c r="AE43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AE426" i="3"/>
  <c r="AE425" i="3"/>
  <c r="AE424" i="3"/>
  <c r="AE423" i="3"/>
  <c r="AE422" i="3"/>
  <c r="AE421" i="3"/>
  <c r="AE420" i="3"/>
  <c r="AE419" i="3"/>
  <c r="AE418" i="3"/>
  <c r="AE417" i="3"/>
  <c r="AE416" i="3"/>
  <c r="AE415" i="3"/>
  <c r="AE414" i="3"/>
  <c r="AE413" i="3"/>
  <c r="AE412" i="3"/>
  <c r="AE411" i="3"/>
  <c r="AE410" i="3"/>
  <c r="AE409" i="3"/>
  <c r="AE408" i="3"/>
  <c r="AE407" i="3"/>
  <c r="AE406" i="3"/>
  <c r="AE405" i="3"/>
  <c r="AE404" i="3"/>
  <c r="AE403" i="3"/>
  <c r="AE402" i="3"/>
  <c r="AE401" i="3"/>
  <c r="AE400" i="3"/>
  <c r="AE399" i="3"/>
  <c r="AE398" i="3"/>
  <c r="AE39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AE390" i="3"/>
  <c r="AE389" i="3"/>
  <c r="AE388" i="3"/>
  <c r="AE387" i="3"/>
  <c r="AE386" i="3"/>
  <c r="AE385" i="3"/>
  <c r="AE384" i="3"/>
  <c r="AE383" i="3"/>
  <c r="AE382" i="3"/>
  <c r="AE381" i="3"/>
  <c r="AE380" i="3"/>
  <c r="AE379" i="3"/>
  <c r="AE378" i="3"/>
  <c r="AE377" i="3"/>
  <c r="AE376" i="3"/>
  <c r="AE375" i="3"/>
  <c r="AE374" i="3"/>
  <c r="AE373" i="3"/>
  <c r="AE372" i="3"/>
  <c r="AE371" i="3"/>
  <c r="AE370" i="3"/>
  <c r="AE369" i="3"/>
  <c r="AE368" i="3"/>
  <c r="AE367" i="3"/>
  <c r="AE366" i="3"/>
  <c r="AE365" i="3"/>
  <c r="AE364" i="3"/>
  <c r="AE363" i="3"/>
  <c r="AE362" i="3"/>
  <c r="AE36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AE354" i="3"/>
  <c r="AE353" i="3"/>
  <c r="AE352" i="3"/>
  <c r="AE351" i="3"/>
  <c r="AE350" i="3"/>
  <c r="AE349" i="3"/>
  <c r="AE348" i="3"/>
  <c r="AE347" i="3"/>
  <c r="AE346" i="3"/>
  <c r="AE345" i="3"/>
  <c r="AE344" i="3"/>
  <c r="AE343" i="3"/>
  <c r="AE342" i="3"/>
  <c r="AE341" i="3"/>
  <c r="AE340" i="3"/>
  <c r="AE339" i="3"/>
  <c r="AE338" i="3"/>
  <c r="AE337" i="3"/>
  <c r="AE336" i="3"/>
  <c r="AE335" i="3"/>
  <c r="AE334" i="3"/>
  <c r="AE333" i="3"/>
  <c r="AE332" i="3"/>
  <c r="AE331" i="3"/>
  <c r="AE330" i="3"/>
  <c r="AE329" i="3"/>
  <c r="AE328" i="3"/>
  <c r="AE327" i="3"/>
  <c r="AE326" i="3"/>
  <c r="AE32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AE319" i="3"/>
  <c r="AE318" i="3"/>
  <c r="AE317" i="3"/>
  <c r="AE316" i="3"/>
  <c r="AE315" i="3"/>
  <c r="AE314" i="3"/>
  <c r="AE313" i="3"/>
  <c r="AE312" i="3"/>
  <c r="AE311" i="3"/>
  <c r="AE310" i="3"/>
  <c r="AE309" i="3"/>
  <c r="AE308" i="3"/>
  <c r="AE307" i="3"/>
  <c r="AE306" i="3"/>
  <c r="AE305" i="3"/>
  <c r="AE304" i="3"/>
  <c r="AE303" i="3"/>
  <c r="AE302" i="3"/>
  <c r="AE301" i="3"/>
  <c r="AE300" i="3"/>
  <c r="AE299" i="3"/>
  <c r="AE298" i="3"/>
  <c r="AE297" i="3"/>
  <c r="AE296" i="3"/>
  <c r="AE295" i="3"/>
  <c r="AE294" i="3"/>
  <c r="AE293" i="3"/>
  <c r="AE292" i="3"/>
  <c r="AE291" i="3"/>
  <c r="AE29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AE283" i="3"/>
  <c r="AE282" i="3"/>
  <c r="AE281" i="3"/>
  <c r="AE280" i="3"/>
  <c r="AE279" i="3"/>
  <c r="AE278" i="3"/>
  <c r="AE277" i="3"/>
  <c r="AE276" i="3"/>
  <c r="AE275" i="3"/>
  <c r="AE274" i="3"/>
  <c r="AE273" i="3"/>
  <c r="AE272" i="3"/>
  <c r="AE271" i="3"/>
  <c r="AE270" i="3"/>
  <c r="AE269" i="3"/>
  <c r="AE268" i="3"/>
  <c r="AE267" i="3"/>
  <c r="AE266" i="3"/>
  <c r="AE265" i="3"/>
  <c r="AE264" i="3"/>
  <c r="AE263" i="3"/>
  <c r="AE262" i="3"/>
  <c r="AE261" i="3"/>
  <c r="AE260" i="3"/>
  <c r="AE259" i="3"/>
  <c r="AE258" i="3"/>
  <c r="AE257" i="3"/>
  <c r="AE256" i="3"/>
  <c r="AE255" i="3"/>
  <c r="AE25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AE247" i="3"/>
  <c r="AE246" i="3"/>
  <c r="AE245" i="3"/>
  <c r="AE244" i="3"/>
  <c r="AE243" i="3"/>
  <c r="AE242" i="3"/>
  <c r="AE241" i="3"/>
  <c r="AE240" i="3"/>
  <c r="AE239" i="3"/>
  <c r="AE238" i="3"/>
  <c r="AE237" i="3"/>
  <c r="AE236" i="3"/>
  <c r="AE235" i="3"/>
  <c r="AE234" i="3"/>
  <c r="AE233" i="3"/>
  <c r="AE232" i="3"/>
  <c r="AE231" i="3"/>
  <c r="AE230" i="3"/>
  <c r="AE229" i="3"/>
  <c r="AE228" i="3"/>
  <c r="AE227" i="3"/>
  <c r="AE226" i="3"/>
  <c r="AE225" i="3"/>
  <c r="AE224" i="3"/>
  <c r="AE223" i="3"/>
  <c r="AE222" i="3"/>
  <c r="AE221" i="3"/>
  <c r="AE220" i="3"/>
  <c r="AE219" i="3"/>
  <c r="AE21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AE212" i="3"/>
  <c r="AE211" i="3"/>
  <c r="AE210" i="3"/>
  <c r="AE209" i="3"/>
  <c r="AE208" i="3"/>
  <c r="AE207" i="3"/>
  <c r="AE206" i="3"/>
  <c r="AE205" i="3"/>
  <c r="AE204" i="3"/>
  <c r="AE203" i="3"/>
  <c r="AE202" i="3"/>
  <c r="AE201" i="3"/>
  <c r="AE200" i="3"/>
  <c r="AE199" i="3"/>
  <c r="AE198" i="3"/>
  <c r="AE197" i="3"/>
  <c r="AE196" i="3"/>
  <c r="AE195" i="3"/>
  <c r="AE194" i="3"/>
  <c r="AE193" i="3"/>
  <c r="AE192" i="3"/>
  <c r="AE191" i="3"/>
  <c r="AE190" i="3"/>
  <c r="AE189" i="3"/>
  <c r="AE188" i="3"/>
  <c r="AE187" i="3"/>
  <c r="AE186" i="3"/>
  <c r="AE185" i="3"/>
  <c r="AE184" i="3"/>
  <c r="AE18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AE176" i="3"/>
  <c r="AE175" i="3"/>
  <c r="AE174" i="3"/>
  <c r="AE173" i="3"/>
  <c r="AE172" i="3"/>
  <c r="AE171" i="3"/>
  <c r="AE170" i="3"/>
  <c r="AE169" i="3"/>
  <c r="AE168" i="3"/>
  <c r="AE167" i="3"/>
  <c r="AE166" i="3"/>
  <c r="AE165" i="3"/>
  <c r="AE164" i="3"/>
  <c r="AE163" i="3"/>
  <c r="AE162" i="3"/>
  <c r="AE161" i="3"/>
  <c r="AE160" i="3"/>
  <c r="AE159" i="3"/>
  <c r="AE158" i="3"/>
  <c r="AE157" i="3"/>
  <c r="AE156" i="3"/>
  <c r="AE155" i="3"/>
  <c r="AE154" i="3"/>
  <c r="AE153" i="3"/>
  <c r="AE152" i="3"/>
  <c r="AE151" i="3"/>
  <c r="AE150" i="3"/>
  <c r="AE149" i="3"/>
  <c r="AE148" i="3"/>
  <c r="AE14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AE140" i="3"/>
  <c r="AE139" i="3"/>
  <c r="AE138" i="3"/>
  <c r="AE137" i="3"/>
  <c r="AE136" i="3"/>
  <c r="AE135" i="3"/>
  <c r="AE134" i="3"/>
  <c r="AE133" i="3"/>
  <c r="AE132" i="3"/>
  <c r="AE131" i="3"/>
  <c r="AE130" i="3"/>
  <c r="AE129" i="3"/>
  <c r="AE128" i="3"/>
  <c r="AE127" i="3"/>
  <c r="AE126" i="3"/>
  <c r="AE125" i="3"/>
  <c r="AE124" i="3"/>
  <c r="AE123" i="3"/>
  <c r="AE122" i="3"/>
  <c r="AE121" i="3"/>
  <c r="AE120" i="3"/>
  <c r="AE119" i="3"/>
  <c r="AE118" i="3"/>
  <c r="AE117" i="3"/>
  <c r="AE116" i="3"/>
  <c r="AE115" i="3"/>
  <c r="AE114" i="3"/>
  <c r="AE113" i="3"/>
  <c r="AE112" i="3"/>
  <c r="AE11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AE105" i="3"/>
  <c r="AE104" i="3"/>
  <c r="AE103" i="3"/>
  <c r="AE102" i="3"/>
  <c r="AE101" i="3"/>
  <c r="AE100" i="3"/>
  <c r="AE99" i="3"/>
  <c r="AE98" i="3"/>
  <c r="AE97" i="3"/>
  <c r="AE96" i="3"/>
  <c r="AE95" i="3"/>
  <c r="AE94" i="3"/>
  <c r="AE93" i="3"/>
  <c r="AE92" i="3"/>
  <c r="AE91" i="3"/>
  <c r="AE90" i="3"/>
  <c r="AE89" i="3"/>
  <c r="AE88" i="3"/>
  <c r="AE87" i="3"/>
  <c r="AE86" i="3"/>
  <c r="AE85" i="3"/>
  <c r="AE84" i="3"/>
  <c r="AE83" i="3"/>
  <c r="AE82" i="3"/>
  <c r="AE81" i="3"/>
  <c r="AE80" i="3"/>
  <c r="AE79" i="3"/>
  <c r="AE78" i="3"/>
  <c r="AE77" i="3"/>
  <c r="AE7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AE69" i="3"/>
  <c r="AE68" i="3"/>
  <c r="AE67" i="3"/>
  <c r="AE66" i="3"/>
  <c r="AE65" i="3"/>
  <c r="AE64" i="3"/>
  <c r="AE63" i="3"/>
  <c r="AE62" i="3"/>
  <c r="AE61" i="3"/>
  <c r="AE60" i="3"/>
  <c r="AE59" i="3"/>
  <c r="AE58" i="3"/>
  <c r="AE57" i="3"/>
  <c r="AE56" i="3"/>
  <c r="AE55" i="3"/>
  <c r="AE54" i="3"/>
  <c r="AE53" i="3"/>
  <c r="AE52" i="3"/>
  <c r="AE51" i="3"/>
  <c r="AE50" i="3"/>
  <c r="AE49" i="3"/>
  <c r="AE48" i="3"/>
  <c r="AE47" i="3"/>
  <c r="AE46" i="3"/>
  <c r="AE45" i="3"/>
  <c r="AE44" i="3"/>
  <c r="AE43" i="3"/>
  <c r="AE42" i="3"/>
  <c r="AE41" i="3"/>
  <c r="AE4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AE33" i="3"/>
  <c r="AE32" i="3"/>
  <c r="AE31" i="3"/>
  <c r="AE30" i="3"/>
  <c r="AE29" i="3"/>
  <c r="AE28" i="3"/>
  <c r="AE27" i="3"/>
  <c r="AE26" i="3"/>
  <c r="AE25" i="3"/>
  <c r="AE24" i="3"/>
  <c r="AE23" i="3"/>
  <c r="AE22" i="3"/>
  <c r="AE21" i="3"/>
  <c r="AE20" i="3"/>
  <c r="AE19" i="3"/>
  <c r="AE18" i="3"/>
  <c r="AE17" i="3"/>
  <c r="AE16" i="3"/>
  <c r="AE15" i="3"/>
  <c r="AE14" i="3"/>
  <c r="AE13" i="3"/>
  <c r="AE12" i="3"/>
  <c r="AE11" i="3"/>
  <c r="AE10" i="3"/>
  <c r="AE9" i="3"/>
  <c r="AE8" i="3"/>
  <c r="AE7" i="3"/>
  <c r="AE6" i="3"/>
  <c r="AE5" i="3"/>
  <c r="AE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BL534" i="1"/>
  <c r="AT534" i="1"/>
  <c r="BL498" i="1"/>
  <c r="AT498" i="1"/>
  <c r="BL462" i="1"/>
  <c r="AT462" i="1"/>
  <c r="BL427" i="1"/>
  <c r="AT427" i="1"/>
  <c r="BL391" i="1"/>
  <c r="AT391" i="1"/>
  <c r="BL355" i="1"/>
  <c r="AT355" i="1"/>
  <c r="BL320" i="1"/>
  <c r="AT320" i="1"/>
  <c r="BL284" i="1"/>
  <c r="AT284" i="1"/>
  <c r="BL248" i="1"/>
  <c r="AT248" i="1"/>
  <c r="BL213" i="1"/>
  <c r="AT213" i="1"/>
  <c r="BL177" i="1"/>
  <c r="AT177" i="1"/>
  <c r="BL141" i="1"/>
  <c r="AT141" i="1"/>
  <c r="BL106" i="1"/>
  <c r="AT106" i="1"/>
  <c r="BL70" i="1"/>
  <c r="AT70" i="1"/>
  <c r="BL34" i="1"/>
  <c r="AT34" i="1"/>
  <c r="AB534" i="1"/>
  <c r="J534" i="1"/>
  <c r="AB498" i="1"/>
  <c r="J498" i="1"/>
  <c r="AB462" i="1"/>
  <c r="J462" i="1"/>
  <c r="AB427" i="1"/>
  <c r="J427" i="1"/>
  <c r="AB391" i="1"/>
  <c r="J391" i="1"/>
  <c r="AB355" i="1"/>
  <c r="J355" i="1"/>
  <c r="AB320" i="1"/>
  <c r="J320" i="1"/>
  <c r="AB284" i="1"/>
  <c r="J284" i="1"/>
  <c r="AB248" i="1"/>
  <c r="J248" i="1"/>
  <c r="AB213" i="1"/>
  <c r="J213" i="1"/>
  <c r="AB177" i="1"/>
  <c r="J177" i="1"/>
  <c r="AB141" i="1"/>
  <c r="J141" i="1"/>
  <c r="AB106" i="1"/>
  <c r="J106" i="1"/>
  <c r="AB70" i="1"/>
  <c r="J70" i="1"/>
  <c r="AB34" i="1"/>
  <c r="J34" i="1"/>
  <c r="BG534" i="1"/>
  <c r="AO534" i="1"/>
  <c r="BG498" i="1"/>
  <c r="AO498" i="1"/>
  <c r="BG462" i="1"/>
  <c r="AO462" i="1"/>
  <c r="BG427" i="1"/>
  <c r="AO427" i="1"/>
  <c r="BG391" i="1"/>
  <c r="AO391" i="1"/>
  <c r="BG355" i="1"/>
  <c r="AO355" i="1"/>
  <c r="BG320" i="1"/>
  <c r="AO320" i="1"/>
  <c r="BG284" i="1"/>
  <c r="AO284" i="1"/>
  <c r="BG248" i="1"/>
  <c r="AO248" i="1"/>
  <c r="BG213" i="1"/>
  <c r="AO213" i="1"/>
  <c r="BG177" i="1"/>
  <c r="AO177" i="1"/>
  <c r="BG141" i="1"/>
  <c r="AO141" i="1"/>
  <c r="BG106" i="1"/>
  <c r="AO106" i="1"/>
  <c r="BG70" i="1"/>
  <c r="AO70" i="1"/>
  <c r="BG34" i="1"/>
  <c r="AO34" i="1"/>
  <c r="W534" i="1"/>
  <c r="E534" i="1"/>
  <c r="W498" i="1"/>
  <c r="E498" i="1"/>
  <c r="W462" i="1"/>
  <c r="E462" i="1"/>
  <c r="W427" i="1"/>
  <c r="E427" i="1"/>
  <c r="W391" i="1"/>
  <c r="E391" i="1"/>
  <c r="W355" i="1"/>
  <c r="E355" i="1"/>
  <c r="W320" i="1"/>
  <c r="E320" i="1"/>
  <c r="W284" i="1"/>
  <c r="E284" i="1"/>
  <c r="W248" i="1"/>
  <c r="E248" i="1"/>
  <c r="W213" i="1"/>
  <c r="E213" i="1"/>
  <c r="W177" i="1"/>
  <c r="E177" i="1"/>
  <c r="W141" i="1"/>
  <c r="E141" i="1"/>
  <c r="W106" i="1"/>
  <c r="E106" i="1"/>
  <c r="W70" i="1"/>
  <c r="E70" i="1"/>
  <c r="W34" i="1"/>
  <c r="E34" i="1"/>
  <c r="BL534" i="2" l="1"/>
  <c r="BG534" i="2"/>
  <c r="AT534" i="2"/>
  <c r="AO534" i="2"/>
  <c r="AB534" i="2"/>
  <c r="W534" i="2"/>
  <c r="J534" i="2"/>
  <c r="E534" i="2"/>
  <c r="BO533" i="2"/>
  <c r="AW533" i="2"/>
  <c r="AE533" i="2"/>
  <c r="M533" i="2"/>
  <c r="BO532" i="2"/>
  <c r="AW532" i="2"/>
  <c r="AE532" i="2"/>
  <c r="M532" i="2"/>
  <c r="BO531" i="2"/>
  <c r="AW531" i="2"/>
  <c r="AE531" i="2"/>
  <c r="M531" i="2"/>
  <c r="BO530" i="2"/>
  <c r="AW530" i="2"/>
  <c r="AE530" i="2"/>
  <c r="M530" i="2"/>
  <c r="BO529" i="2"/>
  <c r="AW529" i="2"/>
  <c r="AE529" i="2"/>
  <c r="M529" i="2"/>
  <c r="BO528" i="2"/>
  <c r="AW528" i="2"/>
  <c r="AE528" i="2"/>
  <c r="M528" i="2"/>
  <c r="BO527" i="2"/>
  <c r="AW527" i="2"/>
  <c r="AE527" i="2"/>
  <c r="M527" i="2"/>
  <c r="BO526" i="2"/>
  <c r="AW526" i="2"/>
  <c r="AE526" i="2"/>
  <c r="M526" i="2"/>
  <c r="BO525" i="2"/>
  <c r="AW525" i="2"/>
  <c r="AE525" i="2"/>
  <c r="M525" i="2"/>
  <c r="BO524" i="2"/>
  <c r="AW524" i="2"/>
  <c r="AE524" i="2"/>
  <c r="M524" i="2"/>
  <c r="BO523" i="2"/>
  <c r="AW523" i="2"/>
  <c r="AE523" i="2"/>
  <c r="M523" i="2"/>
  <c r="BO522" i="2"/>
  <c r="AW522" i="2"/>
  <c r="AE522" i="2"/>
  <c r="M522" i="2"/>
  <c r="BO521" i="2"/>
  <c r="AW521" i="2"/>
  <c r="AE521" i="2"/>
  <c r="M521" i="2"/>
  <c r="BO520" i="2"/>
  <c r="AW520" i="2"/>
  <c r="AE520" i="2"/>
  <c r="M520" i="2"/>
  <c r="BO519" i="2"/>
  <c r="AW519" i="2"/>
  <c r="AE519" i="2"/>
  <c r="M519" i="2"/>
  <c r="BO518" i="2"/>
  <c r="AW518" i="2"/>
  <c r="AE518" i="2"/>
  <c r="M518" i="2"/>
  <c r="BO517" i="2"/>
  <c r="AW517" i="2"/>
  <c r="AE517" i="2"/>
  <c r="M517" i="2"/>
  <c r="BO516" i="2"/>
  <c r="AW516" i="2"/>
  <c r="AE516" i="2"/>
  <c r="M516" i="2"/>
  <c r="BO515" i="2"/>
  <c r="AW515" i="2"/>
  <c r="AE515" i="2"/>
  <c r="M515" i="2"/>
  <c r="BO514" i="2"/>
  <c r="AW514" i="2"/>
  <c r="AE514" i="2"/>
  <c r="M514" i="2"/>
  <c r="BO513" i="2"/>
  <c r="AW513" i="2"/>
  <c r="AE513" i="2"/>
  <c r="M513" i="2"/>
  <c r="BO512" i="2"/>
  <c r="AW512" i="2"/>
  <c r="AE512" i="2"/>
  <c r="M512" i="2"/>
  <c r="BO511" i="2"/>
  <c r="AW511" i="2"/>
  <c r="AE511" i="2"/>
  <c r="M511" i="2"/>
  <c r="BO510" i="2"/>
  <c r="AW510" i="2"/>
  <c r="AE510" i="2"/>
  <c r="M510" i="2"/>
  <c r="BO509" i="2"/>
  <c r="AW509" i="2"/>
  <c r="AE509" i="2"/>
  <c r="M509" i="2"/>
  <c r="BO508" i="2"/>
  <c r="AW508" i="2"/>
  <c r="AE508" i="2"/>
  <c r="M508" i="2"/>
  <c r="BO507" i="2"/>
  <c r="AW507" i="2"/>
  <c r="AE507" i="2"/>
  <c r="M507" i="2"/>
  <c r="BO506" i="2"/>
  <c r="AW506" i="2"/>
  <c r="AE506" i="2"/>
  <c r="M506" i="2"/>
  <c r="BO505" i="2"/>
  <c r="AW505" i="2"/>
  <c r="AE505" i="2"/>
  <c r="M505" i="2"/>
  <c r="BO504" i="2"/>
  <c r="AW504" i="2"/>
  <c r="AE504" i="2"/>
  <c r="M504" i="2"/>
  <c r="BL498" i="2"/>
  <c r="BG498" i="2"/>
  <c r="AT498" i="2"/>
  <c r="AO498" i="2"/>
  <c r="AB498" i="2"/>
  <c r="W498" i="2"/>
  <c r="J498" i="2"/>
  <c r="E498" i="2"/>
  <c r="BO497" i="2"/>
  <c r="AW497" i="2"/>
  <c r="AE497" i="2"/>
  <c r="M497" i="2"/>
  <c r="BO496" i="2"/>
  <c r="AW496" i="2"/>
  <c r="AE496" i="2"/>
  <c r="M496" i="2"/>
  <c r="BO495" i="2"/>
  <c r="AW495" i="2"/>
  <c r="AE495" i="2"/>
  <c r="M495" i="2"/>
  <c r="BO494" i="2"/>
  <c r="AW494" i="2"/>
  <c r="AE494" i="2"/>
  <c r="M494" i="2"/>
  <c r="BO493" i="2"/>
  <c r="AW493" i="2"/>
  <c r="AE493" i="2"/>
  <c r="M493" i="2"/>
  <c r="BO492" i="2"/>
  <c r="AW492" i="2"/>
  <c r="AE492" i="2"/>
  <c r="M492" i="2"/>
  <c r="BO491" i="2"/>
  <c r="AW491" i="2"/>
  <c r="AE491" i="2"/>
  <c r="M491" i="2"/>
  <c r="BO490" i="2"/>
  <c r="AW490" i="2"/>
  <c r="AE490" i="2"/>
  <c r="M490" i="2"/>
  <c r="BO489" i="2"/>
  <c r="AW489" i="2"/>
  <c r="AE489" i="2"/>
  <c r="M489" i="2"/>
  <c r="BO488" i="2"/>
  <c r="AW488" i="2"/>
  <c r="AE488" i="2"/>
  <c r="M488" i="2"/>
  <c r="BO487" i="2"/>
  <c r="AW487" i="2"/>
  <c r="AE487" i="2"/>
  <c r="M487" i="2"/>
  <c r="BO486" i="2"/>
  <c r="AW486" i="2"/>
  <c r="AE486" i="2"/>
  <c r="M486" i="2"/>
  <c r="BO485" i="2"/>
  <c r="AW485" i="2"/>
  <c r="AE485" i="2"/>
  <c r="M485" i="2"/>
  <c r="BO484" i="2"/>
  <c r="AW484" i="2"/>
  <c r="AE484" i="2"/>
  <c r="M484" i="2"/>
  <c r="BO483" i="2"/>
  <c r="AW483" i="2"/>
  <c r="AE483" i="2"/>
  <c r="M483" i="2"/>
  <c r="BO482" i="2"/>
  <c r="AW482" i="2"/>
  <c r="AE482" i="2"/>
  <c r="M482" i="2"/>
  <c r="BO481" i="2"/>
  <c r="AW481" i="2"/>
  <c r="AE481" i="2"/>
  <c r="M481" i="2"/>
  <c r="BO480" i="2"/>
  <c r="AW480" i="2"/>
  <c r="AE480" i="2"/>
  <c r="M480" i="2"/>
  <c r="BO479" i="2"/>
  <c r="AW479" i="2"/>
  <c r="AE479" i="2"/>
  <c r="M479" i="2"/>
  <c r="BO478" i="2"/>
  <c r="AW478" i="2"/>
  <c r="AE478" i="2"/>
  <c r="M478" i="2"/>
  <c r="BO477" i="2"/>
  <c r="AW477" i="2"/>
  <c r="AE477" i="2"/>
  <c r="M477" i="2"/>
  <c r="BO476" i="2"/>
  <c r="AW476" i="2"/>
  <c r="AE476" i="2"/>
  <c r="M476" i="2"/>
  <c r="BO475" i="2"/>
  <c r="AW475" i="2"/>
  <c r="AE475" i="2"/>
  <c r="M475" i="2"/>
  <c r="BO474" i="2"/>
  <c r="AW474" i="2"/>
  <c r="AE474" i="2"/>
  <c r="M474" i="2"/>
  <c r="BO473" i="2"/>
  <c r="AW473" i="2"/>
  <c r="AE473" i="2"/>
  <c r="M473" i="2"/>
  <c r="BO472" i="2"/>
  <c r="AW472" i="2"/>
  <c r="AE472" i="2"/>
  <c r="M472" i="2"/>
  <c r="BO471" i="2"/>
  <c r="AW471" i="2"/>
  <c r="AE471" i="2"/>
  <c r="M471" i="2"/>
  <c r="BO470" i="2"/>
  <c r="AW470" i="2"/>
  <c r="AE470" i="2"/>
  <c r="M470" i="2"/>
  <c r="BO469" i="2"/>
  <c r="AW469" i="2"/>
  <c r="AE469" i="2"/>
  <c r="M469" i="2"/>
  <c r="BO468" i="2"/>
  <c r="AW468" i="2"/>
  <c r="AE468" i="2"/>
  <c r="M468" i="2"/>
  <c r="BL462" i="2"/>
  <c r="BG462" i="2"/>
  <c r="AT462" i="2"/>
  <c r="AO462" i="2"/>
  <c r="AB462" i="2"/>
  <c r="W462" i="2"/>
  <c r="J462" i="2"/>
  <c r="E462" i="2"/>
  <c r="BO461" i="2"/>
  <c r="AW461" i="2"/>
  <c r="AE461" i="2"/>
  <c r="M461" i="2"/>
  <c r="BO460" i="2"/>
  <c r="AW460" i="2"/>
  <c r="AE460" i="2"/>
  <c r="M460" i="2"/>
  <c r="BO459" i="2"/>
  <c r="AW459" i="2"/>
  <c r="AE459" i="2"/>
  <c r="M459" i="2"/>
  <c r="BO458" i="2"/>
  <c r="AW458" i="2"/>
  <c r="AE458" i="2"/>
  <c r="M458" i="2"/>
  <c r="BO457" i="2"/>
  <c r="AW457" i="2"/>
  <c r="AE457" i="2"/>
  <c r="M457" i="2"/>
  <c r="BO456" i="2"/>
  <c r="AW456" i="2"/>
  <c r="AE456" i="2"/>
  <c r="M456" i="2"/>
  <c r="BO455" i="2"/>
  <c r="AW455" i="2"/>
  <c r="AE455" i="2"/>
  <c r="M455" i="2"/>
  <c r="BO454" i="2"/>
  <c r="AW454" i="2"/>
  <c r="AE454" i="2"/>
  <c r="M454" i="2"/>
  <c r="BO453" i="2"/>
  <c r="AW453" i="2"/>
  <c r="AE453" i="2"/>
  <c r="M453" i="2"/>
  <c r="BO452" i="2"/>
  <c r="AW452" i="2"/>
  <c r="AE452" i="2"/>
  <c r="M452" i="2"/>
  <c r="BO451" i="2"/>
  <c r="AW451" i="2"/>
  <c r="AE451" i="2"/>
  <c r="M451" i="2"/>
  <c r="BO450" i="2"/>
  <c r="AW450" i="2"/>
  <c r="AE450" i="2"/>
  <c r="M450" i="2"/>
  <c r="BO449" i="2"/>
  <c r="AW449" i="2"/>
  <c r="AE449" i="2"/>
  <c r="M449" i="2"/>
  <c r="BO448" i="2"/>
  <c r="AW448" i="2"/>
  <c r="AE448" i="2"/>
  <c r="M448" i="2"/>
  <c r="BO447" i="2"/>
  <c r="AW447" i="2"/>
  <c r="AE447" i="2"/>
  <c r="M447" i="2"/>
  <c r="BO446" i="2"/>
  <c r="AW446" i="2"/>
  <c r="AE446" i="2"/>
  <c r="M446" i="2"/>
  <c r="BO445" i="2"/>
  <c r="AW445" i="2"/>
  <c r="AE445" i="2"/>
  <c r="M445" i="2"/>
  <c r="BO444" i="2"/>
  <c r="AW444" i="2"/>
  <c r="AE444" i="2"/>
  <c r="M444" i="2"/>
  <c r="BO443" i="2"/>
  <c r="AW443" i="2"/>
  <c r="AE443" i="2"/>
  <c r="M443" i="2"/>
  <c r="BO442" i="2"/>
  <c r="AW442" i="2"/>
  <c r="AE442" i="2"/>
  <c r="M442" i="2"/>
  <c r="BO441" i="2"/>
  <c r="AW441" i="2"/>
  <c r="AE441" i="2"/>
  <c r="M441" i="2"/>
  <c r="BO440" i="2"/>
  <c r="AW440" i="2"/>
  <c r="AE440" i="2"/>
  <c r="M440" i="2"/>
  <c r="BO439" i="2"/>
  <c r="AW439" i="2"/>
  <c r="AE439" i="2"/>
  <c r="M439" i="2"/>
  <c r="BO438" i="2"/>
  <c r="AW438" i="2"/>
  <c r="AE438" i="2"/>
  <c r="M438" i="2"/>
  <c r="BO437" i="2"/>
  <c r="AW437" i="2"/>
  <c r="AE437" i="2"/>
  <c r="M437" i="2"/>
  <c r="BO436" i="2"/>
  <c r="AW436" i="2"/>
  <c r="AE436" i="2"/>
  <c r="M436" i="2"/>
  <c r="BO435" i="2"/>
  <c r="AW435" i="2"/>
  <c r="AE435" i="2"/>
  <c r="M435" i="2"/>
  <c r="BO434" i="2"/>
  <c r="AW434" i="2"/>
  <c r="AE434" i="2"/>
  <c r="M434" i="2"/>
  <c r="BO433" i="2"/>
  <c r="AW433" i="2"/>
  <c r="AE433" i="2"/>
  <c r="M433" i="2"/>
  <c r="BO432" i="2"/>
  <c r="AW432" i="2"/>
  <c r="AE432" i="2"/>
  <c r="M432" i="2"/>
  <c r="BL427" i="2"/>
  <c r="BG427" i="2"/>
  <c r="AT427" i="2"/>
  <c r="AO427" i="2"/>
  <c r="AB427" i="2"/>
  <c r="W427" i="2"/>
  <c r="J427" i="2"/>
  <c r="E427" i="2"/>
  <c r="BO426" i="2"/>
  <c r="AW426" i="2"/>
  <c r="AE426" i="2"/>
  <c r="M426" i="2"/>
  <c r="BO425" i="2"/>
  <c r="AW425" i="2"/>
  <c r="AE425" i="2"/>
  <c r="M425" i="2"/>
  <c r="BO424" i="2"/>
  <c r="AW424" i="2"/>
  <c r="AE424" i="2"/>
  <c r="M424" i="2"/>
  <c r="BO423" i="2"/>
  <c r="AW423" i="2"/>
  <c r="AE423" i="2"/>
  <c r="M423" i="2"/>
  <c r="BO422" i="2"/>
  <c r="AW422" i="2"/>
  <c r="AE422" i="2"/>
  <c r="M422" i="2"/>
  <c r="BO421" i="2"/>
  <c r="AW421" i="2"/>
  <c r="AE421" i="2"/>
  <c r="M421" i="2"/>
  <c r="BO420" i="2"/>
  <c r="AW420" i="2"/>
  <c r="AE420" i="2"/>
  <c r="M420" i="2"/>
  <c r="BO419" i="2"/>
  <c r="AW419" i="2"/>
  <c r="AE419" i="2"/>
  <c r="M419" i="2"/>
  <c r="BO418" i="2"/>
  <c r="AW418" i="2"/>
  <c r="AE418" i="2"/>
  <c r="M418" i="2"/>
  <c r="BO417" i="2"/>
  <c r="AW417" i="2"/>
  <c r="AE417" i="2"/>
  <c r="M417" i="2"/>
  <c r="BO416" i="2"/>
  <c r="AW416" i="2"/>
  <c r="AE416" i="2"/>
  <c r="M416" i="2"/>
  <c r="BO415" i="2"/>
  <c r="AW415" i="2"/>
  <c r="AE415" i="2"/>
  <c r="M415" i="2"/>
  <c r="BO414" i="2"/>
  <c r="AW414" i="2"/>
  <c r="AE414" i="2"/>
  <c r="M414" i="2"/>
  <c r="BO413" i="2"/>
  <c r="AW413" i="2"/>
  <c r="AE413" i="2"/>
  <c r="M413" i="2"/>
  <c r="BO412" i="2"/>
  <c r="AW412" i="2"/>
  <c r="AE412" i="2"/>
  <c r="M412" i="2"/>
  <c r="BO411" i="2"/>
  <c r="AW411" i="2"/>
  <c r="AE411" i="2"/>
  <c r="M411" i="2"/>
  <c r="BO410" i="2"/>
  <c r="AW410" i="2"/>
  <c r="AE410" i="2"/>
  <c r="M410" i="2"/>
  <c r="BO409" i="2"/>
  <c r="AW409" i="2"/>
  <c r="AE409" i="2"/>
  <c r="M409" i="2"/>
  <c r="BO408" i="2"/>
  <c r="AW408" i="2"/>
  <c r="AE408" i="2"/>
  <c r="M408" i="2"/>
  <c r="BO407" i="2"/>
  <c r="AW407" i="2"/>
  <c r="AE407" i="2"/>
  <c r="M407" i="2"/>
  <c r="BO406" i="2"/>
  <c r="AW406" i="2"/>
  <c r="AE406" i="2"/>
  <c r="M406" i="2"/>
  <c r="BO405" i="2"/>
  <c r="AW405" i="2"/>
  <c r="AE405" i="2"/>
  <c r="M405" i="2"/>
  <c r="BO404" i="2"/>
  <c r="AW404" i="2"/>
  <c r="AE404" i="2"/>
  <c r="M404" i="2"/>
  <c r="BO403" i="2"/>
  <c r="AW403" i="2"/>
  <c r="AE403" i="2"/>
  <c r="M403" i="2"/>
  <c r="BO402" i="2"/>
  <c r="AW402" i="2"/>
  <c r="AE402" i="2"/>
  <c r="M402" i="2"/>
  <c r="BO401" i="2"/>
  <c r="AW401" i="2"/>
  <c r="AE401" i="2"/>
  <c r="M401" i="2"/>
  <c r="BO400" i="2"/>
  <c r="AW400" i="2"/>
  <c r="AE400" i="2"/>
  <c r="M400" i="2"/>
  <c r="BO399" i="2"/>
  <c r="AW399" i="2"/>
  <c r="AE399" i="2"/>
  <c r="M399" i="2"/>
  <c r="BO398" i="2"/>
  <c r="AW398" i="2"/>
  <c r="AE398" i="2"/>
  <c r="M398" i="2"/>
  <c r="BO397" i="2"/>
  <c r="AW397" i="2"/>
  <c r="AE397" i="2"/>
  <c r="M397" i="2"/>
  <c r="BL391" i="2"/>
  <c r="BG391" i="2"/>
  <c r="AT391" i="2"/>
  <c r="AO391" i="2"/>
  <c r="AB391" i="2"/>
  <c r="W391" i="2"/>
  <c r="J391" i="2"/>
  <c r="E391" i="2"/>
  <c r="BO390" i="2"/>
  <c r="AW390" i="2"/>
  <c r="AE390" i="2"/>
  <c r="M390" i="2"/>
  <c r="BO389" i="2"/>
  <c r="AW389" i="2"/>
  <c r="AE389" i="2"/>
  <c r="M389" i="2"/>
  <c r="BO388" i="2"/>
  <c r="AW388" i="2"/>
  <c r="AE388" i="2"/>
  <c r="M388" i="2"/>
  <c r="BO387" i="2"/>
  <c r="AW387" i="2"/>
  <c r="AE387" i="2"/>
  <c r="M387" i="2"/>
  <c r="BO386" i="2"/>
  <c r="AW386" i="2"/>
  <c r="AE386" i="2"/>
  <c r="M386" i="2"/>
  <c r="BO385" i="2"/>
  <c r="AW385" i="2"/>
  <c r="AE385" i="2"/>
  <c r="M385" i="2"/>
  <c r="BO384" i="2"/>
  <c r="AW384" i="2"/>
  <c r="AE384" i="2"/>
  <c r="M384" i="2"/>
  <c r="BO383" i="2"/>
  <c r="AW383" i="2"/>
  <c r="AE383" i="2"/>
  <c r="M383" i="2"/>
  <c r="BO382" i="2"/>
  <c r="AW382" i="2"/>
  <c r="AE382" i="2"/>
  <c r="M382" i="2"/>
  <c r="BO381" i="2"/>
  <c r="AW381" i="2"/>
  <c r="AE381" i="2"/>
  <c r="M381" i="2"/>
  <c r="BO380" i="2"/>
  <c r="AW380" i="2"/>
  <c r="AE380" i="2"/>
  <c r="M380" i="2"/>
  <c r="BO379" i="2"/>
  <c r="AW379" i="2"/>
  <c r="AE379" i="2"/>
  <c r="M379" i="2"/>
  <c r="BO378" i="2"/>
  <c r="AW378" i="2"/>
  <c r="AE378" i="2"/>
  <c r="M378" i="2"/>
  <c r="BO377" i="2"/>
  <c r="AW377" i="2"/>
  <c r="AE377" i="2"/>
  <c r="M377" i="2"/>
  <c r="BO376" i="2"/>
  <c r="AW376" i="2"/>
  <c r="AE376" i="2"/>
  <c r="M376" i="2"/>
  <c r="BO375" i="2"/>
  <c r="AW375" i="2"/>
  <c r="AE375" i="2"/>
  <c r="M375" i="2"/>
  <c r="BO374" i="2"/>
  <c r="AW374" i="2"/>
  <c r="AE374" i="2"/>
  <c r="M374" i="2"/>
  <c r="BO373" i="2"/>
  <c r="AW373" i="2"/>
  <c r="AE373" i="2"/>
  <c r="M373" i="2"/>
  <c r="BO372" i="2"/>
  <c r="AW372" i="2"/>
  <c r="AE372" i="2"/>
  <c r="M372" i="2"/>
  <c r="BO371" i="2"/>
  <c r="AW371" i="2"/>
  <c r="AE371" i="2"/>
  <c r="M371" i="2"/>
  <c r="BO370" i="2"/>
  <c r="AW370" i="2"/>
  <c r="AE370" i="2"/>
  <c r="M370" i="2"/>
  <c r="BO369" i="2"/>
  <c r="AW369" i="2"/>
  <c r="AE369" i="2"/>
  <c r="M369" i="2"/>
  <c r="BO368" i="2"/>
  <c r="AW368" i="2"/>
  <c r="AE368" i="2"/>
  <c r="M368" i="2"/>
  <c r="BO367" i="2"/>
  <c r="AW367" i="2"/>
  <c r="AE367" i="2"/>
  <c r="M367" i="2"/>
  <c r="BO366" i="2"/>
  <c r="AW366" i="2"/>
  <c r="AE366" i="2"/>
  <c r="M366" i="2"/>
  <c r="BO365" i="2"/>
  <c r="AW365" i="2"/>
  <c r="AE365" i="2"/>
  <c r="M365" i="2"/>
  <c r="BO364" i="2"/>
  <c r="AW364" i="2"/>
  <c r="AE364" i="2"/>
  <c r="M364" i="2"/>
  <c r="BO363" i="2"/>
  <c r="AW363" i="2"/>
  <c r="AE363" i="2"/>
  <c r="M363" i="2"/>
  <c r="BO362" i="2"/>
  <c r="AW362" i="2"/>
  <c r="AE362" i="2"/>
  <c r="M362" i="2"/>
  <c r="BO361" i="2"/>
  <c r="AW361" i="2"/>
  <c r="AE361" i="2"/>
  <c r="M361" i="2"/>
  <c r="BL355" i="2"/>
  <c r="BG355" i="2"/>
  <c r="AT355" i="2"/>
  <c r="AO355" i="2"/>
  <c r="AB355" i="2"/>
  <c r="W355" i="2"/>
  <c r="J355" i="2"/>
  <c r="E355" i="2"/>
  <c r="BO354" i="2"/>
  <c r="AW354" i="2"/>
  <c r="AE354" i="2"/>
  <c r="M354" i="2"/>
  <c r="BO353" i="2"/>
  <c r="AW353" i="2"/>
  <c r="AE353" i="2"/>
  <c r="M353" i="2"/>
  <c r="BO352" i="2"/>
  <c r="AW352" i="2"/>
  <c r="AE352" i="2"/>
  <c r="M352" i="2"/>
  <c r="BO351" i="2"/>
  <c r="AW351" i="2"/>
  <c r="AE351" i="2"/>
  <c r="M351" i="2"/>
  <c r="BO350" i="2"/>
  <c r="AW350" i="2"/>
  <c r="AE350" i="2"/>
  <c r="M350" i="2"/>
  <c r="BO349" i="2"/>
  <c r="AW349" i="2"/>
  <c r="AE349" i="2"/>
  <c r="M349" i="2"/>
  <c r="BO348" i="2"/>
  <c r="AW348" i="2"/>
  <c r="AE348" i="2"/>
  <c r="M348" i="2"/>
  <c r="BO347" i="2"/>
  <c r="AW347" i="2"/>
  <c r="AE347" i="2"/>
  <c r="M347" i="2"/>
  <c r="BO346" i="2"/>
  <c r="AW346" i="2"/>
  <c r="AE346" i="2"/>
  <c r="M346" i="2"/>
  <c r="BO345" i="2"/>
  <c r="AW345" i="2"/>
  <c r="AE345" i="2"/>
  <c r="M345" i="2"/>
  <c r="BO344" i="2"/>
  <c r="AW344" i="2"/>
  <c r="AE344" i="2"/>
  <c r="M344" i="2"/>
  <c r="BO343" i="2"/>
  <c r="AW343" i="2"/>
  <c r="AE343" i="2"/>
  <c r="M343" i="2"/>
  <c r="BO342" i="2"/>
  <c r="AW342" i="2"/>
  <c r="AE342" i="2"/>
  <c r="M342" i="2"/>
  <c r="BO341" i="2"/>
  <c r="AW341" i="2"/>
  <c r="AE341" i="2"/>
  <c r="M341" i="2"/>
  <c r="BO340" i="2"/>
  <c r="AW340" i="2"/>
  <c r="AE340" i="2"/>
  <c r="M340" i="2"/>
  <c r="BO339" i="2"/>
  <c r="AW339" i="2"/>
  <c r="AE339" i="2"/>
  <c r="M339" i="2"/>
  <c r="BO338" i="2"/>
  <c r="AW338" i="2"/>
  <c r="AE338" i="2"/>
  <c r="M338" i="2"/>
  <c r="BO337" i="2"/>
  <c r="AW337" i="2"/>
  <c r="AE337" i="2"/>
  <c r="M337" i="2"/>
  <c r="BO336" i="2"/>
  <c r="AW336" i="2"/>
  <c r="AE336" i="2"/>
  <c r="M336" i="2"/>
  <c r="BO335" i="2"/>
  <c r="AW335" i="2"/>
  <c r="AE335" i="2"/>
  <c r="M335" i="2"/>
  <c r="BO334" i="2"/>
  <c r="AW334" i="2"/>
  <c r="AE334" i="2"/>
  <c r="M334" i="2"/>
  <c r="BO333" i="2"/>
  <c r="AW333" i="2"/>
  <c r="AE333" i="2"/>
  <c r="M333" i="2"/>
  <c r="BO332" i="2"/>
  <c r="AW332" i="2"/>
  <c r="AE332" i="2"/>
  <c r="M332" i="2"/>
  <c r="BO331" i="2"/>
  <c r="AW331" i="2"/>
  <c r="AE331" i="2"/>
  <c r="M331" i="2"/>
  <c r="BO330" i="2"/>
  <c r="AW330" i="2"/>
  <c r="AE330" i="2"/>
  <c r="M330" i="2"/>
  <c r="BO329" i="2"/>
  <c r="AW329" i="2"/>
  <c r="AE329" i="2"/>
  <c r="M329" i="2"/>
  <c r="BO328" i="2"/>
  <c r="AW328" i="2"/>
  <c r="AE328" i="2"/>
  <c r="M328" i="2"/>
  <c r="BO327" i="2"/>
  <c r="AW327" i="2"/>
  <c r="AE327" i="2"/>
  <c r="M327" i="2"/>
  <c r="BO326" i="2"/>
  <c r="AW326" i="2"/>
  <c r="AE326" i="2"/>
  <c r="M326" i="2"/>
  <c r="BO325" i="2"/>
  <c r="AW325" i="2"/>
  <c r="AE325" i="2"/>
  <c r="M325" i="2"/>
  <c r="BL320" i="2"/>
  <c r="BG320" i="2"/>
  <c r="AT320" i="2"/>
  <c r="AO320" i="2"/>
  <c r="AB320" i="2"/>
  <c r="W320" i="2"/>
  <c r="J320" i="2"/>
  <c r="E320" i="2"/>
  <c r="BO319" i="2"/>
  <c r="AW319" i="2"/>
  <c r="AE319" i="2"/>
  <c r="M319" i="2"/>
  <c r="BO318" i="2"/>
  <c r="AW318" i="2"/>
  <c r="AE318" i="2"/>
  <c r="M318" i="2"/>
  <c r="BO317" i="2"/>
  <c r="AW317" i="2"/>
  <c r="AE317" i="2"/>
  <c r="M317" i="2"/>
  <c r="BO316" i="2"/>
  <c r="AW316" i="2"/>
  <c r="AE316" i="2"/>
  <c r="M316" i="2"/>
  <c r="BO315" i="2"/>
  <c r="AW315" i="2"/>
  <c r="AE315" i="2"/>
  <c r="M315" i="2"/>
  <c r="BO314" i="2"/>
  <c r="AW314" i="2"/>
  <c r="AE314" i="2"/>
  <c r="M314" i="2"/>
  <c r="BO313" i="2"/>
  <c r="AW313" i="2"/>
  <c r="AE313" i="2"/>
  <c r="M313" i="2"/>
  <c r="BO312" i="2"/>
  <c r="AW312" i="2"/>
  <c r="AE312" i="2"/>
  <c r="M312" i="2"/>
  <c r="BO311" i="2"/>
  <c r="AW311" i="2"/>
  <c r="AE311" i="2"/>
  <c r="M311" i="2"/>
  <c r="BO310" i="2"/>
  <c r="AW310" i="2"/>
  <c r="AE310" i="2"/>
  <c r="M310" i="2"/>
  <c r="BO309" i="2"/>
  <c r="AW309" i="2"/>
  <c r="AE309" i="2"/>
  <c r="M309" i="2"/>
  <c r="BO308" i="2"/>
  <c r="AW308" i="2"/>
  <c r="AE308" i="2"/>
  <c r="M308" i="2"/>
  <c r="BO307" i="2"/>
  <c r="AW307" i="2"/>
  <c r="AE307" i="2"/>
  <c r="M307" i="2"/>
  <c r="BO306" i="2"/>
  <c r="AW306" i="2"/>
  <c r="AE306" i="2"/>
  <c r="M306" i="2"/>
  <c r="BO305" i="2"/>
  <c r="AW305" i="2"/>
  <c r="AE305" i="2"/>
  <c r="M305" i="2"/>
  <c r="BO304" i="2"/>
  <c r="AW304" i="2"/>
  <c r="AE304" i="2"/>
  <c r="M304" i="2"/>
  <c r="BO303" i="2"/>
  <c r="AW303" i="2"/>
  <c r="AE303" i="2"/>
  <c r="M303" i="2"/>
  <c r="BO302" i="2"/>
  <c r="AW302" i="2"/>
  <c r="AE302" i="2"/>
  <c r="M302" i="2"/>
  <c r="BO301" i="2"/>
  <c r="AW301" i="2"/>
  <c r="AE301" i="2"/>
  <c r="M301" i="2"/>
  <c r="BO300" i="2"/>
  <c r="AW300" i="2"/>
  <c r="AE300" i="2"/>
  <c r="M300" i="2"/>
  <c r="BO299" i="2"/>
  <c r="AW299" i="2"/>
  <c r="AE299" i="2"/>
  <c r="M299" i="2"/>
  <c r="BO298" i="2"/>
  <c r="AW298" i="2"/>
  <c r="AE298" i="2"/>
  <c r="M298" i="2"/>
  <c r="BO297" i="2"/>
  <c r="AW297" i="2"/>
  <c r="AE297" i="2"/>
  <c r="M297" i="2"/>
  <c r="BO296" i="2"/>
  <c r="AW296" i="2"/>
  <c r="AE296" i="2"/>
  <c r="M296" i="2"/>
  <c r="BO295" i="2"/>
  <c r="AW295" i="2"/>
  <c r="AE295" i="2"/>
  <c r="M295" i="2"/>
  <c r="BO294" i="2"/>
  <c r="AW294" i="2"/>
  <c r="AE294" i="2"/>
  <c r="M294" i="2"/>
  <c r="BO293" i="2"/>
  <c r="AW293" i="2"/>
  <c r="AE293" i="2"/>
  <c r="M293" i="2"/>
  <c r="BO292" i="2"/>
  <c r="AW292" i="2"/>
  <c r="AE292" i="2"/>
  <c r="M292" i="2"/>
  <c r="BO291" i="2"/>
  <c r="AW291" i="2"/>
  <c r="AE291" i="2"/>
  <c r="M291" i="2"/>
  <c r="BO290" i="2"/>
  <c r="AW290" i="2"/>
  <c r="AE290" i="2"/>
  <c r="M290" i="2"/>
  <c r="BL284" i="2"/>
  <c r="BG284" i="2"/>
  <c r="AT284" i="2"/>
  <c r="AO284" i="2"/>
  <c r="AB284" i="2"/>
  <c r="W284" i="2"/>
  <c r="J284" i="2"/>
  <c r="E284" i="2"/>
  <c r="BO283" i="2"/>
  <c r="AW283" i="2"/>
  <c r="AE283" i="2"/>
  <c r="M283" i="2"/>
  <c r="BO282" i="2"/>
  <c r="AW282" i="2"/>
  <c r="AE282" i="2"/>
  <c r="M282" i="2"/>
  <c r="BO281" i="2"/>
  <c r="AW281" i="2"/>
  <c r="AE281" i="2"/>
  <c r="M281" i="2"/>
  <c r="BO280" i="2"/>
  <c r="AW280" i="2"/>
  <c r="AE280" i="2"/>
  <c r="M280" i="2"/>
  <c r="BO279" i="2"/>
  <c r="AW279" i="2"/>
  <c r="AE279" i="2"/>
  <c r="M279" i="2"/>
  <c r="BO278" i="2"/>
  <c r="AW278" i="2"/>
  <c r="AE278" i="2"/>
  <c r="M278" i="2"/>
  <c r="BO277" i="2"/>
  <c r="AW277" i="2"/>
  <c r="AE277" i="2"/>
  <c r="M277" i="2"/>
  <c r="BO276" i="2"/>
  <c r="AW276" i="2"/>
  <c r="AE276" i="2"/>
  <c r="M276" i="2"/>
  <c r="BO275" i="2"/>
  <c r="AW275" i="2"/>
  <c r="AE275" i="2"/>
  <c r="M275" i="2"/>
  <c r="BO274" i="2"/>
  <c r="AW274" i="2"/>
  <c r="AE274" i="2"/>
  <c r="M274" i="2"/>
  <c r="BO273" i="2"/>
  <c r="AW273" i="2"/>
  <c r="AE273" i="2"/>
  <c r="M273" i="2"/>
  <c r="BO272" i="2"/>
  <c r="AW272" i="2"/>
  <c r="AE272" i="2"/>
  <c r="M272" i="2"/>
  <c r="BO271" i="2"/>
  <c r="AW271" i="2"/>
  <c r="AE271" i="2"/>
  <c r="M271" i="2"/>
  <c r="BO270" i="2"/>
  <c r="AW270" i="2"/>
  <c r="AE270" i="2"/>
  <c r="M270" i="2"/>
  <c r="BO269" i="2"/>
  <c r="AW269" i="2"/>
  <c r="AE269" i="2"/>
  <c r="M269" i="2"/>
  <c r="BO268" i="2"/>
  <c r="AW268" i="2"/>
  <c r="AE268" i="2"/>
  <c r="M268" i="2"/>
  <c r="BO267" i="2"/>
  <c r="AW267" i="2"/>
  <c r="AE267" i="2"/>
  <c r="M267" i="2"/>
  <c r="BO266" i="2"/>
  <c r="AW266" i="2"/>
  <c r="AE266" i="2"/>
  <c r="M266" i="2"/>
  <c r="BO265" i="2"/>
  <c r="AW265" i="2"/>
  <c r="AE265" i="2"/>
  <c r="M265" i="2"/>
  <c r="BO264" i="2"/>
  <c r="AW264" i="2"/>
  <c r="AE264" i="2"/>
  <c r="M264" i="2"/>
  <c r="BO263" i="2"/>
  <c r="AW263" i="2"/>
  <c r="AE263" i="2"/>
  <c r="M263" i="2"/>
  <c r="BO262" i="2"/>
  <c r="AW262" i="2"/>
  <c r="AE262" i="2"/>
  <c r="M262" i="2"/>
  <c r="BO261" i="2"/>
  <c r="AW261" i="2"/>
  <c r="AE261" i="2"/>
  <c r="M261" i="2"/>
  <c r="BO260" i="2"/>
  <c r="AW260" i="2"/>
  <c r="AE260" i="2"/>
  <c r="M260" i="2"/>
  <c r="BO259" i="2"/>
  <c r="AW259" i="2"/>
  <c r="AE259" i="2"/>
  <c r="M259" i="2"/>
  <c r="BO258" i="2"/>
  <c r="AW258" i="2"/>
  <c r="AE258" i="2"/>
  <c r="M258" i="2"/>
  <c r="BO257" i="2"/>
  <c r="AW257" i="2"/>
  <c r="AE257" i="2"/>
  <c r="M257" i="2"/>
  <c r="BO256" i="2"/>
  <c r="AW256" i="2"/>
  <c r="AE256" i="2"/>
  <c r="M256" i="2"/>
  <c r="BO255" i="2"/>
  <c r="AW255" i="2"/>
  <c r="AE255" i="2"/>
  <c r="M255" i="2"/>
  <c r="BO254" i="2"/>
  <c r="AW254" i="2"/>
  <c r="AE254" i="2"/>
  <c r="M254" i="2"/>
  <c r="BL248" i="2"/>
  <c r="BG248" i="2"/>
  <c r="AT248" i="2"/>
  <c r="AO248" i="2"/>
  <c r="AB248" i="2"/>
  <c r="W248" i="2"/>
  <c r="J248" i="2"/>
  <c r="E248" i="2"/>
  <c r="BO247" i="2"/>
  <c r="AW247" i="2"/>
  <c r="AE247" i="2"/>
  <c r="M247" i="2"/>
  <c r="BO246" i="2"/>
  <c r="AW246" i="2"/>
  <c r="AE246" i="2"/>
  <c r="M246" i="2"/>
  <c r="BO245" i="2"/>
  <c r="AW245" i="2"/>
  <c r="AE245" i="2"/>
  <c r="M245" i="2"/>
  <c r="BO244" i="2"/>
  <c r="AW244" i="2"/>
  <c r="AE244" i="2"/>
  <c r="M244" i="2"/>
  <c r="BO243" i="2"/>
  <c r="AW243" i="2"/>
  <c r="AE243" i="2"/>
  <c r="M243" i="2"/>
  <c r="BO242" i="2"/>
  <c r="AW242" i="2"/>
  <c r="AE242" i="2"/>
  <c r="M242" i="2"/>
  <c r="BO241" i="2"/>
  <c r="AW241" i="2"/>
  <c r="AE241" i="2"/>
  <c r="M241" i="2"/>
  <c r="BO240" i="2"/>
  <c r="AW240" i="2"/>
  <c r="AE240" i="2"/>
  <c r="M240" i="2"/>
  <c r="BO239" i="2"/>
  <c r="AW239" i="2"/>
  <c r="AE239" i="2"/>
  <c r="M239" i="2"/>
  <c r="BO238" i="2"/>
  <c r="AW238" i="2"/>
  <c r="AE238" i="2"/>
  <c r="M238" i="2"/>
  <c r="BO237" i="2"/>
  <c r="AW237" i="2"/>
  <c r="AE237" i="2"/>
  <c r="M237" i="2"/>
  <c r="BO236" i="2"/>
  <c r="AW236" i="2"/>
  <c r="AE236" i="2"/>
  <c r="M236" i="2"/>
  <c r="BO235" i="2"/>
  <c r="AW235" i="2"/>
  <c r="AE235" i="2"/>
  <c r="M235" i="2"/>
  <c r="BO234" i="2"/>
  <c r="AW234" i="2"/>
  <c r="AE234" i="2"/>
  <c r="M234" i="2"/>
  <c r="BO233" i="2"/>
  <c r="AW233" i="2"/>
  <c r="AE233" i="2"/>
  <c r="M233" i="2"/>
  <c r="BO232" i="2"/>
  <c r="AW232" i="2"/>
  <c r="AE232" i="2"/>
  <c r="M232" i="2"/>
  <c r="BO231" i="2"/>
  <c r="AW231" i="2"/>
  <c r="AE231" i="2"/>
  <c r="M231" i="2"/>
  <c r="BO230" i="2"/>
  <c r="AW230" i="2"/>
  <c r="AE230" i="2"/>
  <c r="M230" i="2"/>
  <c r="BO229" i="2"/>
  <c r="AW229" i="2"/>
  <c r="AE229" i="2"/>
  <c r="M229" i="2"/>
  <c r="BO228" i="2"/>
  <c r="AW228" i="2"/>
  <c r="AE228" i="2"/>
  <c r="M228" i="2"/>
  <c r="BO227" i="2"/>
  <c r="AW227" i="2"/>
  <c r="AE227" i="2"/>
  <c r="M227" i="2"/>
  <c r="BO226" i="2"/>
  <c r="AW226" i="2"/>
  <c r="AE226" i="2"/>
  <c r="M226" i="2"/>
  <c r="BO225" i="2"/>
  <c r="AW225" i="2"/>
  <c r="AE225" i="2"/>
  <c r="M225" i="2"/>
  <c r="BO224" i="2"/>
  <c r="AW224" i="2"/>
  <c r="AE224" i="2"/>
  <c r="M224" i="2"/>
  <c r="BO223" i="2"/>
  <c r="AW223" i="2"/>
  <c r="AE223" i="2"/>
  <c r="M223" i="2"/>
  <c r="BO222" i="2"/>
  <c r="AW222" i="2"/>
  <c r="AE222" i="2"/>
  <c r="M222" i="2"/>
  <c r="BO221" i="2"/>
  <c r="AW221" i="2"/>
  <c r="AE221" i="2"/>
  <c r="M221" i="2"/>
  <c r="BO220" i="2"/>
  <c r="AW220" i="2"/>
  <c r="AE220" i="2"/>
  <c r="M220" i="2"/>
  <c r="BO219" i="2"/>
  <c r="AW219" i="2"/>
  <c r="AE219" i="2"/>
  <c r="M219" i="2"/>
  <c r="BO218" i="2"/>
  <c r="AW218" i="2"/>
  <c r="AE218" i="2"/>
  <c r="M218" i="2"/>
  <c r="BL213" i="2"/>
  <c r="BG213" i="2"/>
  <c r="AT213" i="2"/>
  <c r="AO213" i="2"/>
  <c r="AB213" i="2"/>
  <c r="W213" i="2"/>
  <c r="J213" i="2"/>
  <c r="E213" i="2"/>
  <c r="BO212" i="2"/>
  <c r="AW212" i="2"/>
  <c r="AE212" i="2"/>
  <c r="M212" i="2"/>
  <c r="BO211" i="2"/>
  <c r="AW211" i="2"/>
  <c r="AE211" i="2"/>
  <c r="M211" i="2"/>
  <c r="BO210" i="2"/>
  <c r="AW210" i="2"/>
  <c r="AE210" i="2"/>
  <c r="M210" i="2"/>
  <c r="BO209" i="2"/>
  <c r="AW209" i="2"/>
  <c r="AE209" i="2"/>
  <c r="M209" i="2"/>
  <c r="BO208" i="2"/>
  <c r="AW208" i="2"/>
  <c r="AE208" i="2"/>
  <c r="M208" i="2"/>
  <c r="BO207" i="2"/>
  <c r="AW207" i="2"/>
  <c r="AE207" i="2"/>
  <c r="M207" i="2"/>
  <c r="BO206" i="2"/>
  <c r="AW206" i="2"/>
  <c r="AE206" i="2"/>
  <c r="M206" i="2"/>
  <c r="BO205" i="2"/>
  <c r="AW205" i="2"/>
  <c r="AE205" i="2"/>
  <c r="M205" i="2"/>
  <c r="BO204" i="2"/>
  <c r="AW204" i="2"/>
  <c r="AE204" i="2"/>
  <c r="M204" i="2"/>
  <c r="BO203" i="2"/>
  <c r="AW203" i="2"/>
  <c r="AE203" i="2"/>
  <c r="M203" i="2"/>
  <c r="BO202" i="2"/>
  <c r="AW202" i="2"/>
  <c r="AE202" i="2"/>
  <c r="M202" i="2"/>
  <c r="BO201" i="2"/>
  <c r="AW201" i="2"/>
  <c r="AE201" i="2"/>
  <c r="M201" i="2"/>
  <c r="BO200" i="2"/>
  <c r="AW200" i="2"/>
  <c r="AE200" i="2"/>
  <c r="M200" i="2"/>
  <c r="BO199" i="2"/>
  <c r="AW199" i="2"/>
  <c r="AE199" i="2"/>
  <c r="M199" i="2"/>
  <c r="BO198" i="2"/>
  <c r="AW198" i="2"/>
  <c r="AE198" i="2"/>
  <c r="M198" i="2"/>
  <c r="BO197" i="2"/>
  <c r="AW197" i="2"/>
  <c r="AE197" i="2"/>
  <c r="M197" i="2"/>
  <c r="BO196" i="2"/>
  <c r="AW196" i="2"/>
  <c r="AE196" i="2"/>
  <c r="M196" i="2"/>
  <c r="BO195" i="2"/>
  <c r="AW195" i="2"/>
  <c r="AE195" i="2"/>
  <c r="M195" i="2"/>
  <c r="BO194" i="2"/>
  <c r="AW194" i="2"/>
  <c r="AE194" i="2"/>
  <c r="M194" i="2"/>
  <c r="BO193" i="2"/>
  <c r="AW193" i="2"/>
  <c r="AE193" i="2"/>
  <c r="M193" i="2"/>
  <c r="BO192" i="2"/>
  <c r="AW192" i="2"/>
  <c r="AE192" i="2"/>
  <c r="M192" i="2"/>
  <c r="BO191" i="2"/>
  <c r="AW191" i="2"/>
  <c r="AE191" i="2"/>
  <c r="M191" i="2"/>
  <c r="BO190" i="2"/>
  <c r="AW190" i="2"/>
  <c r="AE190" i="2"/>
  <c r="M190" i="2"/>
  <c r="BO189" i="2"/>
  <c r="AW189" i="2"/>
  <c r="AE189" i="2"/>
  <c r="M189" i="2"/>
  <c r="BO188" i="2"/>
  <c r="AW188" i="2"/>
  <c r="AE188" i="2"/>
  <c r="M188" i="2"/>
  <c r="BO187" i="2"/>
  <c r="AW187" i="2"/>
  <c r="AE187" i="2"/>
  <c r="M187" i="2"/>
  <c r="BO186" i="2"/>
  <c r="AW186" i="2"/>
  <c r="AE186" i="2"/>
  <c r="M186" i="2"/>
  <c r="BO185" i="2"/>
  <c r="AW185" i="2"/>
  <c r="AE185" i="2"/>
  <c r="M185" i="2"/>
  <c r="BO184" i="2"/>
  <c r="AW184" i="2"/>
  <c r="AE184" i="2"/>
  <c r="M184" i="2"/>
  <c r="BO183" i="2"/>
  <c r="AW183" i="2"/>
  <c r="AE183" i="2"/>
  <c r="M183" i="2"/>
  <c r="BL177" i="2"/>
  <c r="BG177" i="2"/>
  <c r="AT177" i="2"/>
  <c r="AO177" i="2"/>
  <c r="AB177" i="2"/>
  <c r="W177" i="2"/>
  <c r="J177" i="2"/>
  <c r="E177" i="2"/>
  <c r="BO176" i="2"/>
  <c r="AW176" i="2"/>
  <c r="AE176" i="2"/>
  <c r="M176" i="2"/>
  <c r="BO175" i="2"/>
  <c r="AW175" i="2"/>
  <c r="AE175" i="2"/>
  <c r="M175" i="2"/>
  <c r="BO174" i="2"/>
  <c r="AW174" i="2"/>
  <c r="AE174" i="2"/>
  <c r="M174" i="2"/>
  <c r="BO173" i="2"/>
  <c r="AW173" i="2"/>
  <c r="AE173" i="2"/>
  <c r="M173" i="2"/>
  <c r="BO172" i="2"/>
  <c r="AW172" i="2"/>
  <c r="AE172" i="2"/>
  <c r="M172" i="2"/>
  <c r="BO171" i="2"/>
  <c r="AW171" i="2"/>
  <c r="AE171" i="2"/>
  <c r="M171" i="2"/>
  <c r="BO170" i="2"/>
  <c r="AW170" i="2"/>
  <c r="AE170" i="2"/>
  <c r="M170" i="2"/>
  <c r="BO169" i="2"/>
  <c r="AW169" i="2"/>
  <c r="AE169" i="2"/>
  <c r="M169" i="2"/>
  <c r="BO168" i="2"/>
  <c r="AW168" i="2"/>
  <c r="AE168" i="2"/>
  <c r="M168" i="2"/>
  <c r="BO167" i="2"/>
  <c r="AW167" i="2"/>
  <c r="AE167" i="2"/>
  <c r="M167" i="2"/>
  <c r="BO166" i="2"/>
  <c r="AW166" i="2"/>
  <c r="AE166" i="2"/>
  <c r="M166" i="2"/>
  <c r="BO165" i="2"/>
  <c r="AW165" i="2"/>
  <c r="AE165" i="2"/>
  <c r="M165" i="2"/>
  <c r="BO164" i="2"/>
  <c r="AW164" i="2"/>
  <c r="AE164" i="2"/>
  <c r="M164" i="2"/>
  <c r="BO163" i="2"/>
  <c r="AW163" i="2"/>
  <c r="AE163" i="2"/>
  <c r="M163" i="2"/>
  <c r="BO162" i="2"/>
  <c r="AW162" i="2"/>
  <c r="AE162" i="2"/>
  <c r="M162" i="2"/>
  <c r="BO161" i="2"/>
  <c r="AW161" i="2"/>
  <c r="AE161" i="2"/>
  <c r="M161" i="2"/>
  <c r="BO160" i="2"/>
  <c r="AW160" i="2"/>
  <c r="AE160" i="2"/>
  <c r="M160" i="2"/>
  <c r="BO159" i="2"/>
  <c r="AW159" i="2"/>
  <c r="AE159" i="2"/>
  <c r="M159" i="2"/>
  <c r="BO158" i="2"/>
  <c r="AW158" i="2"/>
  <c r="AE158" i="2"/>
  <c r="M158" i="2"/>
  <c r="BO157" i="2"/>
  <c r="AW157" i="2"/>
  <c r="AE157" i="2"/>
  <c r="M157" i="2"/>
  <c r="BO156" i="2"/>
  <c r="AW156" i="2"/>
  <c r="AE156" i="2"/>
  <c r="M156" i="2"/>
  <c r="BO155" i="2"/>
  <c r="AW155" i="2"/>
  <c r="AE155" i="2"/>
  <c r="M155" i="2"/>
  <c r="BO154" i="2"/>
  <c r="AW154" i="2"/>
  <c r="AE154" i="2"/>
  <c r="M154" i="2"/>
  <c r="BO153" i="2"/>
  <c r="AW153" i="2"/>
  <c r="AE153" i="2"/>
  <c r="M153" i="2"/>
  <c r="BO152" i="2"/>
  <c r="AW152" i="2"/>
  <c r="AE152" i="2"/>
  <c r="M152" i="2"/>
  <c r="BO151" i="2"/>
  <c r="AW151" i="2"/>
  <c r="AE151" i="2"/>
  <c r="M151" i="2"/>
  <c r="BO150" i="2"/>
  <c r="AW150" i="2"/>
  <c r="AE150" i="2"/>
  <c r="M150" i="2"/>
  <c r="BO149" i="2"/>
  <c r="AW149" i="2"/>
  <c r="AE149" i="2"/>
  <c r="M149" i="2"/>
  <c r="BO148" i="2"/>
  <c r="AW148" i="2"/>
  <c r="AE148" i="2"/>
  <c r="M148" i="2"/>
  <c r="BO147" i="2"/>
  <c r="AW147" i="2"/>
  <c r="AE147" i="2"/>
  <c r="M147" i="2"/>
  <c r="BL141" i="2"/>
  <c r="BG141" i="2"/>
  <c r="AT141" i="2"/>
  <c r="AO141" i="2"/>
  <c r="AB141" i="2"/>
  <c r="W141" i="2"/>
  <c r="J141" i="2"/>
  <c r="E141" i="2"/>
  <c r="BO140" i="2"/>
  <c r="AW140" i="2"/>
  <c r="AE140" i="2"/>
  <c r="M140" i="2"/>
  <c r="BO139" i="2"/>
  <c r="AW139" i="2"/>
  <c r="AE139" i="2"/>
  <c r="M139" i="2"/>
  <c r="BO138" i="2"/>
  <c r="AW138" i="2"/>
  <c r="AE138" i="2"/>
  <c r="M138" i="2"/>
  <c r="BO137" i="2"/>
  <c r="AW137" i="2"/>
  <c r="AE137" i="2"/>
  <c r="M137" i="2"/>
  <c r="BO136" i="2"/>
  <c r="AW136" i="2"/>
  <c r="AE136" i="2"/>
  <c r="M136" i="2"/>
  <c r="BO135" i="2"/>
  <c r="AW135" i="2"/>
  <c r="AE135" i="2"/>
  <c r="M135" i="2"/>
  <c r="BO134" i="2"/>
  <c r="AW134" i="2"/>
  <c r="AE134" i="2"/>
  <c r="M134" i="2"/>
  <c r="BO133" i="2"/>
  <c r="AW133" i="2"/>
  <c r="AE133" i="2"/>
  <c r="M133" i="2"/>
  <c r="BO132" i="2"/>
  <c r="AW132" i="2"/>
  <c r="AE132" i="2"/>
  <c r="M132" i="2"/>
  <c r="BO131" i="2"/>
  <c r="AW131" i="2"/>
  <c r="AE131" i="2"/>
  <c r="M131" i="2"/>
  <c r="BO130" i="2"/>
  <c r="AW130" i="2"/>
  <c r="AE130" i="2"/>
  <c r="M130" i="2"/>
  <c r="BO129" i="2"/>
  <c r="AW129" i="2"/>
  <c r="AE129" i="2"/>
  <c r="M129" i="2"/>
  <c r="BO128" i="2"/>
  <c r="AW128" i="2"/>
  <c r="AE128" i="2"/>
  <c r="M128" i="2"/>
  <c r="BO127" i="2"/>
  <c r="AW127" i="2"/>
  <c r="AE127" i="2"/>
  <c r="M127" i="2"/>
  <c r="BO126" i="2"/>
  <c r="AW126" i="2"/>
  <c r="AE126" i="2"/>
  <c r="M126" i="2"/>
  <c r="BO125" i="2"/>
  <c r="AW125" i="2"/>
  <c r="AE125" i="2"/>
  <c r="M125" i="2"/>
  <c r="BO124" i="2"/>
  <c r="AW124" i="2"/>
  <c r="AE124" i="2"/>
  <c r="M124" i="2"/>
  <c r="BO123" i="2"/>
  <c r="AW123" i="2"/>
  <c r="AE123" i="2"/>
  <c r="M123" i="2"/>
  <c r="BO122" i="2"/>
  <c r="AW122" i="2"/>
  <c r="AE122" i="2"/>
  <c r="M122" i="2"/>
  <c r="BO121" i="2"/>
  <c r="AW121" i="2"/>
  <c r="AE121" i="2"/>
  <c r="M121" i="2"/>
  <c r="BO120" i="2"/>
  <c r="AW120" i="2"/>
  <c r="AE120" i="2"/>
  <c r="M120" i="2"/>
  <c r="BO119" i="2"/>
  <c r="AW119" i="2"/>
  <c r="AE119" i="2"/>
  <c r="M119" i="2"/>
  <c r="BO118" i="2"/>
  <c r="AW118" i="2"/>
  <c r="AE118" i="2"/>
  <c r="M118" i="2"/>
  <c r="BO117" i="2"/>
  <c r="AW117" i="2"/>
  <c r="AE117" i="2"/>
  <c r="M117" i="2"/>
  <c r="BO116" i="2"/>
  <c r="AW116" i="2"/>
  <c r="AE116" i="2"/>
  <c r="M116" i="2"/>
  <c r="BO115" i="2"/>
  <c r="AW115" i="2"/>
  <c r="AE115" i="2"/>
  <c r="M115" i="2"/>
  <c r="BO114" i="2"/>
  <c r="AW114" i="2"/>
  <c r="AE114" i="2"/>
  <c r="M114" i="2"/>
  <c r="BO113" i="2"/>
  <c r="AW113" i="2"/>
  <c r="AE113" i="2"/>
  <c r="M113" i="2"/>
  <c r="BO112" i="2"/>
  <c r="AW112" i="2"/>
  <c r="AE112" i="2"/>
  <c r="M112" i="2"/>
  <c r="BO111" i="2"/>
  <c r="AW111" i="2"/>
  <c r="AE111" i="2"/>
  <c r="M111" i="2"/>
  <c r="BL106" i="2"/>
  <c r="BG106" i="2"/>
  <c r="AT106" i="2"/>
  <c r="AO106" i="2"/>
  <c r="AB106" i="2"/>
  <c r="W106" i="2"/>
  <c r="J106" i="2"/>
  <c r="E106" i="2"/>
  <c r="BO105" i="2"/>
  <c r="AW105" i="2"/>
  <c r="AE105" i="2"/>
  <c r="M105" i="2"/>
  <c r="BO104" i="2"/>
  <c r="AW104" i="2"/>
  <c r="AE104" i="2"/>
  <c r="M104" i="2"/>
  <c r="BO103" i="2"/>
  <c r="AW103" i="2"/>
  <c r="AE103" i="2"/>
  <c r="M103" i="2"/>
  <c r="BO102" i="2"/>
  <c r="AW102" i="2"/>
  <c r="AE102" i="2"/>
  <c r="M102" i="2"/>
  <c r="BO101" i="2"/>
  <c r="AW101" i="2"/>
  <c r="AE101" i="2"/>
  <c r="M101" i="2"/>
  <c r="BO100" i="2"/>
  <c r="AW100" i="2"/>
  <c r="AE100" i="2"/>
  <c r="M100" i="2"/>
  <c r="BO99" i="2"/>
  <c r="AW99" i="2"/>
  <c r="AE99" i="2"/>
  <c r="M99" i="2"/>
  <c r="BO98" i="2"/>
  <c r="AW98" i="2"/>
  <c r="AE98" i="2"/>
  <c r="M98" i="2"/>
  <c r="BO97" i="2"/>
  <c r="AW97" i="2"/>
  <c r="AE97" i="2"/>
  <c r="M97" i="2"/>
  <c r="BO96" i="2"/>
  <c r="AW96" i="2"/>
  <c r="AE96" i="2"/>
  <c r="M96" i="2"/>
  <c r="BO95" i="2"/>
  <c r="AW95" i="2"/>
  <c r="AE95" i="2"/>
  <c r="M95" i="2"/>
  <c r="BO94" i="2"/>
  <c r="AW94" i="2"/>
  <c r="AE94" i="2"/>
  <c r="M94" i="2"/>
  <c r="BO93" i="2"/>
  <c r="AW93" i="2"/>
  <c r="AE93" i="2"/>
  <c r="M93" i="2"/>
  <c r="BO92" i="2"/>
  <c r="AW92" i="2"/>
  <c r="AE92" i="2"/>
  <c r="M92" i="2"/>
  <c r="BO91" i="2"/>
  <c r="AW91" i="2"/>
  <c r="AE91" i="2"/>
  <c r="M91" i="2"/>
  <c r="BO90" i="2"/>
  <c r="AW90" i="2"/>
  <c r="AE90" i="2"/>
  <c r="M90" i="2"/>
  <c r="BO89" i="2"/>
  <c r="AW89" i="2"/>
  <c r="AE89" i="2"/>
  <c r="M89" i="2"/>
  <c r="BO88" i="2"/>
  <c r="AW88" i="2"/>
  <c r="AE88" i="2"/>
  <c r="M88" i="2"/>
  <c r="BO87" i="2"/>
  <c r="AW87" i="2"/>
  <c r="AE87" i="2"/>
  <c r="M87" i="2"/>
  <c r="BO86" i="2"/>
  <c r="AW86" i="2"/>
  <c r="AE86" i="2"/>
  <c r="M86" i="2"/>
  <c r="BO85" i="2"/>
  <c r="AW85" i="2"/>
  <c r="AE85" i="2"/>
  <c r="M85" i="2"/>
  <c r="BO84" i="2"/>
  <c r="AW84" i="2"/>
  <c r="AE84" i="2"/>
  <c r="M84" i="2"/>
  <c r="BO83" i="2"/>
  <c r="AW83" i="2"/>
  <c r="AE83" i="2"/>
  <c r="M83" i="2"/>
  <c r="BO82" i="2"/>
  <c r="AW82" i="2"/>
  <c r="AE82" i="2"/>
  <c r="M82" i="2"/>
  <c r="BO81" i="2"/>
  <c r="AW81" i="2"/>
  <c r="AE81" i="2"/>
  <c r="M81" i="2"/>
  <c r="BO80" i="2"/>
  <c r="AW80" i="2"/>
  <c r="AE80" i="2"/>
  <c r="M80" i="2"/>
  <c r="BO79" i="2"/>
  <c r="AW79" i="2"/>
  <c r="AE79" i="2"/>
  <c r="M79" i="2"/>
  <c r="BO78" i="2"/>
  <c r="AW78" i="2"/>
  <c r="AE78" i="2"/>
  <c r="M78" i="2"/>
  <c r="BO77" i="2"/>
  <c r="AW77" i="2"/>
  <c r="AE77" i="2"/>
  <c r="M77" i="2"/>
  <c r="BO76" i="2"/>
  <c r="AW76" i="2"/>
  <c r="AE76" i="2"/>
  <c r="M76" i="2"/>
  <c r="BL70" i="2"/>
  <c r="BG70" i="2"/>
  <c r="AT70" i="2"/>
  <c r="AO70" i="2"/>
  <c r="AB70" i="2"/>
  <c r="W70" i="2"/>
  <c r="J70" i="2"/>
  <c r="E70" i="2"/>
  <c r="BO69" i="2"/>
  <c r="AW69" i="2"/>
  <c r="AE69" i="2"/>
  <c r="M69" i="2"/>
  <c r="BO68" i="2"/>
  <c r="AW68" i="2"/>
  <c r="AE68" i="2"/>
  <c r="M68" i="2"/>
  <c r="BO67" i="2"/>
  <c r="AW67" i="2"/>
  <c r="AE67" i="2"/>
  <c r="M67" i="2"/>
  <c r="BO66" i="2"/>
  <c r="AW66" i="2"/>
  <c r="AE66" i="2"/>
  <c r="M66" i="2"/>
  <c r="BO65" i="2"/>
  <c r="AW65" i="2"/>
  <c r="AE65" i="2"/>
  <c r="M65" i="2"/>
  <c r="BO64" i="2"/>
  <c r="AW64" i="2"/>
  <c r="AE64" i="2"/>
  <c r="M64" i="2"/>
  <c r="BO63" i="2"/>
  <c r="AW63" i="2"/>
  <c r="AE63" i="2"/>
  <c r="M63" i="2"/>
  <c r="BO62" i="2"/>
  <c r="AW62" i="2"/>
  <c r="AE62" i="2"/>
  <c r="M62" i="2"/>
  <c r="BO61" i="2"/>
  <c r="AW61" i="2"/>
  <c r="AE61" i="2"/>
  <c r="M61" i="2"/>
  <c r="BO60" i="2"/>
  <c r="AW60" i="2"/>
  <c r="AE60" i="2"/>
  <c r="M60" i="2"/>
  <c r="BO59" i="2"/>
  <c r="AW59" i="2"/>
  <c r="AE59" i="2"/>
  <c r="M59" i="2"/>
  <c r="BO58" i="2"/>
  <c r="AW58" i="2"/>
  <c r="AE58" i="2"/>
  <c r="M58" i="2"/>
  <c r="BO57" i="2"/>
  <c r="AW57" i="2"/>
  <c r="AE57" i="2"/>
  <c r="M57" i="2"/>
  <c r="BO56" i="2"/>
  <c r="AW56" i="2"/>
  <c r="AE56" i="2"/>
  <c r="M56" i="2"/>
  <c r="BO55" i="2"/>
  <c r="AW55" i="2"/>
  <c r="AE55" i="2"/>
  <c r="M55" i="2"/>
  <c r="BO54" i="2"/>
  <c r="AW54" i="2"/>
  <c r="AE54" i="2"/>
  <c r="M54" i="2"/>
  <c r="BO53" i="2"/>
  <c r="AW53" i="2"/>
  <c r="AE53" i="2"/>
  <c r="M53" i="2"/>
  <c r="BO52" i="2"/>
  <c r="AW52" i="2"/>
  <c r="AE52" i="2"/>
  <c r="M52" i="2"/>
  <c r="BO51" i="2"/>
  <c r="AW51" i="2"/>
  <c r="AE51" i="2"/>
  <c r="M51" i="2"/>
  <c r="BO50" i="2"/>
  <c r="AW50" i="2"/>
  <c r="AE50" i="2"/>
  <c r="M50" i="2"/>
  <c r="BO49" i="2"/>
  <c r="AW49" i="2"/>
  <c r="AE49" i="2"/>
  <c r="M49" i="2"/>
  <c r="BO48" i="2"/>
  <c r="AW48" i="2"/>
  <c r="AE48" i="2"/>
  <c r="M48" i="2"/>
  <c r="BO47" i="2"/>
  <c r="AW47" i="2"/>
  <c r="AE47" i="2"/>
  <c r="M47" i="2"/>
  <c r="BO46" i="2"/>
  <c r="AW46" i="2"/>
  <c r="AE46" i="2"/>
  <c r="M46" i="2"/>
  <c r="BO45" i="2"/>
  <c r="AW45" i="2"/>
  <c r="AE45" i="2"/>
  <c r="M45" i="2"/>
  <c r="BO44" i="2"/>
  <c r="AW44" i="2"/>
  <c r="AE44" i="2"/>
  <c r="M44" i="2"/>
  <c r="BO43" i="2"/>
  <c r="AW43" i="2"/>
  <c r="AE43" i="2"/>
  <c r="M43" i="2"/>
  <c r="BO42" i="2"/>
  <c r="AW42" i="2"/>
  <c r="AE42" i="2"/>
  <c r="M42" i="2"/>
  <c r="BO41" i="2"/>
  <c r="AW41" i="2"/>
  <c r="AE41" i="2"/>
  <c r="M41" i="2"/>
  <c r="BO40" i="2"/>
  <c r="AW40" i="2"/>
  <c r="AE40" i="2"/>
  <c r="M40" i="2"/>
  <c r="BL34" i="2"/>
  <c r="BG34" i="2"/>
  <c r="AT34" i="2"/>
  <c r="AO34" i="2"/>
  <c r="AB34" i="2"/>
  <c r="W34" i="2"/>
  <c r="J34" i="2"/>
  <c r="E34" i="2"/>
  <c r="BO33" i="2"/>
  <c r="AW33" i="2"/>
  <c r="AE33" i="2"/>
  <c r="M33" i="2"/>
  <c r="BO32" i="2"/>
  <c r="AW32" i="2"/>
  <c r="AE32" i="2"/>
  <c r="M32" i="2"/>
  <c r="BO31" i="2"/>
  <c r="AW31" i="2"/>
  <c r="AE31" i="2"/>
  <c r="M31" i="2"/>
  <c r="BO30" i="2"/>
  <c r="AW30" i="2"/>
  <c r="AE30" i="2"/>
  <c r="M30" i="2"/>
  <c r="BO29" i="2"/>
  <c r="AW29" i="2"/>
  <c r="AE29" i="2"/>
  <c r="M29" i="2"/>
  <c r="BO28" i="2"/>
  <c r="AW28" i="2"/>
  <c r="AE28" i="2"/>
  <c r="M28" i="2"/>
  <c r="BO27" i="2"/>
  <c r="AW27" i="2"/>
  <c r="AE27" i="2"/>
  <c r="M27" i="2"/>
  <c r="BO26" i="2"/>
  <c r="AW26" i="2"/>
  <c r="AE26" i="2"/>
  <c r="M26" i="2"/>
  <c r="BO25" i="2"/>
  <c r="AW25" i="2"/>
  <c r="AE25" i="2"/>
  <c r="M25" i="2"/>
  <c r="BO24" i="2"/>
  <c r="AW24" i="2"/>
  <c r="AE24" i="2"/>
  <c r="M24" i="2"/>
  <c r="BO23" i="2"/>
  <c r="AW23" i="2"/>
  <c r="AE23" i="2"/>
  <c r="M23" i="2"/>
  <c r="BO22" i="2"/>
  <c r="AW22" i="2"/>
  <c r="AE22" i="2"/>
  <c r="M22" i="2"/>
  <c r="BO21" i="2"/>
  <c r="AW21" i="2"/>
  <c r="AE21" i="2"/>
  <c r="M21" i="2"/>
  <c r="BO20" i="2"/>
  <c r="AW20" i="2"/>
  <c r="AE20" i="2"/>
  <c r="M20" i="2"/>
  <c r="BO19" i="2"/>
  <c r="AW19" i="2"/>
  <c r="AE19" i="2"/>
  <c r="M19" i="2"/>
  <c r="BO18" i="2"/>
  <c r="AW18" i="2"/>
  <c r="AE18" i="2"/>
  <c r="M18" i="2"/>
  <c r="BO17" i="2"/>
  <c r="AW17" i="2"/>
  <c r="AE17" i="2"/>
  <c r="M17" i="2"/>
  <c r="BO16" i="2"/>
  <c r="AW16" i="2"/>
  <c r="AE16" i="2"/>
  <c r="M16" i="2"/>
  <c r="BO15" i="2"/>
  <c r="AW15" i="2"/>
  <c r="AE15" i="2"/>
  <c r="M15" i="2"/>
  <c r="BO14" i="2"/>
  <c r="AW14" i="2"/>
  <c r="AE14" i="2"/>
  <c r="M14" i="2"/>
  <c r="BO13" i="2"/>
  <c r="AW13" i="2"/>
  <c r="AE13" i="2"/>
  <c r="M13" i="2"/>
  <c r="BO12" i="2"/>
  <c r="AW12" i="2"/>
  <c r="AE12" i="2"/>
  <c r="M12" i="2"/>
  <c r="BO11" i="2"/>
  <c r="AW11" i="2"/>
  <c r="AE11" i="2"/>
  <c r="M11" i="2"/>
  <c r="BO10" i="2"/>
  <c r="AW10" i="2"/>
  <c r="AE10" i="2"/>
  <c r="M10" i="2"/>
  <c r="BO9" i="2"/>
  <c r="AW9" i="2"/>
  <c r="AE9" i="2"/>
  <c r="M9" i="2"/>
  <c r="BO8" i="2"/>
  <c r="AW8" i="2"/>
  <c r="AE8" i="2"/>
  <c r="M8" i="2"/>
  <c r="BO7" i="2"/>
  <c r="AW7" i="2"/>
  <c r="AE7" i="2"/>
  <c r="M7" i="2"/>
  <c r="BO6" i="2"/>
  <c r="AW6" i="2"/>
  <c r="AE6" i="2"/>
  <c r="M6" i="2"/>
  <c r="BO5" i="2"/>
  <c r="AW5" i="2"/>
  <c r="AE5" i="2"/>
  <c r="M5" i="2"/>
  <c r="BO4" i="2"/>
  <c r="AW4" i="2"/>
  <c r="AE4" i="2"/>
  <c r="M4" i="2"/>
  <c r="BO533" i="1"/>
  <c r="AW533" i="1"/>
  <c r="AE533" i="1"/>
  <c r="M533" i="1"/>
  <c r="BO532" i="1"/>
  <c r="AW532" i="1"/>
  <c r="AE532" i="1"/>
  <c r="M532" i="1"/>
  <c r="BO531" i="1"/>
  <c r="AW531" i="1"/>
  <c r="AE531" i="1"/>
  <c r="M531" i="1"/>
  <c r="BO530" i="1"/>
  <c r="AW530" i="1"/>
  <c r="AE530" i="1"/>
  <c r="M530" i="1"/>
  <c r="BO529" i="1"/>
  <c r="AW529" i="1"/>
  <c r="AE529" i="1"/>
  <c r="M529" i="1"/>
  <c r="BO528" i="1"/>
  <c r="AW528" i="1"/>
  <c r="AE528" i="1"/>
  <c r="M528" i="1"/>
  <c r="BO527" i="1"/>
  <c r="AW527" i="1"/>
  <c r="AE527" i="1"/>
  <c r="M527" i="1"/>
  <c r="BO526" i="1"/>
  <c r="AW526" i="1"/>
  <c r="AE526" i="1"/>
  <c r="M526" i="1"/>
  <c r="BO525" i="1"/>
  <c r="AW525" i="1"/>
  <c r="AE525" i="1"/>
  <c r="M525" i="1"/>
  <c r="BO524" i="1"/>
  <c r="AW524" i="1"/>
  <c r="AE524" i="1"/>
  <c r="M524" i="1"/>
  <c r="BO523" i="1"/>
  <c r="AW523" i="1"/>
  <c r="AE523" i="1"/>
  <c r="M523" i="1"/>
  <c r="BO522" i="1"/>
  <c r="AW522" i="1"/>
  <c r="AE522" i="1"/>
  <c r="M522" i="1"/>
  <c r="BO521" i="1"/>
  <c r="AW521" i="1"/>
  <c r="AE521" i="1"/>
  <c r="M521" i="1"/>
  <c r="BO520" i="1"/>
  <c r="AW520" i="1"/>
  <c r="AE520" i="1"/>
  <c r="M520" i="1"/>
  <c r="BO519" i="1"/>
  <c r="AW519" i="1"/>
  <c r="AE519" i="1"/>
  <c r="M519" i="1"/>
  <c r="BO518" i="1"/>
  <c r="AW518" i="1"/>
  <c r="AE518" i="1"/>
  <c r="M518" i="1"/>
  <c r="BO517" i="1"/>
  <c r="AW517" i="1"/>
  <c r="AE517" i="1"/>
  <c r="M517" i="1"/>
  <c r="BO516" i="1"/>
  <c r="AW516" i="1"/>
  <c r="AE516" i="1"/>
  <c r="M516" i="1"/>
  <c r="BO515" i="1"/>
  <c r="AW515" i="1"/>
  <c r="AE515" i="1"/>
  <c r="M515" i="1"/>
  <c r="BO514" i="1"/>
  <c r="AW514" i="1"/>
  <c r="AE514" i="1"/>
  <c r="M514" i="1"/>
  <c r="BO513" i="1"/>
  <c r="AW513" i="1"/>
  <c r="AE513" i="1"/>
  <c r="M513" i="1"/>
  <c r="BO512" i="1"/>
  <c r="AW512" i="1"/>
  <c r="AE512" i="1"/>
  <c r="M512" i="1"/>
  <c r="BO511" i="1"/>
  <c r="AW511" i="1"/>
  <c r="AE511" i="1"/>
  <c r="M511" i="1"/>
  <c r="BO510" i="1"/>
  <c r="AW510" i="1"/>
  <c r="AE510" i="1"/>
  <c r="M510" i="1"/>
  <c r="BO509" i="1"/>
  <c r="AW509" i="1"/>
  <c r="AE509" i="1"/>
  <c r="M509" i="1"/>
  <c r="BO508" i="1"/>
  <c r="AW508" i="1"/>
  <c r="AE508" i="1"/>
  <c r="M508" i="1"/>
  <c r="BO507" i="1"/>
  <c r="AW507" i="1"/>
  <c r="AE507" i="1"/>
  <c r="M507" i="1"/>
  <c r="BO506" i="1"/>
  <c r="AW506" i="1"/>
  <c r="AE506" i="1"/>
  <c r="M506" i="1"/>
  <c r="BO505" i="1"/>
  <c r="AW505" i="1"/>
  <c r="AE505" i="1"/>
  <c r="M505" i="1"/>
  <c r="BO504" i="1"/>
  <c r="AW504" i="1"/>
  <c r="AE504" i="1"/>
  <c r="M504" i="1"/>
  <c r="BO497" i="1"/>
  <c r="AW497" i="1"/>
  <c r="AE497" i="1"/>
  <c r="M497" i="1"/>
  <c r="BO496" i="1"/>
  <c r="AW496" i="1"/>
  <c r="AE496" i="1"/>
  <c r="M496" i="1"/>
  <c r="BO495" i="1"/>
  <c r="AW495" i="1"/>
  <c r="AE495" i="1"/>
  <c r="M495" i="1"/>
  <c r="BO494" i="1"/>
  <c r="AW494" i="1"/>
  <c r="AE494" i="1"/>
  <c r="M494" i="1"/>
  <c r="BO493" i="1"/>
  <c r="AW493" i="1"/>
  <c r="AE493" i="1"/>
  <c r="M493" i="1"/>
  <c r="BO492" i="1"/>
  <c r="AW492" i="1"/>
  <c r="AE492" i="1"/>
  <c r="M492" i="1"/>
  <c r="BO491" i="1"/>
  <c r="AW491" i="1"/>
  <c r="AE491" i="1"/>
  <c r="M491" i="1"/>
  <c r="BO490" i="1"/>
  <c r="AW490" i="1"/>
  <c r="AE490" i="1"/>
  <c r="M490" i="1"/>
  <c r="BO489" i="1"/>
  <c r="AW489" i="1"/>
  <c r="AE489" i="1"/>
  <c r="M489" i="1"/>
  <c r="BO488" i="1"/>
  <c r="AW488" i="1"/>
  <c r="AE488" i="1"/>
  <c r="M488" i="1"/>
  <c r="BO487" i="1"/>
  <c r="AW487" i="1"/>
  <c r="AE487" i="1"/>
  <c r="M487" i="1"/>
  <c r="BO486" i="1"/>
  <c r="AW486" i="1"/>
  <c r="AE486" i="1"/>
  <c r="M486" i="1"/>
  <c r="BO485" i="1"/>
  <c r="AW485" i="1"/>
  <c r="AE485" i="1"/>
  <c r="M485" i="1"/>
  <c r="BO484" i="1"/>
  <c r="AW484" i="1"/>
  <c r="AE484" i="1"/>
  <c r="M484" i="1"/>
  <c r="BO483" i="1"/>
  <c r="AW483" i="1"/>
  <c r="AE483" i="1"/>
  <c r="M483" i="1"/>
  <c r="BO482" i="1"/>
  <c r="AW482" i="1"/>
  <c r="AE482" i="1"/>
  <c r="M482" i="1"/>
  <c r="BO481" i="1"/>
  <c r="AW481" i="1"/>
  <c r="AE481" i="1"/>
  <c r="M481" i="1"/>
  <c r="BO480" i="1"/>
  <c r="AW480" i="1"/>
  <c r="AE480" i="1"/>
  <c r="M480" i="1"/>
  <c r="BO479" i="1"/>
  <c r="AW479" i="1"/>
  <c r="AE479" i="1"/>
  <c r="M479" i="1"/>
  <c r="BO478" i="1"/>
  <c r="AW478" i="1"/>
  <c r="AE478" i="1"/>
  <c r="M478" i="1"/>
  <c r="BO477" i="1"/>
  <c r="AW477" i="1"/>
  <c r="AE477" i="1"/>
  <c r="M477" i="1"/>
  <c r="BO476" i="1"/>
  <c r="AW476" i="1"/>
  <c r="AE476" i="1"/>
  <c r="M476" i="1"/>
  <c r="BO475" i="1"/>
  <c r="AW475" i="1"/>
  <c r="AE475" i="1"/>
  <c r="M475" i="1"/>
  <c r="BO474" i="1"/>
  <c r="AW474" i="1"/>
  <c r="AE474" i="1"/>
  <c r="M474" i="1"/>
  <c r="BO473" i="1"/>
  <c r="AW473" i="1"/>
  <c r="AE473" i="1"/>
  <c r="M473" i="1"/>
  <c r="BO472" i="1"/>
  <c r="AW472" i="1"/>
  <c r="AE472" i="1"/>
  <c r="M472" i="1"/>
  <c r="BO471" i="1"/>
  <c r="AW471" i="1"/>
  <c r="AE471" i="1"/>
  <c r="M471" i="1"/>
  <c r="BO470" i="1"/>
  <c r="AW470" i="1"/>
  <c r="AE470" i="1"/>
  <c r="M470" i="1"/>
  <c r="BO469" i="1"/>
  <c r="AW469" i="1"/>
  <c r="AE469" i="1"/>
  <c r="M469" i="1"/>
  <c r="BO468" i="1"/>
  <c r="AW468" i="1"/>
  <c r="AE468" i="1"/>
  <c r="M468" i="1"/>
  <c r="BO461" i="1"/>
  <c r="AW461" i="1"/>
  <c r="AE461" i="1"/>
  <c r="M461" i="1"/>
  <c r="BO460" i="1"/>
  <c r="AW460" i="1"/>
  <c r="AE460" i="1"/>
  <c r="M460" i="1"/>
  <c r="BO459" i="1"/>
  <c r="AW459" i="1"/>
  <c r="AE459" i="1"/>
  <c r="M459" i="1"/>
  <c r="BO458" i="1"/>
  <c r="AW458" i="1"/>
  <c r="AE458" i="1"/>
  <c r="M458" i="1"/>
  <c r="BO457" i="1"/>
  <c r="AW457" i="1"/>
  <c r="AE457" i="1"/>
  <c r="M457" i="1"/>
  <c r="BO456" i="1"/>
  <c r="AW456" i="1"/>
  <c r="AE456" i="1"/>
  <c r="M456" i="1"/>
  <c r="BO455" i="1"/>
  <c r="AW455" i="1"/>
  <c r="AE455" i="1"/>
  <c r="M455" i="1"/>
  <c r="BO454" i="1"/>
  <c r="AW454" i="1"/>
  <c r="AE454" i="1"/>
  <c r="M454" i="1"/>
  <c r="BO453" i="1"/>
  <c r="AW453" i="1"/>
  <c r="AE453" i="1"/>
  <c r="M453" i="1"/>
  <c r="BO452" i="1"/>
  <c r="AW452" i="1"/>
  <c r="AE452" i="1"/>
  <c r="M452" i="1"/>
  <c r="BO451" i="1"/>
  <c r="AW451" i="1"/>
  <c r="AE451" i="1"/>
  <c r="M451" i="1"/>
  <c r="BO450" i="1"/>
  <c r="AW450" i="1"/>
  <c r="AE450" i="1"/>
  <c r="M450" i="1"/>
  <c r="BO449" i="1"/>
  <c r="AW449" i="1"/>
  <c r="AE449" i="1"/>
  <c r="M449" i="1"/>
  <c r="BO448" i="1"/>
  <c r="AW448" i="1"/>
  <c r="AE448" i="1"/>
  <c r="M448" i="1"/>
  <c r="BO447" i="1"/>
  <c r="AW447" i="1"/>
  <c r="AE447" i="1"/>
  <c r="M447" i="1"/>
  <c r="BO446" i="1"/>
  <c r="AW446" i="1"/>
  <c r="AE446" i="1"/>
  <c r="M446" i="1"/>
  <c r="BO445" i="1"/>
  <c r="AW445" i="1"/>
  <c r="AE445" i="1"/>
  <c r="M445" i="1"/>
  <c r="BO444" i="1"/>
  <c r="AW444" i="1"/>
  <c r="AE444" i="1"/>
  <c r="M444" i="1"/>
  <c r="BO443" i="1"/>
  <c r="AW443" i="1"/>
  <c r="AE443" i="1"/>
  <c r="M443" i="1"/>
  <c r="BO442" i="1"/>
  <c r="AW442" i="1"/>
  <c r="AE442" i="1"/>
  <c r="M442" i="1"/>
  <c r="BO441" i="1"/>
  <c r="AW441" i="1"/>
  <c r="AE441" i="1"/>
  <c r="M441" i="1"/>
  <c r="BO440" i="1"/>
  <c r="AW440" i="1"/>
  <c r="AE440" i="1"/>
  <c r="M440" i="1"/>
  <c r="BO439" i="1"/>
  <c r="AW439" i="1"/>
  <c r="AE439" i="1"/>
  <c r="M439" i="1"/>
  <c r="BO438" i="1"/>
  <c r="AW438" i="1"/>
  <c r="AE438" i="1"/>
  <c r="M438" i="1"/>
  <c r="BO437" i="1"/>
  <c r="AW437" i="1"/>
  <c r="AE437" i="1"/>
  <c r="M437" i="1"/>
  <c r="BO436" i="1"/>
  <c r="AW436" i="1"/>
  <c r="AE436" i="1"/>
  <c r="M436" i="1"/>
  <c r="BO435" i="1"/>
  <c r="AW435" i="1"/>
  <c r="AE435" i="1"/>
  <c r="M435" i="1"/>
  <c r="BO434" i="1"/>
  <c r="AW434" i="1"/>
  <c r="AE434" i="1"/>
  <c r="M434" i="1"/>
  <c r="BO433" i="1"/>
  <c r="AW433" i="1"/>
  <c r="AE433" i="1"/>
  <c r="M433" i="1"/>
  <c r="BO432" i="1"/>
  <c r="AW432" i="1"/>
  <c r="AE432" i="1"/>
  <c r="M432" i="1"/>
  <c r="BO426" i="1"/>
  <c r="AW426" i="1"/>
  <c r="AE426" i="1"/>
  <c r="M426" i="1"/>
  <c r="BO425" i="1"/>
  <c r="AW425" i="1"/>
  <c r="AE425" i="1"/>
  <c r="M425" i="1"/>
  <c r="BO424" i="1"/>
  <c r="AW424" i="1"/>
  <c r="AE424" i="1"/>
  <c r="M424" i="1"/>
  <c r="BO423" i="1"/>
  <c r="AW423" i="1"/>
  <c r="AE423" i="1"/>
  <c r="M423" i="1"/>
  <c r="BO422" i="1"/>
  <c r="AW422" i="1"/>
  <c r="AE422" i="1"/>
  <c r="M422" i="1"/>
  <c r="BO421" i="1"/>
  <c r="AW421" i="1"/>
  <c r="AE421" i="1"/>
  <c r="M421" i="1"/>
  <c r="BO420" i="1"/>
  <c r="AW420" i="1"/>
  <c r="AE420" i="1"/>
  <c r="M420" i="1"/>
  <c r="BO419" i="1"/>
  <c r="AW419" i="1"/>
  <c r="AE419" i="1"/>
  <c r="M419" i="1"/>
  <c r="BO418" i="1"/>
  <c r="AW418" i="1"/>
  <c r="AE418" i="1"/>
  <c r="M418" i="1"/>
  <c r="BO417" i="1"/>
  <c r="AW417" i="1"/>
  <c r="AE417" i="1"/>
  <c r="M417" i="1"/>
  <c r="BO416" i="1"/>
  <c r="AW416" i="1"/>
  <c r="AE416" i="1"/>
  <c r="M416" i="1"/>
  <c r="BO415" i="1"/>
  <c r="AW415" i="1"/>
  <c r="AE415" i="1"/>
  <c r="M415" i="1"/>
  <c r="BO414" i="1"/>
  <c r="AW414" i="1"/>
  <c r="AE414" i="1"/>
  <c r="M414" i="1"/>
  <c r="BO413" i="1"/>
  <c r="AW413" i="1"/>
  <c r="AE413" i="1"/>
  <c r="M413" i="1"/>
  <c r="BO412" i="1"/>
  <c r="AW412" i="1"/>
  <c r="AE412" i="1"/>
  <c r="M412" i="1"/>
  <c r="BO411" i="1"/>
  <c r="AW411" i="1"/>
  <c r="AE411" i="1"/>
  <c r="M411" i="1"/>
  <c r="BO410" i="1"/>
  <c r="AW410" i="1"/>
  <c r="AE410" i="1"/>
  <c r="M410" i="1"/>
  <c r="BO409" i="1"/>
  <c r="AW409" i="1"/>
  <c r="AE409" i="1"/>
  <c r="M409" i="1"/>
  <c r="BO408" i="1"/>
  <c r="AW408" i="1"/>
  <c r="AE408" i="1"/>
  <c r="M408" i="1"/>
  <c r="BO407" i="1"/>
  <c r="AW407" i="1"/>
  <c r="AE407" i="1"/>
  <c r="M407" i="1"/>
  <c r="BO406" i="1"/>
  <c r="AW406" i="1"/>
  <c r="AE406" i="1"/>
  <c r="M406" i="1"/>
  <c r="BO405" i="1"/>
  <c r="AW405" i="1"/>
  <c r="AE405" i="1"/>
  <c r="M405" i="1"/>
  <c r="BO404" i="1"/>
  <c r="AW404" i="1"/>
  <c r="AE404" i="1"/>
  <c r="M404" i="1"/>
  <c r="BO403" i="1"/>
  <c r="AW403" i="1"/>
  <c r="AE403" i="1"/>
  <c r="M403" i="1"/>
  <c r="BO402" i="1"/>
  <c r="AW402" i="1"/>
  <c r="AE402" i="1"/>
  <c r="M402" i="1"/>
  <c r="BO401" i="1"/>
  <c r="AW401" i="1"/>
  <c r="AE401" i="1"/>
  <c r="M401" i="1"/>
  <c r="BO400" i="1"/>
  <c r="AW400" i="1"/>
  <c r="AE400" i="1"/>
  <c r="M400" i="1"/>
  <c r="BO399" i="1"/>
  <c r="AW399" i="1"/>
  <c r="AE399" i="1"/>
  <c r="M399" i="1"/>
  <c r="BO398" i="1"/>
  <c r="AW398" i="1"/>
  <c r="AE398" i="1"/>
  <c r="M398" i="1"/>
  <c r="BO397" i="1"/>
  <c r="AW397" i="1"/>
  <c r="AE397" i="1"/>
  <c r="M397" i="1"/>
  <c r="BO390" i="1"/>
  <c r="AW390" i="1"/>
  <c r="AE390" i="1"/>
  <c r="M390" i="1"/>
  <c r="BO389" i="1"/>
  <c r="AW389" i="1"/>
  <c r="AE389" i="1"/>
  <c r="M389" i="1"/>
  <c r="BO388" i="1"/>
  <c r="AW388" i="1"/>
  <c r="AE388" i="1"/>
  <c r="M388" i="1"/>
  <c r="BO387" i="1"/>
  <c r="AW387" i="1"/>
  <c r="AE387" i="1"/>
  <c r="M387" i="1"/>
  <c r="BO386" i="1"/>
  <c r="AW386" i="1"/>
  <c r="AE386" i="1"/>
  <c r="M386" i="1"/>
  <c r="BO385" i="1"/>
  <c r="AW385" i="1"/>
  <c r="AE385" i="1"/>
  <c r="M385" i="1"/>
  <c r="BO384" i="1"/>
  <c r="AW384" i="1"/>
  <c r="AE384" i="1"/>
  <c r="M384" i="1"/>
  <c r="BO383" i="1"/>
  <c r="AW383" i="1"/>
  <c r="AE383" i="1"/>
  <c r="M383" i="1"/>
  <c r="BO382" i="1"/>
  <c r="AW382" i="1"/>
  <c r="AE382" i="1"/>
  <c r="M382" i="1"/>
  <c r="BO381" i="1"/>
  <c r="AW381" i="1"/>
  <c r="AE381" i="1"/>
  <c r="M381" i="1"/>
  <c r="BO380" i="1"/>
  <c r="AW380" i="1"/>
  <c r="AE380" i="1"/>
  <c r="M380" i="1"/>
  <c r="BO379" i="1"/>
  <c r="AW379" i="1"/>
  <c r="AE379" i="1"/>
  <c r="M379" i="1"/>
  <c r="BO378" i="1"/>
  <c r="AW378" i="1"/>
  <c r="AE378" i="1"/>
  <c r="M378" i="1"/>
  <c r="BO377" i="1"/>
  <c r="AW377" i="1"/>
  <c r="AE377" i="1"/>
  <c r="M377" i="1"/>
  <c r="BO376" i="1"/>
  <c r="AW376" i="1"/>
  <c r="AE376" i="1"/>
  <c r="M376" i="1"/>
  <c r="BO375" i="1"/>
  <c r="AW375" i="1"/>
  <c r="AE375" i="1"/>
  <c r="M375" i="1"/>
  <c r="BO374" i="1"/>
  <c r="AW374" i="1"/>
  <c r="AE374" i="1"/>
  <c r="M374" i="1"/>
  <c r="BO373" i="1"/>
  <c r="AW373" i="1"/>
  <c r="AE373" i="1"/>
  <c r="M373" i="1"/>
  <c r="BO372" i="1"/>
  <c r="AW372" i="1"/>
  <c r="AE372" i="1"/>
  <c r="M372" i="1"/>
  <c r="BO371" i="1"/>
  <c r="AW371" i="1"/>
  <c r="AE371" i="1"/>
  <c r="M371" i="1"/>
  <c r="BO370" i="1"/>
  <c r="AW370" i="1"/>
  <c r="AE370" i="1"/>
  <c r="M370" i="1"/>
  <c r="BO369" i="1"/>
  <c r="AW369" i="1"/>
  <c r="AE369" i="1"/>
  <c r="M369" i="1"/>
  <c r="BO368" i="1"/>
  <c r="AW368" i="1"/>
  <c r="AE368" i="1"/>
  <c r="M368" i="1"/>
  <c r="BO367" i="1"/>
  <c r="AW367" i="1"/>
  <c r="AE367" i="1"/>
  <c r="M367" i="1"/>
  <c r="BO366" i="1"/>
  <c r="AW366" i="1"/>
  <c r="AE366" i="1"/>
  <c r="M366" i="1"/>
  <c r="BO365" i="1"/>
  <c r="AW365" i="1"/>
  <c r="AE365" i="1"/>
  <c r="M365" i="1"/>
  <c r="BO364" i="1"/>
  <c r="AW364" i="1"/>
  <c r="AE364" i="1"/>
  <c r="M364" i="1"/>
  <c r="BO363" i="1"/>
  <c r="AW363" i="1"/>
  <c r="AE363" i="1"/>
  <c r="M363" i="1"/>
  <c r="BO362" i="1"/>
  <c r="AW362" i="1"/>
  <c r="AE362" i="1"/>
  <c r="M362" i="1"/>
  <c r="BO361" i="1"/>
  <c r="AW361" i="1"/>
  <c r="AE361" i="1"/>
  <c r="M361" i="1"/>
  <c r="BO354" i="1"/>
  <c r="AW354" i="1"/>
  <c r="AE354" i="1"/>
  <c r="M354" i="1"/>
  <c r="BO353" i="1"/>
  <c r="AW353" i="1"/>
  <c r="AE353" i="1"/>
  <c r="M353" i="1"/>
  <c r="BO352" i="1"/>
  <c r="AW352" i="1"/>
  <c r="AE352" i="1"/>
  <c r="M352" i="1"/>
  <c r="BO351" i="1"/>
  <c r="AW351" i="1"/>
  <c r="AE351" i="1"/>
  <c r="M351" i="1"/>
  <c r="BO350" i="1"/>
  <c r="AW350" i="1"/>
  <c r="AE350" i="1"/>
  <c r="M350" i="1"/>
  <c r="BO349" i="1"/>
  <c r="AW349" i="1"/>
  <c r="AE349" i="1"/>
  <c r="M349" i="1"/>
  <c r="BO348" i="1"/>
  <c r="AW348" i="1"/>
  <c r="AE348" i="1"/>
  <c r="M348" i="1"/>
  <c r="BO347" i="1"/>
  <c r="AW347" i="1"/>
  <c r="AE347" i="1"/>
  <c r="M347" i="1"/>
  <c r="BO346" i="1"/>
  <c r="AW346" i="1"/>
  <c r="AE346" i="1"/>
  <c r="M346" i="1"/>
  <c r="BO345" i="1"/>
  <c r="AW345" i="1"/>
  <c r="AE345" i="1"/>
  <c r="M345" i="1"/>
  <c r="BO344" i="1"/>
  <c r="AW344" i="1"/>
  <c r="AE344" i="1"/>
  <c r="M344" i="1"/>
  <c r="BO343" i="1"/>
  <c r="AW343" i="1"/>
  <c r="AE343" i="1"/>
  <c r="M343" i="1"/>
  <c r="BO342" i="1"/>
  <c r="AW342" i="1"/>
  <c r="AE342" i="1"/>
  <c r="M342" i="1"/>
  <c r="BO341" i="1"/>
  <c r="AW341" i="1"/>
  <c r="AE341" i="1"/>
  <c r="M341" i="1"/>
  <c r="BO340" i="1"/>
  <c r="AW340" i="1"/>
  <c r="AE340" i="1"/>
  <c r="M340" i="1"/>
  <c r="BO339" i="1"/>
  <c r="AW339" i="1"/>
  <c r="AE339" i="1"/>
  <c r="M339" i="1"/>
  <c r="BO338" i="1"/>
  <c r="AW338" i="1"/>
  <c r="AE338" i="1"/>
  <c r="M338" i="1"/>
  <c r="BO337" i="1"/>
  <c r="AW337" i="1"/>
  <c r="AE337" i="1"/>
  <c r="M337" i="1"/>
  <c r="BO336" i="1"/>
  <c r="AW336" i="1"/>
  <c r="AE336" i="1"/>
  <c r="M336" i="1"/>
  <c r="BO335" i="1"/>
  <c r="AW335" i="1"/>
  <c r="AE335" i="1"/>
  <c r="M335" i="1"/>
  <c r="BO334" i="1"/>
  <c r="AW334" i="1"/>
  <c r="AE334" i="1"/>
  <c r="M334" i="1"/>
  <c r="BO333" i="1"/>
  <c r="AW333" i="1"/>
  <c r="AE333" i="1"/>
  <c r="M333" i="1"/>
  <c r="BO332" i="1"/>
  <c r="AW332" i="1"/>
  <c r="AE332" i="1"/>
  <c r="M332" i="1"/>
  <c r="BO331" i="1"/>
  <c r="AW331" i="1"/>
  <c r="AE331" i="1"/>
  <c r="M331" i="1"/>
  <c r="BO330" i="1"/>
  <c r="AW330" i="1"/>
  <c r="AE330" i="1"/>
  <c r="M330" i="1"/>
  <c r="BO329" i="1"/>
  <c r="AW329" i="1"/>
  <c r="AE329" i="1"/>
  <c r="M329" i="1"/>
  <c r="BO328" i="1"/>
  <c r="AW328" i="1"/>
  <c r="AE328" i="1"/>
  <c r="M328" i="1"/>
  <c r="BO327" i="1"/>
  <c r="AW327" i="1"/>
  <c r="AE327" i="1"/>
  <c r="M327" i="1"/>
  <c r="BO326" i="1"/>
  <c r="AW326" i="1"/>
  <c r="AE326" i="1"/>
  <c r="M326" i="1"/>
  <c r="BO325" i="1"/>
  <c r="AW325" i="1"/>
  <c r="AE325" i="1"/>
  <c r="M325" i="1"/>
  <c r="BO319" i="1"/>
  <c r="AW319" i="1"/>
  <c r="AE319" i="1"/>
  <c r="M319" i="1"/>
  <c r="BO318" i="1"/>
  <c r="AW318" i="1"/>
  <c r="AE318" i="1"/>
  <c r="M318" i="1"/>
  <c r="BO317" i="1"/>
  <c r="AW317" i="1"/>
  <c r="AE317" i="1"/>
  <c r="M317" i="1"/>
  <c r="BO316" i="1"/>
  <c r="AW316" i="1"/>
  <c r="AE316" i="1"/>
  <c r="M316" i="1"/>
  <c r="BO315" i="1"/>
  <c r="AW315" i="1"/>
  <c r="AE315" i="1"/>
  <c r="M315" i="1"/>
  <c r="BO314" i="1"/>
  <c r="AW314" i="1"/>
  <c r="AE314" i="1"/>
  <c r="M314" i="1"/>
  <c r="BO313" i="1"/>
  <c r="AW313" i="1"/>
  <c r="AE313" i="1"/>
  <c r="M313" i="1"/>
  <c r="BO312" i="1"/>
  <c r="AW312" i="1"/>
  <c r="AE312" i="1"/>
  <c r="M312" i="1"/>
  <c r="BO311" i="1"/>
  <c r="AW311" i="1"/>
  <c r="AE311" i="1"/>
  <c r="M311" i="1"/>
  <c r="BO310" i="1"/>
  <c r="AW310" i="1"/>
  <c r="AE310" i="1"/>
  <c r="M310" i="1"/>
  <c r="BO309" i="1"/>
  <c r="AW309" i="1"/>
  <c r="AE309" i="1"/>
  <c r="M309" i="1"/>
  <c r="BO308" i="1"/>
  <c r="AW308" i="1"/>
  <c r="AE308" i="1"/>
  <c r="M308" i="1"/>
  <c r="BO307" i="1"/>
  <c r="AW307" i="1"/>
  <c r="AE307" i="1"/>
  <c r="M307" i="1"/>
  <c r="BO306" i="1"/>
  <c r="AW306" i="1"/>
  <c r="AE306" i="1"/>
  <c r="M306" i="1"/>
  <c r="BO305" i="1"/>
  <c r="AW305" i="1"/>
  <c r="AE305" i="1"/>
  <c r="M305" i="1"/>
  <c r="BO304" i="1"/>
  <c r="AW304" i="1"/>
  <c r="AE304" i="1"/>
  <c r="M304" i="1"/>
  <c r="BO303" i="1"/>
  <c r="AW303" i="1"/>
  <c r="AE303" i="1"/>
  <c r="M303" i="1"/>
  <c r="BO302" i="1"/>
  <c r="AW302" i="1"/>
  <c r="AE302" i="1"/>
  <c r="M302" i="1"/>
  <c r="BO301" i="1"/>
  <c r="AW301" i="1"/>
  <c r="AE301" i="1"/>
  <c r="M301" i="1"/>
  <c r="BO300" i="1"/>
  <c r="AW300" i="1"/>
  <c r="AE300" i="1"/>
  <c r="M300" i="1"/>
  <c r="BO299" i="1"/>
  <c r="AW299" i="1"/>
  <c r="AE299" i="1"/>
  <c r="M299" i="1"/>
  <c r="BO298" i="1"/>
  <c r="AW298" i="1"/>
  <c r="AE298" i="1"/>
  <c r="M298" i="1"/>
  <c r="BO297" i="1"/>
  <c r="AW297" i="1"/>
  <c r="AE297" i="1"/>
  <c r="M297" i="1"/>
  <c r="BO296" i="1"/>
  <c r="AW296" i="1"/>
  <c r="AE296" i="1"/>
  <c r="M296" i="1"/>
  <c r="BO295" i="1"/>
  <c r="AW295" i="1"/>
  <c r="AE295" i="1"/>
  <c r="M295" i="1"/>
  <c r="BO294" i="1"/>
  <c r="AW294" i="1"/>
  <c r="AE294" i="1"/>
  <c r="M294" i="1"/>
  <c r="BO293" i="1"/>
  <c r="AW293" i="1"/>
  <c r="AE293" i="1"/>
  <c r="M293" i="1"/>
  <c r="BO292" i="1"/>
  <c r="AW292" i="1"/>
  <c r="AE292" i="1"/>
  <c r="M292" i="1"/>
  <c r="BO291" i="1"/>
  <c r="AW291" i="1"/>
  <c r="AE291" i="1"/>
  <c r="M291" i="1"/>
  <c r="BO290" i="1"/>
  <c r="AW290" i="1"/>
  <c r="AE290" i="1"/>
  <c r="M290" i="1"/>
  <c r="BO283" i="1"/>
  <c r="AW283" i="1"/>
  <c r="AE283" i="1"/>
  <c r="M283" i="1"/>
  <c r="BO282" i="1"/>
  <c r="AW282" i="1"/>
  <c r="AE282" i="1"/>
  <c r="M282" i="1"/>
  <c r="BO281" i="1"/>
  <c r="AW281" i="1"/>
  <c r="AE281" i="1"/>
  <c r="M281" i="1"/>
  <c r="BO280" i="1"/>
  <c r="AW280" i="1"/>
  <c r="AE280" i="1"/>
  <c r="M280" i="1"/>
  <c r="BO279" i="1"/>
  <c r="AW279" i="1"/>
  <c r="AE279" i="1"/>
  <c r="M279" i="1"/>
  <c r="BO278" i="1"/>
  <c r="AW278" i="1"/>
  <c r="AE278" i="1"/>
  <c r="M278" i="1"/>
  <c r="BO277" i="1"/>
  <c r="AW277" i="1"/>
  <c r="AE277" i="1"/>
  <c r="M277" i="1"/>
  <c r="BO276" i="1"/>
  <c r="AW276" i="1"/>
  <c r="AE276" i="1"/>
  <c r="M276" i="1"/>
  <c r="BO275" i="1"/>
  <c r="AW275" i="1"/>
  <c r="AE275" i="1"/>
  <c r="M275" i="1"/>
  <c r="BO274" i="1"/>
  <c r="AW274" i="1"/>
  <c r="AE274" i="1"/>
  <c r="M274" i="1"/>
  <c r="BO273" i="1"/>
  <c r="AW273" i="1"/>
  <c r="AE273" i="1"/>
  <c r="M273" i="1"/>
  <c r="BO272" i="1"/>
  <c r="AW272" i="1"/>
  <c r="AE272" i="1"/>
  <c r="M272" i="1"/>
  <c r="BO271" i="1"/>
  <c r="AW271" i="1"/>
  <c r="AE271" i="1"/>
  <c r="M271" i="1"/>
  <c r="BO270" i="1"/>
  <c r="AW270" i="1"/>
  <c r="AE270" i="1"/>
  <c r="M270" i="1"/>
  <c r="BO269" i="1"/>
  <c r="AW269" i="1"/>
  <c r="AE269" i="1"/>
  <c r="M269" i="1"/>
  <c r="BO268" i="1"/>
  <c r="AW268" i="1"/>
  <c r="AE268" i="1"/>
  <c r="M268" i="1"/>
  <c r="BO267" i="1"/>
  <c r="AW267" i="1"/>
  <c r="AE267" i="1"/>
  <c r="M267" i="1"/>
  <c r="BO266" i="1"/>
  <c r="AW266" i="1"/>
  <c r="AE266" i="1"/>
  <c r="M266" i="1"/>
  <c r="BO265" i="1"/>
  <c r="AW265" i="1"/>
  <c r="AE265" i="1"/>
  <c r="M265" i="1"/>
  <c r="BO264" i="1"/>
  <c r="AW264" i="1"/>
  <c r="AE264" i="1"/>
  <c r="M264" i="1"/>
  <c r="BO263" i="1"/>
  <c r="AW263" i="1"/>
  <c r="AE263" i="1"/>
  <c r="M263" i="1"/>
  <c r="BO262" i="1"/>
  <c r="AW262" i="1"/>
  <c r="AE262" i="1"/>
  <c r="M262" i="1"/>
  <c r="BO261" i="1"/>
  <c r="AW261" i="1"/>
  <c r="AE261" i="1"/>
  <c r="M261" i="1"/>
  <c r="BO260" i="1"/>
  <c r="AW260" i="1"/>
  <c r="AE260" i="1"/>
  <c r="M260" i="1"/>
  <c r="BO259" i="1"/>
  <c r="AW259" i="1"/>
  <c r="AE259" i="1"/>
  <c r="M259" i="1"/>
  <c r="BO258" i="1"/>
  <c r="AW258" i="1"/>
  <c r="AE258" i="1"/>
  <c r="M258" i="1"/>
  <c r="BO257" i="1"/>
  <c r="AW257" i="1"/>
  <c r="AE257" i="1"/>
  <c r="M257" i="1"/>
  <c r="BO256" i="1"/>
  <c r="AW256" i="1"/>
  <c r="AE256" i="1"/>
  <c r="M256" i="1"/>
  <c r="BO255" i="1"/>
  <c r="AW255" i="1"/>
  <c r="AE255" i="1"/>
  <c r="M255" i="1"/>
  <c r="BO254" i="1"/>
  <c r="AW254" i="1"/>
  <c r="AE254" i="1"/>
  <c r="M254" i="1"/>
  <c r="BO247" i="1"/>
  <c r="AW247" i="1"/>
  <c r="AE247" i="1"/>
  <c r="M247" i="1"/>
  <c r="BO246" i="1"/>
  <c r="AW246" i="1"/>
  <c r="AE246" i="1"/>
  <c r="M246" i="1"/>
  <c r="BO245" i="1"/>
  <c r="AW245" i="1"/>
  <c r="AE245" i="1"/>
  <c r="M245" i="1"/>
  <c r="BO244" i="1"/>
  <c r="AW244" i="1"/>
  <c r="AE244" i="1"/>
  <c r="M244" i="1"/>
  <c r="BO243" i="1"/>
  <c r="AW243" i="1"/>
  <c r="AE243" i="1"/>
  <c r="M243" i="1"/>
  <c r="BO242" i="1"/>
  <c r="AW242" i="1"/>
  <c r="AE242" i="1"/>
  <c r="M242" i="1"/>
  <c r="BO241" i="1"/>
  <c r="AW241" i="1"/>
  <c r="AE241" i="1"/>
  <c r="M241" i="1"/>
  <c r="BO240" i="1"/>
  <c r="AW240" i="1"/>
  <c r="AE240" i="1"/>
  <c r="M240" i="1"/>
  <c r="BO239" i="1"/>
  <c r="AW239" i="1"/>
  <c r="AE239" i="1"/>
  <c r="M239" i="1"/>
  <c r="BO238" i="1"/>
  <c r="AW238" i="1"/>
  <c r="AE238" i="1"/>
  <c r="M238" i="1"/>
  <c r="BO237" i="1"/>
  <c r="AW237" i="1"/>
  <c r="AE237" i="1"/>
  <c r="M237" i="1"/>
  <c r="BO236" i="1"/>
  <c r="AW236" i="1"/>
  <c r="AE236" i="1"/>
  <c r="M236" i="1"/>
  <c r="BO235" i="1"/>
  <c r="AW235" i="1"/>
  <c r="AE235" i="1"/>
  <c r="M235" i="1"/>
  <c r="BO234" i="1"/>
  <c r="AW234" i="1"/>
  <c r="AE234" i="1"/>
  <c r="M234" i="1"/>
  <c r="BO233" i="1"/>
  <c r="AW233" i="1"/>
  <c r="AE233" i="1"/>
  <c r="M233" i="1"/>
  <c r="BO232" i="1"/>
  <c r="AW232" i="1"/>
  <c r="AE232" i="1"/>
  <c r="M232" i="1"/>
  <c r="BO231" i="1"/>
  <c r="AW231" i="1"/>
  <c r="AE231" i="1"/>
  <c r="M231" i="1"/>
  <c r="BO230" i="1"/>
  <c r="AW230" i="1"/>
  <c r="AE230" i="1"/>
  <c r="M230" i="1"/>
  <c r="BO229" i="1"/>
  <c r="AW229" i="1"/>
  <c r="AE229" i="1"/>
  <c r="M229" i="1"/>
  <c r="BO228" i="1"/>
  <c r="AW228" i="1"/>
  <c r="AE228" i="1"/>
  <c r="M228" i="1"/>
  <c r="BO227" i="1"/>
  <c r="AW227" i="1"/>
  <c r="AE227" i="1"/>
  <c r="M227" i="1"/>
  <c r="BO226" i="1"/>
  <c r="AW226" i="1"/>
  <c r="AE226" i="1"/>
  <c r="M226" i="1"/>
  <c r="BO225" i="1"/>
  <c r="AW225" i="1"/>
  <c r="AE225" i="1"/>
  <c r="M225" i="1"/>
  <c r="BO224" i="1"/>
  <c r="AW224" i="1"/>
  <c r="AE224" i="1"/>
  <c r="M224" i="1"/>
  <c r="BO223" i="1"/>
  <c r="AW223" i="1"/>
  <c r="AE223" i="1"/>
  <c r="M223" i="1"/>
  <c r="BO222" i="1"/>
  <c r="AW222" i="1"/>
  <c r="AE222" i="1"/>
  <c r="M222" i="1"/>
  <c r="BO221" i="1"/>
  <c r="AW221" i="1"/>
  <c r="AE221" i="1"/>
  <c r="M221" i="1"/>
  <c r="BO220" i="1"/>
  <c r="AW220" i="1"/>
  <c r="AE220" i="1"/>
  <c r="M220" i="1"/>
  <c r="BO219" i="1"/>
  <c r="AW219" i="1"/>
  <c r="AE219" i="1"/>
  <c r="M219" i="1"/>
  <c r="BO218" i="1"/>
  <c r="AW218" i="1"/>
  <c r="AE218" i="1"/>
  <c r="M218" i="1"/>
  <c r="BO212" i="1"/>
  <c r="AW212" i="1"/>
  <c r="AE212" i="1"/>
  <c r="M212" i="1"/>
  <c r="BO211" i="1"/>
  <c r="AW211" i="1"/>
  <c r="AE211" i="1"/>
  <c r="M211" i="1"/>
  <c r="BO210" i="1"/>
  <c r="AW210" i="1"/>
  <c r="AE210" i="1"/>
  <c r="M210" i="1"/>
  <c r="BO209" i="1"/>
  <c r="AW209" i="1"/>
  <c r="AE209" i="1"/>
  <c r="M209" i="1"/>
  <c r="BO208" i="1"/>
  <c r="AW208" i="1"/>
  <c r="AE208" i="1"/>
  <c r="M208" i="1"/>
  <c r="BO207" i="1"/>
  <c r="AW207" i="1"/>
  <c r="AE207" i="1"/>
  <c r="M207" i="1"/>
  <c r="BO206" i="1"/>
  <c r="AW206" i="1"/>
  <c r="AE206" i="1"/>
  <c r="M206" i="1"/>
  <c r="BO205" i="1"/>
  <c r="AW205" i="1"/>
  <c r="AE205" i="1"/>
  <c r="M205" i="1"/>
  <c r="BO204" i="1"/>
  <c r="AW204" i="1"/>
  <c r="AE204" i="1"/>
  <c r="M204" i="1"/>
  <c r="BO203" i="1"/>
  <c r="AW203" i="1"/>
  <c r="AE203" i="1"/>
  <c r="M203" i="1"/>
  <c r="BO202" i="1"/>
  <c r="AW202" i="1"/>
  <c r="AE202" i="1"/>
  <c r="M202" i="1"/>
  <c r="BO201" i="1"/>
  <c r="AW201" i="1"/>
  <c r="AE201" i="1"/>
  <c r="M201" i="1"/>
  <c r="BO200" i="1"/>
  <c r="AW200" i="1"/>
  <c r="AE200" i="1"/>
  <c r="M200" i="1"/>
  <c r="BO199" i="1"/>
  <c r="AW199" i="1"/>
  <c r="AE199" i="1"/>
  <c r="M199" i="1"/>
  <c r="BO198" i="1"/>
  <c r="AW198" i="1"/>
  <c r="AE198" i="1"/>
  <c r="M198" i="1"/>
  <c r="BO197" i="1"/>
  <c r="AW197" i="1"/>
  <c r="AE197" i="1"/>
  <c r="M197" i="1"/>
  <c r="BO196" i="1"/>
  <c r="AW196" i="1"/>
  <c r="AE196" i="1"/>
  <c r="M196" i="1"/>
  <c r="BO195" i="1"/>
  <c r="AW195" i="1"/>
  <c r="AE195" i="1"/>
  <c r="M195" i="1"/>
  <c r="BO194" i="1"/>
  <c r="AW194" i="1"/>
  <c r="AE194" i="1"/>
  <c r="M194" i="1"/>
  <c r="BO193" i="1"/>
  <c r="AW193" i="1"/>
  <c r="AE193" i="1"/>
  <c r="M193" i="1"/>
  <c r="BO192" i="1"/>
  <c r="AW192" i="1"/>
  <c r="AE192" i="1"/>
  <c r="M192" i="1"/>
  <c r="BO191" i="1"/>
  <c r="AW191" i="1"/>
  <c r="AE191" i="1"/>
  <c r="M191" i="1"/>
  <c r="BO190" i="1"/>
  <c r="AW190" i="1"/>
  <c r="AE190" i="1"/>
  <c r="M190" i="1"/>
  <c r="BO189" i="1"/>
  <c r="AW189" i="1"/>
  <c r="AE189" i="1"/>
  <c r="M189" i="1"/>
  <c r="BO188" i="1"/>
  <c r="AW188" i="1"/>
  <c r="AE188" i="1"/>
  <c r="M188" i="1"/>
  <c r="BO187" i="1"/>
  <c r="AW187" i="1"/>
  <c r="AE187" i="1"/>
  <c r="M187" i="1"/>
  <c r="BO186" i="1"/>
  <c r="AW186" i="1"/>
  <c r="AE186" i="1"/>
  <c r="M186" i="1"/>
  <c r="BO185" i="1"/>
  <c r="AW185" i="1"/>
  <c r="AE185" i="1"/>
  <c r="M185" i="1"/>
  <c r="BO184" i="1"/>
  <c r="AW184" i="1"/>
  <c r="AE184" i="1"/>
  <c r="M184" i="1"/>
  <c r="BO183" i="1"/>
  <c r="AW183" i="1"/>
  <c r="AE183" i="1"/>
  <c r="M183" i="1"/>
  <c r="BO176" i="1"/>
  <c r="AW176" i="1"/>
  <c r="AE176" i="1"/>
  <c r="M176" i="1"/>
  <c r="BO175" i="1"/>
  <c r="AW175" i="1"/>
  <c r="AE175" i="1"/>
  <c r="M175" i="1"/>
  <c r="BO174" i="1"/>
  <c r="AW174" i="1"/>
  <c r="AE174" i="1"/>
  <c r="M174" i="1"/>
  <c r="BO173" i="1"/>
  <c r="AW173" i="1"/>
  <c r="AE173" i="1"/>
  <c r="M173" i="1"/>
  <c r="BO172" i="1"/>
  <c r="AW172" i="1"/>
  <c r="AE172" i="1"/>
  <c r="M172" i="1"/>
  <c r="BO171" i="1"/>
  <c r="AW171" i="1"/>
  <c r="AE171" i="1"/>
  <c r="M171" i="1"/>
  <c r="BO170" i="1"/>
  <c r="AW170" i="1"/>
  <c r="AE170" i="1"/>
  <c r="M170" i="1"/>
  <c r="BO169" i="1"/>
  <c r="AW169" i="1"/>
  <c r="AE169" i="1"/>
  <c r="M169" i="1"/>
  <c r="BO168" i="1"/>
  <c r="AW168" i="1"/>
  <c r="AE168" i="1"/>
  <c r="M168" i="1"/>
  <c r="BO167" i="1"/>
  <c r="AW167" i="1"/>
  <c r="AE167" i="1"/>
  <c r="M167" i="1"/>
  <c r="BO166" i="1"/>
  <c r="AW166" i="1"/>
  <c r="AE166" i="1"/>
  <c r="M166" i="1"/>
  <c r="BO165" i="1"/>
  <c r="AW165" i="1"/>
  <c r="AE165" i="1"/>
  <c r="M165" i="1"/>
  <c r="BO164" i="1"/>
  <c r="AW164" i="1"/>
  <c r="AE164" i="1"/>
  <c r="M164" i="1"/>
  <c r="BO163" i="1"/>
  <c r="AW163" i="1"/>
  <c r="AE163" i="1"/>
  <c r="M163" i="1"/>
  <c r="BO162" i="1"/>
  <c r="AW162" i="1"/>
  <c r="AE162" i="1"/>
  <c r="M162" i="1"/>
  <c r="BO161" i="1"/>
  <c r="AW161" i="1"/>
  <c r="AE161" i="1"/>
  <c r="M161" i="1"/>
  <c r="BO160" i="1"/>
  <c r="AW160" i="1"/>
  <c r="AE160" i="1"/>
  <c r="M160" i="1"/>
  <c r="BO159" i="1"/>
  <c r="AW159" i="1"/>
  <c r="AE159" i="1"/>
  <c r="M159" i="1"/>
  <c r="BO158" i="1"/>
  <c r="AW158" i="1"/>
  <c r="AE158" i="1"/>
  <c r="M158" i="1"/>
  <c r="BO157" i="1"/>
  <c r="AW157" i="1"/>
  <c r="AE157" i="1"/>
  <c r="M157" i="1"/>
  <c r="BO156" i="1"/>
  <c r="AW156" i="1"/>
  <c r="AE156" i="1"/>
  <c r="M156" i="1"/>
  <c r="BO155" i="1"/>
  <c r="AW155" i="1"/>
  <c r="AE155" i="1"/>
  <c r="M155" i="1"/>
  <c r="BO154" i="1"/>
  <c r="AW154" i="1"/>
  <c r="AE154" i="1"/>
  <c r="M154" i="1"/>
  <c r="BO153" i="1"/>
  <c r="AW153" i="1"/>
  <c r="AE153" i="1"/>
  <c r="M153" i="1"/>
  <c r="BO152" i="1"/>
  <c r="AW152" i="1"/>
  <c r="AE152" i="1"/>
  <c r="M152" i="1"/>
  <c r="BO151" i="1"/>
  <c r="AW151" i="1"/>
  <c r="AE151" i="1"/>
  <c r="M151" i="1"/>
  <c r="BO150" i="1"/>
  <c r="AW150" i="1"/>
  <c r="AE150" i="1"/>
  <c r="M150" i="1"/>
  <c r="BO149" i="1"/>
  <c r="AW149" i="1"/>
  <c r="AE149" i="1"/>
  <c r="M149" i="1"/>
  <c r="BO148" i="1"/>
  <c r="AW148" i="1"/>
  <c r="AE148" i="1"/>
  <c r="M148" i="1"/>
  <c r="BO147" i="1"/>
  <c r="AW147" i="1"/>
  <c r="AE147" i="1"/>
  <c r="M147" i="1"/>
  <c r="BO140" i="1"/>
  <c r="AW140" i="1"/>
  <c r="AE140" i="1"/>
  <c r="M140" i="1"/>
  <c r="BO139" i="1"/>
  <c r="AW139" i="1"/>
  <c r="AE139" i="1"/>
  <c r="M139" i="1"/>
  <c r="BO138" i="1"/>
  <c r="AW138" i="1"/>
  <c r="AE138" i="1"/>
  <c r="M138" i="1"/>
  <c r="BO137" i="1"/>
  <c r="AW137" i="1"/>
  <c r="AE137" i="1"/>
  <c r="M137" i="1"/>
  <c r="BO136" i="1"/>
  <c r="AW136" i="1"/>
  <c r="AE136" i="1"/>
  <c r="M136" i="1"/>
  <c r="BO135" i="1"/>
  <c r="AW135" i="1"/>
  <c r="AE135" i="1"/>
  <c r="M135" i="1"/>
  <c r="BO134" i="1"/>
  <c r="AW134" i="1"/>
  <c r="AE134" i="1"/>
  <c r="M134" i="1"/>
  <c r="BO133" i="1"/>
  <c r="AW133" i="1"/>
  <c r="AE133" i="1"/>
  <c r="M133" i="1"/>
  <c r="BO132" i="1"/>
  <c r="AW132" i="1"/>
  <c r="AE132" i="1"/>
  <c r="M132" i="1"/>
  <c r="BO131" i="1"/>
  <c r="AW131" i="1"/>
  <c r="AE131" i="1"/>
  <c r="M131" i="1"/>
  <c r="BO130" i="1"/>
  <c r="AW130" i="1"/>
  <c r="AE130" i="1"/>
  <c r="M130" i="1"/>
  <c r="BO129" i="1"/>
  <c r="AW129" i="1"/>
  <c r="AE129" i="1"/>
  <c r="M129" i="1"/>
  <c r="BO128" i="1"/>
  <c r="AW128" i="1"/>
  <c r="AE128" i="1"/>
  <c r="M128" i="1"/>
  <c r="BO127" i="1"/>
  <c r="AW127" i="1"/>
  <c r="AE127" i="1"/>
  <c r="M127" i="1"/>
  <c r="BO126" i="1"/>
  <c r="AW126" i="1"/>
  <c r="AE126" i="1"/>
  <c r="M126" i="1"/>
  <c r="BO125" i="1"/>
  <c r="AW125" i="1"/>
  <c r="AE125" i="1"/>
  <c r="M125" i="1"/>
  <c r="BO124" i="1"/>
  <c r="AW124" i="1"/>
  <c r="AE124" i="1"/>
  <c r="M124" i="1"/>
  <c r="BO123" i="1"/>
  <c r="AW123" i="1"/>
  <c r="AE123" i="1"/>
  <c r="M123" i="1"/>
  <c r="BO122" i="1"/>
  <c r="AW122" i="1"/>
  <c r="AE122" i="1"/>
  <c r="M122" i="1"/>
  <c r="BO121" i="1"/>
  <c r="AW121" i="1"/>
  <c r="AE121" i="1"/>
  <c r="M121" i="1"/>
  <c r="BO120" i="1"/>
  <c r="AW120" i="1"/>
  <c r="AE120" i="1"/>
  <c r="M120" i="1"/>
  <c r="BO119" i="1"/>
  <c r="AW119" i="1"/>
  <c r="AE119" i="1"/>
  <c r="M119" i="1"/>
  <c r="BO118" i="1"/>
  <c r="AW118" i="1"/>
  <c r="AE118" i="1"/>
  <c r="M118" i="1"/>
  <c r="BO117" i="1"/>
  <c r="AW117" i="1"/>
  <c r="AE117" i="1"/>
  <c r="M117" i="1"/>
  <c r="BO116" i="1"/>
  <c r="AW116" i="1"/>
  <c r="AE116" i="1"/>
  <c r="M116" i="1"/>
  <c r="BO115" i="1"/>
  <c r="AW115" i="1"/>
  <c r="AE115" i="1"/>
  <c r="M115" i="1"/>
  <c r="BO114" i="1"/>
  <c r="AW114" i="1"/>
  <c r="AE114" i="1"/>
  <c r="M114" i="1"/>
  <c r="BO113" i="1"/>
  <c r="AW113" i="1"/>
  <c r="AE113" i="1"/>
  <c r="M113" i="1"/>
  <c r="BO112" i="1"/>
  <c r="AW112" i="1"/>
  <c r="AE112" i="1"/>
  <c r="M112" i="1"/>
  <c r="BO111" i="1"/>
  <c r="AW111" i="1"/>
  <c r="AE111" i="1"/>
  <c r="M111" i="1"/>
  <c r="BO105" i="1"/>
  <c r="AW105" i="1"/>
  <c r="AE105" i="1"/>
  <c r="M105" i="1"/>
  <c r="BO104" i="1"/>
  <c r="AW104" i="1"/>
  <c r="AE104" i="1"/>
  <c r="M104" i="1"/>
  <c r="BO103" i="1"/>
  <c r="AW103" i="1"/>
  <c r="AE103" i="1"/>
  <c r="M103" i="1"/>
  <c r="BO102" i="1"/>
  <c r="AW102" i="1"/>
  <c r="AE102" i="1"/>
  <c r="M102" i="1"/>
  <c r="BO101" i="1"/>
  <c r="AW101" i="1"/>
  <c r="AE101" i="1"/>
  <c r="M101" i="1"/>
  <c r="BO100" i="1"/>
  <c r="AW100" i="1"/>
  <c r="AE100" i="1"/>
  <c r="M100" i="1"/>
  <c r="BO99" i="1"/>
  <c r="AW99" i="1"/>
  <c r="AE99" i="1"/>
  <c r="M99" i="1"/>
  <c r="BO98" i="1"/>
  <c r="AW98" i="1"/>
  <c r="AE98" i="1"/>
  <c r="M98" i="1"/>
  <c r="BO97" i="1"/>
  <c r="AW97" i="1"/>
  <c r="AE97" i="1"/>
  <c r="M97" i="1"/>
  <c r="BO96" i="1"/>
  <c r="AW96" i="1"/>
  <c r="AE96" i="1"/>
  <c r="M96" i="1"/>
  <c r="BO95" i="1"/>
  <c r="AW95" i="1"/>
  <c r="AE95" i="1"/>
  <c r="M95" i="1"/>
  <c r="BO94" i="1"/>
  <c r="AW94" i="1"/>
  <c r="AE94" i="1"/>
  <c r="M94" i="1"/>
  <c r="BO93" i="1"/>
  <c r="AW93" i="1"/>
  <c r="AE93" i="1"/>
  <c r="M93" i="1"/>
  <c r="BO92" i="1"/>
  <c r="AW92" i="1"/>
  <c r="AE92" i="1"/>
  <c r="M92" i="1"/>
  <c r="BO91" i="1"/>
  <c r="AW91" i="1"/>
  <c r="AE91" i="1"/>
  <c r="M91" i="1"/>
  <c r="BO90" i="1"/>
  <c r="AW90" i="1"/>
  <c r="AE90" i="1"/>
  <c r="M90" i="1"/>
  <c r="BO89" i="1"/>
  <c r="AW89" i="1"/>
  <c r="AE89" i="1"/>
  <c r="M89" i="1"/>
  <c r="BO88" i="1"/>
  <c r="AW88" i="1"/>
  <c r="AE88" i="1"/>
  <c r="M88" i="1"/>
  <c r="BO87" i="1"/>
  <c r="AW87" i="1"/>
  <c r="AE87" i="1"/>
  <c r="M87" i="1"/>
  <c r="BO86" i="1"/>
  <c r="AW86" i="1"/>
  <c r="AE86" i="1"/>
  <c r="M86" i="1"/>
  <c r="BO85" i="1"/>
  <c r="AW85" i="1"/>
  <c r="AE85" i="1"/>
  <c r="M85" i="1"/>
  <c r="BO84" i="1"/>
  <c r="AW84" i="1"/>
  <c r="AE84" i="1"/>
  <c r="M84" i="1"/>
  <c r="BO83" i="1"/>
  <c r="AW83" i="1"/>
  <c r="AE83" i="1"/>
  <c r="M83" i="1"/>
  <c r="BO82" i="1"/>
  <c r="AW82" i="1"/>
  <c r="AE82" i="1"/>
  <c r="M82" i="1"/>
  <c r="BO81" i="1"/>
  <c r="AW81" i="1"/>
  <c r="AE81" i="1"/>
  <c r="M81" i="1"/>
  <c r="BO80" i="1"/>
  <c r="AW80" i="1"/>
  <c r="AE80" i="1"/>
  <c r="M80" i="1"/>
  <c r="BO79" i="1"/>
  <c r="AW79" i="1"/>
  <c r="AE79" i="1"/>
  <c r="M79" i="1"/>
  <c r="BO78" i="1"/>
  <c r="AW78" i="1"/>
  <c r="AE78" i="1"/>
  <c r="M78" i="1"/>
  <c r="BO77" i="1"/>
  <c r="AW77" i="1"/>
  <c r="AE77" i="1"/>
  <c r="M77" i="1"/>
  <c r="BO76" i="1"/>
  <c r="AW76" i="1"/>
  <c r="AE76" i="1"/>
  <c r="M76" i="1"/>
  <c r="BO69" i="1"/>
  <c r="AW69" i="1"/>
  <c r="AE69" i="1"/>
  <c r="M69" i="1"/>
  <c r="BO68" i="1"/>
  <c r="AW68" i="1"/>
  <c r="AE68" i="1"/>
  <c r="M68" i="1"/>
  <c r="BO67" i="1"/>
  <c r="AW67" i="1"/>
  <c r="AE67" i="1"/>
  <c r="M67" i="1"/>
  <c r="BO66" i="1"/>
  <c r="AW66" i="1"/>
  <c r="AE66" i="1"/>
  <c r="M66" i="1"/>
  <c r="BO65" i="1"/>
  <c r="AW65" i="1"/>
  <c r="AE65" i="1"/>
  <c r="M65" i="1"/>
  <c r="BO64" i="1"/>
  <c r="AW64" i="1"/>
  <c r="AE64" i="1"/>
  <c r="M64" i="1"/>
  <c r="BO63" i="1"/>
  <c r="AW63" i="1"/>
  <c r="AE63" i="1"/>
  <c r="M63" i="1"/>
  <c r="BO62" i="1"/>
  <c r="AW62" i="1"/>
  <c r="AE62" i="1"/>
  <c r="M62" i="1"/>
  <c r="BO61" i="1"/>
  <c r="AW61" i="1"/>
  <c r="AE61" i="1"/>
  <c r="M61" i="1"/>
  <c r="BO60" i="1"/>
  <c r="AW60" i="1"/>
  <c r="AE60" i="1"/>
  <c r="M60" i="1"/>
  <c r="BO59" i="1"/>
  <c r="AW59" i="1"/>
  <c r="AE59" i="1"/>
  <c r="M59" i="1"/>
  <c r="BO58" i="1"/>
  <c r="AW58" i="1"/>
  <c r="AE58" i="1"/>
  <c r="M58" i="1"/>
  <c r="BO57" i="1"/>
  <c r="AW57" i="1"/>
  <c r="AE57" i="1"/>
  <c r="M57" i="1"/>
  <c r="BO56" i="1"/>
  <c r="AW56" i="1"/>
  <c r="AE56" i="1"/>
  <c r="M56" i="1"/>
  <c r="BO55" i="1"/>
  <c r="AW55" i="1"/>
  <c r="AE55" i="1"/>
  <c r="M55" i="1"/>
  <c r="BO54" i="1"/>
  <c r="AW54" i="1"/>
  <c r="AE54" i="1"/>
  <c r="M54" i="1"/>
  <c r="BO53" i="1"/>
  <c r="AW53" i="1"/>
  <c r="AE53" i="1"/>
  <c r="M53" i="1"/>
  <c r="BO52" i="1"/>
  <c r="AW52" i="1"/>
  <c r="AE52" i="1"/>
  <c r="M52" i="1"/>
  <c r="BO51" i="1"/>
  <c r="AW51" i="1"/>
  <c r="AE51" i="1"/>
  <c r="M51" i="1"/>
  <c r="BO50" i="1"/>
  <c r="AW50" i="1"/>
  <c r="AE50" i="1"/>
  <c r="M50" i="1"/>
  <c r="BO49" i="1"/>
  <c r="AW49" i="1"/>
  <c r="AE49" i="1"/>
  <c r="M49" i="1"/>
  <c r="BO48" i="1"/>
  <c r="AW48" i="1"/>
  <c r="AE48" i="1"/>
  <c r="M48" i="1"/>
  <c r="BO47" i="1"/>
  <c r="AW47" i="1"/>
  <c r="AE47" i="1"/>
  <c r="M47" i="1"/>
  <c r="BO46" i="1"/>
  <c r="AW46" i="1"/>
  <c r="AE46" i="1"/>
  <c r="M46" i="1"/>
  <c r="BO45" i="1"/>
  <c r="AW45" i="1"/>
  <c r="AE45" i="1"/>
  <c r="M45" i="1"/>
  <c r="BO44" i="1"/>
  <c r="AW44" i="1"/>
  <c r="AE44" i="1"/>
  <c r="M44" i="1"/>
  <c r="BO43" i="1"/>
  <c r="AW43" i="1"/>
  <c r="AE43" i="1"/>
  <c r="M43" i="1"/>
  <c r="BO42" i="1"/>
  <c r="AW42" i="1"/>
  <c r="AE42" i="1"/>
  <c r="M42" i="1"/>
  <c r="BO41" i="1"/>
  <c r="AW41" i="1"/>
  <c r="AE41" i="1"/>
  <c r="M41" i="1"/>
  <c r="BO40" i="1"/>
  <c r="AW40" i="1"/>
  <c r="AE40" i="1"/>
  <c r="M40" i="1"/>
  <c r="BO33" i="1"/>
  <c r="AW33" i="1"/>
  <c r="AE33" i="1"/>
  <c r="M33" i="1"/>
  <c r="BO32" i="1"/>
  <c r="AW32" i="1"/>
  <c r="AE32" i="1"/>
  <c r="M32" i="1"/>
  <c r="BO31" i="1"/>
  <c r="AW31" i="1"/>
  <c r="AE31" i="1"/>
  <c r="M31" i="1"/>
  <c r="BO30" i="1"/>
  <c r="AW30" i="1"/>
  <c r="AE30" i="1"/>
  <c r="M30" i="1"/>
  <c r="BO29" i="1"/>
  <c r="AW29" i="1"/>
  <c r="AE29" i="1"/>
  <c r="M29" i="1"/>
  <c r="BO28" i="1"/>
  <c r="AW28" i="1"/>
  <c r="AE28" i="1"/>
  <c r="M28" i="1"/>
  <c r="BO27" i="1"/>
  <c r="AW27" i="1"/>
  <c r="AE27" i="1"/>
  <c r="M27" i="1"/>
  <c r="BO26" i="1"/>
  <c r="AW26" i="1"/>
  <c r="AE26" i="1"/>
  <c r="M26" i="1"/>
  <c r="BO25" i="1"/>
  <c r="AW25" i="1"/>
  <c r="AE25" i="1"/>
  <c r="M25" i="1"/>
  <c r="BO24" i="1"/>
  <c r="AW24" i="1"/>
  <c r="AE24" i="1"/>
  <c r="M24" i="1"/>
  <c r="BO23" i="1"/>
  <c r="AW23" i="1"/>
  <c r="AE23" i="1"/>
  <c r="M23" i="1"/>
  <c r="BO22" i="1"/>
  <c r="AW22" i="1"/>
  <c r="AE22" i="1"/>
  <c r="M22" i="1"/>
  <c r="BO21" i="1"/>
  <c r="AW21" i="1"/>
  <c r="AE21" i="1"/>
  <c r="M21" i="1"/>
  <c r="BO20" i="1"/>
  <c r="AW20" i="1"/>
  <c r="AE20" i="1"/>
  <c r="M20" i="1"/>
  <c r="BO19" i="1"/>
  <c r="AW19" i="1"/>
  <c r="AE19" i="1"/>
  <c r="M19" i="1"/>
  <c r="BO18" i="1"/>
  <c r="AW18" i="1"/>
  <c r="AE18" i="1"/>
  <c r="M18" i="1"/>
  <c r="BO17" i="1"/>
  <c r="AW17" i="1"/>
  <c r="AE17" i="1"/>
  <c r="M17" i="1"/>
  <c r="BO16" i="1"/>
  <c r="AW16" i="1"/>
  <c r="AE16" i="1"/>
  <c r="M16" i="1"/>
  <c r="BO15" i="1"/>
  <c r="AW15" i="1"/>
  <c r="AE15" i="1"/>
  <c r="M15" i="1"/>
  <c r="BO14" i="1"/>
  <c r="AW14" i="1"/>
  <c r="AE14" i="1"/>
  <c r="M14" i="1"/>
  <c r="BO13" i="1"/>
  <c r="AW13" i="1"/>
  <c r="AE13" i="1"/>
  <c r="M13" i="1"/>
  <c r="BO12" i="1"/>
  <c r="AW12" i="1"/>
  <c r="AE12" i="1"/>
  <c r="M12" i="1"/>
  <c r="BO11" i="1"/>
  <c r="AW11" i="1"/>
  <c r="AE11" i="1"/>
  <c r="M11" i="1"/>
  <c r="BO10" i="1"/>
  <c r="AW10" i="1"/>
  <c r="AE10" i="1"/>
  <c r="M10" i="1"/>
  <c r="BO9" i="1"/>
  <c r="AW9" i="1"/>
  <c r="AE9" i="1"/>
  <c r="M9" i="1"/>
  <c r="BO8" i="1"/>
  <c r="AW8" i="1"/>
  <c r="AE8" i="1"/>
  <c r="M8" i="1"/>
  <c r="BO7" i="1"/>
  <c r="AW7" i="1"/>
  <c r="AE7" i="1"/>
  <c r="M7" i="1"/>
  <c r="BO6" i="1"/>
  <c r="AW6" i="1"/>
  <c r="AE6" i="1"/>
  <c r="M6" i="1"/>
  <c r="BO5" i="1"/>
  <c r="AW5" i="1"/>
  <c r="AE5" i="1"/>
  <c r="M5" i="1"/>
  <c r="BO4" i="1"/>
  <c r="AW4" i="1"/>
  <c r="AE4" i="1"/>
  <c r="M4" i="1"/>
</calcChain>
</file>

<file path=xl/connections.xml><?xml version="1.0" encoding="utf-8"?>
<connections xmlns="http://schemas.openxmlformats.org/spreadsheetml/2006/main">
  <connection id="1" name="Instancia 15new_1-30" type="6" refreshedVersion="6" background="1" saveData="1">
    <textPr codePage="65001" sourceFile="D:\Chino\Doctorado\TesisProject\PcellTsp\Instancia 15new_1-30.txt" comma="1">
      <textFields count="18">
        <textField/>
        <textField/>
        <textField/>
        <textField/>
        <textField/>
        <textField/>
        <textField/>
        <textField/>
        <textField/>
        <textField/>
        <textField/>
        <textField/>
        <textField/>
        <textField/>
        <textField/>
        <textField/>
        <textField/>
        <textField/>
      </textFields>
    </textPr>
  </connection>
  <connection id="2" name="Instancia 15new_1-301" type="6" refreshedVersion="6" background="1" saveData="1">
    <textPr codePage="65001" sourceFile="D:\Chino\Doctorado\TesisProject\Grasp4TDTSP\Instancia 15new_1-30.txt" comma="1">
      <textFields count="18">
        <textField/>
        <textField/>
        <textField/>
        <textField/>
        <textField/>
        <textField/>
        <textField/>
        <textField/>
        <textField/>
        <textField/>
        <textField/>
        <textField/>
        <textField/>
        <textField/>
        <textField/>
        <textField/>
        <textField/>
        <textField/>
      </textFields>
    </textPr>
  </connection>
  <connection id="3" name="Instancia 15new_1-302" type="6" refreshedVersion="6" background="1" saveData="1">
    <textPr codePage="65001" sourceFile="D:\Chino\Doctorado\TesisProject\PcellTsp\Instancia 15new_1-30.txt" comma="1">
      <textFields count="18">
        <textField/>
        <textField/>
        <textField/>
        <textField/>
        <textField/>
        <textField/>
        <textField/>
        <textField/>
        <textField/>
        <textField/>
        <textField/>
        <textField/>
        <textField/>
        <textField/>
        <textField/>
        <textField/>
        <textField/>
        <textField/>
      </textFields>
    </textPr>
  </connection>
  <connection id="4" name="Instancia 15new_1-303" type="6" refreshedVersion="6" background="1" saveData="1">
    <textPr codePage="65001" sourceFile="D:\Chino\Doctorado\TesisProject\Grasp4TDTSP\Instancia 15new_1-30.txt" comma="1">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<sst xmlns="http://schemas.openxmlformats.org/spreadsheetml/2006/main" count="36275" uniqueCount="362">
  <si>
    <t>A70Tc2Cc1Gc2</t>
  </si>
  <si>
    <t>B70Tc2Cc1Gc2</t>
  </si>
  <si>
    <t>n</t>
  </si>
  <si>
    <t>x1</t>
  </si>
  <si>
    <t>x2</t>
  </si>
  <si>
    <t>x3</t>
  </si>
  <si>
    <t>bts</t>
  </si>
  <si>
    <t>b</t>
  </si>
  <si>
    <t>t</t>
  </si>
  <si>
    <t>Beta Promedios</t>
  </si>
  <si>
    <t>15A_1_new.txt</t>
  </si>
  <si>
    <t>40A_1_new.txt</t>
  </si>
  <si>
    <t>15A_2_new.txt</t>
  </si>
  <si>
    <t>40A_2_new.txt</t>
  </si>
  <si>
    <t>15A_3_new.txt</t>
  </si>
  <si>
    <t>40A_3_new.txt</t>
  </si>
  <si>
    <t>15A_4_new.txt</t>
  </si>
  <si>
    <t>40A_4_new.txt</t>
  </si>
  <si>
    <t>15A_5_new.txt</t>
  </si>
  <si>
    <t>40A_5_new.txt</t>
  </si>
  <si>
    <t>15A_6_new.txt</t>
  </si>
  <si>
    <t>40A_6_new.txt</t>
  </si>
  <si>
    <t>15A_7_new.txt</t>
  </si>
  <si>
    <t>40A_7_new.txt</t>
  </si>
  <si>
    <t>15A_8_new.txt</t>
  </si>
  <si>
    <t>40A_8_new.txt</t>
  </si>
  <si>
    <t>15A_9_new.txt</t>
  </si>
  <si>
    <t>40A_9_new.txt</t>
  </si>
  <si>
    <t>15A_10_new.txt</t>
  </si>
  <si>
    <t>40A_10_new.txt</t>
  </si>
  <si>
    <t>15B_1_new.txt</t>
  </si>
  <si>
    <t>40B_1_new.txt</t>
  </si>
  <si>
    <t>15B_2_new.txt</t>
  </si>
  <si>
    <t>40B_2_new.txt</t>
  </si>
  <si>
    <t>15B_3_new.txt</t>
  </si>
  <si>
    <t>40B_3_new.txt</t>
  </si>
  <si>
    <t>15B_4_new.txt</t>
  </si>
  <si>
    <t>40B_4_new.txt</t>
  </si>
  <si>
    <t>15B_5_new.txt</t>
  </si>
  <si>
    <t>40B_5_new.txt</t>
  </si>
  <si>
    <t>15B_6_new.txt</t>
  </si>
  <si>
    <t>40B_6_new.txt</t>
  </si>
  <si>
    <t>15B_7_new.txt</t>
  </si>
  <si>
    <t>40B_7_new.txt</t>
  </si>
  <si>
    <t>15B_8_new.txt</t>
  </si>
  <si>
    <t>40B_8_new.txt</t>
  </si>
  <si>
    <t>15B_9_new.txt</t>
  </si>
  <si>
    <t>40B_9_new.txt</t>
  </si>
  <si>
    <t>15B_10_new.txt</t>
  </si>
  <si>
    <t>40B_10_new.txt</t>
  </si>
  <si>
    <t>15C_1_new.txt</t>
  </si>
  <si>
    <t>40C_1_new.txt</t>
  </si>
  <si>
    <t>15C_2_new.txt</t>
  </si>
  <si>
    <t>40C_2_new.txt</t>
  </si>
  <si>
    <t>15C_3_new.txt</t>
  </si>
  <si>
    <t>40C_3_new.txt</t>
  </si>
  <si>
    <t>15C_4_new.txt</t>
  </si>
  <si>
    <t>40C_4_new.txt</t>
  </si>
  <si>
    <t>15C_5_new.txt</t>
  </si>
  <si>
    <t>40C_5_new.txt</t>
  </si>
  <si>
    <t>15C_6_new.txt</t>
  </si>
  <si>
    <t>40C_6_new.txt</t>
  </si>
  <si>
    <t>15C_7_new.txt</t>
  </si>
  <si>
    <t>40C_7_new.txt</t>
  </si>
  <si>
    <t>15C_8_new.txt</t>
  </si>
  <si>
    <t>40C_8_new.txt</t>
  </si>
  <si>
    <t>15C_9_new.txt</t>
  </si>
  <si>
    <t>40C_9_new.txt</t>
  </si>
  <si>
    <t>15C_10_new.txt</t>
  </si>
  <si>
    <t>40C_10_new.txt</t>
  </si>
  <si>
    <t>A80Tc2Cc1Gc2</t>
  </si>
  <si>
    <t>B80Tc2Cc1Gc2</t>
  </si>
  <si>
    <t>A90Tc2Cc1Gc2</t>
  </si>
  <si>
    <t>B90Tc2Cc1Gc2</t>
  </si>
  <si>
    <t>20A_1_new.txt</t>
  </si>
  <si>
    <t>45A_1_new.txt</t>
  </si>
  <si>
    <t>20A_2_new.txt</t>
  </si>
  <si>
    <t>45A_2_new.txt</t>
  </si>
  <si>
    <t>20A_3_new.txt</t>
  </si>
  <si>
    <t>45A_3_new.txt</t>
  </si>
  <si>
    <t>20A_4_new.txt</t>
  </si>
  <si>
    <t>45A_4_new.txt</t>
  </si>
  <si>
    <t>20A_5_new.txt</t>
  </si>
  <si>
    <t>45A_5_new.txt</t>
  </si>
  <si>
    <t>20A_6_new.txt</t>
  </si>
  <si>
    <t>45A_6_new.txt</t>
  </si>
  <si>
    <t>20A_7_new.txt</t>
  </si>
  <si>
    <t>45A_7_new.txt</t>
  </si>
  <si>
    <t>20A_8_new.txt</t>
  </si>
  <si>
    <t>45A_8_new.txt</t>
  </si>
  <si>
    <t>20A_9_new.txt</t>
  </si>
  <si>
    <t>45A_9_new.txt</t>
  </si>
  <si>
    <t>20A_10_new.txt</t>
  </si>
  <si>
    <t>45A_10_new.txt</t>
  </si>
  <si>
    <t>20B_1_new.txt</t>
  </si>
  <si>
    <t>45B_1_new.txt</t>
  </si>
  <si>
    <t>20B_2_new.txt</t>
  </si>
  <si>
    <t>45B_2_new.txt</t>
  </si>
  <si>
    <t>20B_3_new.txt</t>
  </si>
  <si>
    <t>45B_3_new.txt</t>
  </si>
  <si>
    <t>20B_4_new.txt</t>
  </si>
  <si>
    <t>45B_4_new.txt</t>
  </si>
  <si>
    <t>20B_5_new.txt</t>
  </si>
  <si>
    <t>45B_5_new.txt</t>
  </si>
  <si>
    <t>20B_6_new.txt</t>
  </si>
  <si>
    <t>45B_6_new.txt</t>
  </si>
  <si>
    <t>20B_7_new.txt</t>
  </si>
  <si>
    <t>45B_7_new.txt</t>
  </si>
  <si>
    <t>20B_8_new.txt</t>
  </si>
  <si>
    <t>45B_8_new.txt</t>
  </si>
  <si>
    <t>20B_9_new.txt</t>
  </si>
  <si>
    <t>45B_9_new.txt</t>
  </si>
  <si>
    <t>20B_10_new.txt</t>
  </si>
  <si>
    <t>45B_10_new.txt</t>
  </si>
  <si>
    <t>20C_1_new.txt</t>
  </si>
  <si>
    <t>45C_1_new.txt</t>
  </si>
  <si>
    <t>20C_2_new.txt</t>
  </si>
  <si>
    <t>45C_2_new.txt</t>
  </si>
  <si>
    <t>20C_3_new.txt</t>
  </si>
  <si>
    <t>45C_3_new.txt</t>
  </si>
  <si>
    <t>20C_4_new.txt</t>
  </si>
  <si>
    <t>45C_4_new.txt</t>
  </si>
  <si>
    <t>20C_5_new.txt</t>
  </si>
  <si>
    <t>45C_5_new.txt</t>
  </si>
  <si>
    <t>20C_6_new.txt</t>
  </si>
  <si>
    <t>45C_6_new.txt</t>
  </si>
  <si>
    <t>20C_7_new.txt</t>
  </si>
  <si>
    <t>45C_7_new.txt</t>
  </si>
  <si>
    <t>20C_8_new.txt</t>
  </si>
  <si>
    <t>45C_8_new.txt</t>
  </si>
  <si>
    <t>20C_9_new.txt</t>
  </si>
  <si>
    <t>45C_9_new.txt</t>
  </si>
  <si>
    <t>20C_10_new.txt</t>
  </si>
  <si>
    <t>45C_10_new.txt</t>
  </si>
  <si>
    <t>25A_1_new.txt</t>
  </si>
  <si>
    <t>50A_1_new.txt</t>
  </si>
  <si>
    <t>25A_2_new.txt</t>
  </si>
  <si>
    <t>50A_2_new.txt</t>
  </si>
  <si>
    <t>25A_3_new.txt</t>
  </si>
  <si>
    <t>50A_3_new.txt</t>
  </si>
  <si>
    <t>25A_4_new.txt</t>
  </si>
  <si>
    <t>50A_4_new.txt</t>
  </si>
  <si>
    <t>25A_5_new.txt</t>
  </si>
  <si>
    <t>50A_5_new.txt</t>
  </si>
  <si>
    <t>25A_6_new.txt</t>
  </si>
  <si>
    <t>50A_6_new.txt</t>
  </si>
  <si>
    <t>25A_7_new.txt</t>
  </si>
  <si>
    <t>50A_7_new.txt</t>
  </si>
  <si>
    <t>25A_8_new.txt</t>
  </si>
  <si>
    <t>50A_8_new.txt</t>
  </si>
  <si>
    <t>25A_9_new.txt</t>
  </si>
  <si>
    <t>50A_9_new.txt</t>
  </si>
  <si>
    <t>25A_10_new.txt</t>
  </si>
  <si>
    <t>50A_10_new.txt</t>
  </si>
  <si>
    <t>25B_1_new.txt</t>
  </si>
  <si>
    <t>50B_1_new.txt</t>
  </si>
  <si>
    <t>25B_2_new.txt</t>
  </si>
  <si>
    <t>50B_2_new.txt</t>
  </si>
  <si>
    <t>25B_3_new.txt</t>
  </si>
  <si>
    <t>50B_3_new.txt</t>
  </si>
  <si>
    <t>25B_4_new.txt</t>
  </si>
  <si>
    <t>50B_4_new.txt</t>
  </si>
  <si>
    <t>25B_5_new.txt</t>
  </si>
  <si>
    <t>50B_5_new.txt</t>
  </si>
  <si>
    <t>25B_6_new.txt</t>
  </si>
  <si>
    <t>50B_6_new.txt</t>
  </si>
  <si>
    <t>25B_7_new.txt</t>
  </si>
  <si>
    <t>50B_7_new.txt</t>
  </si>
  <si>
    <t>25B_8_new.txt</t>
  </si>
  <si>
    <t>50B_8_new.txt</t>
  </si>
  <si>
    <t>25B_9_new.txt</t>
  </si>
  <si>
    <t>50B_9_new.txt</t>
  </si>
  <si>
    <t>25B_10_new.txt</t>
  </si>
  <si>
    <t>50B_10_new.txt</t>
  </si>
  <si>
    <t>25C_1_new.txt</t>
  </si>
  <si>
    <t>50C_1_new.txt</t>
  </si>
  <si>
    <t>25C_2_new.txt</t>
  </si>
  <si>
    <t>50C_2_new.txt</t>
  </si>
  <si>
    <t>25C_3_new.txt</t>
  </si>
  <si>
    <t>50C_3_new.txt</t>
  </si>
  <si>
    <t>25C_4_new.txt</t>
  </si>
  <si>
    <t>50C_4_new.txt</t>
  </si>
  <si>
    <t>25C_5_new.txt</t>
  </si>
  <si>
    <t>50C_5_new.txt</t>
  </si>
  <si>
    <t>25C_6_new.txt</t>
  </si>
  <si>
    <t>50C_6_new.txt</t>
  </si>
  <si>
    <t>25C_7_new.txt</t>
  </si>
  <si>
    <t>50C_7_new.txt</t>
  </si>
  <si>
    <t>25C_8_new.txt</t>
  </si>
  <si>
    <t>50C_8_new.txt</t>
  </si>
  <si>
    <t>25C_9_new.txt</t>
  </si>
  <si>
    <t>50C_9_new.txt</t>
  </si>
  <si>
    <t>25C_10_new.txt</t>
  </si>
  <si>
    <t>50C_10_new.txt</t>
  </si>
  <si>
    <t>30A_1_new.txt</t>
  </si>
  <si>
    <t>55A_1_new.txt</t>
  </si>
  <si>
    <t>30A_2_new.txt</t>
  </si>
  <si>
    <t>55A_2_new.txt</t>
  </si>
  <si>
    <t>30A_3_new.txt</t>
  </si>
  <si>
    <t>55A_3_new.txt</t>
  </si>
  <si>
    <t>30A_4_new.txt</t>
  </si>
  <si>
    <t>55A_4_new.txt</t>
  </si>
  <si>
    <t>30A_5_new.txt</t>
  </si>
  <si>
    <t>55A_5_new.txt</t>
  </si>
  <si>
    <t>30A_6_new.txt</t>
  </si>
  <si>
    <t>55A_6_new.txt</t>
  </si>
  <si>
    <t>30A_7_new.txt</t>
  </si>
  <si>
    <t>55A_7_new.txt</t>
  </si>
  <si>
    <t>30A_8_new.txt</t>
  </si>
  <si>
    <t>55A_8_new.txt</t>
  </si>
  <si>
    <t>30A_9_new.txt</t>
  </si>
  <si>
    <t>55A_9_new.txt</t>
  </si>
  <si>
    <t>30A_10_new.txt</t>
  </si>
  <si>
    <t>55A_10_new.txt</t>
  </si>
  <si>
    <t>30B_1_new.txt</t>
  </si>
  <si>
    <t>55B_1_new.txt</t>
  </si>
  <si>
    <t>30B_2_new.txt</t>
  </si>
  <si>
    <t>55B_2_new.txt</t>
  </si>
  <si>
    <t>30B_3_new.txt</t>
  </si>
  <si>
    <t>55B_3_new.txt</t>
  </si>
  <si>
    <t>30B_4_new.txt</t>
  </si>
  <si>
    <t>55B_4_new.txt</t>
  </si>
  <si>
    <t>30B_5_new.txt</t>
  </si>
  <si>
    <t>55B_5_new.txt</t>
  </si>
  <si>
    <t>30B_6_new.txt</t>
  </si>
  <si>
    <t>55B_6_new.txt</t>
  </si>
  <si>
    <t>30B_7_new.txt</t>
  </si>
  <si>
    <t>55B_7_new.txt</t>
  </si>
  <si>
    <t>30B_8_new.txt</t>
  </si>
  <si>
    <t>55B_8_new.txt</t>
  </si>
  <si>
    <t>30B_9_new.txt</t>
  </si>
  <si>
    <t>55B_9_new.txt</t>
  </si>
  <si>
    <t>30B_10_new.txt</t>
  </si>
  <si>
    <t>55B_10_new.txt</t>
  </si>
  <si>
    <t>30C_1_new.txt</t>
  </si>
  <si>
    <t>55C_1_new.txt</t>
  </si>
  <si>
    <t>30C_2_new.txt</t>
  </si>
  <si>
    <t>55C_2_new.txt</t>
  </si>
  <si>
    <t>30C_3_new.txt</t>
  </si>
  <si>
    <t>55C_3_new.txt</t>
  </si>
  <si>
    <t>30C_4_new.txt</t>
  </si>
  <si>
    <t>55C_4_new.txt</t>
  </si>
  <si>
    <t>30C_5_new.txt</t>
  </si>
  <si>
    <t>55C_5_new.txt</t>
  </si>
  <si>
    <t>30C_6_new.txt</t>
  </si>
  <si>
    <t>55C_6_new.txt</t>
  </si>
  <si>
    <t>30C_7_new.txt</t>
  </si>
  <si>
    <t>55C_7_new.txt</t>
  </si>
  <si>
    <t>30C_8_new.txt</t>
  </si>
  <si>
    <t>55C_8_new.txt</t>
  </si>
  <si>
    <t>30C_9_new.txt</t>
  </si>
  <si>
    <t>55C_9_new.txt</t>
  </si>
  <si>
    <t>30C_10_new.txt</t>
  </si>
  <si>
    <t>55C_10_new.txt</t>
  </si>
  <si>
    <t>35A_1_new.txt</t>
  </si>
  <si>
    <t>60A_1_new.txt</t>
  </si>
  <si>
    <t>35A_2_new.txt</t>
  </si>
  <si>
    <t>60A_2_new.txt</t>
  </si>
  <si>
    <t>35A_3_new.txt</t>
  </si>
  <si>
    <t>60A_3_new.txt</t>
  </si>
  <si>
    <t>35A_4_new.txt</t>
  </si>
  <si>
    <t>60A_4_new.txt</t>
  </si>
  <si>
    <t>35A_5_new.txt</t>
  </si>
  <si>
    <t>60A_5_new.txt</t>
  </si>
  <si>
    <t>35A_6_new.txt</t>
  </si>
  <si>
    <t>60A_6_new.txt</t>
  </si>
  <si>
    <t>35A_7_new.txt</t>
  </si>
  <si>
    <t>60A_7_new.txt</t>
  </si>
  <si>
    <t>35A_8_new.txt</t>
  </si>
  <si>
    <t>60A_8_new.txt</t>
  </si>
  <si>
    <t>35A_9_new.txt</t>
  </si>
  <si>
    <t>60A_9_new.txt</t>
  </si>
  <si>
    <t>35A_10_new.txt</t>
  </si>
  <si>
    <t>60A_10_new.txt</t>
  </si>
  <si>
    <t>35B_1_new.txt</t>
  </si>
  <si>
    <t>60B_1_new.txt</t>
  </si>
  <si>
    <t>35B_2_new.txt</t>
  </si>
  <si>
    <t>60B_2_new.txt</t>
  </si>
  <si>
    <t>35B_3_new.txt</t>
  </si>
  <si>
    <t>60B_3_new.txt</t>
  </si>
  <si>
    <t>35B_4_new.txt</t>
  </si>
  <si>
    <t>60B_4_new.txt</t>
  </si>
  <si>
    <t>35B_5_new.txt</t>
  </si>
  <si>
    <t>60B_5_new.txt</t>
  </si>
  <si>
    <t>35B_6_new.txt</t>
  </si>
  <si>
    <t>60B_6_new.txt</t>
  </si>
  <si>
    <t>35B_7_new.txt</t>
  </si>
  <si>
    <t>60B_7_new.txt</t>
  </si>
  <si>
    <t>35B_8_new.txt</t>
  </si>
  <si>
    <t>60B_8_new.txt</t>
  </si>
  <si>
    <t>35B_9_new.txt</t>
  </si>
  <si>
    <t>60B_9_new.txt</t>
  </si>
  <si>
    <t>35B_10_new.txt</t>
  </si>
  <si>
    <t>60B_10_new.txt</t>
  </si>
  <si>
    <t>35C_1_new.txt</t>
  </si>
  <si>
    <t>60C_1_new.txt</t>
  </si>
  <si>
    <t>35C_2_new.txt</t>
  </si>
  <si>
    <t>60C_2_new.txt</t>
  </si>
  <si>
    <t>35C_3_new.txt</t>
  </si>
  <si>
    <t>60C_3_new.txt</t>
  </si>
  <si>
    <t>35C_4_new.txt</t>
  </si>
  <si>
    <t>60C_4_new.txt</t>
  </si>
  <si>
    <t>35C_5_new.txt</t>
  </si>
  <si>
    <t>60C_5_new.txt</t>
  </si>
  <si>
    <t>35C_6_new.txt</t>
  </si>
  <si>
    <t>60C_6_new.txt</t>
  </si>
  <si>
    <t>35C_7_new.txt</t>
  </si>
  <si>
    <t>60C_7_new.txt</t>
  </si>
  <si>
    <t>35C_8_new.txt</t>
  </si>
  <si>
    <t>60C_8_new.txt</t>
  </si>
  <si>
    <t>35C_9_new.txt</t>
  </si>
  <si>
    <t>60C_9_new.txt</t>
  </si>
  <si>
    <t>35C_10_new.txt</t>
  </si>
  <si>
    <t>60C_10_new.txt</t>
  </si>
  <si>
    <t>PCELL</t>
  </si>
  <si>
    <t>GRASP</t>
  </si>
  <si>
    <t>Beta Promedio</t>
  </si>
  <si>
    <t>70ATc2Cc1Gc2</t>
  </si>
  <si>
    <t>70BTc2Cc1Gc2</t>
  </si>
  <si>
    <t xml:space="preserve">   </t>
  </si>
  <si>
    <t>PcellRGRASP</t>
  </si>
  <si>
    <t>RGRASP</t>
  </si>
  <si>
    <t>Ganado</t>
  </si>
  <si>
    <t>Perdido</t>
  </si>
  <si>
    <t>PcellEstGRASP</t>
  </si>
  <si>
    <t>PcellRandGRASP</t>
  </si>
  <si>
    <t>PcellRanGRASP</t>
  </si>
  <si>
    <t>PcellReaGRASP</t>
  </si>
  <si>
    <t>Pcell - estatico</t>
  </si>
  <si>
    <t>GRASP - random</t>
  </si>
  <si>
    <t>70A</t>
  </si>
  <si>
    <t>70B</t>
  </si>
  <si>
    <t>80A</t>
  </si>
  <si>
    <t>80B</t>
  </si>
  <si>
    <t>90A</t>
  </si>
  <si>
    <t>90B</t>
  </si>
  <si>
    <t>Pcell - random</t>
  </si>
  <si>
    <t>Pcell - reactivo</t>
  </si>
  <si>
    <t>GRASP - reactivo</t>
  </si>
  <si>
    <t>Pcell - Reactivo</t>
  </si>
  <si>
    <t>GRASP - Reactivo</t>
  </si>
  <si>
    <t>Total Ganado</t>
  </si>
  <si>
    <t>Total Perdido</t>
  </si>
  <si>
    <t>Primer Lugar</t>
  </si>
  <si>
    <t>Segundo Lugar</t>
  </si>
  <si>
    <t>Tamaño 60</t>
  </si>
  <si>
    <t>Traffic A</t>
  </si>
  <si>
    <t>Traffic B</t>
  </si>
  <si>
    <t>GReactA</t>
  </si>
  <si>
    <t>GReactB</t>
  </si>
  <si>
    <t>CPAEstA</t>
  </si>
  <si>
    <t>CPARandA</t>
  </si>
  <si>
    <t>CPAEstB</t>
  </si>
  <si>
    <t>CPARandB</t>
  </si>
  <si>
    <t>GRandA</t>
  </si>
  <si>
    <t>GRankA</t>
  </si>
  <si>
    <t>GRandB</t>
  </si>
  <si>
    <t>GRankB</t>
  </si>
  <si>
    <t>CPARankA</t>
  </si>
  <si>
    <t>CPARankB</t>
  </si>
  <si>
    <t>CPAReactA</t>
  </si>
  <si>
    <t>CPAReactB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</si>
</sst>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6">
    <fill>
      <patternFill patternType="none"/>
    </fill>
    <fill>
      <patternFill patternType="gray125"/>
    </fill>
    <fill>
      <patternFill patternType="solid">
        <fgColor rgb="FFFF0000"/>
        <bgColor indexed="64"/>
      </patternFill>
    </fill>
    <fill>
      <patternFill patternType="solid">
        <fgColor theme="9"/>
        <bgColor indexed="64"/>
      </patternFill>
    </fill>
    <fill>
      <patternFill patternType="solid">
        <fgColor rgb="FF92D050"/>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0" fillId="2" borderId="0" xfId="0" applyFill="1"/>
    <xf numFmtId="0" fontId="0" fillId="0" borderId="0" xfId="0" applyFill="1"/>
    <xf numFmtId="0" fontId="0" fillId="0" borderId="1" xfId="0" applyBorder="1"/>
    <xf numFmtId="0" fontId="0" fillId="0" borderId="1" xfId="0" applyFill="1" applyBorder="1"/>
    <xf numFmtId="0" fontId="0" fillId="0" borderId="0" xfId="0" applyBorder="1"/>
    <xf numFmtId="0" fontId="0" fillId="3" borderId="1" xfId="0" applyFill="1" applyBorder="1"/>
    <xf numFmtId="0" fontId="0" fillId="2" borderId="1" xfId="0" applyFill="1" applyBorder="1"/>
    <xf numFmtId="0" fontId="0" fillId="4" borderId="1" xfId="0" applyFill="1" applyBorder="1"/>
    <xf numFmtId="0" fontId="0" fillId="0" borderId="2" xfId="0" applyBorder="1"/>
    <xf numFmtId="0" fontId="0" fillId="0" borderId="5" xfId="0" applyBorder="1"/>
    <xf numFmtId="0" fontId="0" fillId="0" borderId="0" xfId="0" applyBorder="1" applyAlignment="1">
      <alignment horizontal="center"/>
    </xf>
    <xf numFmtId="0" fontId="0" fillId="0" borderId="0" xfId="0" applyFill="1" applyBorder="1"/>
    <xf numFmtId="0" fontId="0" fillId="2" borderId="0" xfId="0" applyFill="1" applyBorder="1" applyAlignment="1"/>
    <xf numFmtId="0" fontId="0" fillId="0" borderId="2" xfId="0" applyFill="1" applyBorder="1"/>
    <xf numFmtId="0" fontId="0" fillId="0" borderId="1" xfId="0" applyBorder="1" applyAlignment="1">
      <alignment horizontal="center"/>
    </xf>
    <xf numFmtId="0" fontId="0" fillId="4" borderId="0" xfId="0" applyFill="1"/>
    <xf numFmtId="0" fontId="0" fillId="3" borderId="0" xfId="0" applyFill="1"/>
    <xf numFmtId="0" fontId="0" fillId="0" borderId="5" xfId="0" applyFill="1" applyBorder="1"/>
    <xf numFmtId="0" fontId="0" fillId="0" borderId="1"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 xfId="0"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5" xfId="0" applyFill="1" applyBorder="1" applyAlignment="1">
      <alignment horizontal="center"/>
    </xf>
    <xf numFmtId="0" fontId="0" fillId="5" borderId="3" xfId="0" applyFill="1" applyBorder="1" applyAlignment="1">
      <alignment horizontal="center"/>
    </xf>
    <xf numFmtId="0" fontId="0" fillId="5" borderId="5" xfId="0" applyFill="1" applyBorder="1" applyAlignment="1">
      <alignment horizontal="center"/>
    </xf>
    <xf numFmtId="0" fontId="0" fillId="5" borderId="1"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Resultados!$BP$7</c:f>
              <c:strCache>
                <c:ptCount val="1"/>
                <c:pt idx="0">
                  <c:v>CPAEstA</c:v>
                </c:pt>
              </c:strCache>
            </c:strRef>
          </c:tx>
          <c:spPr>
            <a:solidFill>
              <a:schemeClr val="accent1"/>
            </a:solidFill>
            <a:ln>
              <a:noFill/>
            </a:ln>
            <a:effectLst/>
          </c:spPr>
          <c:invertIfNegative val="0"/>
          <c:val>
            <c:numRef>
              <c:f>Resultados!$BP$8:$BP$17</c:f>
              <c:numCache>
                <c:formatCode>General</c:formatCode>
                <c:ptCount val="10"/>
                <c:pt idx="0">
                  <c:v>80</c:v>
                </c:pt>
                <c:pt idx="1">
                  <c:v>87</c:v>
                </c:pt>
                <c:pt idx="2">
                  <c:v>82</c:v>
                </c:pt>
                <c:pt idx="3">
                  <c:v>81</c:v>
                </c:pt>
                <c:pt idx="4">
                  <c:v>85</c:v>
                </c:pt>
                <c:pt idx="5">
                  <c:v>30</c:v>
                </c:pt>
                <c:pt idx="6">
                  <c:v>88</c:v>
                </c:pt>
                <c:pt idx="7">
                  <c:v>87</c:v>
                </c:pt>
                <c:pt idx="8">
                  <c:v>85</c:v>
                </c:pt>
                <c:pt idx="9">
                  <c:v>87</c:v>
                </c:pt>
              </c:numCache>
            </c:numRef>
          </c:val>
          <c:extLst>
            <c:ext xmlns:c16="http://schemas.microsoft.com/office/drawing/2014/chart" uri="{C3380CC4-5D6E-409C-BE32-E72D297353CC}">
              <c16:uniqueId val="{00000000-F0F0-489A-A364-1688CDB5A788}"/>
            </c:ext>
          </c:extLst>
        </c:ser>
        <c:ser>
          <c:idx val="1"/>
          <c:order val="1"/>
          <c:tx>
            <c:strRef>
              <c:f>Resultados!$BQ$7</c:f>
              <c:strCache>
                <c:ptCount val="1"/>
                <c:pt idx="0">
                  <c:v>CPARankA</c:v>
                </c:pt>
              </c:strCache>
            </c:strRef>
          </c:tx>
          <c:spPr>
            <a:solidFill>
              <a:schemeClr val="accent2"/>
            </a:solidFill>
            <a:ln>
              <a:noFill/>
            </a:ln>
            <a:effectLst/>
          </c:spPr>
          <c:invertIfNegative val="0"/>
          <c:val>
            <c:numRef>
              <c:f>Resultados!$BQ$8:$BQ$17</c:f>
              <c:numCache>
                <c:formatCode>General</c:formatCode>
                <c:ptCount val="10"/>
                <c:pt idx="0">
                  <c:v>25</c:v>
                </c:pt>
                <c:pt idx="1">
                  <c:v>5</c:v>
                </c:pt>
                <c:pt idx="2">
                  <c:v>10</c:v>
                </c:pt>
                <c:pt idx="3">
                  <c:v>10</c:v>
                </c:pt>
                <c:pt idx="4">
                  <c:v>7</c:v>
                </c:pt>
                <c:pt idx="5">
                  <c:v>5</c:v>
                </c:pt>
                <c:pt idx="6">
                  <c:v>3</c:v>
                </c:pt>
                <c:pt idx="7">
                  <c:v>4</c:v>
                </c:pt>
                <c:pt idx="8">
                  <c:v>6</c:v>
                </c:pt>
                <c:pt idx="9">
                  <c:v>3</c:v>
                </c:pt>
              </c:numCache>
            </c:numRef>
          </c:val>
          <c:extLst>
            <c:ext xmlns:c16="http://schemas.microsoft.com/office/drawing/2014/chart" uri="{C3380CC4-5D6E-409C-BE32-E72D297353CC}">
              <c16:uniqueId val="{00000001-F0F0-489A-A364-1688CDB5A788}"/>
            </c:ext>
          </c:extLst>
        </c:ser>
        <c:dLbls>
          <c:showLegendKey val="0"/>
          <c:showVal val="0"/>
          <c:showCatName val="0"/>
          <c:showSerName val="0"/>
          <c:showPercent val="0"/>
          <c:showBubbleSize val="0"/>
        </c:dLbls>
        <c:gapWidth val="219"/>
        <c:overlap val="-27"/>
        <c:axId val="1340907215"/>
        <c:axId val="1340891823"/>
      </c:barChart>
      <c:catAx>
        <c:axId val="1340907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340891823"/>
        <c:crosses val="autoZero"/>
        <c:auto val="1"/>
        <c:lblAlgn val="ctr"/>
        <c:lblOffset val="100"/>
        <c:noMultiLvlLbl val="0"/>
      </c:catAx>
      <c:valAx>
        <c:axId val="1340891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Optimal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340907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Resultados!$BT$7</c:f>
              <c:strCache>
                <c:ptCount val="1"/>
                <c:pt idx="0">
                  <c:v>CPAEstB</c:v>
                </c:pt>
              </c:strCache>
            </c:strRef>
          </c:tx>
          <c:spPr>
            <a:solidFill>
              <a:schemeClr val="accent1"/>
            </a:solidFill>
            <a:ln>
              <a:noFill/>
            </a:ln>
            <a:effectLst/>
          </c:spPr>
          <c:invertIfNegative val="0"/>
          <c:val>
            <c:numRef>
              <c:f>Resultados!$BT$8:$BT$17</c:f>
              <c:numCache>
                <c:formatCode>General</c:formatCode>
                <c:ptCount val="10"/>
                <c:pt idx="0">
                  <c:v>26</c:v>
                </c:pt>
                <c:pt idx="1">
                  <c:v>83</c:v>
                </c:pt>
                <c:pt idx="2">
                  <c:v>86</c:v>
                </c:pt>
                <c:pt idx="3">
                  <c:v>77</c:v>
                </c:pt>
                <c:pt idx="4">
                  <c:v>86</c:v>
                </c:pt>
                <c:pt idx="5">
                  <c:v>86</c:v>
                </c:pt>
                <c:pt idx="6">
                  <c:v>88</c:v>
                </c:pt>
                <c:pt idx="7">
                  <c:v>87</c:v>
                </c:pt>
                <c:pt idx="8">
                  <c:v>86</c:v>
                </c:pt>
                <c:pt idx="9">
                  <c:v>85</c:v>
                </c:pt>
              </c:numCache>
            </c:numRef>
          </c:val>
          <c:extLst>
            <c:ext xmlns:c16="http://schemas.microsoft.com/office/drawing/2014/chart" uri="{C3380CC4-5D6E-409C-BE32-E72D297353CC}">
              <c16:uniqueId val="{00000000-E87E-4282-BC84-3E6B9CE53550}"/>
            </c:ext>
          </c:extLst>
        </c:ser>
        <c:ser>
          <c:idx val="1"/>
          <c:order val="1"/>
          <c:tx>
            <c:strRef>
              <c:f>Resultados!$BU$7</c:f>
              <c:strCache>
                <c:ptCount val="1"/>
                <c:pt idx="0">
                  <c:v>CPARankB</c:v>
                </c:pt>
              </c:strCache>
            </c:strRef>
          </c:tx>
          <c:spPr>
            <a:solidFill>
              <a:schemeClr val="accent2"/>
            </a:solidFill>
            <a:ln>
              <a:noFill/>
            </a:ln>
            <a:effectLst/>
          </c:spPr>
          <c:invertIfNegative val="0"/>
          <c:val>
            <c:numRef>
              <c:f>Resultados!$BU$8:$BU$17</c:f>
              <c:numCache>
                <c:formatCode>General</c:formatCode>
                <c:ptCount val="10"/>
                <c:pt idx="0">
                  <c:v>24</c:v>
                </c:pt>
                <c:pt idx="1">
                  <c:v>11</c:v>
                </c:pt>
                <c:pt idx="2">
                  <c:v>6</c:v>
                </c:pt>
                <c:pt idx="3">
                  <c:v>14</c:v>
                </c:pt>
                <c:pt idx="4">
                  <c:v>5</c:v>
                </c:pt>
                <c:pt idx="5">
                  <c:v>5</c:v>
                </c:pt>
                <c:pt idx="6">
                  <c:v>2</c:v>
                </c:pt>
                <c:pt idx="7">
                  <c:v>5</c:v>
                </c:pt>
                <c:pt idx="8">
                  <c:v>5</c:v>
                </c:pt>
                <c:pt idx="9">
                  <c:v>4</c:v>
                </c:pt>
              </c:numCache>
            </c:numRef>
          </c:val>
          <c:extLst>
            <c:ext xmlns:c16="http://schemas.microsoft.com/office/drawing/2014/chart" uri="{C3380CC4-5D6E-409C-BE32-E72D297353CC}">
              <c16:uniqueId val="{00000001-E87E-4282-BC84-3E6B9CE53550}"/>
            </c:ext>
          </c:extLst>
        </c:ser>
        <c:dLbls>
          <c:showLegendKey val="0"/>
          <c:showVal val="0"/>
          <c:showCatName val="0"/>
          <c:showSerName val="0"/>
          <c:showPercent val="0"/>
          <c:showBubbleSize val="0"/>
        </c:dLbls>
        <c:gapWidth val="219"/>
        <c:overlap val="-27"/>
        <c:axId val="1351336383"/>
        <c:axId val="1351335551"/>
      </c:barChart>
      <c:catAx>
        <c:axId val="13513363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351335551"/>
        <c:crosses val="autoZero"/>
        <c:auto val="1"/>
        <c:lblAlgn val="ctr"/>
        <c:lblOffset val="100"/>
        <c:noMultiLvlLbl val="0"/>
      </c:catAx>
      <c:valAx>
        <c:axId val="1351335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Optimal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351336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Resultados!$BH$7</c:f>
              <c:strCache>
                <c:ptCount val="1"/>
                <c:pt idx="0">
                  <c:v>GRandA</c:v>
                </c:pt>
              </c:strCache>
            </c:strRef>
          </c:tx>
          <c:spPr>
            <a:solidFill>
              <a:schemeClr val="accent1"/>
            </a:solidFill>
            <a:ln>
              <a:noFill/>
            </a:ln>
            <a:effectLst/>
          </c:spPr>
          <c:invertIfNegative val="0"/>
          <c:val>
            <c:numRef>
              <c:f>Resultados!$BH$8:$BH$17</c:f>
              <c:numCache>
                <c:formatCode>General</c:formatCode>
                <c:ptCount val="10"/>
                <c:pt idx="0">
                  <c:v>11</c:v>
                </c:pt>
                <c:pt idx="1">
                  <c:v>27</c:v>
                </c:pt>
                <c:pt idx="2">
                  <c:v>37</c:v>
                </c:pt>
                <c:pt idx="3">
                  <c:v>30</c:v>
                </c:pt>
                <c:pt idx="4">
                  <c:v>33</c:v>
                </c:pt>
                <c:pt idx="5">
                  <c:v>33</c:v>
                </c:pt>
                <c:pt idx="6">
                  <c:v>23</c:v>
                </c:pt>
                <c:pt idx="7">
                  <c:v>26</c:v>
                </c:pt>
                <c:pt idx="8">
                  <c:v>28</c:v>
                </c:pt>
                <c:pt idx="9">
                  <c:v>27</c:v>
                </c:pt>
              </c:numCache>
            </c:numRef>
          </c:val>
          <c:extLst>
            <c:ext xmlns:c16="http://schemas.microsoft.com/office/drawing/2014/chart" uri="{C3380CC4-5D6E-409C-BE32-E72D297353CC}">
              <c16:uniqueId val="{00000000-5EC3-4422-969C-1DEB52CC72EF}"/>
            </c:ext>
          </c:extLst>
        </c:ser>
        <c:ser>
          <c:idx val="1"/>
          <c:order val="1"/>
          <c:tx>
            <c:strRef>
              <c:f>Resultados!$BI$7</c:f>
              <c:strCache>
                <c:ptCount val="1"/>
                <c:pt idx="0">
                  <c:v>GRankA</c:v>
                </c:pt>
              </c:strCache>
            </c:strRef>
          </c:tx>
          <c:spPr>
            <a:solidFill>
              <a:schemeClr val="accent2"/>
            </a:solidFill>
            <a:ln>
              <a:noFill/>
            </a:ln>
            <a:effectLst/>
          </c:spPr>
          <c:invertIfNegative val="0"/>
          <c:val>
            <c:numRef>
              <c:f>Resultados!$BI$8:$BI$17</c:f>
              <c:numCache>
                <c:formatCode>General</c:formatCode>
                <c:ptCount val="10"/>
                <c:pt idx="0">
                  <c:v>54</c:v>
                </c:pt>
                <c:pt idx="1">
                  <c:v>50</c:v>
                </c:pt>
                <c:pt idx="2">
                  <c:v>43</c:v>
                </c:pt>
                <c:pt idx="3">
                  <c:v>43</c:v>
                </c:pt>
                <c:pt idx="4">
                  <c:v>44</c:v>
                </c:pt>
                <c:pt idx="5">
                  <c:v>45</c:v>
                </c:pt>
                <c:pt idx="6">
                  <c:v>37</c:v>
                </c:pt>
                <c:pt idx="7">
                  <c:v>41</c:v>
                </c:pt>
                <c:pt idx="8">
                  <c:v>43</c:v>
                </c:pt>
                <c:pt idx="9">
                  <c:v>50</c:v>
                </c:pt>
              </c:numCache>
            </c:numRef>
          </c:val>
          <c:extLst>
            <c:ext xmlns:c16="http://schemas.microsoft.com/office/drawing/2014/chart" uri="{C3380CC4-5D6E-409C-BE32-E72D297353CC}">
              <c16:uniqueId val="{00000001-5EC3-4422-969C-1DEB52CC72EF}"/>
            </c:ext>
          </c:extLst>
        </c:ser>
        <c:dLbls>
          <c:showLegendKey val="0"/>
          <c:showVal val="0"/>
          <c:showCatName val="0"/>
          <c:showSerName val="0"/>
          <c:showPercent val="0"/>
          <c:showBubbleSize val="0"/>
        </c:dLbls>
        <c:gapWidth val="219"/>
        <c:overlap val="-27"/>
        <c:axId val="1282429935"/>
        <c:axId val="1282435759"/>
      </c:barChart>
      <c:catAx>
        <c:axId val="12824299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82435759"/>
        <c:crosses val="autoZero"/>
        <c:auto val="1"/>
        <c:lblAlgn val="ctr"/>
        <c:lblOffset val="100"/>
        <c:noMultiLvlLbl val="0"/>
      </c:catAx>
      <c:valAx>
        <c:axId val="1282435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Optimañ</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82429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Resultados!$BL$7</c:f>
              <c:strCache>
                <c:ptCount val="1"/>
                <c:pt idx="0">
                  <c:v>GRandB</c:v>
                </c:pt>
              </c:strCache>
            </c:strRef>
          </c:tx>
          <c:spPr>
            <a:solidFill>
              <a:schemeClr val="accent1"/>
            </a:solidFill>
            <a:ln>
              <a:noFill/>
            </a:ln>
            <a:effectLst/>
          </c:spPr>
          <c:invertIfNegative val="0"/>
          <c:val>
            <c:numRef>
              <c:f>Resultados!$BL$8:$BL$17</c:f>
              <c:numCache>
                <c:formatCode>General</c:formatCode>
                <c:ptCount val="10"/>
                <c:pt idx="0">
                  <c:v>18</c:v>
                </c:pt>
                <c:pt idx="1">
                  <c:v>30</c:v>
                </c:pt>
                <c:pt idx="2">
                  <c:v>28</c:v>
                </c:pt>
                <c:pt idx="3">
                  <c:v>24</c:v>
                </c:pt>
                <c:pt idx="4">
                  <c:v>30</c:v>
                </c:pt>
                <c:pt idx="5">
                  <c:v>35</c:v>
                </c:pt>
                <c:pt idx="6">
                  <c:v>27</c:v>
                </c:pt>
                <c:pt idx="7">
                  <c:v>32</c:v>
                </c:pt>
                <c:pt idx="8">
                  <c:v>29</c:v>
                </c:pt>
                <c:pt idx="9">
                  <c:v>34</c:v>
                </c:pt>
              </c:numCache>
            </c:numRef>
          </c:val>
          <c:extLst>
            <c:ext xmlns:c16="http://schemas.microsoft.com/office/drawing/2014/chart" uri="{C3380CC4-5D6E-409C-BE32-E72D297353CC}">
              <c16:uniqueId val="{00000000-ED2D-4103-B57A-AA63181B6ABB}"/>
            </c:ext>
          </c:extLst>
        </c:ser>
        <c:ser>
          <c:idx val="1"/>
          <c:order val="1"/>
          <c:tx>
            <c:strRef>
              <c:f>Resultados!$BM$7</c:f>
              <c:strCache>
                <c:ptCount val="1"/>
                <c:pt idx="0">
                  <c:v>GRankB</c:v>
                </c:pt>
              </c:strCache>
            </c:strRef>
          </c:tx>
          <c:spPr>
            <a:solidFill>
              <a:schemeClr val="accent2"/>
            </a:solidFill>
            <a:ln>
              <a:noFill/>
            </a:ln>
            <a:effectLst/>
          </c:spPr>
          <c:invertIfNegative val="0"/>
          <c:val>
            <c:numRef>
              <c:f>Resultados!$BM$8:$BM$17</c:f>
              <c:numCache>
                <c:formatCode>General</c:formatCode>
                <c:ptCount val="10"/>
                <c:pt idx="0">
                  <c:v>63</c:v>
                </c:pt>
                <c:pt idx="1">
                  <c:v>44</c:v>
                </c:pt>
                <c:pt idx="2">
                  <c:v>41</c:v>
                </c:pt>
                <c:pt idx="3">
                  <c:v>41</c:v>
                </c:pt>
                <c:pt idx="4">
                  <c:v>44</c:v>
                </c:pt>
                <c:pt idx="5">
                  <c:v>40</c:v>
                </c:pt>
                <c:pt idx="6">
                  <c:v>46</c:v>
                </c:pt>
                <c:pt idx="7">
                  <c:v>39</c:v>
                </c:pt>
                <c:pt idx="8">
                  <c:v>44</c:v>
                </c:pt>
                <c:pt idx="9">
                  <c:v>40</c:v>
                </c:pt>
              </c:numCache>
            </c:numRef>
          </c:val>
          <c:extLst>
            <c:ext xmlns:c16="http://schemas.microsoft.com/office/drawing/2014/chart" uri="{C3380CC4-5D6E-409C-BE32-E72D297353CC}">
              <c16:uniqueId val="{00000001-ED2D-4103-B57A-AA63181B6ABB}"/>
            </c:ext>
          </c:extLst>
        </c:ser>
        <c:dLbls>
          <c:showLegendKey val="0"/>
          <c:showVal val="0"/>
          <c:showCatName val="0"/>
          <c:showSerName val="0"/>
          <c:showPercent val="0"/>
          <c:showBubbleSize val="0"/>
        </c:dLbls>
        <c:gapWidth val="219"/>
        <c:overlap val="-27"/>
        <c:axId val="965187007"/>
        <c:axId val="1282428271"/>
      </c:barChart>
      <c:catAx>
        <c:axId val="9651870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82428271"/>
        <c:crosses val="autoZero"/>
        <c:auto val="1"/>
        <c:lblAlgn val="ctr"/>
        <c:lblOffset val="100"/>
        <c:noMultiLvlLbl val="0"/>
      </c:catAx>
      <c:valAx>
        <c:axId val="1282428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Optimal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65187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Resultados_1!$P$2</c:f>
              <c:strCache>
                <c:ptCount val="1"/>
                <c:pt idx="0">
                  <c:v>GRandA</c:v>
                </c:pt>
              </c:strCache>
            </c:strRef>
          </c:tx>
          <c:spPr>
            <a:ln w="28575" cap="rnd">
              <a:solidFill>
                <a:schemeClr val="accent2"/>
              </a:solidFill>
              <a:round/>
            </a:ln>
            <a:effectLst/>
          </c:spPr>
          <c:marker>
            <c:symbol val="none"/>
          </c:marker>
          <c:val>
            <c:numRef>
              <c:f>Resultados_1!$P$3:$P$122</c:f>
              <c:numCache>
                <c:formatCode>General</c:formatCode>
                <c:ptCount val="120"/>
                <c:pt idx="0">
                  <c:v>469.01501500000001</c:v>
                </c:pt>
                <c:pt idx="1">
                  <c:v>420.17394999999999</c:v>
                </c:pt>
                <c:pt idx="2">
                  <c:v>380.14367700000003</c:v>
                </c:pt>
                <c:pt idx="3">
                  <c:v>402.66372699999999</c:v>
                </c:pt>
                <c:pt idx="4">
                  <c:v>352.53537</c:v>
                </c:pt>
                <c:pt idx="5">
                  <c:v>406.91073599999999</c:v>
                </c:pt>
                <c:pt idx="6">
                  <c:v>395.028076</c:v>
                </c:pt>
                <c:pt idx="7">
                  <c:v>455.05792200000002</c:v>
                </c:pt>
                <c:pt idx="8">
                  <c:v>411.375427</c:v>
                </c:pt>
                <c:pt idx="9">
                  <c:v>362.07800300000002</c:v>
                </c:pt>
                <c:pt idx="10">
                  <c:v>521.64813200000003</c:v>
                </c:pt>
                <c:pt idx="11">
                  <c:v>477.65963699999998</c:v>
                </c:pt>
                <c:pt idx="12">
                  <c:v>409.90408300000001</c:v>
                </c:pt>
                <c:pt idx="13">
                  <c:v>512.99560499999995</c:v>
                </c:pt>
                <c:pt idx="14">
                  <c:v>453.80145299999998</c:v>
                </c:pt>
                <c:pt idx="15">
                  <c:v>402.50338699999998</c:v>
                </c:pt>
                <c:pt idx="16">
                  <c:v>446.789581</c:v>
                </c:pt>
                <c:pt idx="17">
                  <c:v>504.01199300000002</c:v>
                </c:pt>
                <c:pt idx="18">
                  <c:v>487.48046900000003</c:v>
                </c:pt>
                <c:pt idx="19">
                  <c:v>445.73538200000002</c:v>
                </c:pt>
                <c:pt idx="20">
                  <c:v>432.96380599999998</c:v>
                </c:pt>
                <c:pt idx="21">
                  <c:v>655.05004899999994</c:v>
                </c:pt>
                <c:pt idx="22">
                  <c:v>551.75860599999999</c:v>
                </c:pt>
                <c:pt idx="23">
                  <c:v>478.36517300000003</c:v>
                </c:pt>
                <c:pt idx="24">
                  <c:v>475.953217</c:v>
                </c:pt>
                <c:pt idx="25">
                  <c:v>575.55285600000002</c:v>
                </c:pt>
                <c:pt idx="26">
                  <c:v>394.30676299999999</c:v>
                </c:pt>
                <c:pt idx="27">
                  <c:v>555.71179199999995</c:v>
                </c:pt>
                <c:pt idx="28">
                  <c:v>517.95202600000005</c:v>
                </c:pt>
                <c:pt idx="29">
                  <c:v>423.49652099999997</c:v>
                </c:pt>
                <c:pt idx="30">
                  <c:v>429.75</c:v>
                </c:pt>
                <c:pt idx="31">
                  <c:v>455.23260499999998</c:v>
                </c:pt>
                <c:pt idx="32">
                  <c:v>419.719269</c:v>
                </c:pt>
                <c:pt idx="33">
                  <c:v>439.06982399999998</c:v>
                </c:pt>
                <c:pt idx="34">
                  <c:v>473.91619900000001</c:v>
                </c:pt>
                <c:pt idx="35">
                  <c:v>565.88653599999998</c:v>
                </c:pt>
                <c:pt idx="36">
                  <c:v>583.96917699999995</c:v>
                </c:pt>
                <c:pt idx="37">
                  <c:v>469.40347300000002</c:v>
                </c:pt>
                <c:pt idx="38">
                  <c:v>428.68609600000002</c:v>
                </c:pt>
                <c:pt idx="39">
                  <c:v>582.01855499999999</c:v>
                </c:pt>
                <c:pt idx="40">
                  <c:v>538.30267300000003</c:v>
                </c:pt>
                <c:pt idx="41">
                  <c:v>598.78753700000004</c:v>
                </c:pt>
                <c:pt idx="42">
                  <c:v>472.107147</c:v>
                </c:pt>
                <c:pt idx="43">
                  <c:v>658.25769000000003</c:v>
                </c:pt>
                <c:pt idx="44">
                  <c:v>590.34387200000003</c:v>
                </c:pt>
                <c:pt idx="45">
                  <c:v>631.99340800000004</c:v>
                </c:pt>
                <c:pt idx="46">
                  <c:v>617.23577899999998</c:v>
                </c:pt>
                <c:pt idx="47">
                  <c:v>631.07501200000002</c:v>
                </c:pt>
                <c:pt idx="48">
                  <c:v>671.42382799999996</c:v>
                </c:pt>
                <c:pt idx="49">
                  <c:v>544.87847899999997</c:v>
                </c:pt>
                <c:pt idx="50">
                  <c:v>611.11749299999997</c:v>
                </c:pt>
                <c:pt idx="51">
                  <c:v>635.63604699999996</c:v>
                </c:pt>
                <c:pt idx="52">
                  <c:v>651.70654300000001</c:v>
                </c:pt>
                <c:pt idx="53">
                  <c:v>763.04797399999995</c:v>
                </c:pt>
                <c:pt idx="54">
                  <c:v>685.38214100000005</c:v>
                </c:pt>
                <c:pt idx="55">
                  <c:v>543.99487299999998</c:v>
                </c:pt>
                <c:pt idx="56">
                  <c:v>612.19592299999999</c:v>
                </c:pt>
                <c:pt idx="57">
                  <c:v>625.72131300000001</c:v>
                </c:pt>
                <c:pt idx="58">
                  <c:v>713.40441899999996</c:v>
                </c:pt>
                <c:pt idx="59">
                  <c:v>534.81494099999998</c:v>
                </c:pt>
                <c:pt idx="60">
                  <c:v>588.62658699999997</c:v>
                </c:pt>
                <c:pt idx="61">
                  <c:v>516.95764199999996</c:v>
                </c:pt>
                <c:pt idx="62">
                  <c:v>655.64483600000005</c:v>
                </c:pt>
                <c:pt idx="63">
                  <c:v>651.22076400000003</c:v>
                </c:pt>
                <c:pt idx="64">
                  <c:v>555.95752000000005</c:v>
                </c:pt>
                <c:pt idx="65">
                  <c:v>602.59863299999995</c:v>
                </c:pt>
                <c:pt idx="66">
                  <c:v>595.64794900000004</c:v>
                </c:pt>
                <c:pt idx="67">
                  <c:v>575.23004200000003</c:v>
                </c:pt>
                <c:pt idx="68">
                  <c:v>519.41235400000005</c:v>
                </c:pt>
                <c:pt idx="69">
                  <c:v>606.68292199999996</c:v>
                </c:pt>
                <c:pt idx="70">
                  <c:v>636.87469499999997</c:v>
                </c:pt>
                <c:pt idx="71">
                  <c:v>643.61852999999996</c:v>
                </c:pt>
                <c:pt idx="72">
                  <c:v>730.84094200000004</c:v>
                </c:pt>
                <c:pt idx="73">
                  <c:v>571.63171399999999</c:v>
                </c:pt>
                <c:pt idx="74">
                  <c:v>651.89312700000005</c:v>
                </c:pt>
                <c:pt idx="75">
                  <c:v>619.65502900000001</c:v>
                </c:pt>
                <c:pt idx="76">
                  <c:v>808.23925799999995</c:v>
                </c:pt>
                <c:pt idx="77">
                  <c:v>748.36627199999998</c:v>
                </c:pt>
                <c:pt idx="78">
                  <c:v>724.16778599999998</c:v>
                </c:pt>
                <c:pt idx="79">
                  <c:v>667.18530299999998</c:v>
                </c:pt>
                <c:pt idx="80">
                  <c:v>676.13897699999995</c:v>
                </c:pt>
                <c:pt idx="81">
                  <c:v>746.24279799999999</c:v>
                </c:pt>
                <c:pt idx="82">
                  <c:v>641.173767</c:v>
                </c:pt>
                <c:pt idx="83">
                  <c:v>661.00006099999996</c:v>
                </c:pt>
                <c:pt idx="84">
                  <c:v>616.96820100000002</c:v>
                </c:pt>
                <c:pt idx="85">
                  <c:v>638.11151099999995</c:v>
                </c:pt>
                <c:pt idx="86">
                  <c:v>934.98321499999997</c:v>
                </c:pt>
                <c:pt idx="87">
                  <c:v>649.10571300000004</c:v>
                </c:pt>
                <c:pt idx="88">
                  <c:v>688.01269500000001</c:v>
                </c:pt>
                <c:pt idx="89">
                  <c:v>919.11242700000003</c:v>
                </c:pt>
                <c:pt idx="90">
                  <c:v>660.891479</c:v>
                </c:pt>
                <c:pt idx="91">
                  <c:v>619.48065199999996</c:v>
                </c:pt>
                <c:pt idx="92">
                  <c:v>694.13232400000004</c:v>
                </c:pt>
                <c:pt idx="93">
                  <c:v>638.23016399999995</c:v>
                </c:pt>
                <c:pt idx="94">
                  <c:v>631.37060499999995</c:v>
                </c:pt>
                <c:pt idx="95">
                  <c:v>637.42578100000003</c:v>
                </c:pt>
                <c:pt idx="96">
                  <c:v>643.40191700000003</c:v>
                </c:pt>
                <c:pt idx="97">
                  <c:v>684.53753700000004</c:v>
                </c:pt>
                <c:pt idx="98">
                  <c:v>672.24133300000005</c:v>
                </c:pt>
                <c:pt idx="99">
                  <c:v>681.98242200000004</c:v>
                </c:pt>
                <c:pt idx="100">
                  <c:v>671.75061000000005</c:v>
                </c:pt>
                <c:pt idx="101">
                  <c:v>693.50244099999998</c:v>
                </c:pt>
                <c:pt idx="102">
                  <c:v>693.60595699999999</c:v>
                </c:pt>
                <c:pt idx="103">
                  <c:v>778.41644299999996</c:v>
                </c:pt>
                <c:pt idx="104">
                  <c:v>774.47357199999999</c:v>
                </c:pt>
                <c:pt idx="105">
                  <c:v>711.44262700000002</c:v>
                </c:pt>
                <c:pt idx="106">
                  <c:v>813.26965299999995</c:v>
                </c:pt>
                <c:pt idx="107">
                  <c:v>660.22869900000001</c:v>
                </c:pt>
                <c:pt idx="108">
                  <c:v>701.08581500000003</c:v>
                </c:pt>
                <c:pt idx="109">
                  <c:v>873.71539299999995</c:v>
                </c:pt>
                <c:pt idx="110">
                  <c:v>912.96154799999999</c:v>
                </c:pt>
                <c:pt idx="111">
                  <c:v>677.78747599999997</c:v>
                </c:pt>
                <c:pt idx="112">
                  <c:v>899.537598</c:v>
                </c:pt>
                <c:pt idx="113">
                  <c:v>878.22216800000001</c:v>
                </c:pt>
                <c:pt idx="114">
                  <c:v>907.040344</c:v>
                </c:pt>
                <c:pt idx="115">
                  <c:v>668.09307899999999</c:v>
                </c:pt>
                <c:pt idx="116">
                  <c:v>757.45703100000003</c:v>
                </c:pt>
                <c:pt idx="117">
                  <c:v>744.48388699999998</c:v>
                </c:pt>
                <c:pt idx="118">
                  <c:v>911.67297399999995</c:v>
                </c:pt>
                <c:pt idx="119">
                  <c:v>869.89923099999999</c:v>
                </c:pt>
              </c:numCache>
            </c:numRef>
          </c:val>
          <c:smooth val="0"/>
          <c:extLst>
            <c:ext xmlns:c16="http://schemas.microsoft.com/office/drawing/2014/chart" uri="{C3380CC4-5D6E-409C-BE32-E72D297353CC}">
              <c16:uniqueId val="{00000000-1CBA-4C77-9B80-D43FB425761A}"/>
            </c:ext>
          </c:extLst>
        </c:ser>
        <c:ser>
          <c:idx val="1"/>
          <c:order val="1"/>
          <c:tx>
            <c:strRef>
              <c:f>Resultados_1!$Q$2</c:f>
              <c:strCache>
                <c:ptCount val="1"/>
                <c:pt idx="0">
                  <c:v>GRankA</c:v>
                </c:pt>
              </c:strCache>
            </c:strRef>
          </c:tx>
          <c:spPr>
            <a:ln w="28575" cap="rnd">
              <a:solidFill>
                <a:schemeClr val="accent4"/>
              </a:solidFill>
              <a:round/>
            </a:ln>
            <a:effectLst/>
          </c:spPr>
          <c:marker>
            <c:symbol val="none"/>
          </c:marker>
          <c:val>
            <c:numRef>
              <c:f>Resultados_1!$Q$3:$Q$122</c:f>
              <c:numCache>
                <c:formatCode>General</c:formatCode>
                <c:ptCount val="120"/>
                <c:pt idx="0">
                  <c:v>386.70614599999999</c:v>
                </c:pt>
                <c:pt idx="1">
                  <c:v>416.98718300000002</c:v>
                </c:pt>
                <c:pt idx="2">
                  <c:v>368.59149200000002</c:v>
                </c:pt>
                <c:pt idx="3">
                  <c:v>391.01776100000001</c:v>
                </c:pt>
                <c:pt idx="4">
                  <c:v>341.47854599999999</c:v>
                </c:pt>
                <c:pt idx="5">
                  <c:v>409.17193600000002</c:v>
                </c:pt>
                <c:pt idx="6">
                  <c:v>382.39572099999998</c:v>
                </c:pt>
                <c:pt idx="7">
                  <c:v>458.95529199999999</c:v>
                </c:pt>
                <c:pt idx="8">
                  <c:v>418.25576799999999</c:v>
                </c:pt>
                <c:pt idx="9">
                  <c:v>342.79367100000002</c:v>
                </c:pt>
                <c:pt idx="10">
                  <c:v>534.48339799999997</c:v>
                </c:pt>
                <c:pt idx="11">
                  <c:v>472.11209100000002</c:v>
                </c:pt>
                <c:pt idx="12">
                  <c:v>406.68914799999999</c:v>
                </c:pt>
                <c:pt idx="13">
                  <c:v>513.56585700000005</c:v>
                </c:pt>
                <c:pt idx="14">
                  <c:v>463.91763300000002</c:v>
                </c:pt>
                <c:pt idx="15">
                  <c:v>401.75589000000002</c:v>
                </c:pt>
                <c:pt idx="16">
                  <c:v>429.97448700000001</c:v>
                </c:pt>
                <c:pt idx="17">
                  <c:v>513.58538799999997</c:v>
                </c:pt>
                <c:pt idx="18">
                  <c:v>481.86673000000002</c:v>
                </c:pt>
                <c:pt idx="19">
                  <c:v>457.49856599999998</c:v>
                </c:pt>
                <c:pt idx="20">
                  <c:v>432.29077100000001</c:v>
                </c:pt>
                <c:pt idx="21">
                  <c:v>449.00775099999998</c:v>
                </c:pt>
                <c:pt idx="22">
                  <c:v>540.21661400000005</c:v>
                </c:pt>
                <c:pt idx="23">
                  <c:v>451.90234400000003</c:v>
                </c:pt>
                <c:pt idx="24">
                  <c:v>458.30166600000001</c:v>
                </c:pt>
                <c:pt idx="25">
                  <c:v>600.06378199999995</c:v>
                </c:pt>
                <c:pt idx="26">
                  <c:v>394.30676299999999</c:v>
                </c:pt>
                <c:pt idx="27">
                  <c:v>554.31097399999999</c:v>
                </c:pt>
                <c:pt idx="28">
                  <c:v>506.88961799999998</c:v>
                </c:pt>
                <c:pt idx="29">
                  <c:v>395.38916</c:v>
                </c:pt>
                <c:pt idx="30">
                  <c:v>405.61071800000002</c:v>
                </c:pt>
                <c:pt idx="31">
                  <c:v>432.844269</c:v>
                </c:pt>
                <c:pt idx="32">
                  <c:v>432.68515000000002</c:v>
                </c:pt>
                <c:pt idx="33">
                  <c:v>456.00851399999999</c:v>
                </c:pt>
                <c:pt idx="34">
                  <c:v>420.80825800000002</c:v>
                </c:pt>
                <c:pt idx="35">
                  <c:v>524.11840800000004</c:v>
                </c:pt>
                <c:pt idx="36">
                  <c:v>579.086365</c:v>
                </c:pt>
                <c:pt idx="37">
                  <c:v>495.15173299999998</c:v>
                </c:pt>
                <c:pt idx="38">
                  <c:v>444.59204099999999</c:v>
                </c:pt>
                <c:pt idx="39">
                  <c:v>558.33892800000001</c:v>
                </c:pt>
                <c:pt idx="40">
                  <c:v>495.11737099999999</c:v>
                </c:pt>
                <c:pt idx="41">
                  <c:v>612.78448500000002</c:v>
                </c:pt>
                <c:pt idx="42">
                  <c:v>471.81146200000001</c:v>
                </c:pt>
                <c:pt idx="43">
                  <c:v>613.26312299999995</c:v>
                </c:pt>
                <c:pt idx="44">
                  <c:v>609.76293899999996</c:v>
                </c:pt>
                <c:pt idx="45">
                  <c:v>604.98046899999997</c:v>
                </c:pt>
                <c:pt idx="46">
                  <c:v>559.81304899999998</c:v>
                </c:pt>
                <c:pt idx="47">
                  <c:v>614.80621299999996</c:v>
                </c:pt>
                <c:pt idx="48">
                  <c:v>607.76971400000002</c:v>
                </c:pt>
                <c:pt idx="49">
                  <c:v>475.13970899999998</c:v>
                </c:pt>
                <c:pt idx="50">
                  <c:v>602.03479000000004</c:v>
                </c:pt>
                <c:pt idx="51">
                  <c:v>656.66015600000003</c:v>
                </c:pt>
                <c:pt idx="52">
                  <c:v>565.21417199999996</c:v>
                </c:pt>
                <c:pt idx="53">
                  <c:v>719.85974099999999</c:v>
                </c:pt>
                <c:pt idx="54">
                  <c:v>659.96490500000004</c:v>
                </c:pt>
                <c:pt idx="55">
                  <c:v>572.99224900000002</c:v>
                </c:pt>
                <c:pt idx="56">
                  <c:v>651.84375</c:v>
                </c:pt>
                <c:pt idx="57">
                  <c:v>600.66986099999997</c:v>
                </c:pt>
                <c:pt idx="58">
                  <c:v>645.14813200000003</c:v>
                </c:pt>
                <c:pt idx="59">
                  <c:v>535.77044699999999</c:v>
                </c:pt>
                <c:pt idx="60">
                  <c:v>592.66516100000001</c:v>
                </c:pt>
                <c:pt idx="61">
                  <c:v>547.20288100000005</c:v>
                </c:pt>
                <c:pt idx="62">
                  <c:v>607.13934300000005</c:v>
                </c:pt>
                <c:pt idx="63">
                  <c:v>601.75116000000003</c:v>
                </c:pt>
                <c:pt idx="64">
                  <c:v>544.70544400000006</c:v>
                </c:pt>
                <c:pt idx="65">
                  <c:v>631.06091300000003</c:v>
                </c:pt>
                <c:pt idx="66">
                  <c:v>571.00451699999996</c:v>
                </c:pt>
                <c:pt idx="67">
                  <c:v>607.06994599999996</c:v>
                </c:pt>
                <c:pt idx="68">
                  <c:v>545.79193099999998</c:v>
                </c:pt>
                <c:pt idx="69">
                  <c:v>595.23681599999998</c:v>
                </c:pt>
                <c:pt idx="70">
                  <c:v>616.68957499999999</c:v>
                </c:pt>
                <c:pt idx="71">
                  <c:v>660.01800500000002</c:v>
                </c:pt>
                <c:pt idx="72">
                  <c:v>672.964966</c:v>
                </c:pt>
                <c:pt idx="73">
                  <c:v>603.84631300000001</c:v>
                </c:pt>
                <c:pt idx="74">
                  <c:v>625.228882</c:v>
                </c:pt>
                <c:pt idx="75">
                  <c:v>549.903503</c:v>
                </c:pt>
                <c:pt idx="76">
                  <c:v>750.70495600000004</c:v>
                </c:pt>
                <c:pt idx="77">
                  <c:v>684.74560499999995</c:v>
                </c:pt>
                <c:pt idx="78">
                  <c:v>705.06811500000003</c:v>
                </c:pt>
                <c:pt idx="79">
                  <c:v>694.73309300000005</c:v>
                </c:pt>
                <c:pt idx="80">
                  <c:v>692.65020800000002</c:v>
                </c:pt>
                <c:pt idx="81">
                  <c:v>711.73919699999999</c:v>
                </c:pt>
                <c:pt idx="82">
                  <c:v>692.07281499999999</c:v>
                </c:pt>
                <c:pt idx="83">
                  <c:v>685.51757799999996</c:v>
                </c:pt>
                <c:pt idx="84">
                  <c:v>653.75970500000005</c:v>
                </c:pt>
                <c:pt idx="85">
                  <c:v>669.42956500000003</c:v>
                </c:pt>
                <c:pt idx="86">
                  <c:v>790.32550000000003</c:v>
                </c:pt>
                <c:pt idx="87">
                  <c:v>706.93957499999999</c:v>
                </c:pt>
                <c:pt idx="88">
                  <c:v>676.28155500000003</c:v>
                </c:pt>
                <c:pt idx="89">
                  <c:v>810.77105700000004</c:v>
                </c:pt>
                <c:pt idx="90">
                  <c:v>680.11309800000004</c:v>
                </c:pt>
                <c:pt idx="91">
                  <c:v>654.48254399999996</c:v>
                </c:pt>
                <c:pt idx="92">
                  <c:v>629.83123799999998</c:v>
                </c:pt>
                <c:pt idx="93">
                  <c:v>598.44104000000004</c:v>
                </c:pt>
                <c:pt idx="94">
                  <c:v>590.57012899999995</c:v>
                </c:pt>
                <c:pt idx="95">
                  <c:v>641.230774</c:v>
                </c:pt>
                <c:pt idx="96">
                  <c:v>667.36804199999995</c:v>
                </c:pt>
                <c:pt idx="97">
                  <c:v>613.49163799999997</c:v>
                </c:pt>
                <c:pt idx="98">
                  <c:v>623.22192399999994</c:v>
                </c:pt>
                <c:pt idx="99">
                  <c:v>633.03509499999996</c:v>
                </c:pt>
                <c:pt idx="100">
                  <c:v>663.17480499999999</c:v>
                </c:pt>
                <c:pt idx="101">
                  <c:v>624.97302200000001</c:v>
                </c:pt>
                <c:pt idx="102">
                  <c:v>674.83587599999998</c:v>
                </c:pt>
                <c:pt idx="103">
                  <c:v>685.82269299999996</c:v>
                </c:pt>
                <c:pt idx="104">
                  <c:v>704.82629399999996</c:v>
                </c:pt>
                <c:pt idx="105">
                  <c:v>777.34240699999998</c:v>
                </c:pt>
                <c:pt idx="106">
                  <c:v>771.10186799999997</c:v>
                </c:pt>
                <c:pt idx="107">
                  <c:v>664.59179700000004</c:v>
                </c:pt>
                <c:pt idx="108">
                  <c:v>724.035034</c:v>
                </c:pt>
                <c:pt idx="109">
                  <c:v>781.65863000000002</c:v>
                </c:pt>
                <c:pt idx="110">
                  <c:v>747.08581500000003</c:v>
                </c:pt>
                <c:pt idx="111">
                  <c:v>766.01538100000005</c:v>
                </c:pt>
                <c:pt idx="112">
                  <c:v>756.17034899999999</c:v>
                </c:pt>
                <c:pt idx="113">
                  <c:v>719.60827600000005</c:v>
                </c:pt>
                <c:pt idx="114">
                  <c:v>727.12933299999997</c:v>
                </c:pt>
                <c:pt idx="115">
                  <c:v>741.20715299999995</c:v>
                </c:pt>
                <c:pt idx="116">
                  <c:v>730.020081</c:v>
                </c:pt>
                <c:pt idx="117">
                  <c:v>744.93957499999999</c:v>
                </c:pt>
                <c:pt idx="118">
                  <c:v>787.03814699999998</c:v>
                </c:pt>
                <c:pt idx="119">
                  <c:v>835.761841</c:v>
                </c:pt>
              </c:numCache>
            </c:numRef>
          </c:val>
          <c:smooth val="0"/>
          <c:extLst>
            <c:ext xmlns:c16="http://schemas.microsoft.com/office/drawing/2014/chart" uri="{C3380CC4-5D6E-409C-BE32-E72D297353CC}">
              <c16:uniqueId val="{00000001-1CBA-4C77-9B80-D43FB425761A}"/>
            </c:ext>
          </c:extLst>
        </c:ser>
        <c:ser>
          <c:idx val="2"/>
          <c:order val="2"/>
          <c:tx>
            <c:strRef>
              <c:f>Resultados_1!$R$2</c:f>
              <c:strCache>
                <c:ptCount val="1"/>
                <c:pt idx="0">
                  <c:v>GReactA</c:v>
                </c:pt>
              </c:strCache>
            </c:strRef>
          </c:tx>
          <c:spPr>
            <a:ln w="28575" cap="rnd">
              <a:solidFill>
                <a:schemeClr val="accent6"/>
              </a:solidFill>
              <a:round/>
            </a:ln>
            <a:effectLst/>
          </c:spPr>
          <c:marker>
            <c:symbol val="none"/>
          </c:marker>
          <c:val>
            <c:numRef>
              <c:f>Resultados_1!$R$3:$R$122</c:f>
              <c:numCache>
                <c:formatCode>General</c:formatCode>
                <c:ptCount val="120"/>
                <c:pt idx="0">
                  <c:v>469.01501500000001</c:v>
                </c:pt>
                <c:pt idx="1">
                  <c:v>467.93060300000002</c:v>
                </c:pt>
                <c:pt idx="2">
                  <c:v>370.78454599999998</c:v>
                </c:pt>
                <c:pt idx="3">
                  <c:v>409.18640099999999</c:v>
                </c:pt>
                <c:pt idx="4">
                  <c:v>356.35272200000003</c:v>
                </c:pt>
                <c:pt idx="5">
                  <c:v>415.0401</c:v>
                </c:pt>
                <c:pt idx="6">
                  <c:v>391.62503099999998</c:v>
                </c:pt>
                <c:pt idx="7">
                  <c:v>488.72198500000002</c:v>
                </c:pt>
                <c:pt idx="8">
                  <c:v>427.01058999999998</c:v>
                </c:pt>
                <c:pt idx="9">
                  <c:v>361.857147</c:v>
                </c:pt>
                <c:pt idx="10">
                  <c:v>600.22570800000005</c:v>
                </c:pt>
                <c:pt idx="11">
                  <c:v>471.94580100000002</c:v>
                </c:pt>
                <c:pt idx="12">
                  <c:v>457.025757</c:v>
                </c:pt>
                <c:pt idx="13">
                  <c:v>517.63293499999997</c:v>
                </c:pt>
                <c:pt idx="14">
                  <c:v>484.65313700000002</c:v>
                </c:pt>
                <c:pt idx="15">
                  <c:v>401.75589000000002</c:v>
                </c:pt>
                <c:pt idx="16">
                  <c:v>425.89080799999999</c:v>
                </c:pt>
                <c:pt idx="17">
                  <c:v>576.68469200000004</c:v>
                </c:pt>
                <c:pt idx="18">
                  <c:v>488.446686</c:v>
                </c:pt>
                <c:pt idx="19">
                  <c:v>502.27145400000001</c:v>
                </c:pt>
                <c:pt idx="20">
                  <c:v>462.08261099999999</c:v>
                </c:pt>
                <c:pt idx="21">
                  <c:v>464.24362200000002</c:v>
                </c:pt>
                <c:pt idx="22">
                  <c:v>596.10003700000004</c:v>
                </c:pt>
                <c:pt idx="23">
                  <c:v>453.979309</c:v>
                </c:pt>
                <c:pt idx="24">
                  <c:v>471.93350199999998</c:v>
                </c:pt>
                <c:pt idx="25">
                  <c:v>618.02789299999995</c:v>
                </c:pt>
                <c:pt idx="26">
                  <c:v>395.271637</c:v>
                </c:pt>
                <c:pt idx="27">
                  <c:v>591.88800000000003</c:v>
                </c:pt>
                <c:pt idx="28">
                  <c:v>542.88458300000002</c:v>
                </c:pt>
                <c:pt idx="29">
                  <c:v>405.38751200000002</c:v>
                </c:pt>
                <c:pt idx="30">
                  <c:v>429.75</c:v>
                </c:pt>
                <c:pt idx="31">
                  <c:v>457.175659</c:v>
                </c:pt>
                <c:pt idx="32">
                  <c:v>473.94439699999998</c:v>
                </c:pt>
                <c:pt idx="33">
                  <c:v>476.944794</c:v>
                </c:pt>
                <c:pt idx="34">
                  <c:v>417.51016199999998</c:v>
                </c:pt>
                <c:pt idx="35">
                  <c:v>517.22540300000003</c:v>
                </c:pt>
                <c:pt idx="36">
                  <c:v>553.65765399999998</c:v>
                </c:pt>
                <c:pt idx="37">
                  <c:v>527.71258499999999</c:v>
                </c:pt>
                <c:pt idx="38">
                  <c:v>558.08221400000002</c:v>
                </c:pt>
                <c:pt idx="39">
                  <c:v>559.56494099999998</c:v>
                </c:pt>
                <c:pt idx="40">
                  <c:v>561.96246299999996</c:v>
                </c:pt>
                <c:pt idx="41">
                  <c:v>594.52032499999996</c:v>
                </c:pt>
                <c:pt idx="42">
                  <c:v>516.25707999999997</c:v>
                </c:pt>
                <c:pt idx="43">
                  <c:v>595.49237100000005</c:v>
                </c:pt>
                <c:pt idx="44">
                  <c:v>663.63940400000001</c:v>
                </c:pt>
                <c:pt idx="45">
                  <c:v>677.41241500000001</c:v>
                </c:pt>
                <c:pt idx="46">
                  <c:v>587.49768100000006</c:v>
                </c:pt>
                <c:pt idx="47">
                  <c:v>644.07665999999995</c:v>
                </c:pt>
                <c:pt idx="48">
                  <c:v>549.57244900000001</c:v>
                </c:pt>
                <c:pt idx="49">
                  <c:v>545.08715800000004</c:v>
                </c:pt>
                <c:pt idx="50">
                  <c:v>709.56268299999999</c:v>
                </c:pt>
                <c:pt idx="51">
                  <c:v>683.91918899999996</c:v>
                </c:pt>
                <c:pt idx="52">
                  <c:v>637.08648700000003</c:v>
                </c:pt>
                <c:pt idx="53">
                  <c:v>708.94445800000005</c:v>
                </c:pt>
                <c:pt idx="54">
                  <c:v>749.63824499999998</c:v>
                </c:pt>
                <c:pt idx="55">
                  <c:v>639.68023700000003</c:v>
                </c:pt>
                <c:pt idx="56">
                  <c:v>745.09057600000006</c:v>
                </c:pt>
                <c:pt idx="57">
                  <c:v>658.20959500000004</c:v>
                </c:pt>
                <c:pt idx="58">
                  <c:v>613.77917500000001</c:v>
                </c:pt>
                <c:pt idx="59">
                  <c:v>571.25732400000004</c:v>
                </c:pt>
                <c:pt idx="60">
                  <c:v>588.62658699999997</c:v>
                </c:pt>
                <c:pt idx="61">
                  <c:v>555.30950900000005</c:v>
                </c:pt>
                <c:pt idx="62">
                  <c:v>644.86724900000002</c:v>
                </c:pt>
                <c:pt idx="63">
                  <c:v>613.13110400000005</c:v>
                </c:pt>
                <c:pt idx="64">
                  <c:v>592.72534199999996</c:v>
                </c:pt>
                <c:pt idx="65">
                  <c:v>653.97503700000004</c:v>
                </c:pt>
                <c:pt idx="66">
                  <c:v>599.51452600000005</c:v>
                </c:pt>
                <c:pt idx="67">
                  <c:v>668.91815199999996</c:v>
                </c:pt>
                <c:pt idx="68">
                  <c:v>549.078125</c:v>
                </c:pt>
                <c:pt idx="69">
                  <c:v>660.37182600000006</c:v>
                </c:pt>
                <c:pt idx="70">
                  <c:v>618.01855499999999</c:v>
                </c:pt>
                <c:pt idx="71">
                  <c:v>679.10919200000001</c:v>
                </c:pt>
                <c:pt idx="72">
                  <c:v>647.74786400000005</c:v>
                </c:pt>
                <c:pt idx="73">
                  <c:v>575.55908199999999</c:v>
                </c:pt>
                <c:pt idx="74">
                  <c:v>680.42224099999999</c:v>
                </c:pt>
                <c:pt idx="75">
                  <c:v>537.29907200000002</c:v>
                </c:pt>
                <c:pt idx="76">
                  <c:v>824.665527</c:v>
                </c:pt>
                <c:pt idx="77">
                  <c:v>700.57165499999996</c:v>
                </c:pt>
                <c:pt idx="78">
                  <c:v>744.17602499999998</c:v>
                </c:pt>
                <c:pt idx="79">
                  <c:v>672.66320800000005</c:v>
                </c:pt>
                <c:pt idx="80">
                  <c:v>777.49444600000004</c:v>
                </c:pt>
                <c:pt idx="81">
                  <c:v>814.06066899999996</c:v>
                </c:pt>
                <c:pt idx="82">
                  <c:v>803.41674799999998</c:v>
                </c:pt>
                <c:pt idx="83">
                  <c:v>760.54779099999996</c:v>
                </c:pt>
                <c:pt idx="84">
                  <c:v>741.71520999999996</c:v>
                </c:pt>
                <c:pt idx="85">
                  <c:v>633.09637499999997</c:v>
                </c:pt>
                <c:pt idx="86">
                  <c:v>794.57074</c:v>
                </c:pt>
                <c:pt idx="87">
                  <c:v>655.49487299999998</c:v>
                </c:pt>
                <c:pt idx="88">
                  <c:v>723.15417500000001</c:v>
                </c:pt>
                <c:pt idx="89">
                  <c:v>900.82818599999996</c:v>
                </c:pt>
                <c:pt idx="90">
                  <c:v>660.891479</c:v>
                </c:pt>
                <c:pt idx="91">
                  <c:v>699.32641599999999</c:v>
                </c:pt>
                <c:pt idx="92">
                  <c:v>710.02685499999995</c:v>
                </c:pt>
                <c:pt idx="93">
                  <c:v>542.16680899999994</c:v>
                </c:pt>
                <c:pt idx="94">
                  <c:v>685.11621100000002</c:v>
                </c:pt>
                <c:pt idx="95">
                  <c:v>704.42443800000001</c:v>
                </c:pt>
                <c:pt idx="96">
                  <c:v>666.80023200000005</c:v>
                </c:pt>
                <c:pt idx="97">
                  <c:v>682.25207499999999</c:v>
                </c:pt>
                <c:pt idx="98">
                  <c:v>617.99176</c:v>
                </c:pt>
                <c:pt idx="99">
                  <c:v>629.35986300000002</c:v>
                </c:pt>
                <c:pt idx="100">
                  <c:v>763.47723399999995</c:v>
                </c:pt>
                <c:pt idx="101">
                  <c:v>581.63708499999996</c:v>
                </c:pt>
                <c:pt idx="102">
                  <c:v>803.25207499999999</c:v>
                </c:pt>
                <c:pt idx="103">
                  <c:v>858.94665499999996</c:v>
                </c:pt>
                <c:pt idx="104">
                  <c:v>762.785034</c:v>
                </c:pt>
                <c:pt idx="105">
                  <c:v>742.27496299999996</c:v>
                </c:pt>
                <c:pt idx="106">
                  <c:v>835.46002199999998</c:v>
                </c:pt>
                <c:pt idx="107">
                  <c:v>613.34020999999996</c:v>
                </c:pt>
                <c:pt idx="108">
                  <c:v>860.70507799999996</c:v>
                </c:pt>
                <c:pt idx="109">
                  <c:v>873.409851</c:v>
                </c:pt>
                <c:pt idx="110">
                  <c:v>822.20971699999996</c:v>
                </c:pt>
                <c:pt idx="111">
                  <c:v>877.03100600000005</c:v>
                </c:pt>
                <c:pt idx="112">
                  <c:v>669.32940699999995</c:v>
                </c:pt>
                <c:pt idx="113">
                  <c:v>696.55090299999995</c:v>
                </c:pt>
                <c:pt idx="114">
                  <c:v>895.61651600000005</c:v>
                </c:pt>
                <c:pt idx="115">
                  <c:v>718.31011999999998</c:v>
                </c:pt>
                <c:pt idx="116">
                  <c:v>889.77337599999998</c:v>
                </c:pt>
                <c:pt idx="117">
                  <c:v>716.67645300000004</c:v>
                </c:pt>
                <c:pt idx="118">
                  <c:v>738.63738999999998</c:v>
                </c:pt>
                <c:pt idx="119">
                  <c:v>813.93841599999996</c:v>
                </c:pt>
              </c:numCache>
            </c:numRef>
          </c:val>
          <c:smooth val="0"/>
          <c:extLst>
            <c:ext xmlns:c16="http://schemas.microsoft.com/office/drawing/2014/chart" uri="{C3380CC4-5D6E-409C-BE32-E72D297353CC}">
              <c16:uniqueId val="{00000002-1CBA-4C77-9B80-D43FB425761A}"/>
            </c:ext>
          </c:extLst>
        </c:ser>
        <c:dLbls>
          <c:showLegendKey val="0"/>
          <c:showVal val="0"/>
          <c:showCatName val="0"/>
          <c:showSerName val="0"/>
          <c:showPercent val="0"/>
          <c:showBubbleSize val="0"/>
        </c:dLbls>
        <c:smooth val="0"/>
        <c:axId val="724764975"/>
        <c:axId val="724761231"/>
      </c:lineChart>
      <c:catAx>
        <c:axId val="724764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24761231"/>
        <c:crosses val="autoZero"/>
        <c:auto val="1"/>
        <c:lblAlgn val="ctr"/>
        <c:lblOffset val="100"/>
        <c:noMultiLvlLbl val="0"/>
      </c:catAx>
      <c:valAx>
        <c:axId val="724761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a:t>
                </a:r>
                <a:r>
                  <a:rPr lang="es-MX" baseline="0"/>
                  <a:t> Cost</a:t>
                </a:r>
                <a:endParaRPr lang="es-MX"/>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24764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Resultados_1!$V$2</c:f>
              <c:strCache>
                <c:ptCount val="1"/>
                <c:pt idx="0">
                  <c:v>GRandB</c:v>
                </c:pt>
              </c:strCache>
            </c:strRef>
          </c:tx>
          <c:spPr>
            <a:ln w="28575" cap="rnd">
              <a:solidFill>
                <a:schemeClr val="accent2"/>
              </a:solidFill>
              <a:round/>
            </a:ln>
            <a:effectLst/>
          </c:spPr>
          <c:marker>
            <c:symbol val="none"/>
          </c:marker>
          <c:val>
            <c:numRef>
              <c:f>Resultados_1!$V$3:$V$122</c:f>
              <c:numCache>
                <c:formatCode>General</c:formatCode>
                <c:ptCount val="120"/>
                <c:pt idx="0">
                  <c:v>431.67184400000002</c:v>
                </c:pt>
                <c:pt idx="1">
                  <c:v>404.57049599999999</c:v>
                </c:pt>
                <c:pt idx="2">
                  <c:v>335.08850100000001</c:v>
                </c:pt>
                <c:pt idx="3">
                  <c:v>373.07678199999998</c:v>
                </c:pt>
                <c:pt idx="4">
                  <c:v>322.222443</c:v>
                </c:pt>
                <c:pt idx="5">
                  <c:v>384.83270299999998</c:v>
                </c:pt>
                <c:pt idx="6">
                  <c:v>369.19976800000001</c:v>
                </c:pt>
                <c:pt idx="7">
                  <c:v>420.171967</c:v>
                </c:pt>
                <c:pt idx="8">
                  <c:v>395.56634500000001</c:v>
                </c:pt>
                <c:pt idx="9">
                  <c:v>311.57052599999997</c:v>
                </c:pt>
                <c:pt idx="10">
                  <c:v>482.65521200000001</c:v>
                </c:pt>
                <c:pt idx="11">
                  <c:v>435.87612899999999</c:v>
                </c:pt>
                <c:pt idx="12">
                  <c:v>400.70556599999998</c:v>
                </c:pt>
                <c:pt idx="13">
                  <c:v>474.88351399999999</c:v>
                </c:pt>
                <c:pt idx="14">
                  <c:v>421.45886200000001</c:v>
                </c:pt>
                <c:pt idx="15">
                  <c:v>402.76248199999998</c:v>
                </c:pt>
                <c:pt idx="16">
                  <c:v>413.26559400000002</c:v>
                </c:pt>
                <c:pt idx="17">
                  <c:v>479.04007000000001</c:v>
                </c:pt>
                <c:pt idx="18">
                  <c:v>478.87951700000002</c:v>
                </c:pt>
                <c:pt idx="19">
                  <c:v>438.57611100000003</c:v>
                </c:pt>
                <c:pt idx="20">
                  <c:v>432.22677599999997</c:v>
                </c:pt>
                <c:pt idx="21">
                  <c:v>446.71078499999999</c:v>
                </c:pt>
                <c:pt idx="22">
                  <c:v>531.73693800000001</c:v>
                </c:pt>
                <c:pt idx="23">
                  <c:v>441.08700599999997</c:v>
                </c:pt>
                <c:pt idx="24">
                  <c:v>486.07977299999999</c:v>
                </c:pt>
                <c:pt idx="25">
                  <c:v>613.99249299999997</c:v>
                </c:pt>
                <c:pt idx="26">
                  <c:v>380.51156600000002</c:v>
                </c:pt>
                <c:pt idx="27">
                  <c:v>559.79754600000001</c:v>
                </c:pt>
                <c:pt idx="28">
                  <c:v>465.34634399999999</c:v>
                </c:pt>
                <c:pt idx="29">
                  <c:v>381.56494099999998</c:v>
                </c:pt>
                <c:pt idx="30">
                  <c:v>400.44961499999999</c:v>
                </c:pt>
                <c:pt idx="31">
                  <c:v>414.12939499999999</c:v>
                </c:pt>
                <c:pt idx="32">
                  <c:v>396.01196299999998</c:v>
                </c:pt>
                <c:pt idx="33">
                  <c:v>408.328552</c:v>
                </c:pt>
                <c:pt idx="34">
                  <c:v>403.23559599999999</c:v>
                </c:pt>
                <c:pt idx="35">
                  <c:v>503.41336100000001</c:v>
                </c:pt>
                <c:pt idx="36">
                  <c:v>487.96987899999999</c:v>
                </c:pt>
                <c:pt idx="37">
                  <c:v>475.29287699999998</c:v>
                </c:pt>
                <c:pt idx="38">
                  <c:v>428.72634900000003</c:v>
                </c:pt>
                <c:pt idx="39">
                  <c:v>539.48217799999998</c:v>
                </c:pt>
                <c:pt idx="40">
                  <c:v>414.19931000000003</c:v>
                </c:pt>
                <c:pt idx="41">
                  <c:v>610.05352800000003</c:v>
                </c:pt>
                <c:pt idx="42">
                  <c:v>427.11312900000001</c:v>
                </c:pt>
                <c:pt idx="43">
                  <c:v>635.05053699999996</c:v>
                </c:pt>
                <c:pt idx="44">
                  <c:v>649.66265899999996</c:v>
                </c:pt>
                <c:pt idx="45">
                  <c:v>538.46038799999997</c:v>
                </c:pt>
                <c:pt idx="46">
                  <c:v>611.99383499999999</c:v>
                </c:pt>
                <c:pt idx="47">
                  <c:v>568.42755099999999</c:v>
                </c:pt>
                <c:pt idx="48">
                  <c:v>540.76709000000005</c:v>
                </c:pt>
                <c:pt idx="49">
                  <c:v>456.696594</c:v>
                </c:pt>
                <c:pt idx="50">
                  <c:v>554.99530000000004</c:v>
                </c:pt>
                <c:pt idx="51">
                  <c:v>668.58074999999997</c:v>
                </c:pt>
                <c:pt idx="52">
                  <c:v>636.57641599999999</c:v>
                </c:pt>
                <c:pt idx="53">
                  <c:v>702.72406000000001</c:v>
                </c:pt>
                <c:pt idx="54">
                  <c:v>703.14752199999998</c:v>
                </c:pt>
                <c:pt idx="55">
                  <c:v>524.91186500000003</c:v>
                </c:pt>
                <c:pt idx="56">
                  <c:v>585.73718299999996</c:v>
                </c:pt>
                <c:pt idx="57">
                  <c:v>578.84594700000002</c:v>
                </c:pt>
                <c:pt idx="58">
                  <c:v>660.03057899999999</c:v>
                </c:pt>
                <c:pt idx="59">
                  <c:v>568.50994900000001</c:v>
                </c:pt>
                <c:pt idx="60">
                  <c:v>549.27002000000005</c:v>
                </c:pt>
                <c:pt idx="61">
                  <c:v>468.19949300000002</c:v>
                </c:pt>
                <c:pt idx="62">
                  <c:v>613.38525400000003</c:v>
                </c:pt>
                <c:pt idx="63">
                  <c:v>608.03192100000001</c:v>
                </c:pt>
                <c:pt idx="64">
                  <c:v>421.98644999999999</c:v>
                </c:pt>
                <c:pt idx="65">
                  <c:v>622.59118699999999</c:v>
                </c:pt>
                <c:pt idx="66">
                  <c:v>545.49652100000003</c:v>
                </c:pt>
                <c:pt idx="67">
                  <c:v>500.67480499999999</c:v>
                </c:pt>
                <c:pt idx="68">
                  <c:v>565.35986300000002</c:v>
                </c:pt>
                <c:pt idx="69">
                  <c:v>564.76122999999995</c:v>
                </c:pt>
                <c:pt idx="70">
                  <c:v>588.88391100000001</c:v>
                </c:pt>
                <c:pt idx="71">
                  <c:v>605.72522000000004</c:v>
                </c:pt>
                <c:pt idx="72">
                  <c:v>694.08245799999997</c:v>
                </c:pt>
                <c:pt idx="73">
                  <c:v>495.42596400000002</c:v>
                </c:pt>
                <c:pt idx="74">
                  <c:v>555.80780000000004</c:v>
                </c:pt>
                <c:pt idx="75">
                  <c:v>587.28088400000001</c:v>
                </c:pt>
                <c:pt idx="76">
                  <c:v>718.40850799999998</c:v>
                </c:pt>
                <c:pt idx="77">
                  <c:v>620.28765899999996</c:v>
                </c:pt>
                <c:pt idx="78">
                  <c:v>696.42810099999997</c:v>
                </c:pt>
                <c:pt idx="79">
                  <c:v>740.27563499999997</c:v>
                </c:pt>
                <c:pt idx="80">
                  <c:v>738.68524200000002</c:v>
                </c:pt>
                <c:pt idx="81">
                  <c:v>657.45245399999999</c:v>
                </c:pt>
                <c:pt idx="82">
                  <c:v>656.96380599999998</c:v>
                </c:pt>
                <c:pt idx="83">
                  <c:v>734.61499000000003</c:v>
                </c:pt>
                <c:pt idx="84">
                  <c:v>605.48187299999995</c:v>
                </c:pt>
                <c:pt idx="85">
                  <c:v>634.04632600000002</c:v>
                </c:pt>
                <c:pt idx="86">
                  <c:v>911.70611599999995</c:v>
                </c:pt>
                <c:pt idx="87">
                  <c:v>763.72479199999998</c:v>
                </c:pt>
                <c:pt idx="88">
                  <c:v>639.73382600000002</c:v>
                </c:pt>
                <c:pt idx="89">
                  <c:v>847.82232699999997</c:v>
                </c:pt>
                <c:pt idx="90">
                  <c:v>641.78924600000005</c:v>
                </c:pt>
                <c:pt idx="91">
                  <c:v>572.63226299999997</c:v>
                </c:pt>
                <c:pt idx="92">
                  <c:v>658.60082999999997</c:v>
                </c:pt>
                <c:pt idx="93">
                  <c:v>518.50994900000001</c:v>
                </c:pt>
                <c:pt idx="94">
                  <c:v>641.96295199999997</c:v>
                </c:pt>
                <c:pt idx="95">
                  <c:v>662.05206299999998</c:v>
                </c:pt>
                <c:pt idx="96">
                  <c:v>645.93823199999997</c:v>
                </c:pt>
                <c:pt idx="97">
                  <c:v>487.93109099999998</c:v>
                </c:pt>
                <c:pt idx="98">
                  <c:v>602.09338400000001</c:v>
                </c:pt>
                <c:pt idx="99">
                  <c:v>640.44903599999998</c:v>
                </c:pt>
                <c:pt idx="100">
                  <c:v>694.62396200000001</c:v>
                </c:pt>
                <c:pt idx="101">
                  <c:v>573.52984600000002</c:v>
                </c:pt>
                <c:pt idx="102">
                  <c:v>664.301331</c:v>
                </c:pt>
                <c:pt idx="103">
                  <c:v>735.64617899999996</c:v>
                </c:pt>
                <c:pt idx="104">
                  <c:v>683.47833300000002</c:v>
                </c:pt>
                <c:pt idx="105">
                  <c:v>656.22735599999999</c:v>
                </c:pt>
                <c:pt idx="106">
                  <c:v>689.90405299999998</c:v>
                </c:pt>
                <c:pt idx="107">
                  <c:v>758.24285899999995</c:v>
                </c:pt>
                <c:pt idx="108">
                  <c:v>658.71734600000002</c:v>
                </c:pt>
                <c:pt idx="109">
                  <c:v>842.13519299999996</c:v>
                </c:pt>
                <c:pt idx="110">
                  <c:v>826.07336399999997</c:v>
                </c:pt>
                <c:pt idx="111">
                  <c:v>684.89764400000001</c:v>
                </c:pt>
                <c:pt idx="112">
                  <c:v>697.728882</c:v>
                </c:pt>
                <c:pt idx="113">
                  <c:v>835.04095500000005</c:v>
                </c:pt>
                <c:pt idx="114">
                  <c:v>814.52349900000002</c:v>
                </c:pt>
                <c:pt idx="115">
                  <c:v>849.56195100000002</c:v>
                </c:pt>
                <c:pt idx="116">
                  <c:v>708.05694600000004</c:v>
                </c:pt>
                <c:pt idx="117">
                  <c:v>926.39892599999996</c:v>
                </c:pt>
                <c:pt idx="118">
                  <c:v>709.51269500000001</c:v>
                </c:pt>
                <c:pt idx="119">
                  <c:v>869.668091</c:v>
                </c:pt>
              </c:numCache>
            </c:numRef>
          </c:val>
          <c:smooth val="0"/>
          <c:extLst>
            <c:ext xmlns:c16="http://schemas.microsoft.com/office/drawing/2014/chart" uri="{C3380CC4-5D6E-409C-BE32-E72D297353CC}">
              <c16:uniqueId val="{00000000-02A8-4FA4-8CF1-0535AE588B3A}"/>
            </c:ext>
          </c:extLst>
        </c:ser>
        <c:ser>
          <c:idx val="1"/>
          <c:order val="1"/>
          <c:tx>
            <c:strRef>
              <c:f>Resultados_1!$W$2</c:f>
              <c:strCache>
                <c:ptCount val="1"/>
                <c:pt idx="0">
                  <c:v>GRankB</c:v>
                </c:pt>
              </c:strCache>
            </c:strRef>
          </c:tx>
          <c:spPr>
            <a:ln w="28575" cap="rnd">
              <a:solidFill>
                <a:schemeClr val="accent4"/>
              </a:solidFill>
              <a:round/>
            </a:ln>
            <a:effectLst/>
          </c:spPr>
          <c:marker>
            <c:symbol val="none"/>
          </c:marker>
          <c:val>
            <c:numRef>
              <c:f>Resultados_1!$W$3:$W$122</c:f>
              <c:numCache>
                <c:formatCode>General</c:formatCode>
                <c:ptCount val="120"/>
                <c:pt idx="0">
                  <c:v>357.26953099999997</c:v>
                </c:pt>
                <c:pt idx="1">
                  <c:v>405.9375</c:v>
                </c:pt>
                <c:pt idx="2">
                  <c:v>335.11968999999999</c:v>
                </c:pt>
                <c:pt idx="3">
                  <c:v>371.38262900000001</c:v>
                </c:pt>
                <c:pt idx="4">
                  <c:v>318.96472199999999</c:v>
                </c:pt>
                <c:pt idx="5">
                  <c:v>385.72714200000001</c:v>
                </c:pt>
                <c:pt idx="6">
                  <c:v>355.66607699999997</c:v>
                </c:pt>
                <c:pt idx="7">
                  <c:v>413.96798699999999</c:v>
                </c:pt>
                <c:pt idx="8">
                  <c:v>395.05450400000001</c:v>
                </c:pt>
                <c:pt idx="9">
                  <c:v>311.57052599999997</c:v>
                </c:pt>
                <c:pt idx="10">
                  <c:v>520.83978300000001</c:v>
                </c:pt>
                <c:pt idx="11">
                  <c:v>435.57107500000001</c:v>
                </c:pt>
                <c:pt idx="12">
                  <c:v>393.74404900000002</c:v>
                </c:pt>
                <c:pt idx="13">
                  <c:v>471.41369600000002</c:v>
                </c:pt>
                <c:pt idx="14">
                  <c:v>426.88357500000001</c:v>
                </c:pt>
                <c:pt idx="15">
                  <c:v>380.45025600000002</c:v>
                </c:pt>
                <c:pt idx="16">
                  <c:v>406.75604199999998</c:v>
                </c:pt>
                <c:pt idx="17">
                  <c:v>468.00335699999999</c:v>
                </c:pt>
                <c:pt idx="18">
                  <c:v>452.96508799999998</c:v>
                </c:pt>
                <c:pt idx="19">
                  <c:v>423.19674700000002</c:v>
                </c:pt>
                <c:pt idx="20">
                  <c:v>424.94094799999999</c:v>
                </c:pt>
                <c:pt idx="21">
                  <c:v>442.313782</c:v>
                </c:pt>
                <c:pt idx="22">
                  <c:v>512.81304899999998</c:v>
                </c:pt>
                <c:pt idx="23">
                  <c:v>430.00228900000002</c:v>
                </c:pt>
                <c:pt idx="24">
                  <c:v>442.56994600000002</c:v>
                </c:pt>
                <c:pt idx="25">
                  <c:v>571.82659899999999</c:v>
                </c:pt>
                <c:pt idx="26">
                  <c:v>380.51156600000002</c:v>
                </c:pt>
                <c:pt idx="27">
                  <c:v>545.03656000000001</c:v>
                </c:pt>
                <c:pt idx="28">
                  <c:v>465.34634399999999</c:v>
                </c:pt>
                <c:pt idx="29">
                  <c:v>375.28085299999998</c:v>
                </c:pt>
                <c:pt idx="30">
                  <c:v>373.08126800000002</c:v>
                </c:pt>
                <c:pt idx="31">
                  <c:v>406.38897700000001</c:v>
                </c:pt>
                <c:pt idx="32">
                  <c:v>395.07406600000002</c:v>
                </c:pt>
                <c:pt idx="33">
                  <c:v>413.60485799999998</c:v>
                </c:pt>
                <c:pt idx="34">
                  <c:v>397.91513099999997</c:v>
                </c:pt>
                <c:pt idx="35">
                  <c:v>502.07724000000002</c:v>
                </c:pt>
                <c:pt idx="36">
                  <c:v>512.36071800000002</c:v>
                </c:pt>
                <c:pt idx="37">
                  <c:v>425.70639</c:v>
                </c:pt>
                <c:pt idx="38">
                  <c:v>403.25430299999999</c:v>
                </c:pt>
                <c:pt idx="39">
                  <c:v>480.61361699999998</c:v>
                </c:pt>
                <c:pt idx="40">
                  <c:v>432.848297</c:v>
                </c:pt>
                <c:pt idx="41">
                  <c:v>560.050659</c:v>
                </c:pt>
                <c:pt idx="42">
                  <c:v>438.36233499999997</c:v>
                </c:pt>
                <c:pt idx="43">
                  <c:v>613.60314900000003</c:v>
                </c:pt>
                <c:pt idx="44">
                  <c:v>614.98309300000005</c:v>
                </c:pt>
                <c:pt idx="45">
                  <c:v>587.70214799999997</c:v>
                </c:pt>
                <c:pt idx="46">
                  <c:v>538.36840800000004</c:v>
                </c:pt>
                <c:pt idx="47">
                  <c:v>572.90704300000004</c:v>
                </c:pt>
                <c:pt idx="48">
                  <c:v>587.135132</c:v>
                </c:pt>
                <c:pt idx="49">
                  <c:v>419.46957400000002</c:v>
                </c:pt>
                <c:pt idx="50">
                  <c:v>594.96691899999996</c:v>
                </c:pt>
                <c:pt idx="51">
                  <c:v>632.63842799999998</c:v>
                </c:pt>
                <c:pt idx="52">
                  <c:v>561.54058799999996</c:v>
                </c:pt>
                <c:pt idx="53">
                  <c:v>714.25988800000005</c:v>
                </c:pt>
                <c:pt idx="54">
                  <c:v>650.25878899999998</c:v>
                </c:pt>
                <c:pt idx="55">
                  <c:v>544.76995799999997</c:v>
                </c:pt>
                <c:pt idx="56">
                  <c:v>616.337402</c:v>
                </c:pt>
                <c:pt idx="57">
                  <c:v>596.78961200000003</c:v>
                </c:pt>
                <c:pt idx="58">
                  <c:v>640.11547900000005</c:v>
                </c:pt>
                <c:pt idx="59">
                  <c:v>547.01238999999998</c:v>
                </c:pt>
                <c:pt idx="60">
                  <c:v>566.40155000000004</c:v>
                </c:pt>
                <c:pt idx="61">
                  <c:v>467.10522500000002</c:v>
                </c:pt>
                <c:pt idx="62">
                  <c:v>561.94537400000002</c:v>
                </c:pt>
                <c:pt idx="63">
                  <c:v>567.04083300000002</c:v>
                </c:pt>
                <c:pt idx="64">
                  <c:v>442.19589200000001</c:v>
                </c:pt>
                <c:pt idx="65">
                  <c:v>591.59857199999999</c:v>
                </c:pt>
                <c:pt idx="66">
                  <c:v>510.762787</c:v>
                </c:pt>
                <c:pt idx="67">
                  <c:v>552.70660399999997</c:v>
                </c:pt>
                <c:pt idx="68">
                  <c:v>468.53472900000003</c:v>
                </c:pt>
                <c:pt idx="69">
                  <c:v>562.46234100000004</c:v>
                </c:pt>
                <c:pt idx="70">
                  <c:v>579.11413600000003</c:v>
                </c:pt>
                <c:pt idx="71">
                  <c:v>637.61377000000005</c:v>
                </c:pt>
                <c:pt idx="72">
                  <c:v>655.67980999999997</c:v>
                </c:pt>
                <c:pt idx="73">
                  <c:v>541.83605999999997</c:v>
                </c:pt>
                <c:pt idx="74">
                  <c:v>594.90118399999994</c:v>
                </c:pt>
                <c:pt idx="75">
                  <c:v>478.96493500000003</c:v>
                </c:pt>
                <c:pt idx="76">
                  <c:v>726.79766800000004</c:v>
                </c:pt>
                <c:pt idx="77">
                  <c:v>664.77002000000005</c:v>
                </c:pt>
                <c:pt idx="78">
                  <c:v>675.85089100000005</c:v>
                </c:pt>
                <c:pt idx="79">
                  <c:v>669.11541699999998</c:v>
                </c:pt>
                <c:pt idx="80">
                  <c:v>678.79211399999997</c:v>
                </c:pt>
                <c:pt idx="81">
                  <c:v>703.33404499999995</c:v>
                </c:pt>
                <c:pt idx="82">
                  <c:v>681.02477999999996</c:v>
                </c:pt>
                <c:pt idx="83">
                  <c:v>681.66192599999999</c:v>
                </c:pt>
                <c:pt idx="84">
                  <c:v>658.09088099999997</c:v>
                </c:pt>
                <c:pt idx="85">
                  <c:v>642.77417000000003</c:v>
                </c:pt>
                <c:pt idx="86">
                  <c:v>776.057007</c:v>
                </c:pt>
                <c:pt idx="87">
                  <c:v>697.09167500000001</c:v>
                </c:pt>
                <c:pt idx="88">
                  <c:v>660.39123500000005</c:v>
                </c:pt>
                <c:pt idx="89">
                  <c:v>791.50299099999995</c:v>
                </c:pt>
                <c:pt idx="90">
                  <c:v>654.81646699999999</c:v>
                </c:pt>
                <c:pt idx="91">
                  <c:v>621.93463099999997</c:v>
                </c:pt>
                <c:pt idx="92">
                  <c:v>604.160034</c:v>
                </c:pt>
                <c:pt idx="93">
                  <c:v>542.31689500000005</c:v>
                </c:pt>
                <c:pt idx="94">
                  <c:v>554.60125700000003</c:v>
                </c:pt>
                <c:pt idx="95">
                  <c:v>612.42016599999999</c:v>
                </c:pt>
                <c:pt idx="96">
                  <c:v>621.24334699999997</c:v>
                </c:pt>
                <c:pt idx="97">
                  <c:v>575.94702099999995</c:v>
                </c:pt>
                <c:pt idx="98">
                  <c:v>590.14367700000003</c:v>
                </c:pt>
                <c:pt idx="99">
                  <c:v>603.98303199999998</c:v>
                </c:pt>
                <c:pt idx="100">
                  <c:v>622.41967799999998</c:v>
                </c:pt>
                <c:pt idx="101">
                  <c:v>574.39624000000003</c:v>
                </c:pt>
                <c:pt idx="102">
                  <c:v>643.35766599999999</c:v>
                </c:pt>
                <c:pt idx="103">
                  <c:v>689.40972899999997</c:v>
                </c:pt>
                <c:pt idx="104">
                  <c:v>673.64178500000003</c:v>
                </c:pt>
                <c:pt idx="105">
                  <c:v>761.86492899999996</c:v>
                </c:pt>
                <c:pt idx="106">
                  <c:v>715.73230000000001</c:v>
                </c:pt>
                <c:pt idx="107">
                  <c:v>635.04107699999997</c:v>
                </c:pt>
                <c:pt idx="108">
                  <c:v>758.89471400000002</c:v>
                </c:pt>
                <c:pt idx="109">
                  <c:v>771.189392</c:v>
                </c:pt>
                <c:pt idx="110">
                  <c:v>736.99139400000001</c:v>
                </c:pt>
                <c:pt idx="111">
                  <c:v>755.98785399999997</c:v>
                </c:pt>
                <c:pt idx="112">
                  <c:v>729.03997800000002</c:v>
                </c:pt>
                <c:pt idx="113">
                  <c:v>713.45977800000003</c:v>
                </c:pt>
                <c:pt idx="114">
                  <c:v>741.177368</c:v>
                </c:pt>
                <c:pt idx="115">
                  <c:v>722.41479500000003</c:v>
                </c:pt>
                <c:pt idx="116">
                  <c:v>737.50628700000004</c:v>
                </c:pt>
                <c:pt idx="117">
                  <c:v>758.95471199999997</c:v>
                </c:pt>
                <c:pt idx="118">
                  <c:v>770.62927200000001</c:v>
                </c:pt>
                <c:pt idx="119">
                  <c:v>792.91058299999997</c:v>
                </c:pt>
              </c:numCache>
            </c:numRef>
          </c:val>
          <c:smooth val="0"/>
          <c:extLst>
            <c:ext xmlns:c16="http://schemas.microsoft.com/office/drawing/2014/chart" uri="{C3380CC4-5D6E-409C-BE32-E72D297353CC}">
              <c16:uniqueId val="{00000001-02A8-4FA4-8CF1-0535AE588B3A}"/>
            </c:ext>
          </c:extLst>
        </c:ser>
        <c:ser>
          <c:idx val="2"/>
          <c:order val="2"/>
          <c:tx>
            <c:strRef>
              <c:f>Resultados_1!$X$2</c:f>
              <c:strCache>
                <c:ptCount val="1"/>
                <c:pt idx="0">
                  <c:v>GReactB</c:v>
                </c:pt>
              </c:strCache>
            </c:strRef>
          </c:tx>
          <c:spPr>
            <a:ln w="28575" cap="rnd">
              <a:solidFill>
                <a:schemeClr val="accent6"/>
              </a:solidFill>
              <a:round/>
            </a:ln>
            <a:effectLst/>
          </c:spPr>
          <c:marker>
            <c:symbol val="none"/>
          </c:marker>
          <c:val>
            <c:numRef>
              <c:f>Resultados_1!$X$3:$X$122</c:f>
              <c:numCache>
                <c:formatCode>General</c:formatCode>
                <c:ptCount val="120"/>
                <c:pt idx="0">
                  <c:v>431.67184400000002</c:v>
                </c:pt>
                <c:pt idx="1">
                  <c:v>408.94638099999997</c:v>
                </c:pt>
                <c:pt idx="2">
                  <c:v>344.15121499999998</c:v>
                </c:pt>
                <c:pt idx="3">
                  <c:v>383.53454599999998</c:v>
                </c:pt>
                <c:pt idx="4">
                  <c:v>328.93576000000002</c:v>
                </c:pt>
                <c:pt idx="5">
                  <c:v>383.946594</c:v>
                </c:pt>
                <c:pt idx="6">
                  <c:v>370.73803700000002</c:v>
                </c:pt>
                <c:pt idx="7">
                  <c:v>424.39956699999999</c:v>
                </c:pt>
                <c:pt idx="8">
                  <c:v>397.24148600000001</c:v>
                </c:pt>
                <c:pt idx="9">
                  <c:v>342.702271</c:v>
                </c:pt>
                <c:pt idx="10">
                  <c:v>554.20727499999998</c:v>
                </c:pt>
                <c:pt idx="11">
                  <c:v>435.57107500000001</c:v>
                </c:pt>
                <c:pt idx="12">
                  <c:v>443.97247299999998</c:v>
                </c:pt>
                <c:pt idx="13">
                  <c:v>482.05789199999998</c:v>
                </c:pt>
                <c:pt idx="14">
                  <c:v>436.86099200000001</c:v>
                </c:pt>
                <c:pt idx="15">
                  <c:v>390.596497</c:v>
                </c:pt>
                <c:pt idx="16">
                  <c:v>455.65957600000002</c:v>
                </c:pt>
                <c:pt idx="17">
                  <c:v>527.30468800000006</c:v>
                </c:pt>
                <c:pt idx="18">
                  <c:v>514.63207999999997</c:v>
                </c:pt>
                <c:pt idx="19">
                  <c:v>473.30667099999999</c:v>
                </c:pt>
                <c:pt idx="20">
                  <c:v>446.555115</c:v>
                </c:pt>
                <c:pt idx="21">
                  <c:v>448.12795999999997</c:v>
                </c:pt>
                <c:pt idx="22">
                  <c:v>555.761169</c:v>
                </c:pt>
                <c:pt idx="23">
                  <c:v>513.55737299999998</c:v>
                </c:pt>
                <c:pt idx="24">
                  <c:v>560.70324700000003</c:v>
                </c:pt>
                <c:pt idx="25">
                  <c:v>596.30114700000001</c:v>
                </c:pt>
                <c:pt idx="26">
                  <c:v>380.51156600000002</c:v>
                </c:pt>
                <c:pt idx="27">
                  <c:v>589.14569100000006</c:v>
                </c:pt>
                <c:pt idx="28">
                  <c:v>510.27301</c:v>
                </c:pt>
                <c:pt idx="29">
                  <c:v>390.64013699999998</c:v>
                </c:pt>
                <c:pt idx="30">
                  <c:v>400.44961499999999</c:v>
                </c:pt>
                <c:pt idx="31">
                  <c:v>415.98556500000001</c:v>
                </c:pt>
                <c:pt idx="32">
                  <c:v>394.00482199999999</c:v>
                </c:pt>
                <c:pt idx="33">
                  <c:v>438.76376299999998</c:v>
                </c:pt>
                <c:pt idx="34">
                  <c:v>448.62109400000003</c:v>
                </c:pt>
                <c:pt idx="35">
                  <c:v>580.63555899999994</c:v>
                </c:pt>
                <c:pt idx="36">
                  <c:v>584.212219</c:v>
                </c:pt>
                <c:pt idx="37">
                  <c:v>470.377655</c:v>
                </c:pt>
                <c:pt idx="38">
                  <c:v>428.47006199999998</c:v>
                </c:pt>
                <c:pt idx="39">
                  <c:v>498.529877</c:v>
                </c:pt>
                <c:pt idx="40">
                  <c:v>579.31744400000002</c:v>
                </c:pt>
                <c:pt idx="41">
                  <c:v>535.59143100000006</c:v>
                </c:pt>
                <c:pt idx="42">
                  <c:v>454.446686</c:v>
                </c:pt>
                <c:pt idx="43">
                  <c:v>690.59283400000004</c:v>
                </c:pt>
                <c:pt idx="44">
                  <c:v>628.10675000000003</c:v>
                </c:pt>
                <c:pt idx="45">
                  <c:v>676.84216300000003</c:v>
                </c:pt>
                <c:pt idx="46">
                  <c:v>578.84960899999999</c:v>
                </c:pt>
                <c:pt idx="47">
                  <c:v>601.261169</c:v>
                </c:pt>
                <c:pt idx="48">
                  <c:v>624.599243</c:v>
                </c:pt>
                <c:pt idx="49">
                  <c:v>475.39434799999998</c:v>
                </c:pt>
                <c:pt idx="50">
                  <c:v>639.32220500000005</c:v>
                </c:pt>
                <c:pt idx="51">
                  <c:v>670.76818800000001</c:v>
                </c:pt>
                <c:pt idx="52">
                  <c:v>676.54663100000005</c:v>
                </c:pt>
                <c:pt idx="53">
                  <c:v>778.80285600000002</c:v>
                </c:pt>
                <c:pt idx="54">
                  <c:v>632.67657499999996</c:v>
                </c:pt>
                <c:pt idx="55">
                  <c:v>569.207581</c:v>
                </c:pt>
                <c:pt idx="56">
                  <c:v>699.85400400000003</c:v>
                </c:pt>
                <c:pt idx="57">
                  <c:v>600.82372999999995</c:v>
                </c:pt>
                <c:pt idx="58">
                  <c:v>645.03576699999996</c:v>
                </c:pt>
                <c:pt idx="59">
                  <c:v>663.23101799999995</c:v>
                </c:pt>
                <c:pt idx="60">
                  <c:v>549.27002000000005</c:v>
                </c:pt>
                <c:pt idx="61">
                  <c:v>487.88681000000003</c:v>
                </c:pt>
                <c:pt idx="62">
                  <c:v>636.10607900000002</c:v>
                </c:pt>
                <c:pt idx="63">
                  <c:v>534.662598</c:v>
                </c:pt>
                <c:pt idx="64">
                  <c:v>553.83325200000002</c:v>
                </c:pt>
                <c:pt idx="65">
                  <c:v>539.18505900000002</c:v>
                </c:pt>
                <c:pt idx="66">
                  <c:v>486.22427399999998</c:v>
                </c:pt>
                <c:pt idx="67">
                  <c:v>601.11608899999999</c:v>
                </c:pt>
                <c:pt idx="68">
                  <c:v>537.20794699999999</c:v>
                </c:pt>
                <c:pt idx="69">
                  <c:v>606.068848</c:v>
                </c:pt>
                <c:pt idx="70">
                  <c:v>684.03845200000001</c:v>
                </c:pt>
                <c:pt idx="71">
                  <c:v>656.24761999999998</c:v>
                </c:pt>
                <c:pt idx="72">
                  <c:v>699.64306599999998</c:v>
                </c:pt>
                <c:pt idx="73">
                  <c:v>599.402649</c:v>
                </c:pt>
                <c:pt idx="74">
                  <c:v>742.40734899999995</c:v>
                </c:pt>
                <c:pt idx="75">
                  <c:v>531.58990500000004</c:v>
                </c:pt>
                <c:pt idx="76">
                  <c:v>803.03143299999999</c:v>
                </c:pt>
                <c:pt idx="77">
                  <c:v>618.05035399999997</c:v>
                </c:pt>
                <c:pt idx="78">
                  <c:v>735.63891599999999</c:v>
                </c:pt>
                <c:pt idx="79">
                  <c:v>668.97497599999997</c:v>
                </c:pt>
                <c:pt idx="80">
                  <c:v>779.03204300000004</c:v>
                </c:pt>
                <c:pt idx="81">
                  <c:v>755.612122</c:v>
                </c:pt>
                <c:pt idx="82">
                  <c:v>724.76263400000005</c:v>
                </c:pt>
                <c:pt idx="83">
                  <c:v>812.93774399999995</c:v>
                </c:pt>
                <c:pt idx="84">
                  <c:v>596.53967299999999</c:v>
                </c:pt>
                <c:pt idx="85">
                  <c:v>588.10327099999995</c:v>
                </c:pt>
                <c:pt idx="86">
                  <c:v>753.06451400000003</c:v>
                </c:pt>
                <c:pt idx="87">
                  <c:v>802.73504600000001</c:v>
                </c:pt>
                <c:pt idx="88">
                  <c:v>655.37750200000005</c:v>
                </c:pt>
                <c:pt idx="89">
                  <c:v>722.06506300000001</c:v>
                </c:pt>
                <c:pt idx="90">
                  <c:v>641.78924600000005</c:v>
                </c:pt>
                <c:pt idx="91">
                  <c:v>642.566956</c:v>
                </c:pt>
                <c:pt idx="92">
                  <c:v>542.96319600000004</c:v>
                </c:pt>
                <c:pt idx="93">
                  <c:v>641.10125700000003</c:v>
                </c:pt>
                <c:pt idx="94">
                  <c:v>480.684326</c:v>
                </c:pt>
                <c:pt idx="95">
                  <c:v>540.36261000000002</c:v>
                </c:pt>
                <c:pt idx="96">
                  <c:v>625.47833300000002</c:v>
                </c:pt>
                <c:pt idx="97">
                  <c:v>587.71765100000005</c:v>
                </c:pt>
                <c:pt idx="98">
                  <c:v>562.25695800000005</c:v>
                </c:pt>
                <c:pt idx="99">
                  <c:v>605.86328100000003</c:v>
                </c:pt>
                <c:pt idx="100">
                  <c:v>634.678223</c:v>
                </c:pt>
                <c:pt idx="101">
                  <c:v>682.10119599999996</c:v>
                </c:pt>
                <c:pt idx="102">
                  <c:v>724.53253199999995</c:v>
                </c:pt>
                <c:pt idx="103">
                  <c:v>873.66894500000001</c:v>
                </c:pt>
                <c:pt idx="104">
                  <c:v>791.66747999999995</c:v>
                </c:pt>
                <c:pt idx="105">
                  <c:v>684.37481700000001</c:v>
                </c:pt>
                <c:pt idx="106">
                  <c:v>698.37561000000005</c:v>
                </c:pt>
                <c:pt idx="107">
                  <c:v>714.53594999999996</c:v>
                </c:pt>
                <c:pt idx="108">
                  <c:v>736.64581299999998</c:v>
                </c:pt>
                <c:pt idx="109">
                  <c:v>680.33019999999999</c:v>
                </c:pt>
                <c:pt idx="110">
                  <c:v>726.79620399999999</c:v>
                </c:pt>
                <c:pt idx="111">
                  <c:v>762.42944299999999</c:v>
                </c:pt>
                <c:pt idx="112">
                  <c:v>686.05828899999995</c:v>
                </c:pt>
                <c:pt idx="113">
                  <c:v>773.61822500000005</c:v>
                </c:pt>
                <c:pt idx="114">
                  <c:v>854.20086700000002</c:v>
                </c:pt>
                <c:pt idx="115">
                  <c:v>660.229736</c:v>
                </c:pt>
                <c:pt idx="116">
                  <c:v>802.78411900000003</c:v>
                </c:pt>
                <c:pt idx="117">
                  <c:v>742.48089600000003</c:v>
                </c:pt>
                <c:pt idx="118">
                  <c:v>823.625</c:v>
                </c:pt>
                <c:pt idx="119">
                  <c:v>1008.918945</c:v>
                </c:pt>
              </c:numCache>
            </c:numRef>
          </c:val>
          <c:smooth val="0"/>
          <c:extLst>
            <c:ext xmlns:c16="http://schemas.microsoft.com/office/drawing/2014/chart" uri="{C3380CC4-5D6E-409C-BE32-E72D297353CC}">
              <c16:uniqueId val="{00000002-02A8-4FA4-8CF1-0535AE588B3A}"/>
            </c:ext>
          </c:extLst>
        </c:ser>
        <c:dLbls>
          <c:showLegendKey val="0"/>
          <c:showVal val="0"/>
          <c:showCatName val="0"/>
          <c:showSerName val="0"/>
          <c:showPercent val="0"/>
          <c:showBubbleSize val="0"/>
        </c:dLbls>
        <c:smooth val="0"/>
        <c:axId val="495421743"/>
        <c:axId val="495437135"/>
      </c:lineChart>
      <c:catAx>
        <c:axId val="495421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495437135"/>
        <c:crosses val="autoZero"/>
        <c:auto val="1"/>
        <c:lblAlgn val="ctr"/>
        <c:lblOffset val="100"/>
        <c:noMultiLvlLbl val="0"/>
      </c:catAx>
      <c:valAx>
        <c:axId val="495437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495421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Resultados_1!$B$2</c:f>
              <c:strCache>
                <c:ptCount val="1"/>
                <c:pt idx="0">
                  <c:v>CPAEstA</c:v>
                </c:pt>
              </c:strCache>
            </c:strRef>
          </c:tx>
          <c:spPr>
            <a:ln w="28575" cap="rnd">
              <a:solidFill>
                <a:schemeClr val="accent2"/>
              </a:solidFill>
              <a:round/>
            </a:ln>
            <a:effectLst/>
          </c:spPr>
          <c:marker>
            <c:symbol val="none"/>
          </c:marker>
          <c:val>
            <c:numRef>
              <c:f>Resultados_1!$B$3:$B$122</c:f>
              <c:numCache>
                <c:formatCode>General</c:formatCode>
                <c:ptCount val="120"/>
                <c:pt idx="0">
                  <c:v>382.83227499999998</c:v>
                </c:pt>
                <c:pt idx="1">
                  <c:v>414.58303799999999</c:v>
                </c:pt>
                <c:pt idx="2">
                  <c:v>359.89016700000002</c:v>
                </c:pt>
                <c:pt idx="3">
                  <c:v>386.27529900000002</c:v>
                </c:pt>
                <c:pt idx="4">
                  <c:v>341.47854599999999</c:v>
                </c:pt>
                <c:pt idx="5">
                  <c:v>400.13763399999999</c:v>
                </c:pt>
                <c:pt idx="6">
                  <c:v>380.04760700000003</c:v>
                </c:pt>
                <c:pt idx="7">
                  <c:v>428.24426299999999</c:v>
                </c:pt>
                <c:pt idx="8">
                  <c:v>411.07409699999999</c:v>
                </c:pt>
                <c:pt idx="9">
                  <c:v>338.95556599999998</c:v>
                </c:pt>
                <c:pt idx="10">
                  <c:v>485.22625699999998</c:v>
                </c:pt>
                <c:pt idx="11">
                  <c:v>448.001282</c:v>
                </c:pt>
                <c:pt idx="12">
                  <c:v>402.28042599999998</c:v>
                </c:pt>
                <c:pt idx="13">
                  <c:v>474.96545400000002</c:v>
                </c:pt>
                <c:pt idx="14">
                  <c:v>434.000427</c:v>
                </c:pt>
                <c:pt idx="15">
                  <c:v>399.08822600000002</c:v>
                </c:pt>
                <c:pt idx="16">
                  <c:v>412.92742900000002</c:v>
                </c:pt>
                <c:pt idx="17">
                  <c:v>478.829407</c:v>
                </c:pt>
                <c:pt idx="18">
                  <c:v>448.97653200000002</c:v>
                </c:pt>
                <c:pt idx="19">
                  <c:v>425.08618200000001</c:v>
                </c:pt>
                <c:pt idx="20">
                  <c:v>424.86154199999999</c:v>
                </c:pt>
                <c:pt idx="21">
                  <c:v>434.88913000000002</c:v>
                </c:pt>
                <c:pt idx="22">
                  <c:v>513.51470900000004</c:v>
                </c:pt>
                <c:pt idx="23">
                  <c:v>426.96203600000001</c:v>
                </c:pt>
                <c:pt idx="24">
                  <c:v>440.15103099999999</c:v>
                </c:pt>
                <c:pt idx="25">
                  <c:v>564.98687700000005</c:v>
                </c:pt>
                <c:pt idx="26">
                  <c:v>389.51574699999998</c:v>
                </c:pt>
                <c:pt idx="27">
                  <c:v>548.00329599999998</c:v>
                </c:pt>
                <c:pt idx="28">
                  <c:v>475.90417500000001</c:v>
                </c:pt>
                <c:pt idx="29">
                  <c:v>394.50817899999998</c:v>
                </c:pt>
                <c:pt idx="30">
                  <c:v>401.67568999999997</c:v>
                </c:pt>
                <c:pt idx="31">
                  <c:v>434.25775099999998</c:v>
                </c:pt>
                <c:pt idx="32">
                  <c:v>426.38287400000002</c:v>
                </c:pt>
                <c:pt idx="33">
                  <c:v>451.28558299999997</c:v>
                </c:pt>
                <c:pt idx="34">
                  <c:v>417.13317899999998</c:v>
                </c:pt>
                <c:pt idx="35">
                  <c:v>523.14532499999996</c:v>
                </c:pt>
                <c:pt idx="36">
                  <c:v>572.10864300000003</c:v>
                </c:pt>
                <c:pt idx="37">
                  <c:v>486.26937900000001</c:v>
                </c:pt>
                <c:pt idx="38">
                  <c:v>433.58477800000003</c:v>
                </c:pt>
                <c:pt idx="39">
                  <c:v>560.24304199999995</c:v>
                </c:pt>
                <c:pt idx="40">
                  <c:v>441.745544</c:v>
                </c:pt>
                <c:pt idx="41">
                  <c:v>585.30450399999995</c:v>
                </c:pt>
                <c:pt idx="42">
                  <c:v>455.38677999999999</c:v>
                </c:pt>
                <c:pt idx="43">
                  <c:v>602.13256799999999</c:v>
                </c:pt>
                <c:pt idx="44">
                  <c:v>599.83892800000001</c:v>
                </c:pt>
                <c:pt idx="45">
                  <c:v>580.26434300000005</c:v>
                </c:pt>
                <c:pt idx="46">
                  <c:v>535.00170900000001</c:v>
                </c:pt>
                <c:pt idx="47">
                  <c:v>601.55273399999999</c:v>
                </c:pt>
                <c:pt idx="48">
                  <c:v>575.77954099999999</c:v>
                </c:pt>
                <c:pt idx="49">
                  <c:v>467.391479</c:v>
                </c:pt>
                <c:pt idx="50">
                  <c:v>589.70929000000001</c:v>
                </c:pt>
                <c:pt idx="51">
                  <c:v>648.70770300000004</c:v>
                </c:pt>
                <c:pt idx="52">
                  <c:v>563.38079800000003</c:v>
                </c:pt>
                <c:pt idx="53">
                  <c:v>706.35607900000002</c:v>
                </c:pt>
                <c:pt idx="54">
                  <c:v>646.662781</c:v>
                </c:pt>
                <c:pt idx="55">
                  <c:v>549.49816899999996</c:v>
                </c:pt>
                <c:pt idx="56">
                  <c:v>627.19055200000003</c:v>
                </c:pt>
                <c:pt idx="57">
                  <c:v>595.46801800000003</c:v>
                </c:pt>
                <c:pt idx="58">
                  <c:v>636.48242200000004</c:v>
                </c:pt>
                <c:pt idx="59">
                  <c:v>559.28137200000003</c:v>
                </c:pt>
                <c:pt idx="60">
                  <c:v>600.08557099999996</c:v>
                </c:pt>
                <c:pt idx="61">
                  <c:v>544.890625</c:v>
                </c:pt>
                <c:pt idx="62">
                  <c:v>603.32708700000001</c:v>
                </c:pt>
                <c:pt idx="63">
                  <c:v>599.78900099999998</c:v>
                </c:pt>
                <c:pt idx="64">
                  <c:v>519.76959199999999</c:v>
                </c:pt>
                <c:pt idx="65">
                  <c:v>610.307007</c:v>
                </c:pt>
                <c:pt idx="66">
                  <c:v>543.838257</c:v>
                </c:pt>
                <c:pt idx="67">
                  <c:v>599.996216</c:v>
                </c:pt>
                <c:pt idx="68">
                  <c:v>536.33410600000002</c:v>
                </c:pt>
                <c:pt idx="69">
                  <c:v>582.50158699999997</c:v>
                </c:pt>
                <c:pt idx="70">
                  <c:v>573.82934599999999</c:v>
                </c:pt>
                <c:pt idx="71">
                  <c:v>651.55474900000002</c:v>
                </c:pt>
                <c:pt idx="72">
                  <c:v>641.40112299999998</c:v>
                </c:pt>
                <c:pt idx="73">
                  <c:v>592.14892599999996</c:v>
                </c:pt>
                <c:pt idx="74">
                  <c:v>602.11248799999998</c:v>
                </c:pt>
                <c:pt idx="75">
                  <c:v>549.76715100000001</c:v>
                </c:pt>
                <c:pt idx="76">
                  <c:v>724.91589399999998</c:v>
                </c:pt>
                <c:pt idx="77">
                  <c:v>664.11364700000001</c:v>
                </c:pt>
                <c:pt idx="78">
                  <c:v>701.655396</c:v>
                </c:pt>
                <c:pt idx="79">
                  <c:v>678.54125999999997</c:v>
                </c:pt>
                <c:pt idx="80">
                  <c:v>686.09057600000006</c:v>
                </c:pt>
                <c:pt idx="81">
                  <c:v>707.24566700000003</c:v>
                </c:pt>
                <c:pt idx="82">
                  <c:v>674.61303699999996</c:v>
                </c:pt>
                <c:pt idx="83">
                  <c:v>673.78869599999996</c:v>
                </c:pt>
                <c:pt idx="84">
                  <c:v>625.35784899999999</c:v>
                </c:pt>
                <c:pt idx="85">
                  <c:v>649.77593999999999</c:v>
                </c:pt>
                <c:pt idx="86">
                  <c:v>745.99169900000004</c:v>
                </c:pt>
                <c:pt idx="87">
                  <c:v>676.25616500000001</c:v>
                </c:pt>
                <c:pt idx="88">
                  <c:v>662.42627000000005</c:v>
                </c:pt>
                <c:pt idx="89">
                  <c:v>754.32055700000001</c:v>
                </c:pt>
                <c:pt idx="90">
                  <c:v>665.81909199999996</c:v>
                </c:pt>
                <c:pt idx="91">
                  <c:v>640.26318400000002</c:v>
                </c:pt>
                <c:pt idx="92">
                  <c:v>621.59417699999995</c:v>
                </c:pt>
                <c:pt idx="93">
                  <c:v>584.62457300000005</c:v>
                </c:pt>
                <c:pt idx="94">
                  <c:v>581.249146</c:v>
                </c:pt>
                <c:pt idx="95">
                  <c:v>623.68798800000002</c:v>
                </c:pt>
                <c:pt idx="96">
                  <c:v>650.65106200000002</c:v>
                </c:pt>
                <c:pt idx="97">
                  <c:v>618.52227800000003</c:v>
                </c:pt>
                <c:pt idx="98">
                  <c:v>601.227844</c:v>
                </c:pt>
                <c:pt idx="99">
                  <c:v>632.23492399999998</c:v>
                </c:pt>
                <c:pt idx="100">
                  <c:v>648.76824999999997</c:v>
                </c:pt>
                <c:pt idx="101">
                  <c:v>601.20922900000005</c:v>
                </c:pt>
                <c:pt idx="102">
                  <c:v>650.98706100000004</c:v>
                </c:pt>
                <c:pt idx="103">
                  <c:v>675.104919</c:v>
                </c:pt>
                <c:pt idx="104">
                  <c:v>685.50866699999995</c:v>
                </c:pt>
                <c:pt idx="105">
                  <c:v>708.69818099999998</c:v>
                </c:pt>
                <c:pt idx="106">
                  <c:v>734.53149399999995</c:v>
                </c:pt>
                <c:pt idx="107">
                  <c:v>626.37707499999999</c:v>
                </c:pt>
                <c:pt idx="108">
                  <c:v>723.94006300000001</c:v>
                </c:pt>
                <c:pt idx="109">
                  <c:v>777.87933299999997</c:v>
                </c:pt>
                <c:pt idx="110">
                  <c:v>698.61218299999996</c:v>
                </c:pt>
                <c:pt idx="111">
                  <c:v>745.65997300000004</c:v>
                </c:pt>
                <c:pt idx="112">
                  <c:v>735.08056599999998</c:v>
                </c:pt>
                <c:pt idx="113">
                  <c:v>681.07525599999997</c:v>
                </c:pt>
                <c:pt idx="114">
                  <c:v>694.27105700000004</c:v>
                </c:pt>
                <c:pt idx="115">
                  <c:v>717.97674600000005</c:v>
                </c:pt>
                <c:pt idx="116">
                  <c:v>690.23468000000003</c:v>
                </c:pt>
                <c:pt idx="117">
                  <c:v>755.01165800000001</c:v>
                </c:pt>
                <c:pt idx="118">
                  <c:v>752.99292000000003</c:v>
                </c:pt>
                <c:pt idx="119">
                  <c:v>765.98925799999995</c:v>
                </c:pt>
              </c:numCache>
            </c:numRef>
          </c:val>
          <c:smooth val="0"/>
          <c:extLst>
            <c:ext xmlns:c16="http://schemas.microsoft.com/office/drawing/2014/chart" uri="{C3380CC4-5D6E-409C-BE32-E72D297353CC}">
              <c16:uniqueId val="{00000000-4677-4048-9391-A15F1B391841}"/>
            </c:ext>
          </c:extLst>
        </c:ser>
        <c:ser>
          <c:idx val="1"/>
          <c:order val="1"/>
          <c:tx>
            <c:strRef>
              <c:f>Resultados_1!$C$2</c:f>
              <c:strCache>
                <c:ptCount val="1"/>
                <c:pt idx="0">
                  <c:v>CPARankA</c:v>
                </c:pt>
              </c:strCache>
            </c:strRef>
          </c:tx>
          <c:spPr>
            <a:ln w="28575" cap="rnd">
              <a:solidFill>
                <a:schemeClr val="accent4"/>
              </a:solidFill>
              <a:round/>
            </a:ln>
            <a:effectLst/>
          </c:spPr>
          <c:marker>
            <c:symbol val="none"/>
          </c:marker>
          <c:val>
            <c:numRef>
              <c:f>Resultados_1!$C$3:$C$122</c:f>
              <c:numCache>
                <c:formatCode>General</c:formatCode>
                <c:ptCount val="120"/>
                <c:pt idx="0">
                  <c:v>376.96539300000001</c:v>
                </c:pt>
                <c:pt idx="1">
                  <c:v>424.229218</c:v>
                </c:pt>
                <c:pt idx="2">
                  <c:v>365.81158399999998</c:v>
                </c:pt>
                <c:pt idx="3">
                  <c:v>395.05444299999999</c:v>
                </c:pt>
                <c:pt idx="4">
                  <c:v>341.22711199999998</c:v>
                </c:pt>
                <c:pt idx="5">
                  <c:v>408.41876200000002</c:v>
                </c:pt>
                <c:pt idx="6">
                  <c:v>382.210846</c:v>
                </c:pt>
                <c:pt idx="7">
                  <c:v>458.79028299999999</c:v>
                </c:pt>
                <c:pt idx="8">
                  <c:v>413.77310199999999</c:v>
                </c:pt>
                <c:pt idx="9">
                  <c:v>342.79367100000002</c:v>
                </c:pt>
                <c:pt idx="10">
                  <c:v>513.706909</c:v>
                </c:pt>
                <c:pt idx="11">
                  <c:v>471.94580100000002</c:v>
                </c:pt>
                <c:pt idx="12">
                  <c:v>409.16146900000001</c:v>
                </c:pt>
                <c:pt idx="13">
                  <c:v>510.84286500000002</c:v>
                </c:pt>
                <c:pt idx="14">
                  <c:v>463.072205</c:v>
                </c:pt>
                <c:pt idx="15">
                  <c:v>401.01702899999998</c:v>
                </c:pt>
                <c:pt idx="16">
                  <c:v>423.66629</c:v>
                </c:pt>
                <c:pt idx="17">
                  <c:v>489.51110799999998</c:v>
                </c:pt>
                <c:pt idx="18">
                  <c:v>487.48046900000003</c:v>
                </c:pt>
                <c:pt idx="19">
                  <c:v>453.96725500000002</c:v>
                </c:pt>
                <c:pt idx="20">
                  <c:v>451.81829800000003</c:v>
                </c:pt>
                <c:pt idx="21">
                  <c:v>449.00775099999998</c:v>
                </c:pt>
                <c:pt idx="22">
                  <c:v>537.61804199999995</c:v>
                </c:pt>
                <c:pt idx="23">
                  <c:v>451.229401</c:v>
                </c:pt>
                <c:pt idx="24">
                  <c:v>458.30166600000001</c:v>
                </c:pt>
                <c:pt idx="25">
                  <c:v>601.09368900000004</c:v>
                </c:pt>
                <c:pt idx="26">
                  <c:v>394.30676299999999</c:v>
                </c:pt>
                <c:pt idx="27">
                  <c:v>554.31097399999999</c:v>
                </c:pt>
                <c:pt idx="28">
                  <c:v>509.14325000000002</c:v>
                </c:pt>
                <c:pt idx="29">
                  <c:v>391.43301400000001</c:v>
                </c:pt>
                <c:pt idx="30">
                  <c:v>404.11584499999998</c:v>
                </c:pt>
                <c:pt idx="31">
                  <c:v>444.69982900000002</c:v>
                </c:pt>
                <c:pt idx="32">
                  <c:v>430.92837500000002</c:v>
                </c:pt>
                <c:pt idx="33">
                  <c:v>464.92394999999999</c:v>
                </c:pt>
                <c:pt idx="34">
                  <c:v>423.14672899999999</c:v>
                </c:pt>
                <c:pt idx="35">
                  <c:v>546.52374299999997</c:v>
                </c:pt>
                <c:pt idx="36">
                  <c:v>576.66253700000004</c:v>
                </c:pt>
                <c:pt idx="37">
                  <c:v>498.79675300000002</c:v>
                </c:pt>
                <c:pt idx="38">
                  <c:v>444.79968300000002</c:v>
                </c:pt>
                <c:pt idx="39">
                  <c:v>563.186646</c:v>
                </c:pt>
                <c:pt idx="40">
                  <c:v>462.340057</c:v>
                </c:pt>
                <c:pt idx="41">
                  <c:v>583.15667699999995</c:v>
                </c:pt>
                <c:pt idx="42">
                  <c:v>474.41699199999999</c:v>
                </c:pt>
                <c:pt idx="43">
                  <c:v>610.109375</c:v>
                </c:pt>
                <c:pt idx="44">
                  <c:v>612.33050500000002</c:v>
                </c:pt>
                <c:pt idx="45">
                  <c:v>601.25073199999997</c:v>
                </c:pt>
                <c:pt idx="46">
                  <c:v>563.65118399999994</c:v>
                </c:pt>
                <c:pt idx="47">
                  <c:v>601.30621299999996</c:v>
                </c:pt>
                <c:pt idx="48">
                  <c:v>608.27484100000004</c:v>
                </c:pt>
                <c:pt idx="49">
                  <c:v>474.47961400000003</c:v>
                </c:pt>
                <c:pt idx="50">
                  <c:v>605.30358899999999</c:v>
                </c:pt>
                <c:pt idx="51">
                  <c:v>656.59576400000003</c:v>
                </c:pt>
                <c:pt idx="52">
                  <c:v>576.58062700000005</c:v>
                </c:pt>
                <c:pt idx="53">
                  <c:v>709.82324200000005</c:v>
                </c:pt>
                <c:pt idx="54">
                  <c:v>657.38525400000003</c:v>
                </c:pt>
                <c:pt idx="55">
                  <c:v>553.33111599999995</c:v>
                </c:pt>
                <c:pt idx="56">
                  <c:v>630.25396699999999</c:v>
                </c:pt>
                <c:pt idx="57">
                  <c:v>587.75598100000002</c:v>
                </c:pt>
                <c:pt idx="58">
                  <c:v>656.67535399999997</c:v>
                </c:pt>
                <c:pt idx="59">
                  <c:v>568.16583300000002</c:v>
                </c:pt>
                <c:pt idx="60">
                  <c:v>612.113159</c:v>
                </c:pt>
                <c:pt idx="61">
                  <c:v>538.90173300000004</c:v>
                </c:pt>
                <c:pt idx="62">
                  <c:v>610.80566399999998</c:v>
                </c:pt>
                <c:pt idx="63">
                  <c:v>597.69976799999995</c:v>
                </c:pt>
                <c:pt idx="64">
                  <c:v>542.69671600000004</c:v>
                </c:pt>
                <c:pt idx="65">
                  <c:v>630.65838599999995</c:v>
                </c:pt>
                <c:pt idx="66">
                  <c:v>560.43963599999995</c:v>
                </c:pt>
                <c:pt idx="67">
                  <c:v>604.33557099999996</c:v>
                </c:pt>
                <c:pt idx="68">
                  <c:v>549.73461899999995</c:v>
                </c:pt>
                <c:pt idx="69">
                  <c:v>590.42382799999996</c:v>
                </c:pt>
                <c:pt idx="70">
                  <c:v>605.48040800000001</c:v>
                </c:pt>
                <c:pt idx="71">
                  <c:v>670.37805200000003</c:v>
                </c:pt>
                <c:pt idx="72">
                  <c:v>671.40429700000004</c:v>
                </c:pt>
                <c:pt idx="73">
                  <c:v>606.30432099999996</c:v>
                </c:pt>
                <c:pt idx="74">
                  <c:v>624.60339399999998</c:v>
                </c:pt>
                <c:pt idx="75">
                  <c:v>556.20477300000005</c:v>
                </c:pt>
                <c:pt idx="76">
                  <c:v>742.38793899999996</c:v>
                </c:pt>
                <c:pt idx="77">
                  <c:v>668.19482400000004</c:v>
                </c:pt>
                <c:pt idx="78">
                  <c:v>706.88122599999997</c:v>
                </c:pt>
                <c:pt idx="79">
                  <c:v>682.96215800000004</c:v>
                </c:pt>
                <c:pt idx="80">
                  <c:v>696.17199700000003</c:v>
                </c:pt>
                <c:pt idx="81">
                  <c:v>716.91778599999998</c:v>
                </c:pt>
                <c:pt idx="82">
                  <c:v>671.08325200000002</c:v>
                </c:pt>
                <c:pt idx="83">
                  <c:v>699.52410899999995</c:v>
                </c:pt>
                <c:pt idx="84">
                  <c:v>633.80480999999997</c:v>
                </c:pt>
                <c:pt idx="85">
                  <c:v>665.057007</c:v>
                </c:pt>
                <c:pt idx="86">
                  <c:v>779.13262899999995</c:v>
                </c:pt>
                <c:pt idx="87">
                  <c:v>709.83599900000002</c:v>
                </c:pt>
                <c:pt idx="88">
                  <c:v>667.86743200000001</c:v>
                </c:pt>
                <c:pt idx="89">
                  <c:v>811.65795900000001</c:v>
                </c:pt>
                <c:pt idx="90">
                  <c:v>668.95550500000002</c:v>
                </c:pt>
                <c:pt idx="91">
                  <c:v>650.28527799999995</c:v>
                </c:pt>
                <c:pt idx="92">
                  <c:v>631.75915499999996</c:v>
                </c:pt>
                <c:pt idx="93">
                  <c:v>598.37329099999999</c:v>
                </c:pt>
                <c:pt idx="94">
                  <c:v>605.262878</c:v>
                </c:pt>
                <c:pt idx="95">
                  <c:v>638.58227499999998</c:v>
                </c:pt>
                <c:pt idx="96">
                  <c:v>646.61596699999996</c:v>
                </c:pt>
                <c:pt idx="97">
                  <c:v>619.73907499999996</c:v>
                </c:pt>
                <c:pt idx="98">
                  <c:v>618.76879899999994</c:v>
                </c:pt>
                <c:pt idx="99">
                  <c:v>652.70678699999996</c:v>
                </c:pt>
                <c:pt idx="100">
                  <c:v>646.94250499999998</c:v>
                </c:pt>
                <c:pt idx="101">
                  <c:v>612.98419200000001</c:v>
                </c:pt>
                <c:pt idx="102">
                  <c:v>680.66015600000003</c:v>
                </c:pt>
                <c:pt idx="103">
                  <c:v>692.65423599999997</c:v>
                </c:pt>
                <c:pt idx="104">
                  <c:v>705.07971199999997</c:v>
                </c:pt>
                <c:pt idx="105">
                  <c:v>759.43969700000002</c:v>
                </c:pt>
                <c:pt idx="106">
                  <c:v>760.59228499999995</c:v>
                </c:pt>
                <c:pt idx="107">
                  <c:v>655.25268600000004</c:v>
                </c:pt>
                <c:pt idx="108">
                  <c:v>755.01135299999999</c:v>
                </c:pt>
                <c:pt idx="109">
                  <c:v>771.60778800000003</c:v>
                </c:pt>
                <c:pt idx="110">
                  <c:v>739.98443599999996</c:v>
                </c:pt>
                <c:pt idx="111">
                  <c:v>779.65576199999998</c:v>
                </c:pt>
                <c:pt idx="112">
                  <c:v>731.94378700000004</c:v>
                </c:pt>
                <c:pt idx="113">
                  <c:v>720.67199700000003</c:v>
                </c:pt>
                <c:pt idx="114">
                  <c:v>727.94616699999995</c:v>
                </c:pt>
                <c:pt idx="115">
                  <c:v>712.85363800000005</c:v>
                </c:pt>
                <c:pt idx="116">
                  <c:v>731.68493699999999</c:v>
                </c:pt>
                <c:pt idx="117">
                  <c:v>762.19421399999999</c:v>
                </c:pt>
                <c:pt idx="118">
                  <c:v>791.134277</c:v>
                </c:pt>
                <c:pt idx="119">
                  <c:v>844.31103499999995</c:v>
                </c:pt>
              </c:numCache>
            </c:numRef>
          </c:val>
          <c:smooth val="0"/>
          <c:extLst>
            <c:ext xmlns:c16="http://schemas.microsoft.com/office/drawing/2014/chart" uri="{C3380CC4-5D6E-409C-BE32-E72D297353CC}">
              <c16:uniqueId val="{00000001-4677-4048-9391-A15F1B391841}"/>
            </c:ext>
          </c:extLst>
        </c:ser>
        <c:ser>
          <c:idx val="2"/>
          <c:order val="2"/>
          <c:tx>
            <c:strRef>
              <c:f>Resultados_1!$D$2</c:f>
              <c:strCache>
                <c:ptCount val="1"/>
                <c:pt idx="0">
                  <c:v>CPAReactA</c:v>
                </c:pt>
              </c:strCache>
            </c:strRef>
          </c:tx>
          <c:spPr>
            <a:ln w="28575" cap="rnd">
              <a:solidFill>
                <a:schemeClr val="accent6"/>
              </a:solidFill>
              <a:round/>
            </a:ln>
            <a:effectLst/>
          </c:spPr>
          <c:marker>
            <c:symbol val="none"/>
          </c:marker>
          <c:val>
            <c:numRef>
              <c:f>Resultados_1!$D$3:$D$122</c:f>
              <c:numCache>
                <c:formatCode>General</c:formatCode>
                <c:ptCount val="120"/>
                <c:pt idx="0">
                  <c:v>469.01501500000001</c:v>
                </c:pt>
                <c:pt idx="1">
                  <c:v>427.772583</c:v>
                </c:pt>
                <c:pt idx="2">
                  <c:v>368.59149200000002</c:v>
                </c:pt>
                <c:pt idx="3">
                  <c:v>401.51928700000002</c:v>
                </c:pt>
                <c:pt idx="4">
                  <c:v>359.961792</c:v>
                </c:pt>
                <c:pt idx="5">
                  <c:v>411.12417599999998</c:v>
                </c:pt>
                <c:pt idx="6">
                  <c:v>391.49529999999999</c:v>
                </c:pt>
                <c:pt idx="7">
                  <c:v>498.953033</c:v>
                </c:pt>
                <c:pt idx="8">
                  <c:v>418.77362099999999</c:v>
                </c:pt>
                <c:pt idx="9">
                  <c:v>376.05883799999998</c:v>
                </c:pt>
                <c:pt idx="10">
                  <c:v>571.85943599999996</c:v>
                </c:pt>
                <c:pt idx="11">
                  <c:v>471.94580100000002</c:v>
                </c:pt>
                <c:pt idx="12">
                  <c:v>463.67385899999999</c:v>
                </c:pt>
                <c:pt idx="13">
                  <c:v>581.48138400000005</c:v>
                </c:pt>
                <c:pt idx="14">
                  <c:v>471.74896200000001</c:v>
                </c:pt>
                <c:pt idx="15">
                  <c:v>465.63330100000002</c:v>
                </c:pt>
                <c:pt idx="16">
                  <c:v>471.45211799999998</c:v>
                </c:pt>
                <c:pt idx="17">
                  <c:v>530.40942399999994</c:v>
                </c:pt>
                <c:pt idx="18">
                  <c:v>530.06219499999997</c:v>
                </c:pt>
                <c:pt idx="19">
                  <c:v>514.61462400000005</c:v>
                </c:pt>
                <c:pt idx="20">
                  <c:v>461.79037499999998</c:v>
                </c:pt>
                <c:pt idx="21">
                  <c:v>465.930725</c:v>
                </c:pt>
                <c:pt idx="22">
                  <c:v>586.57788100000005</c:v>
                </c:pt>
                <c:pt idx="23">
                  <c:v>451.63757299999997</c:v>
                </c:pt>
                <c:pt idx="24">
                  <c:v>487.14477499999998</c:v>
                </c:pt>
                <c:pt idx="25">
                  <c:v>616.73663299999998</c:v>
                </c:pt>
                <c:pt idx="26">
                  <c:v>415.38476600000001</c:v>
                </c:pt>
                <c:pt idx="27">
                  <c:v>589.04247999999995</c:v>
                </c:pt>
                <c:pt idx="28">
                  <c:v>526.229919</c:v>
                </c:pt>
                <c:pt idx="29">
                  <c:v>397.60961900000001</c:v>
                </c:pt>
                <c:pt idx="30">
                  <c:v>429.75</c:v>
                </c:pt>
                <c:pt idx="31">
                  <c:v>461.07058699999999</c:v>
                </c:pt>
                <c:pt idx="32">
                  <c:v>473.94439699999998</c:v>
                </c:pt>
                <c:pt idx="33">
                  <c:v>487.95428500000003</c:v>
                </c:pt>
                <c:pt idx="34">
                  <c:v>417.25854500000003</c:v>
                </c:pt>
                <c:pt idx="35">
                  <c:v>550.57843000000003</c:v>
                </c:pt>
                <c:pt idx="36">
                  <c:v>572.856628</c:v>
                </c:pt>
                <c:pt idx="37">
                  <c:v>510.97723400000001</c:v>
                </c:pt>
                <c:pt idx="38">
                  <c:v>472.17303500000003</c:v>
                </c:pt>
                <c:pt idx="39">
                  <c:v>557.04998799999998</c:v>
                </c:pt>
                <c:pt idx="40">
                  <c:v>432.20474200000001</c:v>
                </c:pt>
                <c:pt idx="41">
                  <c:v>575.90270999999996</c:v>
                </c:pt>
                <c:pt idx="42">
                  <c:v>592.31890899999996</c:v>
                </c:pt>
                <c:pt idx="43">
                  <c:v>621.20977800000003</c:v>
                </c:pt>
                <c:pt idx="44">
                  <c:v>596.16888400000005</c:v>
                </c:pt>
                <c:pt idx="45">
                  <c:v>681.259277</c:v>
                </c:pt>
                <c:pt idx="46">
                  <c:v>567.05273399999999</c:v>
                </c:pt>
                <c:pt idx="47">
                  <c:v>631.16156000000001</c:v>
                </c:pt>
                <c:pt idx="48">
                  <c:v>632.43878199999995</c:v>
                </c:pt>
                <c:pt idx="49">
                  <c:v>567.92407200000002</c:v>
                </c:pt>
                <c:pt idx="50">
                  <c:v>700.677368</c:v>
                </c:pt>
                <c:pt idx="51">
                  <c:v>627.33325200000002</c:v>
                </c:pt>
                <c:pt idx="52">
                  <c:v>646.13622999999995</c:v>
                </c:pt>
                <c:pt idx="53">
                  <c:v>699.40936299999998</c:v>
                </c:pt>
                <c:pt idx="54">
                  <c:v>672.94775400000003</c:v>
                </c:pt>
                <c:pt idx="55">
                  <c:v>605.87506099999996</c:v>
                </c:pt>
                <c:pt idx="56">
                  <c:v>675.33166500000004</c:v>
                </c:pt>
                <c:pt idx="57">
                  <c:v>603.15130599999998</c:v>
                </c:pt>
                <c:pt idx="58">
                  <c:v>711.19366500000001</c:v>
                </c:pt>
                <c:pt idx="59">
                  <c:v>671.89349400000003</c:v>
                </c:pt>
                <c:pt idx="60">
                  <c:v>588.62658699999997</c:v>
                </c:pt>
                <c:pt idx="61">
                  <c:v>587.77807600000006</c:v>
                </c:pt>
                <c:pt idx="62">
                  <c:v>610.18273899999997</c:v>
                </c:pt>
                <c:pt idx="63">
                  <c:v>635.02893100000006</c:v>
                </c:pt>
                <c:pt idx="64">
                  <c:v>570.22283900000002</c:v>
                </c:pt>
                <c:pt idx="65">
                  <c:v>655.37719700000002</c:v>
                </c:pt>
                <c:pt idx="66">
                  <c:v>623.07153300000004</c:v>
                </c:pt>
                <c:pt idx="67">
                  <c:v>650.90686000000005</c:v>
                </c:pt>
                <c:pt idx="68">
                  <c:v>539.45971699999996</c:v>
                </c:pt>
                <c:pt idx="69">
                  <c:v>633.68743900000004</c:v>
                </c:pt>
                <c:pt idx="70">
                  <c:v>625.53698699999995</c:v>
                </c:pt>
                <c:pt idx="71">
                  <c:v>663.03710899999999</c:v>
                </c:pt>
                <c:pt idx="72">
                  <c:v>743.25122099999999</c:v>
                </c:pt>
                <c:pt idx="73">
                  <c:v>618.08953899999995</c:v>
                </c:pt>
                <c:pt idx="74">
                  <c:v>550.11425799999995</c:v>
                </c:pt>
                <c:pt idx="75">
                  <c:v>592.52801499999998</c:v>
                </c:pt>
                <c:pt idx="76">
                  <c:v>845.95385699999997</c:v>
                </c:pt>
                <c:pt idx="77">
                  <c:v>741.78832999999997</c:v>
                </c:pt>
                <c:pt idx="78">
                  <c:v>749.87304700000004</c:v>
                </c:pt>
                <c:pt idx="79">
                  <c:v>728.47631799999999</c:v>
                </c:pt>
                <c:pt idx="80">
                  <c:v>695.87512200000003</c:v>
                </c:pt>
                <c:pt idx="81">
                  <c:v>683.19976799999995</c:v>
                </c:pt>
                <c:pt idx="82">
                  <c:v>817.85626200000002</c:v>
                </c:pt>
                <c:pt idx="83">
                  <c:v>655.01293899999996</c:v>
                </c:pt>
                <c:pt idx="84">
                  <c:v>746.74005099999999</c:v>
                </c:pt>
                <c:pt idx="85">
                  <c:v>758.22143600000004</c:v>
                </c:pt>
                <c:pt idx="86">
                  <c:v>904.96563700000002</c:v>
                </c:pt>
                <c:pt idx="87">
                  <c:v>764.84405500000003</c:v>
                </c:pt>
                <c:pt idx="88">
                  <c:v>794.73345900000004</c:v>
                </c:pt>
                <c:pt idx="89">
                  <c:v>995.26727300000005</c:v>
                </c:pt>
                <c:pt idx="90">
                  <c:v>660.891479</c:v>
                </c:pt>
                <c:pt idx="91">
                  <c:v>628.17627000000005</c:v>
                </c:pt>
                <c:pt idx="92">
                  <c:v>625.83960000000002</c:v>
                </c:pt>
                <c:pt idx="93">
                  <c:v>592.60784899999999</c:v>
                </c:pt>
                <c:pt idx="94">
                  <c:v>713.09594700000002</c:v>
                </c:pt>
                <c:pt idx="95">
                  <c:v>616.376892</c:v>
                </c:pt>
                <c:pt idx="96">
                  <c:v>701.19378700000004</c:v>
                </c:pt>
                <c:pt idx="97">
                  <c:v>607.71612500000003</c:v>
                </c:pt>
                <c:pt idx="98">
                  <c:v>691.98242200000004</c:v>
                </c:pt>
                <c:pt idx="99">
                  <c:v>648.47302200000001</c:v>
                </c:pt>
                <c:pt idx="100">
                  <c:v>640.33776899999998</c:v>
                </c:pt>
                <c:pt idx="101">
                  <c:v>690.06494099999998</c:v>
                </c:pt>
                <c:pt idx="102">
                  <c:v>746.21191399999998</c:v>
                </c:pt>
                <c:pt idx="103">
                  <c:v>699.54205300000001</c:v>
                </c:pt>
                <c:pt idx="104">
                  <c:v>638.43292199999996</c:v>
                </c:pt>
                <c:pt idx="105">
                  <c:v>723.50036599999999</c:v>
                </c:pt>
                <c:pt idx="106">
                  <c:v>692.52770999999996</c:v>
                </c:pt>
                <c:pt idx="107">
                  <c:v>643.17620799999997</c:v>
                </c:pt>
                <c:pt idx="108">
                  <c:v>879.71350099999995</c:v>
                </c:pt>
                <c:pt idx="109">
                  <c:v>717.395264</c:v>
                </c:pt>
                <c:pt idx="110">
                  <c:v>703.06957999999997</c:v>
                </c:pt>
                <c:pt idx="111">
                  <c:v>749.319885</c:v>
                </c:pt>
                <c:pt idx="112">
                  <c:v>973.22717299999999</c:v>
                </c:pt>
                <c:pt idx="113">
                  <c:v>921.17620799999997</c:v>
                </c:pt>
                <c:pt idx="114">
                  <c:v>791.317993</c:v>
                </c:pt>
                <c:pt idx="115">
                  <c:v>935.87652600000001</c:v>
                </c:pt>
                <c:pt idx="116">
                  <c:v>709.62792999999999</c:v>
                </c:pt>
                <c:pt idx="117">
                  <c:v>839.39648399999999</c:v>
                </c:pt>
                <c:pt idx="118">
                  <c:v>843.613831</c:v>
                </c:pt>
                <c:pt idx="119">
                  <c:v>813.68536400000005</c:v>
                </c:pt>
              </c:numCache>
            </c:numRef>
          </c:val>
          <c:smooth val="0"/>
          <c:extLst>
            <c:ext xmlns:c16="http://schemas.microsoft.com/office/drawing/2014/chart" uri="{C3380CC4-5D6E-409C-BE32-E72D297353CC}">
              <c16:uniqueId val="{00000002-4677-4048-9391-A15F1B391841}"/>
            </c:ext>
          </c:extLst>
        </c:ser>
        <c:dLbls>
          <c:showLegendKey val="0"/>
          <c:showVal val="0"/>
          <c:showCatName val="0"/>
          <c:showSerName val="0"/>
          <c:showPercent val="0"/>
          <c:showBubbleSize val="0"/>
        </c:dLbls>
        <c:smooth val="0"/>
        <c:axId val="503728479"/>
        <c:axId val="503719743"/>
      </c:lineChart>
      <c:catAx>
        <c:axId val="5037284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03719743"/>
        <c:crosses val="autoZero"/>
        <c:auto val="1"/>
        <c:lblAlgn val="ctr"/>
        <c:lblOffset val="100"/>
        <c:noMultiLvlLbl val="0"/>
      </c:catAx>
      <c:valAx>
        <c:axId val="503719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03728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Resultados_1!$J$2</c:f>
              <c:strCache>
                <c:ptCount val="1"/>
                <c:pt idx="0">
                  <c:v>CPAEstB</c:v>
                </c:pt>
              </c:strCache>
            </c:strRef>
          </c:tx>
          <c:spPr>
            <a:ln w="28575" cap="rnd">
              <a:solidFill>
                <a:schemeClr val="accent2"/>
              </a:solidFill>
              <a:round/>
            </a:ln>
            <a:effectLst/>
          </c:spPr>
          <c:marker>
            <c:symbol val="none"/>
          </c:marker>
          <c:val>
            <c:numRef>
              <c:f>Resultados_1!$J$3:$J$122</c:f>
              <c:numCache>
                <c:formatCode>General</c:formatCode>
                <c:ptCount val="120"/>
                <c:pt idx="0">
                  <c:v>356.94982900000002</c:v>
                </c:pt>
                <c:pt idx="1">
                  <c:v>400.56689499999999</c:v>
                </c:pt>
                <c:pt idx="2">
                  <c:v>335.153503</c:v>
                </c:pt>
                <c:pt idx="3">
                  <c:v>368.649719</c:v>
                </c:pt>
                <c:pt idx="4">
                  <c:v>318.64178500000003</c:v>
                </c:pt>
                <c:pt idx="5">
                  <c:v>384.309845</c:v>
                </c:pt>
                <c:pt idx="6">
                  <c:v>354.80401599999999</c:v>
                </c:pt>
                <c:pt idx="7">
                  <c:v>413.58767699999999</c:v>
                </c:pt>
                <c:pt idx="8">
                  <c:v>387.96127300000001</c:v>
                </c:pt>
                <c:pt idx="9">
                  <c:v>311.57052599999997</c:v>
                </c:pt>
                <c:pt idx="10">
                  <c:v>463.24887100000001</c:v>
                </c:pt>
                <c:pt idx="11">
                  <c:v>425.74417099999999</c:v>
                </c:pt>
                <c:pt idx="12">
                  <c:v>393.565247</c:v>
                </c:pt>
                <c:pt idx="13">
                  <c:v>447.39724699999999</c:v>
                </c:pt>
                <c:pt idx="14">
                  <c:v>420.77505500000001</c:v>
                </c:pt>
                <c:pt idx="15">
                  <c:v>380.45025600000002</c:v>
                </c:pt>
                <c:pt idx="16">
                  <c:v>400.96005200000002</c:v>
                </c:pt>
                <c:pt idx="17">
                  <c:v>448.69964599999997</c:v>
                </c:pt>
                <c:pt idx="18">
                  <c:v>431.74707000000001</c:v>
                </c:pt>
                <c:pt idx="19">
                  <c:v>421.140533</c:v>
                </c:pt>
                <c:pt idx="20">
                  <c:v>421.97341899999998</c:v>
                </c:pt>
                <c:pt idx="21">
                  <c:v>428.03668199999998</c:v>
                </c:pt>
                <c:pt idx="22">
                  <c:v>492.53753699999999</c:v>
                </c:pt>
                <c:pt idx="23">
                  <c:v>423.43264799999997</c:v>
                </c:pt>
                <c:pt idx="24">
                  <c:v>428.45141599999999</c:v>
                </c:pt>
                <c:pt idx="25">
                  <c:v>535.61114499999996</c:v>
                </c:pt>
                <c:pt idx="26">
                  <c:v>380.51156600000002</c:v>
                </c:pt>
                <c:pt idx="27">
                  <c:v>521.85815400000001</c:v>
                </c:pt>
                <c:pt idx="28">
                  <c:v>445.788544</c:v>
                </c:pt>
                <c:pt idx="29">
                  <c:v>375.28085299999998</c:v>
                </c:pt>
                <c:pt idx="30">
                  <c:v>368.78576700000002</c:v>
                </c:pt>
                <c:pt idx="31">
                  <c:v>397.466522</c:v>
                </c:pt>
                <c:pt idx="32">
                  <c:v>390.376373</c:v>
                </c:pt>
                <c:pt idx="33">
                  <c:v>409.03671300000002</c:v>
                </c:pt>
                <c:pt idx="34">
                  <c:v>389.21209700000003</c:v>
                </c:pt>
                <c:pt idx="35">
                  <c:v>473.73468000000003</c:v>
                </c:pt>
                <c:pt idx="36">
                  <c:v>515.123108</c:v>
                </c:pt>
                <c:pt idx="37">
                  <c:v>423.61642499999999</c:v>
                </c:pt>
                <c:pt idx="38">
                  <c:v>402.05816700000003</c:v>
                </c:pt>
                <c:pt idx="39">
                  <c:v>496.61914100000001</c:v>
                </c:pt>
                <c:pt idx="40">
                  <c:v>420.32147200000003</c:v>
                </c:pt>
                <c:pt idx="41">
                  <c:v>558.20214799999997</c:v>
                </c:pt>
                <c:pt idx="42">
                  <c:v>428.31997699999999</c:v>
                </c:pt>
                <c:pt idx="43">
                  <c:v>599.50665300000003</c:v>
                </c:pt>
                <c:pt idx="44">
                  <c:v>595.14544699999999</c:v>
                </c:pt>
                <c:pt idx="45">
                  <c:v>572.114014</c:v>
                </c:pt>
                <c:pt idx="46">
                  <c:v>519.22289999999998</c:v>
                </c:pt>
                <c:pt idx="47">
                  <c:v>559.64392099999998</c:v>
                </c:pt>
                <c:pt idx="48">
                  <c:v>557.52557400000001</c:v>
                </c:pt>
                <c:pt idx="49">
                  <c:v>420.16146900000001</c:v>
                </c:pt>
                <c:pt idx="50">
                  <c:v>583.28363000000002</c:v>
                </c:pt>
                <c:pt idx="51">
                  <c:v>629.21881099999996</c:v>
                </c:pt>
                <c:pt idx="52">
                  <c:v>542.12377900000001</c:v>
                </c:pt>
                <c:pt idx="53">
                  <c:v>703.61004600000001</c:v>
                </c:pt>
                <c:pt idx="54">
                  <c:v>637.89685099999997</c:v>
                </c:pt>
                <c:pt idx="55">
                  <c:v>529.65496800000005</c:v>
                </c:pt>
                <c:pt idx="56">
                  <c:v>613.71520999999996</c:v>
                </c:pt>
                <c:pt idx="57">
                  <c:v>570.23364300000003</c:v>
                </c:pt>
                <c:pt idx="58">
                  <c:v>629.25567599999999</c:v>
                </c:pt>
                <c:pt idx="59">
                  <c:v>512.65637200000003</c:v>
                </c:pt>
                <c:pt idx="60">
                  <c:v>553.515625</c:v>
                </c:pt>
                <c:pt idx="61">
                  <c:v>458.34362800000002</c:v>
                </c:pt>
                <c:pt idx="62">
                  <c:v>545.328125</c:v>
                </c:pt>
                <c:pt idx="63">
                  <c:v>544.80743399999994</c:v>
                </c:pt>
                <c:pt idx="64">
                  <c:v>446.243652</c:v>
                </c:pt>
                <c:pt idx="65">
                  <c:v>577.97735599999999</c:v>
                </c:pt>
                <c:pt idx="66">
                  <c:v>466.94134500000001</c:v>
                </c:pt>
                <c:pt idx="67">
                  <c:v>541.82678199999998</c:v>
                </c:pt>
                <c:pt idx="68">
                  <c:v>449.11697400000003</c:v>
                </c:pt>
                <c:pt idx="69">
                  <c:v>536.48095699999999</c:v>
                </c:pt>
                <c:pt idx="70">
                  <c:v>579.96484399999997</c:v>
                </c:pt>
                <c:pt idx="71">
                  <c:v>627.69537400000002</c:v>
                </c:pt>
                <c:pt idx="72">
                  <c:v>639.66796899999997</c:v>
                </c:pt>
                <c:pt idx="73">
                  <c:v>547.05249000000003</c:v>
                </c:pt>
                <c:pt idx="74">
                  <c:v>554.59539800000005</c:v>
                </c:pt>
                <c:pt idx="75">
                  <c:v>461.26446499999997</c:v>
                </c:pt>
                <c:pt idx="76">
                  <c:v>703.52337599999998</c:v>
                </c:pt>
                <c:pt idx="77">
                  <c:v>647.74670400000002</c:v>
                </c:pt>
                <c:pt idx="78">
                  <c:v>666.97839399999998</c:v>
                </c:pt>
                <c:pt idx="79">
                  <c:v>655.93591300000003</c:v>
                </c:pt>
                <c:pt idx="80">
                  <c:v>670.11676</c:v>
                </c:pt>
                <c:pt idx="81">
                  <c:v>694.58581500000003</c:v>
                </c:pt>
                <c:pt idx="82">
                  <c:v>640.28515600000003</c:v>
                </c:pt>
                <c:pt idx="83">
                  <c:v>669.84527600000001</c:v>
                </c:pt>
                <c:pt idx="84">
                  <c:v>611.75146500000005</c:v>
                </c:pt>
                <c:pt idx="85">
                  <c:v>617.88653599999998</c:v>
                </c:pt>
                <c:pt idx="86">
                  <c:v>732.42492700000003</c:v>
                </c:pt>
                <c:pt idx="87">
                  <c:v>653.67767300000003</c:v>
                </c:pt>
                <c:pt idx="88">
                  <c:v>653.85784899999999</c:v>
                </c:pt>
                <c:pt idx="89">
                  <c:v>766.16589399999998</c:v>
                </c:pt>
                <c:pt idx="90">
                  <c:v>640.28265399999998</c:v>
                </c:pt>
                <c:pt idx="91">
                  <c:v>606.60955799999999</c:v>
                </c:pt>
                <c:pt idx="92">
                  <c:v>588.62487799999997</c:v>
                </c:pt>
                <c:pt idx="93">
                  <c:v>512.32098399999995</c:v>
                </c:pt>
                <c:pt idx="94">
                  <c:v>519.90783699999997</c:v>
                </c:pt>
                <c:pt idx="95">
                  <c:v>604.13671899999997</c:v>
                </c:pt>
                <c:pt idx="96">
                  <c:v>608.07702600000005</c:v>
                </c:pt>
                <c:pt idx="97">
                  <c:v>556.91619900000001</c:v>
                </c:pt>
                <c:pt idx="98">
                  <c:v>560.67224099999999</c:v>
                </c:pt>
                <c:pt idx="99">
                  <c:v>600.80981399999996</c:v>
                </c:pt>
                <c:pt idx="100">
                  <c:v>616.80480999999997</c:v>
                </c:pt>
                <c:pt idx="101">
                  <c:v>559.15551800000003</c:v>
                </c:pt>
                <c:pt idx="102">
                  <c:v>646.25183100000004</c:v>
                </c:pt>
                <c:pt idx="103">
                  <c:v>652.27722200000005</c:v>
                </c:pt>
                <c:pt idx="104">
                  <c:v>661.85058600000002</c:v>
                </c:pt>
                <c:pt idx="105">
                  <c:v>731.49499500000002</c:v>
                </c:pt>
                <c:pt idx="106">
                  <c:v>700.42407200000002</c:v>
                </c:pt>
                <c:pt idx="107">
                  <c:v>614.99603300000001</c:v>
                </c:pt>
                <c:pt idx="108">
                  <c:v>718.56689500000005</c:v>
                </c:pt>
                <c:pt idx="109">
                  <c:v>749.48809800000004</c:v>
                </c:pt>
                <c:pt idx="110">
                  <c:v>707.502747</c:v>
                </c:pt>
                <c:pt idx="111">
                  <c:v>740.31555200000003</c:v>
                </c:pt>
                <c:pt idx="112">
                  <c:v>722.87670900000001</c:v>
                </c:pt>
                <c:pt idx="113">
                  <c:v>702.74102800000003</c:v>
                </c:pt>
                <c:pt idx="114">
                  <c:v>709.65295400000002</c:v>
                </c:pt>
                <c:pt idx="115">
                  <c:v>680.64819299999999</c:v>
                </c:pt>
                <c:pt idx="116">
                  <c:v>702.84143100000006</c:v>
                </c:pt>
                <c:pt idx="117">
                  <c:v>724.80450399999995</c:v>
                </c:pt>
                <c:pt idx="118">
                  <c:v>717.00689699999998</c:v>
                </c:pt>
                <c:pt idx="119">
                  <c:v>772.81329300000004</c:v>
                </c:pt>
              </c:numCache>
            </c:numRef>
          </c:val>
          <c:smooth val="0"/>
          <c:extLst>
            <c:ext xmlns:c16="http://schemas.microsoft.com/office/drawing/2014/chart" uri="{C3380CC4-5D6E-409C-BE32-E72D297353CC}">
              <c16:uniqueId val="{00000000-CEE4-4F70-AED9-F841C7CA89EC}"/>
            </c:ext>
          </c:extLst>
        </c:ser>
        <c:ser>
          <c:idx val="1"/>
          <c:order val="1"/>
          <c:tx>
            <c:strRef>
              <c:f>Resultados_1!$K$2</c:f>
              <c:strCache>
                <c:ptCount val="1"/>
                <c:pt idx="0">
                  <c:v>CPARankB</c:v>
                </c:pt>
              </c:strCache>
            </c:strRef>
          </c:tx>
          <c:spPr>
            <a:ln w="28575" cap="rnd">
              <a:solidFill>
                <a:schemeClr val="accent4"/>
              </a:solidFill>
              <a:round/>
            </a:ln>
            <a:effectLst/>
          </c:spPr>
          <c:marker>
            <c:symbol val="none"/>
          </c:marker>
          <c:val>
            <c:numRef>
              <c:f>Resultados_1!$K$3:$K$122</c:f>
              <c:numCache>
                <c:formatCode>General</c:formatCode>
                <c:ptCount val="120"/>
                <c:pt idx="0">
                  <c:v>364.59973100000002</c:v>
                </c:pt>
                <c:pt idx="1">
                  <c:v>405.06506300000001</c:v>
                </c:pt>
                <c:pt idx="2">
                  <c:v>337.63259900000003</c:v>
                </c:pt>
                <c:pt idx="3">
                  <c:v>370.94268799999998</c:v>
                </c:pt>
                <c:pt idx="4">
                  <c:v>318.96472199999999</c:v>
                </c:pt>
                <c:pt idx="5">
                  <c:v>384.07998700000002</c:v>
                </c:pt>
                <c:pt idx="6">
                  <c:v>354.81280500000003</c:v>
                </c:pt>
                <c:pt idx="7">
                  <c:v>413.71029700000003</c:v>
                </c:pt>
                <c:pt idx="8">
                  <c:v>395.448486</c:v>
                </c:pt>
                <c:pt idx="9">
                  <c:v>311.57052599999997</c:v>
                </c:pt>
                <c:pt idx="10">
                  <c:v>506.281158</c:v>
                </c:pt>
                <c:pt idx="11">
                  <c:v>435.57107500000001</c:v>
                </c:pt>
                <c:pt idx="12">
                  <c:v>393.565247</c:v>
                </c:pt>
                <c:pt idx="13">
                  <c:v>471.080963</c:v>
                </c:pt>
                <c:pt idx="14">
                  <c:v>428.46099900000002</c:v>
                </c:pt>
                <c:pt idx="15">
                  <c:v>380.45025600000002</c:v>
                </c:pt>
                <c:pt idx="16">
                  <c:v>400.96005200000002</c:v>
                </c:pt>
                <c:pt idx="17">
                  <c:v>467.14679000000001</c:v>
                </c:pt>
                <c:pt idx="18">
                  <c:v>465.89205900000002</c:v>
                </c:pt>
                <c:pt idx="19">
                  <c:v>423.08251999999999</c:v>
                </c:pt>
                <c:pt idx="20">
                  <c:v>424.43267800000001</c:v>
                </c:pt>
                <c:pt idx="21">
                  <c:v>443.869843</c:v>
                </c:pt>
                <c:pt idx="22">
                  <c:v>518.181152</c:v>
                </c:pt>
                <c:pt idx="23">
                  <c:v>430.00228900000002</c:v>
                </c:pt>
                <c:pt idx="24">
                  <c:v>442.56994600000002</c:v>
                </c:pt>
                <c:pt idx="25">
                  <c:v>559.75079300000004</c:v>
                </c:pt>
                <c:pt idx="26">
                  <c:v>380.51156600000002</c:v>
                </c:pt>
                <c:pt idx="27">
                  <c:v>548.44744900000001</c:v>
                </c:pt>
                <c:pt idx="28">
                  <c:v>474.60919200000001</c:v>
                </c:pt>
                <c:pt idx="29">
                  <c:v>375.23397799999998</c:v>
                </c:pt>
                <c:pt idx="30">
                  <c:v>369.545074</c:v>
                </c:pt>
                <c:pt idx="31">
                  <c:v>406.33590700000002</c:v>
                </c:pt>
                <c:pt idx="32">
                  <c:v>389.59921300000002</c:v>
                </c:pt>
                <c:pt idx="33">
                  <c:v>413.60144000000003</c:v>
                </c:pt>
                <c:pt idx="34">
                  <c:v>390.92746</c:v>
                </c:pt>
                <c:pt idx="35">
                  <c:v>478.70352200000002</c:v>
                </c:pt>
                <c:pt idx="36">
                  <c:v>518.72546399999999</c:v>
                </c:pt>
                <c:pt idx="37">
                  <c:v>443.48443600000002</c:v>
                </c:pt>
                <c:pt idx="38">
                  <c:v>408.78964200000001</c:v>
                </c:pt>
                <c:pt idx="39">
                  <c:v>490.313782</c:v>
                </c:pt>
                <c:pt idx="40">
                  <c:v>441.841339</c:v>
                </c:pt>
                <c:pt idx="41">
                  <c:v>559.05523700000003</c:v>
                </c:pt>
                <c:pt idx="42">
                  <c:v>440.73159800000002</c:v>
                </c:pt>
                <c:pt idx="43">
                  <c:v>611.44476299999997</c:v>
                </c:pt>
                <c:pt idx="44">
                  <c:v>593.92486599999995</c:v>
                </c:pt>
                <c:pt idx="45">
                  <c:v>593.38348399999995</c:v>
                </c:pt>
                <c:pt idx="46">
                  <c:v>534.15765399999998</c:v>
                </c:pt>
                <c:pt idx="47">
                  <c:v>572.92175299999997</c:v>
                </c:pt>
                <c:pt idx="48">
                  <c:v>561.89392099999998</c:v>
                </c:pt>
                <c:pt idx="49">
                  <c:v>420.12194799999997</c:v>
                </c:pt>
                <c:pt idx="50">
                  <c:v>581.57067900000004</c:v>
                </c:pt>
                <c:pt idx="51">
                  <c:v>627.42004399999996</c:v>
                </c:pt>
                <c:pt idx="52">
                  <c:v>542.29913299999998</c:v>
                </c:pt>
                <c:pt idx="53">
                  <c:v>715.97485400000005</c:v>
                </c:pt>
                <c:pt idx="54">
                  <c:v>640.44140600000003</c:v>
                </c:pt>
                <c:pt idx="55">
                  <c:v>546.83569299999999</c:v>
                </c:pt>
                <c:pt idx="56">
                  <c:v>628.83703600000001</c:v>
                </c:pt>
                <c:pt idx="57">
                  <c:v>598.39324999999997</c:v>
                </c:pt>
                <c:pt idx="58">
                  <c:v>648.15527299999997</c:v>
                </c:pt>
                <c:pt idx="59">
                  <c:v>560.28118900000004</c:v>
                </c:pt>
                <c:pt idx="60">
                  <c:v>554.870544</c:v>
                </c:pt>
                <c:pt idx="61">
                  <c:v>458.216431</c:v>
                </c:pt>
                <c:pt idx="62">
                  <c:v>574.13793899999996</c:v>
                </c:pt>
                <c:pt idx="63">
                  <c:v>580.28814699999998</c:v>
                </c:pt>
                <c:pt idx="64">
                  <c:v>452.684845</c:v>
                </c:pt>
                <c:pt idx="65">
                  <c:v>580.29516599999999</c:v>
                </c:pt>
                <c:pt idx="66">
                  <c:v>500.38897700000001</c:v>
                </c:pt>
                <c:pt idx="67">
                  <c:v>572.03344700000002</c:v>
                </c:pt>
                <c:pt idx="68">
                  <c:v>473.03066999999999</c:v>
                </c:pt>
                <c:pt idx="69">
                  <c:v>553.47735599999999</c:v>
                </c:pt>
                <c:pt idx="70">
                  <c:v>579.47393799999998</c:v>
                </c:pt>
                <c:pt idx="71">
                  <c:v>633.01062000000002</c:v>
                </c:pt>
                <c:pt idx="72">
                  <c:v>651.52154499999995</c:v>
                </c:pt>
                <c:pt idx="73">
                  <c:v>560.692139</c:v>
                </c:pt>
                <c:pt idx="74">
                  <c:v>589.535706</c:v>
                </c:pt>
                <c:pt idx="75">
                  <c:v>496.98263500000002</c:v>
                </c:pt>
                <c:pt idx="76">
                  <c:v>737.93859899999995</c:v>
                </c:pt>
                <c:pt idx="77">
                  <c:v>657.41082800000004</c:v>
                </c:pt>
                <c:pt idx="78">
                  <c:v>672.21191399999998</c:v>
                </c:pt>
                <c:pt idx="79">
                  <c:v>657.97699</c:v>
                </c:pt>
                <c:pt idx="80">
                  <c:v>677.462219</c:v>
                </c:pt>
                <c:pt idx="81">
                  <c:v>715.91223100000002</c:v>
                </c:pt>
                <c:pt idx="82">
                  <c:v>670.89703399999996</c:v>
                </c:pt>
                <c:pt idx="83">
                  <c:v>663.16900599999997</c:v>
                </c:pt>
                <c:pt idx="84">
                  <c:v>633.10961899999995</c:v>
                </c:pt>
                <c:pt idx="85">
                  <c:v>646.14105199999995</c:v>
                </c:pt>
                <c:pt idx="86">
                  <c:v>770.07708700000001</c:v>
                </c:pt>
                <c:pt idx="87">
                  <c:v>697.40405299999998</c:v>
                </c:pt>
                <c:pt idx="88">
                  <c:v>664.13928199999998</c:v>
                </c:pt>
                <c:pt idx="89">
                  <c:v>788.60095200000001</c:v>
                </c:pt>
                <c:pt idx="90">
                  <c:v>652.45251499999995</c:v>
                </c:pt>
                <c:pt idx="91">
                  <c:v>627.453979</c:v>
                </c:pt>
                <c:pt idx="92">
                  <c:v>580.98089600000003</c:v>
                </c:pt>
                <c:pt idx="93">
                  <c:v>524.94604500000003</c:v>
                </c:pt>
                <c:pt idx="94">
                  <c:v>544.00091599999996</c:v>
                </c:pt>
                <c:pt idx="95">
                  <c:v>604.97094700000002</c:v>
                </c:pt>
                <c:pt idx="96">
                  <c:v>618.34918200000004</c:v>
                </c:pt>
                <c:pt idx="97">
                  <c:v>573.48840299999995</c:v>
                </c:pt>
                <c:pt idx="98">
                  <c:v>592.04644800000005</c:v>
                </c:pt>
                <c:pt idx="99">
                  <c:v>613.18969700000002</c:v>
                </c:pt>
                <c:pt idx="100">
                  <c:v>610.86773700000003</c:v>
                </c:pt>
                <c:pt idx="101">
                  <c:v>557.23156700000004</c:v>
                </c:pt>
                <c:pt idx="102">
                  <c:v>653.78204300000004</c:v>
                </c:pt>
                <c:pt idx="103">
                  <c:v>676.77276600000005</c:v>
                </c:pt>
                <c:pt idx="104">
                  <c:v>674.76000999999997</c:v>
                </c:pt>
                <c:pt idx="105">
                  <c:v>744.38397199999997</c:v>
                </c:pt>
                <c:pt idx="106">
                  <c:v>707.209656</c:v>
                </c:pt>
                <c:pt idx="107">
                  <c:v>619.40826400000003</c:v>
                </c:pt>
                <c:pt idx="108">
                  <c:v>726.48553500000003</c:v>
                </c:pt>
                <c:pt idx="109">
                  <c:v>791.85571300000004</c:v>
                </c:pt>
                <c:pt idx="110">
                  <c:v>742.533142</c:v>
                </c:pt>
                <c:pt idx="111">
                  <c:v>758.24468999999999</c:v>
                </c:pt>
                <c:pt idx="112">
                  <c:v>723.66229199999998</c:v>
                </c:pt>
                <c:pt idx="113">
                  <c:v>707.92303500000003</c:v>
                </c:pt>
                <c:pt idx="114">
                  <c:v>713.05059800000004</c:v>
                </c:pt>
                <c:pt idx="115">
                  <c:v>740.37231399999996</c:v>
                </c:pt>
                <c:pt idx="116">
                  <c:v>740.15563999999995</c:v>
                </c:pt>
                <c:pt idx="117">
                  <c:v>760.11254899999994</c:v>
                </c:pt>
                <c:pt idx="118">
                  <c:v>761.36474599999997</c:v>
                </c:pt>
                <c:pt idx="119">
                  <c:v>792.85205099999996</c:v>
                </c:pt>
              </c:numCache>
            </c:numRef>
          </c:val>
          <c:smooth val="0"/>
          <c:extLst>
            <c:ext xmlns:c16="http://schemas.microsoft.com/office/drawing/2014/chart" uri="{C3380CC4-5D6E-409C-BE32-E72D297353CC}">
              <c16:uniqueId val="{00000001-CEE4-4F70-AED9-F841C7CA89EC}"/>
            </c:ext>
          </c:extLst>
        </c:ser>
        <c:ser>
          <c:idx val="2"/>
          <c:order val="2"/>
          <c:tx>
            <c:strRef>
              <c:f>Resultados_1!$L$2</c:f>
              <c:strCache>
                <c:ptCount val="1"/>
                <c:pt idx="0">
                  <c:v>CPAReactB</c:v>
                </c:pt>
              </c:strCache>
            </c:strRef>
          </c:tx>
          <c:spPr>
            <a:ln w="28575" cap="rnd">
              <a:solidFill>
                <a:schemeClr val="accent6"/>
              </a:solidFill>
              <a:round/>
            </a:ln>
            <a:effectLst/>
          </c:spPr>
          <c:marker>
            <c:symbol val="none"/>
          </c:marker>
          <c:val>
            <c:numRef>
              <c:f>Resultados_1!$L$3:$L$122</c:f>
              <c:numCache>
                <c:formatCode>General</c:formatCode>
                <c:ptCount val="120"/>
                <c:pt idx="0">
                  <c:v>431.67184400000002</c:v>
                </c:pt>
                <c:pt idx="1">
                  <c:v>404.93225100000001</c:v>
                </c:pt>
                <c:pt idx="2">
                  <c:v>338.09899899999999</c:v>
                </c:pt>
                <c:pt idx="3">
                  <c:v>398.96127300000001</c:v>
                </c:pt>
                <c:pt idx="4">
                  <c:v>322.78381300000001</c:v>
                </c:pt>
                <c:pt idx="5">
                  <c:v>385.83401500000002</c:v>
                </c:pt>
                <c:pt idx="6">
                  <c:v>367.10611</c:v>
                </c:pt>
                <c:pt idx="7">
                  <c:v>433.86465500000003</c:v>
                </c:pt>
                <c:pt idx="8">
                  <c:v>397.89511099999999</c:v>
                </c:pt>
                <c:pt idx="9">
                  <c:v>339.77645899999999</c:v>
                </c:pt>
                <c:pt idx="10">
                  <c:v>524.67742899999996</c:v>
                </c:pt>
                <c:pt idx="11">
                  <c:v>435.87612899999999</c:v>
                </c:pt>
                <c:pt idx="12">
                  <c:v>460.62802099999999</c:v>
                </c:pt>
                <c:pt idx="13">
                  <c:v>471.11056500000001</c:v>
                </c:pt>
                <c:pt idx="14">
                  <c:v>457.28793300000001</c:v>
                </c:pt>
                <c:pt idx="15">
                  <c:v>380.45025600000002</c:v>
                </c:pt>
                <c:pt idx="16">
                  <c:v>408.54623400000003</c:v>
                </c:pt>
                <c:pt idx="17">
                  <c:v>548.02740500000004</c:v>
                </c:pt>
                <c:pt idx="18">
                  <c:v>473.81469700000002</c:v>
                </c:pt>
                <c:pt idx="19">
                  <c:v>454.364441</c:v>
                </c:pt>
                <c:pt idx="20">
                  <c:v>485.73327599999999</c:v>
                </c:pt>
                <c:pt idx="21">
                  <c:v>527.52667199999996</c:v>
                </c:pt>
                <c:pt idx="22">
                  <c:v>535.27423099999999</c:v>
                </c:pt>
                <c:pt idx="23">
                  <c:v>455.023346</c:v>
                </c:pt>
                <c:pt idx="24">
                  <c:v>533.95043899999996</c:v>
                </c:pt>
                <c:pt idx="25">
                  <c:v>613.99249299999997</c:v>
                </c:pt>
                <c:pt idx="26">
                  <c:v>380.51156600000002</c:v>
                </c:pt>
                <c:pt idx="27">
                  <c:v>617.44872999999995</c:v>
                </c:pt>
                <c:pt idx="28">
                  <c:v>516.986267</c:v>
                </c:pt>
                <c:pt idx="29">
                  <c:v>381.56494099999998</c:v>
                </c:pt>
                <c:pt idx="30">
                  <c:v>400.44961499999999</c:v>
                </c:pt>
                <c:pt idx="31">
                  <c:v>415.98556500000001</c:v>
                </c:pt>
                <c:pt idx="32">
                  <c:v>397.966858</c:v>
                </c:pt>
                <c:pt idx="33">
                  <c:v>452.305115</c:v>
                </c:pt>
                <c:pt idx="34">
                  <c:v>426.67373700000002</c:v>
                </c:pt>
                <c:pt idx="35">
                  <c:v>481.64892600000002</c:v>
                </c:pt>
                <c:pt idx="36">
                  <c:v>498.71838400000001</c:v>
                </c:pt>
                <c:pt idx="37">
                  <c:v>469.06451399999997</c:v>
                </c:pt>
                <c:pt idx="38">
                  <c:v>410.69042999999999</c:v>
                </c:pt>
                <c:pt idx="39">
                  <c:v>533.48028599999998</c:v>
                </c:pt>
                <c:pt idx="40">
                  <c:v>525.42260699999997</c:v>
                </c:pt>
                <c:pt idx="41">
                  <c:v>643.59765600000003</c:v>
                </c:pt>
                <c:pt idx="42">
                  <c:v>500.13116500000001</c:v>
                </c:pt>
                <c:pt idx="43">
                  <c:v>664.019409</c:v>
                </c:pt>
                <c:pt idx="44">
                  <c:v>688.150757</c:v>
                </c:pt>
                <c:pt idx="45">
                  <c:v>603.65136700000005</c:v>
                </c:pt>
                <c:pt idx="46">
                  <c:v>606.734375</c:v>
                </c:pt>
                <c:pt idx="47">
                  <c:v>621.52050799999995</c:v>
                </c:pt>
                <c:pt idx="48">
                  <c:v>677.26556400000004</c:v>
                </c:pt>
                <c:pt idx="49">
                  <c:v>483.83502199999998</c:v>
                </c:pt>
                <c:pt idx="50">
                  <c:v>621.85406499999999</c:v>
                </c:pt>
                <c:pt idx="51">
                  <c:v>667.867615</c:v>
                </c:pt>
                <c:pt idx="52">
                  <c:v>558.29760699999997</c:v>
                </c:pt>
                <c:pt idx="53">
                  <c:v>700.93688999999995</c:v>
                </c:pt>
                <c:pt idx="54">
                  <c:v>686.01586899999995</c:v>
                </c:pt>
                <c:pt idx="55">
                  <c:v>669.73382600000002</c:v>
                </c:pt>
                <c:pt idx="56">
                  <c:v>727.69164999999998</c:v>
                </c:pt>
                <c:pt idx="57">
                  <c:v>695.71398899999997</c:v>
                </c:pt>
                <c:pt idx="58">
                  <c:v>724.99737500000003</c:v>
                </c:pt>
                <c:pt idx="59">
                  <c:v>578.05206299999998</c:v>
                </c:pt>
                <c:pt idx="60">
                  <c:v>549.27002000000005</c:v>
                </c:pt>
                <c:pt idx="61">
                  <c:v>447.411743</c:v>
                </c:pt>
                <c:pt idx="62">
                  <c:v>626.22241199999996</c:v>
                </c:pt>
                <c:pt idx="63">
                  <c:v>645.60797100000002</c:v>
                </c:pt>
                <c:pt idx="64">
                  <c:v>491.19515999999999</c:v>
                </c:pt>
                <c:pt idx="65">
                  <c:v>623.79595900000004</c:v>
                </c:pt>
                <c:pt idx="66">
                  <c:v>486.22427399999998</c:v>
                </c:pt>
                <c:pt idx="67">
                  <c:v>500.84716800000001</c:v>
                </c:pt>
                <c:pt idx="68">
                  <c:v>596.15325900000005</c:v>
                </c:pt>
                <c:pt idx="69">
                  <c:v>615.50964399999998</c:v>
                </c:pt>
                <c:pt idx="70">
                  <c:v>670.85522500000002</c:v>
                </c:pt>
                <c:pt idx="71">
                  <c:v>738.89019800000005</c:v>
                </c:pt>
                <c:pt idx="72">
                  <c:v>654.149902</c:v>
                </c:pt>
                <c:pt idx="73">
                  <c:v>525.25579800000003</c:v>
                </c:pt>
                <c:pt idx="74">
                  <c:v>561.28344700000002</c:v>
                </c:pt>
                <c:pt idx="75">
                  <c:v>464.07223499999998</c:v>
                </c:pt>
                <c:pt idx="76">
                  <c:v>689.65863000000002</c:v>
                </c:pt>
                <c:pt idx="77">
                  <c:v>680.68121299999996</c:v>
                </c:pt>
                <c:pt idx="78">
                  <c:v>670.20989999999995</c:v>
                </c:pt>
                <c:pt idx="79">
                  <c:v>705.44311500000003</c:v>
                </c:pt>
                <c:pt idx="80">
                  <c:v>798.53973399999995</c:v>
                </c:pt>
                <c:pt idx="81">
                  <c:v>741.64373799999998</c:v>
                </c:pt>
                <c:pt idx="82">
                  <c:v>682.97564699999998</c:v>
                </c:pt>
                <c:pt idx="83">
                  <c:v>817.58148200000005</c:v>
                </c:pt>
                <c:pt idx="84">
                  <c:v>585.84985400000005</c:v>
                </c:pt>
                <c:pt idx="85">
                  <c:v>590.64672900000005</c:v>
                </c:pt>
                <c:pt idx="86">
                  <c:v>713.88592500000004</c:v>
                </c:pt>
                <c:pt idx="87">
                  <c:v>765.93878199999995</c:v>
                </c:pt>
                <c:pt idx="88">
                  <c:v>816.99408000000005</c:v>
                </c:pt>
                <c:pt idx="89">
                  <c:v>988.34179700000004</c:v>
                </c:pt>
                <c:pt idx="90">
                  <c:v>641.78924600000005</c:v>
                </c:pt>
                <c:pt idx="91">
                  <c:v>556.16241500000001</c:v>
                </c:pt>
                <c:pt idx="92">
                  <c:v>679.36816399999998</c:v>
                </c:pt>
                <c:pt idx="93">
                  <c:v>545.64605700000004</c:v>
                </c:pt>
                <c:pt idx="94">
                  <c:v>640.15783699999997</c:v>
                </c:pt>
                <c:pt idx="95">
                  <c:v>659.82250999999997</c:v>
                </c:pt>
                <c:pt idx="96">
                  <c:v>665.25054899999998</c:v>
                </c:pt>
                <c:pt idx="97">
                  <c:v>611.70251499999995</c:v>
                </c:pt>
                <c:pt idx="98">
                  <c:v>673.95770300000004</c:v>
                </c:pt>
                <c:pt idx="99">
                  <c:v>644.86517300000003</c:v>
                </c:pt>
                <c:pt idx="100">
                  <c:v>588.11926300000005</c:v>
                </c:pt>
                <c:pt idx="101">
                  <c:v>565.176514</c:v>
                </c:pt>
                <c:pt idx="102">
                  <c:v>654.50439500000005</c:v>
                </c:pt>
                <c:pt idx="103">
                  <c:v>710.35778800000003</c:v>
                </c:pt>
                <c:pt idx="104">
                  <c:v>715.707764</c:v>
                </c:pt>
                <c:pt idx="105">
                  <c:v>670.303223</c:v>
                </c:pt>
                <c:pt idx="106">
                  <c:v>686.14862100000005</c:v>
                </c:pt>
                <c:pt idx="107">
                  <c:v>715.98004200000003</c:v>
                </c:pt>
                <c:pt idx="108">
                  <c:v>883.990906</c:v>
                </c:pt>
                <c:pt idx="109">
                  <c:v>778.39917000000003</c:v>
                </c:pt>
                <c:pt idx="110">
                  <c:v>785.89434800000004</c:v>
                </c:pt>
                <c:pt idx="111">
                  <c:v>840.60430899999994</c:v>
                </c:pt>
                <c:pt idx="112">
                  <c:v>893.51654099999996</c:v>
                </c:pt>
                <c:pt idx="113">
                  <c:v>644.80865500000004</c:v>
                </c:pt>
                <c:pt idx="114">
                  <c:v>778.02856399999996</c:v>
                </c:pt>
                <c:pt idx="115">
                  <c:v>650.52703899999995</c:v>
                </c:pt>
                <c:pt idx="116">
                  <c:v>882.59808299999997</c:v>
                </c:pt>
                <c:pt idx="117">
                  <c:v>722.833618</c:v>
                </c:pt>
                <c:pt idx="118">
                  <c:v>909.220642</c:v>
                </c:pt>
                <c:pt idx="119">
                  <c:v>999.13311799999997</c:v>
                </c:pt>
              </c:numCache>
            </c:numRef>
          </c:val>
          <c:smooth val="0"/>
          <c:extLst>
            <c:ext xmlns:c16="http://schemas.microsoft.com/office/drawing/2014/chart" uri="{C3380CC4-5D6E-409C-BE32-E72D297353CC}">
              <c16:uniqueId val="{00000002-CEE4-4F70-AED9-F841C7CA89EC}"/>
            </c:ext>
          </c:extLst>
        </c:ser>
        <c:dLbls>
          <c:showLegendKey val="0"/>
          <c:showVal val="0"/>
          <c:showCatName val="0"/>
          <c:showSerName val="0"/>
          <c:showPercent val="0"/>
          <c:showBubbleSize val="0"/>
        </c:dLbls>
        <c:smooth val="0"/>
        <c:axId val="503730975"/>
        <c:axId val="503728895"/>
      </c:lineChart>
      <c:catAx>
        <c:axId val="50373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03728895"/>
        <c:crosses val="autoZero"/>
        <c:auto val="1"/>
        <c:lblAlgn val="ctr"/>
        <c:lblOffset val="100"/>
        <c:noMultiLvlLbl val="0"/>
      </c:catAx>
      <c:valAx>
        <c:axId val="503728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a:t>
                </a:r>
                <a:r>
                  <a:rPr lang="es-MX" baseline="0"/>
                  <a:t> </a:t>
                </a:r>
                <a:r>
                  <a:rPr lang="es-MX"/>
                  <a:t>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03730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Resultados_1!$AP$2</c:f>
              <c:strCache>
                <c:ptCount val="1"/>
                <c:pt idx="0">
                  <c:v>CPAEstA</c:v>
                </c:pt>
              </c:strCache>
            </c:strRef>
          </c:tx>
          <c:spPr>
            <a:ln w="28575" cap="rnd">
              <a:solidFill>
                <a:schemeClr val="accent6"/>
              </a:solidFill>
              <a:round/>
            </a:ln>
            <a:effectLst/>
          </c:spPr>
          <c:marker>
            <c:symbol val="none"/>
          </c:marker>
          <c:val>
            <c:numRef>
              <c:f>Resultados_1!$AP$3:$AP$122</c:f>
              <c:numCache>
                <c:formatCode>General</c:formatCode>
                <c:ptCount val="120"/>
                <c:pt idx="0">
                  <c:v>382.83227499999998</c:v>
                </c:pt>
                <c:pt idx="1">
                  <c:v>414.58303799999999</c:v>
                </c:pt>
                <c:pt idx="2">
                  <c:v>359.89016700000002</c:v>
                </c:pt>
                <c:pt idx="3">
                  <c:v>386.27529900000002</c:v>
                </c:pt>
                <c:pt idx="4">
                  <c:v>341.47854599999999</c:v>
                </c:pt>
                <c:pt idx="5">
                  <c:v>400.13763399999999</c:v>
                </c:pt>
                <c:pt idx="6">
                  <c:v>380.04760700000003</c:v>
                </c:pt>
                <c:pt idx="7">
                  <c:v>428.24426299999999</c:v>
                </c:pt>
                <c:pt idx="8">
                  <c:v>411.07409699999999</c:v>
                </c:pt>
                <c:pt idx="9">
                  <c:v>338.95556599999998</c:v>
                </c:pt>
                <c:pt idx="10">
                  <c:v>485.22625699999998</c:v>
                </c:pt>
                <c:pt idx="11">
                  <c:v>448.001282</c:v>
                </c:pt>
                <c:pt idx="12">
                  <c:v>402.28042599999998</c:v>
                </c:pt>
                <c:pt idx="13">
                  <c:v>474.96545400000002</c:v>
                </c:pt>
                <c:pt idx="14">
                  <c:v>434.000427</c:v>
                </c:pt>
                <c:pt idx="15">
                  <c:v>399.08822600000002</c:v>
                </c:pt>
                <c:pt idx="16">
                  <c:v>412.92742900000002</c:v>
                </c:pt>
                <c:pt idx="17">
                  <c:v>478.829407</c:v>
                </c:pt>
                <c:pt idx="18">
                  <c:v>448.97653200000002</c:v>
                </c:pt>
                <c:pt idx="19">
                  <c:v>425.08618200000001</c:v>
                </c:pt>
                <c:pt idx="20">
                  <c:v>424.86154199999999</c:v>
                </c:pt>
                <c:pt idx="21">
                  <c:v>434.88913000000002</c:v>
                </c:pt>
                <c:pt idx="22">
                  <c:v>513.51470900000004</c:v>
                </c:pt>
                <c:pt idx="23">
                  <c:v>426.96203600000001</c:v>
                </c:pt>
                <c:pt idx="24">
                  <c:v>440.15103099999999</c:v>
                </c:pt>
                <c:pt idx="25">
                  <c:v>564.98687700000005</c:v>
                </c:pt>
                <c:pt idx="26">
                  <c:v>389.51574699999998</c:v>
                </c:pt>
                <c:pt idx="27">
                  <c:v>548.00329599999998</c:v>
                </c:pt>
                <c:pt idx="28">
                  <c:v>475.90417500000001</c:v>
                </c:pt>
                <c:pt idx="29">
                  <c:v>394.50817899999998</c:v>
                </c:pt>
                <c:pt idx="30">
                  <c:v>401.67568999999997</c:v>
                </c:pt>
                <c:pt idx="31">
                  <c:v>434.25775099999998</c:v>
                </c:pt>
                <c:pt idx="32">
                  <c:v>426.38287400000002</c:v>
                </c:pt>
                <c:pt idx="33">
                  <c:v>451.28558299999997</c:v>
                </c:pt>
                <c:pt idx="34">
                  <c:v>417.13317899999998</c:v>
                </c:pt>
                <c:pt idx="35">
                  <c:v>523.14532499999996</c:v>
                </c:pt>
                <c:pt idx="36">
                  <c:v>572.10864300000003</c:v>
                </c:pt>
                <c:pt idx="37">
                  <c:v>486.26937900000001</c:v>
                </c:pt>
                <c:pt idx="38">
                  <c:v>433.58477800000003</c:v>
                </c:pt>
                <c:pt idx="39">
                  <c:v>560.24304199999995</c:v>
                </c:pt>
                <c:pt idx="40">
                  <c:v>441.745544</c:v>
                </c:pt>
                <c:pt idx="41">
                  <c:v>585.30450399999995</c:v>
                </c:pt>
                <c:pt idx="42">
                  <c:v>455.38677999999999</c:v>
                </c:pt>
                <c:pt idx="43">
                  <c:v>602.13256799999999</c:v>
                </c:pt>
                <c:pt idx="44">
                  <c:v>599.83892800000001</c:v>
                </c:pt>
                <c:pt idx="45">
                  <c:v>580.26434300000005</c:v>
                </c:pt>
                <c:pt idx="46">
                  <c:v>535.00170900000001</c:v>
                </c:pt>
                <c:pt idx="47">
                  <c:v>601.55273399999999</c:v>
                </c:pt>
                <c:pt idx="48">
                  <c:v>575.77954099999999</c:v>
                </c:pt>
                <c:pt idx="49">
                  <c:v>467.391479</c:v>
                </c:pt>
                <c:pt idx="50">
                  <c:v>589.70929000000001</c:v>
                </c:pt>
                <c:pt idx="51">
                  <c:v>648.70770300000004</c:v>
                </c:pt>
                <c:pt idx="52">
                  <c:v>563.38079800000003</c:v>
                </c:pt>
                <c:pt idx="53">
                  <c:v>706.35607900000002</c:v>
                </c:pt>
                <c:pt idx="54">
                  <c:v>646.662781</c:v>
                </c:pt>
                <c:pt idx="55">
                  <c:v>549.49816899999996</c:v>
                </c:pt>
                <c:pt idx="56">
                  <c:v>627.19055200000003</c:v>
                </c:pt>
                <c:pt idx="57">
                  <c:v>595.46801800000003</c:v>
                </c:pt>
                <c:pt idx="58">
                  <c:v>636.48242200000004</c:v>
                </c:pt>
                <c:pt idx="59">
                  <c:v>559.28137200000003</c:v>
                </c:pt>
                <c:pt idx="60">
                  <c:v>600.08557099999996</c:v>
                </c:pt>
                <c:pt idx="61">
                  <c:v>544.890625</c:v>
                </c:pt>
                <c:pt idx="62">
                  <c:v>603.32708700000001</c:v>
                </c:pt>
                <c:pt idx="63">
                  <c:v>599.78900099999998</c:v>
                </c:pt>
                <c:pt idx="64">
                  <c:v>519.76959199999999</c:v>
                </c:pt>
                <c:pt idx="65">
                  <c:v>610.307007</c:v>
                </c:pt>
                <c:pt idx="66">
                  <c:v>543.838257</c:v>
                </c:pt>
                <c:pt idx="67">
                  <c:v>599.996216</c:v>
                </c:pt>
                <c:pt idx="68">
                  <c:v>536.33410600000002</c:v>
                </c:pt>
                <c:pt idx="69">
                  <c:v>582.50158699999997</c:v>
                </c:pt>
                <c:pt idx="70">
                  <c:v>573.82934599999999</c:v>
                </c:pt>
                <c:pt idx="71">
                  <c:v>651.55474900000002</c:v>
                </c:pt>
                <c:pt idx="72">
                  <c:v>641.40112299999998</c:v>
                </c:pt>
                <c:pt idx="73">
                  <c:v>592.14892599999996</c:v>
                </c:pt>
                <c:pt idx="74">
                  <c:v>602.11248799999998</c:v>
                </c:pt>
                <c:pt idx="75">
                  <c:v>549.76715100000001</c:v>
                </c:pt>
                <c:pt idx="76">
                  <c:v>724.91589399999998</c:v>
                </c:pt>
                <c:pt idx="77">
                  <c:v>664.11364700000001</c:v>
                </c:pt>
                <c:pt idx="78">
                  <c:v>701.655396</c:v>
                </c:pt>
                <c:pt idx="79">
                  <c:v>678.54125999999997</c:v>
                </c:pt>
                <c:pt idx="80">
                  <c:v>686.09057600000006</c:v>
                </c:pt>
                <c:pt idx="81">
                  <c:v>707.24566700000003</c:v>
                </c:pt>
                <c:pt idx="82">
                  <c:v>674.61303699999996</c:v>
                </c:pt>
                <c:pt idx="83">
                  <c:v>673.78869599999996</c:v>
                </c:pt>
                <c:pt idx="84">
                  <c:v>625.35784899999999</c:v>
                </c:pt>
                <c:pt idx="85">
                  <c:v>649.77593999999999</c:v>
                </c:pt>
                <c:pt idx="86">
                  <c:v>745.99169900000004</c:v>
                </c:pt>
                <c:pt idx="87">
                  <c:v>676.25616500000001</c:v>
                </c:pt>
                <c:pt idx="88">
                  <c:v>662.42627000000005</c:v>
                </c:pt>
                <c:pt idx="89">
                  <c:v>754.32055700000001</c:v>
                </c:pt>
                <c:pt idx="90">
                  <c:v>665.81909199999996</c:v>
                </c:pt>
                <c:pt idx="91">
                  <c:v>640.26318400000002</c:v>
                </c:pt>
                <c:pt idx="92">
                  <c:v>621.59417699999995</c:v>
                </c:pt>
                <c:pt idx="93">
                  <c:v>584.62457300000005</c:v>
                </c:pt>
                <c:pt idx="94">
                  <c:v>581.249146</c:v>
                </c:pt>
                <c:pt idx="95">
                  <c:v>623.68798800000002</c:v>
                </c:pt>
                <c:pt idx="96">
                  <c:v>650.65106200000002</c:v>
                </c:pt>
                <c:pt idx="97">
                  <c:v>618.52227800000003</c:v>
                </c:pt>
                <c:pt idx="98">
                  <c:v>601.227844</c:v>
                </c:pt>
                <c:pt idx="99">
                  <c:v>632.23492399999998</c:v>
                </c:pt>
                <c:pt idx="100">
                  <c:v>648.76824999999997</c:v>
                </c:pt>
                <c:pt idx="101">
                  <c:v>601.20922900000005</c:v>
                </c:pt>
                <c:pt idx="102">
                  <c:v>650.98706100000004</c:v>
                </c:pt>
                <c:pt idx="103">
                  <c:v>675.104919</c:v>
                </c:pt>
                <c:pt idx="104">
                  <c:v>685.50866699999995</c:v>
                </c:pt>
                <c:pt idx="105">
                  <c:v>708.69818099999998</c:v>
                </c:pt>
                <c:pt idx="106">
                  <c:v>734.53149399999995</c:v>
                </c:pt>
                <c:pt idx="107">
                  <c:v>626.37707499999999</c:v>
                </c:pt>
                <c:pt idx="108">
                  <c:v>723.94006300000001</c:v>
                </c:pt>
                <c:pt idx="109">
                  <c:v>777.87933299999997</c:v>
                </c:pt>
                <c:pt idx="110">
                  <c:v>698.61218299999996</c:v>
                </c:pt>
                <c:pt idx="111">
                  <c:v>745.65997300000004</c:v>
                </c:pt>
                <c:pt idx="112">
                  <c:v>735.08056599999998</c:v>
                </c:pt>
                <c:pt idx="113">
                  <c:v>681.07525599999997</c:v>
                </c:pt>
                <c:pt idx="114">
                  <c:v>694.27105700000004</c:v>
                </c:pt>
                <c:pt idx="115">
                  <c:v>717.97674600000005</c:v>
                </c:pt>
                <c:pt idx="116">
                  <c:v>690.23468000000003</c:v>
                </c:pt>
                <c:pt idx="117">
                  <c:v>755.01165800000001</c:v>
                </c:pt>
                <c:pt idx="118">
                  <c:v>752.99292000000003</c:v>
                </c:pt>
                <c:pt idx="119">
                  <c:v>765.98925799999995</c:v>
                </c:pt>
              </c:numCache>
            </c:numRef>
          </c:val>
          <c:smooth val="0"/>
          <c:extLst>
            <c:ext xmlns:c16="http://schemas.microsoft.com/office/drawing/2014/chart" uri="{C3380CC4-5D6E-409C-BE32-E72D297353CC}">
              <c16:uniqueId val="{00000000-63C1-4359-AA6C-41C50EAA6A75}"/>
            </c:ext>
          </c:extLst>
        </c:ser>
        <c:ser>
          <c:idx val="1"/>
          <c:order val="1"/>
          <c:tx>
            <c:strRef>
              <c:f>Resultados_1!$AQ$2</c:f>
              <c:strCache>
                <c:ptCount val="1"/>
                <c:pt idx="0">
                  <c:v>GRandA</c:v>
                </c:pt>
              </c:strCache>
            </c:strRef>
          </c:tx>
          <c:spPr>
            <a:ln w="28575" cap="rnd">
              <a:solidFill>
                <a:schemeClr val="accent5"/>
              </a:solidFill>
              <a:round/>
            </a:ln>
            <a:effectLst/>
          </c:spPr>
          <c:marker>
            <c:symbol val="none"/>
          </c:marker>
          <c:val>
            <c:numRef>
              <c:f>Resultados_1!$AQ$3:$AQ$122</c:f>
              <c:numCache>
                <c:formatCode>General</c:formatCode>
                <c:ptCount val="120"/>
                <c:pt idx="0">
                  <c:v>469.01501500000001</c:v>
                </c:pt>
                <c:pt idx="1">
                  <c:v>420.17394999999999</c:v>
                </c:pt>
                <c:pt idx="2">
                  <c:v>380.14367700000003</c:v>
                </c:pt>
                <c:pt idx="3">
                  <c:v>402.66372699999999</c:v>
                </c:pt>
                <c:pt idx="4">
                  <c:v>352.53537</c:v>
                </c:pt>
                <c:pt idx="5">
                  <c:v>406.91073599999999</c:v>
                </c:pt>
                <c:pt idx="6">
                  <c:v>395.028076</c:v>
                </c:pt>
                <c:pt idx="7">
                  <c:v>455.05792200000002</c:v>
                </c:pt>
                <c:pt idx="8">
                  <c:v>411.375427</c:v>
                </c:pt>
                <c:pt idx="9">
                  <c:v>362.07800300000002</c:v>
                </c:pt>
                <c:pt idx="10">
                  <c:v>521.64813200000003</c:v>
                </c:pt>
                <c:pt idx="11">
                  <c:v>477.65963699999998</c:v>
                </c:pt>
                <c:pt idx="12">
                  <c:v>409.90408300000001</c:v>
                </c:pt>
                <c:pt idx="13">
                  <c:v>512.99560499999995</c:v>
                </c:pt>
                <c:pt idx="14">
                  <c:v>453.80145299999998</c:v>
                </c:pt>
                <c:pt idx="15">
                  <c:v>402.50338699999998</c:v>
                </c:pt>
                <c:pt idx="16">
                  <c:v>446.789581</c:v>
                </c:pt>
                <c:pt idx="17">
                  <c:v>504.01199300000002</c:v>
                </c:pt>
                <c:pt idx="18">
                  <c:v>487.48046900000003</c:v>
                </c:pt>
                <c:pt idx="19">
                  <c:v>445.73538200000002</c:v>
                </c:pt>
                <c:pt idx="20">
                  <c:v>432.96380599999998</c:v>
                </c:pt>
                <c:pt idx="21">
                  <c:v>655.05004899999994</c:v>
                </c:pt>
                <c:pt idx="22">
                  <c:v>551.75860599999999</c:v>
                </c:pt>
                <c:pt idx="23">
                  <c:v>478.36517300000003</c:v>
                </c:pt>
                <c:pt idx="24">
                  <c:v>475.953217</c:v>
                </c:pt>
                <c:pt idx="25">
                  <c:v>575.55285600000002</c:v>
                </c:pt>
                <c:pt idx="26">
                  <c:v>394.30676299999999</c:v>
                </c:pt>
                <c:pt idx="27">
                  <c:v>555.71179199999995</c:v>
                </c:pt>
                <c:pt idx="28">
                  <c:v>517.95202600000005</c:v>
                </c:pt>
                <c:pt idx="29">
                  <c:v>423.49652099999997</c:v>
                </c:pt>
                <c:pt idx="30">
                  <c:v>429.75</c:v>
                </c:pt>
                <c:pt idx="31">
                  <c:v>455.23260499999998</c:v>
                </c:pt>
                <c:pt idx="32">
                  <c:v>419.719269</c:v>
                </c:pt>
                <c:pt idx="33">
                  <c:v>439.06982399999998</c:v>
                </c:pt>
                <c:pt idx="34">
                  <c:v>473.91619900000001</c:v>
                </c:pt>
                <c:pt idx="35">
                  <c:v>565.88653599999998</c:v>
                </c:pt>
                <c:pt idx="36">
                  <c:v>583.96917699999995</c:v>
                </c:pt>
                <c:pt idx="37">
                  <c:v>469.40347300000002</c:v>
                </c:pt>
                <c:pt idx="38">
                  <c:v>428.68609600000002</c:v>
                </c:pt>
                <c:pt idx="39">
                  <c:v>582.01855499999999</c:v>
                </c:pt>
                <c:pt idx="40">
                  <c:v>538.30267300000003</c:v>
                </c:pt>
                <c:pt idx="41">
                  <c:v>598.78753700000004</c:v>
                </c:pt>
                <c:pt idx="42">
                  <c:v>472.107147</c:v>
                </c:pt>
                <c:pt idx="43">
                  <c:v>658.25769000000003</c:v>
                </c:pt>
                <c:pt idx="44">
                  <c:v>590.34387200000003</c:v>
                </c:pt>
                <c:pt idx="45">
                  <c:v>631.99340800000004</c:v>
                </c:pt>
                <c:pt idx="46">
                  <c:v>617.23577899999998</c:v>
                </c:pt>
                <c:pt idx="47">
                  <c:v>631.07501200000002</c:v>
                </c:pt>
                <c:pt idx="48">
                  <c:v>671.42382799999996</c:v>
                </c:pt>
                <c:pt idx="49">
                  <c:v>544.87847899999997</c:v>
                </c:pt>
                <c:pt idx="50">
                  <c:v>611.11749299999997</c:v>
                </c:pt>
                <c:pt idx="51">
                  <c:v>635.63604699999996</c:v>
                </c:pt>
                <c:pt idx="52">
                  <c:v>651.70654300000001</c:v>
                </c:pt>
                <c:pt idx="53">
                  <c:v>763.04797399999995</c:v>
                </c:pt>
                <c:pt idx="54">
                  <c:v>685.38214100000005</c:v>
                </c:pt>
                <c:pt idx="55">
                  <c:v>543.99487299999998</c:v>
                </c:pt>
                <c:pt idx="56">
                  <c:v>612.19592299999999</c:v>
                </c:pt>
                <c:pt idx="57">
                  <c:v>625.72131300000001</c:v>
                </c:pt>
                <c:pt idx="58">
                  <c:v>713.40441899999996</c:v>
                </c:pt>
                <c:pt idx="59">
                  <c:v>534.81494099999998</c:v>
                </c:pt>
                <c:pt idx="60">
                  <c:v>588.62658699999997</c:v>
                </c:pt>
                <c:pt idx="61">
                  <c:v>516.95764199999996</c:v>
                </c:pt>
                <c:pt idx="62">
                  <c:v>655.64483600000005</c:v>
                </c:pt>
                <c:pt idx="63">
                  <c:v>651.22076400000003</c:v>
                </c:pt>
                <c:pt idx="64">
                  <c:v>555.95752000000005</c:v>
                </c:pt>
                <c:pt idx="65">
                  <c:v>602.59863299999995</c:v>
                </c:pt>
                <c:pt idx="66">
                  <c:v>595.64794900000004</c:v>
                </c:pt>
                <c:pt idx="67">
                  <c:v>575.23004200000003</c:v>
                </c:pt>
                <c:pt idx="68">
                  <c:v>519.41235400000005</c:v>
                </c:pt>
                <c:pt idx="69">
                  <c:v>606.68292199999996</c:v>
                </c:pt>
                <c:pt idx="70">
                  <c:v>636.87469499999997</c:v>
                </c:pt>
                <c:pt idx="71">
                  <c:v>643.61852999999996</c:v>
                </c:pt>
                <c:pt idx="72">
                  <c:v>730.84094200000004</c:v>
                </c:pt>
                <c:pt idx="73">
                  <c:v>571.63171399999999</c:v>
                </c:pt>
                <c:pt idx="74">
                  <c:v>651.89312700000005</c:v>
                </c:pt>
                <c:pt idx="75">
                  <c:v>619.65502900000001</c:v>
                </c:pt>
                <c:pt idx="76">
                  <c:v>808.23925799999995</c:v>
                </c:pt>
                <c:pt idx="77">
                  <c:v>748.36627199999998</c:v>
                </c:pt>
                <c:pt idx="78">
                  <c:v>724.16778599999998</c:v>
                </c:pt>
                <c:pt idx="79">
                  <c:v>667.18530299999998</c:v>
                </c:pt>
                <c:pt idx="80">
                  <c:v>676.13897699999995</c:v>
                </c:pt>
                <c:pt idx="81">
                  <c:v>746.24279799999999</c:v>
                </c:pt>
                <c:pt idx="82">
                  <c:v>641.173767</c:v>
                </c:pt>
                <c:pt idx="83">
                  <c:v>661.00006099999996</c:v>
                </c:pt>
                <c:pt idx="84">
                  <c:v>616.96820100000002</c:v>
                </c:pt>
                <c:pt idx="85">
                  <c:v>638.11151099999995</c:v>
                </c:pt>
                <c:pt idx="86">
                  <c:v>934.98321499999997</c:v>
                </c:pt>
                <c:pt idx="87">
                  <c:v>649.10571300000004</c:v>
                </c:pt>
                <c:pt idx="88">
                  <c:v>688.01269500000001</c:v>
                </c:pt>
                <c:pt idx="89">
                  <c:v>919.11242700000003</c:v>
                </c:pt>
                <c:pt idx="90">
                  <c:v>660.891479</c:v>
                </c:pt>
                <c:pt idx="91">
                  <c:v>619.48065199999996</c:v>
                </c:pt>
                <c:pt idx="92">
                  <c:v>694.13232400000004</c:v>
                </c:pt>
                <c:pt idx="93">
                  <c:v>638.23016399999995</c:v>
                </c:pt>
                <c:pt idx="94">
                  <c:v>631.37060499999995</c:v>
                </c:pt>
                <c:pt idx="95">
                  <c:v>637.42578100000003</c:v>
                </c:pt>
                <c:pt idx="96">
                  <c:v>643.40191700000003</c:v>
                </c:pt>
                <c:pt idx="97">
                  <c:v>684.53753700000004</c:v>
                </c:pt>
                <c:pt idx="98">
                  <c:v>672.24133300000005</c:v>
                </c:pt>
                <c:pt idx="99">
                  <c:v>681.98242200000004</c:v>
                </c:pt>
                <c:pt idx="100">
                  <c:v>671.75061000000005</c:v>
                </c:pt>
                <c:pt idx="101">
                  <c:v>693.50244099999998</c:v>
                </c:pt>
                <c:pt idx="102">
                  <c:v>693.60595699999999</c:v>
                </c:pt>
                <c:pt idx="103">
                  <c:v>778.41644299999996</c:v>
                </c:pt>
                <c:pt idx="104">
                  <c:v>774.47357199999999</c:v>
                </c:pt>
                <c:pt idx="105">
                  <c:v>711.44262700000002</c:v>
                </c:pt>
                <c:pt idx="106">
                  <c:v>813.26965299999995</c:v>
                </c:pt>
                <c:pt idx="107">
                  <c:v>660.22869900000001</c:v>
                </c:pt>
                <c:pt idx="108">
                  <c:v>701.08581500000003</c:v>
                </c:pt>
                <c:pt idx="109">
                  <c:v>873.71539299999995</c:v>
                </c:pt>
                <c:pt idx="110">
                  <c:v>912.96154799999999</c:v>
                </c:pt>
                <c:pt idx="111">
                  <c:v>677.78747599999997</c:v>
                </c:pt>
                <c:pt idx="112">
                  <c:v>899.537598</c:v>
                </c:pt>
                <c:pt idx="113">
                  <c:v>878.22216800000001</c:v>
                </c:pt>
                <c:pt idx="114">
                  <c:v>907.040344</c:v>
                </c:pt>
                <c:pt idx="115">
                  <c:v>668.09307899999999</c:v>
                </c:pt>
                <c:pt idx="116">
                  <c:v>757.45703100000003</c:v>
                </c:pt>
                <c:pt idx="117">
                  <c:v>744.48388699999998</c:v>
                </c:pt>
                <c:pt idx="118">
                  <c:v>911.67297399999995</c:v>
                </c:pt>
                <c:pt idx="119">
                  <c:v>869.89923099999999</c:v>
                </c:pt>
              </c:numCache>
            </c:numRef>
          </c:val>
          <c:smooth val="0"/>
          <c:extLst>
            <c:ext xmlns:c16="http://schemas.microsoft.com/office/drawing/2014/chart" uri="{C3380CC4-5D6E-409C-BE32-E72D297353CC}">
              <c16:uniqueId val="{00000001-63C1-4359-AA6C-41C50EAA6A75}"/>
            </c:ext>
          </c:extLst>
        </c:ser>
        <c:dLbls>
          <c:showLegendKey val="0"/>
          <c:showVal val="0"/>
          <c:showCatName val="0"/>
          <c:showSerName val="0"/>
          <c:showPercent val="0"/>
          <c:showBubbleSize val="0"/>
        </c:dLbls>
        <c:smooth val="0"/>
        <c:axId val="145700927"/>
        <c:axId val="145693439"/>
      </c:lineChart>
      <c:catAx>
        <c:axId val="145700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45693439"/>
        <c:crosses val="autoZero"/>
        <c:auto val="1"/>
        <c:lblAlgn val="ctr"/>
        <c:lblOffset val="100"/>
        <c:noMultiLvlLbl val="0"/>
      </c:catAx>
      <c:valAx>
        <c:axId val="1456934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45700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Resultados_1!$AU$2</c:f>
              <c:strCache>
                <c:ptCount val="1"/>
                <c:pt idx="0">
                  <c:v>CPAEstB</c:v>
                </c:pt>
              </c:strCache>
            </c:strRef>
          </c:tx>
          <c:spPr>
            <a:ln w="28575" cap="rnd">
              <a:solidFill>
                <a:schemeClr val="accent6"/>
              </a:solidFill>
              <a:round/>
            </a:ln>
            <a:effectLst/>
          </c:spPr>
          <c:marker>
            <c:symbol val="none"/>
          </c:marker>
          <c:val>
            <c:numRef>
              <c:f>Resultados_1!$AU$3:$AU$122</c:f>
              <c:numCache>
                <c:formatCode>General</c:formatCode>
                <c:ptCount val="120"/>
                <c:pt idx="0">
                  <c:v>356.94982900000002</c:v>
                </c:pt>
                <c:pt idx="1">
                  <c:v>400.56689499999999</c:v>
                </c:pt>
                <c:pt idx="2">
                  <c:v>335.153503</c:v>
                </c:pt>
                <c:pt idx="3">
                  <c:v>368.649719</c:v>
                </c:pt>
                <c:pt idx="4">
                  <c:v>318.64178500000003</c:v>
                </c:pt>
                <c:pt idx="5">
                  <c:v>384.309845</c:v>
                </c:pt>
                <c:pt idx="6">
                  <c:v>354.80401599999999</c:v>
                </c:pt>
                <c:pt idx="7">
                  <c:v>413.58767699999999</c:v>
                </c:pt>
                <c:pt idx="8">
                  <c:v>387.96127300000001</c:v>
                </c:pt>
                <c:pt idx="9">
                  <c:v>311.57052599999997</c:v>
                </c:pt>
                <c:pt idx="10">
                  <c:v>463.24887100000001</c:v>
                </c:pt>
                <c:pt idx="11">
                  <c:v>425.74417099999999</c:v>
                </c:pt>
                <c:pt idx="12">
                  <c:v>393.565247</c:v>
                </c:pt>
                <c:pt idx="13">
                  <c:v>447.39724699999999</c:v>
                </c:pt>
                <c:pt idx="14">
                  <c:v>420.77505500000001</c:v>
                </c:pt>
                <c:pt idx="15">
                  <c:v>380.45025600000002</c:v>
                </c:pt>
                <c:pt idx="16">
                  <c:v>400.96005200000002</c:v>
                </c:pt>
                <c:pt idx="17">
                  <c:v>448.69964599999997</c:v>
                </c:pt>
                <c:pt idx="18">
                  <c:v>431.74707000000001</c:v>
                </c:pt>
                <c:pt idx="19">
                  <c:v>421.140533</c:v>
                </c:pt>
                <c:pt idx="20">
                  <c:v>421.97341899999998</c:v>
                </c:pt>
                <c:pt idx="21">
                  <c:v>428.03668199999998</c:v>
                </c:pt>
                <c:pt idx="22">
                  <c:v>492.53753699999999</c:v>
                </c:pt>
                <c:pt idx="23">
                  <c:v>423.43264799999997</c:v>
                </c:pt>
                <c:pt idx="24">
                  <c:v>428.45141599999999</c:v>
                </c:pt>
                <c:pt idx="25">
                  <c:v>535.61114499999996</c:v>
                </c:pt>
                <c:pt idx="26">
                  <c:v>380.51156600000002</c:v>
                </c:pt>
                <c:pt idx="27">
                  <c:v>521.85815400000001</c:v>
                </c:pt>
                <c:pt idx="28">
                  <c:v>445.788544</c:v>
                </c:pt>
                <c:pt idx="29">
                  <c:v>375.28085299999998</c:v>
                </c:pt>
                <c:pt idx="30">
                  <c:v>368.78576700000002</c:v>
                </c:pt>
                <c:pt idx="31">
                  <c:v>397.466522</c:v>
                </c:pt>
                <c:pt idx="32">
                  <c:v>390.376373</c:v>
                </c:pt>
                <c:pt idx="33">
                  <c:v>409.03671300000002</c:v>
                </c:pt>
                <c:pt idx="34">
                  <c:v>389.21209700000003</c:v>
                </c:pt>
                <c:pt idx="35">
                  <c:v>473.73468000000003</c:v>
                </c:pt>
                <c:pt idx="36">
                  <c:v>515.123108</c:v>
                </c:pt>
                <c:pt idx="37">
                  <c:v>423.61642499999999</c:v>
                </c:pt>
                <c:pt idx="38">
                  <c:v>402.05816700000003</c:v>
                </c:pt>
                <c:pt idx="39">
                  <c:v>496.61914100000001</c:v>
                </c:pt>
                <c:pt idx="40">
                  <c:v>420.32147200000003</c:v>
                </c:pt>
                <c:pt idx="41">
                  <c:v>558.20214799999997</c:v>
                </c:pt>
                <c:pt idx="42">
                  <c:v>428.31997699999999</c:v>
                </c:pt>
                <c:pt idx="43">
                  <c:v>599.50665300000003</c:v>
                </c:pt>
                <c:pt idx="44">
                  <c:v>595.14544699999999</c:v>
                </c:pt>
                <c:pt idx="45">
                  <c:v>572.114014</c:v>
                </c:pt>
                <c:pt idx="46">
                  <c:v>519.22289999999998</c:v>
                </c:pt>
                <c:pt idx="47">
                  <c:v>559.64392099999998</c:v>
                </c:pt>
                <c:pt idx="48">
                  <c:v>557.52557400000001</c:v>
                </c:pt>
                <c:pt idx="49">
                  <c:v>420.16146900000001</c:v>
                </c:pt>
                <c:pt idx="50">
                  <c:v>583.28363000000002</c:v>
                </c:pt>
                <c:pt idx="51">
                  <c:v>629.21881099999996</c:v>
                </c:pt>
                <c:pt idx="52">
                  <c:v>542.12377900000001</c:v>
                </c:pt>
                <c:pt idx="53">
                  <c:v>703.61004600000001</c:v>
                </c:pt>
                <c:pt idx="54">
                  <c:v>637.89685099999997</c:v>
                </c:pt>
                <c:pt idx="55">
                  <c:v>529.65496800000005</c:v>
                </c:pt>
                <c:pt idx="56">
                  <c:v>613.71520999999996</c:v>
                </c:pt>
                <c:pt idx="57">
                  <c:v>570.23364300000003</c:v>
                </c:pt>
                <c:pt idx="58">
                  <c:v>629.25567599999999</c:v>
                </c:pt>
                <c:pt idx="59">
                  <c:v>512.65637200000003</c:v>
                </c:pt>
                <c:pt idx="60">
                  <c:v>553.515625</c:v>
                </c:pt>
                <c:pt idx="61">
                  <c:v>458.34362800000002</c:v>
                </c:pt>
                <c:pt idx="62">
                  <c:v>545.328125</c:v>
                </c:pt>
                <c:pt idx="63">
                  <c:v>544.80743399999994</c:v>
                </c:pt>
                <c:pt idx="64">
                  <c:v>446.243652</c:v>
                </c:pt>
                <c:pt idx="65">
                  <c:v>577.97735599999999</c:v>
                </c:pt>
                <c:pt idx="66">
                  <c:v>466.94134500000001</c:v>
                </c:pt>
                <c:pt idx="67">
                  <c:v>541.82678199999998</c:v>
                </c:pt>
                <c:pt idx="68">
                  <c:v>449.11697400000003</c:v>
                </c:pt>
                <c:pt idx="69">
                  <c:v>536.48095699999999</c:v>
                </c:pt>
                <c:pt idx="70">
                  <c:v>579.96484399999997</c:v>
                </c:pt>
                <c:pt idx="71">
                  <c:v>627.69537400000002</c:v>
                </c:pt>
                <c:pt idx="72">
                  <c:v>639.66796899999997</c:v>
                </c:pt>
                <c:pt idx="73">
                  <c:v>547.05249000000003</c:v>
                </c:pt>
                <c:pt idx="74">
                  <c:v>554.59539800000005</c:v>
                </c:pt>
                <c:pt idx="75">
                  <c:v>461.26446499999997</c:v>
                </c:pt>
                <c:pt idx="76">
                  <c:v>703.52337599999998</c:v>
                </c:pt>
                <c:pt idx="77">
                  <c:v>647.74670400000002</c:v>
                </c:pt>
                <c:pt idx="78">
                  <c:v>666.97839399999998</c:v>
                </c:pt>
                <c:pt idx="79">
                  <c:v>655.93591300000003</c:v>
                </c:pt>
                <c:pt idx="80">
                  <c:v>670.11676</c:v>
                </c:pt>
                <c:pt idx="81">
                  <c:v>694.58581500000003</c:v>
                </c:pt>
                <c:pt idx="82">
                  <c:v>640.28515600000003</c:v>
                </c:pt>
                <c:pt idx="83">
                  <c:v>669.84527600000001</c:v>
                </c:pt>
                <c:pt idx="84">
                  <c:v>611.75146500000005</c:v>
                </c:pt>
                <c:pt idx="85">
                  <c:v>617.88653599999998</c:v>
                </c:pt>
                <c:pt idx="86">
                  <c:v>732.42492700000003</c:v>
                </c:pt>
                <c:pt idx="87">
                  <c:v>653.67767300000003</c:v>
                </c:pt>
                <c:pt idx="88">
                  <c:v>653.85784899999999</c:v>
                </c:pt>
                <c:pt idx="89">
                  <c:v>766.16589399999998</c:v>
                </c:pt>
                <c:pt idx="90">
                  <c:v>640.28265399999998</c:v>
                </c:pt>
                <c:pt idx="91">
                  <c:v>606.60955799999999</c:v>
                </c:pt>
                <c:pt idx="92">
                  <c:v>588.62487799999997</c:v>
                </c:pt>
                <c:pt idx="93">
                  <c:v>512.32098399999995</c:v>
                </c:pt>
                <c:pt idx="94">
                  <c:v>519.90783699999997</c:v>
                </c:pt>
                <c:pt idx="95">
                  <c:v>604.13671899999997</c:v>
                </c:pt>
                <c:pt idx="96">
                  <c:v>608.07702600000005</c:v>
                </c:pt>
                <c:pt idx="97">
                  <c:v>556.91619900000001</c:v>
                </c:pt>
                <c:pt idx="98">
                  <c:v>560.67224099999999</c:v>
                </c:pt>
                <c:pt idx="99">
                  <c:v>600.80981399999996</c:v>
                </c:pt>
                <c:pt idx="100">
                  <c:v>616.80480999999997</c:v>
                </c:pt>
                <c:pt idx="101">
                  <c:v>559.15551800000003</c:v>
                </c:pt>
                <c:pt idx="102">
                  <c:v>646.25183100000004</c:v>
                </c:pt>
                <c:pt idx="103">
                  <c:v>652.27722200000005</c:v>
                </c:pt>
                <c:pt idx="104">
                  <c:v>661.85058600000002</c:v>
                </c:pt>
                <c:pt idx="105">
                  <c:v>731.49499500000002</c:v>
                </c:pt>
                <c:pt idx="106">
                  <c:v>700.42407200000002</c:v>
                </c:pt>
                <c:pt idx="107">
                  <c:v>614.99603300000001</c:v>
                </c:pt>
                <c:pt idx="108">
                  <c:v>718.56689500000005</c:v>
                </c:pt>
                <c:pt idx="109">
                  <c:v>749.48809800000004</c:v>
                </c:pt>
                <c:pt idx="110">
                  <c:v>707.502747</c:v>
                </c:pt>
                <c:pt idx="111">
                  <c:v>740.31555200000003</c:v>
                </c:pt>
                <c:pt idx="112">
                  <c:v>722.87670900000001</c:v>
                </c:pt>
                <c:pt idx="113">
                  <c:v>702.74102800000003</c:v>
                </c:pt>
                <c:pt idx="114">
                  <c:v>709.65295400000002</c:v>
                </c:pt>
                <c:pt idx="115">
                  <c:v>680.64819299999999</c:v>
                </c:pt>
                <c:pt idx="116">
                  <c:v>702.84143100000006</c:v>
                </c:pt>
                <c:pt idx="117">
                  <c:v>724.80450399999995</c:v>
                </c:pt>
                <c:pt idx="118">
                  <c:v>717.00689699999998</c:v>
                </c:pt>
                <c:pt idx="119">
                  <c:v>772.81329300000004</c:v>
                </c:pt>
              </c:numCache>
            </c:numRef>
          </c:val>
          <c:smooth val="0"/>
          <c:extLst>
            <c:ext xmlns:c16="http://schemas.microsoft.com/office/drawing/2014/chart" uri="{C3380CC4-5D6E-409C-BE32-E72D297353CC}">
              <c16:uniqueId val="{00000000-FD0D-40E1-848A-A3EABD1BE50C}"/>
            </c:ext>
          </c:extLst>
        </c:ser>
        <c:ser>
          <c:idx val="1"/>
          <c:order val="1"/>
          <c:tx>
            <c:strRef>
              <c:f>Resultados_1!$AV$2</c:f>
              <c:strCache>
                <c:ptCount val="1"/>
                <c:pt idx="0">
                  <c:v>GRandB</c:v>
                </c:pt>
              </c:strCache>
            </c:strRef>
          </c:tx>
          <c:spPr>
            <a:ln w="28575" cap="rnd">
              <a:solidFill>
                <a:schemeClr val="accent5"/>
              </a:solidFill>
              <a:round/>
            </a:ln>
            <a:effectLst/>
          </c:spPr>
          <c:marker>
            <c:symbol val="none"/>
          </c:marker>
          <c:val>
            <c:numRef>
              <c:f>Resultados_1!$AV$3:$AV$122</c:f>
              <c:numCache>
                <c:formatCode>General</c:formatCode>
                <c:ptCount val="120"/>
                <c:pt idx="0">
                  <c:v>431.67184400000002</c:v>
                </c:pt>
                <c:pt idx="1">
                  <c:v>404.57049599999999</c:v>
                </c:pt>
                <c:pt idx="2">
                  <c:v>335.08850100000001</c:v>
                </c:pt>
                <c:pt idx="3">
                  <c:v>373.07678199999998</c:v>
                </c:pt>
                <c:pt idx="4">
                  <c:v>322.222443</c:v>
                </c:pt>
                <c:pt idx="5">
                  <c:v>384.83270299999998</c:v>
                </c:pt>
                <c:pt idx="6">
                  <c:v>369.19976800000001</c:v>
                </c:pt>
                <c:pt idx="7">
                  <c:v>420.171967</c:v>
                </c:pt>
                <c:pt idx="8">
                  <c:v>395.56634500000001</c:v>
                </c:pt>
                <c:pt idx="9">
                  <c:v>311.57052599999997</c:v>
                </c:pt>
                <c:pt idx="10">
                  <c:v>482.65521200000001</c:v>
                </c:pt>
                <c:pt idx="11">
                  <c:v>435.87612899999999</c:v>
                </c:pt>
                <c:pt idx="12">
                  <c:v>400.70556599999998</c:v>
                </c:pt>
                <c:pt idx="13">
                  <c:v>474.88351399999999</c:v>
                </c:pt>
                <c:pt idx="14">
                  <c:v>421.45886200000001</c:v>
                </c:pt>
                <c:pt idx="15">
                  <c:v>402.76248199999998</c:v>
                </c:pt>
                <c:pt idx="16">
                  <c:v>413.26559400000002</c:v>
                </c:pt>
                <c:pt idx="17">
                  <c:v>479.04007000000001</c:v>
                </c:pt>
                <c:pt idx="18">
                  <c:v>478.87951700000002</c:v>
                </c:pt>
                <c:pt idx="19">
                  <c:v>438.57611100000003</c:v>
                </c:pt>
                <c:pt idx="20">
                  <c:v>432.22677599999997</c:v>
                </c:pt>
                <c:pt idx="21">
                  <c:v>446.71078499999999</c:v>
                </c:pt>
                <c:pt idx="22">
                  <c:v>531.73693800000001</c:v>
                </c:pt>
                <c:pt idx="23">
                  <c:v>441.08700599999997</c:v>
                </c:pt>
                <c:pt idx="24">
                  <c:v>486.07977299999999</c:v>
                </c:pt>
                <c:pt idx="25">
                  <c:v>613.99249299999997</c:v>
                </c:pt>
                <c:pt idx="26">
                  <c:v>380.51156600000002</c:v>
                </c:pt>
                <c:pt idx="27">
                  <c:v>559.79754600000001</c:v>
                </c:pt>
                <c:pt idx="28">
                  <c:v>465.34634399999999</c:v>
                </c:pt>
                <c:pt idx="29">
                  <c:v>381.56494099999998</c:v>
                </c:pt>
                <c:pt idx="30">
                  <c:v>400.44961499999999</c:v>
                </c:pt>
                <c:pt idx="31">
                  <c:v>414.12939499999999</c:v>
                </c:pt>
                <c:pt idx="32">
                  <c:v>396.01196299999998</c:v>
                </c:pt>
                <c:pt idx="33">
                  <c:v>408.328552</c:v>
                </c:pt>
                <c:pt idx="34">
                  <c:v>403.23559599999999</c:v>
                </c:pt>
                <c:pt idx="35">
                  <c:v>503.41336100000001</c:v>
                </c:pt>
                <c:pt idx="36">
                  <c:v>487.96987899999999</c:v>
                </c:pt>
                <c:pt idx="37">
                  <c:v>475.29287699999998</c:v>
                </c:pt>
                <c:pt idx="38">
                  <c:v>428.72634900000003</c:v>
                </c:pt>
                <c:pt idx="39">
                  <c:v>539.48217799999998</c:v>
                </c:pt>
                <c:pt idx="40">
                  <c:v>414.19931000000003</c:v>
                </c:pt>
                <c:pt idx="41">
                  <c:v>610.05352800000003</c:v>
                </c:pt>
                <c:pt idx="42">
                  <c:v>427.11312900000001</c:v>
                </c:pt>
                <c:pt idx="43">
                  <c:v>635.05053699999996</c:v>
                </c:pt>
                <c:pt idx="44">
                  <c:v>649.66265899999996</c:v>
                </c:pt>
                <c:pt idx="45">
                  <c:v>538.46038799999997</c:v>
                </c:pt>
                <c:pt idx="46">
                  <c:v>611.99383499999999</c:v>
                </c:pt>
                <c:pt idx="47">
                  <c:v>568.42755099999999</c:v>
                </c:pt>
                <c:pt idx="48">
                  <c:v>540.76709000000005</c:v>
                </c:pt>
                <c:pt idx="49">
                  <c:v>456.696594</c:v>
                </c:pt>
                <c:pt idx="50">
                  <c:v>554.99530000000004</c:v>
                </c:pt>
                <c:pt idx="51">
                  <c:v>668.58074999999997</c:v>
                </c:pt>
                <c:pt idx="52">
                  <c:v>636.57641599999999</c:v>
                </c:pt>
                <c:pt idx="53">
                  <c:v>702.72406000000001</c:v>
                </c:pt>
                <c:pt idx="54">
                  <c:v>703.14752199999998</c:v>
                </c:pt>
                <c:pt idx="55">
                  <c:v>524.91186500000003</c:v>
                </c:pt>
                <c:pt idx="56">
                  <c:v>585.73718299999996</c:v>
                </c:pt>
                <c:pt idx="57">
                  <c:v>578.84594700000002</c:v>
                </c:pt>
                <c:pt idx="58">
                  <c:v>660.03057899999999</c:v>
                </c:pt>
                <c:pt idx="59">
                  <c:v>568.50994900000001</c:v>
                </c:pt>
                <c:pt idx="60">
                  <c:v>549.27002000000005</c:v>
                </c:pt>
                <c:pt idx="61">
                  <c:v>468.19949300000002</c:v>
                </c:pt>
                <c:pt idx="62">
                  <c:v>613.38525400000003</c:v>
                </c:pt>
                <c:pt idx="63">
                  <c:v>608.03192100000001</c:v>
                </c:pt>
                <c:pt idx="64">
                  <c:v>421.98644999999999</c:v>
                </c:pt>
                <c:pt idx="65">
                  <c:v>622.59118699999999</c:v>
                </c:pt>
                <c:pt idx="66">
                  <c:v>545.49652100000003</c:v>
                </c:pt>
                <c:pt idx="67">
                  <c:v>500.67480499999999</c:v>
                </c:pt>
                <c:pt idx="68">
                  <c:v>565.35986300000002</c:v>
                </c:pt>
                <c:pt idx="69">
                  <c:v>564.76122999999995</c:v>
                </c:pt>
                <c:pt idx="70">
                  <c:v>588.88391100000001</c:v>
                </c:pt>
                <c:pt idx="71">
                  <c:v>605.72522000000004</c:v>
                </c:pt>
                <c:pt idx="72">
                  <c:v>694.08245799999997</c:v>
                </c:pt>
                <c:pt idx="73">
                  <c:v>495.42596400000002</c:v>
                </c:pt>
                <c:pt idx="74">
                  <c:v>555.80780000000004</c:v>
                </c:pt>
                <c:pt idx="75">
                  <c:v>587.28088400000001</c:v>
                </c:pt>
                <c:pt idx="76">
                  <c:v>718.40850799999998</c:v>
                </c:pt>
                <c:pt idx="77">
                  <c:v>620.28765899999996</c:v>
                </c:pt>
                <c:pt idx="78">
                  <c:v>696.42810099999997</c:v>
                </c:pt>
                <c:pt idx="79">
                  <c:v>740.27563499999997</c:v>
                </c:pt>
                <c:pt idx="80">
                  <c:v>738.68524200000002</c:v>
                </c:pt>
                <c:pt idx="81">
                  <c:v>657.45245399999999</c:v>
                </c:pt>
                <c:pt idx="82">
                  <c:v>656.96380599999998</c:v>
                </c:pt>
                <c:pt idx="83">
                  <c:v>734.61499000000003</c:v>
                </c:pt>
                <c:pt idx="84">
                  <c:v>605.48187299999995</c:v>
                </c:pt>
                <c:pt idx="85">
                  <c:v>634.04632600000002</c:v>
                </c:pt>
                <c:pt idx="86">
                  <c:v>911.70611599999995</c:v>
                </c:pt>
                <c:pt idx="87">
                  <c:v>763.72479199999998</c:v>
                </c:pt>
                <c:pt idx="88">
                  <c:v>639.73382600000002</c:v>
                </c:pt>
                <c:pt idx="89">
                  <c:v>847.82232699999997</c:v>
                </c:pt>
                <c:pt idx="90">
                  <c:v>641.78924600000005</c:v>
                </c:pt>
                <c:pt idx="91">
                  <c:v>572.63226299999997</c:v>
                </c:pt>
                <c:pt idx="92">
                  <c:v>658.60082999999997</c:v>
                </c:pt>
                <c:pt idx="93">
                  <c:v>518.50994900000001</c:v>
                </c:pt>
                <c:pt idx="94">
                  <c:v>641.96295199999997</c:v>
                </c:pt>
                <c:pt idx="95">
                  <c:v>662.05206299999998</c:v>
                </c:pt>
                <c:pt idx="96">
                  <c:v>645.93823199999997</c:v>
                </c:pt>
                <c:pt idx="97">
                  <c:v>487.93109099999998</c:v>
                </c:pt>
                <c:pt idx="98">
                  <c:v>602.09338400000001</c:v>
                </c:pt>
                <c:pt idx="99">
                  <c:v>640.44903599999998</c:v>
                </c:pt>
                <c:pt idx="100">
                  <c:v>694.62396200000001</c:v>
                </c:pt>
                <c:pt idx="101">
                  <c:v>573.52984600000002</c:v>
                </c:pt>
                <c:pt idx="102">
                  <c:v>664.301331</c:v>
                </c:pt>
                <c:pt idx="103">
                  <c:v>735.64617899999996</c:v>
                </c:pt>
                <c:pt idx="104">
                  <c:v>683.47833300000002</c:v>
                </c:pt>
                <c:pt idx="105">
                  <c:v>656.22735599999999</c:v>
                </c:pt>
                <c:pt idx="106">
                  <c:v>689.90405299999998</c:v>
                </c:pt>
                <c:pt idx="107">
                  <c:v>758.24285899999995</c:v>
                </c:pt>
                <c:pt idx="108">
                  <c:v>658.71734600000002</c:v>
                </c:pt>
                <c:pt idx="109">
                  <c:v>842.13519299999996</c:v>
                </c:pt>
                <c:pt idx="110">
                  <c:v>826.07336399999997</c:v>
                </c:pt>
                <c:pt idx="111">
                  <c:v>684.89764400000001</c:v>
                </c:pt>
                <c:pt idx="112">
                  <c:v>697.728882</c:v>
                </c:pt>
                <c:pt idx="113">
                  <c:v>835.04095500000005</c:v>
                </c:pt>
                <c:pt idx="114">
                  <c:v>814.52349900000002</c:v>
                </c:pt>
                <c:pt idx="115">
                  <c:v>849.56195100000002</c:v>
                </c:pt>
                <c:pt idx="116">
                  <c:v>708.05694600000004</c:v>
                </c:pt>
                <c:pt idx="117">
                  <c:v>926.39892599999996</c:v>
                </c:pt>
                <c:pt idx="118">
                  <c:v>709.51269500000001</c:v>
                </c:pt>
                <c:pt idx="119">
                  <c:v>869.668091</c:v>
                </c:pt>
              </c:numCache>
            </c:numRef>
          </c:val>
          <c:smooth val="0"/>
          <c:extLst>
            <c:ext xmlns:c16="http://schemas.microsoft.com/office/drawing/2014/chart" uri="{C3380CC4-5D6E-409C-BE32-E72D297353CC}">
              <c16:uniqueId val="{00000001-FD0D-40E1-848A-A3EABD1BE50C}"/>
            </c:ext>
          </c:extLst>
        </c:ser>
        <c:dLbls>
          <c:showLegendKey val="0"/>
          <c:showVal val="0"/>
          <c:showCatName val="0"/>
          <c:showSerName val="0"/>
          <c:showPercent val="0"/>
          <c:showBubbleSize val="0"/>
        </c:dLbls>
        <c:smooth val="0"/>
        <c:axId val="157477391"/>
        <c:axId val="157470319"/>
      </c:lineChart>
      <c:catAx>
        <c:axId val="1574773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57470319"/>
        <c:crosses val="autoZero"/>
        <c:auto val="1"/>
        <c:lblAlgn val="ctr"/>
        <c:lblOffset val="100"/>
        <c:noMultiLvlLbl val="0"/>
      </c:catAx>
      <c:valAx>
        <c:axId val="157470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a:t>
                </a:r>
                <a:r>
                  <a:rPr lang="es-MX" baseline="0"/>
                  <a:t> Cost</a:t>
                </a:r>
                <a:endParaRPr lang="es-MX"/>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5747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Resultados_1!$AP$2</c:f>
              <c:strCache>
                <c:ptCount val="1"/>
                <c:pt idx="0">
                  <c:v>CPAEstA</c:v>
                </c:pt>
              </c:strCache>
            </c:strRef>
          </c:tx>
          <c:spPr>
            <a:ln w="28575" cap="rnd">
              <a:solidFill>
                <a:schemeClr val="accent6"/>
              </a:solidFill>
              <a:round/>
            </a:ln>
            <a:effectLst/>
          </c:spPr>
          <c:marker>
            <c:symbol val="none"/>
          </c:marker>
          <c:val>
            <c:numRef>
              <c:f>Resultados_1!$AP$3:$AP$122</c:f>
              <c:numCache>
                <c:formatCode>General</c:formatCode>
                <c:ptCount val="120"/>
                <c:pt idx="0">
                  <c:v>382.83227499999998</c:v>
                </c:pt>
                <c:pt idx="1">
                  <c:v>414.58303799999999</c:v>
                </c:pt>
                <c:pt idx="2">
                  <c:v>359.89016700000002</c:v>
                </c:pt>
                <c:pt idx="3">
                  <c:v>386.27529900000002</c:v>
                </c:pt>
                <c:pt idx="4">
                  <c:v>341.47854599999999</c:v>
                </c:pt>
                <c:pt idx="5">
                  <c:v>400.13763399999999</c:v>
                </c:pt>
                <c:pt idx="6">
                  <c:v>380.04760700000003</c:v>
                </c:pt>
                <c:pt idx="7">
                  <c:v>428.24426299999999</c:v>
                </c:pt>
                <c:pt idx="8">
                  <c:v>411.07409699999999</c:v>
                </c:pt>
                <c:pt idx="9">
                  <c:v>338.95556599999998</c:v>
                </c:pt>
                <c:pt idx="10">
                  <c:v>485.22625699999998</c:v>
                </c:pt>
                <c:pt idx="11">
                  <c:v>448.001282</c:v>
                </c:pt>
                <c:pt idx="12">
                  <c:v>402.28042599999998</c:v>
                </c:pt>
                <c:pt idx="13">
                  <c:v>474.96545400000002</c:v>
                </c:pt>
                <c:pt idx="14">
                  <c:v>434.000427</c:v>
                </c:pt>
                <c:pt idx="15">
                  <c:v>399.08822600000002</c:v>
                </c:pt>
                <c:pt idx="16">
                  <c:v>412.92742900000002</c:v>
                </c:pt>
                <c:pt idx="17">
                  <c:v>478.829407</c:v>
                </c:pt>
                <c:pt idx="18">
                  <c:v>448.97653200000002</c:v>
                </c:pt>
                <c:pt idx="19">
                  <c:v>425.08618200000001</c:v>
                </c:pt>
                <c:pt idx="20">
                  <c:v>424.86154199999999</c:v>
                </c:pt>
                <c:pt idx="21">
                  <c:v>434.88913000000002</c:v>
                </c:pt>
                <c:pt idx="22">
                  <c:v>513.51470900000004</c:v>
                </c:pt>
                <c:pt idx="23">
                  <c:v>426.96203600000001</c:v>
                </c:pt>
                <c:pt idx="24">
                  <c:v>440.15103099999999</c:v>
                </c:pt>
                <c:pt idx="25">
                  <c:v>564.98687700000005</c:v>
                </c:pt>
                <c:pt idx="26">
                  <c:v>389.51574699999998</c:v>
                </c:pt>
                <c:pt idx="27">
                  <c:v>548.00329599999998</c:v>
                </c:pt>
                <c:pt idx="28">
                  <c:v>475.90417500000001</c:v>
                </c:pt>
                <c:pt idx="29">
                  <c:v>394.50817899999998</c:v>
                </c:pt>
                <c:pt idx="30">
                  <c:v>401.67568999999997</c:v>
                </c:pt>
                <c:pt idx="31">
                  <c:v>434.25775099999998</c:v>
                </c:pt>
                <c:pt idx="32">
                  <c:v>426.38287400000002</c:v>
                </c:pt>
                <c:pt idx="33">
                  <c:v>451.28558299999997</c:v>
                </c:pt>
                <c:pt idx="34">
                  <c:v>417.13317899999998</c:v>
                </c:pt>
                <c:pt idx="35">
                  <c:v>523.14532499999996</c:v>
                </c:pt>
                <c:pt idx="36">
                  <c:v>572.10864300000003</c:v>
                </c:pt>
                <c:pt idx="37">
                  <c:v>486.26937900000001</c:v>
                </c:pt>
                <c:pt idx="38">
                  <c:v>433.58477800000003</c:v>
                </c:pt>
                <c:pt idx="39">
                  <c:v>560.24304199999995</c:v>
                </c:pt>
                <c:pt idx="40">
                  <c:v>441.745544</c:v>
                </c:pt>
                <c:pt idx="41">
                  <c:v>585.30450399999995</c:v>
                </c:pt>
                <c:pt idx="42">
                  <c:v>455.38677999999999</c:v>
                </c:pt>
                <c:pt idx="43">
                  <c:v>602.13256799999999</c:v>
                </c:pt>
                <c:pt idx="44">
                  <c:v>599.83892800000001</c:v>
                </c:pt>
                <c:pt idx="45">
                  <c:v>580.26434300000005</c:v>
                </c:pt>
                <c:pt idx="46">
                  <c:v>535.00170900000001</c:v>
                </c:pt>
                <c:pt idx="47">
                  <c:v>601.55273399999999</c:v>
                </c:pt>
                <c:pt idx="48">
                  <c:v>575.77954099999999</c:v>
                </c:pt>
                <c:pt idx="49">
                  <c:v>467.391479</c:v>
                </c:pt>
                <c:pt idx="50">
                  <c:v>589.70929000000001</c:v>
                </c:pt>
                <c:pt idx="51">
                  <c:v>648.70770300000004</c:v>
                </c:pt>
                <c:pt idx="52">
                  <c:v>563.38079800000003</c:v>
                </c:pt>
                <c:pt idx="53">
                  <c:v>706.35607900000002</c:v>
                </c:pt>
                <c:pt idx="54">
                  <c:v>646.662781</c:v>
                </c:pt>
                <c:pt idx="55">
                  <c:v>549.49816899999996</c:v>
                </c:pt>
                <c:pt idx="56">
                  <c:v>627.19055200000003</c:v>
                </c:pt>
                <c:pt idx="57">
                  <c:v>595.46801800000003</c:v>
                </c:pt>
                <c:pt idx="58">
                  <c:v>636.48242200000004</c:v>
                </c:pt>
                <c:pt idx="59">
                  <c:v>559.28137200000003</c:v>
                </c:pt>
                <c:pt idx="60">
                  <c:v>600.08557099999996</c:v>
                </c:pt>
                <c:pt idx="61">
                  <c:v>544.890625</c:v>
                </c:pt>
                <c:pt idx="62">
                  <c:v>603.32708700000001</c:v>
                </c:pt>
                <c:pt idx="63">
                  <c:v>599.78900099999998</c:v>
                </c:pt>
                <c:pt idx="64">
                  <c:v>519.76959199999999</c:v>
                </c:pt>
                <c:pt idx="65">
                  <c:v>610.307007</c:v>
                </c:pt>
                <c:pt idx="66">
                  <c:v>543.838257</c:v>
                </c:pt>
                <c:pt idx="67">
                  <c:v>599.996216</c:v>
                </c:pt>
                <c:pt idx="68">
                  <c:v>536.33410600000002</c:v>
                </c:pt>
                <c:pt idx="69">
                  <c:v>582.50158699999997</c:v>
                </c:pt>
                <c:pt idx="70">
                  <c:v>573.82934599999999</c:v>
                </c:pt>
                <c:pt idx="71">
                  <c:v>651.55474900000002</c:v>
                </c:pt>
                <c:pt idx="72">
                  <c:v>641.40112299999998</c:v>
                </c:pt>
                <c:pt idx="73">
                  <c:v>592.14892599999996</c:v>
                </c:pt>
                <c:pt idx="74">
                  <c:v>602.11248799999998</c:v>
                </c:pt>
                <c:pt idx="75">
                  <c:v>549.76715100000001</c:v>
                </c:pt>
                <c:pt idx="76">
                  <c:v>724.91589399999998</c:v>
                </c:pt>
                <c:pt idx="77">
                  <c:v>664.11364700000001</c:v>
                </c:pt>
                <c:pt idx="78">
                  <c:v>701.655396</c:v>
                </c:pt>
                <c:pt idx="79">
                  <c:v>678.54125999999997</c:v>
                </c:pt>
                <c:pt idx="80">
                  <c:v>686.09057600000006</c:v>
                </c:pt>
                <c:pt idx="81">
                  <c:v>707.24566700000003</c:v>
                </c:pt>
                <c:pt idx="82">
                  <c:v>674.61303699999996</c:v>
                </c:pt>
                <c:pt idx="83">
                  <c:v>673.78869599999996</c:v>
                </c:pt>
                <c:pt idx="84">
                  <c:v>625.35784899999999</c:v>
                </c:pt>
                <c:pt idx="85">
                  <c:v>649.77593999999999</c:v>
                </c:pt>
                <c:pt idx="86">
                  <c:v>745.99169900000004</c:v>
                </c:pt>
                <c:pt idx="87">
                  <c:v>676.25616500000001</c:v>
                </c:pt>
                <c:pt idx="88">
                  <c:v>662.42627000000005</c:v>
                </c:pt>
                <c:pt idx="89">
                  <c:v>754.32055700000001</c:v>
                </c:pt>
                <c:pt idx="90">
                  <c:v>665.81909199999996</c:v>
                </c:pt>
                <c:pt idx="91">
                  <c:v>640.26318400000002</c:v>
                </c:pt>
                <c:pt idx="92">
                  <c:v>621.59417699999995</c:v>
                </c:pt>
                <c:pt idx="93">
                  <c:v>584.62457300000005</c:v>
                </c:pt>
                <c:pt idx="94">
                  <c:v>581.249146</c:v>
                </c:pt>
                <c:pt idx="95">
                  <c:v>623.68798800000002</c:v>
                </c:pt>
                <c:pt idx="96">
                  <c:v>650.65106200000002</c:v>
                </c:pt>
                <c:pt idx="97">
                  <c:v>618.52227800000003</c:v>
                </c:pt>
                <c:pt idx="98">
                  <c:v>601.227844</c:v>
                </c:pt>
                <c:pt idx="99">
                  <c:v>632.23492399999998</c:v>
                </c:pt>
                <c:pt idx="100">
                  <c:v>648.76824999999997</c:v>
                </c:pt>
                <c:pt idx="101">
                  <c:v>601.20922900000005</c:v>
                </c:pt>
                <c:pt idx="102">
                  <c:v>650.98706100000004</c:v>
                </c:pt>
                <c:pt idx="103">
                  <c:v>675.104919</c:v>
                </c:pt>
                <c:pt idx="104">
                  <c:v>685.50866699999995</c:v>
                </c:pt>
                <c:pt idx="105">
                  <c:v>708.69818099999998</c:v>
                </c:pt>
                <c:pt idx="106">
                  <c:v>734.53149399999995</c:v>
                </c:pt>
                <c:pt idx="107">
                  <c:v>626.37707499999999</c:v>
                </c:pt>
                <c:pt idx="108">
                  <c:v>723.94006300000001</c:v>
                </c:pt>
                <c:pt idx="109">
                  <c:v>777.87933299999997</c:v>
                </c:pt>
                <c:pt idx="110">
                  <c:v>698.61218299999996</c:v>
                </c:pt>
                <c:pt idx="111">
                  <c:v>745.65997300000004</c:v>
                </c:pt>
                <c:pt idx="112">
                  <c:v>735.08056599999998</c:v>
                </c:pt>
                <c:pt idx="113">
                  <c:v>681.07525599999997</c:v>
                </c:pt>
                <c:pt idx="114">
                  <c:v>694.27105700000004</c:v>
                </c:pt>
                <c:pt idx="115">
                  <c:v>717.97674600000005</c:v>
                </c:pt>
                <c:pt idx="116">
                  <c:v>690.23468000000003</c:v>
                </c:pt>
                <c:pt idx="117">
                  <c:v>755.01165800000001</c:v>
                </c:pt>
                <c:pt idx="118">
                  <c:v>752.99292000000003</c:v>
                </c:pt>
                <c:pt idx="119">
                  <c:v>765.98925799999995</c:v>
                </c:pt>
              </c:numCache>
            </c:numRef>
          </c:val>
          <c:smooth val="0"/>
          <c:extLst>
            <c:ext xmlns:c16="http://schemas.microsoft.com/office/drawing/2014/chart" uri="{C3380CC4-5D6E-409C-BE32-E72D297353CC}">
              <c16:uniqueId val="{00000000-1818-4097-98CC-501F63135894}"/>
            </c:ext>
          </c:extLst>
        </c:ser>
        <c:ser>
          <c:idx val="1"/>
          <c:order val="1"/>
          <c:tx>
            <c:strRef>
              <c:f>Resultados_1!$AR$2</c:f>
              <c:strCache>
                <c:ptCount val="1"/>
                <c:pt idx="0">
                  <c:v>GRankA</c:v>
                </c:pt>
              </c:strCache>
            </c:strRef>
          </c:tx>
          <c:spPr>
            <a:ln w="28575" cap="rnd">
              <a:solidFill>
                <a:schemeClr val="accent5"/>
              </a:solidFill>
              <a:round/>
            </a:ln>
            <a:effectLst/>
          </c:spPr>
          <c:marker>
            <c:symbol val="none"/>
          </c:marker>
          <c:val>
            <c:numRef>
              <c:f>Resultados_1!$AR$3:$AR$122</c:f>
              <c:numCache>
                <c:formatCode>General</c:formatCode>
                <c:ptCount val="120"/>
                <c:pt idx="0">
                  <c:v>386.70614599999999</c:v>
                </c:pt>
                <c:pt idx="1">
                  <c:v>416.98718300000002</c:v>
                </c:pt>
                <c:pt idx="2">
                  <c:v>368.59149200000002</c:v>
                </c:pt>
                <c:pt idx="3">
                  <c:v>391.01776100000001</c:v>
                </c:pt>
                <c:pt idx="4">
                  <c:v>341.47854599999999</c:v>
                </c:pt>
                <c:pt idx="5">
                  <c:v>409.17193600000002</c:v>
                </c:pt>
                <c:pt idx="6">
                  <c:v>382.39572099999998</c:v>
                </c:pt>
                <c:pt idx="7">
                  <c:v>458.95529199999999</c:v>
                </c:pt>
                <c:pt idx="8">
                  <c:v>418.25576799999999</c:v>
                </c:pt>
                <c:pt idx="9">
                  <c:v>342.79367100000002</c:v>
                </c:pt>
                <c:pt idx="10">
                  <c:v>534.48339799999997</c:v>
                </c:pt>
                <c:pt idx="11">
                  <c:v>472.11209100000002</c:v>
                </c:pt>
                <c:pt idx="12">
                  <c:v>406.68914799999999</c:v>
                </c:pt>
                <c:pt idx="13">
                  <c:v>513.56585700000005</c:v>
                </c:pt>
                <c:pt idx="14">
                  <c:v>463.91763300000002</c:v>
                </c:pt>
                <c:pt idx="15">
                  <c:v>401.75589000000002</c:v>
                </c:pt>
                <c:pt idx="16">
                  <c:v>429.97448700000001</c:v>
                </c:pt>
                <c:pt idx="17">
                  <c:v>513.58538799999997</c:v>
                </c:pt>
                <c:pt idx="18">
                  <c:v>481.86673000000002</c:v>
                </c:pt>
                <c:pt idx="19">
                  <c:v>457.49856599999998</c:v>
                </c:pt>
                <c:pt idx="20">
                  <c:v>432.29077100000001</c:v>
                </c:pt>
                <c:pt idx="21">
                  <c:v>449.00775099999998</c:v>
                </c:pt>
                <c:pt idx="22">
                  <c:v>540.21661400000005</c:v>
                </c:pt>
                <c:pt idx="23">
                  <c:v>451.90234400000003</c:v>
                </c:pt>
                <c:pt idx="24">
                  <c:v>458.30166600000001</c:v>
                </c:pt>
                <c:pt idx="25">
                  <c:v>600.06378199999995</c:v>
                </c:pt>
                <c:pt idx="26">
                  <c:v>394.30676299999999</c:v>
                </c:pt>
                <c:pt idx="27">
                  <c:v>554.31097399999999</c:v>
                </c:pt>
                <c:pt idx="28">
                  <c:v>506.88961799999998</c:v>
                </c:pt>
                <c:pt idx="29">
                  <c:v>395.38916</c:v>
                </c:pt>
                <c:pt idx="30">
                  <c:v>405.61071800000002</c:v>
                </c:pt>
                <c:pt idx="31">
                  <c:v>432.844269</c:v>
                </c:pt>
                <c:pt idx="32">
                  <c:v>432.68515000000002</c:v>
                </c:pt>
                <c:pt idx="33">
                  <c:v>456.00851399999999</c:v>
                </c:pt>
                <c:pt idx="34">
                  <c:v>420.80825800000002</c:v>
                </c:pt>
                <c:pt idx="35">
                  <c:v>524.11840800000004</c:v>
                </c:pt>
                <c:pt idx="36">
                  <c:v>579.086365</c:v>
                </c:pt>
                <c:pt idx="37">
                  <c:v>495.15173299999998</c:v>
                </c:pt>
                <c:pt idx="38">
                  <c:v>444.59204099999999</c:v>
                </c:pt>
                <c:pt idx="39">
                  <c:v>558.33892800000001</c:v>
                </c:pt>
                <c:pt idx="40">
                  <c:v>495.11737099999999</c:v>
                </c:pt>
                <c:pt idx="41">
                  <c:v>612.78448500000002</c:v>
                </c:pt>
                <c:pt idx="42">
                  <c:v>471.81146200000001</c:v>
                </c:pt>
                <c:pt idx="43">
                  <c:v>613.26312299999995</c:v>
                </c:pt>
                <c:pt idx="44">
                  <c:v>609.76293899999996</c:v>
                </c:pt>
                <c:pt idx="45">
                  <c:v>604.98046899999997</c:v>
                </c:pt>
                <c:pt idx="46">
                  <c:v>559.81304899999998</c:v>
                </c:pt>
                <c:pt idx="47">
                  <c:v>614.80621299999996</c:v>
                </c:pt>
                <c:pt idx="48">
                  <c:v>607.76971400000002</c:v>
                </c:pt>
                <c:pt idx="49">
                  <c:v>475.13970899999998</c:v>
                </c:pt>
                <c:pt idx="50">
                  <c:v>602.03479000000004</c:v>
                </c:pt>
                <c:pt idx="51">
                  <c:v>656.66015600000003</c:v>
                </c:pt>
                <c:pt idx="52">
                  <c:v>565.21417199999996</c:v>
                </c:pt>
                <c:pt idx="53">
                  <c:v>719.85974099999999</c:v>
                </c:pt>
                <c:pt idx="54">
                  <c:v>659.96490500000004</c:v>
                </c:pt>
                <c:pt idx="55">
                  <c:v>572.99224900000002</c:v>
                </c:pt>
                <c:pt idx="56">
                  <c:v>651.84375</c:v>
                </c:pt>
                <c:pt idx="57">
                  <c:v>600.66986099999997</c:v>
                </c:pt>
                <c:pt idx="58">
                  <c:v>645.14813200000003</c:v>
                </c:pt>
                <c:pt idx="59">
                  <c:v>535.77044699999999</c:v>
                </c:pt>
                <c:pt idx="60">
                  <c:v>592.66516100000001</c:v>
                </c:pt>
                <c:pt idx="61">
                  <c:v>547.20288100000005</c:v>
                </c:pt>
                <c:pt idx="62">
                  <c:v>607.13934300000005</c:v>
                </c:pt>
                <c:pt idx="63">
                  <c:v>601.75116000000003</c:v>
                </c:pt>
                <c:pt idx="64">
                  <c:v>544.70544400000006</c:v>
                </c:pt>
                <c:pt idx="65">
                  <c:v>631.06091300000003</c:v>
                </c:pt>
                <c:pt idx="66">
                  <c:v>571.00451699999996</c:v>
                </c:pt>
                <c:pt idx="67">
                  <c:v>607.06994599999996</c:v>
                </c:pt>
                <c:pt idx="68">
                  <c:v>545.79193099999998</c:v>
                </c:pt>
                <c:pt idx="69">
                  <c:v>595.23681599999998</c:v>
                </c:pt>
                <c:pt idx="70">
                  <c:v>616.68957499999999</c:v>
                </c:pt>
                <c:pt idx="71">
                  <c:v>660.01800500000002</c:v>
                </c:pt>
                <c:pt idx="72">
                  <c:v>672.964966</c:v>
                </c:pt>
                <c:pt idx="73">
                  <c:v>603.84631300000001</c:v>
                </c:pt>
                <c:pt idx="74">
                  <c:v>625.228882</c:v>
                </c:pt>
                <c:pt idx="75">
                  <c:v>549.903503</c:v>
                </c:pt>
                <c:pt idx="76">
                  <c:v>750.70495600000004</c:v>
                </c:pt>
                <c:pt idx="77">
                  <c:v>684.74560499999995</c:v>
                </c:pt>
                <c:pt idx="78">
                  <c:v>705.06811500000003</c:v>
                </c:pt>
                <c:pt idx="79">
                  <c:v>694.73309300000005</c:v>
                </c:pt>
                <c:pt idx="80">
                  <c:v>692.65020800000002</c:v>
                </c:pt>
                <c:pt idx="81">
                  <c:v>711.73919699999999</c:v>
                </c:pt>
                <c:pt idx="82">
                  <c:v>692.07281499999999</c:v>
                </c:pt>
                <c:pt idx="83">
                  <c:v>685.51757799999996</c:v>
                </c:pt>
                <c:pt idx="84">
                  <c:v>653.75970500000005</c:v>
                </c:pt>
                <c:pt idx="85">
                  <c:v>669.42956500000003</c:v>
                </c:pt>
                <c:pt idx="86">
                  <c:v>790.32550000000003</c:v>
                </c:pt>
                <c:pt idx="87">
                  <c:v>706.93957499999999</c:v>
                </c:pt>
                <c:pt idx="88">
                  <c:v>676.28155500000003</c:v>
                </c:pt>
                <c:pt idx="89">
                  <c:v>810.77105700000004</c:v>
                </c:pt>
                <c:pt idx="90">
                  <c:v>680.11309800000004</c:v>
                </c:pt>
                <c:pt idx="91">
                  <c:v>654.48254399999996</c:v>
                </c:pt>
                <c:pt idx="92">
                  <c:v>629.83123799999998</c:v>
                </c:pt>
                <c:pt idx="93">
                  <c:v>598.44104000000004</c:v>
                </c:pt>
                <c:pt idx="94">
                  <c:v>590.57012899999995</c:v>
                </c:pt>
                <c:pt idx="95">
                  <c:v>641.230774</c:v>
                </c:pt>
                <c:pt idx="96">
                  <c:v>667.36804199999995</c:v>
                </c:pt>
                <c:pt idx="97">
                  <c:v>613.49163799999997</c:v>
                </c:pt>
                <c:pt idx="98">
                  <c:v>623.22192399999994</c:v>
                </c:pt>
                <c:pt idx="99">
                  <c:v>633.03509499999996</c:v>
                </c:pt>
                <c:pt idx="100">
                  <c:v>663.17480499999999</c:v>
                </c:pt>
                <c:pt idx="101">
                  <c:v>624.97302200000001</c:v>
                </c:pt>
                <c:pt idx="102">
                  <c:v>674.83587599999998</c:v>
                </c:pt>
                <c:pt idx="103">
                  <c:v>685.82269299999996</c:v>
                </c:pt>
                <c:pt idx="104">
                  <c:v>704.82629399999996</c:v>
                </c:pt>
                <c:pt idx="105">
                  <c:v>777.34240699999998</c:v>
                </c:pt>
                <c:pt idx="106">
                  <c:v>771.10186799999997</c:v>
                </c:pt>
                <c:pt idx="107">
                  <c:v>664.59179700000004</c:v>
                </c:pt>
                <c:pt idx="108">
                  <c:v>724.035034</c:v>
                </c:pt>
                <c:pt idx="109">
                  <c:v>781.65863000000002</c:v>
                </c:pt>
                <c:pt idx="110">
                  <c:v>747.08581500000003</c:v>
                </c:pt>
                <c:pt idx="111">
                  <c:v>766.01538100000005</c:v>
                </c:pt>
                <c:pt idx="112">
                  <c:v>756.17034899999999</c:v>
                </c:pt>
                <c:pt idx="113">
                  <c:v>719.60827600000005</c:v>
                </c:pt>
                <c:pt idx="114">
                  <c:v>727.12933299999997</c:v>
                </c:pt>
                <c:pt idx="115">
                  <c:v>741.20715299999995</c:v>
                </c:pt>
                <c:pt idx="116">
                  <c:v>730.020081</c:v>
                </c:pt>
                <c:pt idx="117">
                  <c:v>744.93957499999999</c:v>
                </c:pt>
                <c:pt idx="118">
                  <c:v>787.03814699999998</c:v>
                </c:pt>
                <c:pt idx="119">
                  <c:v>835.761841</c:v>
                </c:pt>
              </c:numCache>
            </c:numRef>
          </c:val>
          <c:smooth val="0"/>
          <c:extLst>
            <c:ext xmlns:c16="http://schemas.microsoft.com/office/drawing/2014/chart" uri="{C3380CC4-5D6E-409C-BE32-E72D297353CC}">
              <c16:uniqueId val="{00000001-1818-4097-98CC-501F63135894}"/>
            </c:ext>
          </c:extLst>
        </c:ser>
        <c:dLbls>
          <c:showLegendKey val="0"/>
          <c:showVal val="0"/>
          <c:showCatName val="0"/>
          <c:showSerName val="0"/>
          <c:showPercent val="0"/>
          <c:showBubbleSize val="0"/>
        </c:dLbls>
        <c:smooth val="0"/>
        <c:axId val="161993855"/>
        <c:axId val="162003007"/>
      </c:lineChart>
      <c:catAx>
        <c:axId val="1619938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2003007"/>
        <c:crosses val="autoZero"/>
        <c:auto val="1"/>
        <c:lblAlgn val="ctr"/>
        <c:lblOffset val="100"/>
        <c:noMultiLvlLbl val="0"/>
      </c:catAx>
      <c:valAx>
        <c:axId val="162003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1993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Resultados_1!$AU$2</c:f>
              <c:strCache>
                <c:ptCount val="1"/>
                <c:pt idx="0">
                  <c:v>CPAEstB</c:v>
                </c:pt>
              </c:strCache>
            </c:strRef>
          </c:tx>
          <c:spPr>
            <a:ln w="28575" cap="rnd">
              <a:solidFill>
                <a:schemeClr val="accent6"/>
              </a:solidFill>
              <a:round/>
            </a:ln>
            <a:effectLst/>
          </c:spPr>
          <c:marker>
            <c:symbol val="none"/>
          </c:marker>
          <c:val>
            <c:numRef>
              <c:f>Resultados_1!$AU$3:$AU$122</c:f>
              <c:numCache>
                <c:formatCode>General</c:formatCode>
                <c:ptCount val="120"/>
                <c:pt idx="0">
                  <c:v>356.94982900000002</c:v>
                </c:pt>
                <c:pt idx="1">
                  <c:v>400.56689499999999</c:v>
                </c:pt>
                <c:pt idx="2">
                  <c:v>335.153503</c:v>
                </c:pt>
                <c:pt idx="3">
                  <c:v>368.649719</c:v>
                </c:pt>
                <c:pt idx="4">
                  <c:v>318.64178500000003</c:v>
                </c:pt>
                <c:pt idx="5">
                  <c:v>384.309845</c:v>
                </c:pt>
                <c:pt idx="6">
                  <c:v>354.80401599999999</c:v>
                </c:pt>
                <c:pt idx="7">
                  <c:v>413.58767699999999</c:v>
                </c:pt>
                <c:pt idx="8">
                  <c:v>387.96127300000001</c:v>
                </c:pt>
                <c:pt idx="9">
                  <c:v>311.57052599999997</c:v>
                </c:pt>
                <c:pt idx="10">
                  <c:v>463.24887100000001</c:v>
                </c:pt>
                <c:pt idx="11">
                  <c:v>425.74417099999999</c:v>
                </c:pt>
                <c:pt idx="12">
                  <c:v>393.565247</c:v>
                </c:pt>
                <c:pt idx="13">
                  <c:v>447.39724699999999</c:v>
                </c:pt>
                <c:pt idx="14">
                  <c:v>420.77505500000001</c:v>
                </c:pt>
                <c:pt idx="15">
                  <c:v>380.45025600000002</c:v>
                </c:pt>
                <c:pt idx="16">
                  <c:v>400.96005200000002</c:v>
                </c:pt>
                <c:pt idx="17">
                  <c:v>448.69964599999997</c:v>
                </c:pt>
                <c:pt idx="18">
                  <c:v>431.74707000000001</c:v>
                </c:pt>
                <c:pt idx="19">
                  <c:v>421.140533</c:v>
                </c:pt>
                <c:pt idx="20">
                  <c:v>421.97341899999998</c:v>
                </c:pt>
                <c:pt idx="21">
                  <c:v>428.03668199999998</c:v>
                </c:pt>
                <c:pt idx="22">
                  <c:v>492.53753699999999</c:v>
                </c:pt>
                <c:pt idx="23">
                  <c:v>423.43264799999997</c:v>
                </c:pt>
                <c:pt idx="24">
                  <c:v>428.45141599999999</c:v>
                </c:pt>
                <c:pt idx="25">
                  <c:v>535.61114499999996</c:v>
                </c:pt>
                <c:pt idx="26">
                  <c:v>380.51156600000002</c:v>
                </c:pt>
                <c:pt idx="27">
                  <c:v>521.85815400000001</c:v>
                </c:pt>
                <c:pt idx="28">
                  <c:v>445.788544</c:v>
                </c:pt>
                <c:pt idx="29">
                  <c:v>375.28085299999998</c:v>
                </c:pt>
                <c:pt idx="30">
                  <c:v>368.78576700000002</c:v>
                </c:pt>
                <c:pt idx="31">
                  <c:v>397.466522</c:v>
                </c:pt>
                <c:pt idx="32">
                  <c:v>390.376373</c:v>
                </c:pt>
                <c:pt idx="33">
                  <c:v>409.03671300000002</c:v>
                </c:pt>
                <c:pt idx="34">
                  <c:v>389.21209700000003</c:v>
                </c:pt>
                <c:pt idx="35">
                  <c:v>473.73468000000003</c:v>
                </c:pt>
                <c:pt idx="36">
                  <c:v>515.123108</c:v>
                </c:pt>
                <c:pt idx="37">
                  <c:v>423.61642499999999</c:v>
                </c:pt>
                <c:pt idx="38">
                  <c:v>402.05816700000003</c:v>
                </c:pt>
                <c:pt idx="39">
                  <c:v>496.61914100000001</c:v>
                </c:pt>
                <c:pt idx="40">
                  <c:v>420.32147200000003</c:v>
                </c:pt>
                <c:pt idx="41">
                  <c:v>558.20214799999997</c:v>
                </c:pt>
                <c:pt idx="42">
                  <c:v>428.31997699999999</c:v>
                </c:pt>
                <c:pt idx="43">
                  <c:v>599.50665300000003</c:v>
                </c:pt>
                <c:pt idx="44">
                  <c:v>595.14544699999999</c:v>
                </c:pt>
                <c:pt idx="45">
                  <c:v>572.114014</c:v>
                </c:pt>
                <c:pt idx="46">
                  <c:v>519.22289999999998</c:v>
                </c:pt>
                <c:pt idx="47">
                  <c:v>559.64392099999998</c:v>
                </c:pt>
                <c:pt idx="48">
                  <c:v>557.52557400000001</c:v>
                </c:pt>
                <c:pt idx="49">
                  <c:v>420.16146900000001</c:v>
                </c:pt>
                <c:pt idx="50">
                  <c:v>583.28363000000002</c:v>
                </c:pt>
                <c:pt idx="51">
                  <c:v>629.21881099999996</c:v>
                </c:pt>
                <c:pt idx="52">
                  <c:v>542.12377900000001</c:v>
                </c:pt>
                <c:pt idx="53">
                  <c:v>703.61004600000001</c:v>
                </c:pt>
                <c:pt idx="54">
                  <c:v>637.89685099999997</c:v>
                </c:pt>
                <c:pt idx="55">
                  <c:v>529.65496800000005</c:v>
                </c:pt>
                <c:pt idx="56">
                  <c:v>613.71520999999996</c:v>
                </c:pt>
                <c:pt idx="57">
                  <c:v>570.23364300000003</c:v>
                </c:pt>
                <c:pt idx="58">
                  <c:v>629.25567599999999</c:v>
                </c:pt>
                <c:pt idx="59">
                  <c:v>512.65637200000003</c:v>
                </c:pt>
                <c:pt idx="60">
                  <c:v>553.515625</c:v>
                </c:pt>
                <c:pt idx="61">
                  <c:v>458.34362800000002</c:v>
                </c:pt>
                <c:pt idx="62">
                  <c:v>545.328125</c:v>
                </c:pt>
                <c:pt idx="63">
                  <c:v>544.80743399999994</c:v>
                </c:pt>
                <c:pt idx="64">
                  <c:v>446.243652</c:v>
                </c:pt>
                <c:pt idx="65">
                  <c:v>577.97735599999999</c:v>
                </c:pt>
                <c:pt idx="66">
                  <c:v>466.94134500000001</c:v>
                </c:pt>
                <c:pt idx="67">
                  <c:v>541.82678199999998</c:v>
                </c:pt>
                <c:pt idx="68">
                  <c:v>449.11697400000003</c:v>
                </c:pt>
                <c:pt idx="69">
                  <c:v>536.48095699999999</c:v>
                </c:pt>
                <c:pt idx="70">
                  <c:v>579.96484399999997</c:v>
                </c:pt>
                <c:pt idx="71">
                  <c:v>627.69537400000002</c:v>
                </c:pt>
                <c:pt idx="72">
                  <c:v>639.66796899999997</c:v>
                </c:pt>
                <c:pt idx="73">
                  <c:v>547.05249000000003</c:v>
                </c:pt>
                <c:pt idx="74">
                  <c:v>554.59539800000005</c:v>
                </c:pt>
                <c:pt idx="75">
                  <c:v>461.26446499999997</c:v>
                </c:pt>
                <c:pt idx="76">
                  <c:v>703.52337599999998</c:v>
                </c:pt>
                <c:pt idx="77">
                  <c:v>647.74670400000002</c:v>
                </c:pt>
                <c:pt idx="78">
                  <c:v>666.97839399999998</c:v>
                </c:pt>
                <c:pt idx="79">
                  <c:v>655.93591300000003</c:v>
                </c:pt>
                <c:pt idx="80">
                  <c:v>670.11676</c:v>
                </c:pt>
                <c:pt idx="81">
                  <c:v>694.58581500000003</c:v>
                </c:pt>
                <c:pt idx="82">
                  <c:v>640.28515600000003</c:v>
                </c:pt>
                <c:pt idx="83">
                  <c:v>669.84527600000001</c:v>
                </c:pt>
                <c:pt idx="84">
                  <c:v>611.75146500000005</c:v>
                </c:pt>
                <c:pt idx="85">
                  <c:v>617.88653599999998</c:v>
                </c:pt>
                <c:pt idx="86">
                  <c:v>732.42492700000003</c:v>
                </c:pt>
                <c:pt idx="87">
                  <c:v>653.67767300000003</c:v>
                </c:pt>
                <c:pt idx="88">
                  <c:v>653.85784899999999</c:v>
                </c:pt>
                <c:pt idx="89">
                  <c:v>766.16589399999998</c:v>
                </c:pt>
                <c:pt idx="90">
                  <c:v>640.28265399999998</c:v>
                </c:pt>
                <c:pt idx="91">
                  <c:v>606.60955799999999</c:v>
                </c:pt>
                <c:pt idx="92">
                  <c:v>588.62487799999997</c:v>
                </c:pt>
                <c:pt idx="93">
                  <c:v>512.32098399999995</c:v>
                </c:pt>
                <c:pt idx="94">
                  <c:v>519.90783699999997</c:v>
                </c:pt>
                <c:pt idx="95">
                  <c:v>604.13671899999997</c:v>
                </c:pt>
                <c:pt idx="96">
                  <c:v>608.07702600000005</c:v>
                </c:pt>
                <c:pt idx="97">
                  <c:v>556.91619900000001</c:v>
                </c:pt>
                <c:pt idx="98">
                  <c:v>560.67224099999999</c:v>
                </c:pt>
                <c:pt idx="99">
                  <c:v>600.80981399999996</c:v>
                </c:pt>
                <c:pt idx="100">
                  <c:v>616.80480999999997</c:v>
                </c:pt>
                <c:pt idx="101">
                  <c:v>559.15551800000003</c:v>
                </c:pt>
                <c:pt idx="102">
                  <c:v>646.25183100000004</c:v>
                </c:pt>
                <c:pt idx="103">
                  <c:v>652.27722200000005</c:v>
                </c:pt>
                <c:pt idx="104">
                  <c:v>661.85058600000002</c:v>
                </c:pt>
                <c:pt idx="105">
                  <c:v>731.49499500000002</c:v>
                </c:pt>
                <c:pt idx="106">
                  <c:v>700.42407200000002</c:v>
                </c:pt>
                <c:pt idx="107">
                  <c:v>614.99603300000001</c:v>
                </c:pt>
                <c:pt idx="108">
                  <c:v>718.56689500000005</c:v>
                </c:pt>
                <c:pt idx="109">
                  <c:v>749.48809800000004</c:v>
                </c:pt>
                <c:pt idx="110">
                  <c:v>707.502747</c:v>
                </c:pt>
                <c:pt idx="111">
                  <c:v>740.31555200000003</c:v>
                </c:pt>
                <c:pt idx="112">
                  <c:v>722.87670900000001</c:v>
                </c:pt>
                <c:pt idx="113">
                  <c:v>702.74102800000003</c:v>
                </c:pt>
                <c:pt idx="114">
                  <c:v>709.65295400000002</c:v>
                </c:pt>
                <c:pt idx="115">
                  <c:v>680.64819299999999</c:v>
                </c:pt>
                <c:pt idx="116">
                  <c:v>702.84143100000006</c:v>
                </c:pt>
                <c:pt idx="117">
                  <c:v>724.80450399999995</c:v>
                </c:pt>
                <c:pt idx="118">
                  <c:v>717.00689699999998</c:v>
                </c:pt>
                <c:pt idx="119">
                  <c:v>772.81329300000004</c:v>
                </c:pt>
              </c:numCache>
            </c:numRef>
          </c:val>
          <c:smooth val="0"/>
          <c:extLst>
            <c:ext xmlns:c16="http://schemas.microsoft.com/office/drawing/2014/chart" uri="{C3380CC4-5D6E-409C-BE32-E72D297353CC}">
              <c16:uniqueId val="{00000000-C831-40F1-BB80-0B27A4FACACF}"/>
            </c:ext>
          </c:extLst>
        </c:ser>
        <c:ser>
          <c:idx val="1"/>
          <c:order val="1"/>
          <c:tx>
            <c:strRef>
              <c:f>Resultados_1!$AW$2</c:f>
              <c:strCache>
                <c:ptCount val="1"/>
                <c:pt idx="0">
                  <c:v>GRankB</c:v>
                </c:pt>
              </c:strCache>
            </c:strRef>
          </c:tx>
          <c:spPr>
            <a:ln w="28575" cap="rnd">
              <a:solidFill>
                <a:schemeClr val="accent5"/>
              </a:solidFill>
              <a:round/>
            </a:ln>
            <a:effectLst/>
          </c:spPr>
          <c:marker>
            <c:symbol val="none"/>
          </c:marker>
          <c:val>
            <c:numRef>
              <c:f>Resultados_1!$AW$3:$AW$122</c:f>
              <c:numCache>
                <c:formatCode>General</c:formatCode>
                <c:ptCount val="120"/>
                <c:pt idx="0">
                  <c:v>357.26953099999997</c:v>
                </c:pt>
                <c:pt idx="1">
                  <c:v>405.9375</c:v>
                </c:pt>
                <c:pt idx="2">
                  <c:v>335.11968999999999</c:v>
                </c:pt>
                <c:pt idx="3">
                  <c:v>371.38262900000001</c:v>
                </c:pt>
                <c:pt idx="4">
                  <c:v>318.96472199999999</c:v>
                </c:pt>
                <c:pt idx="5">
                  <c:v>385.72714200000001</c:v>
                </c:pt>
                <c:pt idx="6">
                  <c:v>355.66607699999997</c:v>
                </c:pt>
                <c:pt idx="7">
                  <c:v>413.96798699999999</c:v>
                </c:pt>
                <c:pt idx="8">
                  <c:v>395.05450400000001</c:v>
                </c:pt>
                <c:pt idx="9">
                  <c:v>311.57052599999997</c:v>
                </c:pt>
                <c:pt idx="10">
                  <c:v>520.83978300000001</c:v>
                </c:pt>
                <c:pt idx="11">
                  <c:v>435.57107500000001</c:v>
                </c:pt>
                <c:pt idx="12">
                  <c:v>393.74404900000002</c:v>
                </c:pt>
                <c:pt idx="13">
                  <c:v>471.41369600000002</c:v>
                </c:pt>
                <c:pt idx="14">
                  <c:v>426.88357500000001</c:v>
                </c:pt>
                <c:pt idx="15">
                  <c:v>380.45025600000002</c:v>
                </c:pt>
                <c:pt idx="16">
                  <c:v>406.75604199999998</c:v>
                </c:pt>
                <c:pt idx="17">
                  <c:v>468.00335699999999</c:v>
                </c:pt>
                <c:pt idx="18">
                  <c:v>452.96508799999998</c:v>
                </c:pt>
                <c:pt idx="19">
                  <c:v>423.19674700000002</c:v>
                </c:pt>
                <c:pt idx="20">
                  <c:v>424.94094799999999</c:v>
                </c:pt>
                <c:pt idx="21">
                  <c:v>442.313782</c:v>
                </c:pt>
                <c:pt idx="22">
                  <c:v>512.81304899999998</c:v>
                </c:pt>
                <c:pt idx="23">
                  <c:v>430.00228900000002</c:v>
                </c:pt>
                <c:pt idx="24">
                  <c:v>442.56994600000002</c:v>
                </c:pt>
                <c:pt idx="25">
                  <c:v>571.82659899999999</c:v>
                </c:pt>
                <c:pt idx="26">
                  <c:v>380.51156600000002</c:v>
                </c:pt>
                <c:pt idx="27">
                  <c:v>545.03656000000001</c:v>
                </c:pt>
                <c:pt idx="28">
                  <c:v>465.34634399999999</c:v>
                </c:pt>
                <c:pt idx="29">
                  <c:v>375.28085299999998</c:v>
                </c:pt>
                <c:pt idx="30">
                  <c:v>373.08126800000002</c:v>
                </c:pt>
                <c:pt idx="31">
                  <c:v>406.38897700000001</c:v>
                </c:pt>
                <c:pt idx="32">
                  <c:v>395.07406600000002</c:v>
                </c:pt>
                <c:pt idx="33">
                  <c:v>413.60485799999998</c:v>
                </c:pt>
                <c:pt idx="34">
                  <c:v>397.91513099999997</c:v>
                </c:pt>
                <c:pt idx="35">
                  <c:v>502.07724000000002</c:v>
                </c:pt>
                <c:pt idx="36">
                  <c:v>512.36071800000002</c:v>
                </c:pt>
                <c:pt idx="37">
                  <c:v>425.70639</c:v>
                </c:pt>
                <c:pt idx="38">
                  <c:v>403.25430299999999</c:v>
                </c:pt>
                <c:pt idx="39">
                  <c:v>480.61361699999998</c:v>
                </c:pt>
                <c:pt idx="40">
                  <c:v>432.848297</c:v>
                </c:pt>
                <c:pt idx="41">
                  <c:v>560.050659</c:v>
                </c:pt>
                <c:pt idx="42">
                  <c:v>438.36233499999997</c:v>
                </c:pt>
                <c:pt idx="43">
                  <c:v>613.60314900000003</c:v>
                </c:pt>
                <c:pt idx="44">
                  <c:v>614.98309300000005</c:v>
                </c:pt>
                <c:pt idx="45">
                  <c:v>587.70214799999997</c:v>
                </c:pt>
                <c:pt idx="46">
                  <c:v>538.36840800000004</c:v>
                </c:pt>
                <c:pt idx="47">
                  <c:v>572.90704300000004</c:v>
                </c:pt>
                <c:pt idx="48">
                  <c:v>587.135132</c:v>
                </c:pt>
                <c:pt idx="49">
                  <c:v>419.46957400000002</c:v>
                </c:pt>
                <c:pt idx="50">
                  <c:v>594.96691899999996</c:v>
                </c:pt>
                <c:pt idx="51">
                  <c:v>632.63842799999998</c:v>
                </c:pt>
                <c:pt idx="52">
                  <c:v>561.54058799999996</c:v>
                </c:pt>
                <c:pt idx="53">
                  <c:v>714.25988800000005</c:v>
                </c:pt>
                <c:pt idx="54">
                  <c:v>650.25878899999998</c:v>
                </c:pt>
                <c:pt idx="55">
                  <c:v>544.76995799999997</c:v>
                </c:pt>
                <c:pt idx="56">
                  <c:v>616.337402</c:v>
                </c:pt>
                <c:pt idx="57">
                  <c:v>596.78961200000003</c:v>
                </c:pt>
                <c:pt idx="58">
                  <c:v>640.11547900000005</c:v>
                </c:pt>
                <c:pt idx="59">
                  <c:v>547.01238999999998</c:v>
                </c:pt>
                <c:pt idx="60">
                  <c:v>566.40155000000004</c:v>
                </c:pt>
                <c:pt idx="61">
                  <c:v>467.10522500000002</c:v>
                </c:pt>
                <c:pt idx="62">
                  <c:v>561.94537400000002</c:v>
                </c:pt>
                <c:pt idx="63">
                  <c:v>567.04083300000002</c:v>
                </c:pt>
                <c:pt idx="64">
                  <c:v>442.19589200000001</c:v>
                </c:pt>
                <c:pt idx="65">
                  <c:v>591.59857199999999</c:v>
                </c:pt>
                <c:pt idx="66">
                  <c:v>510.762787</c:v>
                </c:pt>
                <c:pt idx="67">
                  <c:v>552.70660399999997</c:v>
                </c:pt>
                <c:pt idx="68">
                  <c:v>468.53472900000003</c:v>
                </c:pt>
                <c:pt idx="69">
                  <c:v>562.46234100000004</c:v>
                </c:pt>
                <c:pt idx="70">
                  <c:v>579.11413600000003</c:v>
                </c:pt>
                <c:pt idx="71">
                  <c:v>637.61377000000005</c:v>
                </c:pt>
                <c:pt idx="72">
                  <c:v>655.67980999999997</c:v>
                </c:pt>
                <c:pt idx="73">
                  <c:v>541.83605999999997</c:v>
                </c:pt>
                <c:pt idx="74">
                  <c:v>594.90118399999994</c:v>
                </c:pt>
                <c:pt idx="75">
                  <c:v>478.96493500000003</c:v>
                </c:pt>
                <c:pt idx="76">
                  <c:v>726.79766800000004</c:v>
                </c:pt>
                <c:pt idx="77">
                  <c:v>664.77002000000005</c:v>
                </c:pt>
                <c:pt idx="78">
                  <c:v>675.85089100000005</c:v>
                </c:pt>
                <c:pt idx="79">
                  <c:v>669.11541699999998</c:v>
                </c:pt>
                <c:pt idx="80">
                  <c:v>678.79211399999997</c:v>
                </c:pt>
                <c:pt idx="81">
                  <c:v>703.33404499999995</c:v>
                </c:pt>
                <c:pt idx="82">
                  <c:v>681.02477999999996</c:v>
                </c:pt>
                <c:pt idx="83">
                  <c:v>681.66192599999999</c:v>
                </c:pt>
                <c:pt idx="84">
                  <c:v>658.09088099999997</c:v>
                </c:pt>
                <c:pt idx="85">
                  <c:v>642.77417000000003</c:v>
                </c:pt>
                <c:pt idx="86">
                  <c:v>776.057007</c:v>
                </c:pt>
                <c:pt idx="87">
                  <c:v>697.09167500000001</c:v>
                </c:pt>
                <c:pt idx="88">
                  <c:v>660.39123500000005</c:v>
                </c:pt>
                <c:pt idx="89">
                  <c:v>791.50299099999995</c:v>
                </c:pt>
                <c:pt idx="90">
                  <c:v>654.81646699999999</c:v>
                </c:pt>
                <c:pt idx="91">
                  <c:v>621.93463099999997</c:v>
                </c:pt>
                <c:pt idx="92">
                  <c:v>604.160034</c:v>
                </c:pt>
                <c:pt idx="93">
                  <c:v>542.31689500000005</c:v>
                </c:pt>
                <c:pt idx="94">
                  <c:v>554.60125700000003</c:v>
                </c:pt>
                <c:pt idx="95">
                  <c:v>612.42016599999999</c:v>
                </c:pt>
                <c:pt idx="96">
                  <c:v>621.24334699999997</c:v>
                </c:pt>
                <c:pt idx="97">
                  <c:v>575.94702099999995</c:v>
                </c:pt>
                <c:pt idx="98">
                  <c:v>590.14367700000003</c:v>
                </c:pt>
                <c:pt idx="99">
                  <c:v>603.98303199999998</c:v>
                </c:pt>
                <c:pt idx="100">
                  <c:v>622.41967799999998</c:v>
                </c:pt>
                <c:pt idx="101">
                  <c:v>574.39624000000003</c:v>
                </c:pt>
                <c:pt idx="102">
                  <c:v>643.35766599999999</c:v>
                </c:pt>
                <c:pt idx="103">
                  <c:v>689.40972899999997</c:v>
                </c:pt>
                <c:pt idx="104">
                  <c:v>673.64178500000003</c:v>
                </c:pt>
                <c:pt idx="105">
                  <c:v>761.86492899999996</c:v>
                </c:pt>
                <c:pt idx="106">
                  <c:v>715.73230000000001</c:v>
                </c:pt>
                <c:pt idx="107">
                  <c:v>635.04107699999997</c:v>
                </c:pt>
                <c:pt idx="108">
                  <c:v>758.89471400000002</c:v>
                </c:pt>
                <c:pt idx="109">
                  <c:v>771.189392</c:v>
                </c:pt>
                <c:pt idx="110">
                  <c:v>736.99139400000001</c:v>
                </c:pt>
                <c:pt idx="111">
                  <c:v>755.98785399999997</c:v>
                </c:pt>
                <c:pt idx="112">
                  <c:v>729.03997800000002</c:v>
                </c:pt>
                <c:pt idx="113">
                  <c:v>713.45977800000003</c:v>
                </c:pt>
                <c:pt idx="114">
                  <c:v>741.177368</c:v>
                </c:pt>
                <c:pt idx="115">
                  <c:v>722.41479500000003</c:v>
                </c:pt>
                <c:pt idx="116">
                  <c:v>737.50628700000004</c:v>
                </c:pt>
                <c:pt idx="117">
                  <c:v>758.95471199999997</c:v>
                </c:pt>
                <c:pt idx="118">
                  <c:v>770.62927200000001</c:v>
                </c:pt>
                <c:pt idx="119">
                  <c:v>792.91058299999997</c:v>
                </c:pt>
              </c:numCache>
            </c:numRef>
          </c:val>
          <c:smooth val="0"/>
          <c:extLst>
            <c:ext xmlns:c16="http://schemas.microsoft.com/office/drawing/2014/chart" uri="{C3380CC4-5D6E-409C-BE32-E72D297353CC}">
              <c16:uniqueId val="{00000001-C831-40F1-BB80-0B27A4FACACF}"/>
            </c:ext>
          </c:extLst>
        </c:ser>
        <c:dLbls>
          <c:showLegendKey val="0"/>
          <c:showVal val="0"/>
          <c:showCatName val="0"/>
          <c:showSerName val="0"/>
          <c:showPercent val="0"/>
          <c:showBubbleSize val="0"/>
        </c:dLbls>
        <c:smooth val="0"/>
        <c:axId val="162015903"/>
        <c:axId val="162007583"/>
      </c:lineChart>
      <c:catAx>
        <c:axId val="16201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2007583"/>
        <c:crosses val="autoZero"/>
        <c:auto val="1"/>
        <c:lblAlgn val="ctr"/>
        <c:lblOffset val="100"/>
        <c:noMultiLvlLbl val="0"/>
      </c:catAx>
      <c:valAx>
        <c:axId val="162007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2015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Resultados_1!$AZ$2</c:f>
              <c:strCache>
                <c:ptCount val="1"/>
                <c:pt idx="0">
                  <c:v>CPARankA</c:v>
                </c:pt>
              </c:strCache>
            </c:strRef>
          </c:tx>
          <c:spPr>
            <a:ln w="28575" cap="rnd">
              <a:solidFill>
                <a:schemeClr val="accent6"/>
              </a:solidFill>
              <a:round/>
            </a:ln>
            <a:effectLst/>
          </c:spPr>
          <c:marker>
            <c:symbol val="none"/>
          </c:marker>
          <c:val>
            <c:numRef>
              <c:f>Resultados_1!$AZ$3:$AZ$122</c:f>
              <c:numCache>
                <c:formatCode>General</c:formatCode>
                <c:ptCount val="120"/>
                <c:pt idx="0">
                  <c:v>376.96539300000001</c:v>
                </c:pt>
                <c:pt idx="1">
                  <c:v>424.229218</c:v>
                </c:pt>
                <c:pt idx="2">
                  <c:v>365.81158399999998</c:v>
                </c:pt>
                <c:pt idx="3">
                  <c:v>395.05444299999999</c:v>
                </c:pt>
                <c:pt idx="4">
                  <c:v>341.22711199999998</c:v>
                </c:pt>
                <c:pt idx="5">
                  <c:v>408.41876200000002</c:v>
                </c:pt>
                <c:pt idx="6">
                  <c:v>382.210846</c:v>
                </c:pt>
                <c:pt idx="7">
                  <c:v>458.79028299999999</c:v>
                </c:pt>
                <c:pt idx="8">
                  <c:v>413.77310199999999</c:v>
                </c:pt>
                <c:pt idx="9">
                  <c:v>342.79367100000002</c:v>
                </c:pt>
                <c:pt idx="10">
                  <c:v>513.706909</c:v>
                </c:pt>
                <c:pt idx="11">
                  <c:v>471.94580100000002</c:v>
                </c:pt>
                <c:pt idx="12">
                  <c:v>409.16146900000001</c:v>
                </c:pt>
                <c:pt idx="13">
                  <c:v>510.84286500000002</c:v>
                </c:pt>
                <c:pt idx="14">
                  <c:v>463.072205</c:v>
                </c:pt>
                <c:pt idx="15">
                  <c:v>401.01702899999998</c:v>
                </c:pt>
                <c:pt idx="16">
                  <c:v>423.66629</c:v>
                </c:pt>
                <c:pt idx="17">
                  <c:v>489.51110799999998</c:v>
                </c:pt>
                <c:pt idx="18">
                  <c:v>487.48046900000003</c:v>
                </c:pt>
                <c:pt idx="19">
                  <c:v>453.96725500000002</c:v>
                </c:pt>
                <c:pt idx="20">
                  <c:v>451.81829800000003</c:v>
                </c:pt>
                <c:pt idx="21">
                  <c:v>449.00775099999998</c:v>
                </c:pt>
                <c:pt idx="22">
                  <c:v>537.61804199999995</c:v>
                </c:pt>
                <c:pt idx="23">
                  <c:v>451.229401</c:v>
                </c:pt>
                <c:pt idx="24">
                  <c:v>458.30166600000001</c:v>
                </c:pt>
                <c:pt idx="25">
                  <c:v>601.09368900000004</c:v>
                </c:pt>
                <c:pt idx="26">
                  <c:v>394.30676299999999</c:v>
                </c:pt>
                <c:pt idx="27">
                  <c:v>554.31097399999999</c:v>
                </c:pt>
                <c:pt idx="28">
                  <c:v>509.14325000000002</c:v>
                </c:pt>
                <c:pt idx="29">
                  <c:v>391.43301400000001</c:v>
                </c:pt>
                <c:pt idx="30">
                  <c:v>404.11584499999998</c:v>
                </c:pt>
                <c:pt idx="31">
                  <c:v>444.69982900000002</c:v>
                </c:pt>
                <c:pt idx="32">
                  <c:v>430.92837500000002</c:v>
                </c:pt>
                <c:pt idx="33">
                  <c:v>464.92394999999999</c:v>
                </c:pt>
                <c:pt idx="34">
                  <c:v>423.14672899999999</c:v>
                </c:pt>
                <c:pt idx="35">
                  <c:v>546.52374299999997</c:v>
                </c:pt>
                <c:pt idx="36">
                  <c:v>576.66253700000004</c:v>
                </c:pt>
                <c:pt idx="37">
                  <c:v>498.79675300000002</c:v>
                </c:pt>
                <c:pt idx="38">
                  <c:v>444.79968300000002</c:v>
                </c:pt>
                <c:pt idx="39">
                  <c:v>563.186646</c:v>
                </c:pt>
                <c:pt idx="40">
                  <c:v>462.340057</c:v>
                </c:pt>
                <c:pt idx="41">
                  <c:v>583.15667699999995</c:v>
                </c:pt>
                <c:pt idx="42">
                  <c:v>474.41699199999999</c:v>
                </c:pt>
                <c:pt idx="43">
                  <c:v>610.109375</c:v>
                </c:pt>
                <c:pt idx="44">
                  <c:v>612.33050500000002</c:v>
                </c:pt>
                <c:pt idx="45">
                  <c:v>601.25073199999997</c:v>
                </c:pt>
                <c:pt idx="46">
                  <c:v>563.65118399999994</c:v>
                </c:pt>
                <c:pt idx="47">
                  <c:v>601.30621299999996</c:v>
                </c:pt>
                <c:pt idx="48">
                  <c:v>608.27484100000004</c:v>
                </c:pt>
                <c:pt idx="49">
                  <c:v>474.47961400000003</c:v>
                </c:pt>
                <c:pt idx="50">
                  <c:v>605.30358899999999</c:v>
                </c:pt>
                <c:pt idx="51">
                  <c:v>656.59576400000003</c:v>
                </c:pt>
                <c:pt idx="52">
                  <c:v>576.58062700000005</c:v>
                </c:pt>
                <c:pt idx="53">
                  <c:v>709.82324200000005</c:v>
                </c:pt>
                <c:pt idx="54">
                  <c:v>657.38525400000003</c:v>
                </c:pt>
                <c:pt idx="55">
                  <c:v>553.33111599999995</c:v>
                </c:pt>
                <c:pt idx="56">
                  <c:v>630.25396699999999</c:v>
                </c:pt>
                <c:pt idx="57">
                  <c:v>587.75598100000002</c:v>
                </c:pt>
                <c:pt idx="58">
                  <c:v>656.67535399999997</c:v>
                </c:pt>
                <c:pt idx="59">
                  <c:v>568.16583300000002</c:v>
                </c:pt>
                <c:pt idx="60">
                  <c:v>612.113159</c:v>
                </c:pt>
                <c:pt idx="61">
                  <c:v>538.90173300000004</c:v>
                </c:pt>
                <c:pt idx="62">
                  <c:v>610.80566399999998</c:v>
                </c:pt>
                <c:pt idx="63">
                  <c:v>597.69976799999995</c:v>
                </c:pt>
                <c:pt idx="64">
                  <c:v>542.69671600000004</c:v>
                </c:pt>
                <c:pt idx="65">
                  <c:v>630.65838599999995</c:v>
                </c:pt>
                <c:pt idx="66">
                  <c:v>560.43963599999995</c:v>
                </c:pt>
                <c:pt idx="67">
                  <c:v>604.33557099999996</c:v>
                </c:pt>
                <c:pt idx="68">
                  <c:v>549.73461899999995</c:v>
                </c:pt>
                <c:pt idx="69">
                  <c:v>590.42382799999996</c:v>
                </c:pt>
                <c:pt idx="70">
                  <c:v>605.48040800000001</c:v>
                </c:pt>
                <c:pt idx="71">
                  <c:v>670.37805200000003</c:v>
                </c:pt>
                <c:pt idx="72">
                  <c:v>671.40429700000004</c:v>
                </c:pt>
                <c:pt idx="73">
                  <c:v>606.30432099999996</c:v>
                </c:pt>
                <c:pt idx="74">
                  <c:v>624.60339399999998</c:v>
                </c:pt>
                <c:pt idx="75">
                  <c:v>556.20477300000005</c:v>
                </c:pt>
                <c:pt idx="76">
                  <c:v>742.38793899999996</c:v>
                </c:pt>
                <c:pt idx="77">
                  <c:v>668.19482400000004</c:v>
                </c:pt>
                <c:pt idx="78">
                  <c:v>706.88122599999997</c:v>
                </c:pt>
                <c:pt idx="79">
                  <c:v>682.96215800000004</c:v>
                </c:pt>
                <c:pt idx="80">
                  <c:v>696.17199700000003</c:v>
                </c:pt>
                <c:pt idx="81">
                  <c:v>716.91778599999998</c:v>
                </c:pt>
                <c:pt idx="82">
                  <c:v>671.08325200000002</c:v>
                </c:pt>
                <c:pt idx="83">
                  <c:v>699.52410899999995</c:v>
                </c:pt>
                <c:pt idx="84">
                  <c:v>633.80480999999997</c:v>
                </c:pt>
                <c:pt idx="85">
                  <c:v>665.057007</c:v>
                </c:pt>
                <c:pt idx="86">
                  <c:v>779.13262899999995</c:v>
                </c:pt>
                <c:pt idx="87">
                  <c:v>709.83599900000002</c:v>
                </c:pt>
                <c:pt idx="88">
                  <c:v>667.86743200000001</c:v>
                </c:pt>
                <c:pt idx="89">
                  <c:v>811.65795900000001</c:v>
                </c:pt>
                <c:pt idx="90">
                  <c:v>668.95550500000002</c:v>
                </c:pt>
                <c:pt idx="91">
                  <c:v>650.28527799999995</c:v>
                </c:pt>
                <c:pt idx="92">
                  <c:v>631.75915499999996</c:v>
                </c:pt>
                <c:pt idx="93">
                  <c:v>598.37329099999999</c:v>
                </c:pt>
                <c:pt idx="94">
                  <c:v>605.262878</c:v>
                </c:pt>
                <c:pt idx="95">
                  <c:v>638.58227499999998</c:v>
                </c:pt>
                <c:pt idx="96">
                  <c:v>646.61596699999996</c:v>
                </c:pt>
                <c:pt idx="97">
                  <c:v>619.73907499999996</c:v>
                </c:pt>
                <c:pt idx="98">
                  <c:v>618.76879899999994</c:v>
                </c:pt>
                <c:pt idx="99">
                  <c:v>652.70678699999996</c:v>
                </c:pt>
                <c:pt idx="100">
                  <c:v>646.94250499999998</c:v>
                </c:pt>
                <c:pt idx="101">
                  <c:v>612.98419200000001</c:v>
                </c:pt>
                <c:pt idx="102">
                  <c:v>680.66015600000003</c:v>
                </c:pt>
                <c:pt idx="103">
                  <c:v>692.65423599999997</c:v>
                </c:pt>
                <c:pt idx="104">
                  <c:v>705.07971199999997</c:v>
                </c:pt>
                <c:pt idx="105">
                  <c:v>759.43969700000002</c:v>
                </c:pt>
                <c:pt idx="106">
                  <c:v>760.59228499999995</c:v>
                </c:pt>
                <c:pt idx="107">
                  <c:v>655.25268600000004</c:v>
                </c:pt>
                <c:pt idx="108">
                  <c:v>755.01135299999999</c:v>
                </c:pt>
                <c:pt idx="109">
                  <c:v>771.60778800000003</c:v>
                </c:pt>
                <c:pt idx="110">
                  <c:v>739.98443599999996</c:v>
                </c:pt>
                <c:pt idx="111">
                  <c:v>779.65576199999998</c:v>
                </c:pt>
                <c:pt idx="112">
                  <c:v>731.94378700000004</c:v>
                </c:pt>
                <c:pt idx="113">
                  <c:v>720.67199700000003</c:v>
                </c:pt>
                <c:pt idx="114">
                  <c:v>727.94616699999995</c:v>
                </c:pt>
                <c:pt idx="115">
                  <c:v>712.85363800000005</c:v>
                </c:pt>
                <c:pt idx="116">
                  <c:v>731.68493699999999</c:v>
                </c:pt>
                <c:pt idx="117">
                  <c:v>762.19421399999999</c:v>
                </c:pt>
                <c:pt idx="118">
                  <c:v>791.134277</c:v>
                </c:pt>
                <c:pt idx="119">
                  <c:v>844.31103499999995</c:v>
                </c:pt>
              </c:numCache>
            </c:numRef>
          </c:val>
          <c:smooth val="0"/>
          <c:extLst>
            <c:ext xmlns:c16="http://schemas.microsoft.com/office/drawing/2014/chart" uri="{C3380CC4-5D6E-409C-BE32-E72D297353CC}">
              <c16:uniqueId val="{00000000-D1A1-41BF-ABB3-B6FDB27326E8}"/>
            </c:ext>
          </c:extLst>
        </c:ser>
        <c:ser>
          <c:idx val="1"/>
          <c:order val="1"/>
          <c:tx>
            <c:strRef>
              <c:f>Resultados_1!$BA$2</c:f>
              <c:strCache>
                <c:ptCount val="1"/>
                <c:pt idx="0">
                  <c:v>GRandA</c:v>
                </c:pt>
              </c:strCache>
            </c:strRef>
          </c:tx>
          <c:spPr>
            <a:ln w="28575" cap="rnd">
              <a:solidFill>
                <a:schemeClr val="accent5"/>
              </a:solidFill>
              <a:round/>
            </a:ln>
            <a:effectLst/>
          </c:spPr>
          <c:marker>
            <c:symbol val="none"/>
          </c:marker>
          <c:val>
            <c:numRef>
              <c:f>Resultados_1!$BA$3:$BA$122</c:f>
              <c:numCache>
                <c:formatCode>General</c:formatCode>
                <c:ptCount val="120"/>
                <c:pt idx="0">
                  <c:v>469.01501500000001</c:v>
                </c:pt>
                <c:pt idx="1">
                  <c:v>420.17394999999999</c:v>
                </c:pt>
                <c:pt idx="2">
                  <c:v>380.14367700000003</c:v>
                </c:pt>
                <c:pt idx="3">
                  <c:v>402.66372699999999</c:v>
                </c:pt>
                <c:pt idx="4">
                  <c:v>352.53537</c:v>
                </c:pt>
                <c:pt idx="5">
                  <c:v>406.91073599999999</c:v>
                </c:pt>
                <c:pt idx="6">
                  <c:v>395.028076</c:v>
                </c:pt>
                <c:pt idx="7">
                  <c:v>455.05792200000002</c:v>
                </c:pt>
                <c:pt idx="8">
                  <c:v>411.375427</c:v>
                </c:pt>
                <c:pt idx="9">
                  <c:v>362.07800300000002</c:v>
                </c:pt>
                <c:pt idx="10">
                  <c:v>521.64813200000003</c:v>
                </c:pt>
                <c:pt idx="11">
                  <c:v>477.65963699999998</c:v>
                </c:pt>
                <c:pt idx="12">
                  <c:v>409.90408300000001</c:v>
                </c:pt>
                <c:pt idx="13">
                  <c:v>512.99560499999995</c:v>
                </c:pt>
                <c:pt idx="14">
                  <c:v>453.80145299999998</c:v>
                </c:pt>
                <c:pt idx="15">
                  <c:v>402.50338699999998</c:v>
                </c:pt>
                <c:pt idx="16">
                  <c:v>446.789581</c:v>
                </c:pt>
                <c:pt idx="17">
                  <c:v>504.01199300000002</c:v>
                </c:pt>
                <c:pt idx="18">
                  <c:v>487.48046900000003</c:v>
                </c:pt>
                <c:pt idx="19">
                  <c:v>445.73538200000002</c:v>
                </c:pt>
                <c:pt idx="20">
                  <c:v>432.96380599999998</c:v>
                </c:pt>
                <c:pt idx="21">
                  <c:v>655.05004899999994</c:v>
                </c:pt>
                <c:pt idx="22">
                  <c:v>551.75860599999999</c:v>
                </c:pt>
                <c:pt idx="23">
                  <c:v>478.36517300000003</c:v>
                </c:pt>
                <c:pt idx="24">
                  <c:v>475.953217</c:v>
                </c:pt>
                <c:pt idx="25">
                  <c:v>575.55285600000002</c:v>
                </c:pt>
                <c:pt idx="26">
                  <c:v>394.30676299999999</c:v>
                </c:pt>
                <c:pt idx="27">
                  <c:v>555.71179199999995</c:v>
                </c:pt>
                <c:pt idx="28">
                  <c:v>517.95202600000005</c:v>
                </c:pt>
                <c:pt idx="29">
                  <c:v>423.49652099999997</c:v>
                </c:pt>
                <c:pt idx="30">
                  <c:v>429.75</c:v>
                </c:pt>
                <c:pt idx="31">
                  <c:v>455.23260499999998</c:v>
                </c:pt>
                <c:pt idx="32">
                  <c:v>419.719269</c:v>
                </c:pt>
                <c:pt idx="33">
                  <c:v>439.06982399999998</c:v>
                </c:pt>
                <c:pt idx="34">
                  <c:v>473.91619900000001</c:v>
                </c:pt>
                <c:pt idx="35">
                  <c:v>565.88653599999998</c:v>
                </c:pt>
                <c:pt idx="36">
                  <c:v>583.96917699999995</c:v>
                </c:pt>
                <c:pt idx="37">
                  <c:v>469.40347300000002</c:v>
                </c:pt>
                <c:pt idx="38">
                  <c:v>428.68609600000002</c:v>
                </c:pt>
                <c:pt idx="39">
                  <c:v>582.01855499999999</c:v>
                </c:pt>
                <c:pt idx="40">
                  <c:v>538.30267300000003</c:v>
                </c:pt>
                <c:pt idx="41">
                  <c:v>598.78753700000004</c:v>
                </c:pt>
                <c:pt idx="42">
                  <c:v>472.107147</c:v>
                </c:pt>
                <c:pt idx="43">
                  <c:v>658.25769000000003</c:v>
                </c:pt>
                <c:pt idx="44">
                  <c:v>590.34387200000003</c:v>
                </c:pt>
                <c:pt idx="45">
                  <c:v>631.99340800000004</c:v>
                </c:pt>
                <c:pt idx="46">
                  <c:v>617.23577899999998</c:v>
                </c:pt>
                <c:pt idx="47">
                  <c:v>631.07501200000002</c:v>
                </c:pt>
                <c:pt idx="48">
                  <c:v>671.42382799999996</c:v>
                </c:pt>
                <c:pt idx="49">
                  <c:v>544.87847899999997</c:v>
                </c:pt>
                <c:pt idx="50">
                  <c:v>611.11749299999997</c:v>
                </c:pt>
                <c:pt idx="51">
                  <c:v>635.63604699999996</c:v>
                </c:pt>
                <c:pt idx="52">
                  <c:v>651.70654300000001</c:v>
                </c:pt>
                <c:pt idx="53">
                  <c:v>763.04797399999995</c:v>
                </c:pt>
                <c:pt idx="54">
                  <c:v>685.38214100000005</c:v>
                </c:pt>
                <c:pt idx="55">
                  <c:v>543.99487299999998</c:v>
                </c:pt>
                <c:pt idx="56">
                  <c:v>612.19592299999999</c:v>
                </c:pt>
                <c:pt idx="57">
                  <c:v>625.72131300000001</c:v>
                </c:pt>
                <c:pt idx="58">
                  <c:v>713.40441899999996</c:v>
                </c:pt>
                <c:pt idx="59">
                  <c:v>534.81494099999998</c:v>
                </c:pt>
                <c:pt idx="60">
                  <c:v>588.62658699999997</c:v>
                </c:pt>
                <c:pt idx="61">
                  <c:v>516.95764199999996</c:v>
                </c:pt>
                <c:pt idx="62">
                  <c:v>655.64483600000005</c:v>
                </c:pt>
                <c:pt idx="63">
                  <c:v>651.22076400000003</c:v>
                </c:pt>
                <c:pt idx="64">
                  <c:v>555.95752000000005</c:v>
                </c:pt>
                <c:pt idx="65">
                  <c:v>602.59863299999995</c:v>
                </c:pt>
                <c:pt idx="66">
                  <c:v>595.64794900000004</c:v>
                </c:pt>
                <c:pt idx="67">
                  <c:v>575.23004200000003</c:v>
                </c:pt>
                <c:pt idx="68">
                  <c:v>519.41235400000005</c:v>
                </c:pt>
                <c:pt idx="69">
                  <c:v>606.68292199999996</c:v>
                </c:pt>
                <c:pt idx="70">
                  <c:v>636.87469499999997</c:v>
                </c:pt>
                <c:pt idx="71">
                  <c:v>643.61852999999996</c:v>
                </c:pt>
                <c:pt idx="72">
                  <c:v>730.84094200000004</c:v>
                </c:pt>
                <c:pt idx="73">
                  <c:v>571.63171399999999</c:v>
                </c:pt>
                <c:pt idx="74">
                  <c:v>651.89312700000005</c:v>
                </c:pt>
                <c:pt idx="75">
                  <c:v>619.65502900000001</c:v>
                </c:pt>
                <c:pt idx="76">
                  <c:v>808.23925799999995</c:v>
                </c:pt>
                <c:pt idx="77">
                  <c:v>748.36627199999998</c:v>
                </c:pt>
                <c:pt idx="78">
                  <c:v>724.16778599999998</c:v>
                </c:pt>
                <c:pt idx="79">
                  <c:v>667.18530299999998</c:v>
                </c:pt>
                <c:pt idx="80">
                  <c:v>676.13897699999995</c:v>
                </c:pt>
                <c:pt idx="81">
                  <c:v>746.24279799999999</c:v>
                </c:pt>
                <c:pt idx="82">
                  <c:v>641.173767</c:v>
                </c:pt>
                <c:pt idx="83">
                  <c:v>661.00006099999996</c:v>
                </c:pt>
                <c:pt idx="84">
                  <c:v>616.96820100000002</c:v>
                </c:pt>
                <c:pt idx="85">
                  <c:v>638.11151099999995</c:v>
                </c:pt>
                <c:pt idx="86">
                  <c:v>934.98321499999997</c:v>
                </c:pt>
                <c:pt idx="87">
                  <c:v>649.10571300000004</c:v>
                </c:pt>
                <c:pt idx="88">
                  <c:v>688.01269500000001</c:v>
                </c:pt>
                <c:pt idx="89">
                  <c:v>919.11242700000003</c:v>
                </c:pt>
                <c:pt idx="90">
                  <c:v>660.891479</c:v>
                </c:pt>
                <c:pt idx="91">
                  <c:v>619.48065199999996</c:v>
                </c:pt>
                <c:pt idx="92">
                  <c:v>694.13232400000004</c:v>
                </c:pt>
                <c:pt idx="93">
                  <c:v>638.23016399999995</c:v>
                </c:pt>
                <c:pt idx="94">
                  <c:v>631.37060499999995</c:v>
                </c:pt>
                <c:pt idx="95">
                  <c:v>637.42578100000003</c:v>
                </c:pt>
                <c:pt idx="96">
                  <c:v>643.40191700000003</c:v>
                </c:pt>
                <c:pt idx="97">
                  <c:v>684.53753700000004</c:v>
                </c:pt>
                <c:pt idx="98">
                  <c:v>672.24133300000005</c:v>
                </c:pt>
                <c:pt idx="99">
                  <c:v>681.98242200000004</c:v>
                </c:pt>
                <c:pt idx="100">
                  <c:v>671.75061000000005</c:v>
                </c:pt>
                <c:pt idx="101">
                  <c:v>693.50244099999998</c:v>
                </c:pt>
                <c:pt idx="102">
                  <c:v>693.60595699999999</c:v>
                </c:pt>
                <c:pt idx="103">
                  <c:v>778.41644299999996</c:v>
                </c:pt>
                <c:pt idx="104">
                  <c:v>774.47357199999999</c:v>
                </c:pt>
                <c:pt idx="105">
                  <c:v>711.44262700000002</c:v>
                </c:pt>
                <c:pt idx="106">
                  <c:v>813.26965299999995</c:v>
                </c:pt>
                <c:pt idx="107">
                  <c:v>660.22869900000001</c:v>
                </c:pt>
                <c:pt idx="108">
                  <c:v>701.08581500000003</c:v>
                </c:pt>
                <c:pt idx="109">
                  <c:v>873.71539299999995</c:v>
                </c:pt>
                <c:pt idx="110">
                  <c:v>912.96154799999999</c:v>
                </c:pt>
                <c:pt idx="111">
                  <c:v>677.78747599999997</c:v>
                </c:pt>
                <c:pt idx="112">
                  <c:v>899.537598</c:v>
                </c:pt>
                <c:pt idx="113">
                  <c:v>878.22216800000001</c:v>
                </c:pt>
                <c:pt idx="114">
                  <c:v>907.040344</c:v>
                </c:pt>
                <c:pt idx="115">
                  <c:v>668.09307899999999</c:v>
                </c:pt>
                <c:pt idx="116">
                  <c:v>757.45703100000003</c:v>
                </c:pt>
                <c:pt idx="117">
                  <c:v>744.48388699999998</c:v>
                </c:pt>
                <c:pt idx="118">
                  <c:v>911.67297399999995</c:v>
                </c:pt>
                <c:pt idx="119">
                  <c:v>869.89923099999999</c:v>
                </c:pt>
              </c:numCache>
            </c:numRef>
          </c:val>
          <c:smooth val="0"/>
          <c:extLst>
            <c:ext xmlns:c16="http://schemas.microsoft.com/office/drawing/2014/chart" uri="{C3380CC4-5D6E-409C-BE32-E72D297353CC}">
              <c16:uniqueId val="{00000001-D1A1-41BF-ABB3-B6FDB27326E8}"/>
            </c:ext>
          </c:extLst>
        </c:ser>
        <c:dLbls>
          <c:showLegendKey val="0"/>
          <c:showVal val="0"/>
          <c:showCatName val="0"/>
          <c:showSerName val="0"/>
          <c:showPercent val="0"/>
          <c:showBubbleSize val="0"/>
        </c:dLbls>
        <c:smooth val="0"/>
        <c:axId val="482941759"/>
        <c:axId val="482948831"/>
      </c:lineChart>
      <c:catAx>
        <c:axId val="48294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482948831"/>
        <c:crosses val="autoZero"/>
        <c:auto val="1"/>
        <c:lblAlgn val="ctr"/>
        <c:lblOffset val="100"/>
        <c:noMultiLvlLbl val="0"/>
      </c:catAx>
      <c:valAx>
        <c:axId val="482948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482941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Resultados_1!$BE$2</c:f>
              <c:strCache>
                <c:ptCount val="1"/>
                <c:pt idx="0">
                  <c:v>CPARankB</c:v>
                </c:pt>
              </c:strCache>
            </c:strRef>
          </c:tx>
          <c:spPr>
            <a:ln w="28575" cap="rnd">
              <a:solidFill>
                <a:schemeClr val="accent6"/>
              </a:solidFill>
              <a:round/>
            </a:ln>
            <a:effectLst/>
          </c:spPr>
          <c:marker>
            <c:symbol val="none"/>
          </c:marker>
          <c:val>
            <c:numRef>
              <c:f>Resultados_1!$BE$3:$BE$122</c:f>
              <c:numCache>
                <c:formatCode>General</c:formatCode>
                <c:ptCount val="120"/>
                <c:pt idx="0">
                  <c:v>364.59973100000002</c:v>
                </c:pt>
                <c:pt idx="1">
                  <c:v>405.06506300000001</c:v>
                </c:pt>
                <c:pt idx="2">
                  <c:v>337.63259900000003</c:v>
                </c:pt>
                <c:pt idx="3">
                  <c:v>370.94268799999998</c:v>
                </c:pt>
                <c:pt idx="4">
                  <c:v>318.96472199999999</c:v>
                </c:pt>
                <c:pt idx="5">
                  <c:v>384.07998700000002</c:v>
                </c:pt>
                <c:pt idx="6">
                  <c:v>354.81280500000003</c:v>
                </c:pt>
                <c:pt idx="7">
                  <c:v>413.71029700000003</c:v>
                </c:pt>
                <c:pt idx="8">
                  <c:v>395.448486</c:v>
                </c:pt>
                <c:pt idx="9">
                  <c:v>311.57052599999997</c:v>
                </c:pt>
                <c:pt idx="10">
                  <c:v>506.281158</c:v>
                </c:pt>
                <c:pt idx="11">
                  <c:v>435.57107500000001</c:v>
                </c:pt>
                <c:pt idx="12">
                  <c:v>393.565247</c:v>
                </c:pt>
                <c:pt idx="13">
                  <c:v>471.080963</c:v>
                </c:pt>
                <c:pt idx="14">
                  <c:v>428.46099900000002</c:v>
                </c:pt>
                <c:pt idx="15">
                  <c:v>380.45025600000002</c:v>
                </c:pt>
                <c:pt idx="16">
                  <c:v>400.96005200000002</c:v>
                </c:pt>
                <c:pt idx="17">
                  <c:v>467.14679000000001</c:v>
                </c:pt>
                <c:pt idx="18">
                  <c:v>465.89205900000002</c:v>
                </c:pt>
                <c:pt idx="19">
                  <c:v>423.08251999999999</c:v>
                </c:pt>
                <c:pt idx="20">
                  <c:v>424.43267800000001</c:v>
                </c:pt>
                <c:pt idx="21">
                  <c:v>443.869843</c:v>
                </c:pt>
                <c:pt idx="22">
                  <c:v>518.181152</c:v>
                </c:pt>
                <c:pt idx="23">
                  <c:v>430.00228900000002</c:v>
                </c:pt>
                <c:pt idx="24">
                  <c:v>442.56994600000002</c:v>
                </c:pt>
                <c:pt idx="25">
                  <c:v>559.75079300000004</c:v>
                </c:pt>
                <c:pt idx="26">
                  <c:v>380.51156600000002</c:v>
                </c:pt>
                <c:pt idx="27">
                  <c:v>548.44744900000001</c:v>
                </c:pt>
                <c:pt idx="28">
                  <c:v>474.60919200000001</c:v>
                </c:pt>
                <c:pt idx="29">
                  <c:v>375.23397799999998</c:v>
                </c:pt>
                <c:pt idx="30">
                  <c:v>369.545074</c:v>
                </c:pt>
                <c:pt idx="31">
                  <c:v>406.33590700000002</c:v>
                </c:pt>
                <c:pt idx="32">
                  <c:v>389.59921300000002</c:v>
                </c:pt>
                <c:pt idx="33">
                  <c:v>413.60144000000003</c:v>
                </c:pt>
                <c:pt idx="34">
                  <c:v>390.92746</c:v>
                </c:pt>
                <c:pt idx="35">
                  <c:v>478.70352200000002</c:v>
                </c:pt>
                <c:pt idx="36">
                  <c:v>518.72546399999999</c:v>
                </c:pt>
                <c:pt idx="37">
                  <c:v>443.48443600000002</c:v>
                </c:pt>
                <c:pt idx="38">
                  <c:v>408.78964200000001</c:v>
                </c:pt>
                <c:pt idx="39">
                  <c:v>490.313782</c:v>
                </c:pt>
                <c:pt idx="40">
                  <c:v>441.841339</c:v>
                </c:pt>
                <c:pt idx="41">
                  <c:v>559.05523700000003</c:v>
                </c:pt>
                <c:pt idx="42">
                  <c:v>440.73159800000002</c:v>
                </c:pt>
                <c:pt idx="43">
                  <c:v>611.44476299999997</c:v>
                </c:pt>
                <c:pt idx="44">
                  <c:v>593.92486599999995</c:v>
                </c:pt>
                <c:pt idx="45">
                  <c:v>593.38348399999995</c:v>
                </c:pt>
                <c:pt idx="46">
                  <c:v>534.15765399999998</c:v>
                </c:pt>
                <c:pt idx="47">
                  <c:v>572.92175299999997</c:v>
                </c:pt>
                <c:pt idx="48">
                  <c:v>561.89392099999998</c:v>
                </c:pt>
                <c:pt idx="49">
                  <c:v>420.12194799999997</c:v>
                </c:pt>
                <c:pt idx="50">
                  <c:v>581.57067900000004</c:v>
                </c:pt>
                <c:pt idx="51">
                  <c:v>627.42004399999996</c:v>
                </c:pt>
                <c:pt idx="52">
                  <c:v>542.29913299999998</c:v>
                </c:pt>
                <c:pt idx="53">
                  <c:v>715.97485400000005</c:v>
                </c:pt>
                <c:pt idx="54">
                  <c:v>640.44140600000003</c:v>
                </c:pt>
                <c:pt idx="55">
                  <c:v>546.83569299999999</c:v>
                </c:pt>
                <c:pt idx="56">
                  <c:v>628.83703600000001</c:v>
                </c:pt>
                <c:pt idx="57">
                  <c:v>598.39324999999997</c:v>
                </c:pt>
                <c:pt idx="58">
                  <c:v>648.15527299999997</c:v>
                </c:pt>
                <c:pt idx="59">
                  <c:v>560.28118900000004</c:v>
                </c:pt>
                <c:pt idx="60">
                  <c:v>554.870544</c:v>
                </c:pt>
                <c:pt idx="61">
                  <c:v>458.216431</c:v>
                </c:pt>
                <c:pt idx="62">
                  <c:v>574.13793899999996</c:v>
                </c:pt>
                <c:pt idx="63">
                  <c:v>580.28814699999998</c:v>
                </c:pt>
                <c:pt idx="64">
                  <c:v>452.684845</c:v>
                </c:pt>
                <c:pt idx="65">
                  <c:v>580.29516599999999</c:v>
                </c:pt>
                <c:pt idx="66">
                  <c:v>500.38897700000001</c:v>
                </c:pt>
                <c:pt idx="67">
                  <c:v>572.03344700000002</c:v>
                </c:pt>
                <c:pt idx="68">
                  <c:v>473.03066999999999</c:v>
                </c:pt>
                <c:pt idx="69">
                  <c:v>553.47735599999999</c:v>
                </c:pt>
                <c:pt idx="70">
                  <c:v>579.47393799999998</c:v>
                </c:pt>
                <c:pt idx="71">
                  <c:v>633.01062000000002</c:v>
                </c:pt>
                <c:pt idx="72">
                  <c:v>651.52154499999995</c:v>
                </c:pt>
                <c:pt idx="73">
                  <c:v>560.692139</c:v>
                </c:pt>
                <c:pt idx="74">
                  <c:v>589.535706</c:v>
                </c:pt>
                <c:pt idx="75">
                  <c:v>496.98263500000002</c:v>
                </c:pt>
                <c:pt idx="76">
                  <c:v>737.93859899999995</c:v>
                </c:pt>
                <c:pt idx="77">
                  <c:v>657.41082800000004</c:v>
                </c:pt>
                <c:pt idx="78">
                  <c:v>672.21191399999998</c:v>
                </c:pt>
                <c:pt idx="79">
                  <c:v>657.97699</c:v>
                </c:pt>
                <c:pt idx="80">
                  <c:v>677.462219</c:v>
                </c:pt>
                <c:pt idx="81">
                  <c:v>715.91223100000002</c:v>
                </c:pt>
                <c:pt idx="82">
                  <c:v>670.89703399999996</c:v>
                </c:pt>
                <c:pt idx="83">
                  <c:v>663.16900599999997</c:v>
                </c:pt>
                <c:pt idx="84">
                  <c:v>633.10961899999995</c:v>
                </c:pt>
                <c:pt idx="85">
                  <c:v>646.14105199999995</c:v>
                </c:pt>
                <c:pt idx="86">
                  <c:v>770.07708700000001</c:v>
                </c:pt>
                <c:pt idx="87">
                  <c:v>697.40405299999998</c:v>
                </c:pt>
                <c:pt idx="88">
                  <c:v>664.13928199999998</c:v>
                </c:pt>
                <c:pt idx="89">
                  <c:v>788.60095200000001</c:v>
                </c:pt>
                <c:pt idx="90">
                  <c:v>652.45251499999995</c:v>
                </c:pt>
                <c:pt idx="91">
                  <c:v>627.453979</c:v>
                </c:pt>
                <c:pt idx="92">
                  <c:v>580.98089600000003</c:v>
                </c:pt>
                <c:pt idx="93">
                  <c:v>524.94604500000003</c:v>
                </c:pt>
                <c:pt idx="94">
                  <c:v>544.00091599999996</c:v>
                </c:pt>
                <c:pt idx="95">
                  <c:v>604.97094700000002</c:v>
                </c:pt>
                <c:pt idx="96">
                  <c:v>618.34918200000004</c:v>
                </c:pt>
                <c:pt idx="97">
                  <c:v>573.48840299999995</c:v>
                </c:pt>
                <c:pt idx="98">
                  <c:v>592.04644800000005</c:v>
                </c:pt>
                <c:pt idx="99">
                  <c:v>613.18969700000002</c:v>
                </c:pt>
                <c:pt idx="100">
                  <c:v>610.86773700000003</c:v>
                </c:pt>
                <c:pt idx="101">
                  <c:v>557.23156700000004</c:v>
                </c:pt>
                <c:pt idx="102">
                  <c:v>653.78204300000004</c:v>
                </c:pt>
                <c:pt idx="103">
                  <c:v>676.77276600000005</c:v>
                </c:pt>
                <c:pt idx="104">
                  <c:v>674.76000999999997</c:v>
                </c:pt>
                <c:pt idx="105">
                  <c:v>744.38397199999997</c:v>
                </c:pt>
                <c:pt idx="106">
                  <c:v>707.209656</c:v>
                </c:pt>
                <c:pt idx="107">
                  <c:v>619.40826400000003</c:v>
                </c:pt>
                <c:pt idx="108">
                  <c:v>726.48553500000003</c:v>
                </c:pt>
                <c:pt idx="109">
                  <c:v>791.85571300000004</c:v>
                </c:pt>
                <c:pt idx="110">
                  <c:v>742.533142</c:v>
                </c:pt>
                <c:pt idx="111">
                  <c:v>758.24468999999999</c:v>
                </c:pt>
                <c:pt idx="112">
                  <c:v>723.66229199999998</c:v>
                </c:pt>
                <c:pt idx="113">
                  <c:v>707.92303500000003</c:v>
                </c:pt>
                <c:pt idx="114">
                  <c:v>713.05059800000004</c:v>
                </c:pt>
                <c:pt idx="115">
                  <c:v>740.37231399999996</c:v>
                </c:pt>
                <c:pt idx="116">
                  <c:v>740.15563999999995</c:v>
                </c:pt>
                <c:pt idx="117">
                  <c:v>760.11254899999994</c:v>
                </c:pt>
                <c:pt idx="118">
                  <c:v>761.36474599999997</c:v>
                </c:pt>
                <c:pt idx="119">
                  <c:v>792.85205099999996</c:v>
                </c:pt>
              </c:numCache>
            </c:numRef>
          </c:val>
          <c:smooth val="0"/>
          <c:extLst>
            <c:ext xmlns:c16="http://schemas.microsoft.com/office/drawing/2014/chart" uri="{C3380CC4-5D6E-409C-BE32-E72D297353CC}">
              <c16:uniqueId val="{00000000-38EB-4933-AA1B-F1553BA7366B}"/>
            </c:ext>
          </c:extLst>
        </c:ser>
        <c:ser>
          <c:idx val="1"/>
          <c:order val="1"/>
          <c:tx>
            <c:strRef>
              <c:f>Resultados_1!$BF$2</c:f>
              <c:strCache>
                <c:ptCount val="1"/>
                <c:pt idx="0">
                  <c:v>GRandB</c:v>
                </c:pt>
              </c:strCache>
            </c:strRef>
          </c:tx>
          <c:spPr>
            <a:ln w="28575" cap="rnd">
              <a:solidFill>
                <a:schemeClr val="accent5"/>
              </a:solidFill>
              <a:round/>
            </a:ln>
            <a:effectLst/>
          </c:spPr>
          <c:marker>
            <c:symbol val="none"/>
          </c:marker>
          <c:val>
            <c:numRef>
              <c:f>Resultados_1!$BF$3:$BF$122</c:f>
              <c:numCache>
                <c:formatCode>General</c:formatCode>
                <c:ptCount val="120"/>
                <c:pt idx="0">
                  <c:v>431.67184400000002</c:v>
                </c:pt>
                <c:pt idx="1">
                  <c:v>404.57049599999999</c:v>
                </c:pt>
                <c:pt idx="2">
                  <c:v>335.08850100000001</c:v>
                </c:pt>
                <c:pt idx="3">
                  <c:v>373.07678199999998</c:v>
                </c:pt>
                <c:pt idx="4">
                  <c:v>322.222443</c:v>
                </c:pt>
                <c:pt idx="5">
                  <c:v>384.83270299999998</c:v>
                </c:pt>
                <c:pt idx="6">
                  <c:v>369.19976800000001</c:v>
                </c:pt>
                <c:pt idx="7">
                  <c:v>420.171967</c:v>
                </c:pt>
                <c:pt idx="8">
                  <c:v>395.56634500000001</c:v>
                </c:pt>
                <c:pt idx="9">
                  <c:v>311.57052599999997</c:v>
                </c:pt>
                <c:pt idx="10">
                  <c:v>482.65521200000001</c:v>
                </c:pt>
                <c:pt idx="11">
                  <c:v>435.87612899999999</c:v>
                </c:pt>
                <c:pt idx="12">
                  <c:v>400.70556599999998</c:v>
                </c:pt>
                <c:pt idx="13">
                  <c:v>474.88351399999999</c:v>
                </c:pt>
                <c:pt idx="14">
                  <c:v>421.45886200000001</c:v>
                </c:pt>
                <c:pt idx="15">
                  <c:v>402.76248199999998</c:v>
                </c:pt>
                <c:pt idx="16">
                  <c:v>413.26559400000002</c:v>
                </c:pt>
                <c:pt idx="17">
                  <c:v>479.04007000000001</c:v>
                </c:pt>
                <c:pt idx="18">
                  <c:v>478.87951700000002</c:v>
                </c:pt>
                <c:pt idx="19">
                  <c:v>438.57611100000003</c:v>
                </c:pt>
                <c:pt idx="20">
                  <c:v>432.22677599999997</c:v>
                </c:pt>
                <c:pt idx="21">
                  <c:v>446.71078499999999</c:v>
                </c:pt>
                <c:pt idx="22">
                  <c:v>531.73693800000001</c:v>
                </c:pt>
                <c:pt idx="23">
                  <c:v>441.08700599999997</c:v>
                </c:pt>
                <c:pt idx="24">
                  <c:v>486.07977299999999</c:v>
                </c:pt>
                <c:pt idx="25">
                  <c:v>613.99249299999997</c:v>
                </c:pt>
                <c:pt idx="26">
                  <c:v>380.51156600000002</c:v>
                </c:pt>
                <c:pt idx="27">
                  <c:v>559.79754600000001</c:v>
                </c:pt>
                <c:pt idx="28">
                  <c:v>465.34634399999999</c:v>
                </c:pt>
                <c:pt idx="29">
                  <c:v>381.56494099999998</c:v>
                </c:pt>
                <c:pt idx="30">
                  <c:v>400.44961499999999</c:v>
                </c:pt>
                <c:pt idx="31">
                  <c:v>414.12939499999999</c:v>
                </c:pt>
                <c:pt idx="32">
                  <c:v>396.01196299999998</c:v>
                </c:pt>
                <c:pt idx="33">
                  <c:v>408.328552</c:v>
                </c:pt>
                <c:pt idx="34">
                  <c:v>403.23559599999999</c:v>
                </c:pt>
                <c:pt idx="35">
                  <c:v>503.41336100000001</c:v>
                </c:pt>
                <c:pt idx="36">
                  <c:v>487.96987899999999</c:v>
                </c:pt>
                <c:pt idx="37">
                  <c:v>475.29287699999998</c:v>
                </c:pt>
                <c:pt idx="38">
                  <c:v>428.72634900000003</c:v>
                </c:pt>
                <c:pt idx="39">
                  <c:v>539.48217799999998</c:v>
                </c:pt>
                <c:pt idx="40">
                  <c:v>414.19931000000003</c:v>
                </c:pt>
                <c:pt idx="41">
                  <c:v>610.05352800000003</c:v>
                </c:pt>
                <c:pt idx="42">
                  <c:v>427.11312900000001</c:v>
                </c:pt>
                <c:pt idx="43">
                  <c:v>635.05053699999996</c:v>
                </c:pt>
                <c:pt idx="44">
                  <c:v>649.66265899999996</c:v>
                </c:pt>
                <c:pt idx="45">
                  <c:v>538.46038799999997</c:v>
                </c:pt>
                <c:pt idx="46">
                  <c:v>611.99383499999999</c:v>
                </c:pt>
                <c:pt idx="47">
                  <c:v>568.42755099999999</c:v>
                </c:pt>
                <c:pt idx="48">
                  <c:v>540.76709000000005</c:v>
                </c:pt>
                <c:pt idx="49">
                  <c:v>456.696594</c:v>
                </c:pt>
                <c:pt idx="50">
                  <c:v>554.99530000000004</c:v>
                </c:pt>
                <c:pt idx="51">
                  <c:v>668.58074999999997</c:v>
                </c:pt>
                <c:pt idx="52">
                  <c:v>636.57641599999999</c:v>
                </c:pt>
                <c:pt idx="53">
                  <c:v>702.72406000000001</c:v>
                </c:pt>
                <c:pt idx="54">
                  <c:v>703.14752199999998</c:v>
                </c:pt>
                <c:pt idx="55">
                  <c:v>524.91186500000003</c:v>
                </c:pt>
                <c:pt idx="56">
                  <c:v>585.73718299999996</c:v>
                </c:pt>
                <c:pt idx="57">
                  <c:v>578.84594700000002</c:v>
                </c:pt>
                <c:pt idx="58">
                  <c:v>660.03057899999999</c:v>
                </c:pt>
                <c:pt idx="59">
                  <c:v>568.50994900000001</c:v>
                </c:pt>
                <c:pt idx="60">
                  <c:v>549.27002000000005</c:v>
                </c:pt>
                <c:pt idx="61">
                  <c:v>468.19949300000002</c:v>
                </c:pt>
                <c:pt idx="62">
                  <c:v>613.38525400000003</c:v>
                </c:pt>
                <c:pt idx="63">
                  <c:v>608.03192100000001</c:v>
                </c:pt>
                <c:pt idx="64">
                  <c:v>421.98644999999999</c:v>
                </c:pt>
                <c:pt idx="65">
                  <c:v>622.59118699999999</c:v>
                </c:pt>
                <c:pt idx="66">
                  <c:v>545.49652100000003</c:v>
                </c:pt>
                <c:pt idx="67">
                  <c:v>500.67480499999999</c:v>
                </c:pt>
                <c:pt idx="68">
                  <c:v>565.35986300000002</c:v>
                </c:pt>
                <c:pt idx="69">
                  <c:v>564.76122999999995</c:v>
                </c:pt>
                <c:pt idx="70">
                  <c:v>588.88391100000001</c:v>
                </c:pt>
                <c:pt idx="71">
                  <c:v>605.72522000000004</c:v>
                </c:pt>
                <c:pt idx="72">
                  <c:v>694.08245799999997</c:v>
                </c:pt>
                <c:pt idx="73">
                  <c:v>495.42596400000002</c:v>
                </c:pt>
                <c:pt idx="74">
                  <c:v>555.80780000000004</c:v>
                </c:pt>
                <c:pt idx="75">
                  <c:v>587.28088400000001</c:v>
                </c:pt>
                <c:pt idx="76">
                  <c:v>718.40850799999998</c:v>
                </c:pt>
                <c:pt idx="77">
                  <c:v>620.28765899999996</c:v>
                </c:pt>
                <c:pt idx="78">
                  <c:v>696.42810099999997</c:v>
                </c:pt>
                <c:pt idx="79">
                  <c:v>740.27563499999997</c:v>
                </c:pt>
                <c:pt idx="80">
                  <c:v>738.68524200000002</c:v>
                </c:pt>
                <c:pt idx="81">
                  <c:v>657.45245399999999</c:v>
                </c:pt>
                <c:pt idx="82">
                  <c:v>656.96380599999998</c:v>
                </c:pt>
                <c:pt idx="83">
                  <c:v>734.61499000000003</c:v>
                </c:pt>
                <c:pt idx="84">
                  <c:v>605.48187299999995</c:v>
                </c:pt>
                <c:pt idx="85">
                  <c:v>634.04632600000002</c:v>
                </c:pt>
                <c:pt idx="86">
                  <c:v>911.70611599999995</c:v>
                </c:pt>
                <c:pt idx="87">
                  <c:v>763.72479199999998</c:v>
                </c:pt>
                <c:pt idx="88">
                  <c:v>639.73382600000002</c:v>
                </c:pt>
                <c:pt idx="89">
                  <c:v>847.82232699999997</c:v>
                </c:pt>
                <c:pt idx="90">
                  <c:v>641.78924600000005</c:v>
                </c:pt>
                <c:pt idx="91">
                  <c:v>572.63226299999997</c:v>
                </c:pt>
                <c:pt idx="92">
                  <c:v>658.60082999999997</c:v>
                </c:pt>
                <c:pt idx="93">
                  <c:v>518.50994900000001</c:v>
                </c:pt>
                <c:pt idx="94">
                  <c:v>641.96295199999997</c:v>
                </c:pt>
                <c:pt idx="95">
                  <c:v>662.05206299999998</c:v>
                </c:pt>
                <c:pt idx="96">
                  <c:v>645.93823199999997</c:v>
                </c:pt>
                <c:pt idx="97">
                  <c:v>487.93109099999998</c:v>
                </c:pt>
                <c:pt idx="98">
                  <c:v>602.09338400000001</c:v>
                </c:pt>
                <c:pt idx="99">
                  <c:v>640.44903599999998</c:v>
                </c:pt>
                <c:pt idx="100">
                  <c:v>694.62396200000001</c:v>
                </c:pt>
                <c:pt idx="101">
                  <c:v>573.52984600000002</c:v>
                </c:pt>
                <c:pt idx="102">
                  <c:v>664.301331</c:v>
                </c:pt>
                <c:pt idx="103">
                  <c:v>735.64617899999996</c:v>
                </c:pt>
                <c:pt idx="104">
                  <c:v>683.47833300000002</c:v>
                </c:pt>
                <c:pt idx="105">
                  <c:v>656.22735599999999</c:v>
                </c:pt>
                <c:pt idx="106">
                  <c:v>689.90405299999998</c:v>
                </c:pt>
                <c:pt idx="107">
                  <c:v>758.24285899999995</c:v>
                </c:pt>
                <c:pt idx="108">
                  <c:v>658.71734600000002</c:v>
                </c:pt>
                <c:pt idx="109">
                  <c:v>842.13519299999996</c:v>
                </c:pt>
                <c:pt idx="110">
                  <c:v>826.07336399999997</c:v>
                </c:pt>
                <c:pt idx="111">
                  <c:v>684.89764400000001</c:v>
                </c:pt>
                <c:pt idx="112">
                  <c:v>697.728882</c:v>
                </c:pt>
                <c:pt idx="113">
                  <c:v>835.04095500000005</c:v>
                </c:pt>
                <c:pt idx="114">
                  <c:v>814.52349900000002</c:v>
                </c:pt>
                <c:pt idx="115">
                  <c:v>849.56195100000002</c:v>
                </c:pt>
                <c:pt idx="116">
                  <c:v>708.05694600000004</c:v>
                </c:pt>
                <c:pt idx="117">
                  <c:v>926.39892599999996</c:v>
                </c:pt>
                <c:pt idx="118">
                  <c:v>709.51269500000001</c:v>
                </c:pt>
                <c:pt idx="119">
                  <c:v>869.668091</c:v>
                </c:pt>
              </c:numCache>
            </c:numRef>
          </c:val>
          <c:smooth val="0"/>
          <c:extLst>
            <c:ext xmlns:c16="http://schemas.microsoft.com/office/drawing/2014/chart" uri="{C3380CC4-5D6E-409C-BE32-E72D297353CC}">
              <c16:uniqueId val="{00000001-38EB-4933-AA1B-F1553BA7366B}"/>
            </c:ext>
          </c:extLst>
        </c:ser>
        <c:dLbls>
          <c:showLegendKey val="0"/>
          <c:showVal val="0"/>
          <c:showCatName val="0"/>
          <c:showSerName val="0"/>
          <c:showPercent val="0"/>
          <c:showBubbleSize val="0"/>
        </c:dLbls>
        <c:smooth val="0"/>
        <c:axId val="161994687"/>
        <c:axId val="162005919"/>
      </c:lineChart>
      <c:catAx>
        <c:axId val="161994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2005919"/>
        <c:crosses val="autoZero"/>
        <c:auto val="1"/>
        <c:lblAlgn val="ctr"/>
        <c:lblOffset val="100"/>
        <c:noMultiLvlLbl val="0"/>
      </c:catAx>
      <c:valAx>
        <c:axId val="162005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19946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Resultados_1!$AZ$2</c:f>
              <c:strCache>
                <c:ptCount val="1"/>
                <c:pt idx="0">
                  <c:v>CPARankA</c:v>
                </c:pt>
              </c:strCache>
            </c:strRef>
          </c:tx>
          <c:spPr>
            <a:ln w="28575" cap="rnd">
              <a:solidFill>
                <a:schemeClr val="accent6"/>
              </a:solidFill>
              <a:round/>
            </a:ln>
            <a:effectLst/>
          </c:spPr>
          <c:marker>
            <c:symbol val="none"/>
          </c:marker>
          <c:val>
            <c:numRef>
              <c:f>Resultados_1!$AZ$3:$AZ$122</c:f>
              <c:numCache>
                <c:formatCode>General</c:formatCode>
                <c:ptCount val="120"/>
                <c:pt idx="0">
                  <c:v>376.96539300000001</c:v>
                </c:pt>
                <c:pt idx="1">
                  <c:v>424.229218</c:v>
                </c:pt>
                <c:pt idx="2">
                  <c:v>365.81158399999998</c:v>
                </c:pt>
                <c:pt idx="3">
                  <c:v>395.05444299999999</c:v>
                </c:pt>
                <c:pt idx="4">
                  <c:v>341.22711199999998</c:v>
                </c:pt>
                <c:pt idx="5">
                  <c:v>408.41876200000002</c:v>
                </c:pt>
                <c:pt idx="6">
                  <c:v>382.210846</c:v>
                </c:pt>
                <c:pt idx="7">
                  <c:v>458.79028299999999</c:v>
                </c:pt>
                <c:pt idx="8">
                  <c:v>413.77310199999999</c:v>
                </c:pt>
                <c:pt idx="9">
                  <c:v>342.79367100000002</c:v>
                </c:pt>
                <c:pt idx="10">
                  <c:v>513.706909</c:v>
                </c:pt>
                <c:pt idx="11">
                  <c:v>471.94580100000002</c:v>
                </c:pt>
                <c:pt idx="12">
                  <c:v>409.16146900000001</c:v>
                </c:pt>
                <c:pt idx="13">
                  <c:v>510.84286500000002</c:v>
                </c:pt>
                <c:pt idx="14">
                  <c:v>463.072205</c:v>
                </c:pt>
                <c:pt idx="15">
                  <c:v>401.01702899999998</c:v>
                </c:pt>
                <c:pt idx="16">
                  <c:v>423.66629</c:v>
                </c:pt>
                <c:pt idx="17">
                  <c:v>489.51110799999998</c:v>
                </c:pt>
                <c:pt idx="18">
                  <c:v>487.48046900000003</c:v>
                </c:pt>
                <c:pt idx="19">
                  <c:v>453.96725500000002</c:v>
                </c:pt>
                <c:pt idx="20">
                  <c:v>451.81829800000003</c:v>
                </c:pt>
                <c:pt idx="21">
                  <c:v>449.00775099999998</c:v>
                </c:pt>
                <c:pt idx="22">
                  <c:v>537.61804199999995</c:v>
                </c:pt>
                <c:pt idx="23">
                  <c:v>451.229401</c:v>
                </c:pt>
                <c:pt idx="24">
                  <c:v>458.30166600000001</c:v>
                </c:pt>
                <c:pt idx="25">
                  <c:v>601.09368900000004</c:v>
                </c:pt>
                <c:pt idx="26">
                  <c:v>394.30676299999999</c:v>
                </c:pt>
                <c:pt idx="27">
                  <c:v>554.31097399999999</c:v>
                </c:pt>
                <c:pt idx="28">
                  <c:v>509.14325000000002</c:v>
                </c:pt>
                <c:pt idx="29">
                  <c:v>391.43301400000001</c:v>
                </c:pt>
                <c:pt idx="30">
                  <c:v>404.11584499999998</c:v>
                </c:pt>
                <c:pt idx="31">
                  <c:v>444.69982900000002</c:v>
                </c:pt>
                <c:pt idx="32">
                  <c:v>430.92837500000002</c:v>
                </c:pt>
                <c:pt idx="33">
                  <c:v>464.92394999999999</c:v>
                </c:pt>
                <c:pt idx="34">
                  <c:v>423.14672899999999</c:v>
                </c:pt>
                <c:pt idx="35">
                  <c:v>546.52374299999997</c:v>
                </c:pt>
                <c:pt idx="36">
                  <c:v>576.66253700000004</c:v>
                </c:pt>
                <c:pt idx="37">
                  <c:v>498.79675300000002</c:v>
                </c:pt>
                <c:pt idx="38">
                  <c:v>444.79968300000002</c:v>
                </c:pt>
                <c:pt idx="39">
                  <c:v>563.186646</c:v>
                </c:pt>
                <c:pt idx="40">
                  <c:v>462.340057</c:v>
                </c:pt>
                <c:pt idx="41">
                  <c:v>583.15667699999995</c:v>
                </c:pt>
                <c:pt idx="42">
                  <c:v>474.41699199999999</c:v>
                </c:pt>
                <c:pt idx="43">
                  <c:v>610.109375</c:v>
                </c:pt>
                <c:pt idx="44">
                  <c:v>612.33050500000002</c:v>
                </c:pt>
                <c:pt idx="45">
                  <c:v>601.25073199999997</c:v>
                </c:pt>
                <c:pt idx="46">
                  <c:v>563.65118399999994</c:v>
                </c:pt>
                <c:pt idx="47">
                  <c:v>601.30621299999996</c:v>
                </c:pt>
                <c:pt idx="48">
                  <c:v>608.27484100000004</c:v>
                </c:pt>
                <c:pt idx="49">
                  <c:v>474.47961400000003</c:v>
                </c:pt>
                <c:pt idx="50">
                  <c:v>605.30358899999999</c:v>
                </c:pt>
                <c:pt idx="51">
                  <c:v>656.59576400000003</c:v>
                </c:pt>
                <c:pt idx="52">
                  <c:v>576.58062700000005</c:v>
                </c:pt>
                <c:pt idx="53">
                  <c:v>709.82324200000005</c:v>
                </c:pt>
                <c:pt idx="54">
                  <c:v>657.38525400000003</c:v>
                </c:pt>
                <c:pt idx="55">
                  <c:v>553.33111599999995</c:v>
                </c:pt>
                <c:pt idx="56">
                  <c:v>630.25396699999999</c:v>
                </c:pt>
                <c:pt idx="57">
                  <c:v>587.75598100000002</c:v>
                </c:pt>
                <c:pt idx="58">
                  <c:v>656.67535399999997</c:v>
                </c:pt>
                <c:pt idx="59">
                  <c:v>568.16583300000002</c:v>
                </c:pt>
                <c:pt idx="60">
                  <c:v>612.113159</c:v>
                </c:pt>
                <c:pt idx="61">
                  <c:v>538.90173300000004</c:v>
                </c:pt>
                <c:pt idx="62">
                  <c:v>610.80566399999998</c:v>
                </c:pt>
                <c:pt idx="63">
                  <c:v>597.69976799999995</c:v>
                </c:pt>
                <c:pt idx="64">
                  <c:v>542.69671600000004</c:v>
                </c:pt>
                <c:pt idx="65">
                  <c:v>630.65838599999995</c:v>
                </c:pt>
                <c:pt idx="66">
                  <c:v>560.43963599999995</c:v>
                </c:pt>
                <c:pt idx="67">
                  <c:v>604.33557099999996</c:v>
                </c:pt>
                <c:pt idx="68">
                  <c:v>549.73461899999995</c:v>
                </c:pt>
                <c:pt idx="69">
                  <c:v>590.42382799999996</c:v>
                </c:pt>
                <c:pt idx="70">
                  <c:v>605.48040800000001</c:v>
                </c:pt>
                <c:pt idx="71">
                  <c:v>670.37805200000003</c:v>
                </c:pt>
                <c:pt idx="72">
                  <c:v>671.40429700000004</c:v>
                </c:pt>
                <c:pt idx="73">
                  <c:v>606.30432099999996</c:v>
                </c:pt>
                <c:pt idx="74">
                  <c:v>624.60339399999998</c:v>
                </c:pt>
                <c:pt idx="75">
                  <c:v>556.20477300000005</c:v>
                </c:pt>
                <c:pt idx="76">
                  <c:v>742.38793899999996</c:v>
                </c:pt>
                <c:pt idx="77">
                  <c:v>668.19482400000004</c:v>
                </c:pt>
                <c:pt idx="78">
                  <c:v>706.88122599999997</c:v>
                </c:pt>
                <c:pt idx="79">
                  <c:v>682.96215800000004</c:v>
                </c:pt>
                <c:pt idx="80">
                  <c:v>696.17199700000003</c:v>
                </c:pt>
                <c:pt idx="81">
                  <c:v>716.91778599999998</c:v>
                </c:pt>
                <c:pt idx="82">
                  <c:v>671.08325200000002</c:v>
                </c:pt>
                <c:pt idx="83">
                  <c:v>699.52410899999995</c:v>
                </c:pt>
                <c:pt idx="84">
                  <c:v>633.80480999999997</c:v>
                </c:pt>
                <c:pt idx="85">
                  <c:v>665.057007</c:v>
                </c:pt>
                <c:pt idx="86">
                  <c:v>779.13262899999995</c:v>
                </c:pt>
                <c:pt idx="87">
                  <c:v>709.83599900000002</c:v>
                </c:pt>
                <c:pt idx="88">
                  <c:v>667.86743200000001</c:v>
                </c:pt>
                <c:pt idx="89">
                  <c:v>811.65795900000001</c:v>
                </c:pt>
                <c:pt idx="90">
                  <c:v>668.95550500000002</c:v>
                </c:pt>
                <c:pt idx="91">
                  <c:v>650.28527799999995</c:v>
                </c:pt>
                <c:pt idx="92">
                  <c:v>631.75915499999996</c:v>
                </c:pt>
                <c:pt idx="93">
                  <c:v>598.37329099999999</c:v>
                </c:pt>
                <c:pt idx="94">
                  <c:v>605.262878</c:v>
                </c:pt>
                <c:pt idx="95">
                  <c:v>638.58227499999998</c:v>
                </c:pt>
                <c:pt idx="96">
                  <c:v>646.61596699999996</c:v>
                </c:pt>
                <c:pt idx="97">
                  <c:v>619.73907499999996</c:v>
                </c:pt>
                <c:pt idx="98">
                  <c:v>618.76879899999994</c:v>
                </c:pt>
                <c:pt idx="99">
                  <c:v>652.70678699999996</c:v>
                </c:pt>
                <c:pt idx="100">
                  <c:v>646.94250499999998</c:v>
                </c:pt>
                <c:pt idx="101">
                  <c:v>612.98419200000001</c:v>
                </c:pt>
                <c:pt idx="102">
                  <c:v>680.66015600000003</c:v>
                </c:pt>
                <c:pt idx="103">
                  <c:v>692.65423599999997</c:v>
                </c:pt>
                <c:pt idx="104">
                  <c:v>705.07971199999997</c:v>
                </c:pt>
                <c:pt idx="105">
                  <c:v>759.43969700000002</c:v>
                </c:pt>
                <c:pt idx="106">
                  <c:v>760.59228499999995</c:v>
                </c:pt>
                <c:pt idx="107">
                  <c:v>655.25268600000004</c:v>
                </c:pt>
                <c:pt idx="108">
                  <c:v>755.01135299999999</c:v>
                </c:pt>
                <c:pt idx="109">
                  <c:v>771.60778800000003</c:v>
                </c:pt>
                <c:pt idx="110">
                  <c:v>739.98443599999996</c:v>
                </c:pt>
                <c:pt idx="111">
                  <c:v>779.65576199999998</c:v>
                </c:pt>
                <c:pt idx="112">
                  <c:v>731.94378700000004</c:v>
                </c:pt>
                <c:pt idx="113">
                  <c:v>720.67199700000003</c:v>
                </c:pt>
                <c:pt idx="114">
                  <c:v>727.94616699999995</c:v>
                </c:pt>
                <c:pt idx="115">
                  <c:v>712.85363800000005</c:v>
                </c:pt>
                <c:pt idx="116">
                  <c:v>731.68493699999999</c:v>
                </c:pt>
                <c:pt idx="117">
                  <c:v>762.19421399999999</c:v>
                </c:pt>
                <c:pt idx="118">
                  <c:v>791.134277</c:v>
                </c:pt>
                <c:pt idx="119">
                  <c:v>844.31103499999995</c:v>
                </c:pt>
              </c:numCache>
            </c:numRef>
          </c:val>
          <c:smooth val="0"/>
          <c:extLst>
            <c:ext xmlns:c16="http://schemas.microsoft.com/office/drawing/2014/chart" uri="{C3380CC4-5D6E-409C-BE32-E72D297353CC}">
              <c16:uniqueId val="{00000000-1B36-47E8-9D6E-0111795BE3D5}"/>
            </c:ext>
          </c:extLst>
        </c:ser>
        <c:ser>
          <c:idx val="1"/>
          <c:order val="1"/>
          <c:tx>
            <c:strRef>
              <c:f>Resultados_1!$BB$2</c:f>
              <c:strCache>
                <c:ptCount val="1"/>
                <c:pt idx="0">
                  <c:v>GRankA</c:v>
                </c:pt>
              </c:strCache>
            </c:strRef>
          </c:tx>
          <c:spPr>
            <a:ln w="28575" cap="rnd">
              <a:solidFill>
                <a:schemeClr val="accent5"/>
              </a:solidFill>
              <a:round/>
            </a:ln>
            <a:effectLst/>
          </c:spPr>
          <c:marker>
            <c:symbol val="none"/>
          </c:marker>
          <c:val>
            <c:numRef>
              <c:f>Resultados_1!$BB$3:$BB$122</c:f>
              <c:numCache>
                <c:formatCode>General</c:formatCode>
                <c:ptCount val="120"/>
                <c:pt idx="0">
                  <c:v>386.70614599999999</c:v>
                </c:pt>
                <c:pt idx="1">
                  <c:v>416.98718300000002</c:v>
                </c:pt>
                <c:pt idx="2">
                  <c:v>368.59149200000002</c:v>
                </c:pt>
                <c:pt idx="3">
                  <c:v>391.01776100000001</c:v>
                </c:pt>
                <c:pt idx="4">
                  <c:v>341.47854599999999</c:v>
                </c:pt>
                <c:pt idx="5">
                  <c:v>409.17193600000002</c:v>
                </c:pt>
                <c:pt idx="6">
                  <c:v>382.39572099999998</c:v>
                </c:pt>
                <c:pt idx="7">
                  <c:v>458.95529199999999</c:v>
                </c:pt>
                <c:pt idx="8">
                  <c:v>418.25576799999999</c:v>
                </c:pt>
                <c:pt idx="9">
                  <c:v>342.79367100000002</c:v>
                </c:pt>
                <c:pt idx="10">
                  <c:v>534.48339799999997</c:v>
                </c:pt>
                <c:pt idx="11">
                  <c:v>472.11209100000002</c:v>
                </c:pt>
                <c:pt idx="12">
                  <c:v>406.68914799999999</c:v>
                </c:pt>
                <c:pt idx="13">
                  <c:v>513.56585700000005</c:v>
                </c:pt>
                <c:pt idx="14">
                  <c:v>463.91763300000002</c:v>
                </c:pt>
                <c:pt idx="15">
                  <c:v>401.75589000000002</c:v>
                </c:pt>
                <c:pt idx="16">
                  <c:v>429.97448700000001</c:v>
                </c:pt>
                <c:pt idx="17">
                  <c:v>513.58538799999997</c:v>
                </c:pt>
                <c:pt idx="18">
                  <c:v>481.86673000000002</c:v>
                </c:pt>
                <c:pt idx="19">
                  <c:v>457.49856599999998</c:v>
                </c:pt>
                <c:pt idx="20">
                  <c:v>432.29077100000001</c:v>
                </c:pt>
                <c:pt idx="21">
                  <c:v>449.00775099999998</c:v>
                </c:pt>
                <c:pt idx="22">
                  <c:v>540.21661400000005</c:v>
                </c:pt>
                <c:pt idx="23">
                  <c:v>451.90234400000003</c:v>
                </c:pt>
                <c:pt idx="24">
                  <c:v>458.30166600000001</c:v>
                </c:pt>
                <c:pt idx="25">
                  <c:v>600.06378199999995</c:v>
                </c:pt>
                <c:pt idx="26">
                  <c:v>394.30676299999999</c:v>
                </c:pt>
                <c:pt idx="27">
                  <c:v>554.31097399999999</c:v>
                </c:pt>
                <c:pt idx="28">
                  <c:v>506.88961799999998</c:v>
                </c:pt>
                <c:pt idx="29">
                  <c:v>395.38916</c:v>
                </c:pt>
                <c:pt idx="30">
                  <c:v>405.61071800000002</c:v>
                </c:pt>
                <c:pt idx="31">
                  <c:v>432.844269</c:v>
                </c:pt>
                <c:pt idx="32">
                  <c:v>432.68515000000002</c:v>
                </c:pt>
                <c:pt idx="33">
                  <c:v>456.00851399999999</c:v>
                </c:pt>
                <c:pt idx="34">
                  <c:v>420.80825800000002</c:v>
                </c:pt>
                <c:pt idx="35">
                  <c:v>524.11840800000004</c:v>
                </c:pt>
                <c:pt idx="36">
                  <c:v>579.086365</c:v>
                </c:pt>
                <c:pt idx="37">
                  <c:v>495.15173299999998</c:v>
                </c:pt>
                <c:pt idx="38">
                  <c:v>444.59204099999999</c:v>
                </c:pt>
                <c:pt idx="39">
                  <c:v>558.33892800000001</c:v>
                </c:pt>
                <c:pt idx="40">
                  <c:v>495.11737099999999</c:v>
                </c:pt>
                <c:pt idx="41">
                  <c:v>612.78448500000002</c:v>
                </c:pt>
                <c:pt idx="42">
                  <c:v>471.81146200000001</c:v>
                </c:pt>
                <c:pt idx="43">
                  <c:v>613.26312299999995</c:v>
                </c:pt>
                <c:pt idx="44">
                  <c:v>609.76293899999996</c:v>
                </c:pt>
                <c:pt idx="45">
                  <c:v>604.98046899999997</c:v>
                </c:pt>
                <c:pt idx="46">
                  <c:v>559.81304899999998</c:v>
                </c:pt>
                <c:pt idx="47">
                  <c:v>614.80621299999996</c:v>
                </c:pt>
                <c:pt idx="48">
                  <c:v>607.76971400000002</c:v>
                </c:pt>
                <c:pt idx="49">
                  <c:v>475.13970899999998</c:v>
                </c:pt>
                <c:pt idx="50">
                  <c:v>602.03479000000004</c:v>
                </c:pt>
                <c:pt idx="51">
                  <c:v>656.66015600000003</c:v>
                </c:pt>
                <c:pt idx="52">
                  <c:v>565.21417199999996</c:v>
                </c:pt>
                <c:pt idx="53">
                  <c:v>719.85974099999999</c:v>
                </c:pt>
                <c:pt idx="54">
                  <c:v>659.96490500000004</c:v>
                </c:pt>
                <c:pt idx="55">
                  <c:v>572.99224900000002</c:v>
                </c:pt>
                <c:pt idx="56">
                  <c:v>651.84375</c:v>
                </c:pt>
                <c:pt idx="57">
                  <c:v>600.66986099999997</c:v>
                </c:pt>
                <c:pt idx="58">
                  <c:v>645.14813200000003</c:v>
                </c:pt>
                <c:pt idx="59">
                  <c:v>535.77044699999999</c:v>
                </c:pt>
                <c:pt idx="60">
                  <c:v>592.66516100000001</c:v>
                </c:pt>
                <c:pt idx="61">
                  <c:v>547.20288100000005</c:v>
                </c:pt>
                <c:pt idx="62">
                  <c:v>607.13934300000005</c:v>
                </c:pt>
                <c:pt idx="63">
                  <c:v>601.75116000000003</c:v>
                </c:pt>
                <c:pt idx="64">
                  <c:v>544.70544400000006</c:v>
                </c:pt>
                <c:pt idx="65">
                  <c:v>631.06091300000003</c:v>
                </c:pt>
                <c:pt idx="66">
                  <c:v>571.00451699999996</c:v>
                </c:pt>
                <c:pt idx="67">
                  <c:v>607.06994599999996</c:v>
                </c:pt>
                <c:pt idx="68">
                  <c:v>545.79193099999998</c:v>
                </c:pt>
                <c:pt idx="69">
                  <c:v>595.23681599999998</c:v>
                </c:pt>
                <c:pt idx="70">
                  <c:v>616.68957499999999</c:v>
                </c:pt>
                <c:pt idx="71">
                  <c:v>660.01800500000002</c:v>
                </c:pt>
                <c:pt idx="72">
                  <c:v>672.964966</c:v>
                </c:pt>
                <c:pt idx="73">
                  <c:v>603.84631300000001</c:v>
                </c:pt>
                <c:pt idx="74">
                  <c:v>625.228882</c:v>
                </c:pt>
                <c:pt idx="75">
                  <c:v>549.903503</c:v>
                </c:pt>
                <c:pt idx="76">
                  <c:v>750.70495600000004</c:v>
                </c:pt>
                <c:pt idx="77">
                  <c:v>684.74560499999995</c:v>
                </c:pt>
                <c:pt idx="78">
                  <c:v>705.06811500000003</c:v>
                </c:pt>
                <c:pt idx="79">
                  <c:v>694.73309300000005</c:v>
                </c:pt>
                <c:pt idx="80">
                  <c:v>692.65020800000002</c:v>
                </c:pt>
                <c:pt idx="81">
                  <c:v>711.73919699999999</c:v>
                </c:pt>
                <c:pt idx="82">
                  <c:v>692.07281499999999</c:v>
                </c:pt>
                <c:pt idx="83">
                  <c:v>685.51757799999996</c:v>
                </c:pt>
                <c:pt idx="84">
                  <c:v>653.75970500000005</c:v>
                </c:pt>
                <c:pt idx="85">
                  <c:v>669.42956500000003</c:v>
                </c:pt>
                <c:pt idx="86">
                  <c:v>790.32550000000003</c:v>
                </c:pt>
                <c:pt idx="87">
                  <c:v>706.93957499999999</c:v>
                </c:pt>
                <c:pt idx="88">
                  <c:v>676.28155500000003</c:v>
                </c:pt>
                <c:pt idx="89">
                  <c:v>810.77105700000004</c:v>
                </c:pt>
                <c:pt idx="90">
                  <c:v>680.11309800000004</c:v>
                </c:pt>
                <c:pt idx="91">
                  <c:v>654.48254399999996</c:v>
                </c:pt>
                <c:pt idx="92">
                  <c:v>629.83123799999998</c:v>
                </c:pt>
                <c:pt idx="93">
                  <c:v>598.44104000000004</c:v>
                </c:pt>
                <c:pt idx="94">
                  <c:v>590.57012899999995</c:v>
                </c:pt>
                <c:pt idx="95">
                  <c:v>641.230774</c:v>
                </c:pt>
                <c:pt idx="96">
                  <c:v>667.36804199999995</c:v>
                </c:pt>
                <c:pt idx="97">
                  <c:v>613.49163799999997</c:v>
                </c:pt>
                <c:pt idx="98">
                  <c:v>623.22192399999994</c:v>
                </c:pt>
                <c:pt idx="99">
                  <c:v>633.03509499999996</c:v>
                </c:pt>
                <c:pt idx="100">
                  <c:v>663.17480499999999</c:v>
                </c:pt>
                <c:pt idx="101">
                  <c:v>624.97302200000001</c:v>
                </c:pt>
                <c:pt idx="102">
                  <c:v>674.83587599999998</c:v>
                </c:pt>
                <c:pt idx="103">
                  <c:v>685.82269299999996</c:v>
                </c:pt>
                <c:pt idx="104">
                  <c:v>704.82629399999996</c:v>
                </c:pt>
                <c:pt idx="105">
                  <c:v>777.34240699999998</c:v>
                </c:pt>
                <c:pt idx="106">
                  <c:v>771.10186799999997</c:v>
                </c:pt>
                <c:pt idx="107">
                  <c:v>664.59179700000004</c:v>
                </c:pt>
                <c:pt idx="108">
                  <c:v>724.035034</c:v>
                </c:pt>
                <c:pt idx="109">
                  <c:v>781.65863000000002</c:v>
                </c:pt>
                <c:pt idx="110">
                  <c:v>747.08581500000003</c:v>
                </c:pt>
                <c:pt idx="111">
                  <c:v>766.01538100000005</c:v>
                </c:pt>
                <c:pt idx="112">
                  <c:v>756.17034899999999</c:v>
                </c:pt>
                <c:pt idx="113">
                  <c:v>719.60827600000005</c:v>
                </c:pt>
                <c:pt idx="114">
                  <c:v>727.12933299999997</c:v>
                </c:pt>
                <c:pt idx="115">
                  <c:v>741.20715299999995</c:v>
                </c:pt>
                <c:pt idx="116">
                  <c:v>730.020081</c:v>
                </c:pt>
                <c:pt idx="117">
                  <c:v>744.93957499999999</c:v>
                </c:pt>
                <c:pt idx="118">
                  <c:v>787.03814699999998</c:v>
                </c:pt>
                <c:pt idx="119">
                  <c:v>835.761841</c:v>
                </c:pt>
              </c:numCache>
            </c:numRef>
          </c:val>
          <c:smooth val="0"/>
          <c:extLst>
            <c:ext xmlns:c16="http://schemas.microsoft.com/office/drawing/2014/chart" uri="{C3380CC4-5D6E-409C-BE32-E72D297353CC}">
              <c16:uniqueId val="{00000001-1B36-47E8-9D6E-0111795BE3D5}"/>
            </c:ext>
          </c:extLst>
        </c:ser>
        <c:dLbls>
          <c:showLegendKey val="0"/>
          <c:showVal val="0"/>
          <c:showCatName val="0"/>
          <c:showSerName val="0"/>
          <c:showPercent val="0"/>
          <c:showBubbleSize val="0"/>
        </c:dLbls>
        <c:smooth val="0"/>
        <c:axId val="56927503"/>
        <c:axId val="56925007"/>
      </c:lineChart>
      <c:catAx>
        <c:axId val="56927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6925007"/>
        <c:crosses val="autoZero"/>
        <c:auto val="1"/>
        <c:lblAlgn val="ctr"/>
        <c:lblOffset val="100"/>
        <c:noMultiLvlLbl val="0"/>
      </c:catAx>
      <c:valAx>
        <c:axId val="56925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a:t>
                </a:r>
                <a:r>
                  <a:rPr lang="es-MX" baseline="0"/>
                  <a:t> Cost</a:t>
                </a:r>
                <a:endParaRPr lang="es-MX"/>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6927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Resultados_1!$BE$2</c:f>
              <c:strCache>
                <c:ptCount val="1"/>
                <c:pt idx="0">
                  <c:v>CPARankB</c:v>
                </c:pt>
              </c:strCache>
            </c:strRef>
          </c:tx>
          <c:spPr>
            <a:ln w="28575" cap="rnd">
              <a:solidFill>
                <a:schemeClr val="accent6"/>
              </a:solidFill>
              <a:round/>
            </a:ln>
            <a:effectLst/>
          </c:spPr>
          <c:marker>
            <c:symbol val="none"/>
          </c:marker>
          <c:val>
            <c:numRef>
              <c:f>Resultados_1!$BE$3:$BE$122</c:f>
              <c:numCache>
                <c:formatCode>General</c:formatCode>
                <c:ptCount val="120"/>
                <c:pt idx="0">
                  <c:v>364.59973100000002</c:v>
                </c:pt>
                <c:pt idx="1">
                  <c:v>405.06506300000001</c:v>
                </c:pt>
                <c:pt idx="2">
                  <c:v>337.63259900000003</c:v>
                </c:pt>
                <c:pt idx="3">
                  <c:v>370.94268799999998</c:v>
                </c:pt>
                <c:pt idx="4">
                  <c:v>318.96472199999999</c:v>
                </c:pt>
                <c:pt idx="5">
                  <c:v>384.07998700000002</c:v>
                </c:pt>
                <c:pt idx="6">
                  <c:v>354.81280500000003</c:v>
                </c:pt>
                <c:pt idx="7">
                  <c:v>413.71029700000003</c:v>
                </c:pt>
                <c:pt idx="8">
                  <c:v>395.448486</c:v>
                </c:pt>
                <c:pt idx="9">
                  <c:v>311.57052599999997</c:v>
                </c:pt>
                <c:pt idx="10">
                  <c:v>506.281158</c:v>
                </c:pt>
                <c:pt idx="11">
                  <c:v>435.57107500000001</c:v>
                </c:pt>
                <c:pt idx="12">
                  <c:v>393.565247</c:v>
                </c:pt>
                <c:pt idx="13">
                  <c:v>471.080963</c:v>
                </c:pt>
                <c:pt idx="14">
                  <c:v>428.46099900000002</c:v>
                </c:pt>
                <c:pt idx="15">
                  <c:v>380.45025600000002</c:v>
                </c:pt>
                <c:pt idx="16">
                  <c:v>400.96005200000002</c:v>
                </c:pt>
                <c:pt idx="17">
                  <c:v>467.14679000000001</c:v>
                </c:pt>
                <c:pt idx="18">
                  <c:v>465.89205900000002</c:v>
                </c:pt>
                <c:pt idx="19">
                  <c:v>423.08251999999999</c:v>
                </c:pt>
                <c:pt idx="20">
                  <c:v>424.43267800000001</c:v>
                </c:pt>
                <c:pt idx="21">
                  <c:v>443.869843</c:v>
                </c:pt>
                <c:pt idx="22">
                  <c:v>518.181152</c:v>
                </c:pt>
                <c:pt idx="23">
                  <c:v>430.00228900000002</c:v>
                </c:pt>
                <c:pt idx="24">
                  <c:v>442.56994600000002</c:v>
                </c:pt>
                <c:pt idx="25">
                  <c:v>559.75079300000004</c:v>
                </c:pt>
                <c:pt idx="26">
                  <c:v>380.51156600000002</c:v>
                </c:pt>
                <c:pt idx="27">
                  <c:v>548.44744900000001</c:v>
                </c:pt>
                <c:pt idx="28">
                  <c:v>474.60919200000001</c:v>
                </c:pt>
                <c:pt idx="29">
                  <c:v>375.23397799999998</c:v>
                </c:pt>
                <c:pt idx="30">
                  <c:v>369.545074</c:v>
                </c:pt>
                <c:pt idx="31">
                  <c:v>406.33590700000002</c:v>
                </c:pt>
                <c:pt idx="32">
                  <c:v>389.59921300000002</c:v>
                </c:pt>
                <c:pt idx="33">
                  <c:v>413.60144000000003</c:v>
                </c:pt>
                <c:pt idx="34">
                  <c:v>390.92746</c:v>
                </c:pt>
                <c:pt idx="35">
                  <c:v>478.70352200000002</c:v>
                </c:pt>
                <c:pt idx="36">
                  <c:v>518.72546399999999</c:v>
                </c:pt>
                <c:pt idx="37">
                  <c:v>443.48443600000002</c:v>
                </c:pt>
                <c:pt idx="38">
                  <c:v>408.78964200000001</c:v>
                </c:pt>
                <c:pt idx="39">
                  <c:v>490.313782</c:v>
                </c:pt>
                <c:pt idx="40">
                  <c:v>441.841339</c:v>
                </c:pt>
                <c:pt idx="41">
                  <c:v>559.05523700000003</c:v>
                </c:pt>
                <c:pt idx="42">
                  <c:v>440.73159800000002</c:v>
                </c:pt>
                <c:pt idx="43">
                  <c:v>611.44476299999997</c:v>
                </c:pt>
                <c:pt idx="44">
                  <c:v>593.92486599999995</c:v>
                </c:pt>
                <c:pt idx="45">
                  <c:v>593.38348399999995</c:v>
                </c:pt>
                <c:pt idx="46">
                  <c:v>534.15765399999998</c:v>
                </c:pt>
                <c:pt idx="47">
                  <c:v>572.92175299999997</c:v>
                </c:pt>
                <c:pt idx="48">
                  <c:v>561.89392099999998</c:v>
                </c:pt>
                <c:pt idx="49">
                  <c:v>420.12194799999997</c:v>
                </c:pt>
                <c:pt idx="50">
                  <c:v>581.57067900000004</c:v>
                </c:pt>
                <c:pt idx="51">
                  <c:v>627.42004399999996</c:v>
                </c:pt>
                <c:pt idx="52">
                  <c:v>542.29913299999998</c:v>
                </c:pt>
                <c:pt idx="53">
                  <c:v>715.97485400000005</c:v>
                </c:pt>
                <c:pt idx="54">
                  <c:v>640.44140600000003</c:v>
                </c:pt>
                <c:pt idx="55">
                  <c:v>546.83569299999999</c:v>
                </c:pt>
                <c:pt idx="56">
                  <c:v>628.83703600000001</c:v>
                </c:pt>
                <c:pt idx="57">
                  <c:v>598.39324999999997</c:v>
                </c:pt>
                <c:pt idx="58">
                  <c:v>648.15527299999997</c:v>
                </c:pt>
                <c:pt idx="59">
                  <c:v>560.28118900000004</c:v>
                </c:pt>
                <c:pt idx="60">
                  <c:v>554.870544</c:v>
                </c:pt>
                <c:pt idx="61">
                  <c:v>458.216431</c:v>
                </c:pt>
                <c:pt idx="62">
                  <c:v>574.13793899999996</c:v>
                </c:pt>
                <c:pt idx="63">
                  <c:v>580.28814699999998</c:v>
                </c:pt>
                <c:pt idx="64">
                  <c:v>452.684845</c:v>
                </c:pt>
                <c:pt idx="65">
                  <c:v>580.29516599999999</c:v>
                </c:pt>
                <c:pt idx="66">
                  <c:v>500.38897700000001</c:v>
                </c:pt>
                <c:pt idx="67">
                  <c:v>572.03344700000002</c:v>
                </c:pt>
                <c:pt idx="68">
                  <c:v>473.03066999999999</c:v>
                </c:pt>
                <c:pt idx="69">
                  <c:v>553.47735599999999</c:v>
                </c:pt>
                <c:pt idx="70">
                  <c:v>579.47393799999998</c:v>
                </c:pt>
                <c:pt idx="71">
                  <c:v>633.01062000000002</c:v>
                </c:pt>
                <c:pt idx="72">
                  <c:v>651.52154499999995</c:v>
                </c:pt>
                <c:pt idx="73">
                  <c:v>560.692139</c:v>
                </c:pt>
                <c:pt idx="74">
                  <c:v>589.535706</c:v>
                </c:pt>
                <c:pt idx="75">
                  <c:v>496.98263500000002</c:v>
                </c:pt>
                <c:pt idx="76">
                  <c:v>737.93859899999995</c:v>
                </c:pt>
                <c:pt idx="77">
                  <c:v>657.41082800000004</c:v>
                </c:pt>
                <c:pt idx="78">
                  <c:v>672.21191399999998</c:v>
                </c:pt>
                <c:pt idx="79">
                  <c:v>657.97699</c:v>
                </c:pt>
                <c:pt idx="80">
                  <c:v>677.462219</c:v>
                </c:pt>
                <c:pt idx="81">
                  <c:v>715.91223100000002</c:v>
                </c:pt>
                <c:pt idx="82">
                  <c:v>670.89703399999996</c:v>
                </c:pt>
                <c:pt idx="83">
                  <c:v>663.16900599999997</c:v>
                </c:pt>
                <c:pt idx="84">
                  <c:v>633.10961899999995</c:v>
                </c:pt>
                <c:pt idx="85">
                  <c:v>646.14105199999995</c:v>
                </c:pt>
                <c:pt idx="86">
                  <c:v>770.07708700000001</c:v>
                </c:pt>
                <c:pt idx="87">
                  <c:v>697.40405299999998</c:v>
                </c:pt>
                <c:pt idx="88">
                  <c:v>664.13928199999998</c:v>
                </c:pt>
                <c:pt idx="89">
                  <c:v>788.60095200000001</c:v>
                </c:pt>
                <c:pt idx="90">
                  <c:v>652.45251499999995</c:v>
                </c:pt>
                <c:pt idx="91">
                  <c:v>627.453979</c:v>
                </c:pt>
                <c:pt idx="92">
                  <c:v>580.98089600000003</c:v>
                </c:pt>
                <c:pt idx="93">
                  <c:v>524.94604500000003</c:v>
                </c:pt>
                <c:pt idx="94">
                  <c:v>544.00091599999996</c:v>
                </c:pt>
                <c:pt idx="95">
                  <c:v>604.97094700000002</c:v>
                </c:pt>
                <c:pt idx="96">
                  <c:v>618.34918200000004</c:v>
                </c:pt>
                <c:pt idx="97">
                  <c:v>573.48840299999995</c:v>
                </c:pt>
                <c:pt idx="98">
                  <c:v>592.04644800000005</c:v>
                </c:pt>
                <c:pt idx="99">
                  <c:v>613.18969700000002</c:v>
                </c:pt>
                <c:pt idx="100">
                  <c:v>610.86773700000003</c:v>
                </c:pt>
                <c:pt idx="101">
                  <c:v>557.23156700000004</c:v>
                </c:pt>
                <c:pt idx="102">
                  <c:v>653.78204300000004</c:v>
                </c:pt>
                <c:pt idx="103">
                  <c:v>676.77276600000005</c:v>
                </c:pt>
                <c:pt idx="104">
                  <c:v>674.76000999999997</c:v>
                </c:pt>
                <c:pt idx="105">
                  <c:v>744.38397199999997</c:v>
                </c:pt>
                <c:pt idx="106">
                  <c:v>707.209656</c:v>
                </c:pt>
                <c:pt idx="107">
                  <c:v>619.40826400000003</c:v>
                </c:pt>
                <c:pt idx="108">
                  <c:v>726.48553500000003</c:v>
                </c:pt>
                <c:pt idx="109">
                  <c:v>791.85571300000004</c:v>
                </c:pt>
                <c:pt idx="110">
                  <c:v>742.533142</c:v>
                </c:pt>
                <c:pt idx="111">
                  <c:v>758.24468999999999</c:v>
                </c:pt>
                <c:pt idx="112">
                  <c:v>723.66229199999998</c:v>
                </c:pt>
                <c:pt idx="113">
                  <c:v>707.92303500000003</c:v>
                </c:pt>
                <c:pt idx="114">
                  <c:v>713.05059800000004</c:v>
                </c:pt>
                <c:pt idx="115">
                  <c:v>740.37231399999996</c:v>
                </c:pt>
                <c:pt idx="116">
                  <c:v>740.15563999999995</c:v>
                </c:pt>
                <c:pt idx="117">
                  <c:v>760.11254899999994</c:v>
                </c:pt>
                <c:pt idx="118">
                  <c:v>761.36474599999997</c:v>
                </c:pt>
                <c:pt idx="119">
                  <c:v>792.85205099999996</c:v>
                </c:pt>
              </c:numCache>
            </c:numRef>
          </c:val>
          <c:smooth val="0"/>
          <c:extLst>
            <c:ext xmlns:c16="http://schemas.microsoft.com/office/drawing/2014/chart" uri="{C3380CC4-5D6E-409C-BE32-E72D297353CC}">
              <c16:uniqueId val="{00000000-178A-45C2-B4B5-E7ACC62B6C1A}"/>
            </c:ext>
          </c:extLst>
        </c:ser>
        <c:ser>
          <c:idx val="1"/>
          <c:order val="1"/>
          <c:tx>
            <c:strRef>
              <c:f>Resultados_1!$BG$2</c:f>
              <c:strCache>
                <c:ptCount val="1"/>
                <c:pt idx="0">
                  <c:v>GRankB</c:v>
                </c:pt>
              </c:strCache>
            </c:strRef>
          </c:tx>
          <c:spPr>
            <a:ln w="28575" cap="rnd">
              <a:solidFill>
                <a:schemeClr val="accent5"/>
              </a:solidFill>
              <a:round/>
            </a:ln>
            <a:effectLst/>
          </c:spPr>
          <c:marker>
            <c:symbol val="none"/>
          </c:marker>
          <c:val>
            <c:numRef>
              <c:f>Resultados_1!$BG$3:$BG$122</c:f>
              <c:numCache>
                <c:formatCode>General</c:formatCode>
                <c:ptCount val="120"/>
                <c:pt idx="0">
                  <c:v>357.26953099999997</c:v>
                </c:pt>
                <c:pt idx="1">
                  <c:v>405.9375</c:v>
                </c:pt>
                <c:pt idx="2">
                  <c:v>335.11968999999999</c:v>
                </c:pt>
                <c:pt idx="3">
                  <c:v>371.38262900000001</c:v>
                </c:pt>
                <c:pt idx="4">
                  <c:v>318.96472199999999</c:v>
                </c:pt>
                <c:pt idx="5">
                  <c:v>385.72714200000001</c:v>
                </c:pt>
                <c:pt idx="6">
                  <c:v>355.66607699999997</c:v>
                </c:pt>
                <c:pt idx="7">
                  <c:v>413.96798699999999</c:v>
                </c:pt>
                <c:pt idx="8">
                  <c:v>395.05450400000001</c:v>
                </c:pt>
                <c:pt idx="9">
                  <c:v>311.57052599999997</c:v>
                </c:pt>
                <c:pt idx="10">
                  <c:v>520.83978300000001</c:v>
                </c:pt>
                <c:pt idx="11">
                  <c:v>435.57107500000001</c:v>
                </c:pt>
                <c:pt idx="12">
                  <c:v>393.74404900000002</c:v>
                </c:pt>
                <c:pt idx="13">
                  <c:v>471.41369600000002</c:v>
                </c:pt>
                <c:pt idx="14">
                  <c:v>426.88357500000001</c:v>
                </c:pt>
                <c:pt idx="15">
                  <c:v>380.45025600000002</c:v>
                </c:pt>
                <c:pt idx="16">
                  <c:v>406.75604199999998</c:v>
                </c:pt>
                <c:pt idx="17">
                  <c:v>468.00335699999999</c:v>
                </c:pt>
                <c:pt idx="18">
                  <c:v>452.96508799999998</c:v>
                </c:pt>
                <c:pt idx="19">
                  <c:v>423.19674700000002</c:v>
                </c:pt>
                <c:pt idx="20">
                  <c:v>424.94094799999999</c:v>
                </c:pt>
                <c:pt idx="21">
                  <c:v>442.313782</c:v>
                </c:pt>
                <c:pt idx="22">
                  <c:v>512.81304899999998</c:v>
                </c:pt>
                <c:pt idx="23">
                  <c:v>430.00228900000002</c:v>
                </c:pt>
                <c:pt idx="24">
                  <c:v>442.56994600000002</c:v>
                </c:pt>
                <c:pt idx="25">
                  <c:v>571.82659899999999</c:v>
                </c:pt>
                <c:pt idx="26">
                  <c:v>380.51156600000002</c:v>
                </c:pt>
                <c:pt idx="27">
                  <c:v>545.03656000000001</c:v>
                </c:pt>
                <c:pt idx="28">
                  <c:v>465.34634399999999</c:v>
                </c:pt>
                <c:pt idx="29">
                  <c:v>375.28085299999998</c:v>
                </c:pt>
                <c:pt idx="30">
                  <c:v>373.08126800000002</c:v>
                </c:pt>
                <c:pt idx="31">
                  <c:v>406.38897700000001</c:v>
                </c:pt>
                <c:pt idx="32">
                  <c:v>395.07406600000002</c:v>
                </c:pt>
                <c:pt idx="33">
                  <c:v>413.60485799999998</c:v>
                </c:pt>
                <c:pt idx="34">
                  <c:v>397.91513099999997</c:v>
                </c:pt>
                <c:pt idx="35">
                  <c:v>502.07724000000002</c:v>
                </c:pt>
                <c:pt idx="36">
                  <c:v>512.36071800000002</c:v>
                </c:pt>
                <c:pt idx="37">
                  <c:v>425.70639</c:v>
                </c:pt>
                <c:pt idx="38">
                  <c:v>403.25430299999999</c:v>
                </c:pt>
                <c:pt idx="39">
                  <c:v>480.61361699999998</c:v>
                </c:pt>
                <c:pt idx="40">
                  <c:v>432.848297</c:v>
                </c:pt>
                <c:pt idx="41">
                  <c:v>560.050659</c:v>
                </c:pt>
                <c:pt idx="42">
                  <c:v>438.36233499999997</c:v>
                </c:pt>
                <c:pt idx="43">
                  <c:v>613.60314900000003</c:v>
                </c:pt>
                <c:pt idx="44">
                  <c:v>614.98309300000005</c:v>
                </c:pt>
                <c:pt idx="45">
                  <c:v>587.70214799999997</c:v>
                </c:pt>
                <c:pt idx="46">
                  <c:v>538.36840800000004</c:v>
                </c:pt>
                <c:pt idx="47">
                  <c:v>572.90704300000004</c:v>
                </c:pt>
                <c:pt idx="48">
                  <c:v>587.135132</c:v>
                </c:pt>
                <c:pt idx="49">
                  <c:v>419.46957400000002</c:v>
                </c:pt>
                <c:pt idx="50">
                  <c:v>594.96691899999996</c:v>
                </c:pt>
                <c:pt idx="51">
                  <c:v>632.63842799999998</c:v>
                </c:pt>
                <c:pt idx="52">
                  <c:v>561.54058799999996</c:v>
                </c:pt>
                <c:pt idx="53">
                  <c:v>714.25988800000005</c:v>
                </c:pt>
                <c:pt idx="54">
                  <c:v>650.25878899999998</c:v>
                </c:pt>
                <c:pt idx="55">
                  <c:v>544.76995799999997</c:v>
                </c:pt>
                <c:pt idx="56">
                  <c:v>616.337402</c:v>
                </c:pt>
                <c:pt idx="57">
                  <c:v>596.78961200000003</c:v>
                </c:pt>
                <c:pt idx="58">
                  <c:v>640.11547900000005</c:v>
                </c:pt>
                <c:pt idx="59">
                  <c:v>547.01238999999998</c:v>
                </c:pt>
                <c:pt idx="60">
                  <c:v>566.40155000000004</c:v>
                </c:pt>
                <c:pt idx="61">
                  <c:v>467.10522500000002</c:v>
                </c:pt>
                <c:pt idx="62">
                  <c:v>561.94537400000002</c:v>
                </c:pt>
                <c:pt idx="63">
                  <c:v>567.04083300000002</c:v>
                </c:pt>
                <c:pt idx="64">
                  <c:v>442.19589200000001</c:v>
                </c:pt>
                <c:pt idx="65">
                  <c:v>591.59857199999999</c:v>
                </c:pt>
                <c:pt idx="66">
                  <c:v>510.762787</c:v>
                </c:pt>
                <c:pt idx="67">
                  <c:v>552.70660399999997</c:v>
                </c:pt>
                <c:pt idx="68">
                  <c:v>468.53472900000003</c:v>
                </c:pt>
                <c:pt idx="69">
                  <c:v>562.46234100000004</c:v>
                </c:pt>
                <c:pt idx="70">
                  <c:v>579.11413600000003</c:v>
                </c:pt>
                <c:pt idx="71">
                  <c:v>637.61377000000005</c:v>
                </c:pt>
                <c:pt idx="72">
                  <c:v>655.67980999999997</c:v>
                </c:pt>
                <c:pt idx="73">
                  <c:v>541.83605999999997</c:v>
                </c:pt>
                <c:pt idx="74">
                  <c:v>594.90118399999994</c:v>
                </c:pt>
                <c:pt idx="75">
                  <c:v>478.96493500000003</c:v>
                </c:pt>
                <c:pt idx="76">
                  <c:v>726.79766800000004</c:v>
                </c:pt>
                <c:pt idx="77">
                  <c:v>664.77002000000005</c:v>
                </c:pt>
                <c:pt idx="78">
                  <c:v>675.85089100000005</c:v>
                </c:pt>
                <c:pt idx="79">
                  <c:v>669.11541699999998</c:v>
                </c:pt>
                <c:pt idx="80">
                  <c:v>678.79211399999997</c:v>
                </c:pt>
                <c:pt idx="81">
                  <c:v>703.33404499999995</c:v>
                </c:pt>
                <c:pt idx="82">
                  <c:v>681.02477999999996</c:v>
                </c:pt>
                <c:pt idx="83">
                  <c:v>681.66192599999999</c:v>
                </c:pt>
                <c:pt idx="84">
                  <c:v>658.09088099999997</c:v>
                </c:pt>
                <c:pt idx="85">
                  <c:v>642.77417000000003</c:v>
                </c:pt>
                <c:pt idx="86">
                  <c:v>776.057007</c:v>
                </c:pt>
                <c:pt idx="87">
                  <c:v>697.09167500000001</c:v>
                </c:pt>
                <c:pt idx="88">
                  <c:v>660.39123500000005</c:v>
                </c:pt>
                <c:pt idx="89">
                  <c:v>791.50299099999995</c:v>
                </c:pt>
                <c:pt idx="90">
                  <c:v>654.81646699999999</c:v>
                </c:pt>
                <c:pt idx="91">
                  <c:v>621.93463099999997</c:v>
                </c:pt>
                <c:pt idx="92">
                  <c:v>604.160034</c:v>
                </c:pt>
                <c:pt idx="93">
                  <c:v>542.31689500000005</c:v>
                </c:pt>
                <c:pt idx="94">
                  <c:v>554.60125700000003</c:v>
                </c:pt>
                <c:pt idx="95">
                  <c:v>612.42016599999999</c:v>
                </c:pt>
                <c:pt idx="96">
                  <c:v>621.24334699999997</c:v>
                </c:pt>
                <c:pt idx="97">
                  <c:v>575.94702099999995</c:v>
                </c:pt>
                <c:pt idx="98">
                  <c:v>590.14367700000003</c:v>
                </c:pt>
                <c:pt idx="99">
                  <c:v>603.98303199999998</c:v>
                </c:pt>
                <c:pt idx="100">
                  <c:v>622.41967799999998</c:v>
                </c:pt>
                <c:pt idx="101">
                  <c:v>574.39624000000003</c:v>
                </c:pt>
                <c:pt idx="102">
                  <c:v>643.35766599999999</c:v>
                </c:pt>
                <c:pt idx="103">
                  <c:v>689.40972899999997</c:v>
                </c:pt>
                <c:pt idx="104">
                  <c:v>673.64178500000003</c:v>
                </c:pt>
                <c:pt idx="105">
                  <c:v>761.86492899999996</c:v>
                </c:pt>
                <c:pt idx="106">
                  <c:v>715.73230000000001</c:v>
                </c:pt>
                <c:pt idx="107">
                  <c:v>635.04107699999997</c:v>
                </c:pt>
                <c:pt idx="108">
                  <c:v>758.89471400000002</c:v>
                </c:pt>
                <c:pt idx="109">
                  <c:v>771.189392</c:v>
                </c:pt>
                <c:pt idx="110">
                  <c:v>736.99139400000001</c:v>
                </c:pt>
                <c:pt idx="111">
                  <c:v>755.98785399999997</c:v>
                </c:pt>
                <c:pt idx="112">
                  <c:v>729.03997800000002</c:v>
                </c:pt>
                <c:pt idx="113">
                  <c:v>713.45977800000003</c:v>
                </c:pt>
                <c:pt idx="114">
                  <c:v>741.177368</c:v>
                </c:pt>
                <c:pt idx="115">
                  <c:v>722.41479500000003</c:v>
                </c:pt>
                <c:pt idx="116">
                  <c:v>737.50628700000004</c:v>
                </c:pt>
                <c:pt idx="117">
                  <c:v>758.95471199999997</c:v>
                </c:pt>
                <c:pt idx="118">
                  <c:v>770.62927200000001</c:v>
                </c:pt>
                <c:pt idx="119">
                  <c:v>792.91058299999997</c:v>
                </c:pt>
              </c:numCache>
            </c:numRef>
          </c:val>
          <c:smooth val="0"/>
          <c:extLst>
            <c:ext xmlns:c16="http://schemas.microsoft.com/office/drawing/2014/chart" uri="{C3380CC4-5D6E-409C-BE32-E72D297353CC}">
              <c16:uniqueId val="{00000001-178A-45C2-B4B5-E7ACC62B6C1A}"/>
            </c:ext>
          </c:extLst>
        </c:ser>
        <c:dLbls>
          <c:showLegendKey val="0"/>
          <c:showVal val="0"/>
          <c:showCatName val="0"/>
          <c:showSerName val="0"/>
          <c:showPercent val="0"/>
          <c:showBubbleSize val="0"/>
        </c:dLbls>
        <c:smooth val="0"/>
        <c:axId val="482954239"/>
        <c:axId val="482953823"/>
      </c:lineChart>
      <c:catAx>
        <c:axId val="4829542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Instances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482953823"/>
        <c:crosses val="autoZero"/>
        <c:auto val="1"/>
        <c:lblAlgn val="ctr"/>
        <c:lblOffset val="100"/>
        <c:noMultiLvlLbl val="0"/>
      </c:catAx>
      <c:valAx>
        <c:axId val="482953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Total</a:t>
                </a:r>
                <a:r>
                  <a:rPr lang="es-MX" baseline="0"/>
                  <a:t> Cost</a:t>
                </a:r>
                <a:endParaRPr lang="es-MX"/>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482954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73</xdr:col>
      <xdr:colOff>297180</xdr:colOff>
      <xdr:row>4</xdr:row>
      <xdr:rowOff>179070</xdr:rowOff>
    </xdr:from>
    <xdr:to>
      <xdr:col>79</xdr:col>
      <xdr:colOff>114300</xdr:colOff>
      <xdr:row>19</xdr:row>
      <xdr:rowOff>179070</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79</xdr:col>
      <xdr:colOff>502920</xdr:colOff>
      <xdr:row>4</xdr:row>
      <xdr:rowOff>171450</xdr:rowOff>
    </xdr:from>
    <xdr:to>
      <xdr:col>85</xdr:col>
      <xdr:colOff>320040</xdr:colOff>
      <xdr:row>19</xdr:row>
      <xdr:rowOff>171450</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73</xdr:col>
      <xdr:colOff>281940</xdr:colOff>
      <xdr:row>20</xdr:row>
      <xdr:rowOff>118110</xdr:rowOff>
    </xdr:from>
    <xdr:to>
      <xdr:col>79</xdr:col>
      <xdr:colOff>99060</xdr:colOff>
      <xdr:row>35</xdr:row>
      <xdr:rowOff>118110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79</xdr:col>
      <xdr:colOff>480060</xdr:colOff>
      <xdr:row>20</xdr:row>
      <xdr:rowOff>148590</xdr:rowOff>
    </xdr:from>
    <xdr:to>
      <xdr:col>85</xdr:col>
      <xdr:colOff>297180</xdr:colOff>
      <xdr:row>35</xdr:row>
      <xdr:rowOff>148590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24</xdr:col>
      <xdr:colOff>754380</xdr:colOff>
      <xdr:row>0</xdr:row>
      <xdr:rowOff>163830</xdr:rowOff>
    </xdr:from>
    <xdr:to>
      <xdr:col>36</xdr:col>
      <xdr:colOff>106680</xdr:colOff>
      <xdr:row>12</xdr:row>
      <xdr:rowOff>114300</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769620</xdr:colOff>
      <xdr:row>13</xdr:row>
      <xdr:rowOff>34290</xdr:rowOff>
    </xdr:from>
    <xdr:to>
      <xdr:col>36</xdr:col>
      <xdr:colOff>91440</xdr:colOff>
      <xdr:row>28</xdr:row>
      <xdr:rowOff>68580</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0</xdr:colOff>
      <xdr:row>29</xdr:row>
      <xdr:rowOff>38100</xdr:rowOff>
    </xdr:from>
    <xdr:to>
      <xdr:col>36</xdr:col>
      <xdr:colOff>60960</xdr:colOff>
      <xdr:row>44</xdr:row>
      <xdr:rowOff>38100</xdr:rowOff>
    </xdr:to>
    <xdr:graphicFrame macro="">
      <xdr:nvGraphicFramePr>
        <xdr:cNvPr id="5" name="Gráfico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15240</xdr:colOff>
      <xdr:row>45</xdr:row>
      <xdr:rowOff>53340</xdr:rowOff>
    </xdr:from>
    <xdr:to>
      <xdr:col>36</xdr:col>
      <xdr:colOff>38100</xdr:colOff>
      <xdr:row>60</xdr:row>
      <xdr:rowOff>53340</xdr:rowOff>
    </xdr:to>
    <xdr:graphicFrame macro="">
      <xdr:nvGraphicFramePr>
        <xdr:cNvPr id="7"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59</xdr:col>
      <xdr:colOff>449580</xdr:colOff>
      <xdr:row>2</xdr:row>
      <xdr:rowOff>30480</xdr:rowOff>
    </xdr:from>
    <xdr:to>
      <xdr:col>71</xdr:col>
      <xdr:colOff>198120</xdr:colOff>
      <xdr:row>17</xdr:row>
      <xdr:rowOff>30480</xdr:rowOff>
    </xdr:to>
    <xdr:graphicFrame macro="">
      <xdr:nvGraphicFramePr>
        <xdr:cNvPr id="22"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71</xdr:col>
      <xdr:colOff>342900</xdr:colOff>
      <xdr:row>2</xdr:row>
      <xdr:rowOff>38100</xdr:rowOff>
    </xdr:from>
    <xdr:to>
      <xdr:col>83</xdr:col>
      <xdr:colOff>83820</xdr:colOff>
      <xdr:row>17</xdr:row>
      <xdr:rowOff>38100</xdr:rowOff>
    </xdr:to>
    <xdr:graphicFrame macro="">
      <xdr:nvGraphicFramePr>
        <xdr:cNvPr id="25" name="Gráfico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59</xdr:col>
      <xdr:colOff>441960</xdr:colOff>
      <xdr:row>18</xdr:row>
      <xdr:rowOff>0</xdr:rowOff>
    </xdr:from>
    <xdr:to>
      <xdr:col>71</xdr:col>
      <xdr:colOff>213360</xdr:colOff>
      <xdr:row>33</xdr:row>
      <xdr:rowOff>0</xdr:rowOff>
    </xdr:to>
    <xdr:graphicFrame macro="">
      <xdr:nvGraphicFramePr>
        <xdr:cNvPr id="28" name="Gráfico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71</xdr:col>
      <xdr:colOff>358140</xdr:colOff>
      <xdr:row>17</xdr:row>
      <xdr:rowOff>160020</xdr:rowOff>
    </xdr:from>
    <xdr:to>
      <xdr:col>83</xdr:col>
      <xdr:colOff>121920</xdr:colOff>
      <xdr:row>32</xdr:row>
      <xdr:rowOff>160020</xdr:rowOff>
    </xdr:to>
    <xdr:graphicFrame macro="">
      <xdr:nvGraphicFramePr>
        <xdr:cNvPr id="30" name="Gráfico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59</xdr:col>
      <xdr:colOff>449580</xdr:colOff>
      <xdr:row>33</xdr:row>
      <xdr:rowOff>167640</xdr:rowOff>
    </xdr:from>
    <xdr:to>
      <xdr:col>71</xdr:col>
      <xdr:colOff>213360</xdr:colOff>
      <xdr:row>48</xdr:row>
      <xdr:rowOff>167640</xdr:rowOff>
    </xdr:to>
    <xdr:graphicFrame macro="">
      <xdr:nvGraphicFramePr>
        <xdr:cNvPr id="33" name="Gráfico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71</xdr:col>
      <xdr:colOff>350520</xdr:colOff>
      <xdr:row>33</xdr:row>
      <xdr:rowOff>167640</xdr:rowOff>
    </xdr:from>
    <xdr:to>
      <xdr:col>83</xdr:col>
      <xdr:colOff>144780</xdr:colOff>
      <xdr:row>48</xdr:row>
      <xdr:rowOff>167640</xdr:rowOff>
    </xdr:to>
    <xdr:graphicFrame macro="">
      <xdr:nvGraphicFramePr>
        <xdr:cNvPr id="34" name="Gráfico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59</xdr:col>
      <xdr:colOff>449580</xdr:colOff>
      <xdr:row>50</xdr:row>
      <xdr:rowOff>22860</xdr:rowOff>
    </xdr:from>
    <xdr:to>
      <xdr:col>71</xdr:col>
      <xdr:colOff>182880</xdr:colOff>
      <xdr:row>65</xdr:row>
      <xdr:rowOff>22860</xdr:rowOff>
    </xdr:to>
    <xdr:graphicFrame macro="">
      <xdr:nvGraphicFramePr>
        <xdr:cNvPr id="37" name="Gráfico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71</xdr:col>
      <xdr:colOff>381000</xdr:colOff>
      <xdr:row>50</xdr:row>
      <xdr:rowOff>15240</xdr:rowOff>
    </xdr:from>
    <xdr:to>
      <xdr:col>83</xdr:col>
      <xdr:colOff>144780</xdr:colOff>
      <xdr:row>65</xdr:row>
      <xdr:rowOff>15240</xdr:rowOff>
    </xdr:to>
    <xdr:graphicFrame macro="">
      <xdr:nvGraphicFramePr>
        <xdr:cNvPr id="38" name="Gráfico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queryTables/queryTable1.xml><?xml version="1.0" encoding="utf-8"?>
<queryTable xmlns="http://schemas.openxmlformats.org/spreadsheetml/2006/main" name="Instancia 15new_1-30"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Instancia 15new_1-30_1" connectionId="2"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Instancia 15new_1-30" connectionId="3"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Instancia 15new_1-30_1" connectionId="4"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queryTable" Target="../queryTables/queryTable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34"/>
  <sheetViews>
    <sheetView zoomScaleNormal="100" workbookViewId="0">
      <selection activeCell="P77" sqref="P77"/>
    </sheetView>
  </sheetViews>
  <sheetFormatPr baseColWidth="10" defaultRowHeight="14.4" x14ac:dyDescent="0.3"/>
  <cols>
    <col min="1" max="1" width="14.33203125" bestFit="1" customWidth="1"/>
    <col min="2" max="5" width="4" bestFit="1" customWidth="1"/>
    <col min="6" max="6" width="11" bestFit="1" customWidth="1"/>
    <col min="7" max="7" width="6" bestFit="1" customWidth="1"/>
    <col min="9" max="9" width="14.33203125" bestFit="1" customWidth="1"/>
    <col min="10" max="11" width="12" bestFit="1" customWidth="1"/>
    <col min="12" max="12" width="6" bestFit="1" customWidth="1"/>
    <col min="13" max="13" width="13.88671875" bestFit="1" customWidth="1"/>
    <col min="14" max="17" width="13.88671875" customWidth="1"/>
    <col min="19" max="19" width="14.33203125" bestFit="1" customWidth="1"/>
    <col min="20" max="23" width="4" bestFit="1" customWidth="1"/>
    <col min="24" max="24" width="11" bestFit="1" customWidth="1"/>
    <col min="25" max="25" width="6" bestFit="1" customWidth="1"/>
    <col min="27" max="27" width="14.33203125" bestFit="1" customWidth="1"/>
    <col min="28" max="29" width="12" bestFit="1" customWidth="1"/>
    <col min="30" max="30" width="6" bestFit="1" customWidth="1"/>
    <col min="31" max="31" width="13.88671875" bestFit="1" customWidth="1"/>
    <col min="32" max="35" width="13.88671875" customWidth="1"/>
    <col min="37" max="37" width="14.33203125" bestFit="1" customWidth="1"/>
    <col min="38" max="41" width="4" bestFit="1" customWidth="1"/>
    <col min="42" max="42" width="12" bestFit="1" customWidth="1"/>
    <col min="43" max="43" width="6" bestFit="1" customWidth="1"/>
    <col min="45" max="45" width="14.33203125" bestFit="1" customWidth="1"/>
    <col min="46" max="47" width="12" bestFit="1" customWidth="1"/>
    <col min="48" max="48" width="6" bestFit="1" customWidth="1"/>
    <col min="49" max="49" width="13.88671875" bestFit="1" customWidth="1"/>
    <col min="50" max="53" width="13.88671875" customWidth="1"/>
    <col min="55" max="55" width="14.33203125" bestFit="1" customWidth="1"/>
    <col min="56" max="59" width="4" bestFit="1" customWidth="1"/>
    <col min="60" max="60" width="12" bestFit="1" customWidth="1"/>
    <col min="61" max="61" width="6" bestFit="1" customWidth="1"/>
    <col min="63" max="63" width="14.33203125" bestFit="1" customWidth="1"/>
    <col min="64" max="65" width="12" bestFit="1" customWidth="1"/>
    <col min="66" max="66" width="6" bestFit="1" customWidth="1"/>
    <col min="67" max="67" width="13.88671875" bestFit="1" customWidth="1"/>
  </cols>
  <sheetData>
    <row r="1" spans="1:71" x14ac:dyDescent="0.3">
      <c r="A1" s="19" t="s">
        <v>314</v>
      </c>
      <c r="B1" s="19"/>
      <c r="C1" s="19"/>
      <c r="D1" s="19"/>
      <c r="E1" s="19"/>
      <c r="F1" s="19"/>
      <c r="G1" s="19"/>
      <c r="I1" s="19" t="s">
        <v>315</v>
      </c>
      <c r="J1" s="19"/>
      <c r="K1" s="19"/>
      <c r="L1" s="19"/>
      <c r="M1" s="19"/>
      <c r="N1" s="11"/>
      <c r="O1" s="11"/>
      <c r="P1" s="11"/>
      <c r="Q1" s="11"/>
      <c r="R1" s="1"/>
      <c r="S1" s="19" t="s">
        <v>314</v>
      </c>
      <c r="T1" s="19"/>
      <c r="U1" s="19"/>
      <c r="V1" s="19"/>
      <c r="W1" s="19"/>
      <c r="X1" s="19"/>
      <c r="Y1" s="19"/>
      <c r="AA1" s="19" t="s">
        <v>315</v>
      </c>
      <c r="AB1" s="19"/>
      <c r="AC1" s="19"/>
      <c r="AD1" s="19"/>
      <c r="AE1" s="19"/>
      <c r="AF1" s="11"/>
      <c r="AG1" s="11"/>
      <c r="AH1" s="11"/>
      <c r="AI1" s="11"/>
      <c r="AJ1" s="1"/>
      <c r="AK1" s="19" t="s">
        <v>314</v>
      </c>
      <c r="AL1" s="19"/>
      <c r="AM1" s="19"/>
      <c r="AN1" s="19"/>
      <c r="AO1" s="19"/>
      <c r="AP1" s="19"/>
      <c r="AQ1" s="19"/>
      <c r="AS1" s="19" t="s">
        <v>315</v>
      </c>
      <c r="AT1" s="19"/>
      <c r="AU1" s="19"/>
      <c r="AV1" s="19"/>
      <c r="AW1" s="19"/>
      <c r="AX1" s="11"/>
      <c r="AY1" s="11"/>
      <c r="AZ1" s="11"/>
      <c r="BA1" s="11"/>
      <c r="BB1" s="1"/>
      <c r="BC1" s="19" t="s">
        <v>314</v>
      </c>
      <c r="BD1" s="19"/>
      <c r="BE1" s="19"/>
      <c r="BF1" s="19"/>
      <c r="BG1" s="19"/>
      <c r="BH1" s="19"/>
      <c r="BI1" s="19"/>
      <c r="BK1" s="19" t="s">
        <v>315</v>
      </c>
      <c r="BL1" s="19"/>
      <c r="BM1" s="19"/>
      <c r="BN1" s="19"/>
      <c r="BO1" s="19"/>
    </row>
    <row r="2" spans="1:71" x14ac:dyDescent="0.3">
      <c r="A2" s="20" t="s">
        <v>0</v>
      </c>
      <c r="B2" s="21"/>
      <c r="C2" s="21"/>
      <c r="D2" s="21"/>
      <c r="E2" s="21"/>
      <c r="F2" s="21"/>
      <c r="G2" s="22"/>
      <c r="I2" s="20" t="s">
        <v>0</v>
      </c>
      <c r="J2" s="21"/>
      <c r="K2" s="21"/>
      <c r="L2" s="21"/>
      <c r="M2" s="22"/>
      <c r="N2" s="11"/>
      <c r="O2" s="11"/>
      <c r="P2" s="11"/>
      <c r="Q2" s="11"/>
      <c r="R2" s="1"/>
      <c r="S2" s="20" t="s">
        <v>1</v>
      </c>
      <c r="T2" s="21"/>
      <c r="U2" s="21"/>
      <c r="V2" s="21"/>
      <c r="W2" s="21"/>
      <c r="X2" s="21"/>
      <c r="Y2" s="22"/>
      <c r="AA2" s="20" t="s">
        <v>1</v>
      </c>
      <c r="AB2" s="21"/>
      <c r="AC2" s="21"/>
      <c r="AD2" s="21"/>
      <c r="AE2" s="22"/>
      <c r="AF2" s="11"/>
      <c r="AG2" s="11"/>
      <c r="AH2" s="11"/>
      <c r="AI2" s="11"/>
      <c r="AJ2" s="1"/>
      <c r="AK2" s="3" t="s">
        <v>0</v>
      </c>
      <c r="AL2" s="3"/>
      <c r="AM2" s="3"/>
      <c r="AN2" s="3"/>
      <c r="AO2" s="3"/>
      <c r="AP2" s="3"/>
      <c r="AQ2" s="3"/>
      <c r="AS2" s="3" t="s">
        <v>0</v>
      </c>
      <c r="AT2" s="3"/>
      <c r="AU2" s="3"/>
      <c r="AV2" s="3"/>
      <c r="AW2" s="4"/>
      <c r="AX2" s="12"/>
      <c r="AY2" s="12"/>
      <c r="AZ2" s="12"/>
      <c r="BA2" s="12"/>
      <c r="BB2" s="1"/>
      <c r="BC2" s="3" t="s">
        <v>1</v>
      </c>
      <c r="BD2" s="3"/>
      <c r="BE2" s="3"/>
      <c r="BF2" s="3"/>
      <c r="BG2" s="3"/>
      <c r="BH2" s="3"/>
      <c r="BI2" s="3"/>
      <c r="BK2" s="3" t="s">
        <v>1</v>
      </c>
      <c r="BL2" s="3"/>
      <c r="BM2" s="3"/>
      <c r="BN2" s="3"/>
      <c r="BO2" s="3"/>
    </row>
    <row r="3" spans="1:71" x14ac:dyDescent="0.3">
      <c r="A3" s="3" t="s">
        <v>2</v>
      </c>
      <c r="B3" s="3" t="s">
        <v>3</v>
      </c>
      <c r="C3" s="3" t="s">
        <v>4</v>
      </c>
      <c r="D3" s="3" t="s">
        <v>5</v>
      </c>
      <c r="E3" s="3" t="s">
        <v>6</v>
      </c>
      <c r="F3" s="3" t="s">
        <v>7</v>
      </c>
      <c r="G3" s="3" t="s">
        <v>8</v>
      </c>
      <c r="I3" s="3" t="s">
        <v>2</v>
      </c>
      <c r="J3" s="3" t="s">
        <v>6</v>
      </c>
      <c r="K3" s="3" t="s">
        <v>7</v>
      </c>
      <c r="L3" s="3" t="s">
        <v>8</v>
      </c>
      <c r="M3" s="3" t="s">
        <v>9</v>
      </c>
      <c r="N3" s="3" t="s">
        <v>322</v>
      </c>
      <c r="O3" s="3" t="s">
        <v>323</v>
      </c>
      <c r="P3" s="3" t="s">
        <v>322</v>
      </c>
      <c r="Q3" s="3" t="s">
        <v>323</v>
      </c>
      <c r="R3" s="1"/>
      <c r="S3" s="3" t="s">
        <v>2</v>
      </c>
      <c r="T3" s="3" t="s">
        <v>3</v>
      </c>
      <c r="U3" s="3" t="s">
        <v>4</v>
      </c>
      <c r="V3" s="3" t="s">
        <v>5</v>
      </c>
      <c r="W3" s="3" t="s">
        <v>6</v>
      </c>
      <c r="X3" s="3" t="s">
        <v>7</v>
      </c>
      <c r="Y3" s="3" t="s">
        <v>8</v>
      </c>
      <c r="AA3" s="3" t="s">
        <v>2</v>
      </c>
      <c r="AB3" s="3" t="s">
        <v>6</v>
      </c>
      <c r="AC3" s="3" t="s">
        <v>7</v>
      </c>
      <c r="AD3" s="3" t="s">
        <v>8</v>
      </c>
      <c r="AE3" s="3" t="s">
        <v>9</v>
      </c>
      <c r="AF3" s="3" t="s">
        <v>322</v>
      </c>
      <c r="AG3" s="3" t="s">
        <v>323</v>
      </c>
      <c r="AH3" s="3" t="s">
        <v>322</v>
      </c>
      <c r="AI3" s="3" t="s">
        <v>323</v>
      </c>
      <c r="AJ3" s="1"/>
      <c r="AK3" s="3" t="s">
        <v>2</v>
      </c>
      <c r="AL3" s="3" t="s">
        <v>3</v>
      </c>
      <c r="AM3" s="3" t="s">
        <v>4</v>
      </c>
      <c r="AN3" s="3" t="s">
        <v>5</v>
      </c>
      <c r="AO3" s="3" t="s">
        <v>6</v>
      </c>
      <c r="AP3" s="3" t="s">
        <v>7</v>
      </c>
      <c r="AQ3" s="3" t="s">
        <v>8</v>
      </c>
      <c r="AS3" s="3" t="s">
        <v>2</v>
      </c>
      <c r="AT3" s="3" t="s">
        <v>6</v>
      </c>
      <c r="AU3" s="3" t="s">
        <v>7</v>
      </c>
      <c r="AV3" s="3" t="s">
        <v>8</v>
      </c>
      <c r="AW3" s="3" t="s">
        <v>9</v>
      </c>
      <c r="AX3" s="3" t="s">
        <v>322</v>
      </c>
      <c r="AY3" s="3" t="s">
        <v>323</v>
      </c>
      <c r="AZ3" s="3" t="s">
        <v>322</v>
      </c>
      <c r="BA3" s="3" t="s">
        <v>323</v>
      </c>
      <c r="BB3" s="1"/>
      <c r="BC3" s="3" t="s">
        <v>2</v>
      </c>
      <c r="BD3" s="3" t="s">
        <v>3</v>
      </c>
      <c r="BE3" s="3" t="s">
        <v>4</v>
      </c>
      <c r="BF3" s="3" t="s">
        <v>5</v>
      </c>
      <c r="BG3" s="3" t="s">
        <v>6</v>
      </c>
      <c r="BH3" s="3" t="s">
        <v>7</v>
      </c>
      <c r="BI3" s="3" t="s">
        <v>8</v>
      </c>
      <c r="BK3" s="3" t="s">
        <v>2</v>
      </c>
      <c r="BL3" s="3" t="s">
        <v>6</v>
      </c>
      <c r="BM3" s="3" t="s">
        <v>7</v>
      </c>
      <c r="BN3" s="3" t="s">
        <v>8</v>
      </c>
      <c r="BO3" s="3" t="s">
        <v>9</v>
      </c>
      <c r="BP3" s="3" t="s">
        <v>322</v>
      </c>
      <c r="BQ3" s="3" t="s">
        <v>323</v>
      </c>
      <c r="BR3" s="3" t="s">
        <v>322</v>
      </c>
      <c r="BS3" s="3" t="s">
        <v>323</v>
      </c>
    </row>
    <row r="4" spans="1:71" x14ac:dyDescent="0.3">
      <c r="A4" s="3" t="s">
        <v>10</v>
      </c>
      <c r="B4" s="3">
        <v>0.9</v>
      </c>
      <c r="C4" s="3">
        <v>0.5</v>
      </c>
      <c r="D4" s="3">
        <v>0.6</v>
      </c>
      <c r="E4" s="3">
        <v>0.3</v>
      </c>
      <c r="F4" s="6">
        <v>382.83227499999998</v>
      </c>
      <c r="G4" s="3">
        <v>0</v>
      </c>
      <c r="I4" s="3" t="s">
        <v>10</v>
      </c>
      <c r="J4" s="3">
        <v>0.01</v>
      </c>
      <c r="K4" s="7">
        <v>469.01501500000001</v>
      </c>
      <c r="L4" s="3">
        <v>0</v>
      </c>
      <c r="M4" s="3">
        <f t="shared" ref="M4:M33" si="0">AVERAGE(E4,J4)</f>
        <v>0.155</v>
      </c>
      <c r="N4" s="4" t="s">
        <v>320</v>
      </c>
      <c r="O4" s="4" t="s">
        <v>320</v>
      </c>
      <c r="P4" s="4" t="s">
        <v>321</v>
      </c>
      <c r="Q4" s="4" t="s">
        <v>321</v>
      </c>
      <c r="R4" s="1"/>
      <c r="S4" s="3" t="s">
        <v>10</v>
      </c>
      <c r="T4" s="3">
        <v>0.9</v>
      </c>
      <c r="U4" s="3">
        <v>0.5</v>
      </c>
      <c r="V4" s="3">
        <v>0.6</v>
      </c>
      <c r="W4" s="3">
        <v>0.3</v>
      </c>
      <c r="X4" s="6">
        <v>356.94982900000002</v>
      </c>
      <c r="Y4" s="3">
        <v>0</v>
      </c>
      <c r="AA4" s="3" t="s">
        <v>10</v>
      </c>
      <c r="AB4" s="3">
        <v>0.01</v>
      </c>
      <c r="AC4" s="7">
        <v>431.67184400000002</v>
      </c>
      <c r="AD4" s="3">
        <v>0</v>
      </c>
      <c r="AE4" s="3">
        <f t="shared" ref="AE4:AE33" si="1">AVERAGE(W4,AB4)</f>
        <v>0.155</v>
      </c>
      <c r="AF4" s="4" t="s">
        <v>320</v>
      </c>
      <c r="AG4" s="4" t="s">
        <v>320</v>
      </c>
      <c r="AH4" s="4" t="s">
        <v>321</v>
      </c>
      <c r="AI4" s="4" t="s">
        <v>321</v>
      </c>
      <c r="AJ4" s="1"/>
      <c r="AK4" s="3" t="s">
        <v>11</v>
      </c>
      <c r="AL4" s="3">
        <v>0.9</v>
      </c>
      <c r="AM4" s="3">
        <v>0.5</v>
      </c>
      <c r="AN4" s="3">
        <v>0.6</v>
      </c>
      <c r="AO4" s="3">
        <v>0.3</v>
      </c>
      <c r="AP4" s="7">
        <v>721.82312000000002</v>
      </c>
      <c r="AQ4" s="3">
        <v>4.0000000000000001E-3</v>
      </c>
      <c r="AS4" s="3" t="s">
        <v>11</v>
      </c>
      <c r="AT4" s="3">
        <v>0.01</v>
      </c>
      <c r="AU4" s="6">
        <v>711.196777</v>
      </c>
      <c r="AV4" s="3">
        <v>0</v>
      </c>
      <c r="AW4" s="3">
        <f t="shared" ref="AW4:AW33" si="2">AVERAGE(AO4,AT4)</f>
        <v>0.155</v>
      </c>
      <c r="AX4" s="4" t="s">
        <v>320</v>
      </c>
      <c r="AY4" s="4" t="s">
        <v>320</v>
      </c>
      <c r="AZ4" s="4" t="s">
        <v>321</v>
      </c>
      <c r="BA4" s="4" t="s">
        <v>321</v>
      </c>
      <c r="BB4" s="1"/>
      <c r="BC4" s="3" t="s">
        <v>11</v>
      </c>
      <c r="BD4" s="3">
        <v>0.9</v>
      </c>
      <c r="BE4" s="3">
        <v>0.5</v>
      </c>
      <c r="BF4" s="3">
        <v>0.6</v>
      </c>
      <c r="BG4" s="3">
        <v>0.3</v>
      </c>
      <c r="BH4" s="7">
        <v>705.15502900000001</v>
      </c>
      <c r="BI4" s="3">
        <v>3.0000000000000001E-3</v>
      </c>
      <c r="BK4" s="3" t="s">
        <v>11</v>
      </c>
      <c r="BL4" s="3">
        <v>0.01</v>
      </c>
      <c r="BM4" s="6">
        <v>651.34509300000002</v>
      </c>
      <c r="BN4" s="3">
        <v>0</v>
      </c>
      <c r="BO4" s="3">
        <f t="shared" ref="BO4:BO33" si="3">AVERAGE(BG4,BL4)</f>
        <v>0.155</v>
      </c>
      <c r="BP4" s="4" t="s">
        <v>320</v>
      </c>
      <c r="BQ4" s="4" t="s">
        <v>320</v>
      </c>
      <c r="BR4" s="4" t="s">
        <v>321</v>
      </c>
      <c r="BS4" s="4" t="s">
        <v>321</v>
      </c>
    </row>
    <row r="5" spans="1:71" x14ac:dyDescent="0.3">
      <c r="A5" s="3" t="s">
        <v>12</v>
      </c>
      <c r="B5" s="3">
        <v>0.9</v>
      </c>
      <c r="C5" s="3">
        <v>0.5</v>
      </c>
      <c r="D5" s="3">
        <v>0.6</v>
      </c>
      <c r="E5" s="3">
        <v>0.3</v>
      </c>
      <c r="F5" s="6">
        <v>414.58303799999999</v>
      </c>
      <c r="G5" s="3">
        <v>0</v>
      </c>
      <c r="I5" s="3" t="s">
        <v>12</v>
      </c>
      <c r="J5" s="3">
        <v>0.95</v>
      </c>
      <c r="K5" s="7">
        <v>420.17394999999999</v>
      </c>
      <c r="L5" s="3">
        <v>0</v>
      </c>
      <c r="M5" s="3">
        <f t="shared" si="0"/>
        <v>0.625</v>
      </c>
      <c r="N5" s="3">
        <f>COUNT(F4:F33)</f>
        <v>30</v>
      </c>
      <c r="O5" s="3">
        <f>30-N5</f>
        <v>0</v>
      </c>
      <c r="P5" s="3">
        <f>COUNT(K12)</f>
        <v>1</v>
      </c>
      <c r="Q5" s="3">
        <f>30-P5</f>
        <v>29</v>
      </c>
      <c r="R5" s="1"/>
      <c r="S5" s="3" t="s">
        <v>12</v>
      </c>
      <c r="T5" s="3">
        <v>0.9</v>
      </c>
      <c r="U5" s="3">
        <v>0.5</v>
      </c>
      <c r="V5" s="3">
        <v>0.6</v>
      </c>
      <c r="W5" s="3">
        <v>0.3</v>
      </c>
      <c r="X5" s="6">
        <v>400.56689499999999</v>
      </c>
      <c r="Y5" s="3">
        <v>1E-3</v>
      </c>
      <c r="AA5" s="3" t="s">
        <v>12</v>
      </c>
      <c r="AB5" s="3">
        <v>0.81</v>
      </c>
      <c r="AC5" s="7">
        <v>404.57049599999999</v>
      </c>
      <c r="AD5" s="3">
        <v>0</v>
      </c>
      <c r="AE5" s="3">
        <f t="shared" si="1"/>
        <v>0.55500000000000005</v>
      </c>
      <c r="AF5" s="3">
        <f>COUNT(X4:X33)</f>
        <v>30</v>
      </c>
      <c r="AG5" s="3">
        <f>30-AF5</f>
        <v>0</v>
      </c>
      <c r="AH5" s="3">
        <f>COUNT(AC6,AC9,AC13,AC30)</f>
        <v>4</v>
      </c>
      <c r="AI5" s="3">
        <f>30-AH5</f>
        <v>26</v>
      </c>
      <c r="AJ5" s="1"/>
      <c r="AK5" s="3" t="s">
        <v>13</v>
      </c>
      <c r="AL5" s="3">
        <v>0.9</v>
      </c>
      <c r="AM5" s="3">
        <v>0.5</v>
      </c>
      <c r="AN5" s="3">
        <v>0.6</v>
      </c>
      <c r="AO5" s="3">
        <v>0.3</v>
      </c>
      <c r="AP5" s="6">
        <v>670.298767</v>
      </c>
      <c r="AQ5" s="3">
        <v>3.0000000000000001E-3</v>
      </c>
      <c r="AS5" s="3" t="s">
        <v>13</v>
      </c>
      <c r="AT5" s="3">
        <v>0.74</v>
      </c>
      <c r="AU5" s="7">
        <v>761.53839100000005</v>
      </c>
      <c r="AV5" s="3">
        <v>1E-3</v>
      </c>
      <c r="AW5" s="3">
        <f t="shared" si="2"/>
        <v>0.52</v>
      </c>
      <c r="AX5" s="3">
        <f>COUNT(AP5,AP7:AP11,AP13,AP15:AP19,AP22,AP24:AP25,AP27:AP30,AP32)</f>
        <v>20</v>
      </c>
      <c r="AY5" s="3">
        <f>30-AX5</f>
        <v>10</v>
      </c>
      <c r="AZ5" s="3">
        <f>COUNT(AU4,AU6,AU12,AU14,AU20:AU21,AU23,AU26,AU31,AU33)</f>
        <v>10</v>
      </c>
      <c r="BA5" s="3">
        <f>30-AZ5</f>
        <v>20</v>
      </c>
      <c r="BB5" s="1"/>
      <c r="BC5" s="3" t="s">
        <v>13</v>
      </c>
      <c r="BD5" s="3">
        <v>0.9</v>
      </c>
      <c r="BE5" s="3">
        <v>0.5</v>
      </c>
      <c r="BF5" s="3">
        <v>0.6</v>
      </c>
      <c r="BG5" s="3">
        <v>0.3</v>
      </c>
      <c r="BH5" s="7">
        <v>630.09008800000004</v>
      </c>
      <c r="BI5" s="3">
        <v>3.0000000000000001E-3</v>
      </c>
      <c r="BK5" s="3" t="s">
        <v>13</v>
      </c>
      <c r="BL5" s="3">
        <v>0.18</v>
      </c>
      <c r="BM5" s="6">
        <v>559.13018799999998</v>
      </c>
      <c r="BN5" s="3">
        <v>0</v>
      </c>
      <c r="BO5" s="3">
        <f t="shared" si="3"/>
        <v>0.24</v>
      </c>
      <c r="BP5" s="3">
        <f>COUNT(BH6,BH9:BH12,BH14,BH18:BH19,BH21:BH22,BH26:BH30,BH32)</f>
        <v>16</v>
      </c>
      <c r="BQ5" s="3">
        <f>30-BP5</f>
        <v>14</v>
      </c>
      <c r="BR5" s="3">
        <f>COUNT(BM4:BM8,BM13,BM15:BM17,BM20,BM23:BM24,BM25,BM31,BM33)</f>
        <v>15</v>
      </c>
      <c r="BS5" s="3">
        <f>30-BR5</f>
        <v>15</v>
      </c>
    </row>
    <row r="6" spans="1:71" x14ac:dyDescent="0.3">
      <c r="A6" s="3" t="s">
        <v>14</v>
      </c>
      <c r="B6" s="3">
        <v>0.9</v>
      </c>
      <c r="C6" s="3">
        <v>0.5</v>
      </c>
      <c r="D6" s="3">
        <v>0.6</v>
      </c>
      <c r="E6" s="3">
        <v>0.3</v>
      </c>
      <c r="F6" s="6">
        <v>359.89016700000002</v>
      </c>
      <c r="G6" s="3">
        <v>2E-3</v>
      </c>
      <c r="I6" s="3" t="s">
        <v>14</v>
      </c>
      <c r="J6" s="3">
        <v>0.88</v>
      </c>
      <c r="K6" s="7">
        <v>380.14367700000003</v>
      </c>
      <c r="L6" s="3">
        <v>0</v>
      </c>
      <c r="M6" s="3">
        <f t="shared" si="0"/>
        <v>0.59</v>
      </c>
      <c r="N6" s="5"/>
      <c r="O6" s="5"/>
      <c r="P6" s="5"/>
      <c r="Q6" s="5"/>
      <c r="R6" s="1"/>
      <c r="S6" s="3" t="s">
        <v>14</v>
      </c>
      <c r="T6" s="3">
        <v>0.9</v>
      </c>
      <c r="U6" s="3">
        <v>0.5</v>
      </c>
      <c r="V6" s="3">
        <v>0.6</v>
      </c>
      <c r="W6" s="3">
        <v>0.3</v>
      </c>
      <c r="X6" s="8">
        <v>335.153503</v>
      </c>
      <c r="Y6" s="3">
        <v>1E-3</v>
      </c>
      <c r="AA6" s="3" t="s">
        <v>14</v>
      </c>
      <c r="AB6" s="3">
        <v>0.22</v>
      </c>
      <c r="AC6" s="6">
        <v>335.08850100000001</v>
      </c>
      <c r="AD6" s="3">
        <v>0</v>
      </c>
      <c r="AE6" s="3">
        <f t="shared" si="1"/>
        <v>0.26</v>
      </c>
      <c r="AF6" s="5"/>
      <c r="AG6" s="5"/>
      <c r="AH6" s="5"/>
      <c r="AI6" s="5"/>
      <c r="AJ6" s="1"/>
      <c r="AK6" s="3" t="s">
        <v>15</v>
      </c>
      <c r="AL6" s="3">
        <v>0.9</v>
      </c>
      <c r="AM6" s="3">
        <v>0.5</v>
      </c>
      <c r="AN6" s="3">
        <v>0.6</v>
      </c>
      <c r="AO6" s="3">
        <v>0.3</v>
      </c>
      <c r="AP6" s="7">
        <v>719.17132600000002</v>
      </c>
      <c r="AQ6" s="3">
        <v>3.0000000000000001E-3</v>
      </c>
      <c r="AS6" s="3" t="s">
        <v>15</v>
      </c>
      <c r="AT6" s="3">
        <v>0.28999999999999998</v>
      </c>
      <c r="AU6" s="6">
        <v>698.30548099999999</v>
      </c>
      <c r="AV6" s="3">
        <v>0</v>
      </c>
      <c r="AW6" s="3">
        <f t="shared" si="2"/>
        <v>0.29499999999999998</v>
      </c>
      <c r="AX6" s="5"/>
      <c r="AY6" s="5"/>
      <c r="AZ6" s="5"/>
      <c r="BA6" s="5"/>
      <c r="BB6" s="1"/>
      <c r="BC6" s="3" t="s">
        <v>15</v>
      </c>
      <c r="BD6" s="3">
        <v>0.9</v>
      </c>
      <c r="BE6" s="3">
        <v>0.5</v>
      </c>
      <c r="BF6" s="3">
        <v>0.6</v>
      </c>
      <c r="BG6" s="3">
        <v>0.3</v>
      </c>
      <c r="BH6" s="6">
        <v>673.50183100000004</v>
      </c>
      <c r="BI6" s="3">
        <v>4.0000000000000001E-3</v>
      </c>
      <c r="BK6" s="3" t="s">
        <v>15</v>
      </c>
      <c r="BL6" s="3">
        <v>0.3</v>
      </c>
      <c r="BM6" s="8">
        <v>673.83789100000001</v>
      </c>
      <c r="BN6" s="3">
        <v>0</v>
      </c>
      <c r="BO6" s="3">
        <f t="shared" si="3"/>
        <v>0.3</v>
      </c>
    </row>
    <row r="7" spans="1:71" x14ac:dyDescent="0.3">
      <c r="A7" s="3" t="s">
        <v>16</v>
      </c>
      <c r="B7" s="3">
        <v>0.9</v>
      </c>
      <c r="C7" s="3">
        <v>0.5</v>
      </c>
      <c r="D7" s="3">
        <v>0.6</v>
      </c>
      <c r="E7" s="3">
        <v>0.3</v>
      </c>
      <c r="F7" s="6">
        <v>386.27529900000002</v>
      </c>
      <c r="G7" s="3">
        <v>2E-3</v>
      </c>
      <c r="I7" s="3" t="s">
        <v>16</v>
      </c>
      <c r="J7" s="3">
        <v>0.81</v>
      </c>
      <c r="K7" s="7">
        <v>402.66372699999999</v>
      </c>
      <c r="L7" s="3">
        <v>0</v>
      </c>
      <c r="M7" s="3">
        <f t="shared" si="0"/>
        <v>0.55500000000000005</v>
      </c>
      <c r="N7" s="5"/>
      <c r="O7" s="5"/>
      <c r="P7" s="5"/>
      <c r="Q7" s="5"/>
      <c r="R7" s="1"/>
      <c r="S7" s="3" t="s">
        <v>16</v>
      </c>
      <c r="T7" s="3">
        <v>0.9</v>
      </c>
      <c r="U7" s="3">
        <v>0.5</v>
      </c>
      <c r="V7" s="3">
        <v>0.6</v>
      </c>
      <c r="W7" s="3">
        <v>0.3</v>
      </c>
      <c r="X7" s="6">
        <v>368.649719</v>
      </c>
      <c r="Y7" s="3">
        <v>0</v>
      </c>
      <c r="AA7" s="3" t="s">
        <v>16</v>
      </c>
      <c r="AB7" s="3">
        <v>7.0000000000000007E-2</v>
      </c>
      <c r="AC7" s="7">
        <v>373.07678199999998</v>
      </c>
      <c r="AD7" s="3">
        <v>0</v>
      </c>
      <c r="AE7" s="3">
        <f t="shared" si="1"/>
        <v>0.185</v>
      </c>
      <c r="AF7" s="5"/>
      <c r="AG7" s="5"/>
      <c r="AH7" s="5"/>
      <c r="AI7" s="5"/>
      <c r="AJ7" s="1"/>
      <c r="AK7" s="3" t="s">
        <v>17</v>
      </c>
      <c r="AL7" s="3">
        <v>0.9</v>
      </c>
      <c r="AM7" s="3">
        <v>0.5</v>
      </c>
      <c r="AN7" s="3">
        <v>0.6</v>
      </c>
      <c r="AO7" s="3">
        <v>0.3</v>
      </c>
      <c r="AP7" s="6">
        <v>699.62377900000001</v>
      </c>
      <c r="AQ7" s="3">
        <v>4.0000000000000001E-3</v>
      </c>
      <c r="AS7" s="3" t="s">
        <v>17</v>
      </c>
      <c r="AT7" s="3">
        <v>0.98</v>
      </c>
      <c r="AU7" s="7">
        <v>865.78131099999996</v>
      </c>
      <c r="AV7" s="3">
        <v>0</v>
      </c>
      <c r="AW7" s="3">
        <f t="shared" si="2"/>
        <v>0.64</v>
      </c>
      <c r="AX7" s="5"/>
      <c r="AY7" s="5"/>
      <c r="AZ7" s="5"/>
      <c r="BA7" s="5"/>
      <c r="BB7" s="1"/>
      <c r="BC7" s="3" t="s">
        <v>17</v>
      </c>
      <c r="BD7" s="3">
        <v>0.9</v>
      </c>
      <c r="BE7" s="3">
        <v>0.5</v>
      </c>
      <c r="BF7" s="3">
        <v>0.6</v>
      </c>
      <c r="BG7" s="3">
        <v>0.3</v>
      </c>
      <c r="BH7" s="7">
        <v>664.324341</v>
      </c>
      <c r="BI7" s="3">
        <v>3.0000000000000001E-3</v>
      </c>
      <c r="BK7" s="3" t="s">
        <v>17</v>
      </c>
      <c r="BL7" s="3">
        <v>0.27</v>
      </c>
      <c r="BM7" s="6">
        <v>644.82507299999997</v>
      </c>
      <c r="BN7" s="3">
        <v>0</v>
      </c>
      <c r="BO7" s="3">
        <f t="shared" si="3"/>
        <v>0.28500000000000003</v>
      </c>
    </row>
    <row r="8" spans="1:71" x14ac:dyDescent="0.3">
      <c r="A8" s="3" t="s">
        <v>18</v>
      </c>
      <c r="B8" s="3">
        <v>0.9</v>
      </c>
      <c r="C8" s="3">
        <v>0.5</v>
      </c>
      <c r="D8" s="3">
        <v>0.6</v>
      </c>
      <c r="E8" s="3">
        <v>0.3</v>
      </c>
      <c r="F8" s="6">
        <v>341.47854599999999</v>
      </c>
      <c r="G8" s="3">
        <v>2E-3</v>
      </c>
      <c r="I8" s="3" t="s">
        <v>18</v>
      </c>
      <c r="J8" s="3">
        <v>0.79</v>
      </c>
      <c r="K8" s="7">
        <v>352.53537</v>
      </c>
      <c r="L8" s="3">
        <v>0</v>
      </c>
      <c r="M8" s="3">
        <f t="shared" si="0"/>
        <v>0.54500000000000004</v>
      </c>
      <c r="N8" s="5"/>
      <c r="O8" s="5"/>
      <c r="P8" s="5"/>
      <c r="Q8" s="5"/>
      <c r="R8" s="1"/>
      <c r="S8" s="3" t="s">
        <v>18</v>
      </c>
      <c r="T8" s="3">
        <v>0.9</v>
      </c>
      <c r="U8" s="3">
        <v>0.5</v>
      </c>
      <c r="V8" s="3">
        <v>0.6</v>
      </c>
      <c r="W8" s="3">
        <v>0.3</v>
      </c>
      <c r="X8" s="6">
        <v>318.64178500000003</v>
      </c>
      <c r="Y8" s="3">
        <v>1E-3</v>
      </c>
      <c r="AA8" s="3" t="s">
        <v>18</v>
      </c>
      <c r="AB8" s="3">
        <v>0.7</v>
      </c>
      <c r="AC8" s="7">
        <v>322.222443</v>
      </c>
      <c r="AD8" s="3">
        <v>0</v>
      </c>
      <c r="AE8" s="3">
        <f t="shared" si="1"/>
        <v>0.5</v>
      </c>
      <c r="AF8" s="5"/>
      <c r="AG8" s="5"/>
      <c r="AH8" s="5"/>
      <c r="AI8" s="5"/>
      <c r="AJ8" s="1"/>
      <c r="AK8" s="3" t="s">
        <v>19</v>
      </c>
      <c r="AL8" s="3">
        <v>0.9</v>
      </c>
      <c r="AM8" s="3">
        <v>0.5</v>
      </c>
      <c r="AN8" s="3">
        <v>0.6</v>
      </c>
      <c r="AO8" s="3">
        <v>0.3</v>
      </c>
      <c r="AP8" s="6">
        <v>725.96997099999999</v>
      </c>
      <c r="AQ8" s="3">
        <v>3.0000000000000001E-3</v>
      </c>
      <c r="AS8" s="3" t="s">
        <v>19</v>
      </c>
      <c r="AT8" s="3">
        <v>0.46</v>
      </c>
      <c r="AU8" s="7">
        <v>775.25097700000003</v>
      </c>
      <c r="AV8" s="3">
        <v>1E-3</v>
      </c>
      <c r="AW8" s="3">
        <f t="shared" si="2"/>
        <v>0.38</v>
      </c>
      <c r="AX8" s="5"/>
      <c r="AY8" s="5"/>
      <c r="AZ8" s="5"/>
      <c r="BA8" s="5"/>
      <c r="BB8" s="1"/>
      <c r="BC8" s="3" t="s">
        <v>19</v>
      </c>
      <c r="BD8" s="3">
        <v>0.9</v>
      </c>
      <c r="BE8" s="3">
        <v>0.5</v>
      </c>
      <c r="BF8" s="3">
        <v>0.6</v>
      </c>
      <c r="BG8" s="3">
        <v>0.3</v>
      </c>
      <c r="BH8" s="7">
        <v>693.78283699999997</v>
      </c>
      <c r="BI8" s="3">
        <v>3.0000000000000001E-3</v>
      </c>
      <c r="BK8" s="3" t="s">
        <v>19</v>
      </c>
      <c r="BL8" s="3">
        <v>0.05</v>
      </c>
      <c r="BM8" s="6">
        <v>621.96807899999999</v>
      </c>
      <c r="BN8" s="3">
        <v>0</v>
      </c>
      <c r="BO8" s="3">
        <f t="shared" si="3"/>
        <v>0.17499999999999999</v>
      </c>
    </row>
    <row r="9" spans="1:71" x14ac:dyDescent="0.3">
      <c r="A9" s="3" t="s">
        <v>20</v>
      </c>
      <c r="B9" s="3">
        <v>0.9</v>
      </c>
      <c r="C9" s="3">
        <v>0.5</v>
      </c>
      <c r="D9" s="3">
        <v>0.6</v>
      </c>
      <c r="E9" s="3">
        <v>0.3</v>
      </c>
      <c r="F9" s="6">
        <v>400.13763399999999</v>
      </c>
      <c r="G9" s="3">
        <v>1E-3</v>
      </c>
      <c r="I9" s="3" t="s">
        <v>20</v>
      </c>
      <c r="J9" s="3">
        <v>0.4</v>
      </c>
      <c r="K9" s="7">
        <v>406.91073599999999</v>
      </c>
      <c r="L9" s="3">
        <v>0</v>
      </c>
      <c r="M9" s="3">
        <f t="shared" si="0"/>
        <v>0.35</v>
      </c>
      <c r="N9" s="5"/>
      <c r="O9" s="5"/>
      <c r="P9" s="5"/>
      <c r="Q9" s="5"/>
      <c r="R9" s="1"/>
      <c r="S9" s="3" t="s">
        <v>20</v>
      </c>
      <c r="T9" s="3">
        <v>0.9</v>
      </c>
      <c r="U9" s="3">
        <v>0.5</v>
      </c>
      <c r="V9" s="3">
        <v>0.6</v>
      </c>
      <c r="W9" s="3">
        <v>0.3</v>
      </c>
      <c r="X9" s="6">
        <v>384.309845</v>
      </c>
      <c r="Y9" s="3">
        <v>1E-3</v>
      </c>
      <c r="AA9" s="3" t="s">
        <v>20</v>
      </c>
      <c r="AB9" s="3">
        <v>0.79</v>
      </c>
      <c r="AC9" s="8">
        <v>384.83270299999998</v>
      </c>
      <c r="AD9" s="3">
        <v>0</v>
      </c>
      <c r="AE9" s="3">
        <f t="shared" si="1"/>
        <v>0.54500000000000004</v>
      </c>
      <c r="AF9" s="5"/>
      <c r="AG9" s="5"/>
      <c r="AH9" s="5"/>
      <c r="AI9" s="5"/>
      <c r="AJ9" s="1"/>
      <c r="AK9" s="3" t="s">
        <v>21</v>
      </c>
      <c r="AL9" s="3">
        <v>0.9</v>
      </c>
      <c r="AM9" s="3">
        <v>0.5</v>
      </c>
      <c r="AN9" s="3">
        <v>0.6</v>
      </c>
      <c r="AO9" s="3">
        <v>0.3</v>
      </c>
      <c r="AP9" s="6">
        <v>707.42553699999996</v>
      </c>
      <c r="AQ9" s="3">
        <v>3.0000000000000001E-3</v>
      </c>
      <c r="AS9" s="3" t="s">
        <v>21</v>
      </c>
      <c r="AT9" s="3">
        <v>0.67</v>
      </c>
      <c r="AU9" s="7">
        <v>835.40344200000004</v>
      </c>
      <c r="AV9" s="3">
        <v>1E-3</v>
      </c>
      <c r="AW9" s="3">
        <f t="shared" si="2"/>
        <v>0.48499999999999999</v>
      </c>
      <c r="AX9" s="5"/>
      <c r="AY9" s="5"/>
      <c r="AZ9" s="5"/>
      <c r="BA9" s="5"/>
      <c r="BB9" s="1"/>
      <c r="BC9" s="3" t="s">
        <v>21</v>
      </c>
      <c r="BD9" s="3">
        <v>0.9</v>
      </c>
      <c r="BE9" s="3">
        <v>0.5</v>
      </c>
      <c r="BF9" s="3">
        <v>0.6</v>
      </c>
      <c r="BG9" s="3">
        <v>0.3</v>
      </c>
      <c r="BH9" s="6">
        <v>671.61804199999995</v>
      </c>
      <c r="BI9" s="3">
        <v>4.0000000000000001E-3</v>
      </c>
      <c r="BK9" s="3" t="s">
        <v>21</v>
      </c>
      <c r="BL9" s="3">
        <v>0.56999999999999995</v>
      </c>
      <c r="BM9" s="7">
        <v>769.33789100000001</v>
      </c>
      <c r="BN9" s="3">
        <v>0</v>
      </c>
      <c r="BO9" s="3">
        <f t="shared" si="3"/>
        <v>0.43499999999999994</v>
      </c>
    </row>
    <row r="10" spans="1:71" x14ac:dyDescent="0.3">
      <c r="A10" s="3" t="s">
        <v>22</v>
      </c>
      <c r="B10" s="3">
        <v>0.9</v>
      </c>
      <c r="C10" s="3">
        <v>0.5</v>
      </c>
      <c r="D10" s="3">
        <v>0.6</v>
      </c>
      <c r="E10" s="3">
        <v>0.3</v>
      </c>
      <c r="F10" s="6">
        <v>380.04760700000003</v>
      </c>
      <c r="G10" s="3">
        <v>1E-3</v>
      </c>
      <c r="I10" s="3" t="s">
        <v>22</v>
      </c>
      <c r="J10" s="3">
        <v>0.73</v>
      </c>
      <c r="K10" s="7">
        <v>395.028076</v>
      </c>
      <c r="L10" s="3">
        <v>0</v>
      </c>
      <c r="M10" s="3">
        <f t="shared" si="0"/>
        <v>0.51500000000000001</v>
      </c>
      <c r="N10" s="5"/>
      <c r="O10" s="5"/>
      <c r="P10" s="5"/>
      <c r="Q10" s="5"/>
      <c r="R10" s="1"/>
      <c r="S10" s="3" t="s">
        <v>22</v>
      </c>
      <c r="T10" s="3">
        <v>0.9</v>
      </c>
      <c r="U10" s="3">
        <v>0.5</v>
      </c>
      <c r="V10" s="3">
        <v>0.6</v>
      </c>
      <c r="W10" s="3">
        <v>0.3</v>
      </c>
      <c r="X10" s="6">
        <v>354.80401599999999</v>
      </c>
      <c r="Y10" s="3">
        <v>0</v>
      </c>
      <c r="AA10" s="3" t="s">
        <v>22</v>
      </c>
      <c r="AB10" s="3">
        <v>0.91</v>
      </c>
      <c r="AC10" s="7">
        <v>369.19976800000001</v>
      </c>
      <c r="AD10" s="3">
        <v>0</v>
      </c>
      <c r="AE10" s="3">
        <f t="shared" si="1"/>
        <v>0.60499999999999998</v>
      </c>
      <c r="AF10" s="5"/>
      <c r="AG10" s="5"/>
      <c r="AH10" s="5"/>
      <c r="AI10" s="5"/>
      <c r="AJ10" s="1"/>
      <c r="AK10" s="3" t="s">
        <v>23</v>
      </c>
      <c r="AL10" s="3">
        <v>0.9</v>
      </c>
      <c r="AM10" s="3">
        <v>0.5</v>
      </c>
      <c r="AN10" s="3">
        <v>0.6</v>
      </c>
      <c r="AO10" s="3">
        <v>0.3</v>
      </c>
      <c r="AP10" s="6">
        <v>720.77105700000004</v>
      </c>
      <c r="AQ10" s="3">
        <v>4.0000000000000001E-3</v>
      </c>
      <c r="AS10" s="3" t="s">
        <v>23</v>
      </c>
      <c r="AT10" s="3">
        <v>0.51</v>
      </c>
      <c r="AU10" s="7">
        <v>791.94341999999995</v>
      </c>
      <c r="AV10" s="3">
        <v>1E-3</v>
      </c>
      <c r="AW10" s="3">
        <f t="shared" si="2"/>
        <v>0.40500000000000003</v>
      </c>
      <c r="AX10" s="5"/>
      <c r="AY10" s="5"/>
      <c r="AZ10" s="5"/>
      <c r="BA10" s="5"/>
      <c r="BB10" s="1"/>
      <c r="BC10" s="3" t="s">
        <v>23</v>
      </c>
      <c r="BD10" s="3">
        <v>0.9</v>
      </c>
      <c r="BE10" s="3">
        <v>0.5</v>
      </c>
      <c r="BF10" s="3">
        <v>0.6</v>
      </c>
      <c r="BG10" s="3">
        <v>0.3</v>
      </c>
      <c r="BH10" s="6">
        <v>692.03894000000003</v>
      </c>
      <c r="BI10" s="3">
        <v>3.0000000000000001E-3</v>
      </c>
      <c r="BK10" s="3" t="s">
        <v>23</v>
      </c>
      <c r="BL10" s="3">
        <v>0.68</v>
      </c>
      <c r="BM10" s="7">
        <v>779.94293200000004</v>
      </c>
      <c r="BN10" s="3">
        <v>0</v>
      </c>
      <c r="BO10" s="3">
        <f t="shared" si="3"/>
        <v>0.49</v>
      </c>
    </row>
    <row r="11" spans="1:71" x14ac:dyDescent="0.3">
      <c r="A11" s="3" t="s">
        <v>24</v>
      </c>
      <c r="B11" s="3">
        <v>0.9</v>
      </c>
      <c r="C11" s="3">
        <v>0.5</v>
      </c>
      <c r="D11" s="3">
        <v>0.6</v>
      </c>
      <c r="E11" s="3">
        <v>0.3</v>
      </c>
      <c r="F11" s="6">
        <v>428.24426299999999</v>
      </c>
      <c r="G11" s="3">
        <v>1E-3</v>
      </c>
      <c r="I11" s="3" t="s">
        <v>24</v>
      </c>
      <c r="J11" s="3">
        <v>0.41</v>
      </c>
      <c r="K11" s="7">
        <v>455.05792200000002</v>
      </c>
      <c r="L11" s="3">
        <v>0</v>
      </c>
      <c r="M11" s="3">
        <f t="shared" si="0"/>
        <v>0.35499999999999998</v>
      </c>
      <c r="N11" s="5"/>
      <c r="O11" s="5"/>
      <c r="P11" s="5"/>
      <c r="Q11" s="5"/>
      <c r="R11" s="1"/>
      <c r="S11" s="3" t="s">
        <v>24</v>
      </c>
      <c r="T11" s="3">
        <v>0.9</v>
      </c>
      <c r="U11" s="3">
        <v>0.5</v>
      </c>
      <c r="V11" s="3">
        <v>0.6</v>
      </c>
      <c r="W11" s="3">
        <v>0.3</v>
      </c>
      <c r="X11" s="6">
        <v>413.58767699999999</v>
      </c>
      <c r="Y11" s="3">
        <v>1E-3</v>
      </c>
      <c r="AA11" s="3" t="s">
        <v>24</v>
      </c>
      <c r="AB11" s="3">
        <v>0.9</v>
      </c>
      <c r="AC11" s="7">
        <v>420.171967</v>
      </c>
      <c r="AD11" s="3">
        <v>1E-3</v>
      </c>
      <c r="AE11" s="3">
        <f t="shared" si="1"/>
        <v>0.6</v>
      </c>
      <c r="AF11" s="5"/>
      <c r="AG11" s="5"/>
      <c r="AH11" s="5"/>
      <c r="AI11" s="5"/>
      <c r="AJ11" s="1"/>
      <c r="AK11" s="3" t="s">
        <v>25</v>
      </c>
      <c r="AL11" s="3">
        <v>0.9</v>
      </c>
      <c r="AM11" s="3">
        <v>0.5</v>
      </c>
      <c r="AN11" s="3">
        <v>0.6</v>
      </c>
      <c r="AO11" s="3">
        <v>0.3</v>
      </c>
      <c r="AP11" s="6">
        <v>733.290344</v>
      </c>
      <c r="AQ11" s="3">
        <v>3.0000000000000001E-3</v>
      </c>
      <c r="AS11" s="3" t="s">
        <v>25</v>
      </c>
      <c r="AT11" s="3">
        <v>0.78</v>
      </c>
      <c r="AU11" s="7">
        <v>850.88031000000001</v>
      </c>
      <c r="AV11" s="3">
        <v>1E-3</v>
      </c>
      <c r="AW11" s="3">
        <f t="shared" si="2"/>
        <v>0.54</v>
      </c>
      <c r="AX11" s="5"/>
      <c r="AY11" s="5"/>
      <c r="AZ11" s="5"/>
      <c r="BA11" s="5"/>
      <c r="BB11" s="1"/>
      <c r="BC11" s="3" t="s">
        <v>25</v>
      </c>
      <c r="BD11" s="3">
        <v>0.9</v>
      </c>
      <c r="BE11" s="3">
        <v>0.5</v>
      </c>
      <c r="BF11" s="3">
        <v>0.6</v>
      </c>
      <c r="BG11" s="3">
        <v>0.3</v>
      </c>
      <c r="BH11" s="6">
        <v>711.53033400000004</v>
      </c>
      <c r="BI11" s="3">
        <v>3.0000000000000001E-3</v>
      </c>
      <c r="BK11" s="3" t="s">
        <v>25</v>
      </c>
      <c r="BL11" s="3">
        <v>0.49</v>
      </c>
      <c r="BM11" s="7">
        <v>756.00164800000005</v>
      </c>
      <c r="BN11" s="3">
        <v>1E-3</v>
      </c>
      <c r="BO11" s="3">
        <f t="shared" si="3"/>
        <v>0.39500000000000002</v>
      </c>
    </row>
    <row r="12" spans="1:71" x14ac:dyDescent="0.3">
      <c r="A12" s="3" t="s">
        <v>26</v>
      </c>
      <c r="B12" s="3">
        <v>0.9</v>
      </c>
      <c r="C12" s="3">
        <v>0.5</v>
      </c>
      <c r="D12" s="3">
        <v>0.6</v>
      </c>
      <c r="E12" s="3">
        <v>0.3</v>
      </c>
      <c r="F12" s="6">
        <v>411.07409699999999</v>
      </c>
      <c r="G12" s="3">
        <v>1E-3</v>
      </c>
      <c r="I12" s="3" t="s">
        <v>26</v>
      </c>
      <c r="J12" s="3">
        <v>0.27</v>
      </c>
      <c r="K12" s="8">
        <v>411.375427</v>
      </c>
      <c r="L12" s="3">
        <v>0</v>
      </c>
      <c r="M12" s="3">
        <f t="shared" si="0"/>
        <v>0.28500000000000003</v>
      </c>
      <c r="N12" s="5"/>
      <c r="O12" s="5"/>
      <c r="P12" s="5"/>
      <c r="Q12" s="5"/>
      <c r="R12" s="1"/>
      <c r="S12" s="3" t="s">
        <v>26</v>
      </c>
      <c r="T12" s="3">
        <v>0.9</v>
      </c>
      <c r="U12" s="3">
        <v>0.5</v>
      </c>
      <c r="V12" s="3">
        <v>0.6</v>
      </c>
      <c r="W12" s="3">
        <v>0.3</v>
      </c>
      <c r="X12" s="6">
        <v>387.96127300000001</v>
      </c>
      <c r="Y12" s="3">
        <v>1E-3</v>
      </c>
      <c r="AA12" s="3" t="s">
        <v>26</v>
      </c>
      <c r="AB12" s="3">
        <v>0.7</v>
      </c>
      <c r="AC12" s="7">
        <v>395.56634500000001</v>
      </c>
      <c r="AD12" s="3">
        <v>0</v>
      </c>
      <c r="AE12" s="3">
        <f t="shared" si="1"/>
        <v>0.5</v>
      </c>
      <c r="AF12" s="5"/>
      <c r="AG12" s="5"/>
      <c r="AH12" s="5"/>
      <c r="AI12" s="5"/>
      <c r="AJ12" s="1"/>
      <c r="AK12" s="3" t="s">
        <v>27</v>
      </c>
      <c r="AL12" s="3">
        <v>0.9</v>
      </c>
      <c r="AM12" s="3">
        <v>0.5</v>
      </c>
      <c r="AN12" s="3">
        <v>0.6</v>
      </c>
      <c r="AO12" s="3">
        <v>0.3</v>
      </c>
      <c r="AP12" s="7">
        <v>704.16943400000002</v>
      </c>
      <c r="AQ12" s="3">
        <v>3.0000000000000001E-3</v>
      </c>
      <c r="AS12" s="3" t="s">
        <v>27</v>
      </c>
      <c r="AT12" s="3">
        <v>0.24</v>
      </c>
      <c r="AU12" s="6">
        <v>679.859375</v>
      </c>
      <c r="AV12" s="3">
        <v>0</v>
      </c>
      <c r="AW12" s="3">
        <f t="shared" si="2"/>
        <v>0.27</v>
      </c>
      <c r="AX12" s="5"/>
      <c r="AY12" s="5"/>
      <c r="AZ12" s="5"/>
      <c r="BA12" s="5"/>
      <c r="BB12" s="1"/>
      <c r="BC12" s="3" t="s">
        <v>27</v>
      </c>
      <c r="BD12" s="3">
        <v>0.9</v>
      </c>
      <c r="BE12" s="3">
        <v>0.5</v>
      </c>
      <c r="BF12" s="3">
        <v>0.6</v>
      </c>
      <c r="BG12" s="3">
        <v>0.3</v>
      </c>
      <c r="BH12" s="6">
        <v>675.07019000000003</v>
      </c>
      <c r="BI12" s="3">
        <v>3.0000000000000001E-3</v>
      </c>
      <c r="BK12" s="3" t="s">
        <v>27</v>
      </c>
      <c r="BL12" s="3">
        <v>0.61</v>
      </c>
      <c r="BM12" s="7">
        <v>736.514771</v>
      </c>
      <c r="BN12" s="3">
        <v>1E-3</v>
      </c>
      <c r="BO12" s="3">
        <f t="shared" si="3"/>
        <v>0.45499999999999996</v>
      </c>
    </row>
    <row r="13" spans="1:71" x14ac:dyDescent="0.3">
      <c r="A13" s="3" t="s">
        <v>28</v>
      </c>
      <c r="B13" s="3">
        <v>0.9</v>
      </c>
      <c r="C13" s="3">
        <v>0.5</v>
      </c>
      <c r="D13" s="3">
        <v>0.6</v>
      </c>
      <c r="E13" s="3">
        <v>0.3</v>
      </c>
      <c r="F13" s="6">
        <v>338.95556599999998</v>
      </c>
      <c r="G13" s="3">
        <v>1E-3</v>
      </c>
      <c r="I13" s="3" t="s">
        <v>28</v>
      </c>
      <c r="J13" s="3">
        <v>0.99</v>
      </c>
      <c r="K13" s="7">
        <v>362.07800300000002</v>
      </c>
      <c r="L13" s="3">
        <v>0</v>
      </c>
      <c r="M13" s="3">
        <f t="shared" si="0"/>
        <v>0.64500000000000002</v>
      </c>
      <c r="N13" s="5"/>
      <c r="O13" s="5"/>
      <c r="P13" s="5"/>
      <c r="Q13" s="5"/>
      <c r="R13" s="1"/>
      <c r="S13" s="3" t="s">
        <v>28</v>
      </c>
      <c r="T13" s="3">
        <v>0.9</v>
      </c>
      <c r="U13" s="3">
        <v>0.5</v>
      </c>
      <c r="V13" s="3">
        <v>0.6</v>
      </c>
      <c r="W13" s="3">
        <v>0.3</v>
      </c>
      <c r="X13" s="6">
        <v>311.57052599999997</v>
      </c>
      <c r="Y13" s="3">
        <v>1E-3</v>
      </c>
      <c r="AA13" s="3" t="s">
        <v>28</v>
      </c>
      <c r="AB13" s="3">
        <v>0.64</v>
      </c>
      <c r="AC13" s="6">
        <v>311.57052599999997</v>
      </c>
      <c r="AD13" s="3">
        <v>0</v>
      </c>
      <c r="AE13" s="3">
        <f t="shared" si="1"/>
        <v>0.47</v>
      </c>
      <c r="AF13" s="5"/>
      <c r="AG13" s="5"/>
      <c r="AH13" s="5"/>
      <c r="AI13" s="5"/>
      <c r="AJ13" s="1"/>
      <c r="AK13" s="3" t="s">
        <v>29</v>
      </c>
      <c r="AL13" s="3">
        <v>0.9</v>
      </c>
      <c r="AM13" s="3">
        <v>0.5</v>
      </c>
      <c r="AN13" s="3">
        <v>0.6</v>
      </c>
      <c r="AO13" s="3">
        <v>0.3</v>
      </c>
      <c r="AP13" s="6">
        <v>725.91839600000003</v>
      </c>
      <c r="AQ13" s="3">
        <v>3.0000000000000001E-3</v>
      </c>
      <c r="AS13" s="3" t="s">
        <v>29</v>
      </c>
      <c r="AT13" s="3">
        <v>0.53</v>
      </c>
      <c r="AU13" s="7">
        <v>805.79187000000002</v>
      </c>
      <c r="AV13" s="3">
        <v>0</v>
      </c>
      <c r="AW13" s="3">
        <f t="shared" si="2"/>
        <v>0.41500000000000004</v>
      </c>
      <c r="AX13" s="5"/>
      <c r="AY13" s="5"/>
      <c r="AZ13" s="5"/>
      <c r="BA13" s="5"/>
      <c r="BB13" s="1"/>
      <c r="BC13" s="3" t="s">
        <v>29</v>
      </c>
      <c r="BD13" s="3">
        <v>0.9</v>
      </c>
      <c r="BE13" s="3">
        <v>0.5</v>
      </c>
      <c r="BF13" s="3">
        <v>0.6</v>
      </c>
      <c r="BG13" s="3">
        <v>0.3</v>
      </c>
      <c r="BH13" s="7">
        <v>692.61828600000001</v>
      </c>
      <c r="BI13" s="3">
        <v>3.0000000000000001E-3</v>
      </c>
      <c r="BK13" s="3" t="s">
        <v>29</v>
      </c>
      <c r="BL13" s="3">
        <v>0.08</v>
      </c>
      <c r="BM13" s="6">
        <v>623.165344</v>
      </c>
      <c r="BN13" s="3">
        <v>0</v>
      </c>
      <c r="BO13" s="3">
        <f t="shared" si="3"/>
        <v>0.19</v>
      </c>
    </row>
    <row r="14" spans="1:71" x14ac:dyDescent="0.3">
      <c r="A14" s="3" t="s">
        <v>30</v>
      </c>
      <c r="B14" s="3">
        <v>0.9</v>
      </c>
      <c r="C14" s="3">
        <v>0.5</v>
      </c>
      <c r="D14" s="3">
        <v>0.6</v>
      </c>
      <c r="E14" s="3">
        <v>0.3</v>
      </c>
      <c r="F14" s="6">
        <v>485.22625699999998</v>
      </c>
      <c r="G14" s="3">
        <v>1E-3</v>
      </c>
      <c r="I14" s="3" t="s">
        <v>30</v>
      </c>
      <c r="J14" s="3">
        <v>0.28999999999999998</v>
      </c>
      <c r="K14" s="7">
        <v>521.64813200000003</v>
      </c>
      <c r="L14" s="3">
        <v>0</v>
      </c>
      <c r="M14" s="3">
        <f t="shared" si="0"/>
        <v>0.29499999999999998</v>
      </c>
      <c r="N14" s="5"/>
      <c r="O14" s="5"/>
      <c r="P14" s="5"/>
      <c r="Q14" s="5"/>
      <c r="R14" s="1"/>
      <c r="S14" s="3" t="s">
        <v>30</v>
      </c>
      <c r="T14" s="3">
        <v>0.9</v>
      </c>
      <c r="U14" s="3">
        <v>0.5</v>
      </c>
      <c r="V14" s="3">
        <v>0.6</v>
      </c>
      <c r="W14" s="3">
        <v>0.3</v>
      </c>
      <c r="X14" s="6">
        <v>463.24887100000001</v>
      </c>
      <c r="Y14" s="3">
        <v>0</v>
      </c>
      <c r="AA14" s="3" t="s">
        <v>30</v>
      </c>
      <c r="AB14" s="3">
        <v>0.34</v>
      </c>
      <c r="AC14" s="7">
        <v>482.65521200000001</v>
      </c>
      <c r="AD14" s="3">
        <v>0</v>
      </c>
      <c r="AE14" s="3">
        <f t="shared" si="1"/>
        <v>0.32</v>
      </c>
      <c r="AF14" s="5"/>
      <c r="AG14" s="5"/>
      <c r="AH14" s="5"/>
      <c r="AI14" s="5"/>
      <c r="AJ14" s="1"/>
      <c r="AK14" s="3" t="s">
        <v>31</v>
      </c>
      <c r="AL14" s="3">
        <v>0.9</v>
      </c>
      <c r="AM14" s="3">
        <v>0.5</v>
      </c>
      <c r="AN14" s="3">
        <v>0.6</v>
      </c>
      <c r="AO14" s="3">
        <v>0.3</v>
      </c>
      <c r="AP14" s="7">
        <v>826.98053000000004</v>
      </c>
      <c r="AQ14" s="3">
        <v>4.0000000000000001E-3</v>
      </c>
      <c r="AS14" s="3" t="s">
        <v>31</v>
      </c>
      <c r="AT14" s="3">
        <v>0.02</v>
      </c>
      <c r="AU14" s="6">
        <v>706.242615</v>
      </c>
      <c r="AV14" s="3">
        <v>0</v>
      </c>
      <c r="AW14" s="3">
        <f t="shared" si="2"/>
        <v>0.16</v>
      </c>
      <c r="AX14" s="5"/>
      <c r="AY14" s="5"/>
      <c r="AZ14" s="5"/>
      <c r="BA14" s="5"/>
      <c r="BB14" s="1"/>
      <c r="BC14" s="3" t="s">
        <v>31</v>
      </c>
      <c r="BD14" s="3">
        <v>0.9</v>
      </c>
      <c r="BE14" s="3">
        <v>0.5</v>
      </c>
      <c r="BF14" s="3">
        <v>0.6</v>
      </c>
      <c r="BG14" s="3">
        <v>0.3</v>
      </c>
      <c r="BH14" s="6">
        <v>800.44757100000004</v>
      </c>
      <c r="BI14" s="3">
        <v>4.0000000000000001E-3</v>
      </c>
      <c r="BK14" s="3" t="s">
        <v>31</v>
      </c>
      <c r="BL14" s="3">
        <v>0.41</v>
      </c>
      <c r="BM14" s="7">
        <v>854.73272699999995</v>
      </c>
      <c r="BN14" s="3">
        <v>0</v>
      </c>
      <c r="BO14" s="3">
        <f t="shared" si="3"/>
        <v>0.35499999999999998</v>
      </c>
    </row>
    <row r="15" spans="1:71" x14ac:dyDescent="0.3">
      <c r="A15" s="3" t="s">
        <v>32</v>
      </c>
      <c r="B15" s="3">
        <v>0.9</v>
      </c>
      <c r="C15" s="3">
        <v>0.5</v>
      </c>
      <c r="D15" s="3">
        <v>0.6</v>
      </c>
      <c r="E15" s="3">
        <v>0.3</v>
      </c>
      <c r="F15" s="6">
        <v>448.001282</v>
      </c>
      <c r="G15" s="3">
        <v>1E-3</v>
      </c>
      <c r="I15" s="3" t="s">
        <v>32</v>
      </c>
      <c r="J15" s="3">
        <v>0.44</v>
      </c>
      <c r="K15" s="7">
        <v>477.65963699999998</v>
      </c>
      <c r="L15" s="3">
        <v>0</v>
      </c>
      <c r="M15" s="3">
        <f t="shared" si="0"/>
        <v>0.37</v>
      </c>
      <c r="N15" s="5"/>
      <c r="O15" s="5"/>
      <c r="P15" s="5"/>
      <c r="Q15" s="5"/>
      <c r="R15" s="1"/>
      <c r="S15" s="3" t="s">
        <v>32</v>
      </c>
      <c r="T15" s="3">
        <v>0.9</v>
      </c>
      <c r="U15" s="3">
        <v>0.5</v>
      </c>
      <c r="V15" s="3">
        <v>0.6</v>
      </c>
      <c r="W15" s="3">
        <v>0.3</v>
      </c>
      <c r="X15" s="6">
        <v>425.74417099999999</v>
      </c>
      <c r="Y15" s="3">
        <v>1E-3</v>
      </c>
      <c r="AA15" s="3" t="s">
        <v>32</v>
      </c>
      <c r="AB15" s="3">
        <v>0.13</v>
      </c>
      <c r="AC15" s="7">
        <v>435.87612899999999</v>
      </c>
      <c r="AD15" s="3">
        <v>1E-3</v>
      </c>
      <c r="AE15" s="3">
        <f t="shared" si="1"/>
        <v>0.215</v>
      </c>
      <c r="AF15" s="5"/>
      <c r="AG15" s="5"/>
      <c r="AH15" s="5"/>
      <c r="AI15" s="5"/>
      <c r="AJ15" s="1"/>
      <c r="AK15" s="3" t="s">
        <v>33</v>
      </c>
      <c r="AL15" s="3">
        <v>0.9</v>
      </c>
      <c r="AM15" s="3">
        <v>0.5</v>
      </c>
      <c r="AN15" s="3">
        <v>0.6</v>
      </c>
      <c r="AO15" s="3">
        <v>0.3</v>
      </c>
      <c r="AP15" s="6">
        <v>759.88958700000001</v>
      </c>
      <c r="AQ15" s="3">
        <v>3.0000000000000001E-3</v>
      </c>
      <c r="AS15" s="3" t="s">
        <v>33</v>
      </c>
      <c r="AT15" s="3">
        <v>0.51</v>
      </c>
      <c r="AU15" s="7">
        <v>863.13836700000002</v>
      </c>
      <c r="AV15" s="3">
        <v>0</v>
      </c>
      <c r="AW15" s="3">
        <f t="shared" si="2"/>
        <v>0.40500000000000003</v>
      </c>
      <c r="AX15" s="5"/>
      <c r="AY15" s="5"/>
      <c r="AZ15" s="5"/>
      <c r="BA15" s="5"/>
      <c r="BB15" s="1"/>
      <c r="BC15" s="3" t="s">
        <v>33</v>
      </c>
      <c r="BD15" s="3">
        <v>0.9</v>
      </c>
      <c r="BE15" s="3">
        <v>0.5</v>
      </c>
      <c r="BF15" s="3">
        <v>0.6</v>
      </c>
      <c r="BG15" s="3">
        <v>0.3</v>
      </c>
      <c r="BH15" s="7">
        <v>725.22882100000004</v>
      </c>
      <c r="BI15" s="3">
        <v>4.0000000000000001E-3</v>
      </c>
      <c r="BK15" s="3" t="s">
        <v>33</v>
      </c>
      <c r="BL15" s="3">
        <v>0.23</v>
      </c>
      <c r="BM15" s="6">
        <v>717.32769800000005</v>
      </c>
      <c r="BN15" s="3">
        <v>1E-3</v>
      </c>
      <c r="BO15" s="3">
        <f t="shared" si="3"/>
        <v>0.26500000000000001</v>
      </c>
    </row>
    <row r="16" spans="1:71" x14ac:dyDescent="0.3">
      <c r="A16" s="3" t="s">
        <v>34</v>
      </c>
      <c r="B16" s="3">
        <v>0.9</v>
      </c>
      <c r="C16" s="3">
        <v>0.5</v>
      </c>
      <c r="D16" s="3">
        <v>0.6</v>
      </c>
      <c r="E16" s="3">
        <v>0.3</v>
      </c>
      <c r="F16" s="6">
        <v>402.28042599999998</v>
      </c>
      <c r="G16" s="3">
        <v>1E-3</v>
      </c>
      <c r="I16" s="3" t="s">
        <v>34</v>
      </c>
      <c r="J16" s="3">
        <v>0.1</v>
      </c>
      <c r="K16" s="7">
        <v>409.90408300000001</v>
      </c>
      <c r="L16" s="3">
        <v>0</v>
      </c>
      <c r="M16" s="3">
        <f t="shared" si="0"/>
        <v>0.2</v>
      </c>
      <c r="N16" s="5"/>
      <c r="O16" s="5"/>
      <c r="P16" s="5"/>
      <c r="Q16" s="5"/>
      <c r="R16" s="1"/>
      <c r="S16" s="3" t="s">
        <v>34</v>
      </c>
      <c r="T16" s="3">
        <v>0.9</v>
      </c>
      <c r="U16" s="3">
        <v>0.5</v>
      </c>
      <c r="V16" s="3">
        <v>0.6</v>
      </c>
      <c r="W16" s="3">
        <v>0.3</v>
      </c>
      <c r="X16" s="6">
        <v>393.565247</v>
      </c>
      <c r="Y16" s="3">
        <v>0</v>
      </c>
      <c r="AA16" s="3" t="s">
        <v>34</v>
      </c>
      <c r="AB16" s="3">
        <v>0.06</v>
      </c>
      <c r="AC16" s="7">
        <v>400.70556599999998</v>
      </c>
      <c r="AD16" s="3">
        <v>0</v>
      </c>
      <c r="AE16" s="3">
        <f t="shared" si="1"/>
        <v>0.18</v>
      </c>
      <c r="AF16" s="5"/>
      <c r="AG16" s="5"/>
      <c r="AH16" s="5"/>
      <c r="AI16" s="5"/>
      <c r="AJ16" s="1"/>
      <c r="AK16" s="3" t="s">
        <v>35</v>
      </c>
      <c r="AL16" s="3">
        <v>0.9</v>
      </c>
      <c r="AM16" s="3">
        <v>0.5</v>
      </c>
      <c r="AN16" s="3">
        <v>0.6</v>
      </c>
      <c r="AO16" s="3">
        <v>0.3</v>
      </c>
      <c r="AP16" s="6">
        <v>779.29614300000003</v>
      </c>
      <c r="AQ16" s="3">
        <v>4.0000000000000001E-3</v>
      </c>
      <c r="AS16" s="3" t="s">
        <v>35</v>
      </c>
      <c r="AT16" s="3">
        <v>0.65</v>
      </c>
      <c r="AU16" s="7">
        <v>959.38915999999995</v>
      </c>
      <c r="AV16" s="3">
        <v>1E-3</v>
      </c>
      <c r="AW16" s="3">
        <f t="shared" si="2"/>
        <v>0.47499999999999998</v>
      </c>
      <c r="AX16" s="5"/>
      <c r="AY16" s="5"/>
      <c r="AZ16" s="5"/>
      <c r="BA16" s="5"/>
      <c r="BB16" s="1"/>
      <c r="BC16" s="3" t="s">
        <v>35</v>
      </c>
      <c r="BD16" s="3">
        <v>0.9</v>
      </c>
      <c r="BE16" s="3">
        <v>0.5</v>
      </c>
      <c r="BF16" s="3">
        <v>0.6</v>
      </c>
      <c r="BG16" s="3">
        <v>0.3</v>
      </c>
      <c r="BH16" s="7">
        <v>758.28533900000002</v>
      </c>
      <c r="BI16" s="3">
        <v>4.0000000000000001E-3</v>
      </c>
      <c r="BK16" s="3" t="s">
        <v>35</v>
      </c>
      <c r="BL16" s="3">
        <v>0.2</v>
      </c>
      <c r="BM16" s="6">
        <v>711.46289100000001</v>
      </c>
      <c r="BN16" s="3">
        <v>0</v>
      </c>
      <c r="BO16" s="3">
        <f t="shared" si="3"/>
        <v>0.25</v>
      </c>
    </row>
    <row r="17" spans="1:67" x14ac:dyDescent="0.3">
      <c r="A17" s="3" t="s">
        <v>36</v>
      </c>
      <c r="B17" s="3">
        <v>0.9</v>
      </c>
      <c r="C17" s="3">
        <v>0.5</v>
      </c>
      <c r="D17" s="3">
        <v>0.6</v>
      </c>
      <c r="E17" s="3">
        <v>0.3</v>
      </c>
      <c r="F17" s="6">
        <v>474.96545400000002</v>
      </c>
      <c r="G17" s="3">
        <v>0</v>
      </c>
      <c r="I17" s="3" t="s">
        <v>36</v>
      </c>
      <c r="J17" s="3">
        <v>0.51</v>
      </c>
      <c r="K17" s="7">
        <v>512.99560499999995</v>
      </c>
      <c r="L17" s="3">
        <v>0</v>
      </c>
      <c r="M17" s="3">
        <f t="shared" si="0"/>
        <v>0.40500000000000003</v>
      </c>
      <c r="N17" s="5"/>
      <c r="O17" s="5"/>
      <c r="P17" s="5"/>
      <c r="Q17" s="5"/>
      <c r="R17" s="1"/>
      <c r="S17" s="3" t="s">
        <v>36</v>
      </c>
      <c r="T17" s="3">
        <v>0.9</v>
      </c>
      <c r="U17" s="3">
        <v>0.5</v>
      </c>
      <c r="V17" s="3">
        <v>0.6</v>
      </c>
      <c r="W17" s="3">
        <v>0.3</v>
      </c>
      <c r="X17" s="6">
        <v>447.39724699999999</v>
      </c>
      <c r="Y17" s="3">
        <v>1E-3</v>
      </c>
      <c r="AA17" s="3" t="s">
        <v>36</v>
      </c>
      <c r="AB17" s="3">
        <v>0.52</v>
      </c>
      <c r="AC17" s="7">
        <v>474.88351399999999</v>
      </c>
      <c r="AD17" s="3">
        <v>0</v>
      </c>
      <c r="AE17" s="3">
        <f t="shared" si="1"/>
        <v>0.41000000000000003</v>
      </c>
      <c r="AF17" s="5"/>
      <c r="AG17" s="5"/>
      <c r="AH17" s="5"/>
      <c r="AI17" s="5"/>
      <c r="AJ17" s="1"/>
      <c r="AK17" s="3" t="s">
        <v>37</v>
      </c>
      <c r="AL17" s="3">
        <v>0.9</v>
      </c>
      <c r="AM17" s="3">
        <v>0.5</v>
      </c>
      <c r="AN17" s="3">
        <v>0.6</v>
      </c>
      <c r="AO17" s="3">
        <v>0.3</v>
      </c>
      <c r="AP17" s="6">
        <v>771.72601299999997</v>
      </c>
      <c r="AQ17" s="3">
        <v>3.0000000000000001E-3</v>
      </c>
      <c r="AS17" s="3" t="s">
        <v>37</v>
      </c>
      <c r="AT17" s="3">
        <v>0.35</v>
      </c>
      <c r="AU17" s="7">
        <v>799.85424799999998</v>
      </c>
      <c r="AV17" s="3">
        <v>1E-3</v>
      </c>
      <c r="AW17" s="3">
        <f t="shared" si="2"/>
        <v>0.32499999999999996</v>
      </c>
      <c r="AX17" s="5"/>
      <c r="AY17" s="5"/>
      <c r="AZ17" s="5"/>
      <c r="BA17" s="5"/>
      <c r="BB17" s="1"/>
      <c r="BC17" s="3" t="s">
        <v>37</v>
      </c>
      <c r="BD17" s="3">
        <v>0.9</v>
      </c>
      <c r="BE17" s="3">
        <v>0.5</v>
      </c>
      <c r="BF17" s="3">
        <v>0.6</v>
      </c>
      <c r="BG17" s="3">
        <v>0.3</v>
      </c>
      <c r="BH17" s="7">
        <v>760.30242899999996</v>
      </c>
      <c r="BI17" s="3">
        <v>4.0000000000000001E-3</v>
      </c>
      <c r="BK17" s="3" t="s">
        <v>37</v>
      </c>
      <c r="BL17" s="3">
        <v>0.16</v>
      </c>
      <c r="BM17" s="6">
        <v>689.74969499999997</v>
      </c>
      <c r="BN17" s="3">
        <v>0</v>
      </c>
      <c r="BO17" s="3">
        <f t="shared" si="3"/>
        <v>0.22999999999999998</v>
      </c>
    </row>
    <row r="18" spans="1:67" x14ac:dyDescent="0.3">
      <c r="A18" s="3" t="s">
        <v>38</v>
      </c>
      <c r="B18" s="3">
        <v>0.9</v>
      </c>
      <c r="C18" s="3">
        <v>0.5</v>
      </c>
      <c r="D18" s="3">
        <v>0.6</v>
      </c>
      <c r="E18" s="3">
        <v>0.3</v>
      </c>
      <c r="F18" s="6">
        <v>434.000427</v>
      </c>
      <c r="G18" s="3">
        <v>0</v>
      </c>
      <c r="I18" s="3" t="s">
        <v>38</v>
      </c>
      <c r="J18" s="3">
        <v>0.14000000000000001</v>
      </c>
      <c r="K18" s="7">
        <v>453.80145299999998</v>
      </c>
      <c r="L18" s="3">
        <v>0</v>
      </c>
      <c r="M18" s="3">
        <f t="shared" si="0"/>
        <v>0.22</v>
      </c>
      <c r="N18" s="5"/>
      <c r="O18" s="5"/>
      <c r="P18" s="5"/>
      <c r="Q18" s="5"/>
      <c r="R18" s="1"/>
      <c r="S18" s="3" t="s">
        <v>38</v>
      </c>
      <c r="T18" s="3">
        <v>0.9</v>
      </c>
      <c r="U18" s="3">
        <v>0.5</v>
      </c>
      <c r="V18" s="3">
        <v>0.6</v>
      </c>
      <c r="W18" s="3">
        <v>0.3</v>
      </c>
      <c r="X18" s="6">
        <v>420.77505500000001</v>
      </c>
      <c r="Y18" s="3">
        <v>0</v>
      </c>
      <c r="AA18" s="3" t="s">
        <v>38</v>
      </c>
      <c r="AB18" s="3">
        <v>0.28999999999999998</v>
      </c>
      <c r="AC18" s="7">
        <v>421.45886200000001</v>
      </c>
      <c r="AD18" s="3">
        <v>0</v>
      </c>
      <c r="AE18" s="3">
        <f t="shared" si="1"/>
        <v>0.29499999999999998</v>
      </c>
      <c r="AF18" s="5"/>
      <c r="AG18" s="5"/>
      <c r="AH18" s="5"/>
      <c r="AI18" s="5"/>
      <c r="AJ18" s="1"/>
      <c r="AK18" s="3" t="s">
        <v>39</v>
      </c>
      <c r="AL18" s="3">
        <v>0.9</v>
      </c>
      <c r="AM18" s="3">
        <v>0.5</v>
      </c>
      <c r="AN18" s="3">
        <v>0.6</v>
      </c>
      <c r="AO18" s="3">
        <v>0.3</v>
      </c>
      <c r="AP18" s="6">
        <v>770.44561799999997</v>
      </c>
      <c r="AQ18" s="3">
        <v>3.0000000000000001E-3</v>
      </c>
      <c r="AS18" s="3" t="s">
        <v>39</v>
      </c>
      <c r="AT18" s="3">
        <v>0.89</v>
      </c>
      <c r="AU18" s="7">
        <v>979.48181199999999</v>
      </c>
      <c r="AV18" s="3">
        <v>0</v>
      </c>
      <c r="AW18" s="3">
        <f t="shared" si="2"/>
        <v>0.59499999999999997</v>
      </c>
      <c r="AX18" s="5"/>
      <c r="AY18" s="5"/>
      <c r="AZ18" s="5"/>
      <c r="BA18" s="5"/>
      <c r="BB18" s="1"/>
      <c r="BC18" s="3" t="s">
        <v>39</v>
      </c>
      <c r="BD18" s="3">
        <v>0.9</v>
      </c>
      <c r="BE18" s="3">
        <v>0.5</v>
      </c>
      <c r="BF18" s="3">
        <v>0.6</v>
      </c>
      <c r="BG18" s="3">
        <v>0.3</v>
      </c>
      <c r="BH18" s="6">
        <v>746.59356700000001</v>
      </c>
      <c r="BI18" s="3">
        <v>4.0000000000000001E-3</v>
      </c>
      <c r="BK18" s="3" t="s">
        <v>39</v>
      </c>
      <c r="BL18" s="3">
        <v>0.72</v>
      </c>
      <c r="BM18" s="7">
        <v>909.121399</v>
      </c>
      <c r="BN18" s="3">
        <v>1E-3</v>
      </c>
      <c r="BO18" s="3">
        <f t="shared" si="3"/>
        <v>0.51</v>
      </c>
    </row>
    <row r="19" spans="1:67" x14ac:dyDescent="0.3">
      <c r="A19" s="3" t="s">
        <v>40</v>
      </c>
      <c r="B19" s="3">
        <v>0.9</v>
      </c>
      <c r="C19" s="3">
        <v>0.5</v>
      </c>
      <c r="D19" s="3">
        <v>0.6</v>
      </c>
      <c r="E19" s="3">
        <v>0.3</v>
      </c>
      <c r="F19" s="6">
        <v>399.08822600000002</v>
      </c>
      <c r="G19" s="3">
        <v>1E-3</v>
      </c>
      <c r="I19" s="3" t="s">
        <v>40</v>
      </c>
      <c r="J19" s="3">
        <v>0.56000000000000005</v>
      </c>
      <c r="K19" s="7">
        <v>402.50338699999998</v>
      </c>
      <c r="L19" s="3">
        <v>0</v>
      </c>
      <c r="M19" s="3">
        <f t="shared" si="0"/>
        <v>0.43000000000000005</v>
      </c>
      <c r="N19" s="5"/>
      <c r="O19" s="5"/>
      <c r="P19" s="5"/>
      <c r="Q19" s="5"/>
      <c r="R19" s="1"/>
      <c r="S19" s="3" t="s">
        <v>40</v>
      </c>
      <c r="T19" s="3">
        <v>0.9</v>
      </c>
      <c r="U19" s="3">
        <v>0.5</v>
      </c>
      <c r="V19" s="3">
        <v>0.6</v>
      </c>
      <c r="W19" s="3">
        <v>0.3</v>
      </c>
      <c r="X19" s="6">
        <v>380.45025600000002</v>
      </c>
      <c r="Y19" s="3">
        <v>1E-3</v>
      </c>
      <c r="AA19" s="3" t="s">
        <v>40</v>
      </c>
      <c r="AB19" s="3">
        <v>0.92</v>
      </c>
      <c r="AC19" s="7">
        <v>402.76248199999998</v>
      </c>
      <c r="AD19" s="3">
        <v>0</v>
      </c>
      <c r="AE19" s="3">
        <f t="shared" si="1"/>
        <v>0.61</v>
      </c>
      <c r="AF19" s="5"/>
      <c r="AG19" s="5"/>
      <c r="AH19" s="5"/>
      <c r="AI19" s="5"/>
      <c r="AJ19" s="1"/>
      <c r="AK19" s="3" t="s">
        <v>41</v>
      </c>
      <c r="AL19" s="3">
        <v>0.9</v>
      </c>
      <c r="AM19" s="3">
        <v>0.5</v>
      </c>
      <c r="AN19" s="3">
        <v>0.6</v>
      </c>
      <c r="AO19" s="3">
        <v>0.3</v>
      </c>
      <c r="AP19" s="6">
        <v>860.73877000000005</v>
      </c>
      <c r="AQ19" s="3">
        <v>4.0000000000000001E-3</v>
      </c>
      <c r="AS19" s="3" t="s">
        <v>41</v>
      </c>
      <c r="AT19" s="3">
        <v>0.95</v>
      </c>
      <c r="AU19" s="7">
        <v>1083.3614500000001</v>
      </c>
      <c r="AV19" s="3">
        <v>0</v>
      </c>
      <c r="AW19" s="3">
        <f t="shared" si="2"/>
        <v>0.625</v>
      </c>
      <c r="AX19" s="5"/>
      <c r="AY19" s="5"/>
      <c r="AZ19" s="5"/>
      <c r="BA19" s="5"/>
      <c r="BB19" s="1"/>
      <c r="BC19" s="3" t="s">
        <v>41</v>
      </c>
      <c r="BD19" s="3">
        <v>0.9</v>
      </c>
      <c r="BE19" s="3">
        <v>0.5</v>
      </c>
      <c r="BF19" s="3">
        <v>0.6</v>
      </c>
      <c r="BG19" s="3">
        <v>0.3</v>
      </c>
      <c r="BH19" s="6">
        <v>852.54357900000002</v>
      </c>
      <c r="BI19" s="3">
        <v>4.0000000000000001E-3</v>
      </c>
      <c r="BK19" s="3" t="s">
        <v>41</v>
      </c>
      <c r="BL19" s="3">
        <v>0.53</v>
      </c>
      <c r="BM19" s="7">
        <v>969.68005400000004</v>
      </c>
      <c r="BN19" s="3">
        <v>1E-3</v>
      </c>
      <c r="BO19" s="3">
        <f t="shared" si="3"/>
        <v>0.41500000000000004</v>
      </c>
    </row>
    <row r="20" spans="1:67" x14ac:dyDescent="0.3">
      <c r="A20" s="3" t="s">
        <v>42</v>
      </c>
      <c r="B20" s="3">
        <v>0.9</v>
      </c>
      <c r="C20" s="3">
        <v>0.5</v>
      </c>
      <c r="D20" s="3">
        <v>0.6</v>
      </c>
      <c r="E20" s="3">
        <v>0.3</v>
      </c>
      <c r="F20" s="6">
        <v>412.92742900000002</v>
      </c>
      <c r="G20" s="3">
        <v>1E-3</v>
      </c>
      <c r="I20" s="3" t="s">
        <v>42</v>
      </c>
      <c r="J20" s="3">
        <v>0.1</v>
      </c>
      <c r="K20" s="7">
        <v>446.789581</v>
      </c>
      <c r="L20" s="3">
        <v>0</v>
      </c>
      <c r="M20" s="3">
        <f t="shared" si="0"/>
        <v>0.2</v>
      </c>
      <c r="N20" s="5"/>
      <c r="O20" s="5"/>
      <c r="P20" s="5"/>
      <c r="Q20" s="5"/>
      <c r="R20" s="1"/>
      <c r="S20" s="3" t="s">
        <v>42</v>
      </c>
      <c r="T20" s="3">
        <v>0.9</v>
      </c>
      <c r="U20" s="3">
        <v>0.5</v>
      </c>
      <c r="V20" s="3">
        <v>0.6</v>
      </c>
      <c r="W20" s="3">
        <v>0.3</v>
      </c>
      <c r="X20" s="6">
        <v>400.96005200000002</v>
      </c>
      <c r="Y20" s="3">
        <v>1E-3</v>
      </c>
      <c r="AA20" s="3" t="s">
        <v>42</v>
      </c>
      <c r="AB20" s="3">
        <v>0.73</v>
      </c>
      <c r="AC20" s="7">
        <v>413.26559400000002</v>
      </c>
      <c r="AD20" s="3">
        <v>0</v>
      </c>
      <c r="AE20" s="3">
        <f t="shared" si="1"/>
        <v>0.51500000000000001</v>
      </c>
      <c r="AF20" s="5"/>
      <c r="AG20" s="5"/>
      <c r="AH20" s="5"/>
      <c r="AI20" s="5"/>
      <c r="AJ20" s="1"/>
      <c r="AK20" s="3" t="s">
        <v>43</v>
      </c>
      <c r="AL20" s="3">
        <v>0.9</v>
      </c>
      <c r="AM20" s="3">
        <v>0.5</v>
      </c>
      <c r="AN20" s="3">
        <v>0.6</v>
      </c>
      <c r="AO20" s="3">
        <v>0.3</v>
      </c>
      <c r="AP20" s="7">
        <v>804.58306900000002</v>
      </c>
      <c r="AQ20" s="3">
        <v>3.0000000000000001E-3</v>
      </c>
      <c r="AS20" s="3" t="s">
        <v>43</v>
      </c>
      <c r="AT20" s="3">
        <v>0.33</v>
      </c>
      <c r="AU20" s="6">
        <v>802.82830799999999</v>
      </c>
      <c r="AV20" s="3">
        <v>0</v>
      </c>
      <c r="AW20" s="3">
        <f t="shared" si="2"/>
        <v>0.315</v>
      </c>
      <c r="AX20" s="5"/>
      <c r="AY20" s="5"/>
      <c r="AZ20" s="5"/>
      <c r="BA20" s="5"/>
      <c r="BB20" s="1"/>
      <c r="BC20" s="3" t="s">
        <v>43</v>
      </c>
      <c r="BD20" s="3">
        <v>0.9</v>
      </c>
      <c r="BE20" s="3">
        <v>0.5</v>
      </c>
      <c r="BF20" s="3">
        <v>0.6</v>
      </c>
      <c r="BG20" s="3">
        <v>0.3</v>
      </c>
      <c r="BH20" s="7">
        <v>754.16351299999997</v>
      </c>
      <c r="BI20" s="3">
        <v>3.0000000000000001E-3</v>
      </c>
      <c r="BK20" s="3" t="s">
        <v>43</v>
      </c>
      <c r="BL20" s="3">
        <v>7.0000000000000007E-2</v>
      </c>
      <c r="BM20" s="6">
        <v>684.01019299999996</v>
      </c>
      <c r="BN20" s="3">
        <v>0</v>
      </c>
      <c r="BO20" s="3">
        <f t="shared" si="3"/>
        <v>0.185</v>
      </c>
    </row>
    <row r="21" spans="1:67" x14ac:dyDescent="0.3">
      <c r="A21" s="3" t="s">
        <v>44</v>
      </c>
      <c r="B21" s="3">
        <v>0.9</v>
      </c>
      <c r="C21" s="3">
        <v>0.5</v>
      </c>
      <c r="D21" s="3">
        <v>0.6</v>
      </c>
      <c r="E21" s="3">
        <v>0.3</v>
      </c>
      <c r="F21" s="6">
        <v>478.829407</v>
      </c>
      <c r="G21" s="3">
        <v>0</v>
      </c>
      <c r="I21" s="3" t="s">
        <v>44</v>
      </c>
      <c r="J21" s="3">
        <v>0.48</v>
      </c>
      <c r="K21" s="7">
        <v>504.01199300000002</v>
      </c>
      <c r="L21" s="3">
        <v>1E-3</v>
      </c>
      <c r="M21" s="3">
        <f t="shared" si="0"/>
        <v>0.39</v>
      </c>
      <c r="N21" s="5"/>
      <c r="O21" s="5"/>
      <c r="P21" s="5"/>
      <c r="Q21" s="5"/>
      <c r="R21" s="1"/>
      <c r="S21" s="3" t="s">
        <v>44</v>
      </c>
      <c r="T21" s="3">
        <v>0.9</v>
      </c>
      <c r="U21" s="3">
        <v>0.5</v>
      </c>
      <c r="V21" s="3">
        <v>0.6</v>
      </c>
      <c r="W21" s="3">
        <v>0.3</v>
      </c>
      <c r="X21" s="6">
        <v>448.69964599999997</v>
      </c>
      <c r="Y21" s="3">
        <v>0</v>
      </c>
      <c r="AA21" s="3" t="s">
        <v>44</v>
      </c>
      <c r="AB21" s="3">
        <v>0.82</v>
      </c>
      <c r="AC21" s="7">
        <v>479.04007000000001</v>
      </c>
      <c r="AD21" s="3">
        <v>0</v>
      </c>
      <c r="AE21" s="3">
        <f t="shared" si="1"/>
        <v>0.55999999999999994</v>
      </c>
      <c r="AF21" s="5"/>
      <c r="AG21" s="5"/>
      <c r="AH21" s="5"/>
      <c r="AI21" s="5"/>
      <c r="AJ21" s="1"/>
      <c r="AK21" s="3" t="s">
        <v>45</v>
      </c>
      <c r="AL21" s="3">
        <v>0.9</v>
      </c>
      <c r="AM21" s="3">
        <v>0.5</v>
      </c>
      <c r="AN21" s="3">
        <v>0.6</v>
      </c>
      <c r="AO21" s="3">
        <v>0.3</v>
      </c>
      <c r="AP21" s="7">
        <v>817.59228499999995</v>
      </c>
      <c r="AQ21" s="3">
        <v>4.0000000000000001E-3</v>
      </c>
      <c r="AS21" s="3" t="s">
        <v>45</v>
      </c>
      <c r="AT21" s="3">
        <v>7.0000000000000007E-2</v>
      </c>
      <c r="AU21" s="6">
        <v>693.12237500000003</v>
      </c>
      <c r="AV21" s="3">
        <v>1E-3</v>
      </c>
      <c r="AW21" s="3">
        <f t="shared" si="2"/>
        <v>0.185</v>
      </c>
      <c r="AX21" s="5"/>
      <c r="AY21" s="5"/>
      <c r="AZ21" s="5"/>
      <c r="BA21" s="5"/>
      <c r="BB21" s="1"/>
      <c r="BC21" s="3" t="s">
        <v>45</v>
      </c>
      <c r="BD21" s="3">
        <v>0.9</v>
      </c>
      <c r="BE21" s="3">
        <v>0.5</v>
      </c>
      <c r="BF21" s="3">
        <v>0.6</v>
      </c>
      <c r="BG21" s="3">
        <v>0.3</v>
      </c>
      <c r="BH21" s="6">
        <v>808.13287400000002</v>
      </c>
      <c r="BI21" s="3">
        <v>4.0000000000000001E-3</v>
      </c>
      <c r="BK21" s="3" t="s">
        <v>45</v>
      </c>
      <c r="BL21" s="3">
        <v>0.72</v>
      </c>
      <c r="BM21" s="7">
        <v>1022.262634</v>
      </c>
      <c r="BN21" s="3">
        <v>1E-3</v>
      </c>
      <c r="BO21" s="3">
        <f t="shared" si="3"/>
        <v>0.51</v>
      </c>
    </row>
    <row r="22" spans="1:67" x14ac:dyDescent="0.3">
      <c r="A22" s="3" t="s">
        <v>46</v>
      </c>
      <c r="B22" s="3">
        <v>0.9</v>
      </c>
      <c r="C22" s="3">
        <v>0.5</v>
      </c>
      <c r="D22" s="3">
        <v>0.6</v>
      </c>
      <c r="E22" s="3">
        <v>0.3</v>
      </c>
      <c r="F22" s="6">
        <v>448.97653200000002</v>
      </c>
      <c r="G22" s="3">
        <v>1E-3</v>
      </c>
      <c r="I22" s="3" t="s">
        <v>46</v>
      </c>
      <c r="J22" s="3">
        <v>0.25</v>
      </c>
      <c r="K22" s="7">
        <v>487.48046900000003</v>
      </c>
      <c r="L22" s="3">
        <v>0</v>
      </c>
      <c r="M22" s="3">
        <f t="shared" si="0"/>
        <v>0.27500000000000002</v>
      </c>
      <c r="N22" s="5"/>
      <c r="O22" s="5"/>
      <c r="P22" s="5"/>
      <c r="Q22" s="5"/>
      <c r="R22" s="1"/>
      <c r="S22" s="3" t="s">
        <v>46</v>
      </c>
      <c r="T22" s="3">
        <v>0.9</v>
      </c>
      <c r="U22" s="3">
        <v>0.5</v>
      </c>
      <c r="V22" s="3">
        <v>0.6</v>
      </c>
      <c r="W22" s="3">
        <v>0.3</v>
      </c>
      <c r="X22" s="6">
        <v>431.74707000000001</v>
      </c>
      <c r="Y22" s="3">
        <v>0</v>
      </c>
      <c r="AA22" s="3" t="s">
        <v>46</v>
      </c>
      <c r="AB22" s="3">
        <v>0.79</v>
      </c>
      <c r="AC22" s="7">
        <v>478.87951700000002</v>
      </c>
      <c r="AD22" s="3">
        <v>0</v>
      </c>
      <c r="AE22" s="3">
        <f t="shared" si="1"/>
        <v>0.54500000000000004</v>
      </c>
      <c r="AF22" s="5"/>
      <c r="AG22" s="5"/>
      <c r="AH22" s="5"/>
      <c r="AI22" s="5"/>
      <c r="AJ22" s="1"/>
      <c r="AK22" s="3" t="s">
        <v>47</v>
      </c>
      <c r="AL22" s="3">
        <v>0.9</v>
      </c>
      <c r="AM22" s="3">
        <v>0.5</v>
      </c>
      <c r="AN22" s="3">
        <v>0.6</v>
      </c>
      <c r="AO22" s="3">
        <v>0.3</v>
      </c>
      <c r="AP22" s="6">
        <v>760.18048099999999</v>
      </c>
      <c r="AQ22" s="3">
        <v>4.0000000000000001E-3</v>
      </c>
      <c r="AS22" s="3" t="s">
        <v>47</v>
      </c>
      <c r="AT22" s="3">
        <v>0.65</v>
      </c>
      <c r="AU22" s="7">
        <v>914.61395300000004</v>
      </c>
      <c r="AV22" s="3">
        <v>0</v>
      </c>
      <c r="AW22" s="3">
        <f t="shared" si="2"/>
        <v>0.47499999999999998</v>
      </c>
      <c r="AX22" s="5"/>
      <c r="AY22" s="5"/>
      <c r="AZ22" s="5"/>
      <c r="BA22" s="5"/>
      <c r="BB22" s="1"/>
      <c r="BC22" s="3" t="s">
        <v>47</v>
      </c>
      <c r="BD22" s="3">
        <v>0.9</v>
      </c>
      <c r="BE22" s="3">
        <v>0.5</v>
      </c>
      <c r="BF22" s="3">
        <v>0.6</v>
      </c>
      <c r="BG22" s="3">
        <v>0.3</v>
      </c>
      <c r="BH22" s="6">
        <v>720.23138400000005</v>
      </c>
      <c r="BI22" s="3">
        <v>4.0000000000000001E-3</v>
      </c>
      <c r="BK22" s="3" t="s">
        <v>47</v>
      </c>
      <c r="BL22" s="3">
        <v>0.86</v>
      </c>
      <c r="BM22" s="7">
        <v>895.964294</v>
      </c>
      <c r="BN22" s="3">
        <v>0</v>
      </c>
      <c r="BO22" s="3">
        <f t="shared" si="3"/>
        <v>0.57999999999999996</v>
      </c>
    </row>
    <row r="23" spans="1:67" x14ac:dyDescent="0.3">
      <c r="A23" s="3" t="s">
        <v>48</v>
      </c>
      <c r="B23" s="3">
        <v>0.9</v>
      </c>
      <c r="C23" s="3">
        <v>0.5</v>
      </c>
      <c r="D23" s="3">
        <v>0.6</v>
      </c>
      <c r="E23" s="3">
        <v>0.3</v>
      </c>
      <c r="F23" s="6">
        <v>425.08618200000001</v>
      </c>
      <c r="G23" s="3">
        <v>1E-3</v>
      </c>
      <c r="I23" s="3" t="s">
        <v>48</v>
      </c>
      <c r="J23" s="3">
        <v>0.31</v>
      </c>
      <c r="K23" s="7">
        <v>445.73538200000002</v>
      </c>
      <c r="L23" s="3">
        <v>0</v>
      </c>
      <c r="M23" s="3">
        <f t="shared" si="0"/>
        <v>0.30499999999999999</v>
      </c>
      <c r="N23" s="5"/>
      <c r="O23" s="5"/>
      <c r="P23" s="5"/>
      <c r="Q23" s="5"/>
      <c r="R23" s="1"/>
      <c r="S23" s="3" t="s">
        <v>48</v>
      </c>
      <c r="T23" s="3">
        <v>0.9</v>
      </c>
      <c r="U23" s="3">
        <v>0.5</v>
      </c>
      <c r="V23" s="3">
        <v>0.6</v>
      </c>
      <c r="W23" s="3">
        <v>0.3</v>
      </c>
      <c r="X23" s="6">
        <v>421.140533</v>
      </c>
      <c r="Y23" s="3">
        <v>1E-3</v>
      </c>
      <c r="AA23" s="3" t="s">
        <v>48</v>
      </c>
      <c r="AB23" s="3">
        <v>0.89</v>
      </c>
      <c r="AC23" s="7">
        <v>438.57611100000003</v>
      </c>
      <c r="AD23" s="3">
        <v>0</v>
      </c>
      <c r="AE23" s="3">
        <f t="shared" si="1"/>
        <v>0.59499999999999997</v>
      </c>
      <c r="AF23" s="5"/>
      <c r="AG23" s="5"/>
      <c r="AH23" s="5"/>
      <c r="AI23" s="5"/>
      <c r="AJ23" s="1"/>
      <c r="AK23" s="3" t="s">
        <v>49</v>
      </c>
      <c r="AL23" s="3">
        <v>0.9</v>
      </c>
      <c r="AM23" s="3">
        <v>0.5</v>
      </c>
      <c r="AN23" s="3">
        <v>0.6</v>
      </c>
      <c r="AO23" s="3">
        <v>0.3</v>
      </c>
      <c r="AP23" s="7">
        <v>833.87921100000005</v>
      </c>
      <c r="AQ23" s="3">
        <v>4.0000000000000001E-3</v>
      </c>
      <c r="AS23" s="3" t="s">
        <v>49</v>
      </c>
      <c r="AT23" s="3">
        <v>0.16</v>
      </c>
      <c r="AU23" s="6">
        <v>744.92553699999996</v>
      </c>
      <c r="AV23" s="3">
        <v>0</v>
      </c>
      <c r="AW23" s="3">
        <f t="shared" si="2"/>
        <v>0.22999999999999998</v>
      </c>
      <c r="AX23" s="5"/>
      <c r="AY23" s="5"/>
      <c r="AZ23" s="5"/>
      <c r="BA23" s="5"/>
      <c r="BB23" s="1"/>
      <c r="BC23" s="3" t="s">
        <v>49</v>
      </c>
      <c r="BD23" s="3">
        <v>0.9</v>
      </c>
      <c r="BE23" s="3">
        <v>0.5</v>
      </c>
      <c r="BF23" s="3">
        <v>0.6</v>
      </c>
      <c r="BG23" s="3">
        <v>0.3</v>
      </c>
      <c r="BH23" s="7">
        <v>761.25433299999997</v>
      </c>
      <c r="BI23" s="3">
        <v>4.0000000000000001E-3</v>
      </c>
      <c r="BK23" s="3" t="s">
        <v>49</v>
      </c>
      <c r="BL23" s="3">
        <v>0.12</v>
      </c>
      <c r="BM23" s="6">
        <v>690.97399900000005</v>
      </c>
      <c r="BN23" s="3">
        <v>0</v>
      </c>
      <c r="BO23" s="3">
        <f t="shared" si="3"/>
        <v>0.21</v>
      </c>
    </row>
    <row r="24" spans="1:67" x14ac:dyDescent="0.3">
      <c r="A24" s="3" t="s">
        <v>50</v>
      </c>
      <c r="B24" s="3">
        <v>0.9</v>
      </c>
      <c r="C24" s="3">
        <v>0.5</v>
      </c>
      <c r="D24" s="3">
        <v>0.6</v>
      </c>
      <c r="E24" s="3">
        <v>0.3</v>
      </c>
      <c r="F24" s="6">
        <v>424.86154199999999</v>
      </c>
      <c r="G24" s="3">
        <v>0</v>
      </c>
      <c r="I24" s="3" t="s">
        <v>50</v>
      </c>
      <c r="J24" s="3">
        <v>0.32</v>
      </c>
      <c r="K24" s="7">
        <v>432.96380599999998</v>
      </c>
      <c r="L24" s="3">
        <v>0</v>
      </c>
      <c r="M24" s="3">
        <f t="shared" si="0"/>
        <v>0.31</v>
      </c>
      <c r="N24" s="5"/>
      <c r="O24" s="5"/>
      <c r="P24" s="5"/>
      <c r="Q24" s="5"/>
      <c r="R24" s="1"/>
      <c r="S24" s="3" t="s">
        <v>50</v>
      </c>
      <c r="T24" s="3">
        <v>0.9</v>
      </c>
      <c r="U24" s="3">
        <v>0.5</v>
      </c>
      <c r="V24" s="3">
        <v>0.6</v>
      </c>
      <c r="W24" s="3">
        <v>0.3</v>
      </c>
      <c r="X24" s="6">
        <v>421.97341899999998</v>
      </c>
      <c r="Y24" s="3">
        <v>1E-3</v>
      </c>
      <c r="AA24" s="3" t="s">
        <v>50</v>
      </c>
      <c r="AB24" s="3">
        <v>0.52</v>
      </c>
      <c r="AC24" s="7">
        <v>432.22677599999997</v>
      </c>
      <c r="AD24" s="3">
        <v>0</v>
      </c>
      <c r="AE24" s="3">
        <f t="shared" si="1"/>
        <v>0.41000000000000003</v>
      </c>
      <c r="AF24" s="5"/>
      <c r="AG24" s="5"/>
      <c r="AH24" s="5"/>
      <c r="AI24" s="5"/>
      <c r="AJ24" s="1"/>
      <c r="AK24" s="3" t="s">
        <v>51</v>
      </c>
      <c r="AL24" s="3">
        <v>0.9</v>
      </c>
      <c r="AM24" s="3">
        <v>0.5</v>
      </c>
      <c r="AN24" s="3">
        <v>0.6</v>
      </c>
      <c r="AO24" s="3">
        <v>0.3</v>
      </c>
      <c r="AP24" s="6">
        <v>988.85766599999999</v>
      </c>
      <c r="AQ24" s="3">
        <v>5.0000000000000001E-3</v>
      </c>
      <c r="AS24" s="3" t="s">
        <v>51</v>
      </c>
      <c r="AT24" s="3">
        <v>0.36</v>
      </c>
      <c r="AU24" s="7">
        <v>994.38818400000002</v>
      </c>
      <c r="AV24" s="3">
        <v>1E-3</v>
      </c>
      <c r="AW24" s="3">
        <f t="shared" si="2"/>
        <v>0.32999999999999996</v>
      </c>
      <c r="AX24" s="5"/>
      <c r="AY24" s="5"/>
      <c r="AZ24" s="5"/>
      <c r="BA24" s="5"/>
      <c r="BB24" s="1"/>
      <c r="BC24" s="3" t="s">
        <v>51</v>
      </c>
      <c r="BD24" s="3">
        <v>0.9</v>
      </c>
      <c r="BE24" s="3">
        <v>0.5</v>
      </c>
      <c r="BF24" s="3">
        <v>0.6</v>
      </c>
      <c r="BG24" s="3">
        <v>0.3</v>
      </c>
      <c r="BH24" s="7">
        <v>974.34124799999995</v>
      </c>
      <c r="BI24" s="3">
        <v>5.0000000000000001E-3</v>
      </c>
      <c r="BK24" s="3" t="s">
        <v>51</v>
      </c>
      <c r="BL24" s="3">
        <v>0.17</v>
      </c>
      <c r="BM24" s="6">
        <v>870.06689500000005</v>
      </c>
      <c r="BN24" s="3">
        <v>1E-3</v>
      </c>
      <c r="BO24" s="3">
        <f t="shared" si="3"/>
        <v>0.23499999999999999</v>
      </c>
    </row>
    <row r="25" spans="1:67" x14ac:dyDescent="0.3">
      <c r="A25" s="3" t="s">
        <v>52</v>
      </c>
      <c r="B25" s="3">
        <v>0.9</v>
      </c>
      <c r="C25" s="3">
        <v>0.5</v>
      </c>
      <c r="D25" s="3">
        <v>0.6</v>
      </c>
      <c r="E25" s="3">
        <v>0.3</v>
      </c>
      <c r="F25" s="6">
        <v>434.88913000000002</v>
      </c>
      <c r="G25" s="3">
        <v>1E-3</v>
      </c>
      <c r="I25" s="3" t="s">
        <v>52</v>
      </c>
      <c r="J25" s="3">
        <v>0.01</v>
      </c>
      <c r="K25" s="7">
        <v>655.05004899999994</v>
      </c>
      <c r="L25" s="3">
        <v>1E-3</v>
      </c>
      <c r="M25" s="3">
        <f t="shared" si="0"/>
        <v>0.155</v>
      </c>
      <c r="N25" s="5"/>
      <c r="O25" s="5"/>
      <c r="P25" s="5"/>
      <c r="Q25" s="5"/>
      <c r="R25" s="1"/>
      <c r="S25" s="3" t="s">
        <v>52</v>
      </c>
      <c r="T25" s="3">
        <v>0.9</v>
      </c>
      <c r="U25" s="3">
        <v>0.5</v>
      </c>
      <c r="V25" s="3">
        <v>0.6</v>
      </c>
      <c r="W25" s="3">
        <v>0.3</v>
      </c>
      <c r="X25" s="6">
        <v>428.03668199999998</v>
      </c>
      <c r="Y25" s="3">
        <v>0</v>
      </c>
      <c r="AA25" s="3" t="s">
        <v>52</v>
      </c>
      <c r="AB25" s="3">
        <v>0.52</v>
      </c>
      <c r="AC25" s="7">
        <v>446.71078499999999</v>
      </c>
      <c r="AD25" s="3">
        <v>0</v>
      </c>
      <c r="AE25" s="3">
        <f t="shared" si="1"/>
        <v>0.41000000000000003</v>
      </c>
      <c r="AF25" s="5"/>
      <c r="AG25" s="5"/>
      <c r="AH25" s="5"/>
      <c r="AI25" s="5"/>
      <c r="AJ25" s="1"/>
      <c r="AK25" s="3" t="s">
        <v>53</v>
      </c>
      <c r="AL25" s="3">
        <v>0.9</v>
      </c>
      <c r="AM25" s="3">
        <v>0.5</v>
      </c>
      <c r="AN25" s="3">
        <v>0.6</v>
      </c>
      <c r="AO25" s="3">
        <v>0.3</v>
      </c>
      <c r="AP25" s="6">
        <v>929.430969</v>
      </c>
      <c r="AQ25" s="3">
        <v>4.0000000000000001E-3</v>
      </c>
      <c r="AS25" s="3" t="s">
        <v>53</v>
      </c>
      <c r="AT25" s="3">
        <v>0.37</v>
      </c>
      <c r="AU25" s="7">
        <v>962.92291299999999</v>
      </c>
      <c r="AV25" s="3">
        <v>1E-3</v>
      </c>
      <c r="AW25" s="3">
        <f t="shared" si="2"/>
        <v>0.33499999999999996</v>
      </c>
      <c r="AX25" s="5"/>
      <c r="AY25" s="5"/>
      <c r="AZ25" s="5"/>
      <c r="BA25" s="5"/>
      <c r="BB25" s="1"/>
      <c r="BC25" s="3" t="s">
        <v>53</v>
      </c>
      <c r="BD25" s="3">
        <v>0.9</v>
      </c>
      <c r="BE25" s="3">
        <v>0.5</v>
      </c>
      <c r="BF25" s="3">
        <v>0.6</v>
      </c>
      <c r="BG25" s="3">
        <v>0.3</v>
      </c>
      <c r="BH25" s="7">
        <v>919.803223</v>
      </c>
      <c r="BI25" s="3">
        <v>4.0000000000000001E-3</v>
      </c>
      <c r="BK25" s="3" t="s">
        <v>53</v>
      </c>
      <c r="BL25" s="3">
        <v>0.19</v>
      </c>
      <c r="BM25" s="6">
        <v>875.73187299999995</v>
      </c>
      <c r="BN25" s="3">
        <v>0</v>
      </c>
      <c r="BO25" s="3">
        <f t="shared" si="3"/>
        <v>0.245</v>
      </c>
    </row>
    <row r="26" spans="1:67" x14ac:dyDescent="0.3">
      <c r="A26" s="3" t="s">
        <v>54</v>
      </c>
      <c r="B26" s="3">
        <v>0.9</v>
      </c>
      <c r="C26" s="3">
        <v>0.5</v>
      </c>
      <c r="D26" s="3">
        <v>0.6</v>
      </c>
      <c r="E26" s="3">
        <v>0.3</v>
      </c>
      <c r="F26" s="6">
        <v>513.51470900000004</v>
      </c>
      <c r="G26" s="3">
        <v>0</v>
      </c>
      <c r="I26" s="3" t="s">
        <v>54</v>
      </c>
      <c r="J26" s="3">
        <v>0.69</v>
      </c>
      <c r="K26" s="7">
        <v>551.75860599999999</v>
      </c>
      <c r="L26" s="3">
        <v>0</v>
      </c>
      <c r="M26" s="3">
        <f t="shared" si="0"/>
        <v>0.495</v>
      </c>
      <c r="N26" s="5"/>
      <c r="O26" s="5"/>
      <c r="P26" s="5"/>
      <c r="Q26" s="5"/>
      <c r="R26" s="1"/>
      <c r="S26" s="3" t="s">
        <v>54</v>
      </c>
      <c r="T26" s="3">
        <v>0.9</v>
      </c>
      <c r="U26" s="3">
        <v>0.5</v>
      </c>
      <c r="V26" s="3">
        <v>0.6</v>
      </c>
      <c r="W26" s="3">
        <v>0.3</v>
      </c>
      <c r="X26" s="6">
        <v>492.53753699999999</v>
      </c>
      <c r="Y26" s="3">
        <v>0</v>
      </c>
      <c r="AA26" s="3" t="s">
        <v>54</v>
      </c>
      <c r="AB26" s="3">
        <v>0.23</v>
      </c>
      <c r="AC26" s="7">
        <v>531.73693800000001</v>
      </c>
      <c r="AD26" s="3">
        <v>0</v>
      </c>
      <c r="AE26" s="3">
        <f t="shared" si="1"/>
        <v>0.26500000000000001</v>
      </c>
      <c r="AF26" s="5"/>
      <c r="AG26" s="5"/>
      <c r="AH26" s="5"/>
      <c r="AI26" s="5"/>
      <c r="AJ26" s="1"/>
      <c r="AK26" s="3" t="s">
        <v>55</v>
      </c>
      <c r="AL26" s="3">
        <v>0.9</v>
      </c>
      <c r="AM26" s="3">
        <v>0.5</v>
      </c>
      <c r="AN26" s="3">
        <v>0.6</v>
      </c>
      <c r="AO26" s="3">
        <v>0.3</v>
      </c>
      <c r="AP26" s="7">
        <v>939.490906</v>
      </c>
      <c r="AQ26" s="3">
        <v>5.0000000000000001E-3</v>
      </c>
      <c r="AS26" s="3" t="s">
        <v>55</v>
      </c>
      <c r="AT26" s="3">
        <v>0.13</v>
      </c>
      <c r="AU26" s="6">
        <v>833.59167500000001</v>
      </c>
      <c r="AV26" s="3">
        <v>0</v>
      </c>
      <c r="AW26" s="3">
        <f t="shared" si="2"/>
        <v>0.215</v>
      </c>
      <c r="AX26" s="5"/>
      <c r="AY26" s="5"/>
      <c r="AZ26" s="5"/>
      <c r="BA26" s="5"/>
      <c r="BB26" s="1"/>
      <c r="BC26" s="3" t="s">
        <v>55</v>
      </c>
      <c r="BD26" s="3">
        <v>0.9</v>
      </c>
      <c r="BE26" s="3">
        <v>0.5</v>
      </c>
      <c r="BF26" s="3">
        <v>0.6</v>
      </c>
      <c r="BG26" s="3">
        <v>0.3</v>
      </c>
      <c r="BH26" s="6">
        <v>913.51196300000004</v>
      </c>
      <c r="BI26" s="3">
        <v>4.0000000000000001E-3</v>
      </c>
      <c r="BK26" s="3" t="s">
        <v>55</v>
      </c>
      <c r="BL26" s="3">
        <v>0.67</v>
      </c>
      <c r="BM26" s="7">
        <v>1061.907471</v>
      </c>
      <c r="BN26" s="3">
        <v>1E-3</v>
      </c>
      <c r="BO26" s="3">
        <f t="shared" si="3"/>
        <v>0.48499999999999999</v>
      </c>
    </row>
    <row r="27" spans="1:67" x14ac:dyDescent="0.3">
      <c r="A27" s="3" t="s">
        <v>56</v>
      </c>
      <c r="B27" s="3">
        <v>0.9</v>
      </c>
      <c r="C27" s="3">
        <v>0.5</v>
      </c>
      <c r="D27" s="3">
        <v>0.6</v>
      </c>
      <c r="E27" s="3">
        <v>0.3</v>
      </c>
      <c r="F27" s="6">
        <v>426.96203600000001</v>
      </c>
      <c r="G27" s="3">
        <v>0</v>
      </c>
      <c r="I27" s="3" t="s">
        <v>56</v>
      </c>
      <c r="J27" s="3">
        <v>0.78</v>
      </c>
      <c r="K27" s="7">
        <v>478.36517300000003</v>
      </c>
      <c r="L27" s="3">
        <v>0</v>
      </c>
      <c r="M27" s="3">
        <f t="shared" si="0"/>
        <v>0.54</v>
      </c>
      <c r="N27" s="5"/>
      <c r="O27" s="5"/>
      <c r="P27" s="5"/>
      <c r="Q27" s="5"/>
      <c r="R27" s="1"/>
      <c r="S27" s="3" t="s">
        <v>56</v>
      </c>
      <c r="T27" s="3">
        <v>0.9</v>
      </c>
      <c r="U27" s="3">
        <v>0.5</v>
      </c>
      <c r="V27" s="3">
        <v>0.6</v>
      </c>
      <c r="W27" s="3">
        <v>0.3</v>
      </c>
      <c r="X27" s="6">
        <v>423.43264799999997</v>
      </c>
      <c r="Y27" s="3">
        <v>1E-3</v>
      </c>
      <c r="AA27" s="3" t="s">
        <v>56</v>
      </c>
      <c r="AB27" s="3">
        <v>0.7</v>
      </c>
      <c r="AC27" s="7">
        <v>441.08700599999997</v>
      </c>
      <c r="AD27" s="3">
        <v>0</v>
      </c>
      <c r="AE27" s="3">
        <f t="shared" si="1"/>
        <v>0.5</v>
      </c>
      <c r="AF27" s="5"/>
      <c r="AG27" s="5"/>
      <c r="AH27" s="5"/>
      <c r="AI27" s="5"/>
      <c r="AJ27" s="1"/>
      <c r="AK27" s="3" t="s">
        <v>57</v>
      </c>
      <c r="AL27" s="3">
        <v>0.9</v>
      </c>
      <c r="AM27" s="3">
        <v>0.5</v>
      </c>
      <c r="AN27" s="3">
        <v>0.6</v>
      </c>
      <c r="AO27" s="3">
        <v>0.3</v>
      </c>
      <c r="AP27" s="6">
        <v>918.15527299999997</v>
      </c>
      <c r="AQ27" s="3">
        <v>4.0000000000000001E-3</v>
      </c>
      <c r="AS27" s="3" t="s">
        <v>57</v>
      </c>
      <c r="AT27" s="3">
        <v>0.79</v>
      </c>
      <c r="AU27" s="7">
        <v>1099.4327390000001</v>
      </c>
      <c r="AV27" s="3">
        <v>0</v>
      </c>
      <c r="AW27" s="3">
        <f t="shared" si="2"/>
        <v>0.54500000000000004</v>
      </c>
      <c r="AX27" s="5"/>
      <c r="AY27" s="5"/>
      <c r="AZ27" s="5"/>
      <c r="BA27" s="5"/>
      <c r="BB27" s="1"/>
      <c r="BC27" s="3" t="s">
        <v>57</v>
      </c>
      <c r="BD27" s="3">
        <v>0.9</v>
      </c>
      <c r="BE27" s="3">
        <v>0.5</v>
      </c>
      <c r="BF27" s="3">
        <v>0.6</v>
      </c>
      <c r="BG27" s="3">
        <v>0.3</v>
      </c>
      <c r="BH27" s="6">
        <v>895.49426300000005</v>
      </c>
      <c r="BI27" s="3">
        <v>4.0000000000000001E-3</v>
      </c>
      <c r="BK27" s="3" t="s">
        <v>57</v>
      </c>
      <c r="BL27" s="3">
        <v>0.34</v>
      </c>
      <c r="BM27" s="7">
        <v>902.78308100000004</v>
      </c>
      <c r="BN27" s="3">
        <v>0</v>
      </c>
      <c r="BO27" s="3">
        <f t="shared" si="3"/>
        <v>0.32</v>
      </c>
    </row>
    <row r="28" spans="1:67" x14ac:dyDescent="0.3">
      <c r="A28" s="3" t="s">
        <v>58</v>
      </c>
      <c r="B28" s="3">
        <v>0.9</v>
      </c>
      <c r="C28" s="3">
        <v>0.5</v>
      </c>
      <c r="D28" s="3">
        <v>0.6</v>
      </c>
      <c r="E28" s="3">
        <v>0.3</v>
      </c>
      <c r="F28" s="6">
        <v>440.15103099999999</v>
      </c>
      <c r="G28" s="3">
        <v>1E-3</v>
      </c>
      <c r="I28" s="3" t="s">
        <v>58</v>
      </c>
      <c r="J28" s="3">
        <v>0.87</v>
      </c>
      <c r="K28" s="7">
        <v>475.953217</v>
      </c>
      <c r="L28" s="3">
        <v>0</v>
      </c>
      <c r="M28" s="3">
        <f t="shared" si="0"/>
        <v>0.58499999999999996</v>
      </c>
      <c r="N28" s="5"/>
      <c r="O28" s="5"/>
      <c r="P28" s="5"/>
      <c r="Q28" s="5"/>
      <c r="R28" s="1"/>
      <c r="S28" s="3" t="s">
        <v>58</v>
      </c>
      <c r="T28" s="3">
        <v>0.9</v>
      </c>
      <c r="U28" s="3">
        <v>0.5</v>
      </c>
      <c r="V28" s="3">
        <v>0.6</v>
      </c>
      <c r="W28" s="3">
        <v>0.3</v>
      </c>
      <c r="X28" s="6">
        <v>428.45141599999999</v>
      </c>
      <c r="Y28" s="3">
        <v>1E-3</v>
      </c>
      <c r="AA28" s="3" t="s">
        <v>58</v>
      </c>
      <c r="AB28" s="3">
        <v>0.76</v>
      </c>
      <c r="AC28" s="7">
        <v>486.07977299999999</v>
      </c>
      <c r="AD28" s="3">
        <v>0</v>
      </c>
      <c r="AE28" s="3">
        <f t="shared" si="1"/>
        <v>0.53</v>
      </c>
      <c r="AF28" s="5"/>
      <c r="AG28" s="5"/>
      <c r="AH28" s="5"/>
      <c r="AI28" s="5"/>
      <c r="AJ28" s="1"/>
      <c r="AK28" s="3" t="s">
        <v>59</v>
      </c>
      <c r="AL28" s="3">
        <v>0.9</v>
      </c>
      <c r="AM28" s="3">
        <v>0.5</v>
      </c>
      <c r="AN28" s="3">
        <v>0.6</v>
      </c>
      <c r="AO28" s="3">
        <v>0.3</v>
      </c>
      <c r="AP28" s="6">
        <v>848.52801499999998</v>
      </c>
      <c r="AQ28" s="3">
        <v>4.0000000000000001E-3</v>
      </c>
      <c r="AS28" s="3" t="s">
        <v>59</v>
      </c>
      <c r="AT28" s="3">
        <v>0.44</v>
      </c>
      <c r="AU28" s="7">
        <v>914.52655000000004</v>
      </c>
      <c r="AV28" s="3">
        <v>1E-3</v>
      </c>
      <c r="AW28" s="3">
        <f t="shared" si="2"/>
        <v>0.37</v>
      </c>
      <c r="AX28" s="5"/>
      <c r="AY28" s="5"/>
      <c r="AZ28" s="5"/>
      <c r="BA28" s="5"/>
      <c r="BB28" s="1"/>
      <c r="BC28" s="3" t="s">
        <v>59</v>
      </c>
      <c r="BD28" s="3">
        <v>0.9</v>
      </c>
      <c r="BE28" s="3">
        <v>0.5</v>
      </c>
      <c r="BF28" s="3">
        <v>0.6</v>
      </c>
      <c r="BG28" s="3">
        <v>0.3</v>
      </c>
      <c r="BH28" s="6">
        <v>830.67932099999996</v>
      </c>
      <c r="BI28" s="3">
        <v>4.0000000000000001E-3</v>
      </c>
      <c r="BK28" s="3" t="s">
        <v>59</v>
      </c>
      <c r="BL28" s="3">
        <v>0.5</v>
      </c>
      <c r="BM28" s="7">
        <v>938.926331</v>
      </c>
      <c r="BN28" s="3">
        <v>0</v>
      </c>
      <c r="BO28" s="3">
        <f t="shared" si="3"/>
        <v>0.4</v>
      </c>
    </row>
    <row r="29" spans="1:67" x14ac:dyDescent="0.3">
      <c r="A29" s="3" t="s">
        <v>60</v>
      </c>
      <c r="B29" s="3">
        <v>0.9</v>
      </c>
      <c r="C29" s="3">
        <v>0.5</v>
      </c>
      <c r="D29" s="3">
        <v>0.6</v>
      </c>
      <c r="E29" s="3">
        <v>0.3</v>
      </c>
      <c r="F29" s="6">
        <v>564.98687700000005</v>
      </c>
      <c r="G29" s="3">
        <v>0</v>
      </c>
      <c r="I29" s="3" t="s">
        <v>60</v>
      </c>
      <c r="J29" s="3">
        <v>0.2</v>
      </c>
      <c r="K29" s="7">
        <v>575.55285600000002</v>
      </c>
      <c r="L29" s="3">
        <v>1E-3</v>
      </c>
      <c r="M29" s="3">
        <f t="shared" si="0"/>
        <v>0.25</v>
      </c>
      <c r="N29" s="5"/>
      <c r="O29" s="5"/>
      <c r="P29" s="5"/>
      <c r="Q29" s="5"/>
      <c r="R29" s="1"/>
      <c r="S29" s="3" t="s">
        <v>60</v>
      </c>
      <c r="T29" s="3">
        <v>0.9</v>
      </c>
      <c r="U29" s="3">
        <v>0.5</v>
      </c>
      <c r="V29" s="3">
        <v>0.6</v>
      </c>
      <c r="W29" s="3">
        <v>0.3</v>
      </c>
      <c r="X29" s="6">
        <v>535.61114499999996</v>
      </c>
      <c r="Y29" s="3">
        <v>1E-3</v>
      </c>
      <c r="AA29" s="3" t="s">
        <v>60</v>
      </c>
      <c r="AB29" s="3">
        <v>0.03</v>
      </c>
      <c r="AC29" s="7">
        <v>613.99249299999997</v>
      </c>
      <c r="AD29" s="3">
        <v>0</v>
      </c>
      <c r="AE29" s="3">
        <f t="shared" si="1"/>
        <v>0.16499999999999998</v>
      </c>
      <c r="AF29" s="5"/>
      <c r="AG29" s="5"/>
      <c r="AH29" s="5"/>
      <c r="AI29" s="5"/>
      <c r="AJ29" s="1"/>
      <c r="AK29" s="3" t="s">
        <v>61</v>
      </c>
      <c r="AL29" s="3">
        <v>0.9</v>
      </c>
      <c r="AM29" s="3">
        <v>0.5</v>
      </c>
      <c r="AN29" s="3">
        <v>0.6</v>
      </c>
      <c r="AO29" s="3">
        <v>0.3</v>
      </c>
      <c r="AP29" s="6">
        <v>966.555969</v>
      </c>
      <c r="AQ29" s="3">
        <v>5.0000000000000001E-3</v>
      </c>
      <c r="AS29" s="3" t="s">
        <v>61</v>
      </c>
      <c r="AT29" s="3">
        <v>0.42</v>
      </c>
      <c r="AU29" s="7">
        <v>1024.102539</v>
      </c>
      <c r="AV29" s="3">
        <v>0</v>
      </c>
      <c r="AW29" s="3">
        <f t="shared" si="2"/>
        <v>0.36</v>
      </c>
      <c r="AX29" s="5"/>
      <c r="AY29" s="5"/>
      <c r="AZ29" s="5"/>
      <c r="BA29" s="5"/>
      <c r="BB29" s="1"/>
      <c r="BC29" s="3" t="s">
        <v>61</v>
      </c>
      <c r="BD29" s="3">
        <v>0.9</v>
      </c>
      <c r="BE29" s="3">
        <v>0.5</v>
      </c>
      <c r="BF29" s="3">
        <v>0.6</v>
      </c>
      <c r="BG29" s="3">
        <v>0.3</v>
      </c>
      <c r="BH29" s="6">
        <v>957.72546399999999</v>
      </c>
      <c r="BI29" s="3">
        <v>4.0000000000000001E-3</v>
      </c>
      <c r="BK29" s="3" t="s">
        <v>61</v>
      </c>
      <c r="BL29" s="3">
        <v>0.67</v>
      </c>
      <c r="BM29" s="7">
        <v>1094.8867190000001</v>
      </c>
      <c r="BN29" s="3">
        <v>0</v>
      </c>
      <c r="BO29" s="3">
        <f t="shared" si="3"/>
        <v>0.48499999999999999</v>
      </c>
    </row>
    <row r="30" spans="1:67" x14ac:dyDescent="0.3">
      <c r="A30" s="3" t="s">
        <v>62</v>
      </c>
      <c r="B30" s="3">
        <v>0.9</v>
      </c>
      <c r="C30" s="3">
        <v>0.5</v>
      </c>
      <c r="D30" s="3">
        <v>0.6</v>
      </c>
      <c r="E30" s="3">
        <v>0.3</v>
      </c>
      <c r="F30" s="6">
        <v>389.51574699999998</v>
      </c>
      <c r="G30" s="3">
        <v>0</v>
      </c>
      <c r="I30" s="3" t="s">
        <v>62</v>
      </c>
      <c r="J30" s="3">
        <v>0.39</v>
      </c>
      <c r="K30" s="7">
        <v>394.30676299999999</v>
      </c>
      <c r="L30" s="3">
        <v>0</v>
      </c>
      <c r="M30" s="3">
        <f t="shared" si="0"/>
        <v>0.34499999999999997</v>
      </c>
      <c r="N30" s="5"/>
      <c r="O30" s="5"/>
      <c r="P30" s="5"/>
      <c r="Q30" s="5"/>
      <c r="R30" s="1"/>
      <c r="S30" s="3" t="s">
        <v>62</v>
      </c>
      <c r="T30" s="3">
        <v>0.9</v>
      </c>
      <c r="U30" s="3">
        <v>0.5</v>
      </c>
      <c r="V30" s="3">
        <v>0.6</v>
      </c>
      <c r="W30" s="3">
        <v>0.3</v>
      </c>
      <c r="X30" s="6">
        <v>380.51156600000002</v>
      </c>
      <c r="Y30" s="3">
        <v>1E-3</v>
      </c>
      <c r="AA30" s="3" t="s">
        <v>62</v>
      </c>
      <c r="AB30" s="3">
        <v>0.27</v>
      </c>
      <c r="AC30" s="6">
        <v>380.51156600000002</v>
      </c>
      <c r="AD30" s="3">
        <v>0</v>
      </c>
      <c r="AE30" s="3">
        <f t="shared" si="1"/>
        <v>0.28500000000000003</v>
      </c>
      <c r="AF30" s="5"/>
      <c r="AG30" s="5"/>
      <c r="AH30" s="5"/>
      <c r="AI30" s="5"/>
      <c r="AJ30" s="1"/>
      <c r="AK30" s="3" t="s">
        <v>63</v>
      </c>
      <c r="AL30" s="3">
        <v>0.9</v>
      </c>
      <c r="AM30" s="3">
        <v>0.5</v>
      </c>
      <c r="AN30" s="3">
        <v>0.6</v>
      </c>
      <c r="AO30" s="3">
        <v>0.3</v>
      </c>
      <c r="AP30" s="6">
        <v>931.76428199999998</v>
      </c>
      <c r="AQ30" s="3">
        <v>4.0000000000000001E-3</v>
      </c>
      <c r="AS30" s="3" t="s">
        <v>63</v>
      </c>
      <c r="AT30" s="3">
        <v>0.75</v>
      </c>
      <c r="AU30" s="7">
        <v>1117.4907229999999</v>
      </c>
      <c r="AV30" s="3">
        <v>1E-3</v>
      </c>
      <c r="AW30" s="3">
        <f t="shared" si="2"/>
        <v>0.52500000000000002</v>
      </c>
      <c r="AX30" s="5"/>
      <c r="AY30" s="5"/>
      <c r="AZ30" s="5"/>
      <c r="BA30" s="5"/>
      <c r="BB30" s="1"/>
      <c r="BC30" s="3" t="s">
        <v>63</v>
      </c>
      <c r="BD30" s="3">
        <v>0.9</v>
      </c>
      <c r="BE30" s="3">
        <v>0.5</v>
      </c>
      <c r="BF30" s="3">
        <v>0.6</v>
      </c>
      <c r="BG30" s="3">
        <v>0.3</v>
      </c>
      <c r="BH30" s="6">
        <v>920.10382100000004</v>
      </c>
      <c r="BI30" s="3">
        <v>4.0000000000000001E-3</v>
      </c>
      <c r="BK30" s="3" t="s">
        <v>63</v>
      </c>
      <c r="BL30" s="3">
        <v>0.91</v>
      </c>
      <c r="BM30" s="7">
        <v>1114.9628909999999</v>
      </c>
      <c r="BN30" s="3">
        <v>1E-3</v>
      </c>
      <c r="BO30" s="3">
        <f t="shared" si="3"/>
        <v>0.60499999999999998</v>
      </c>
    </row>
    <row r="31" spans="1:67" x14ac:dyDescent="0.3">
      <c r="A31" s="3" t="s">
        <v>64</v>
      </c>
      <c r="B31" s="3">
        <v>0.9</v>
      </c>
      <c r="C31" s="3">
        <v>0.5</v>
      </c>
      <c r="D31" s="3">
        <v>0.6</v>
      </c>
      <c r="E31" s="3">
        <v>0.3</v>
      </c>
      <c r="F31" s="6">
        <v>548.00329599999998</v>
      </c>
      <c r="G31" s="3">
        <v>0</v>
      </c>
      <c r="I31" s="3" t="s">
        <v>64</v>
      </c>
      <c r="J31" s="3">
        <v>0.51</v>
      </c>
      <c r="K31" s="7">
        <v>555.71179199999995</v>
      </c>
      <c r="L31" s="3">
        <v>0</v>
      </c>
      <c r="M31" s="3">
        <f t="shared" si="0"/>
        <v>0.40500000000000003</v>
      </c>
      <c r="N31" s="5"/>
      <c r="O31" s="5"/>
      <c r="P31" s="5"/>
      <c r="Q31" s="5"/>
      <c r="R31" s="1"/>
      <c r="S31" s="3" t="s">
        <v>64</v>
      </c>
      <c r="T31" s="3">
        <v>0.9</v>
      </c>
      <c r="U31" s="3">
        <v>0.5</v>
      </c>
      <c r="V31" s="3">
        <v>0.6</v>
      </c>
      <c r="W31" s="3">
        <v>0.3</v>
      </c>
      <c r="X31" s="6">
        <v>521.85815400000001</v>
      </c>
      <c r="Y31" s="3">
        <v>0</v>
      </c>
      <c r="AA31" s="3" t="s">
        <v>64</v>
      </c>
      <c r="AB31" s="3">
        <v>0.13</v>
      </c>
      <c r="AC31" s="7">
        <v>559.79754600000001</v>
      </c>
      <c r="AD31" s="3">
        <v>0</v>
      </c>
      <c r="AE31" s="3">
        <f t="shared" si="1"/>
        <v>0.215</v>
      </c>
      <c r="AF31" s="5"/>
      <c r="AG31" s="5"/>
      <c r="AH31" s="5"/>
      <c r="AI31" s="5"/>
      <c r="AJ31" s="1"/>
      <c r="AK31" s="3" t="s">
        <v>65</v>
      </c>
      <c r="AL31" s="3">
        <v>0.9</v>
      </c>
      <c r="AM31" s="3">
        <v>0.5</v>
      </c>
      <c r="AN31" s="3">
        <v>0.6</v>
      </c>
      <c r="AO31" s="3">
        <v>0.3</v>
      </c>
      <c r="AP31" s="7">
        <v>866.62243699999999</v>
      </c>
      <c r="AQ31" s="3">
        <v>4.0000000000000001E-3</v>
      </c>
      <c r="AS31" s="3" t="s">
        <v>65</v>
      </c>
      <c r="AT31" s="3">
        <v>0.09</v>
      </c>
      <c r="AU31" s="6">
        <v>793.63629200000003</v>
      </c>
      <c r="AV31" s="3">
        <v>0</v>
      </c>
      <c r="AW31" s="3">
        <f t="shared" si="2"/>
        <v>0.19500000000000001</v>
      </c>
      <c r="AX31" s="5"/>
      <c r="AY31" s="5"/>
      <c r="AZ31" s="5"/>
      <c r="BA31" s="5"/>
      <c r="BB31" s="1"/>
      <c r="BC31" s="3" t="s">
        <v>65</v>
      </c>
      <c r="BD31" s="3">
        <v>0.9</v>
      </c>
      <c r="BE31" s="3">
        <v>0.5</v>
      </c>
      <c r="BF31" s="3">
        <v>0.6</v>
      </c>
      <c r="BG31" s="3">
        <v>0.3</v>
      </c>
      <c r="BH31" s="7">
        <v>865.77734399999997</v>
      </c>
      <c r="BI31" s="3">
        <v>5.0000000000000001E-3</v>
      </c>
      <c r="BK31" s="3" t="s">
        <v>65</v>
      </c>
      <c r="BL31" s="3">
        <v>0.05</v>
      </c>
      <c r="BM31" s="6">
        <v>766.12933299999997</v>
      </c>
      <c r="BN31" s="3">
        <v>0</v>
      </c>
      <c r="BO31" s="3">
        <f t="shared" si="3"/>
        <v>0.17499999999999999</v>
      </c>
    </row>
    <row r="32" spans="1:67" x14ac:dyDescent="0.3">
      <c r="A32" s="3" t="s">
        <v>66</v>
      </c>
      <c r="B32" s="3">
        <v>0.9</v>
      </c>
      <c r="C32" s="3">
        <v>0.5</v>
      </c>
      <c r="D32" s="3">
        <v>0.6</v>
      </c>
      <c r="E32" s="3">
        <v>0.3</v>
      </c>
      <c r="F32" s="6">
        <v>475.90417500000001</v>
      </c>
      <c r="G32" s="3">
        <v>1E-3</v>
      </c>
      <c r="I32" s="3" t="s">
        <v>66</v>
      </c>
      <c r="J32" s="3">
        <v>0.5</v>
      </c>
      <c r="K32" s="7">
        <v>517.95202600000005</v>
      </c>
      <c r="L32" s="3">
        <v>1E-3</v>
      </c>
      <c r="M32" s="3">
        <f t="shared" si="0"/>
        <v>0.4</v>
      </c>
      <c r="N32" s="5"/>
      <c r="O32" s="5"/>
      <c r="P32" s="5"/>
      <c r="Q32" s="5"/>
      <c r="R32" s="1"/>
      <c r="S32" s="3" t="s">
        <v>66</v>
      </c>
      <c r="T32" s="3">
        <v>0.9</v>
      </c>
      <c r="U32" s="3">
        <v>0.5</v>
      </c>
      <c r="V32" s="3">
        <v>0.6</v>
      </c>
      <c r="W32" s="3">
        <v>0.3</v>
      </c>
      <c r="X32" s="6">
        <v>445.788544</v>
      </c>
      <c r="Y32" s="3">
        <v>1E-3</v>
      </c>
      <c r="AA32" s="3" t="s">
        <v>66</v>
      </c>
      <c r="AB32" s="3">
        <v>0.28000000000000003</v>
      </c>
      <c r="AC32" s="7">
        <v>465.34634399999999</v>
      </c>
      <c r="AD32" s="3">
        <v>0</v>
      </c>
      <c r="AE32" s="3">
        <f t="shared" si="1"/>
        <v>0.29000000000000004</v>
      </c>
      <c r="AF32" s="5"/>
      <c r="AG32" s="5"/>
      <c r="AH32" s="5"/>
      <c r="AI32" s="5"/>
      <c r="AJ32" s="1"/>
      <c r="AK32" s="3" t="s">
        <v>67</v>
      </c>
      <c r="AL32" s="3">
        <v>0.9</v>
      </c>
      <c r="AM32" s="3">
        <v>0.5</v>
      </c>
      <c r="AN32" s="3">
        <v>0.6</v>
      </c>
      <c r="AO32" s="3">
        <v>0.3</v>
      </c>
      <c r="AP32" s="6">
        <v>953.27716099999998</v>
      </c>
      <c r="AQ32" s="3">
        <v>5.0000000000000001E-3</v>
      </c>
      <c r="AS32" s="3" t="s">
        <v>67</v>
      </c>
      <c r="AT32" s="3">
        <v>0.49</v>
      </c>
      <c r="AU32" s="7">
        <v>1037.439087</v>
      </c>
      <c r="AV32" s="3">
        <v>1E-3</v>
      </c>
      <c r="AW32" s="3">
        <f t="shared" si="2"/>
        <v>0.39500000000000002</v>
      </c>
      <c r="AX32" s="5"/>
      <c r="AY32" s="5"/>
      <c r="AZ32" s="5"/>
      <c r="BA32" s="5"/>
      <c r="BB32" s="1"/>
      <c r="BC32" s="3" t="s">
        <v>67</v>
      </c>
      <c r="BD32" s="3">
        <v>0.9</v>
      </c>
      <c r="BE32" s="3">
        <v>0.5</v>
      </c>
      <c r="BF32" s="3">
        <v>0.6</v>
      </c>
      <c r="BG32" s="3">
        <v>0.3</v>
      </c>
      <c r="BH32" s="6">
        <v>930.85375999999997</v>
      </c>
      <c r="BI32" s="3">
        <v>5.0000000000000001E-3</v>
      </c>
      <c r="BK32" s="3" t="s">
        <v>67</v>
      </c>
      <c r="BL32" s="3">
        <v>0.95</v>
      </c>
      <c r="BM32" s="7">
        <v>1182.7923579999999</v>
      </c>
      <c r="BN32" s="3">
        <v>1E-3</v>
      </c>
      <c r="BO32" s="3">
        <f t="shared" si="3"/>
        <v>0.625</v>
      </c>
    </row>
    <row r="33" spans="1:71" x14ac:dyDescent="0.3">
      <c r="A33" s="3" t="s">
        <v>68</v>
      </c>
      <c r="B33" s="3">
        <v>0.9</v>
      </c>
      <c r="C33" s="3">
        <v>0.5</v>
      </c>
      <c r="D33" s="3">
        <v>0.6</v>
      </c>
      <c r="E33" s="3">
        <v>0.3</v>
      </c>
      <c r="F33" s="6">
        <v>394.50817899999998</v>
      </c>
      <c r="G33" s="3">
        <v>1E-3</v>
      </c>
      <c r="I33" s="3" t="s">
        <v>68</v>
      </c>
      <c r="J33" s="3">
        <v>0.02</v>
      </c>
      <c r="K33" s="7">
        <v>423.49652099999997</v>
      </c>
      <c r="L33" s="3">
        <v>0</v>
      </c>
      <c r="M33" s="3">
        <f t="shared" si="0"/>
        <v>0.16</v>
      </c>
      <c r="N33" s="5"/>
      <c r="O33" s="5"/>
      <c r="P33" s="5"/>
      <c r="Q33" s="5"/>
      <c r="R33" s="1"/>
      <c r="S33" s="3" t="s">
        <v>68</v>
      </c>
      <c r="T33" s="3">
        <v>0.9</v>
      </c>
      <c r="U33" s="3">
        <v>0.5</v>
      </c>
      <c r="V33" s="3">
        <v>0.6</v>
      </c>
      <c r="W33" s="3">
        <v>0.3</v>
      </c>
      <c r="X33" s="6">
        <v>375.28085299999998</v>
      </c>
      <c r="Y33" s="3">
        <v>3.0000000000000001E-3</v>
      </c>
      <c r="AA33" s="3" t="s">
        <v>68</v>
      </c>
      <c r="AB33" s="3">
        <v>0.72</v>
      </c>
      <c r="AC33" s="7">
        <v>381.56494099999998</v>
      </c>
      <c r="AD33" s="3">
        <v>0</v>
      </c>
      <c r="AE33" s="3">
        <f t="shared" si="1"/>
        <v>0.51</v>
      </c>
      <c r="AF33" s="5"/>
      <c r="AG33" s="5"/>
      <c r="AH33" s="5"/>
      <c r="AI33" s="5"/>
      <c r="AJ33" s="1"/>
      <c r="AK33" s="3" t="s">
        <v>69</v>
      </c>
      <c r="AL33" s="3">
        <v>0.9</v>
      </c>
      <c r="AM33" s="3">
        <v>0.5</v>
      </c>
      <c r="AN33" s="3">
        <v>0.6</v>
      </c>
      <c r="AO33" s="3">
        <v>0.3</v>
      </c>
      <c r="AP33" s="7">
        <v>946.91510000000005</v>
      </c>
      <c r="AQ33" s="3">
        <v>5.0000000000000001E-3</v>
      </c>
      <c r="AS33" s="3" t="s">
        <v>69</v>
      </c>
      <c r="AT33" s="3">
        <v>0.12</v>
      </c>
      <c r="AU33" s="6">
        <v>788.96508800000004</v>
      </c>
      <c r="AV33" s="3">
        <v>1E-3</v>
      </c>
      <c r="AW33" s="3">
        <f t="shared" si="2"/>
        <v>0.21</v>
      </c>
      <c r="AX33" s="5"/>
      <c r="AY33" s="5"/>
      <c r="AZ33" s="5"/>
      <c r="BA33" s="5"/>
      <c r="BB33" s="1"/>
      <c r="BC33" s="3" t="s">
        <v>69</v>
      </c>
      <c r="BD33" s="3">
        <v>0.9</v>
      </c>
      <c r="BE33" s="3">
        <v>0.5</v>
      </c>
      <c r="BF33" s="3">
        <v>0.6</v>
      </c>
      <c r="BG33" s="3">
        <v>0.3</v>
      </c>
      <c r="BH33" s="7">
        <v>926.81298800000002</v>
      </c>
      <c r="BI33" s="3">
        <v>5.0000000000000001E-3</v>
      </c>
      <c r="BK33" s="3" t="s">
        <v>69</v>
      </c>
      <c r="BL33" s="3">
        <v>0.05</v>
      </c>
      <c r="BM33" s="6">
        <v>755.90386999999998</v>
      </c>
      <c r="BN33" s="3">
        <v>1E-3</v>
      </c>
      <c r="BO33" s="3">
        <f t="shared" si="3"/>
        <v>0.17499999999999999</v>
      </c>
    </row>
    <row r="34" spans="1:71" x14ac:dyDescent="0.3">
      <c r="A34" s="9" t="s">
        <v>316</v>
      </c>
      <c r="E34" s="9">
        <f>AVERAGE(E4:E33)</f>
        <v>0.3</v>
      </c>
      <c r="I34" s="9" t="s">
        <v>316</v>
      </c>
      <c r="J34" s="9">
        <f>AVERAGE(J4:J33)</f>
        <v>0.45699999999999991</v>
      </c>
      <c r="M34" s="5"/>
      <c r="N34" s="5"/>
      <c r="O34" s="5"/>
      <c r="P34" s="5"/>
      <c r="Q34" s="5"/>
      <c r="R34" s="1"/>
      <c r="S34" s="9" t="s">
        <v>316</v>
      </c>
      <c r="W34" s="9">
        <f>AVERAGE(W4:W33)</f>
        <v>0.3</v>
      </c>
      <c r="AA34" s="9" t="s">
        <v>316</v>
      </c>
      <c r="AB34" s="9">
        <f>AVERAGE(AB4:AB33)</f>
        <v>0.51333333333333331</v>
      </c>
      <c r="AE34" s="5"/>
      <c r="AF34" s="5"/>
      <c r="AG34" s="5"/>
      <c r="AH34" s="5"/>
      <c r="AI34" s="5"/>
      <c r="AJ34" s="1"/>
      <c r="AK34" s="9" t="s">
        <v>316</v>
      </c>
      <c r="AO34" s="9">
        <f>AVERAGE(AO4:AO33)</f>
        <v>0.3</v>
      </c>
      <c r="AS34" s="9" t="s">
        <v>316</v>
      </c>
      <c r="AT34" s="9">
        <f>AVERAGE(AT4:AT33)</f>
        <v>0.45833333333333331</v>
      </c>
      <c r="AW34" s="5"/>
      <c r="AX34" s="5"/>
      <c r="AY34" s="5"/>
      <c r="AZ34" s="5"/>
      <c r="BA34" s="5"/>
      <c r="BB34" s="1"/>
      <c r="BC34" s="9" t="s">
        <v>316</v>
      </c>
      <c r="BG34" s="9">
        <f>AVERAGE(BG4:BG33)</f>
        <v>0.3</v>
      </c>
      <c r="BK34" s="9" t="s">
        <v>316</v>
      </c>
      <c r="BL34" s="9">
        <f>AVERAGE(BL4:BL33)</f>
        <v>0.39200000000000007</v>
      </c>
      <c r="BO34" s="5"/>
    </row>
    <row r="35" spans="1:71" x14ac:dyDescent="0.3">
      <c r="M35" s="5"/>
      <c r="N35" s="5"/>
      <c r="O35" s="5"/>
      <c r="P35" s="5"/>
      <c r="Q35" s="5"/>
      <c r="R35" s="1"/>
      <c r="AE35" s="5"/>
      <c r="AF35" s="5"/>
      <c r="AG35" s="5"/>
      <c r="AH35" s="5"/>
      <c r="AI35" s="5"/>
      <c r="AJ35" s="1"/>
      <c r="AW35" s="5"/>
      <c r="AX35" s="5"/>
      <c r="AY35" s="5"/>
      <c r="AZ35" s="5"/>
      <c r="BA35" s="5"/>
      <c r="BB35" s="1"/>
      <c r="BO35" s="5"/>
    </row>
    <row r="36" spans="1:71" x14ac:dyDescent="0.3">
      <c r="M36" s="5"/>
      <c r="N36" s="5"/>
      <c r="O36" s="5"/>
      <c r="P36" s="5"/>
      <c r="Q36" s="5"/>
      <c r="R36" s="1"/>
      <c r="AE36" s="5"/>
      <c r="AF36" s="5"/>
      <c r="AG36" s="5"/>
      <c r="AH36" s="5"/>
      <c r="AI36" s="5"/>
      <c r="AJ36" s="1"/>
      <c r="AW36" s="5"/>
      <c r="AX36" s="5"/>
      <c r="AY36" s="5"/>
      <c r="AZ36" s="5"/>
      <c r="BA36" s="5"/>
      <c r="BB36" s="1"/>
      <c r="BO36" s="5"/>
    </row>
    <row r="37" spans="1:71" x14ac:dyDescent="0.3">
      <c r="A37" s="19" t="s">
        <v>314</v>
      </c>
      <c r="B37" s="19"/>
      <c r="C37" s="19"/>
      <c r="D37" s="19"/>
      <c r="E37" s="19"/>
      <c r="F37" s="19"/>
      <c r="G37" s="19"/>
      <c r="I37" s="19" t="s">
        <v>315</v>
      </c>
      <c r="J37" s="19"/>
      <c r="K37" s="19"/>
      <c r="L37" s="19"/>
      <c r="M37" s="19"/>
      <c r="N37" s="11"/>
      <c r="O37" s="11"/>
      <c r="P37" s="11"/>
      <c r="Q37" s="11"/>
      <c r="R37" s="1"/>
      <c r="S37" s="19" t="s">
        <v>314</v>
      </c>
      <c r="T37" s="19"/>
      <c r="U37" s="19"/>
      <c r="V37" s="19"/>
      <c r="W37" s="19"/>
      <c r="X37" s="19"/>
      <c r="Y37" s="19"/>
      <c r="AA37" s="19" t="s">
        <v>315</v>
      </c>
      <c r="AB37" s="19"/>
      <c r="AC37" s="19"/>
      <c r="AD37" s="19"/>
      <c r="AE37" s="19"/>
      <c r="AF37" s="11"/>
      <c r="AG37" s="11"/>
      <c r="AH37" s="11"/>
      <c r="AI37" s="11"/>
      <c r="AJ37" s="1"/>
      <c r="AK37" s="19" t="s">
        <v>314</v>
      </c>
      <c r="AL37" s="19"/>
      <c r="AM37" s="19"/>
      <c r="AN37" s="19"/>
      <c r="AO37" s="19"/>
      <c r="AP37" s="19"/>
      <c r="AQ37" s="19"/>
      <c r="AS37" s="19" t="s">
        <v>315</v>
      </c>
      <c r="AT37" s="19"/>
      <c r="AU37" s="19"/>
      <c r="AV37" s="19"/>
      <c r="AW37" s="19"/>
      <c r="AX37" s="11"/>
      <c r="AY37" s="11"/>
      <c r="AZ37" s="11"/>
      <c r="BA37" s="11"/>
      <c r="BB37" s="1"/>
      <c r="BC37" s="19" t="s">
        <v>314</v>
      </c>
      <c r="BD37" s="19"/>
      <c r="BE37" s="19"/>
      <c r="BF37" s="19"/>
      <c r="BG37" s="19"/>
      <c r="BH37" s="19"/>
      <c r="BI37" s="19"/>
      <c r="BK37" s="19" t="s">
        <v>315</v>
      </c>
      <c r="BL37" s="19"/>
      <c r="BM37" s="19"/>
      <c r="BN37" s="19"/>
      <c r="BO37" s="19"/>
    </row>
    <row r="38" spans="1:71" x14ac:dyDescent="0.3">
      <c r="A38" s="20" t="s">
        <v>70</v>
      </c>
      <c r="B38" s="21"/>
      <c r="C38" s="21"/>
      <c r="D38" s="21"/>
      <c r="E38" s="21"/>
      <c r="F38" s="21"/>
      <c r="G38" s="22"/>
      <c r="I38" s="20" t="s">
        <v>70</v>
      </c>
      <c r="J38" s="21"/>
      <c r="K38" s="21"/>
      <c r="L38" s="21"/>
      <c r="M38" s="22"/>
      <c r="N38" s="11"/>
      <c r="O38" s="11"/>
      <c r="P38" s="11"/>
      <c r="Q38" s="11"/>
      <c r="R38" s="1"/>
      <c r="S38" s="20" t="s">
        <v>71</v>
      </c>
      <c r="T38" s="21"/>
      <c r="U38" s="21"/>
      <c r="V38" s="21"/>
      <c r="W38" s="21"/>
      <c r="X38" s="21"/>
      <c r="Y38" s="22"/>
      <c r="AA38" s="20" t="s">
        <v>71</v>
      </c>
      <c r="AB38" s="21"/>
      <c r="AC38" s="21"/>
      <c r="AD38" s="21"/>
      <c r="AE38" s="22"/>
      <c r="AF38" s="11"/>
      <c r="AG38" s="11"/>
      <c r="AH38" s="11"/>
      <c r="AI38" s="11"/>
      <c r="AJ38" s="1"/>
      <c r="AK38" s="3" t="s">
        <v>70</v>
      </c>
      <c r="AL38" s="3"/>
      <c r="AM38" s="3"/>
      <c r="AN38" s="3"/>
      <c r="AO38" s="3"/>
      <c r="AP38" s="3"/>
      <c r="AQ38" s="3"/>
      <c r="AS38" s="3" t="s">
        <v>70</v>
      </c>
      <c r="AT38" s="3"/>
      <c r="AU38" s="3"/>
      <c r="AV38" s="3"/>
      <c r="AW38" s="4"/>
      <c r="AX38" s="12"/>
      <c r="AY38" s="12"/>
      <c r="AZ38" s="12"/>
      <c r="BA38" s="12"/>
      <c r="BB38" s="1"/>
      <c r="BC38" s="3" t="s">
        <v>71</v>
      </c>
      <c r="BD38" s="3"/>
      <c r="BE38" s="3"/>
      <c r="BF38" s="3"/>
      <c r="BG38" s="3"/>
      <c r="BH38" s="3"/>
      <c r="BI38" s="3"/>
      <c r="BK38" s="3" t="s">
        <v>71</v>
      </c>
      <c r="BL38" s="3"/>
      <c r="BM38" s="3"/>
      <c r="BN38" s="3"/>
      <c r="BO38" s="3"/>
    </row>
    <row r="39" spans="1:71" x14ac:dyDescent="0.3">
      <c r="A39" s="3" t="s">
        <v>2</v>
      </c>
      <c r="B39" s="3" t="s">
        <v>3</v>
      </c>
      <c r="C39" s="3" t="s">
        <v>4</v>
      </c>
      <c r="D39" s="3" t="s">
        <v>5</v>
      </c>
      <c r="E39" s="3" t="s">
        <v>6</v>
      </c>
      <c r="F39" s="3" t="s">
        <v>7</v>
      </c>
      <c r="G39" s="3" t="s">
        <v>8</v>
      </c>
      <c r="I39" s="3" t="s">
        <v>2</v>
      </c>
      <c r="J39" s="3" t="s">
        <v>6</v>
      </c>
      <c r="K39" s="3" t="s">
        <v>7</v>
      </c>
      <c r="L39" s="3" t="s">
        <v>8</v>
      </c>
      <c r="M39" s="3" t="s">
        <v>9</v>
      </c>
      <c r="N39" s="3" t="s">
        <v>322</v>
      </c>
      <c r="O39" s="3" t="s">
        <v>323</v>
      </c>
      <c r="P39" s="3" t="s">
        <v>322</v>
      </c>
      <c r="Q39" s="3" t="s">
        <v>323</v>
      </c>
      <c r="R39" s="1"/>
      <c r="S39" s="3" t="s">
        <v>2</v>
      </c>
      <c r="T39" s="3" t="s">
        <v>3</v>
      </c>
      <c r="U39" s="3" t="s">
        <v>4</v>
      </c>
      <c r="V39" s="3" t="s">
        <v>5</v>
      </c>
      <c r="W39" s="3" t="s">
        <v>6</v>
      </c>
      <c r="X39" s="3" t="s">
        <v>7</v>
      </c>
      <c r="Y39" s="3" t="s">
        <v>8</v>
      </c>
      <c r="AA39" s="3" t="s">
        <v>2</v>
      </c>
      <c r="AB39" s="3" t="s">
        <v>6</v>
      </c>
      <c r="AC39" s="3" t="s">
        <v>7</v>
      </c>
      <c r="AD39" s="3" t="s">
        <v>8</v>
      </c>
      <c r="AE39" s="3" t="s">
        <v>9</v>
      </c>
      <c r="AF39" s="3" t="s">
        <v>322</v>
      </c>
      <c r="AG39" s="3" t="s">
        <v>323</v>
      </c>
      <c r="AH39" s="3" t="s">
        <v>322</v>
      </c>
      <c r="AI39" s="3" t="s">
        <v>323</v>
      </c>
      <c r="AJ39" s="1"/>
      <c r="AK39" s="3" t="s">
        <v>2</v>
      </c>
      <c r="AL39" s="3" t="s">
        <v>3</v>
      </c>
      <c r="AM39" s="3" t="s">
        <v>4</v>
      </c>
      <c r="AN39" s="3" t="s">
        <v>5</v>
      </c>
      <c r="AO39" s="3" t="s">
        <v>6</v>
      </c>
      <c r="AP39" s="3" t="s">
        <v>7</v>
      </c>
      <c r="AQ39" s="3" t="s">
        <v>8</v>
      </c>
      <c r="AS39" s="3" t="s">
        <v>2</v>
      </c>
      <c r="AT39" s="3" t="s">
        <v>6</v>
      </c>
      <c r="AU39" s="3" t="s">
        <v>7</v>
      </c>
      <c r="AV39" s="3" t="s">
        <v>8</v>
      </c>
      <c r="AW39" s="3" t="s">
        <v>9</v>
      </c>
      <c r="AX39" s="3" t="s">
        <v>322</v>
      </c>
      <c r="AY39" s="3" t="s">
        <v>323</v>
      </c>
      <c r="AZ39" s="3" t="s">
        <v>322</v>
      </c>
      <c r="BA39" s="3" t="s">
        <v>323</v>
      </c>
      <c r="BB39" s="1"/>
      <c r="BC39" s="3" t="s">
        <v>2</v>
      </c>
      <c r="BD39" s="3" t="s">
        <v>3</v>
      </c>
      <c r="BE39" s="3" t="s">
        <v>4</v>
      </c>
      <c r="BF39" s="3" t="s">
        <v>5</v>
      </c>
      <c r="BG39" s="3" t="s">
        <v>6</v>
      </c>
      <c r="BH39" s="3" t="s">
        <v>7</v>
      </c>
      <c r="BI39" s="3" t="s">
        <v>8</v>
      </c>
      <c r="BK39" s="3" t="s">
        <v>2</v>
      </c>
      <c r="BL39" s="3" t="s">
        <v>6</v>
      </c>
      <c r="BM39" s="3" t="s">
        <v>7</v>
      </c>
      <c r="BN39" s="3" t="s">
        <v>8</v>
      </c>
      <c r="BO39" s="3" t="s">
        <v>9</v>
      </c>
      <c r="BP39" s="3" t="s">
        <v>322</v>
      </c>
      <c r="BQ39" s="3" t="s">
        <v>323</v>
      </c>
      <c r="BR39" s="3" t="s">
        <v>322</v>
      </c>
      <c r="BS39" s="3" t="s">
        <v>323</v>
      </c>
    </row>
    <row r="40" spans="1:71" x14ac:dyDescent="0.3">
      <c r="A40" s="3" t="s">
        <v>10</v>
      </c>
      <c r="B40" s="3">
        <v>0.9</v>
      </c>
      <c r="C40" s="3">
        <v>0.5</v>
      </c>
      <c r="D40" s="3">
        <v>0.6</v>
      </c>
      <c r="E40" s="3">
        <v>0.3</v>
      </c>
      <c r="F40" s="6">
        <v>389.73577899999998</v>
      </c>
      <c r="G40" s="3">
        <v>0</v>
      </c>
      <c r="I40" s="3" t="s">
        <v>10</v>
      </c>
      <c r="J40" s="3">
        <v>0.01</v>
      </c>
      <c r="K40" s="7">
        <v>469.01501500000001</v>
      </c>
      <c r="L40" s="3">
        <v>0</v>
      </c>
      <c r="M40" s="3">
        <f t="shared" ref="M40:M69" si="4">AVERAGE(E40,J40)</f>
        <v>0.155</v>
      </c>
      <c r="N40" s="4" t="s">
        <v>320</v>
      </c>
      <c r="O40" s="4" t="s">
        <v>320</v>
      </c>
      <c r="P40" s="4" t="s">
        <v>321</v>
      </c>
      <c r="Q40" s="4" t="s">
        <v>321</v>
      </c>
      <c r="R40" s="1"/>
      <c r="S40" s="3" t="s">
        <v>10</v>
      </c>
      <c r="T40" s="3">
        <v>0.9</v>
      </c>
      <c r="U40" s="3">
        <v>0.5</v>
      </c>
      <c r="V40" s="3">
        <v>0.6</v>
      </c>
      <c r="W40" s="3">
        <v>0.3</v>
      </c>
      <c r="X40" s="6">
        <v>370.99807700000002</v>
      </c>
      <c r="Y40" s="3">
        <v>1E-3</v>
      </c>
      <c r="AA40" s="3" t="s">
        <v>10</v>
      </c>
      <c r="AB40" s="3">
        <v>0.01</v>
      </c>
      <c r="AC40" s="7">
        <v>444.11608899999999</v>
      </c>
      <c r="AD40" s="3">
        <v>0</v>
      </c>
      <c r="AE40" s="3">
        <f t="shared" ref="AE40:AE69" si="5">AVERAGE(W40,AB40)</f>
        <v>0.155</v>
      </c>
      <c r="AF40" s="4" t="s">
        <v>320</v>
      </c>
      <c r="AG40" s="4" t="s">
        <v>320</v>
      </c>
      <c r="AH40" s="4" t="s">
        <v>321</v>
      </c>
      <c r="AI40" s="4" t="s">
        <v>321</v>
      </c>
      <c r="AJ40" s="1"/>
      <c r="AK40" s="3" t="s">
        <v>11</v>
      </c>
      <c r="AL40" s="3">
        <v>0.9</v>
      </c>
      <c r="AM40" s="3">
        <v>0.5</v>
      </c>
      <c r="AN40" s="3">
        <v>0.6</v>
      </c>
      <c r="AO40" s="3">
        <v>0.3</v>
      </c>
      <c r="AP40" s="7">
        <v>741.26623500000005</v>
      </c>
      <c r="AQ40" s="3">
        <v>6.0000000000000001E-3</v>
      </c>
      <c r="AS40" s="3" t="s">
        <v>11</v>
      </c>
      <c r="AT40" s="3">
        <v>0.01</v>
      </c>
      <c r="AU40" s="6">
        <v>714.58148200000005</v>
      </c>
      <c r="AV40" s="3">
        <v>1E-3</v>
      </c>
      <c r="AW40" s="3">
        <f t="shared" ref="AW40:AW69" si="6">AVERAGE(AO40,AT40)</f>
        <v>0.155</v>
      </c>
      <c r="AX40" s="4" t="s">
        <v>320</v>
      </c>
      <c r="AY40" s="4" t="s">
        <v>320</v>
      </c>
      <c r="AZ40" s="4" t="s">
        <v>321</v>
      </c>
      <c r="BA40" s="4" t="s">
        <v>321</v>
      </c>
      <c r="BB40" s="1"/>
      <c r="BC40" s="3" t="s">
        <v>11</v>
      </c>
      <c r="BD40" s="3">
        <v>0.9</v>
      </c>
      <c r="BE40" s="3">
        <v>0.5</v>
      </c>
      <c r="BF40" s="3">
        <v>0.6</v>
      </c>
      <c r="BG40" s="3">
        <v>0.3</v>
      </c>
      <c r="BH40" s="7">
        <v>716.33593800000006</v>
      </c>
      <c r="BI40" s="3">
        <v>4.0000000000000001E-3</v>
      </c>
      <c r="BK40" s="3" t="s">
        <v>11</v>
      </c>
      <c r="BL40" s="3">
        <v>0.01</v>
      </c>
      <c r="BM40" s="6">
        <v>665.46801800000003</v>
      </c>
      <c r="BN40" s="3">
        <v>1E-3</v>
      </c>
      <c r="BO40" s="3">
        <f t="shared" ref="BO40:BO69" si="7">AVERAGE(BG40,BL40)</f>
        <v>0.155</v>
      </c>
      <c r="BP40" s="4" t="s">
        <v>320</v>
      </c>
      <c r="BQ40" s="4" t="s">
        <v>320</v>
      </c>
      <c r="BR40" s="4" t="s">
        <v>321</v>
      </c>
      <c r="BS40" s="4" t="s">
        <v>321</v>
      </c>
    </row>
    <row r="41" spans="1:71" x14ac:dyDescent="0.3">
      <c r="A41" s="3" t="s">
        <v>12</v>
      </c>
      <c r="B41" s="3">
        <v>0.9</v>
      </c>
      <c r="C41" s="3">
        <v>0.5</v>
      </c>
      <c r="D41" s="3">
        <v>0.6</v>
      </c>
      <c r="E41" s="3">
        <v>0.3</v>
      </c>
      <c r="F41" s="6">
        <v>420.49285900000001</v>
      </c>
      <c r="G41" s="3">
        <v>1E-3</v>
      </c>
      <c r="I41" s="3" t="s">
        <v>12</v>
      </c>
      <c r="J41" s="3">
        <v>0.72</v>
      </c>
      <c r="K41" s="7">
        <v>432.880493</v>
      </c>
      <c r="L41" s="3">
        <v>0</v>
      </c>
      <c r="M41" s="3">
        <f t="shared" si="4"/>
        <v>0.51</v>
      </c>
      <c r="N41" s="3">
        <f>COUNT(F40:F47,F49:F52,F54:F69)</f>
        <v>28</v>
      </c>
      <c r="O41" s="3">
        <f>30-N41</f>
        <v>2</v>
      </c>
      <c r="P41" s="3">
        <f>COUNT(K44,K48:K49,K52:K53)</f>
        <v>5</v>
      </c>
      <c r="Q41" s="3">
        <f>30-P41</f>
        <v>25</v>
      </c>
      <c r="R41" s="1"/>
      <c r="S41" s="3" t="s">
        <v>12</v>
      </c>
      <c r="T41" s="3">
        <v>0.9</v>
      </c>
      <c r="U41" s="3">
        <v>0.5</v>
      </c>
      <c r="V41" s="3">
        <v>0.6</v>
      </c>
      <c r="W41" s="3">
        <v>0.3</v>
      </c>
      <c r="X41" s="6">
        <v>407.82238799999999</v>
      </c>
      <c r="Y41" s="3">
        <v>2E-3</v>
      </c>
      <c r="AA41" s="3" t="s">
        <v>12</v>
      </c>
      <c r="AB41" s="3">
        <v>0.67</v>
      </c>
      <c r="AC41" s="7">
        <v>415.86785900000001</v>
      </c>
      <c r="AD41" s="3">
        <v>0</v>
      </c>
      <c r="AE41" s="3">
        <f t="shared" si="5"/>
        <v>0.48499999999999999</v>
      </c>
      <c r="AF41" s="3">
        <f>COUNT(X40:X46,X48:X50,X52:X56,X58:X61,X63:X65,X67:X69)</f>
        <v>25</v>
      </c>
      <c r="AG41" s="3">
        <f>30-AF41</f>
        <v>5</v>
      </c>
      <c r="AH41" s="3">
        <f>COUNT(AC46:AC47,AC49,AC51,AC57,AC59,AC62,AC66,AC68:AC69)</f>
        <v>10</v>
      </c>
      <c r="AI41" s="3">
        <f>30-AH41</f>
        <v>20</v>
      </c>
      <c r="AJ41" s="1"/>
      <c r="AK41" s="3" t="s">
        <v>13</v>
      </c>
      <c r="AL41" s="3">
        <v>0.9</v>
      </c>
      <c r="AM41" s="3">
        <v>0.5</v>
      </c>
      <c r="AN41" s="3">
        <v>0.6</v>
      </c>
      <c r="AO41" s="3">
        <v>0.3</v>
      </c>
      <c r="AP41" s="7">
        <v>672.15130599999998</v>
      </c>
      <c r="AQ41" s="3">
        <v>5.0000000000000001E-3</v>
      </c>
      <c r="AS41" s="3" t="s">
        <v>13</v>
      </c>
      <c r="AT41" s="3">
        <v>0.01</v>
      </c>
      <c r="AU41" s="6">
        <v>643.22351100000003</v>
      </c>
      <c r="AV41" s="3">
        <v>0</v>
      </c>
      <c r="AW41" s="3">
        <f t="shared" si="6"/>
        <v>0.155</v>
      </c>
      <c r="AX41" s="3">
        <f>COUNT(AP42:AP44,AP46:AP47,AP50,AP54,AP56:AP57,AP59:AP63,AP65:AP69)</f>
        <v>19</v>
      </c>
      <c r="AY41" s="3">
        <f>30-AX41</f>
        <v>11</v>
      </c>
      <c r="AZ41" s="3">
        <f>COUNT(AU40:AU41,AU45,AU48:AU49,AU51:AU53,AU55,AU58,AU64)</f>
        <v>11</v>
      </c>
      <c r="BA41" s="3">
        <f>30-AZ41</f>
        <v>19</v>
      </c>
      <c r="BB41" s="1"/>
      <c r="BC41" s="3" t="s">
        <v>13</v>
      </c>
      <c r="BD41" s="3">
        <v>0.9</v>
      </c>
      <c r="BE41" s="3">
        <v>0.5</v>
      </c>
      <c r="BF41" s="3">
        <v>0.6</v>
      </c>
      <c r="BG41" s="3">
        <v>0.3</v>
      </c>
      <c r="BH41" s="6">
        <v>637.76678500000003</v>
      </c>
      <c r="BI41" s="3">
        <v>4.0000000000000001E-3</v>
      </c>
      <c r="BK41" s="3" t="s">
        <v>13</v>
      </c>
      <c r="BL41" s="3">
        <v>0.68</v>
      </c>
      <c r="BM41" s="7">
        <v>728.02972399999999</v>
      </c>
      <c r="BN41" s="3">
        <v>1E-3</v>
      </c>
      <c r="BO41" s="3">
        <f t="shared" si="7"/>
        <v>0.49</v>
      </c>
      <c r="BP41" s="3">
        <f>COUNT(BH41,BH44:BH46,BH48:BH51,BH53:BH54,BH57:BH63,BH66:BH69)</f>
        <v>21</v>
      </c>
      <c r="BQ41" s="3">
        <f>30-BP41</f>
        <v>9</v>
      </c>
      <c r="BR41" s="3">
        <f>COUNT(BM40,BM42:BM43,BM47,BM52,BM55:BM56,BM64:BM65)</f>
        <v>9</v>
      </c>
      <c r="BS41" s="3">
        <f>30-BR41</f>
        <v>21</v>
      </c>
    </row>
    <row r="42" spans="1:71" x14ac:dyDescent="0.3">
      <c r="A42" s="3" t="s">
        <v>14</v>
      </c>
      <c r="B42" s="3">
        <v>0.9</v>
      </c>
      <c r="C42" s="3">
        <v>0.5</v>
      </c>
      <c r="D42" s="3">
        <v>0.6</v>
      </c>
      <c r="E42" s="3">
        <v>0.3</v>
      </c>
      <c r="F42" s="6">
        <v>365.81158399999998</v>
      </c>
      <c r="G42" s="3">
        <v>1E-3</v>
      </c>
      <c r="I42" s="3" t="s">
        <v>14</v>
      </c>
      <c r="J42" s="3">
        <v>0.47</v>
      </c>
      <c r="K42" s="7">
        <v>367.17065400000001</v>
      </c>
      <c r="L42" s="3">
        <v>0</v>
      </c>
      <c r="M42" s="3">
        <f t="shared" si="4"/>
        <v>0.38500000000000001</v>
      </c>
      <c r="N42" s="5"/>
      <c r="O42" s="5"/>
      <c r="P42" s="5"/>
      <c r="Q42" s="5"/>
      <c r="R42" s="1"/>
      <c r="S42" s="3" t="s">
        <v>14</v>
      </c>
      <c r="T42" s="3">
        <v>0.9</v>
      </c>
      <c r="U42" s="3">
        <v>0.5</v>
      </c>
      <c r="V42" s="3">
        <v>0.6</v>
      </c>
      <c r="W42" s="3">
        <v>0.3</v>
      </c>
      <c r="X42" s="6">
        <v>342.63439899999997</v>
      </c>
      <c r="Y42" s="3">
        <v>1E-3</v>
      </c>
      <c r="AA42" s="3" t="s">
        <v>14</v>
      </c>
      <c r="AB42" s="3">
        <v>0.1</v>
      </c>
      <c r="AC42" s="7">
        <v>350.03939800000001</v>
      </c>
      <c r="AD42" s="3">
        <v>0</v>
      </c>
      <c r="AE42" s="3">
        <f t="shared" si="5"/>
        <v>0.2</v>
      </c>
      <c r="AF42" s="5"/>
      <c r="AG42" s="5"/>
      <c r="AH42" s="5"/>
      <c r="AI42" s="5"/>
      <c r="AJ42" s="1"/>
      <c r="AK42" s="3" t="s">
        <v>15</v>
      </c>
      <c r="AL42" s="3">
        <v>0.9</v>
      </c>
      <c r="AM42" s="3">
        <v>0.5</v>
      </c>
      <c r="AN42" s="3">
        <v>0.6</v>
      </c>
      <c r="AO42" s="3">
        <v>0.3</v>
      </c>
      <c r="AP42" s="6">
        <v>719.05767800000001</v>
      </c>
      <c r="AQ42" s="3">
        <v>5.0000000000000001E-3</v>
      </c>
      <c r="AS42" s="3" t="s">
        <v>15</v>
      </c>
      <c r="AT42" s="3">
        <v>0.47</v>
      </c>
      <c r="AU42" s="7">
        <v>773.097534</v>
      </c>
      <c r="AV42" s="3">
        <v>0</v>
      </c>
      <c r="AW42" s="3">
        <f t="shared" si="6"/>
        <v>0.38500000000000001</v>
      </c>
      <c r="AX42" s="5"/>
      <c r="AY42" s="5"/>
      <c r="AZ42" s="5"/>
      <c r="BA42" s="5"/>
      <c r="BB42" s="1"/>
      <c r="BC42" s="3" t="s">
        <v>15</v>
      </c>
      <c r="BD42" s="3">
        <v>0.9</v>
      </c>
      <c r="BE42" s="3">
        <v>0.5</v>
      </c>
      <c r="BF42" s="3">
        <v>0.6</v>
      </c>
      <c r="BG42" s="3">
        <v>0.3</v>
      </c>
      <c r="BH42" s="7">
        <v>692.91436799999997</v>
      </c>
      <c r="BI42" s="3">
        <v>7.0000000000000001E-3</v>
      </c>
      <c r="BK42" s="3" t="s">
        <v>15</v>
      </c>
      <c r="BL42" s="3">
        <v>0.05</v>
      </c>
      <c r="BM42" s="6">
        <v>603.04620399999999</v>
      </c>
      <c r="BN42" s="3">
        <v>1E-3</v>
      </c>
      <c r="BO42" s="3">
        <f t="shared" si="7"/>
        <v>0.17499999999999999</v>
      </c>
    </row>
    <row r="43" spans="1:71" x14ac:dyDescent="0.3">
      <c r="A43" s="3" t="s">
        <v>16</v>
      </c>
      <c r="B43" s="3">
        <v>0.9</v>
      </c>
      <c r="C43" s="3">
        <v>0.5</v>
      </c>
      <c r="D43" s="3">
        <v>0.6</v>
      </c>
      <c r="E43" s="3">
        <v>0.3</v>
      </c>
      <c r="F43" s="6">
        <v>393.74658199999999</v>
      </c>
      <c r="G43" s="3">
        <v>0</v>
      </c>
      <c r="I43" s="3" t="s">
        <v>16</v>
      </c>
      <c r="J43" s="3">
        <v>0.94</v>
      </c>
      <c r="K43" s="7">
        <v>407.28771999999998</v>
      </c>
      <c r="L43" s="3">
        <v>0</v>
      </c>
      <c r="M43" s="3">
        <f t="shared" si="4"/>
        <v>0.62</v>
      </c>
      <c r="N43" s="5"/>
      <c r="O43" s="5"/>
      <c r="P43" s="5"/>
      <c r="Q43" s="5"/>
      <c r="R43" s="1"/>
      <c r="S43" s="3" t="s">
        <v>16</v>
      </c>
      <c r="T43" s="3">
        <v>0.9</v>
      </c>
      <c r="U43" s="3">
        <v>0.5</v>
      </c>
      <c r="V43" s="3">
        <v>0.6</v>
      </c>
      <c r="W43" s="3">
        <v>0.3</v>
      </c>
      <c r="X43" s="6">
        <v>375.51773100000003</v>
      </c>
      <c r="Y43" s="3">
        <v>0</v>
      </c>
      <c r="AA43" s="3" t="s">
        <v>16</v>
      </c>
      <c r="AB43" s="3">
        <v>0.48</v>
      </c>
      <c r="AC43" s="7">
        <v>380.577179</v>
      </c>
      <c r="AD43" s="3">
        <v>0</v>
      </c>
      <c r="AE43" s="3">
        <f t="shared" si="5"/>
        <v>0.39</v>
      </c>
      <c r="AF43" s="5"/>
      <c r="AG43" s="5"/>
      <c r="AH43" s="5"/>
      <c r="AI43" s="5"/>
      <c r="AJ43" s="1"/>
      <c r="AK43" s="3" t="s">
        <v>17</v>
      </c>
      <c r="AL43" s="3">
        <v>0.9</v>
      </c>
      <c r="AM43" s="3">
        <v>0.5</v>
      </c>
      <c r="AN43" s="3">
        <v>0.6</v>
      </c>
      <c r="AO43" s="3">
        <v>0.3</v>
      </c>
      <c r="AP43" s="6">
        <v>705.48370399999999</v>
      </c>
      <c r="AQ43" s="3">
        <v>3.0000000000000001E-3</v>
      </c>
      <c r="AS43" s="3" t="s">
        <v>17</v>
      </c>
      <c r="AT43" s="3">
        <v>0.45</v>
      </c>
      <c r="AU43" s="7">
        <v>741.45599400000003</v>
      </c>
      <c r="AV43" s="3">
        <v>1E-3</v>
      </c>
      <c r="AW43" s="3">
        <f t="shared" si="6"/>
        <v>0.375</v>
      </c>
      <c r="AX43" s="5"/>
      <c r="AY43" s="5"/>
      <c r="AZ43" s="5"/>
      <c r="BA43" s="5"/>
      <c r="BB43" s="1"/>
      <c r="BC43" s="3" t="s">
        <v>17</v>
      </c>
      <c r="BD43" s="3">
        <v>0.9</v>
      </c>
      <c r="BE43" s="3">
        <v>0.5</v>
      </c>
      <c r="BF43" s="3">
        <v>0.6</v>
      </c>
      <c r="BG43" s="3">
        <v>0.3</v>
      </c>
      <c r="BH43" s="7">
        <v>683.88458300000002</v>
      </c>
      <c r="BI43" s="3">
        <v>1.4E-2</v>
      </c>
      <c r="BK43" s="3" t="s">
        <v>17</v>
      </c>
      <c r="BL43" s="3">
        <v>0.28000000000000003</v>
      </c>
      <c r="BM43" s="6">
        <v>674.627747</v>
      </c>
      <c r="BN43" s="3">
        <v>1E-3</v>
      </c>
      <c r="BO43" s="3">
        <f t="shared" si="7"/>
        <v>0.29000000000000004</v>
      </c>
    </row>
    <row r="44" spans="1:71" x14ac:dyDescent="0.3">
      <c r="A44" s="3" t="s">
        <v>18</v>
      </c>
      <c r="B44" s="3">
        <v>0.9</v>
      </c>
      <c r="C44" s="3">
        <v>0.5</v>
      </c>
      <c r="D44" s="3">
        <v>0.6</v>
      </c>
      <c r="E44" s="3">
        <v>0.3</v>
      </c>
      <c r="F44" s="6">
        <v>343.11834700000003</v>
      </c>
      <c r="G44" s="3">
        <v>1E-3</v>
      </c>
      <c r="I44" s="3" t="s">
        <v>18</v>
      </c>
      <c r="J44" s="3">
        <v>0.26</v>
      </c>
      <c r="K44" s="8">
        <v>343.33453400000002</v>
      </c>
      <c r="L44" s="3">
        <v>0</v>
      </c>
      <c r="M44" s="3">
        <f t="shared" si="4"/>
        <v>0.28000000000000003</v>
      </c>
      <c r="N44" s="5"/>
      <c r="O44" s="5"/>
      <c r="P44" s="5"/>
      <c r="Q44" s="5"/>
      <c r="R44" s="1"/>
      <c r="S44" s="3" t="s">
        <v>18</v>
      </c>
      <c r="T44" s="3">
        <v>0.9</v>
      </c>
      <c r="U44" s="3">
        <v>0.5</v>
      </c>
      <c r="V44" s="3">
        <v>0.6</v>
      </c>
      <c r="W44" s="3">
        <v>0.3</v>
      </c>
      <c r="X44" s="6">
        <v>326.76788299999998</v>
      </c>
      <c r="Y44" s="3">
        <v>1E-3</v>
      </c>
      <c r="AA44" s="3" t="s">
        <v>18</v>
      </c>
      <c r="AB44" s="3">
        <v>0.12</v>
      </c>
      <c r="AC44" s="7">
        <v>328.67172199999999</v>
      </c>
      <c r="AD44" s="3">
        <v>0</v>
      </c>
      <c r="AE44" s="3">
        <f t="shared" si="5"/>
        <v>0.21</v>
      </c>
      <c r="AF44" s="5"/>
      <c r="AG44" s="5"/>
      <c r="AH44" s="5"/>
      <c r="AI44" s="5"/>
      <c r="AJ44" s="1"/>
      <c r="AK44" s="3" t="s">
        <v>19</v>
      </c>
      <c r="AL44" s="3">
        <v>0.9</v>
      </c>
      <c r="AM44" s="3">
        <v>0.5</v>
      </c>
      <c r="AN44" s="3">
        <v>0.6</v>
      </c>
      <c r="AO44" s="3">
        <v>0.3</v>
      </c>
      <c r="AP44" s="6">
        <v>732.04168700000002</v>
      </c>
      <c r="AQ44" s="3">
        <v>3.0000000000000001E-3</v>
      </c>
      <c r="AS44" s="3" t="s">
        <v>19</v>
      </c>
      <c r="AT44" s="3">
        <v>0.55000000000000004</v>
      </c>
      <c r="AU44" s="7">
        <v>795.596497</v>
      </c>
      <c r="AV44" s="3">
        <v>1E-3</v>
      </c>
      <c r="AW44" s="3">
        <f t="shared" si="6"/>
        <v>0.42500000000000004</v>
      </c>
      <c r="AX44" s="5"/>
      <c r="AY44" s="5"/>
      <c r="AZ44" s="5"/>
      <c r="BA44" s="5"/>
      <c r="BB44" s="1"/>
      <c r="BC44" s="3" t="s">
        <v>19</v>
      </c>
      <c r="BD44" s="3">
        <v>0.9</v>
      </c>
      <c r="BE44" s="3">
        <v>0.5</v>
      </c>
      <c r="BF44" s="3">
        <v>0.6</v>
      </c>
      <c r="BG44" s="3">
        <v>0.3</v>
      </c>
      <c r="BH44" s="6">
        <v>706.17315699999995</v>
      </c>
      <c r="BI44" s="3">
        <v>5.0000000000000001E-3</v>
      </c>
      <c r="BK44" s="3" t="s">
        <v>19</v>
      </c>
      <c r="BL44" s="3">
        <v>0.88</v>
      </c>
      <c r="BM44" s="7">
        <v>876.682861</v>
      </c>
      <c r="BN44" s="3">
        <v>0</v>
      </c>
      <c r="BO44" s="3">
        <f t="shared" si="7"/>
        <v>0.59</v>
      </c>
    </row>
    <row r="45" spans="1:71" x14ac:dyDescent="0.3">
      <c r="A45" s="3" t="s">
        <v>20</v>
      </c>
      <c r="B45" s="3">
        <v>0.9</v>
      </c>
      <c r="C45" s="3">
        <v>0.5</v>
      </c>
      <c r="D45" s="3">
        <v>0.6</v>
      </c>
      <c r="E45" s="3">
        <v>0.3</v>
      </c>
      <c r="F45" s="6">
        <v>408.74941999999999</v>
      </c>
      <c r="G45" s="3">
        <v>0</v>
      </c>
      <c r="I45" s="3" t="s">
        <v>20</v>
      </c>
      <c r="J45" s="3">
        <v>0.56999999999999995</v>
      </c>
      <c r="K45" s="7">
        <v>411.06680299999999</v>
      </c>
      <c r="L45" s="3">
        <v>0</v>
      </c>
      <c r="M45" s="3">
        <f t="shared" si="4"/>
        <v>0.43499999999999994</v>
      </c>
      <c r="N45" s="5"/>
      <c r="O45" s="5"/>
      <c r="P45" s="5"/>
      <c r="Q45" s="5"/>
      <c r="R45" s="1"/>
      <c r="S45" s="3" t="s">
        <v>20</v>
      </c>
      <c r="T45" s="3">
        <v>0.9</v>
      </c>
      <c r="U45" s="3">
        <v>0.5</v>
      </c>
      <c r="V45" s="3">
        <v>0.6</v>
      </c>
      <c r="W45" s="3">
        <v>0.3</v>
      </c>
      <c r="X45" s="6">
        <v>395.60012799999998</v>
      </c>
      <c r="Y45" s="3">
        <v>0</v>
      </c>
      <c r="AA45" s="3" t="s">
        <v>20</v>
      </c>
      <c r="AB45" s="3">
        <v>0.88</v>
      </c>
      <c r="AC45" s="7">
        <v>402.92077599999999</v>
      </c>
      <c r="AD45" s="3">
        <v>0</v>
      </c>
      <c r="AE45" s="3">
        <f t="shared" si="5"/>
        <v>0.59</v>
      </c>
      <c r="AF45" s="5"/>
      <c r="AG45" s="5"/>
      <c r="AH45" s="5"/>
      <c r="AI45" s="5"/>
      <c r="AJ45" s="1"/>
      <c r="AK45" s="3" t="s">
        <v>21</v>
      </c>
      <c r="AL45" s="3">
        <v>0.9</v>
      </c>
      <c r="AM45" s="3">
        <v>0.5</v>
      </c>
      <c r="AN45" s="3">
        <v>0.6</v>
      </c>
      <c r="AO45" s="3">
        <v>0.3</v>
      </c>
      <c r="AP45" s="7">
        <v>719.18890399999998</v>
      </c>
      <c r="AQ45" s="3">
        <v>5.0000000000000001E-3</v>
      </c>
      <c r="AS45" s="3" t="s">
        <v>21</v>
      </c>
      <c r="AT45" s="3">
        <v>0.23</v>
      </c>
      <c r="AU45" s="6">
        <v>690.30426</v>
      </c>
      <c r="AV45" s="3">
        <v>0</v>
      </c>
      <c r="AW45" s="3">
        <f t="shared" si="6"/>
        <v>0.26500000000000001</v>
      </c>
      <c r="AX45" s="5"/>
      <c r="AY45" s="5"/>
      <c r="AZ45" s="5"/>
      <c r="BA45" s="5"/>
      <c r="BB45" s="1"/>
      <c r="BC45" s="3" t="s">
        <v>21</v>
      </c>
      <c r="BD45" s="3">
        <v>0.9</v>
      </c>
      <c r="BE45" s="3">
        <v>0.5</v>
      </c>
      <c r="BF45" s="3">
        <v>0.6</v>
      </c>
      <c r="BG45" s="3">
        <v>0.3</v>
      </c>
      <c r="BH45" s="6">
        <v>709.180115</v>
      </c>
      <c r="BI45" s="3">
        <v>7.0000000000000001E-3</v>
      </c>
      <c r="BK45" s="3" t="s">
        <v>21</v>
      </c>
      <c r="BL45" s="3">
        <v>0.62</v>
      </c>
      <c r="BM45" s="7">
        <v>809.68963599999995</v>
      </c>
      <c r="BN45" s="3">
        <v>1E-3</v>
      </c>
      <c r="BO45" s="3">
        <f t="shared" si="7"/>
        <v>0.45999999999999996</v>
      </c>
    </row>
    <row r="46" spans="1:71" x14ac:dyDescent="0.3">
      <c r="A46" s="3" t="s">
        <v>22</v>
      </c>
      <c r="B46" s="3">
        <v>0.9</v>
      </c>
      <c r="C46" s="3">
        <v>0.5</v>
      </c>
      <c r="D46" s="3">
        <v>0.6</v>
      </c>
      <c r="E46" s="3">
        <v>0.3</v>
      </c>
      <c r="F46" s="6">
        <v>384.91159099999999</v>
      </c>
      <c r="G46" s="3">
        <v>0</v>
      </c>
      <c r="I46" s="3" t="s">
        <v>22</v>
      </c>
      <c r="J46" s="3">
        <v>0.04</v>
      </c>
      <c r="K46" s="7">
        <v>392.16110200000003</v>
      </c>
      <c r="L46" s="3">
        <v>0</v>
      </c>
      <c r="M46" s="3">
        <f t="shared" si="4"/>
        <v>0.16999999999999998</v>
      </c>
      <c r="N46" s="5"/>
      <c r="O46" s="5"/>
      <c r="P46" s="5"/>
      <c r="Q46" s="5"/>
      <c r="R46" s="1"/>
      <c r="S46" s="3" t="s">
        <v>22</v>
      </c>
      <c r="T46" s="3">
        <v>0.9</v>
      </c>
      <c r="U46" s="3">
        <v>0.5</v>
      </c>
      <c r="V46" s="3">
        <v>0.6</v>
      </c>
      <c r="W46" s="3">
        <v>0.3</v>
      </c>
      <c r="X46" s="6">
        <v>366.73147599999999</v>
      </c>
      <c r="Y46" s="3">
        <v>0</v>
      </c>
      <c r="AA46" s="3" t="s">
        <v>22</v>
      </c>
      <c r="AB46" s="3">
        <v>0.26</v>
      </c>
      <c r="AC46" s="6">
        <v>366.73147599999999</v>
      </c>
      <c r="AD46" s="3">
        <v>0</v>
      </c>
      <c r="AE46" s="3">
        <f t="shared" si="5"/>
        <v>0.28000000000000003</v>
      </c>
      <c r="AF46" s="5"/>
      <c r="AG46" s="5"/>
      <c r="AH46" s="5"/>
      <c r="AI46" s="5"/>
      <c r="AJ46" s="1"/>
      <c r="AK46" s="3" t="s">
        <v>23</v>
      </c>
      <c r="AL46" s="3">
        <v>0.9</v>
      </c>
      <c r="AM46" s="3">
        <v>0.5</v>
      </c>
      <c r="AN46" s="3">
        <v>0.6</v>
      </c>
      <c r="AO46" s="3">
        <v>0.3</v>
      </c>
      <c r="AP46" s="6">
        <v>717.97912599999995</v>
      </c>
      <c r="AQ46" s="3">
        <v>3.0000000000000001E-3</v>
      </c>
      <c r="AS46" s="3" t="s">
        <v>23</v>
      </c>
      <c r="AT46" s="3">
        <v>0.36</v>
      </c>
      <c r="AU46" s="7">
        <v>719.77832000000001</v>
      </c>
      <c r="AV46" s="3">
        <v>1E-3</v>
      </c>
      <c r="AW46" s="3">
        <f t="shared" si="6"/>
        <v>0.32999999999999996</v>
      </c>
      <c r="AX46" s="5"/>
      <c r="AY46" s="5"/>
      <c r="AZ46" s="5"/>
      <c r="BA46" s="5"/>
      <c r="BB46" s="1"/>
      <c r="BC46" s="3" t="s">
        <v>23</v>
      </c>
      <c r="BD46" s="3">
        <v>0.9</v>
      </c>
      <c r="BE46" s="3">
        <v>0.5</v>
      </c>
      <c r="BF46" s="3">
        <v>0.6</v>
      </c>
      <c r="BG46" s="3">
        <v>0.3</v>
      </c>
      <c r="BH46" s="6">
        <v>709.20135500000004</v>
      </c>
      <c r="BI46" s="3">
        <v>4.0000000000000001E-3</v>
      </c>
      <c r="BK46" s="3" t="s">
        <v>23</v>
      </c>
      <c r="BL46" s="3">
        <v>0.52</v>
      </c>
      <c r="BM46" s="7">
        <v>775.56726100000003</v>
      </c>
      <c r="BN46" s="3">
        <v>0</v>
      </c>
      <c r="BO46" s="3">
        <f t="shared" si="7"/>
        <v>0.41000000000000003</v>
      </c>
    </row>
    <row r="47" spans="1:71" x14ac:dyDescent="0.3">
      <c r="A47" s="3" t="s">
        <v>24</v>
      </c>
      <c r="B47" s="3">
        <v>0.9</v>
      </c>
      <c r="C47" s="3">
        <v>0.5</v>
      </c>
      <c r="D47" s="3">
        <v>0.6</v>
      </c>
      <c r="E47" s="3">
        <v>0.3</v>
      </c>
      <c r="F47" s="6">
        <v>461.71353099999999</v>
      </c>
      <c r="G47" s="3">
        <v>1E-3</v>
      </c>
      <c r="I47" s="3" t="s">
        <v>24</v>
      </c>
      <c r="J47" s="3">
        <v>0.69</v>
      </c>
      <c r="K47" s="7">
        <v>468.76092499999999</v>
      </c>
      <c r="L47" s="3">
        <v>0</v>
      </c>
      <c r="M47" s="3">
        <f t="shared" si="4"/>
        <v>0.495</v>
      </c>
      <c r="N47" s="5"/>
      <c r="O47" s="5"/>
      <c r="P47" s="5"/>
      <c r="Q47" s="5"/>
      <c r="R47" s="1"/>
      <c r="S47" s="3" t="s">
        <v>24</v>
      </c>
      <c r="T47" s="3">
        <v>0.9</v>
      </c>
      <c r="U47" s="3">
        <v>0.5</v>
      </c>
      <c r="V47" s="3">
        <v>0.6</v>
      </c>
      <c r="W47" s="3">
        <v>0.3</v>
      </c>
      <c r="X47" s="7">
        <v>427.68786599999999</v>
      </c>
      <c r="Y47" s="3">
        <v>0</v>
      </c>
      <c r="AA47" s="3" t="s">
        <v>24</v>
      </c>
      <c r="AB47" s="3">
        <v>0.37</v>
      </c>
      <c r="AC47" s="6">
        <v>426.00888099999997</v>
      </c>
      <c r="AD47" s="3">
        <v>0</v>
      </c>
      <c r="AE47" s="3">
        <f t="shared" si="5"/>
        <v>0.33499999999999996</v>
      </c>
      <c r="AF47" s="5"/>
      <c r="AG47" s="5"/>
      <c r="AH47" s="5"/>
      <c r="AI47" s="5"/>
      <c r="AJ47" s="1"/>
      <c r="AK47" s="3" t="s">
        <v>25</v>
      </c>
      <c r="AL47" s="3">
        <v>0.9</v>
      </c>
      <c r="AM47" s="3">
        <v>0.5</v>
      </c>
      <c r="AN47" s="3">
        <v>0.6</v>
      </c>
      <c r="AO47" s="3">
        <v>0.3</v>
      </c>
      <c r="AP47" s="6">
        <v>748.07659899999999</v>
      </c>
      <c r="AQ47" s="3">
        <v>6.0000000000000001E-3</v>
      </c>
      <c r="AS47" s="3" t="s">
        <v>25</v>
      </c>
      <c r="AT47" s="3">
        <v>0.87</v>
      </c>
      <c r="AU47" s="7">
        <v>873.42810099999997</v>
      </c>
      <c r="AV47" s="3">
        <v>1E-3</v>
      </c>
      <c r="AW47" s="3">
        <f t="shared" si="6"/>
        <v>0.58499999999999996</v>
      </c>
      <c r="AX47" s="5"/>
      <c r="AY47" s="5"/>
      <c r="AZ47" s="5"/>
      <c r="BA47" s="5"/>
      <c r="BB47" s="1"/>
      <c r="BC47" s="3" t="s">
        <v>25</v>
      </c>
      <c r="BD47" s="3">
        <v>0.9</v>
      </c>
      <c r="BE47" s="3">
        <v>0.5</v>
      </c>
      <c r="BF47" s="3">
        <v>0.6</v>
      </c>
      <c r="BG47" s="3">
        <v>0.3</v>
      </c>
      <c r="BH47" s="7">
        <v>727.69781499999999</v>
      </c>
      <c r="BI47" s="3">
        <v>3.0000000000000001E-3</v>
      </c>
      <c r="BK47" s="3" t="s">
        <v>25</v>
      </c>
      <c r="BL47" s="3">
        <v>0.08</v>
      </c>
      <c r="BM47" s="6">
        <v>655.11633300000005</v>
      </c>
      <c r="BN47" s="3">
        <v>0</v>
      </c>
      <c r="BO47" s="3">
        <f t="shared" si="7"/>
        <v>0.19</v>
      </c>
    </row>
    <row r="48" spans="1:71" x14ac:dyDescent="0.3">
      <c r="A48" s="3" t="s">
        <v>26</v>
      </c>
      <c r="B48" s="3">
        <v>0.9</v>
      </c>
      <c r="C48" s="3">
        <v>0.5</v>
      </c>
      <c r="D48" s="3">
        <v>0.6</v>
      </c>
      <c r="E48" s="3">
        <v>0.3</v>
      </c>
      <c r="F48" s="7">
        <v>414.63421599999998</v>
      </c>
      <c r="G48" s="3">
        <v>1E-3</v>
      </c>
      <c r="I48" s="3" t="s">
        <v>26</v>
      </c>
      <c r="J48" s="3">
        <v>0.42</v>
      </c>
      <c r="K48" s="6">
        <v>411.11270100000002</v>
      </c>
      <c r="L48" s="3">
        <v>0</v>
      </c>
      <c r="M48" s="3">
        <f t="shared" si="4"/>
        <v>0.36</v>
      </c>
      <c r="N48" s="5"/>
      <c r="O48" s="5"/>
      <c r="P48" s="5"/>
      <c r="Q48" s="5"/>
      <c r="R48" s="1"/>
      <c r="S48" s="3" t="s">
        <v>26</v>
      </c>
      <c r="T48" s="3">
        <v>0.9</v>
      </c>
      <c r="U48" s="3">
        <v>0.5</v>
      </c>
      <c r="V48" s="3">
        <v>0.6</v>
      </c>
      <c r="W48" s="3">
        <v>0.3</v>
      </c>
      <c r="X48" s="6">
        <v>399.25683600000002</v>
      </c>
      <c r="Y48" s="3">
        <v>1E-3</v>
      </c>
      <c r="AA48" s="3" t="s">
        <v>26</v>
      </c>
      <c r="AB48" s="3">
        <v>0.42</v>
      </c>
      <c r="AC48" s="7">
        <v>401.73141500000003</v>
      </c>
      <c r="AD48" s="3">
        <v>0</v>
      </c>
      <c r="AE48" s="3">
        <f t="shared" si="5"/>
        <v>0.36</v>
      </c>
      <c r="AF48" s="5"/>
      <c r="AG48" s="5"/>
      <c r="AH48" s="5"/>
      <c r="AI48" s="5"/>
      <c r="AJ48" s="1"/>
      <c r="AK48" s="3" t="s">
        <v>27</v>
      </c>
      <c r="AL48" s="3">
        <v>0.9</v>
      </c>
      <c r="AM48" s="3">
        <v>0.5</v>
      </c>
      <c r="AN48" s="3">
        <v>0.6</v>
      </c>
      <c r="AO48" s="3">
        <v>0.3</v>
      </c>
      <c r="AP48" s="7">
        <v>714.16357400000004</v>
      </c>
      <c r="AQ48" s="3">
        <v>4.0000000000000001E-3</v>
      </c>
      <c r="AS48" s="3" t="s">
        <v>27</v>
      </c>
      <c r="AT48" s="3">
        <v>0.06</v>
      </c>
      <c r="AU48" s="6">
        <v>626.50885000000005</v>
      </c>
      <c r="AV48" s="3">
        <v>0</v>
      </c>
      <c r="AW48" s="3">
        <f t="shared" si="6"/>
        <v>0.18</v>
      </c>
      <c r="AX48" s="5"/>
      <c r="AY48" s="5"/>
      <c r="AZ48" s="5"/>
      <c r="BA48" s="5"/>
      <c r="BB48" s="1"/>
      <c r="BC48" s="3" t="s">
        <v>27</v>
      </c>
      <c r="BD48" s="3">
        <v>0.9</v>
      </c>
      <c r="BE48" s="3">
        <v>0.5</v>
      </c>
      <c r="BF48" s="3">
        <v>0.6</v>
      </c>
      <c r="BG48" s="3">
        <v>0.3</v>
      </c>
      <c r="BH48" s="6">
        <v>679.18762200000003</v>
      </c>
      <c r="BI48" s="3">
        <v>6.0000000000000001E-3</v>
      </c>
      <c r="BK48" s="3" t="s">
        <v>27</v>
      </c>
      <c r="BL48" s="3">
        <v>0.61</v>
      </c>
      <c r="BM48" s="7">
        <v>788.36834699999997</v>
      </c>
      <c r="BN48" s="3">
        <v>1E-3</v>
      </c>
      <c r="BO48" s="3">
        <f t="shared" si="7"/>
        <v>0.45499999999999996</v>
      </c>
    </row>
    <row r="49" spans="1:67" x14ac:dyDescent="0.3">
      <c r="A49" s="3" t="s">
        <v>28</v>
      </c>
      <c r="B49" s="3">
        <v>0.9</v>
      </c>
      <c r="C49" s="3">
        <v>0.5</v>
      </c>
      <c r="D49" s="3">
        <v>0.6</v>
      </c>
      <c r="E49" s="3">
        <v>0.3</v>
      </c>
      <c r="F49" s="6">
        <v>342.79367100000002</v>
      </c>
      <c r="G49" s="3">
        <v>0</v>
      </c>
      <c r="I49" s="3" t="s">
        <v>28</v>
      </c>
      <c r="J49" s="3">
        <v>0.47</v>
      </c>
      <c r="K49" s="6">
        <v>342.79367100000002</v>
      </c>
      <c r="L49" s="3">
        <v>0</v>
      </c>
      <c r="M49" s="3">
        <f t="shared" si="4"/>
        <v>0.38500000000000001</v>
      </c>
      <c r="N49" s="5"/>
      <c r="O49" s="5"/>
      <c r="P49" s="5"/>
      <c r="Q49" s="5"/>
      <c r="R49" s="1"/>
      <c r="S49" s="3" t="s">
        <v>28</v>
      </c>
      <c r="T49" s="3">
        <v>0.9</v>
      </c>
      <c r="U49" s="3">
        <v>0.5</v>
      </c>
      <c r="V49" s="3">
        <v>0.6</v>
      </c>
      <c r="W49" s="3">
        <v>0.3</v>
      </c>
      <c r="X49" s="6">
        <v>321.518372</v>
      </c>
      <c r="Y49" s="3">
        <v>1E-3</v>
      </c>
      <c r="AA49" s="3" t="s">
        <v>28</v>
      </c>
      <c r="AB49" s="3">
        <v>0.18</v>
      </c>
      <c r="AC49" s="6">
        <v>321.518372</v>
      </c>
      <c r="AD49" s="3">
        <v>0</v>
      </c>
      <c r="AE49" s="3">
        <f t="shared" si="5"/>
        <v>0.24</v>
      </c>
      <c r="AF49" s="5"/>
      <c r="AG49" s="5"/>
      <c r="AH49" s="5"/>
      <c r="AI49" s="5"/>
      <c r="AJ49" s="1"/>
      <c r="AK49" s="3" t="s">
        <v>29</v>
      </c>
      <c r="AL49" s="3">
        <v>0.9</v>
      </c>
      <c r="AM49" s="3">
        <v>0.5</v>
      </c>
      <c r="AN49" s="3">
        <v>0.6</v>
      </c>
      <c r="AO49" s="3">
        <v>0.3</v>
      </c>
      <c r="AP49" s="7">
        <v>729.83819600000004</v>
      </c>
      <c r="AQ49" s="3">
        <v>5.0000000000000001E-3</v>
      </c>
      <c r="AS49" s="3" t="s">
        <v>29</v>
      </c>
      <c r="AT49" s="3">
        <v>0.28999999999999998</v>
      </c>
      <c r="AU49" s="6">
        <v>715.428223</v>
      </c>
      <c r="AV49" s="3">
        <v>0</v>
      </c>
      <c r="AW49" s="3">
        <f t="shared" si="6"/>
        <v>0.29499999999999998</v>
      </c>
      <c r="AX49" s="5"/>
      <c r="AY49" s="5"/>
      <c r="AZ49" s="5"/>
      <c r="BA49" s="5"/>
      <c r="BB49" s="1"/>
      <c r="BC49" s="3" t="s">
        <v>29</v>
      </c>
      <c r="BD49" s="3">
        <v>0.9</v>
      </c>
      <c r="BE49" s="3">
        <v>0.5</v>
      </c>
      <c r="BF49" s="3">
        <v>0.6</v>
      </c>
      <c r="BG49" s="3">
        <v>0.3</v>
      </c>
      <c r="BH49" s="6">
        <v>717.11614999999995</v>
      </c>
      <c r="BI49" s="3">
        <v>6.0000000000000001E-3</v>
      </c>
      <c r="BK49" s="3" t="s">
        <v>29</v>
      </c>
      <c r="BL49" s="3">
        <v>0.6</v>
      </c>
      <c r="BM49" s="7">
        <v>813.19787599999995</v>
      </c>
      <c r="BN49" s="3">
        <v>0</v>
      </c>
      <c r="BO49" s="3">
        <f t="shared" si="7"/>
        <v>0.44999999999999996</v>
      </c>
    </row>
    <row r="50" spans="1:67" x14ac:dyDescent="0.3">
      <c r="A50" s="3" t="s">
        <v>30</v>
      </c>
      <c r="B50" s="3">
        <v>0.9</v>
      </c>
      <c r="C50" s="3">
        <v>0.5</v>
      </c>
      <c r="D50" s="3">
        <v>0.6</v>
      </c>
      <c r="E50" s="3">
        <v>0.3</v>
      </c>
      <c r="F50" s="6">
        <v>506.13494900000001</v>
      </c>
      <c r="G50" s="3">
        <v>0</v>
      </c>
      <c r="I50" s="3" t="s">
        <v>30</v>
      </c>
      <c r="J50" s="3">
        <v>0.89</v>
      </c>
      <c r="K50" s="7">
        <v>533.56378199999995</v>
      </c>
      <c r="L50" s="3">
        <v>1E-3</v>
      </c>
      <c r="M50" s="3">
        <f t="shared" si="4"/>
        <v>0.59499999999999997</v>
      </c>
      <c r="N50" s="5"/>
      <c r="O50" s="5"/>
      <c r="P50" s="5"/>
      <c r="Q50" s="5"/>
      <c r="R50" s="1"/>
      <c r="S50" s="3" t="s">
        <v>30</v>
      </c>
      <c r="T50" s="3">
        <v>0.9</v>
      </c>
      <c r="U50" s="3">
        <v>0.5</v>
      </c>
      <c r="V50" s="3">
        <v>0.6</v>
      </c>
      <c r="W50" s="3">
        <v>0.3</v>
      </c>
      <c r="X50" s="6">
        <v>502.02572600000002</v>
      </c>
      <c r="Y50" s="3">
        <v>1E-3</v>
      </c>
      <c r="AA50" s="3" t="s">
        <v>30</v>
      </c>
      <c r="AB50" s="3">
        <v>0.45</v>
      </c>
      <c r="AC50" s="7">
        <v>523.84436000000005</v>
      </c>
      <c r="AD50" s="3">
        <v>0</v>
      </c>
      <c r="AE50" s="3">
        <f t="shared" si="5"/>
        <v>0.375</v>
      </c>
      <c r="AF50" s="5"/>
      <c r="AG50" s="5"/>
      <c r="AH50" s="5"/>
      <c r="AI50" s="5"/>
      <c r="AJ50" s="1"/>
      <c r="AK50" s="3" t="s">
        <v>31</v>
      </c>
      <c r="AL50" s="3">
        <v>0.9</v>
      </c>
      <c r="AM50" s="3">
        <v>0.5</v>
      </c>
      <c r="AN50" s="3">
        <v>0.6</v>
      </c>
      <c r="AO50" s="3">
        <v>0.3</v>
      </c>
      <c r="AP50" s="6">
        <v>834.17846699999996</v>
      </c>
      <c r="AQ50" s="3">
        <v>6.0000000000000001E-3</v>
      </c>
      <c r="AS50" s="3" t="s">
        <v>31</v>
      </c>
      <c r="AT50" s="3">
        <v>0.81</v>
      </c>
      <c r="AU50" s="7">
        <v>1067.112793</v>
      </c>
      <c r="AV50" s="3">
        <v>1E-3</v>
      </c>
      <c r="AW50" s="3">
        <f t="shared" si="6"/>
        <v>0.55500000000000005</v>
      </c>
      <c r="AX50" s="5"/>
      <c r="AY50" s="5"/>
      <c r="AZ50" s="5"/>
      <c r="BA50" s="5"/>
      <c r="BB50" s="1"/>
      <c r="BC50" s="3" t="s">
        <v>31</v>
      </c>
      <c r="BD50" s="3">
        <v>0.9</v>
      </c>
      <c r="BE50" s="3">
        <v>0.5</v>
      </c>
      <c r="BF50" s="3">
        <v>0.6</v>
      </c>
      <c r="BG50" s="3">
        <v>0.3</v>
      </c>
      <c r="BH50" s="6">
        <v>823.67352300000005</v>
      </c>
      <c r="BI50" s="3">
        <v>6.0000000000000001E-3</v>
      </c>
      <c r="BK50" s="3" t="s">
        <v>31</v>
      </c>
      <c r="BL50" s="3">
        <v>0.34</v>
      </c>
      <c r="BM50" s="7">
        <v>845.05993699999999</v>
      </c>
      <c r="BN50" s="3">
        <v>1E-3</v>
      </c>
      <c r="BO50" s="3">
        <f t="shared" si="7"/>
        <v>0.32</v>
      </c>
    </row>
    <row r="51" spans="1:67" x14ac:dyDescent="0.3">
      <c r="A51" s="3" t="s">
        <v>32</v>
      </c>
      <c r="B51" s="3">
        <v>0.9</v>
      </c>
      <c r="C51" s="3">
        <v>0.5</v>
      </c>
      <c r="D51" s="3">
        <v>0.6</v>
      </c>
      <c r="E51" s="3">
        <v>0.3</v>
      </c>
      <c r="F51" s="6">
        <v>472.66668700000002</v>
      </c>
      <c r="G51" s="3">
        <v>1E-3</v>
      </c>
      <c r="I51" s="3" t="s">
        <v>32</v>
      </c>
      <c r="J51" s="3">
        <v>0.69</v>
      </c>
      <c r="K51" s="7">
        <v>474.9776</v>
      </c>
      <c r="L51" s="3">
        <v>0</v>
      </c>
      <c r="M51" s="3">
        <f t="shared" si="4"/>
        <v>0.495</v>
      </c>
      <c r="N51" s="5"/>
      <c r="O51" s="5"/>
      <c r="P51" s="5"/>
      <c r="Q51" s="5"/>
      <c r="R51" s="1"/>
      <c r="S51" s="3" t="s">
        <v>32</v>
      </c>
      <c r="T51" s="3">
        <v>0.9</v>
      </c>
      <c r="U51" s="3">
        <v>0.5</v>
      </c>
      <c r="V51" s="3">
        <v>0.6</v>
      </c>
      <c r="W51" s="3">
        <v>0.3</v>
      </c>
      <c r="X51" s="7">
        <v>448.07614100000001</v>
      </c>
      <c r="Y51" s="3">
        <v>1E-3</v>
      </c>
      <c r="AA51" s="3" t="s">
        <v>32</v>
      </c>
      <c r="AB51" s="3">
        <v>0.81</v>
      </c>
      <c r="AC51" s="6">
        <v>446.42327899999998</v>
      </c>
      <c r="AD51" s="3">
        <v>0</v>
      </c>
      <c r="AE51" s="3">
        <f t="shared" si="5"/>
        <v>0.55500000000000005</v>
      </c>
      <c r="AF51" s="5"/>
      <c r="AG51" s="5"/>
      <c r="AH51" s="5"/>
      <c r="AI51" s="5"/>
      <c r="AJ51" s="1"/>
      <c r="AK51" s="3" t="s">
        <v>33</v>
      </c>
      <c r="AL51" s="3">
        <v>0.9</v>
      </c>
      <c r="AM51" s="3">
        <v>0.5</v>
      </c>
      <c r="AN51" s="3">
        <v>0.6</v>
      </c>
      <c r="AO51" s="3">
        <v>0.3</v>
      </c>
      <c r="AP51" s="7">
        <v>788.60955799999999</v>
      </c>
      <c r="AQ51" s="3">
        <v>6.0000000000000001E-3</v>
      </c>
      <c r="AS51" s="3" t="s">
        <v>33</v>
      </c>
      <c r="AT51" s="3">
        <v>0.01</v>
      </c>
      <c r="AU51" s="6">
        <v>709.56512499999997</v>
      </c>
      <c r="AV51" s="3">
        <v>0</v>
      </c>
      <c r="AW51" s="3">
        <f t="shared" si="6"/>
        <v>0.155</v>
      </c>
      <c r="AX51" s="5"/>
      <c r="AY51" s="5"/>
      <c r="AZ51" s="5"/>
      <c r="BA51" s="5"/>
      <c r="BB51" s="1"/>
      <c r="BC51" s="3" t="s">
        <v>33</v>
      </c>
      <c r="BD51" s="3">
        <v>0.9</v>
      </c>
      <c r="BE51" s="3">
        <v>0.5</v>
      </c>
      <c r="BF51" s="3">
        <v>0.6</v>
      </c>
      <c r="BG51" s="3">
        <v>0.3</v>
      </c>
      <c r="BH51" s="6">
        <v>737.20281999999997</v>
      </c>
      <c r="BI51" s="3">
        <v>7.0000000000000001E-3</v>
      </c>
      <c r="BK51" s="3" t="s">
        <v>33</v>
      </c>
      <c r="BL51" s="3">
        <v>0.49</v>
      </c>
      <c r="BM51" s="7">
        <v>888.55114700000001</v>
      </c>
      <c r="BN51" s="3">
        <v>0</v>
      </c>
      <c r="BO51" s="3">
        <f t="shared" si="7"/>
        <v>0.39500000000000002</v>
      </c>
    </row>
    <row r="52" spans="1:67" x14ac:dyDescent="0.3">
      <c r="A52" s="3" t="s">
        <v>34</v>
      </c>
      <c r="B52" s="3">
        <v>0.9</v>
      </c>
      <c r="C52" s="3">
        <v>0.5</v>
      </c>
      <c r="D52" s="3">
        <v>0.6</v>
      </c>
      <c r="E52" s="3">
        <v>0.3</v>
      </c>
      <c r="F52" s="6">
        <v>410.317566</v>
      </c>
      <c r="G52" s="3">
        <v>2E-3</v>
      </c>
      <c r="I52" s="3" t="s">
        <v>34</v>
      </c>
      <c r="J52" s="3">
        <v>0.31</v>
      </c>
      <c r="K52" s="8">
        <v>410.84381100000002</v>
      </c>
      <c r="L52" s="3">
        <v>0</v>
      </c>
      <c r="M52" s="3">
        <f t="shared" si="4"/>
        <v>0.30499999999999999</v>
      </c>
      <c r="N52" s="5"/>
      <c r="O52" s="5"/>
      <c r="P52" s="5"/>
      <c r="Q52" s="5"/>
      <c r="R52" s="1"/>
      <c r="S52" s="3" t="s">
        <v>34</v>
      </c>
      <c r="T52" s="3">
        <v>0.9</v>
      </c>
      <c r="U52" s="3">
        <v>0.5</v>
      </c>
      <c r="V52" s="3">
        <v>0.6</v>
      </c>
      <c r="W52" s="3">
        <v>0.3</v>
      </c>
      <c r="X52" s="6">
        <v>401.89041099999997</v>
      </c>
      <c r="Y52" s="3">
        <v>1E-3</v>
      </c>
      <c r="AA52" s="3" t="s">
        <v>34</v>
      </c>
      <c r="AB52" s="3">
        <v>7.0000000000000007E-2</v>
      </c>
      <c r="AC52" s="7">
        <v>407.95529199999999</v>
      </c>
      <c r="AD52" s="3">
        <v>0</v>
      </c>
      <c r="AE52" s="3">
        <f t="shared" si="5"/>
        <v>0.185</v>
      </c>
      <c r="AF52" s="5"/>
      <c r="AG52" s="5"/>
      <c r="AH52" s="5"/>
      <c r="AI52" s="5"/>
      <c r="AJ52" s="1"/>
      <c r="AK52" s="3" t="s">
        <v>35</v>
      </c>
      <c r="AL52" s="3">
        <v>0.9</v>
      </c>
      <c r="AM52" s="3">
        <v>0.5</v>
      </c>
      <c r="AN52" s="3">
        <v>0.6</v>
      </c>
      <c r="AO52" s="3">
        <v>0.3</v>
      </c>
      <c r="AP52" s="7">
        <v>771.27685499999995</v>
      </c>
      <c r="AQ52" s="3">
        <v>5.0000000000000001E-3</v>
      </c>
      <c r="AS52" s="3" t="s">
        <v>35</v>
      </c>
      <c r="AT52" s="3">
        <v>0.26</v>
      </c>
      <c r="AU52" s="6">
        <v>731.769409</v>
      </c>
      <c r="AV52" s="3">
        <v>1E-3</v>
      </c>
      <c r="AW52" s="3">
        <f t="shared" si="6"/>
        <v>0.28000000000000003</v>
      </c>
      <c r="AX52" s="5"/>
      <c r="AY52" s="5"/>
      <c r="AZ52" s="5"/>
      <c r="BA52" s="5"/>
      <c r="BB52" s="1"/>
      <c r="BC52" s="3" t="s">
        <v>35</v>
      </c>
      <c r="BD52" s="3">
        <v>0.9</v>
      </c>
      <c r="BE52" s="3">
        <v>0.5</v>
      </c>
      <c r="BF52" s="3">
        <v>0.6</v>
      </c>
      <c r="BG52" s="3">
        <v>0.3</v>
      </c>
      <c r="BH52" s="7">
        <v>770.25097700000003</v>
      </c>
      <c r="BI52" s="3">
        <v>5.0000000000000001E-3</v>
      </c>
      <c r="BK52" s="3" t="s">
        <v>35</v>
      </c>
      <c r="BL52" s="3">
        <v>0.14000000000000001</v>
      </c>
      <c r="BM52" s="6">
        <v>699.38867200000004</v>
      </c>
      <c r="BN52" s="3">
        <v>1E-3</v>
      </c>
      <c r="BO52" s="3">
        <f t="shared" si="7"/>
        <v>0.22</v>
      </c>
    </row>
    <row r="53" spans="1:67" x14ac:dyDescent="0.3">
      <c r="A53" s="3" t="s">
        <v>36</v>
      </c>
      <c r="B53" s="3">
        <v>0.9</v>
      </c>
      <c r="C53" s="3">
        <v>0.5</v>
      </c>
      <c r="D53" s="3">
        <v>0.6</v>
      </c>
      <c r="E53" s="3">
        <v>0.3</v>
      </c>
      <c r="F53" s="7">
        <v>518.33227499999998</v>
      </c>
      <c r="G53" s="3">
        <v>1E-3</v>
      </c>
      <c r="I53" s="3" t="s">
        <v>36</v>
      </c>
      <c r="J53" s="3">
        <v>0.26</v>
      </c>
      <c r="K53" s="6">
        <v>514.55096400000002</v>
      </c>
      <c r="L53" s="3">
        <v>0</v>
      </c>
      <c r="M53" s="3">
        <f t="shared" si="4"/>
        <v>0.28000000000000003</v>
      </c>
      <c r="N53" s="5"/>
      <c r="O53" s="5"/>
      <c r="P53" s="5"/>
      <c r="Q53" s="5"/>
      <c r="R53" s="1"/>
      <c r="S53" s="3" t="s">
        <v>36</v>
      </c>
      <c r="T53" s="3">
        <v>0.9</v>
      </c>
      <c r="U53" s="3">
        <v>0.5</v>
      </c>
      <c r="V53" s="3">
        <v>0.6</v>
      </c>
      <c r="W53" s="3">
        <v>0.3</v>
      </c>
      <c r="X53" s="6">
        <v>499.63275099999998</v>
      </c>
      <c r="Y53" s="3">
        <v>1E-3</v>
      </c>
      <c r="AA53" s="3" t="s">
        <v>36</v>
      </c>
      <c r="AB53" s="3">
        <v>0.25</v>
      </c>
      <c r="AC53" s="7">
        <v>504.280914</v>
      </c>
      <c r="AD53" s="3">
        <v>0</v>
      </c>
      <c r="AE53" s="3">
        <f t="shared" si="5"/>
        <v>0.27500000000000002</v>
      </c>
      <c r="AF53" s="5"/>
      <c r="AG53" s="5"/>
      <c r="AH53" s="5"/>
      <c r="AI53" s="5"/>
      <c r="AJ53" s="1"/>
      <c r="AK53" s="3" t="s">
        <v>37</v>
      </c>
      <c r="AL53" s="3">
        <v>0.9</v>
      </c>
      <c r="AM53" s="3">
        <v>0.5</v>
      </c>
      <c r="AN53" s="3">
        <v>0.6</v>
      </c>
      <c r="AO53" s="3">
        <v>0.3</v>
      </c>
      <c r="AP53" s="7">
        <v>773.38836700000002</v>
      </c>
      <c r="AQ53" s="3">
        <v>6.0000000000000001E-3</v>
      </c>
      <c r="AS53" s="3" t="s">
        <v>37</v>
      </c>
      <c r="AT53" s="3">
        <v>0</v>
      </c>
      <c r="AU53" s="6">
        <v>770.54382299999997</v>
      </c>
      <c r="AV53" s="3">
        <v>0</v>
      </c>
      <c r="AW53" s="3">
        <f t="shared" si="6"/>
        <v>0.15</v>
      </c>
      <c r="AX53" s="5"/>
      <c r="AY53" s="5"/>
      <c r="AZ53" s="5"/>
      <c r="BA53" s="5"/>
      <c r="BB53" s="1"/>
      <c r="BC53" s="3" t="s">
        <v>37</v>
      </c>
      <c r="BD53" s="3">
        <v>0.9</v>
      </c>
      <c r="BE53" s="3">
        <v>0.5</v>
      </c>
      <c r="BF53" s="3">
        <v>0.6</v>
      </c>
      <c r="BG53" s="3">
        <v>0.3</v>
      </c>
      <c r="BH53" s="6">
        <v>767.92303500000003</v>
      </c>
      <c r="BI53" s="3">
        <v>5.0000000000000001E-3</v>
      </c>
      <c r="BK53" s="3" t="s">
        <v>37</v>
      </c>
      <c r="BL53" s="3">
        <v>0.61</v>
      </c>
      <c r="BM53" s="7">
        <v>892.53021200000001</v>
      </c>
      <c r="BN53" s="3">
        <v>0</v>
      </c>
      <c r="BO53" s="3">
        <f t="shared" si="7"/>
        <v>0.45499999999999996</v>
      </c>
    </row>
    <row r="54" spans="1:67" x14ac:dyDescent="0.3">
      <c r="A54" s="3" t="s">
        <v>38</v>
      </c>
      <c r="B54" s="3">
        <v>0.9</v>
      </c>
      <c r="C54" s="3">
        <v>0.5</v>
      </c>
      <c r="D54" s="3">
        <v>0.6</v>
      </c>
      <c r="E54" s="3">
        <v>0.3</v>
      </c>
      <c r="F54" s="6">
        <v>434.67450000000002</v>
      </c>
      <c r="G54" s="3">
        <v>1E-3</v>
      </c>
      <c r="I54" s="3" t="s">
        <v>38</v>
      </c>
      <c r="J54" s="3">
        <v>0.38</v>
      </c>
      <c r="K54" s="7">
        <v>455.71725500000002</v>
      </c>
      <c r="L54" s="3">
        <v>0</v>
      </c>
      <c r="M54" s="3">
        <f t="shared" si="4"/>
        <v>0.33999999999999997</v>
      </c>
      <c r="N54" s="5"/>
      <c r="O54" s="5"/>
      <c r="P54" s="5"/>
      <c r="Q54" s="5"/>
      <c r="R54" s="1"/>
      <c r="S54" s="3" t="s">
        <v>38</v>
      </c>
      <c r="T54" s="3">
        <v>0.9</v>
      </c>
      <c r="U54" s="3">
        <v>0.5</v>
      </c>
      <c r="V54" s="3">
        <v>0.6</v>
      </c>
      <c r="W54" s="3">
        <v>0.3</v>
      </c>
      <c r="X54" s="6">
        <v>438.17889400000001</v>
      </c>
      <c r="Y54" s="3">
        <v>1E-3</v>
      </c>
      <c r="AA54" s="3" t="s">
        <v>38</v>
      </c>
      <c r="AB54" s="3">
        <v>0.89</v>
      </c>
      <c r="AC54" s="7">
        <v>462.00744600000002</v>
      </c>
      <c r="AD54" s="3">
        <v>0</v>
      </c>
      <c r="AE54" s="3">
        <f t="shared" si="5"/>
        <v>0.59499999999999997</v>
      </c>
      <c r="AF54" s="5"/>
      <c r="AG54" s="5"/>
      <c r="AH54" s="5"/>
      <c r="AI54" s="5"/>
      <c r="AJ54" s="1"/>
      <c r="AK54" s="3" t="s">
        <v>39</v>
      </c>
      <c r="AL54" s="3">
        <v>0.9</v>
      </c>
      <c r="AM54" s="3">
        <v>0.5</v>
      </c>
      <c r="AN54" s="3">
        <v>0.6</v>
      </c>
      <c r="AO54" s="3">
        <v>0.3</v>
      </c>
      <c r="AP54" s="6">
        <v>775.09356700000001</v>
      </c>
      <c r="AQ54" s="3">
        <v>4.0000000000000001E-3</v>
      </c>
      <c r="AS54" s="3" t="s">
        <v>39</v>
      </c>
      <c r="AT54" s="3">
        <v>0.33</v>
      </c>
      <c r="AU54" s="7">
        <v>793.01867700000003</v>
      </c>
      <c r="AV54" s="3">
        <v>0</v>
      </c>
      <c r="AW54" s="3">
        <f t="shared" si="6"/>
        <v>0.315</v>
      </c>
      <c r="AX54" s="5"/>
      <c r="AY54" s="5"/>
      <c r="AZ54" s="5"/>
      <c r="BA54" s="5"/>
      <c r="BB54" s="1"/>
      <c r="BC54" s="3" t="s">
        <v>39</v>
      </c>
      <c r="BD54" s="3">
        <v>0.9</v>
      </c>
      <c r="BE54" s="3">
        <v>0.5</v>
      </c>
      <c r="BF54" s="3">
        <v>0.6</v>
      </c>
      <c r="BG54" s="3">
        <v>0.3</v>
      </c>
      <c r="BH54" s="6">
        <v>764.49444600000004</v>
      </c>
      <c r="BI54" s="3">
        <v>6.0000000000000001E-3</v>
      </c>
      <c r="BK54" s="3" t="s">
        <v>39</v>
      </c>
      <c r="BL54" s="3">
        <v>0.69</v>
      </c>
      <c r="BM54" s="7">
        <v>953.97723399999995</v>
      </c>
      <c r="BN54" s="3">
        <v>1E-3</v>
      </c>
      <c r="BO54" s="3">
        <f t="shared" si="7"/>
        <v>0.495</v>
      </c>
    </row>
    <row r="55" spans="1:67" x14ac:dyDescent="0.3">
      <c r="A55" s="3" t="s">
        <v>40</v>
      </c>
      <c r="B55" s="3">
        <v>0.9</v>
      </c>
      <c r="C55" s="3">
        <v>0.5</v>
      </c>
      <c r="D55" s="3">
        <v>0.6</v>
      </c>
      <c r="E55" s="3">
        <v>0.3</v>
      </c>
      <c r="F55" s="6">
        <v>402.25769000000003</v>
      </c>
      <c r="G55" s="3">
        <v>1E-3</v>
      </c>
      <c r="I55" s="3" t="s">
        <v>40</v>
      </c>
      <c r="J55" s="3">
        <v>0.64</v>
      </c>
      <c r="K55" s="7">
        <v>403.875</v>
      </c>
      <c r="L55" s="3">
        <v>0</v>
      </c>
      <c r="M55" s="3">
        <f t="shared" si="4"/>
        <v>0.47</v>
      </c>
      <c r="N55" s="5"/>
      <c r="O55" s="5"/>
      <c r="P55" s="5"/>
      <c r="Q55" s="5"/>
      <c r="R55" s="1"/>
      <c r="S55" s="3" t="s">
        <v>40</v>
      </c>
      <c r="T55" s="3">
        <v>0.9</v>
      </c>
      <c r="U55" s="3">
        <v>0.5</v>
      </c>
      <c r="V55" s="3">
        <v>0.6</v>
      </c>
      <c r="W55" s="3">
        <v>0.3</v>
      </c>
      <c r="X55" s="6">
        <v>389.52652</v>
      </c>
      <c r="Y55" s="3">
        <v>0</v>
      </c>
      <c r="AA55" s="3" t="s">
        <v>40</v>
      </c>
      <c r="AB55" s="3">
        <v>0.56999999999999995</v>
      </c>
      <c r="AC55" s="7">
        <v>397.21127300000001</v>
      </c>
      <c r="AD55" s="3">
        <v>0</v>
      </c>
      <c r="AE55" s="3">
        <f t="shared" si="5"/>
        <v>0.43499999999999994</v>
      </c>
      <c r="AF55" s="5"/>
      <c r="AG55" s="5"/>
      <c r="AH55" s="5"/>
      <c r="AI55" s="5"/>
      <c r="AJ55" s="1"/>
      <c r="AK55" s="3" t="s">
        <v>41</v>
      </c>
      <c r="AL55" s="3">
        <v>0.9</v>
      </c>
      <c r="AM55" s="3">
        <v>0.5</v>
      </c>
      <c r="AN55" s="3">
        <v>0.6</v>
      </c>
      <c r="AO55" s="3">
        <v>0.3</v>
      </c>
      <c r="AP55" s="7">
        <v>874.83953899999995</v>
      </c>
      <c r="AQ55" s="3">
        <v>6.0000000000000001E-3</v>
      </c>
      <c r="AS55" s="3" t="s">
        <v>41</v>
      </c>
      <c r="AT55" s="3">
        <v>0.19</v>
      </c>
      <c r="AU55" s="6">
        <v>798.15777600000001</v>
      </c>
      <c r="AV55" s="3">
        <v>1E-3</v>
      </c>
      <c r="AW55" s="3">
        <f t="shared" si="6"/>
        <v>0.245</v>
      </c>
      <c r="AX55" s="5"/>
      <c r="AY55" s="5"/>
      <c r="AZ55" s="5"/>
      <c r="BA55" s="5"/>
      <c r="BB55" s="1"/>
      <c r="BC55" s="3" t="s">
        <v>41</v>
      </c>
      <c r="BD55" s="3">
        <v>0.9</v>
      </c>
      <c r="BE55" s="3">
        <v>0.5</v>
      </c>
      <c r="BF55" s="3">
        <v>0.6</v>
      </c>
      <c r="BG55" s="3">
        <v>0.3</v>
      </c>
      <c r="BH55" s="7">
        <v>860.56756600000006</v>
      </c>
      <c r="BI55" s="3">
        <v>8.0000000000000002E-3</v>
      </c>
      <c r="BK55" s="3" t="s">
        <v>41</v>
      </c>
      <c r="BL55" s="3">
        <v>0.1</v>
      </c>
      <c r="BM55" s="6">
        <v>715.72009300000002</v>
      </c>
      <c r="BN55" s="3">
        <v>1E-3</v>
      </c>
      <c r="BO55" s="3">
        <f t="shared" si="7"/>
        <v>0.2</v>
      </c>
    </row>
    <row r="56" spans="1:67" x14ac:dyDescent="0.3">
      <c r="A56" s="3" t="s">
        <v>42</v>
      </c>
      <c r="B56" s="3">
        <v>0.9</v>
      </c>
      <c r="C56" s="3">
        <v>0.5</v>
      </c>
      <c r="D56" s="3">
        <v>0.6</v>
      </c>
      <c r="E56" s="3">
        <v>0.3</v>
      </c>
      <c r="F56" s="6">
        <v>422.730591</v>
      </c>
      <c r="G56" s="3">
        <v>0</v>
      </c>
      <c r="I56" s="3" t="s">
        <v>42</v>
      </c>
      <c r="J56" s="3">
        <v>0.25</v>
      </c>
      <c r="K56" s="7">
        <v>423.66629</v>
      </c>
      <c r="L56" s="3">
        <v>0</v>
      </c>
      <c r="M56" s="3">
        <f t="shared" si="4"/>
        <v>0.27500000000000002</v>
      </c>
      <c r="N56" s="5"/>
      <c r="O56" s="5"/>
      <c r="P56" s="5"/>
      <c r="Q56" s="5"/>
      <c r="R56" s="1"/>
      <c r="S56" s="3" t="s">
        <v>42</v>
      </c>
      <c r="T56" s="3">
        <v>0.9</v>
      </c>
      <c r="U56" s="3">
        <v>0.5</v>
      </c>
      <c r="V56" s="3">
        <v>0.6</v>
      </c>
      <c r="W56" s="3">
        <v>0.3</v>
      </c>
      <c r="X56" s="6">
        <v>409.86990400000002</v>
      </c>
      <c r="Y56" s="3">
        <v>0</v>
      </c>
      <c r="AA56" s="3" t="s">
        <v>42</v>
      </c>
      <c r="AB56" s="3">
        <v>0.79</v>
      </c>
      <c r="AC56" s="7">
        <v>423.03033399999998</v>
      </c>
      <c r="AD56" s="3">
        <v>0</v>
      </c>
      <c r="AE56" s="3">
        <f t="shared" si="5"/>
        <v>0.54500000000000004</v>
      </c>
      <c r="AF56" s="5"/>
      <c r="AG56" s="5"/>
      <c r="AH56" s="5"/>
      <c r="AI56" s="5"/>
      <c r="AJ56" s="1"/>
      <c r="AK56" s="3" t="s">
        <v>43</v>
      </c>
      <c r="AL56" s="3">
        <v>0.9</v>
      </c>
      <c r="AM56" s="3">
        <v>0.5</v>
      </c>
      <c r="AN56" s="3">
        <v>0.6</v>
      </c>
      <c r="AO56" s="3">
        <v>0.3</v>
      </c>
      <c r="AP56" s="6">
        <v>816.25408900000002</v>
      </c>
      <c r="AQ56" s="3">
        <v>6.0000000000000001E-3</v>
      </c>
      <c r="AS56" s="3" t="s">
        <v>43</v>
      </c>
      <c r="AT56" s="3">
        <v>0.95</v>
      </c>
      <c r="AU56" s="7">
        <v>977.77728300000001</v>
      </c>
      <c r="AV56" s="3">
        <v>1E-3</v>
      </c>
      <c r="AW56" s="3">
        <f t="shared" si="6"/>
        <v>0.625</v>
      </c>
      <c r="AX56" s="5"/>
      <c r="AY56" s="5"/>
      <c r="AZ56" s="5"/>
      <c r="BA56" s="5"/>
      <c r="BB56" s="1"/>
      <c r="BC56" s="3" t="s">
        <v>43</v>
      </c>
      <c r="BD56" s="3">
        <v>0.9</v>
      </c>
      <c r="BE56" s="3">
        <v>0.5</v>
      </c>
      <c r="BF56" s="3">
        <v>0.6</v>
      </c>
      <c r="BG56" s="3">
        <v>0.3</v>
      </c>
      <c r="BH56" s="7">
        <v>777.67456100000004</v>
      </c>
      <c r="BI56" s="3">
        <v>4.0000000000000001E-3</v>
      </c>
      <c r="BK56" s="3" t="s">
        <v>43</v>
      </c>
      <c r="BL56" s="3">
        <v>0.11</v>
      </c>
      <c r="BM56" s="6">
        <v>699.13507100000004</v>
      </c>
      <c r="BN56" s="3">
        <v>0</v>
      </c>
      <c r="BO56" s="3">
        <f t="shared" si="7"/>
        <v>0.20499999999999999</v>
      </c>
    </row>
    <row r="57" spans="1:67" x14ac:dyDescent="0.3">
      <c r="A57" s="3" t="s">
        <v>44</v>
      </c>
      <c r="B57" s="3">
        <v>0.9</v>
      </c>
      <c r="C57" s="3">
        <v>0.5</v>
      </c>
      <c r="D57" s="3">
        <v>0.6</v>
      </c>
      <c r="E57" s="3">
        <v>0.3</v>
      </c>
      <c r="F57" s="6">
        <v>491.69644199999999</v>
      </c>
      <c r="G57" s="3">
        <v>1E-3</v>
      </c>
      <c r="I57" s="3" t="s">
        <v>44</v>
      </c>
      <c r="J57" s="3">
        <v>0.32</v>
      </c>
      <c r="K57" s="7">
        <v>509.34320100000002</v>
      </c>
      <c r="L57" s="3">
        <v>0</v>
      </c>
      <c r="M57" s="3">
        <f t="shared" si="4"/>
        <v>0.31</v>
      </c>
      <c r="N57" s="5"/>
      <c r="O57" s="5"/>
      <c r="P57" s="5"/>
      <c r="Q57" s="5"/>
      <c r="R57" s="1"/>
      <c r="S57" s="3" t="s">
        <v>44</v>
      </c>
      <c r="T57" s="3">
        <v>0.9</v>
      </c>
      <c r="U57" s="3">
        <v>0.5</v>
      </c>
      <c r="V57" s="3">
        <v>0.6</v>
      </c>
      <c r="W57" s="3">
        <v>0.3</v>
      </c>
      <c r="X57" s="7">
        <v>496.55496199999999</v>
      </c>
      <c r="Y57" s="3">
        <v>1E-3</v>
      </c>
      <c r="AA57" s="3" t="s">
        <v>44</v>
      </c>
      <c r="AB57" s="3">
        <v>0.44</v>
      </c>
      <c r="AC57" s="6">
        <v>492.42730699999998</v>
      </c>
      <c r="AD57" s="3">
        <v>0</v>
      </c>
      <c r="AE57" s="3">
        <f t="shared" si="5"/>
        <v>0.37</v>
      </c>
      <c r="AF57" s="5"/>
      <c r="AG57" s="5"/>
      <c r="AH57" s="5"/>
      <c r="AI57" s="5"/>
      <c r="AJ57" s="1"/>
      <c r="AK57" s="3" t="s">
        <v>45</v>
      </c>
      <c r="AL57" s="3">
        <v>0.9</v>
      </c>
      <c r="AM57" s="3">
        <v>0.5</v>
      </c>
      <c r="AN57" s="3">
        <v>0.6</v>
      </c>
      <c r="AO57" s="3">
        <v>0.3</v>
      </c>
      <c r="AP57" s="6">
        <v>842.04296899999997</v>
      </c>
      <c r="AQ57" s="3">
        <v>5.0000000000000001E-3</v>
      </c>
      <c r="AS57" s="3" t="s">
        <v>45</v>
      </c>
      <c r="AT57" s="3">
        <v>0.56000000000000005</v>
      </c>
      <c r="AU57" s="7">
        <v>982.541382</v>
      </c>
      <c r="AV57" s="3">
        <v>1E-3</v>
      </c>
      <c r="AW57" s="3">
        <f t="shared" si="6"/>
        <v>0.43000000000000005</v>
      </c>
      <c r="AX57" s="5"/>
      <c r="AY57" s="5"/>
      <c r="AZ57" s="5"/>
      <c r="BA57" s="5"/>
      <c r="BB57" s="1"/>
      <c r="BC57" s="3" t="s">
        <v>45</v>
      </c>
      <c r="BD57" s="3">
        <v>0.9</v>
      </c>
      <c r="BE57" s="3">
        <v>0.5</v>
      </c>
      <c r="BF57" s="3">
        <v>0.6</v>
      </c>
      <c r="BG57" s="3">
        <v>0.3</v>
      </c>
      <c r="BH57" s="6">
        <v>822.73565699999995</v>
      </c>
      <c r="BI57" s="3">
        <v>5.0000000000000001E-3</v>
      </c>
      <c r="BK57" s="3" t="s">
        <v>45</v>
      </c>
      <c r="BL57" s="3">
        <v>0.43</v>
      </c>
      <c r="BM57" s="7">
        <v>919.81976299999997</v>
      </c>
      <c r="BN57" s="3">
        <v>0</v>
      </c>
      <c r="BO57" s="3">
        <f t="shared" si="7"/>
        <v>0.36499999999999999</v>
      </c>
    </row>
    <row r="58" spans="1:67" x14ac:dyDescent="0.3">
      <c r="A58" s="3" t="s">
        <v>46</v>
      </c>
      <c r="B58" s="3">
        <v>0.9</v>
      </c>
      <c r="C58" s="3">
        <v>0.5</v>
      </c>
      <c r="D58" s="3">
        <v>0.6</v>
      </c>
      <c r="E58" s="3">
        <v>0.3</v>
      </c>
      <c r="F58" s="6">
        <v>478.23291</v>
      </c>
      <c r="G58" s="3">
        <v>2E-3</v>
      </c>
      <c r="I58" s="3" t="s">
        <v>46</v>
      </c>
      <c r="J58" s="3">
        <v>0.98</v>
      </c>
      <c r="K58" s="7">
        <v>499.50018299999999</v>
      </c>
      <c r="L58" s="3">
        <v>0</v>
      </c>
      <c r="M58" s="3">
        <f t="shared" si="4"/>
        <v>0.64</v>
      </c>
      <c r="N58" s="5"/>
      <c r="O58" s="5"/>
      <c r="P58" s="5"/>
      <c r="Q58" s="5"/>
      <c r="R58" s="1"/>
      <c r="S58" s="3" t="s">
        <v>46</v>
      </c>
      <c r="T58" s="3">
        <v>0.9</v>
      </c>
      <c r="U58" s="3">
        <v>0.5</v>
      </c>
      <c r="V58" s="3">
        <v>0.6</v>
      </c>
      <c r="W58" s="3">
        <v>0.3</v>
      </c>
      <c r="X58" s="6">
        <v>472.42095899999998</v>
      </c>
      <c r="Y58" s="3">
        <v>1E-3</v>
      </c>
      <c r="AA58" s="3" t="s">
        <v>46</v>
      </c>
      <c r="AB58" s="3">
        <v>0.62</v>
      </c>
      <c r="AC58" s="7">
        <v>488.26461799999998</v>
      </c>
      <c r="AD58" s="3">
        <v>0</v>
      </c>
      <c r="AE58" s="3">
        <f t="shared" si="5"/>
        <v>0.45999999999999996</v>
      </c>
      <c r="AF58" s="5"/>
      <c r="AG58" s="5"/>
      <c r="AH58" s="5"/>
      <c r="AI58" s="5"/>
      <c r="AJ58" s="1"/>
      <c r="AK58" s="3" t="s">
        <v>47</v>
      </c>
      <c r="AL58" s="3">
        <v>0.9</v>
      </c>
      <c r="AM58" s="3">
        <v>0.5</v>
      </c>
      <c r="AN58" s="3">
        <v>0.6</v>
      </c>
      <c r="AO58" s="3">
        <v>0.3</v>
      </c>
      <c r="AP58" s="7">
        <v>786.24267599999996</v>
      </c>
      <c r="AQ58" s="3">
        <v>5.0000000000000001E-3</v>
      </c>
      <c r="AS58" s="3" t="s">
        <v>47</v>
      </c>
      <c r="AT58" s="3">
        <v>0.11</v>
      </c>
      <c r="AU58" s="6">
        <v>697.70849599999997</v>
      </c>
      <c r="AV58" s="3">
        <v>0</v>
      </c>
      <c r="AW58" s="3">
        <f t="shared" si="6"/>
        <v>0.20499999999999999</v>
      </c>
      <c r="AX58" s="5"/>
      <c r="AY58" s="5"/>
      <c r="AZ58" s="5"/>
      <c r="BA58" s="5"/>
      <c r="BB58" s="1"/>
      <c r="BC58" s="3" t="s">
        <v>47</v>
      </c>
      <c r="BD58" s="3">
        <v>0.9</v>
      </c>
      <c r="BE58" s="3">
        <v>0.5</v>
      </c>
      <c r="BF58" s="3">
        <v>0.6</v>
      </c>
      <c r="BG58" s="3">
        <v>0.3</v>
      </c>
      <c r="BH58" s="6">
        <v>741.52844200000004</v>
      </c>
      <c r="BI58" s="3">
        <v>3.0000000000000001E-3</v>
      </c>
      <c r="BK58" s="3" t="s">
        <v>47</v>
      </c>
      <c r="BL58" s="3">
        <v>0.32</v>
      </c>
      <c r="BM58" s="7">
        <v>761.135986</v>
      </c>
      <c r="BN58" s="3">
        <v>0</v>
      </c>
      <c r="BO58" s="3">
        <f t="shared" si="7"/>
        <v>0.31</v>
      </c>
    </row>
    <row r="59" spans="1:67" x14ac:dyDescent="0.3">
      <c r="A59" s="3" t="s">
        <v>48</v>
      </c>
      <c r="B59" s="3">
        <v>0.9</v>
      </c>
      <c r="C59" s="3">
        <v>0.5</v>
      </c>
      <c r="D59" s="3">
        <v>0.6</v>
      </c>
      <c r="E59" s="3">
        <v>0.3</v>
      </c>
      <c r="F59" s="6">
        <v>453.16906699999998</v>
      </c>
      <c r="G59" s="3">
        <v>1E-3</v>
      </c>
      <c r="I59" s="3" t="s">
        <v>48</v>
      </c>
      <c r="J59" s="3">
        <v>0.72</v>
      </c>
      <c r="K59" s="7">
        <v>470.57900999999998</v>
      </c>
      <c r="L59" s="3">
        <v>0</v>
      </c>
      <c r="M59" s="3">
        <f t="shared" si="4"/>
        <v>0.51</v>
      </c>
      <c r="N59" s="5"/>
      <c r="O59" s="5"/>
      <c r="P59" s="5"/>
      <c r="Q59" s="5"/>
      <c r="R59" s="1"/>
      <c r="S59" s="3" t="s">
        <v>48</v>
      </c>
      <c r="T59" s="3">
        <v>0.9</v>
      </c>
      <c r="U59" s="3">
        <v>0.5</v>
      </c>
      <c r="V59" s="3">
        <v>0.6</v>
      </c>
      <c r="W59" s="3">
        <v>0.3</v>
      </c>
      <c r="X59" s="6">
        <v>435.15716600000002</v>
      </c>
      <c r="Y59" s="3">
        <v>1E-3</v>
      </c>
      <c r="AA59" s="3" t="s">
        <v>48</v>
      </c>
      <c r="AB59" s="3">
        <v>0.44</v>
      </c>
      <c r="AC59" s="6">
        <v>435.15716600000002</v>
      </c>
      <c r="AD59" s="3">
        <v>0</v>
      </c>
      <c r="AE59" s="3">
        <f t="shared" si="5"/>
        <v>0.37</v>
      </c>
      <c r="AF59" s="5"/>
      <c r="AG59" s="5"/>
      <c r="AH59" s="5"/>
      <c r="AI59" s="5"/>
      <c r="AJ59" s="1"/>
      <c r="AK59" s="3" t="s">
        <v>49</v>
      </c>
      <c r="AL59" s="3">
        <v>0.9</v>
      </c>
      <c r="AM59" s="3">
        <v>0.5</v>
      </c>
      <c r="AN59" s="3">
        <v>0.6</v>
      </c>
      <c r="AO59" s="3">
        <v>0.3</v>
      </c>
      <c r="AP59" s="6">
        <v>790.84118699999999</v>
      </c>
      <c r="AQ59" s="3">
        <v>6.0000000000000001E-3</v>
      </c>
      <c r="AS59" s="3" t="s">
        <v>49</v>
      </c>
      <c r="AT59" s="3">
        <v>0.73</v>
      </c>
      <c r="AU59" s="7">
        <v>964.37164299999995</v>
      </c>
      <c r="AV59" s="3">
        <v>1E-3</v>
      </c>
      <c r="AW59" s="3">
        <f t="shared" si="6"/>
        <v>0.51500000000000001</v>
      </c>
      <c r="AX59" s="5"/>
      <c r="AY59" s="5"/>
      <c r="AZ59" s="5"/>
      <c r="BA59" s="5"/>
      <c r="BB59" s="1"/>
      <c r="BC59" s="3" t="s">
        <v>49</v>
      </c>
      <c r="BD59" s="3">
        <v>0.9</v>
      </c>
      <c r="BE59" s="3">
        <v>0.5</v>
      </c>
      <c r="BF59" s="3">
        <v>0.6</v>
      </c>
      <c r="BG59" s="3">
        <v>0.3</v>
      </c>
      <c r="BH59" s="6">
        <v>790.58966099999998</v>
      </c>
      <c r="BI59" s="3">
        <v>3.0000000000000001E-3</v>
      </c>
      <c r="BK59" s="3" t="s">
        <v>49</v>
      </c>
      <c r="BL59" s="3">
        <v>0.68</v>
      </c>
      <c r="BM59" s="7">
        <v>903.99774200000002</v>
      </c>
      <c r="BN59" s="3">
        <v>1E-3</v>
      </c>
      <c r="BO59" s="3">
        <f t="shared" si="7"/>
        <v>0.49</v>
      </c>
    </row>
    <row r="60" spans="1:67" x14ac:dyDescent="0.3">
      <c r="A60" s="3" t="s">
        <v>50</v>
      </c>
      <c r="B60" s="3">
        <v>0.9</v>
      </c>
      <c r="C60" s="3">
        <v>0.5</v>
      </c>
      <c r="D60" s="3">
        <v>0.6</v>
      </c>
      <c r="E60" s="3">
        <v>0.3</v>
      </c>
      <c r="F60" s="6">
        <v>431.25848400000001</v>
      </c>
      <c r="G60" s="3">
        <v>0</v>
      </c>
      <c r="I60" s="3" t="s">
        <v>50</v>
      </c>
      <c r="J60" s="3">
        <v>0.4</v>
      </c>
      <c r="K60" s="7">
        <v>442.93499800000001</v>
      </c>
      <c r="L60" s="3">
        <v>0</v>
      </c>
      <c r="M60" s="3">
        <f t="shared" si="4"/>
        <v>0.35</v>
      </c>
      <c r="N60" s="5"/>
      <c r="O60" s="5"/>
      <c r="P60" s="5"/>
      <c r="Q60" s="5"/>
      <c r="R60" s="1"/>
      <c r="S60" s="3" t="s">
        <v>50</v>
      </c>
      <c r="T60" s="3">
        <v>0.9</v>
      </c>
      <c r="U60" s="3">
        <v>0.5</v>
      </c>
      <c r="V60" s="3">
        <v>0.6</v>
      </c>
      <c r="W60" s="3">
        <v>0.3</v>
      </c>
      <c r="X60" s="6">
        <v>440.176941</v>
      </c>
      <c r="Y60" s="3">
        <v>1E-3</v>
      </c>
      <c r="AA60" s="3" t="s">
        <v>50</v>
      </c>
      <c r="AB60" s="3">
        <v>0.81</v>
      </c>
      <c r="AC60" s="7">
        <v>460.97058099999998</v>
      </c>
      <c r="AD60" s="3">
        <v>0</v>
      </c>
      <c r="AE60" s="3">
        <f t="shared" si="5"/>
        <v>0.55500000000000005</v>
      </c>
      <c r="AF60" s="5"/>
      <c r="AG60" s="5"/>
      <c r="AH60" s="5"/>
      <c r="AI60" s="5"/>
      <c r="AJ60" s="1"/>
      <c r="AK60" s="3" t="s">
        <v>51</v>
      </c>
      <c r="AL60" s="3">
        <v>0.9</v>
      </c>
      <c r="AM60" s="3">
        <v>0.5</v>
      </c>
      <c r="AN60" s="3">
        <v>0.6</v>
      </c>
      <c r="AO60" s="3">
        <v>0.3</v>
      </c>
      <c r="AP60" s="6">
        <v>948.32336399999997</v>
      </c>
      <c r="AQ60" s="3">
        <v>6.0000000000000001E-3</v>
      </c>
      <c r="AS60" s="3" t="s">
        <v>51</v>
      </c>
      <c r="AT60" s="3">
        <v>0.75</v>
      </c>
      <c r="AU60" s="7">
        <v>1154.8929439999999</v>
      </c>
      <c r="AV60" s="3">
        <v>1E-3</v>
      </c>
      <c r="AW60" s="3">
        <f t="shared" si="6"/>
        <v>0.52500000000000002</v>
      </c>
      <c r="AX60" s="5"/>
      <c r="AY60" s="5"/>
      <c r="AZ60" s="5"/>
      <c r="BA60" s="5"/>
      <c r="BB60" s="1"/>
      <c r="BC60" s="3" t="s">
        <v>51</v>
      </c>
      <c r="BD60" s="3">
        <v>0.9</v>
      </c>
      <c r="BE60" s="3">
        <v>0.5</v>
      </c>
      <c r="BF60" s="3">
        <v>0.6</v>
      </c>
      <c r="BG60" s="3">
        <v>0.3</v>
      </c>
      <c r="BH60" s="6">
        <v>992.39739999999995</v>
      </c>
      <c r="BI60" s="3">
        <v>5.0000000000000001E-3</v>
      </c>
      <c r="BK60" s="3" t="s">
        <v>51</v>
      </c>
      <c r="BL60" s="3">
        <v>0.6</v>
      </c>
      <c r="BM60" s="7">
        <v>1087.862183</v>
      </c>
      <c r="BN60" s="3">
        <v>2E-3</v>
      </c>
      <c r="BO60" s="3">
        <f t="shared" si="7"/>
        <v>0.44999999999999996</v>
      </c>
    </row>
    <row r="61" spans="1:67" x14ac:dyDescent="0.3">
      <c r="A61" s="3" t="s">
        <v>52</v>
      </c>
      <c r="B61" s="3">
        <v>0.9</v>
      </c>
      <c r="C61" s="3">
        <v>0.5</v>
      </c>
      <c r="D61" s="3">
        <v>0.6</v>
      </c>
      <c r="E61" s="3">
        <v>0.3</v>
      </c>
      <c r="F61" s="6">
        <v>434.11999500000002</v>
      </c>
      <c r="G61" s="3">
        <v>0</v>
      </c>
      <c r="I61" s="3" t="s">
        <v>52</v>
      </c>
      <c r="J61" s="3">
        <v>0.87</v>
      </c>
      <c r="K61" s="7">
        <v>508.08425899999997</v>
      </c>
      <c r="L61" s="3">
        <v>1E-3</v>
      </c>
      <c r="M61" s="3">
        <f t="shared" si="4"/>
        <v>0.58499999999999996</v>
      </c>
      <c r="N61" s="5"/>
      <c r="O61" s="5"/>
      <c r="P61" s="5"/>
      <c r="Q61" s="5"/>
      <c r="R61" s="1"/>
      <c r="S61" s="3" t="s">
        <v>52</v>
      </c>
      <c r="T61" s="3">
        <v>0.9</v>
      </c>
      <c r="U61" s="3">
        <v>0.5</v>
      </c>
      <c r="V61" s="3">
        <v>0.6</v>
      </c>
      <c r="W61" s="3">
        <v>0.3</v>
      </c>
      <c r="X61" s="6">
        <v>459.364014</v>
      </c>
      <c r="Y61" s="3">
        <v>1E-3</v>
      </c>
      <c r="AA61" s="3" t="s">
        <v>52</v>
      </c>
      <c r="AB61" s="3">
        <v>0.66</v>
      </c>
      <c r="AC61" s="7">
        <v>464.89556900000002</v>
      </c>
      <c r="AD61" s="3">
        <v>0</v>
      </c>
      <c r="AE61" s="3">
        <f t="shared" si="5"/>
        <v>0.48</v>
      </c>
      <c r="AF61" s="5"/>
      <c r="AG61" s="5"/>
      <c r="AH61" s="5"/>
      <c r="AI61" s="5"/>
      <c r="AJ61" s="1"/>
      <c r="AK61" s="3" t="s">
        <v>53</v>
      </c>
      <c r="AL61" s="3">
        <v>0.9</v>
      </c>
      <c r="AM61" s="3">
        <v>0.5</v>
      </c>
      <c r="AN61" s="3">
        <v>0.6</v>
      </c>
      <c r="AO61" s="3">
        <v>0.3</v>
      </c>
      <c r="AP61" s="6">
        <v>957.35632299999997</v>
      </c>
      <c r="AQ61" s="3">
        <v>6.0000000000000001E-3</v>
      </c>
      <c r="AS61" s="3" t="s">
        <v>53</v>
      </c>
      <c r="AT61" s="3">
        <v>0.97</v>
      </c>
      <c r="AU61" s="7">
        <v>1165.8732910000001</v>
      </c>
      <c r="AV61" s="3">
        <v>1E-3</v>
      </c>
      <c r="AW61" s="3">
        <f t="shared" si="6"/>
        <v>0.63500000000000001</v>
      </c>
      <c r="AX61" s="5"/>
      <c r="AY61" s="5"/>
      <c r="AZ61" s="5"/>
      <c r="BA61" s="5"/>
      <c r="BB61" s="1"/>
      <c r="BC61" s="3" t="s">
        <v>53</v>
      </c>
      <c r="BD61" s="3">
        <v>0.9</v>
      </c>
      <c r="BE61" s="3">
        <v>0.5</v>
      </c>
      <c r="BF61" s="3">
        <v>0.6</v>
      </c>
      <c r="BG61" s="3">
        <v>0.3</v>
      </c>
      <c r="BH61" s="6">
        <v>942.66168200000004</v>
      </c>
      <c r="BI61" s="3">
        <v>5.0000000000000001E-3</v>
      </c>
      <c r="BK61" s="3" t="s">
        <v>53</v>
      </c>
      <c r="BL61" s="3">
        <v>0.6</v>
      </c>
      <c r="BM61" s="7">
        <v>1047.1827390000001</v>
      </c>
      <c r="BN61" s="3">
        <v>1E-3</v>
      </c>
      <c r="BO61" s="3">
        <f t="shared" si="7"/>
        <v>0.44999999999999996</v>
      </c>
    </row>
    <row r="62" spans="1:67" x14ac:dyDescent="0.3">
      <c r="A62" s="3" t="s">
        <v>54</v>
      </c>
      <c r="B62" s="3">
        <v>0.9</v>
      </c>
      <c r="C62" s="3">
        <v>0.5</v>
      </c>
      <c r="D62" s="3">
        <v>0.6</v>
      </c>
      <c r="E62" s="3">
        <v>0.3</v>
      </c>
      <c r="F62" s="6">
        <v>542.234375</v>
      </c>
      <c r="G62" s="3">
        <v>0</v>
      </c>
      <c r="I62" s="3" t="s">
        <v>54</v>
      </c>
      <c r="J62" s="3">
        <v>0.33</v>
      </c>
      <c r="K62" s="7">
        <v>545.03643799999998</v>
      </c>
      <c r="L62" s="3">
        <v>0</v>
      </c>
      <c r="M62" s="3">
        <f t="shared" si="4"/>
        <v>0.315</v>
      </c>
      <c r="N62" s="5"/>
      <c r="O62" s="5"/>
      <c r="P62" s="5"/>
      <c r="Q62" s="5"/>
      <c r="R62" s="1"/>
      <c r="S62" s="3" t="s">
        <v>54</v>
      </c>
      <c r="T62" s="3">
        <v>0.9</v>
      </c>
      <c r="U62" s="3">
        <v>0.5</v>
      </c>
      <c r="V62" s="3">
        <v>0.6</v>
      </c>
      <c r="W62" s="3">
        <v>0.3</v>
      </c>
      <c r="X62" s="7">
        <v>545.28924600000005</v>
      </c>
      <c r="Y62" s="3">
        <v>1E-3</v>
      </c>
      <c r="AA62" s="3" t="s">
        <v>54</v>
      </c>
      <c r="AB62" s="3">
        <v>0.76</v>
      </c>
      <c r="AC62" s="6">
        <v>542.06512499999997</v>
      </c>
      <c r="AD62" s="3">
        <v>1E-3</v>
      </c>
      <c r="AE62" s="3">
        <f t="shared" si="5"/>
        <v>0.53</v>
      </c>
      <c r="AF62" s="5"/>
      <c r="AG62" s="5"/>
      <c r="AH62" s="5"/>
      <c r="AI62" s="5"/>
      <c r="AJ62" s="1"/>
      <c r="AK62" s="3" t="s">
        <v>55</v>
      </c>
      <c r="AL62" s="3">
        <v>0.9</v>
      </c>
      <c r="AM62" s="3">
        <v>0.5</v>
      </c>
      <c r="AN62" s="3">
        <v>0.6</v>
      </c>
      <c r="AO62" s="3">
        <v>0.3</v>
      </c>
      <c r="AP62" s="6">
        <v>947.66198699999995</v>
      </c>
      <c r="AQ62" s="3">
        <v>4.0000000000000001E-3</v>
      </c>
      <c r="AS62" s="3" t="s">
        <v>55</v>
      </c>
      <c r="AT62" s="3">
        <v>0.4</v>
      </c>
      <c r="AU62" s="7">
        <v>966.889771</v>
      </c>
      <c r="AV62" s="3">
        <v>1E-3</v>
      </c>
      <c r="AW62" s="3">
        <f t="shared" si="6"/>
        <v>0.35</v>
      </c>
      <c r="AX62" s="5"/>
      <c r="AY62" s="5"/>
      <c r="AZ62" s="5"/>
      <c r="BA62" s="5"/>
      <c r="BB62" s="1"/>
      <c r="BC62" s="3" t="s">
        <v>55</v>
      </c>
      <c r="BD62" s="3">
        <v>0.9</v>
      </c>
      <c r="BE62" s="3">
        <v>0.5</v>
      </c>
      <c r="BF62" s="3">
        <v>0.6</v>
      </c>
      <c r="BG62" s="3">
        <v>0.3</v>
      </c>
      <c r="BH62" s="6">
        <v>914.03625499999998</v>
      </c>
      <c r="BI62" s="3">
        <v>5.0000000000000001E-3</v>
      </c>
      <c r="BK62" s="3" t="s">
        <v>55</v>
      </c>
      <c r="BL62" s="3">
        <v>0.49</v>
      </c>
      <c r="BM62" s="7">
        <v>1020.8573</v>
      </c>
      <c r="BN62" s="3">
        <v>0</v>
      </c>
      <c r="BO62" s="3">
        <f t="shared" si="7"/>
        <v>0.39500000000000002</v>
      </c>
    </row>
    <row r="63" spans="1:67" x14ac:dyDescent="0.3">
      <c r="A63" s="3" t="s">
        <v>56</v>
      </c>
      <c r="B63" s="3">
        <v>0.9</v>
      </c>
      <c r="C63" s="3">
        <v>0.5</v>
      </c>
      <c r="D63" s="3">
        <v>0.6</v>
      </c>
      <c r="E63" s="3">
        <v>0.3</v>
      </c>
      <c r="F63" s="6">
        <v>434.32699600000001</v>
      </c>
      <c r="G63" s="3">
        <v>0</v>
      </c>
      <c r="I63" s="3" t="s">
        <v>56</v>
      </c>
      <c r="J63" s="3">
        <v>0.52</v>
      </c>
      <c r="K63" s="7">
        <v>461.53173800000002</v>
      </c>
      <c r="L63" s="3">
        <v>0</v>
      </c>
      <c r="M63" s="3">
        <f t="shared" si="4"/>
        <v>0.41000000000000003</v>
      </c>
      <c r="N63" s="5"/>
      <c r="O63" s="5"/>
      <c r="P63" s="5"/>
      <c r="Q63" s="5"/>
      <c r="R63" s="1"/>
      <c r="S63" s="3" t="s">
        <v>56</v>
      </c>
      <c r="T63" s="3">
        <v>0.9</v>
      </c>
      <c r="U63" s="3">
        <v>0.5</v>
      </c>
      <c r="V63" s="3">
        <v>0.6</v>
      </c>
      <c r="W63" s="3">
        <v>0.3</v>
      </c>
      <c r="X63" s="6">
        <v>447.51660199999998</v>
      </c>
      <c r="Y63" s="3">
        <v>1E-3</v>
      </c>
      <c r="AA63" s="3" t="s">
        <v>56</v>
      </c>
      <c r="AB63" s="3">
        <v>0.01</v>
      </c>
      <c r="AC63" s="7">
        <v>474.35732999999999</v>
      </c>
      <c r="AD63" s="3">
        <v>0</v>
      </c>
      <c r="AE63" s="3">
        <f t="shared" si="5"/>
        <v>0.155</v>
      </c>
      <c r="AF63" s="5"/>
      <c r="AG63" s="5"/>
      <c r="AH63" s="5"/>
      <c r="AI63" s="5"/>
      <c r="AJ63" s="1"/>
      <c r="AK63" s="3" t="s">
        <v>57</v>
      </c>
      <c r="AL63" s="3">
        <v>0.9</v>
      </c>
      <c r="AM63" s="3">
        <v>0.5</v>
      </c>
      <c r="AN63" s="3">
        <v>0.6</v>
      </c>
      <c r="AO63" s="3">
        <v>0.3</v>
      </c>
      <c r="AP63" s="6">
        <v>921.82952899999998</v>
      </c>
      <c r="AQ63" s="3">
        <v>5.0000000000000001E-3</v>
      </c>
      <c r="AS63" s="3" t="s">
        <v>57</v>
      </c>
      <c r="AT63" s="3">
        <v>0.56000000000000005</v>
      </c>
      <c r="AU63" s="7">
        <v>1044.552124</v>
      </c>
      <c r="AV63" s="3">
        <v>0</v>
      </c>
      <c r="AW63" s="3">
        <f t="shared" si="6"/>
        <v>0.43000000000000005</v>
      </c>
      <c r="AX63" s="5"/>
      <c r="AY63" s="5"/>
      <c r="AZ63" s="5"/>
      <c r="BA63" s="5"/>
      <c r="BB63" s="1"/>
      <c r="BC63" s="3" t="s">
        <v>57</v>
      </c>
      <c r="BD63" s="3">
        <v>0.9</v>
      </c>
      <c r="BE63" s="3">
        <v>0.5</v>
      </c>
      <c r="BF63" s="3">
        <v>0.6</v>
      </c>
      <c r="BG63" s="3">
        <v>0.3</v>
      </c>
      <c r="BH63" s="6">
        <v>923.74011199999995</v>
      </c>
      <c r="BI63" s="3">
        <v>4.0000000000000001E-3</v>
      </c>
      <c r="BK63" s="3" t="s">
        <v>57</v>
      </c>
      <c r="BL63" s="3">
        <v>0.84</v>
      </c>
      <c r="BM63" s="7">
        <v>1127.9608149999999</v>
      </c>
      <c r="BN63" s="3">
        <v>1E-3</v>
      </c>
      <c r="BO63" s="3">
        <f t="shared" si="7"/>
        <v>0.56999999999999995</v>
      </c>
    </row>
    <row r="64" spans="1:67" x14ac:dyDescent="0.3">
      <c r="A64" s="3" t="s">
        <v>58</v>
      </c>
      <c r="B64" s="3">
        <v>0.9</v>
      </c>
      <c r="C64" s="3">
        <v>0.5</v>
      </c>
      <c r="D64" s="3">
        <v>0.6</v>
      </c>
      <c r="E64" s="3">
        <v>0.3</v>
      </c>
      <c r="F64" s="6">
        <v>447.28234900000001</v>
      </c>
      <c r="G64" s="3">
        <v>1E-3</v>
      </c>
      <c r="I64" s="3" t="s">
        <v>58</v>
      </c>
      <c r="J64" s="3">
        <v>0.72</v>
      </c>
      <c r="K64" s="7">
        <v>514.75311299999998</v>
      </c>
      <c r="L64" s="3">
        <v>0</v>
      </c>
      <c r="M64" s="3">
        <f t="shared" si="4"/>
        <v>0.51</v>
      </c>
      <c r="N64" s="5"/>
      <c r="O64" s="5"/>
      <c r="P64" s="5"/>
      <c r="Q64" s="5"/>
      <c r="R64" s="1"/>
      <c r="S64" s="3" t="s">
        <v>58</v>
      </c>
      <c r="T64" s="3">
        <v>0.9</v>
      </c>
      <c r="U64" s="3">
        <v>0.5</v>
      </c>
      <c r="V64" s="3">
        <v>0.6</v>
      </c>
      <c r="W64" s="3">
        <v>0.3</v>
      </c>
      <c r="X64" s="6">
        <v>461.47448700000001</v>
      </c>
      <c r="Y64" s="3">
        <v>1E-3</v>
      </c>
      <c r="AA64" s="3" t="s">
        <v>58</v>
      </c>
      <c r="AB64" s="3">
        <v>0.93</v>
      </c>
      <c r="AC64" s="7">
        <v>536.25988800000005</v>
      </c>
      <c r="AD64" s="3">
        <v>0</v>
      </c>
      <c r="AE64" s="3">
        <f t="shared" si="5"/>
        <v>0.61499999999999999</v>
      </c>
      <c r="AF64" s="5"/>
      <c r="AG64" s="5"/>
      <c r="AH64" s="5"/>
      <c r="AI64" s="5"/>
      <c r="AJ64" s="1"/>
      <c r="AK64" s="3" t="s">
        <v>59</v>
      </c>
      <c r="AL64" s="3">
        <v>0.9</v>
      </c>
      <c r="AM64" s="3">
        <v>0.5</v>
      </c>
      <c r="AN64" s="3">
        <v>0.6</v>
      </c>
      <c r="AO64" s="3">
        <v>0.3</v>
      </c>
      <c r="AP64" s="7">
        <v>852.70361300000002</v>
      </c>
      <c r="AQ64" s="3">
        <v>7.0000000000000001E-3</v>
      </c>
      <c r="AS64" s="3" t="s">
        <v>59</v>
      </c>
      <c r="AT64" s="3">
        <v>0.04</v>
      </c>
      <c r="AU64" s="6">
        <v>749.91693099999998</v>
      </c>
      <c r="AV64" s="3">
        <v>2E-3</v>
      </c>
      <c r="AW64" s="3">
        <f t="shared" si="6"/>
        <v>0.16999999999999998</v>
      </c>
      <c r="AX64" s="5"/>
      <c r="AY64" s="5"/>
      <c r="AZ64" s="5"/>
      <c r="BA64" s="5"/>
      <c r="BB64" s="1"/>
      <c r="BC64" s="3" t="s">
        <v>59</v>
      </c>
      <c r="BD64" s="3">
        <v>0.9</v>
      </c>
      <c r="BE64" s="3">
        <v>0.5</v>
      </c>
      <c r="BF64" s="3">
        <v>0.6</v>
      </c>
      <c r="BG64" s="3">
        <v>0.3</v>
      </c>
      <c r="BH64" s="7">
        <v>838.71032700000001</v>
      </c>
      <c r="BI64" s="3">
        <v>7.0000000000000001E-3</v>
      </c>
      <c r="BK64" s="3" t="s">
        <v>59</v>
      </c>
      <c r="BL64" s="3">
        <v>0.09</v>
      </c>
      <c r="BM64" s="6">
        <v>744.79168700000002</v>
      </c>
      <c r="BN64" s="3">
        <v>0</v>
      </c>
      <c r="BO64" s="3">
        <f t="shared" si="7"/>
        <v>0.19500000000000001</v>
      </c>
    </row>
    <row r="65" spans="1:71" x14ac:dyDescent="0.3">
      <c r="A65" s="3" t="s">
        <v>60</v>
      </c>
      <c r="B65" s="3">
        <v>0.9</v>
      </c>
      <c r="C65" s="3">
        <v>0.5</v>
      </c>
      <c r="D65" s="3">
        <v>0.6</v>
      </c>
      <c r="E65" s="3">
        <v>0.3</v>
      </c>
      <c r="F65" s="6">
        <v>569.20593299999996</v>
      </c>
      <c r="G65" s="3">
        <v>1E-3</v>
      </c>
      <c r="I65" s="3" t="s">
        <v>60</v>
      </c>
      <c r="J65" s="3">
        <v>0.09</v>
      </c>
      <c r="K65" s="7">
        <v>619.15118399999994</v>
      </c>
      <c r="L65" s="3">
        <v>1E-3</v>
      </c>
      <c r="M65" s="3">
        <f t="shared" si="4"/>
        <v>0.19500000000000001</v>
      </c>
      <c r="N65" s="5"/>
      <c r="O65" s="5"/>
      <c r="P65" s="5"/>
      <c r="Q65" s="5"/>
      <c r="R65" s="1"/>
      <c r="S65" s="3" t="s">
        <v>60</v>
      </c>
      <c r="T65" s="3">
        <v>0.9</v>
      </c>
      <c r="U65" s="3">
        <v>0.5</v>
      </c>
      <c r="V65" s="3">
        <v>0.6</v>
      </c>
      <c r="W65" s="3">
        <v>0.3</v>
      </c>
      <c r="X65" s="6">
        <v>569.09258999999997</v>
      </c>
      <c r="Y65" s="3">
        <v>1E-3</v>
      </c>
      <c r="AA65" s="3" t="s">
        <v>60</v>
      </c>
      <c r="AB65" s="3">
        <v>0.82</v>
      </c>
      <c r="AC65" s="7">
        <v>596.72552499999995</v>
      </c>
      <c r="AD65" s="3">
        <v>0</v>
      </c>
      <c r="AE65" s="3">
        <f t="shared" si="5"/>
        <v>0.55999999999999994</v>
      </c>
      <c r="AF65" s="5"/>
      <c r="AG65" s="5"/>
      <c r="AH65" s="5"/>
      <c r="AI65" s="5"/>
      <c r="AJ65" s="1"/>
      <c r="AK65" s="3" t="s">
        <v>61</v>
      </c>
      <c r="AL65" s="3">
        <v>0.9</v>
      </c>
      <c r="AM65" s="3">
        <v>0.5</v>
      </c>
      <c r="AN65" s="3">
        <v>0.6</v>
      </c>
      <c r="AO65" s="3">
        <v>0.3</v>
      </c>
      <c r="AP65" s="6">
        <v>979.62512200000003</v>
      </c>
      <c r="AQ65" s="3">
        <v>7.0000000000000001E-3</v>
      </c>
      <c r="AS65" s="3" t="s">
        <v>61</v>
      </c>
      <c r="AT65" s="3">
        <v>0.93</v>
      </c>
      <c r="AU65" s="7">
        <v>1211.906616</v>
      </c>
      <c r="AV65" s="3">
        <v>1E-3</v>
      </c>
      <c r="AW65" s="3">
        <f t="shared" si="6"/>
        <v>0.61499999999999999</v>
      </c>
      <c r="AX65" s="5"/>
      <c r="AY65" s="5"/>
      <c r="AZ65" s="5"/>
      <c r="BA65" s="5"/>
      <c r="BB65" s="1"/>
      <c r="BC65" s="3" t="s">
        <v>61</v>
      </c>
      <c r="BD65" s="3">
        <v>0.9</v>
      </c>
      <c r="BE65" s="3">
        <v>0.5</v>
      </c>
      <c r="BF65" s="3">
        <v>0.6</v>
      </c>
      <c r="BG65" s="3">
        <v>0.3</v>
      </c>
      <c r="BH65" s="7">
        <v>972.04492200000004</v>
      </c>
      <c r="BI65" s="3">
        <v>7.0000000000000001E-3</v>
      </c>
      <c r="BK65" s="3" t="s">
        <v>61</v>
      </c>
      <c r="BL65" s="3">
        <v>0.28999999999999998</v>
      </c>
      <c r="BM65" s="6">
        <v>964.94537400000002</v>
      </c>
      <c r="BN65" s="3">
        <v>0</v>
      </c>
      <c r="BO65" s="3">
        <f t="shared" si="7"/>
        <v>0.29499999999999998</v>
      </c>
    </row>
    <row r="66" spans="1:71" x14ac:dyDescent="0.3">
      <c r="A66" s="3" t="s">
        <v>62</v>
      </c>
      <c r="B66" s="3">
        <v>0.9</v>
      </c>
      <c r="C66" s="3">
        <v>0.5</v>
      </c>
      <c r="D66" s="3">
        <v>0.6</v>
      </c>
      <c r="E66" s="3">
        <v>0.3</v>
      </c>
      <c r="F66" s="6">
        <v>396.86749300000002</v>
      </c>
      <c r="G66" s="3">
        <v>0</v>
      </c>
      <c r="I66" s="3" t="s">
        <v>62</v>
      </c>
      <c r="J66" s="3">
        <v>0.88</v>
      </c>
      <c r="K66" s="7">
        <v>403.64141799999999</v>
      </c>
      <c r="L66" s="3">
        <v>0</v>
      </c>
      <c r="M66" s="3">
        <f t="shared" si="4"/>
        <v>0.59</v>
      </c>
      <c r="N66" s="5"/>
      <c r="O66" s="5"/>
      <c r="P66" s="5"/>
      <c r="Q66" s="5"/>
      <c r="R66" s="1"/>
      <c r="S66" s="3" t="s">
        <v>62</v>
      </c>
      <c r="T66" s="3">
        <v>0.9</v>
      </c>
      <c r="U66" s="3">
        <v>0.5</v>
      </c>
      <c r="V66" s="3">
        <v>0.6</v>
      </c>
      <c r="W66" s="3">
        <v>0.3</v>
      </c>
      <c r="X66" s="7">
        <v>393.36050399999999</v>
      </c>
      <c r="Y66" s="3">
        <v>0</v>
      </c>
      <c r="AA66" s="3" t="s">
        <v>62</v>
      </c>
      <c r="AB66" s="3">
        <v>0.45</v>
      </c>
      <c r="AC66" s="6">
        <v>386.23226899999997</v>
      </c>
      <c r="AD66" s="3">
        <v>0</v>
      </c>
      <c r="AE66" s="3">
        <f t="shared" si="5"/>
        <v>0.375</v>
      </c>
      <c r="AF66" s="5"/>
      <c r="AG66" s="5"/>
      <c r="AH66" s="5"/>
      <c r="AI66" s="5"/>
      <c r="AJ66" s="1"/>
      <c r="AK66" s="3" t="s">
        <v>63</v>
      </c>
      <c r="AL66" s="3">
        <v>0.9</v>
      </c>
      <c r="AM66" s="3">
        <v>0.5</v>
      </c>
      <c r="AN66" s="3">
        <v>0.6</v>
      </c>
      <c r="AO66" s="3">
        <v>0.3</v>
      </c>
      <c r="AP66" s="6">
        <v>948.26293899999996</v>
      </c>
      <c r="AQ66" s="3">
        <v>5.0000000000000001E-3</v>
      </c>
      <c r="AS66" s="3" t="s">
        <v>63</v>
      </c>
      <c r="AT66" s="3">
        <v>0.85</v>
      </c>
      <c r="AU66" s="7">
        <v>1126.059082</v>
      </c>
      <c r="AV66" s="3">
        <v>1E-3</v>
      </c>
      <c r="AW66" s="3">
        <f t="shared" si="6"/>
        <v>0.57499999999999996</v>
      </c>
      <c r="AX66" s="5"/>
      <c r="AY66" s="5"/>
      <c r="AZ66" s="5"/>
      <c r="BA66" s="5"/>
      <c r="BB66" s="1"/>
      <c r="BC66" s="3" t="s">
        <v>63</v>
      </c>
      <c r="BD66" s="3">
        <v>0.9</v>
      </c>
      <c r="BE66" s="3">
        <v>0.5</v>
      </c>
      <c r="BF66" s="3">
        <v>0.6</v>
      </c>
      <c r="BG66" s="3">
        <v>0.3</v>
      </c>
      <c r="BH66" s="6">
        <v>962.67266800000004</v>
      </c>
      <c r="BI66" s="3">
        <v>4.0000000000000001E-3</v>
      </c>
      <c r="BK66" s="3" t="s">
        <v>63</v>
      </c>
      <c r="BL66" s="3">
        <v>0.74</v>
      </c>
      <c r="BM66" s="7">
        <v>1095.369629</v>
      </c>
      <c r="BN66" s="3">
        <v>0</v>
      </c>
      <c r="BO66" s="3">
        <f t="shared" si="7"/>
        <v>0.52</v>
      </c>
    </row>
    <row r="67" spans="1:71" x14ac:dyDescent="0.3">
      <c r="A67" s="3" t="s">
        <v>64</v>
      </c>
      <c r="B67" s="3">
        <v>0.9</v>
      </c>
      <c r="C67" s="3">
        <v>0.5</v>
      </c>
      <c r="D67" s="3">
        <v>0.6</v>
      </c>
      <c r="E67" s="3">
        <v>0.3</v>
      </c>
      <c r="F67" s="6">
        <v>537.66461200000003</v>
      </c>
      <c r="G67" s="3">
        <v>2E-3</v>
      </c>
      <c r="I67" s="3" t="s">
        <v>64</v>
      </c>
      <c r="J67" s="3">
        <v>0.97</v>
      </c>
      <c r="K67" s="7">
        <v>590.41198699999995</v>
      </c>
      <c r="L67" s="3">
        <v>0</v>
      </c>
      <c r="M67" s="3">
        <f t="shared" si="4"/>
        <v>0.63500000000000001</v>
      </c>
      <c r="N67" s="5"/>
      <c r="O67" s="5"/>
      <c r="P67" s="5"/>
      <c r="Q67" s="5"/>
      <c r="R67" s="1"/>
      <c r="S67" s="3" t="s">
        <v>64</v>
      </c>
      <c r="T67" s="3">
        <v>0.9</v>
      </c>
      <c r="U67" s="3">
        <v>0.5</v>
      </c>
      <c r="V67" s="3">
        <v>0.6</v>
      </c>
      <c r="W67" s="3">
        <v>0.3</v>
      </c>
      <c r="X67" s="6">
        <v>549.18920900000001</v>
      </c>
      <c r="Y67" s="3">
        <v>0</v>
      </c>
      <c r="AA67" s="3" t="s">
        <v>64</v>
      </c>
      <c r="AB67" s="3">
        <v>0.51</v>
      </c>
      <c r="AC67" s="7">
        <v>554.73480199999995</v>
      </c>
      <c r="AD67" s="3">
        <v>0</v>
      </c>
      <c r="AE67" s="3">
        <f t="shared" si="5"/>
        <v>0.40500000000000003</v>
      </c>
      <c r="AF67" s="5"/>
      <c r="AG67" s="5"/>
      <c r="AH67" s="5"/>
      <c r="AI67" s="5"/>
      <c r="AJ67" s="1"/>
      <c r="AK67" s="3" t="s">
        <v>65</v>
      </c>
      <c r="AL67" s="3">
        <v>0.9</v>
      </c>
      <c r="AM67" s="3">
        <v>0.5</v>
      </c>
      <c r="AN67" s="3">
        <v>0.6</v>
      </c>
      <c r="AO67" s="3">
        <v>0.3</v>
      </c>
      <c r="AP67" s="6">
        <v>896.59136999999998</v>
      </c>
      <c r="AQ67" s="3">
        <v>6.0000000000000001E-3</v>
      </c>
      <c r="AS67" s="3" t="s">
        <v>65</v>
      </c>
      <c r="AT67" s="3">
        <v>0.76</v>
      </c>
      <c r="AU67" s="7">
        <v>1100.5111079999999</v>
      </c>
      <c r="AV67" s="3">
        <v>2E-3</v>
      </c>
      <c r="AW67" s="3">
        <f t="shared" si="6"/>
        <v>0.53</v>
      </c>
      <c r="AX67" s="5"/>
      <c r="AY67" s="5"/>
      <c r="AZ67" s="5"/>
      <c r="BA67" s="5"/>
      <c r="BB67" s="1"/>
      <c r="BC67" s="3" t="s">
        <v>65</v>
      </c>
      <c r="BD67" s="3">
        <v>0.9</v>
      </c>
      <c r="BE67" s="3">
        <v>0.5</v>
      </c>
      <c r="BF67" s="3">
        <v>0.6</v>
      </c>
      <c r="BG67" s="3">
        <v>0.3</v>
      </c>
      <c r="BH67" s="6">
        <v>901.38531499999999</v>
      </c>
      <c r="BI67" s="3">
        <v>6.0000000000000001E-3</v>
      </c>
      <c r="BK67" s="3" t="s">
        <v>65</v>
      </c>
      <c r="BL67" s="3">
        <v>0.6</v>
      </c>
      <c r="BM67" s="7">
        <v>1048.099487</v>
      </c>
      <c r="BN67" s="3">
        <v>1E-3</v>
      </c>
      <c r="BO67" s="3">
        <f t="shared" si="7"/>
        <v>0.44999999999999996</v>
      </c>
    </row>
    <row r="68" spans="1:71" x14ac:dyDescent="0.3">
      <c r="A68" s="3" t="s">
        <v>66</v>
      </c>
      <c r="B68" s="3">
        <v>0.9</v>
      </c>
      <c r="C68" s="3">
        <v>0.5</v>
      </c>
      <c r="D68" s="3">
        <v>0.6</v>
      </c>
      <c r="E68" s="3">
        <v>0.3</v>
      </c>
      <c r="F68" s="6">
        <v>489.73056000000003</v>
      </c>
      <c r="G68" s="3">
        <v>0</v>
      </c>
      <c r="I68" s="3" t="s">
        <v>66</v>
      </c>
      <c r="J68" s="3">
        <v>0</v>
      </c>
      <c r="K68" s="7">
        <v>546.15881300000001</v>
      </c>
      <c r="L68" s="3">
        <v>1E-3</v>
      </c>
      <c r="M68" s="3">
        <f t="shared" si="4"/>
        <v>0.15</v>
      </c>
      <c r="N68" s="5"/>
      <c r="O68" s="5"/>
      <c r="P68" s="5"/>
      <c r="Q68" s="5"/>
      <c r="R68" s="1"/>
      <c r="S68" s="3" t="s">
        <v>66</v>
      </c>
      <c r="T68" s="3">
        <v>0.9</v>
      </c>
      <c r="U68" s="3">
        <v>0.5</v>
      </c>
      <c r="V68" s="3">
        <v>0.6</v>
      </c>
      <c r="W68" s="3">
        <v>0.3</v>
      </c>
      <c r="X68" s="6">
        <v>484.88317899999998</v>
      </c>
      <c r="Y68" s="3">
        <v>1E-3</v>
      </c>
      <c r="AA68" s="3" t="s">
        <v>66</v>
      </c>
      <c r="AB68" s="3">
        <v>0.43</v>
      </c>
      <c r="AC68" s="6">
        <v>484.88317899999998</v>
      </c>
      <c r="AD68" s="3">
        <v>0</v>
      </c>
      <c r="AE68" s="3">
        <f t="shared" si="5"/>
        <v>0.36499999999999999</v>
      </c>
      <c r="AF68" s="5"/>
      <c r="AG68" s="5"/>
      <c r="AH68" s="5"/>
      <c r="AI68" s="5"/>
      <c r="AJ68" s="1"/>
      <c r="AK68" s="3" t="s">
        <v>67</v>
      </c>
      <c r="AL68" s="3">
        <v>0.9</v>
      </c>
      <c r="AM68" s="3">
        <v>0.5</v>
      </c>
      <c r="AN68" s="3">
        <v>0.6</v>
      </c>
      <c r="AO68" s="3">
        <v>0.3</v>
      </c>
      <c r="AP68" s="6">
        <v>931.22277799999995</v>
      </c>
      <c r="AQ68" s="3">
        <v>8.9999999999999993E-3</v>
      </c>
      <c r="AS68" s="3" t="s">
        <v>67</v>
      </c>
      <c r="AT68" s="3">
        <v>0.82</v>
      </c>
      <c r="AU68" s="7">
        <v>1177.3070070000001</v>
      </c>
      <c r="AV68" s="3">
        <v>1E-3</v>
      </c>
      <c r="AW68" s="3">
        <f t="shared" si="6"/>
        <v>0.55999999999999994</v>
      </c>
      <c r="AX68" s="5"/>
      <c r="AY68" s="5"/>
      <c r="AZ68" s="5"/>
      <c r="BA68" s="5"/>
      <c r="BB68" s="1"/>
      <c r="BC68" s="3" t="s">
        <v>67</v>
      </c>
      <c r="BD68" s="3">
        <v>0.9</v>
      </c>
      <c r="BE68" s="3">
        <v>0.5</v>
      </c>
      <c r="BF68" s="3">
        <v>0.6</v>
      </c>
      <c r="BG68" s="3">
        <v>0.3</v>
      </c>
      <c r="BH68" s="6">
        <v>966.22833300000002</v>
      </c>
      <c r="BI68" s="3">
        <v>5.0000000000000001E-3</v>
      </c>
      <c r="BK68" s="3" t="s">
        <v>67</v>
      </c>
      <c r="BL68" s="3">
        <v>0.82</v>
      </c>
      <c r="BM68" s="7">
        <v>1150.85022</v>
      </c>
      <c r="BN68" s="3">
        <v>1E-3</v>
      </c>
      <c r="BO68" s="3">
        <f t="shared" si="7"/>
        <v>0.55999999999999994</v>
      </c>
    </row>
    <row r="69" spans="1:71" x14ac:dyDescent="0.3">
      <c r="A69" s="3" t="s">
        <v>68</v>
      </c>
      <c r="B69" s="3">
        <v>0.9</v>
      </c>
      <c r="C69" s="3">
        <v>0.5</v>
      </c>
      <c r="D69" s="3">
        <v>0.6</v>
      </c>
      <c r="E69" s="3">
        <v>0.3</v>
      </c>
      <c r="F69" s="6">
        <v>400.026093</v>
      </c>
      <c r="G69" s="3">
        <v>0</v>
      </c>
      <c r="I69" s="3" t="s">
        <v>68</v>
      </c>
      <c r="J69" s="3">
        <v>0.84</v>
      </c>
      <c r="K69" s="7">
        <v>404.97958399999999</v>
      </c>
      <c r="L69" s="3">
        <v>0</v>
      </c>
      <c r="M69" s="3">
        <f t="shared" si="4"/>
        <v>0.56999999999999995</v>
      </c>
      <c r="N69" s="5"/>
      <c r="O69" s="5"/>
      <c r="P69" s="5"/>
      <c r="Q69" s="5"/>
      <c r="R69" s="1"/>
      <c r="S69" s="3" t="s">
        <v>68</v>
      </c>
      <c r="T69" s="3">
        <v>0.9</v>
      </c>
      <c r="U69" s="3">
        <v>0.5</v>
      </c>
      <c r="V69" s="3">
        <v>0.6</v>
      </c>
      <c r="W69" s="3">
        <v>0.3</v>
      </c>
      <c r="X69" s="6">
        <v>389.56133999999997</v>
      </c>
      <c r="Y69" s="3">
        <v>1E-3</v>
      </c>
      <c r="AA69" s="3" t="s">
        <v>68</v>
      </c>
      <c r="AB69" s="3">
        <v>0.33</v>
      </c>
      <c r="AC69" s="6">
        <v>389.56133999999997</v>
      </c>
      <c r="AD69" s="3">
        <v>0</v>
      </c>
      <c r="AE69" s="3">
        <f t="shared" si="5"/>
        <v>0.315</v>
      </c>
      <c r="AF69" s="5"/>
      <c r="AG69" s="5"/>
      <c r="AH69" s="5"/>
      <c r="AI69" s="5"/>
      <c r="AJ69" s="1"/>
      <c r="AK69" s="3" t="s">
        <v>69</v>
      </c>
      <c r="AL69" s="3">
        <v>0.9</v>
      </c>
      <c r="AM69" s="3">
        <v>0.5</v>
      </c>
      <c r="AN69" s="3">
        <v>0.6</v>
      </c>
      <c r="AO69" s="3">
        <v>0.3</v>
      </c>
      <c r="AP69" s="6">
        <v>968.01171899999997</v>
      </c>
      <c r="AQ69" s="3">
        <v>7.0000000000000001E-3</v>
      </c>
      <c r="AS69" s="3" t="s">
        <v>69</v>
      </c>
      <c r="AT69" s="3">
        <v>0.64</v>
      </c>
      <c r="AU69" s="7">
        <v>1114.6645510000001</v>
      </c>
      <c r="AV69" s="3">
        <v>1E-3</v>
      </c>
      <c r="AW69" s="3">
        <f t="shared" si="6"/>
        <v>0.47</v>
      </c>
      <c r="AX69" s="5"/>
      <c r="AY69" s="5"/>
      <c r="AZ69" s="5"/>
      <c r="BA69" s="5"/>
      <c r="BB69" s="1"/>
      <c r="BC69" s="3" t="s">
        <v>69</v>
      </c>
      <c r="BD69" s="3">
        <v>0.9</v>
      </c>
      <c r="BE69" s="3">
        <v>0.5</v>
      </c>
      <c r="BF69" s="3">
        <v>0.6</v>
      </c>
      <c r="BG69" s="3">
        <v>0.3</v>
      </c>
      <c r="BH69" s="6">
        <v>949.48687700000005</v>
      </c>
      <c r="BI69" s="3">
        <v>6.0000000000000001E-3</v>
      </c>
      <c r="BK69" s="3" t="s">
        <v>69</v>
      </c>
      <c r="BL69" s="3">
        <v>0.92</v>
      </c>
      <c r="BM69" s="7">
        <v>1195.9586179999999</v>
      </c>
      <c r="BN69" s="3">
        <v>0</v>
      </c>
      <c r="BO69" s="3">
        <f t="shared" si="7"/>
        <v>0.61</v>
      </c>
    </row>
    <row r="70" spans="1:71" x14ac:dyDescent="0.3">
      <c r="A70" s="9" t="s">
        <v>316</v>
      </c>
      <c r="E70" s="9">
        <f>AVERAGE(E40:E69)</f>
        <v>0.3</v>
      </c>
      <c r="I70" s="9" t="s">
        <v>316</v>
      </c>
      <c r="J70" s="9">
        <f>AVERAGE(J40:J69)</f>
        <v>0.52166666666666672</v>
      </c>
      <c r="M70" s="5"/>
      <c r="N70" s="5"/>
      <c r="O70" s="5"/>
      <c r="P70" s="5"/>
      <c r="Q70" s="5"/>
      <c r="R70" s="1"/>
      <c r="S70" s="9" t="s">
        <v>316</v>
      </c>
      <c r="W70" s="9">
        <f>AVERAGE(W40:W69)</f>
        <v>0.3</v>
      </c>
      <c r="AA70" s="9" t="s">
        <v>316</v>
      </c>
      <c r="AB70" s="9">
        <f>AVERAGE(AB40:AB69)</f>
        <v>0.48433333333333334</v>
      </c>
      <c r="AE70" s="5"/>
      <c r="AF70" s="5"/>
      <c r="AG70" s="5"/>
      <c r="AH70" s="5"/>
      <c r="AI70" s="5"/>
      <c r="AJ70" s="1"/>
      <c r="AK70" s="9" t="s">
        <v>316</v>
      </c>
      <c r="AO70" s="9">
        <f>AVERAGE(AO40:AO69)</f>
        <v>0.3</v>
      </c>
      <c r="AS70" s="9" t="s">
        <v>316</v>
      </c>
      <c r="AT70" s="9">
        <f>AVERAGE(AT40:AT69)</f>
        <v>0.46566666666666667</v>
      </c>
      <c r="AW70" s="5"/>
      <c r="AX70" s="5"/>
      <c r="AY70" s="5"/>
      <c r="AZ70" s="5"/>
      <c r="BA70" s="5"/>
      <c r="BB70" s="1"/>
      <c r="BC70" s="9" t="s">
        <v>316</v>
      </c>
      <c r="BG70" s="9">
        <f>AVERAGE(BG40:BG69)</f>
        <v>0.3</v>
      </c>
      <c r="BK70" s="9" t="s">
        <v>316</v>
      </c>
      <c r="BL70" s="9">
        <f>AVERAGE(BL40:BL69)</f>
        <v>0.47433333333333327</v>
      </c>
      <c r="BO70" s="5"/>
    </row>
    <row r="71" spans="1:71" x14ac:dyDescent="0.3">
      <c r="M71" s="5"/>
      <c r="N71" s="5"/>
      <c r="O71" s="5"/>
      <c r="P71" s="5"/>
      <c r="Q71" s="5"/>
      <c r="R71" s="1"/>
      <c r="AE71" s="5"/>
      <c r="AF71" s="5"/>
      <c r="AG71" s="5"/>
      <c r="AH71" s="5"/>
      <c r="AI71" s="5"/>
      <c r="AJ71" s="1"/>
      <c r="AW71" s="5"/>
      <c r="AX71" s="5"/>
      <c r="AY71" s="5"/>
      <c r="AZ71" s="5"/>
      <c r="BA71" s="5"/>
      <c r="BB71" s="1"/>
      <c r="BO71" s="5"/>
    </row>
    <row r="72" spans="1:71" x14ac:dyDescent="0.3">
      <c r="M72" s="5"/>
      <c r="N72" s="5"/>
      <c r="O72" s="5"/>
      <c r="P72" s="5"/>
      <c r="Q72" s="5"/>
      <c r="R72" s="1"/>
      <c r="AE72" s="5"/>
      <c r="AF72" s="5"/>
      <c r="AG72" s="5"/>
      <c r="AH72" s="5"/>
      <c r="AI72" s="5"/>
      <c r="AJ72" s="1"/>
      <c r="AW72" s="5"/>
      <c r="AX72" s="5"/>
      <c r="AY72" s="5"/>
      <c r="AZ72" s="5"/>
      <c r="BA72" s="5"/>
      <c r="BB72" s="1"/>
      <c r="BO72" s="5"/>
    </row>
    <row r="73" spans="1:71" x14ac:dyDescent="0.3">
      <c r="A73" s="19" t="s">
        <v>314</v>
      </c>
      <c r="B73" s="19"/>
      <c r="C73" s="19"/>
      <c r="D73" s="19"/>
      <c r="E73" s="19"/>
      <c r="F73" s="19"/>
      <c r="G73" s="19"/>
      <c r="I73" s="19" t="s">
        <v>315</v>
      </c>
      <c r="J73" s="19"/>
      <c r="K73" s="19"/>
      <c r="L73" s="19"/>
      <c r="M73" s="19"/>
      <c r="N73" s="11"/>
      <c r="O73" s="11"/>
      <c r="P73" s="11"/>
      <c r="Q73" s="11"/>
      <c r="R73" s="1"/>
      <c r="S73" s="19" t="s">
        <v>314</v>
      </c>
      <c r="T73" s="19"/>
      <c r="U73" s="19"/>
      <c r="V73" s="19"/>
      <c r="W73" s="19"/>
      <c r="X73" s="19"/>
      <c r="Y73" s="19"/>
      <c r="AA73" s="19" t="s">
        <v>315</v>
      </c>
      <c r="AB73" s="19"/>
      <c r="AC73" s="19"/>
      <c r="AD73" s="19"/>
      <c r="AE73" s="19"/>
      <c r="AF73" s="11"/>
      <c r="AG73" s="11"/>
      <c r="AH73" s="11"/>
      <c r="AI73" s="11"/>
      <c r="AJ73" s="1"/>
      <c r="AK73" s="19" t="s">
        <v>314</v>
      </c>
      <c r="AL73" s="19"/>
      <c r="AM73" s="19"/>
      <c r="AN73" s="19"/>
      <c r="AO73" s="19"/>
      <c r="AP73" s="19"/>
      <c r="AQ73" s="19"/>
      <c r="AS73" s="19" t="s">
        <v>315</v>
      </c>
      <c r="AT73" s="19"/>
      <c r="AU73" s="19"/>
      <c r="AV73" s="19"/>
      <c r="AW73" s="19"/>
      <c r="AX73" s="11"/>
      <c r="AY73" s="11"/>
      <c r="AZ73" s="11"/>
      <c r="BA73" s="11"/>
      <c r="BB73" s="1"/>
      <c r="BC73" s="19" t="s">
        <v>314</v>
      </c>
      <c r="BD73" s="19"/>
      <c r="BE73" s="19"/>
      <c r="BF73" s="19"/>
      <c r="BG73" s="19"/>
      <c r="BH73" s="19"/>
      <c r="BI73" s="19"/>
      <c r="BK73" s="19" t="s">
        <v>315</v>
      </c>
      <c r="BL73" s="19"/>
      <c r="BM73" s="19"/>
      <c r="BN73" s="19"/>
      <c r="BO73" s="19"/>
    </row>
    <row r="74" spans="1:71" x14ac:dyDescent="0.3">
      <c r="A74" s="20" t="s">
        <v>72</v>
      </c>
      <c r="B74" s="21"/>
      <c r="C74" s="21"/>
      <c r="D74" s="21"/>
      <c r="E74" s="21"/>
      <c r="F74" s="21"/>
      <c r="G74" s="22"/>
      <c r="I74" s="20" t="s">
        <v>72</v>
      </c>
      <c r="J74" s="21"/>
      <c r="K74" s="21"/>
      <c r="L74" s="21"/>
      <c r="M74" s="22"/>
      <c r="N74" s="11"/>
      <c r="O74" s="11"/>
      <c r="P74" s="11"/>
      <c r="Q74" s="11"/>
      <c r="R74" s="1"/>
      <c r="S74" s="20" t="s">
        <v>73</v>
      </c>
      <c r="T74" s="21"/>
      <c r="U74" s="21"/>
      <c r="V74" s="21"/>
      <c r="W74" s="21"/>
      <c r="X74" s="21"/>
      <c r="Y74" s="22"/>
      <c r="AA74" s="20" t="s">
        <v>73</v>
      </c>
      <c r="AB74" s="21"/>
      <c r="AC74" s="21"/>
      <c r="AD74" s="21"/>
      <c r="AE74" s="22"/>
      <c r="AF74" s="11"/>
      <c r="AG74" s="11"/>
      <c r="AH74" s="11"/>
      <c r="AI74" s="11"/>
      <c r="AJ74" s="1"/>
      <c r="AK74" s="3" t="s">
        <v>72</v>
      </c>
      <c r="AL74" s="3"/>
      <c r="AM74" s="3"/>
      <c r="AN74" s="3"/>
      <c r="AO74" s="3"/>
      <c r="AP74" s="3"/>
      <c r="AQ74" s="3"/>
      <c r="AS74" s="3" t="s">
        <v>72</v>
      </c>
      <c r="AT74" s="3"/>
      <c r="AU74" s="3"/>
      <c r="AV74" s="3"/>
      <c r="AW74" s="4"/>
      <c r="AX74" s="12"/>
      <c r="AY74" s="12"/>
      <c r="AZ74" s="12"/>
      <c r="BA74" s="12"/>
      <c r="BB74" s="1"/>
      <c r="BC74" s="3" t="s">
        <v>73</v>
      </c>
      <c r="BD74" s="3"/>
      <c r="BE74" s="3"/>
      <c r="BF74" s="3"/>
      <c r="BG74" s="3"/>
      <c r="BH74" s="3"/>
      <c r="BI74" s="3"/>
      <c r="BK74" s="3" t="s">
        <v>73</v>
      </c>
      <c r="BL74" s="3"/>
      <c r="BM74" s="3"/>
      <c r="BN74" s="3"/>
      <c r="BO74" s="3"/>
    </row>
    <row r="75" spans="1:71" x14ac:dyDescent="0.3">
      <c r="A75" s="3" t="s">
        <v>2</v>
      </c>
      <c r="B75" s="3" t="s">
        <v>3</v>
      </c>
      <c r="C75" s="3" t="s">
        <v>4</v>
      </c>
      <c r="D75" s="3" t="s">
        <v>5</v>
      </c>
      <c r="E75" s="3" t="s">
        <v>6</v>
      </c>
      <c r="F75" s="3" t="s">
        <v>7</v>
      </c>
      <c r="G75" s="3" t="s">
        <v>8</v>
      </c>
      <c r="I75" s="3" t="s">
        <v>2</v>
      </c>
      <c r="J75" s="3" t="s">
        <v>6</v>
      </c>
      <c r="K75" s="3" t="s">
        <v>7</v>
      </c>
      <c r="L75" s="3" t="s">
        <v>8</v>
      </c>
      <c r="M75" s="3" t="s">
        <v>9</v>
      </c>
      <c r="N75" s="3" t="s">
        <v>322</v>
      </c>
      <c r="O75" s="3" t="s">
        <v>323</v>
      </c>
      <c r="P75" s="3" t="s">
        <v>322</v>
      </c>
      <c r="Q75" s="3" t="s">
        <v>323</v>
      </c>
      <c r="R75" s="1"/>
      <c r="S75" s="3" t="s">
        <v>2</v>
      </c>
      <c r="T75" s="3" t="s">
        <v>3</v>
      </c>
      <c r="U75" s="3" t="s">
        <v>4</v>
      </c>
      <c r="V75" s="3" t="s">
        <v>5</v>
      </c>
      <c r="W75" s="3" t="s">
        <v>6</v>
      </c>
      <c r="X75" s="3" t="s">
        <v>7</v>
      </c>
      <c r="Y75" s="3" t="s">
        <v>8</v>
      </c>
      <c r="AA75" s="3" t="s">
        <v>2</v>
      </c>
      <c r="AB75" s="3" t="s">
        <v>6</v>
      </c>
      <c r="AC75" s="3" t="s">
        <v>7</v>
      </c>
      <c r="AD75" s="3" t="s">
        <v>8</v>
      </c>
      <c r="AE75" s="3" t="s">
        <v>9</v>
      </c>
      <c r="AF75" s="3" t="s">
        <v>322</v>
      </c>
      <c r="AG75" s="3" t="s">
        <v>323</v>
      </c>
      <c r="AH75" s="3" t="s">
        <v>322</v>
      </c>
      <c r="AI75" s="3" t="s">
        <v>323</v>
      </c>
      <c r="AJ75" s="1"/>
      <c r="AK75" s="3" t="s">
        <v>2</v>
      </c>
      <c r="AL75" s="3" t="s">
        <v>3</v>
      </c>
      <c r="AM75" s="3" t="s">
        <v>4</v>
      </c>
      <c r="AN75" s="3" t="s">
        <v>5</v>
      </c>
      <c r="AO75" s="3" t="s">
        <v>6</v>
      </c>
      <c r="AP75" s="3" t="s">
        <v>7</v>
      </c>
      <c r="AQ75" s="3" t="s">
        <v>8</v>
      </c>
      <c r="AS75" s="3" t="s">
        <v>2</v>
      </c>
      <c r="AT75" s="3" t="s">
        <v>6</v>
      </c>
      <c r="AU75" s="3" t="s">
        <v>7</v>
      </c>
      <c r="AV75" s="3" t="s">
        <v>8</v>
      </c>
      <c r="AW75" s="3" t="s">
        <v>9</v>
      </c>
      <c r="AX75" s="3" t="s">
        <v>322</v>
      </c>
      <c r="AY75" s="3" t="s">
        <v>323</v>
      </c>
      <c r="AZ75" s="3" t="s">
        <v>322</v>
      </c>
      <c r="BA75" s="3" t="s">
        <v>323</v>
      </c>
      <c r="BB75" s="1"/>
      <c r="BC75" s="3" t="s">
        <v>2</v>
      </c>
      <c r="BD75" s="3" t="s">
        <v>3</v>
      </c>
      <c r="BE75" s="3" t="s">
        <v>4</v>
      </c>
      <c r="BF75" s="3" t="s">
        <v>5</v>
      </c>
      <c r="BG75" s="3" t="s">
        <v>6</v>
      </c>
      <c r="BH75" s="3" t="s">
        <v>7</v>
      </c>
      <c r="BI75" s="3" t="s">
        <v>8</v>
      </c>
      <c r="BK75" s="3" t="s">
        <v>2</v>
      </c>
      <c r="BL75" s="3" t="s">
        <v>6</v>
      </c>
      <c r="BM75" s="3" t="s">
        <v>7</v>
      </c>
      <c r="BN75" s="3" t="s">
        <v>8</v>
      </c>
      <c r="BO75" s="3" t="s">
        <v>9</v>
      </c>
      <c r="BP75" s="3" t="s">
        <v>322</v>
      </c>
      <c r="BQ75" s="3" t="s">
        <v>323</v>
      </c>
      <c r="BR75" s="3" t="s">
        <v>322</v>
      </c>
      <c r="BS75" s="3" t="s">
        <v>323</v>
      </c>
    </row>
    <row r="76" spans="1:71" x14ac:dyDescent="0.3">
      <c r="A76" s="3" t="s">
        <v>10</v>
      </c>
      <c r="B76" s="3">
        <v>0.9</v>
      </c>
      <c r="C76" s="3">
        <v>0.5</v>
      </c>
      <c r="D76" s="3">
        <v>0.6</v>
      </c>
      <c r="E76" s="3">
        <v>0.3</v>
      </c>
      <c r="F76" s="6">
        <v>390.06277499999999</v>
      </c>
      <c r="G76" s="3">
        <v>1E-3</v>
      </c>
      <c r="I76" s="3" t="s">
        <v>10</v>
      </c>
      <c r="J76" s="3">
        <v>0.01</v>
      </c>
      <c r="K76" s="7">
        <v>469.01501500000001</v>
      </c>
      <c r="L76" s="3">
        <v>0</v>
      </c>
      <c r="M76" s="3">
        <f t="shared" ref="M76:M105" si="8">AVERAGE(E76,J76)</f>
        <v>0.155</v>
      </c>
      <c r="N76" s="4" t="s">
        <v>320</v>
      </c>
      <c r="O76" s="4" t="s">
        <v>320</v>
      </c>
      <c r="P76" s="4" t="s">
        <v>321</v>
      </c>
      <c r="Q76" s="4" t="s">
        <v>321</v>
      </c>
      <c r="R76" s="1"/>
      <c r="S76" s="3" t="s">
        <v>10</v>
      </c>
      <c r="T76" s="3">
        <v>0.9</v>
      </c>
      <c r="U76" s="3">
        <v>0.5</v>
      </c>
      <c r="V76" s="3">
        <v>0.6</v>
      </c>
      <c r="W76" s="3">
        <v>0.3</v>
      </c>
      <c r="X76" s="6">
        <v>380.72869900000001</v>
      </c>
      <c r="Y76" s="3">
        <v>0</v>
      </c>
      <c r="AA76" s="3" t="s">
        <v>10</v>
      </c>
      <c r="AB76" s="3">
        <v>0.01</v>
      </c>
      <c r="AC76" s="7">
        <v>455.15219100000002</v>
      </c>
      <c r="AD76" s="3">
        <v>0</v>
      </c>
      <c r="AE76" s="3">
        <f t="shared" ref="AE76:AE105" si="9">AVERAGE(W76,AB76)</f>
        <v>0.155</v>
      </c>
      <c r="AF76" s="4" t="s">
        <v>320</v>
      </c>
      <c r="AG76" s="4" t="s">
        <v>320</v>
      </c>
      <c r="AH76" s="4" t="s">
        <v>321</v>
      </c>
      <c r="AI76" s="4" t="s">
        <v>321</v>
      </c>
      <c r="AJ76" s="1"/>
      <c r="AK76" s="3" t="s">
        <v>11</v>
      </c>
      <c r="AL76" s="3">
        <v>0.9</v>
      </c>
      <c r="AM76" s="3">
        <v>0.5</v>
      </c>
      <c r="AN76" s="3">
        <v>0.6</v>
      </c>
      <c r="AO76" s="3">
        <v>0.3</v>
      </c>
      <c r="AP76" s="7">
        <v>746.13397199999997</v>
      </c>
      <c r="AQ76" s="3">
        <v>3.0000000000000001E-3</v>
      </c>
      <c r="AS76" s="3" t="s">
        <v>11</v>
      </c>
      <c r="AT76" s="3">
        <v>0.01</v>
      </c>
      <c r="AU76" s="6">
        <v>703.49676499999998</v>
      </c>
      <c r="AV76" s="3">
        <v>1E-3</v>
      </c>
      <c r="AW76" s="3">
        <f t="shared" ref="AW76:AW105" si="10">AVERAGE(AO76,AT76)</f>
        <v>0.155</v>
      </c>
      <c r="AX76" s="4" t="s">
        <v>320</v>
      </c>
      <c r="AY76" s="4" t="s">
        <v>320</v>
      </c>
      <c r="AZ76" s="4" t="s">
        <v>321</v>
      </c>
      <c r="BA76" s="4" t="s">
        <v>321</v>
      </c>
      <c r="BB76" s="1"/>
      <c r="BC76" s="3" t="s">
        <v>11</v>
      </c>
      <c r="BD76" s="3">
        <v>0.9</v>
      </c>
      <c r="BE76" s="3">
        <v>0.5</v>
      </c>
      <c r="BF76" s="3">
        <v>0.6</v>
      </c>
      <c r="BG76" s="3">
        <v>0.3</v>
      </c>
      <c r="BH76" s="7">
        <v>741.24981700000001</v>
      </c>
      <c r="BI76" s="3">
        <v>3.0000000000000001E-3</v>
      </c>
      <c r="BK76" s="3" t="s">
        <v>11</v>
      </c>
      <c r="BL76" s="3">
        <v>0.01</v>
      </c>
      <c r="BM76" s="6">
        <v>692.25921600000004</v>
      </c>
      <c r="BN76" s="3">
        <v>0</v>
      </c>
      <c r="BO76" s="3">
        <f t="shared" ref="BO76:BO105" si="11">AVERAGE(BG76,BL76)</f>
        <v>0.155</v>
      </c>
      <c r="BP76" s="4" t="s">
        <v>320</v>
      </c>
      <c r="BQ76" s="4" t="s">
        <v>320</v>
      </c>
      <c r="BR76" s="4" t="s">
        <v>321</v>
      </c>
      <c r="BS76" s="4" t="s">
        <v>321</v>
      </c>
    </row>
    <row r="77" spans="1:71" x14ac:dyDescent="0.3">
      <c r="A77" s="3" t="s">
        <v>12</v>
      </c>
      <c r="B77" s="3">
        <v>0.9</v>
      </c>
      <c r="C77" s="3">
        <v>0.5</v>
      </c>
      <c r="D77" s="3">
        <v>0.6</v>
      </c>
      <c r="E77" s="3">
        <v>0.3</v>
      </c>
      <c r="F77" s="6">
        <v>421.90920999999997</v>
      </c>
      <c r="G77" s="3">
        <v>0</v>
      </c>
      <c r="I77" s="3" t="s">
        <v>12</v>
      </c>
      <c r="J77" s="3">
        <v>0.84</v>
      </c>
      <c r="K77" s="7">
        <v>426.62390099999999</v>
      </c>
      <c r="L77" s="3">
        <v>0</v>
      </c>
      <c r="M77" s="3">
        <f t="shared" si="8"/>
        <v>0.56999999999999995</v>
      </c>
      <c r="N77" s="3">
        <f>COUNT(F76:F83,F85:F95,F97:F105)</f>
        <v>28</v>
      </c>
      <c r="O77" s="3">
        <f>30-N77</f>
        <v>2</v>
      </c>
      <c r="P77" s="3">
        <f>COUNT(K84,K87,K93,K96,K100)</f>
        <v>5</v>
      </c>
      <c r="Q77" s="3">
        <f>30-P77</f>
        <v>25</v>
      </c>
      <c r="R77" s="1"/>
      <c r="S77" s="3" t="s">
        <v>12</v>
      </c>
      <c r="T77" s="3">
        <v>0.9</v>
      </c>
      <c r="U77" s="3">
        <v>0.5</v>
      </c>
      <c r="V77" s="3">
        <v>0.6</v>
      </c>
      <c r="W77" s="3">
        <v>0.3</v>
      </c>
      <c r="X77" s="6">
        <v>416.30941799999999</v>
      </c>
      <c r="Y77" s="3">
        <v>1E-3</v>
      </c>
      <c r="AA77" s="3" t="s">
        <v>12</v>
      </c>
      <c r="AB77" s="3">
        <v>0.52</v>
      </c>
      <c r="AC77" s="7">
        <v>418.203552</v>
      </c>
      <c r="AD77" s="3">
        <v>0</v>
      </c>
      <c r="AE77" s="3">
        <f t="shared" si="9"/>
        <v>0.41000000000000003</v>
      </c>
      <c r="AF77" s="3">
        <f>COUNT(X76:X95,X97:X100,X102:X105)</f>
        <v>28</v>
      </c>
      <c r="AG77" s="3">
        <f>30-AF77</f>
        <v>2</v>
      </c>
      <c r="AH77" s="3">
        <f>COUNT(AC85,AC96,AC101,AC105)</f>
        <v>4</v>
      </c>
      <c r="AI77" s="3">
        <f>30-AH77</f>
        <v>26</v>
      </c>
      <c r="AJ77" s="1"/>
      <c r="AK77" s="3" t="s">
        <v>13</v>
      </c>
      <c r="AL77" s="3">
        <v>0.9</v>
      </c>
      <c r="AM77" s="3">
        <v>0.5</v>
      </c>
      <c r="AN77" s="3">
        <v>0.6</v>
      </c>
      <c r="AO77" s="3">
        <v>0.3</v>
      </c>
      <c r="AP77" s="7">
        <v>667.12890600000003</v>
      </c>
      <c r="AQ77" s="3">
        <v>3.0000000000000001E-3</v>
      </c>
      <c r="AS77" s="3" t="s">
        <v>13</v>
      </c>
      <c r="AT77" s="3">
        <v>0.18</v>
      </c>
      <c r="AU77" s="6">
        <v>633.50238000000002</v>
      </c>
      <c r="AV77" s="3">
        <v>0</v>
      </c>
      <c r="AW77" s="3">
        <f t="shared" si="10"/>
        <v>0.24</v>
      </c>
      <c r="AX77" s="3">
        <f>COUNT(AP78,AP81,AP84,AP86:AP87,AP91:AP93,AP95:AP100,AP102:AP105)</f>
        <v>18</v>
      </c>
      <c r="AY77" s="3">
        <f>30-AX77</f>
        <v>12</v>
      </c>
      <c r="AZ77" s="3">
        <f>COUNT(AU76:AU77,AU79:AU80,AU82:AU83,AU85,AU88:AU90,AU94,AU101)</f>
        <v>12</v>
      </c>
      <c r="BA77" s="3">
        <f>30-AZ77</f>
        <v>18</v>
      </c>
      <c r="BB77" s="1"/>
      <c r="BC77" s="3" t="s">
        <v>13</v>
      </c>
      <c r="BD77" s="3">
        <v>0.9</v>
      </c>
      <c r="BE77" s="3">
        <v>0.5</v>
      </c>
      <c r="BF77" s="3">
        <v>0.6</v>
      </c>
      <c r="BG77" s="3">
        <v>0.3</v>
      </c>
      <c r="BH77" s="7">
        <v>666.33795199999997</v>
      </c>
      <c r="BI77" s="3">
        <v>3.0000000000000001E-3</v>
      </c>
      <c r="BK77" s="3" t="s">
        <v>13</v>
      </c>
      <c r="BL77" s="3">
        <v>0.27</v>
      </c>
      <c r="BM77" s="6">
        <v>651.02343800000006</v>
      </c>
      <c r="BN77" s="3">
        <v>0</v>
      </c>
      <c r="BO77" s="3">
        <f t="shared" si="11"/>
        <v>0.28500000000000003</v>
      </c>
      <c r="BP77" s="3">
        <f>COUNT(BH78,BH81:BH87,BH90,BH92:BH93,BH95:BH97,BH99:BH103,BH105)</f>
        <v>20</v>
      </c>
      <c r="BQ77" s="3">
        <f>30-BP77</f>
        <v>10</v>
      </c>
      <c r="BR77" s="3">
        <f>COUNT(BM76:BM77,BM79:BM80,BM88:BM89,BM91,BM94:BM95,BM98,BM104)</f>
        <v>11</v>
      </c>
      <c r="BS77" s="3">
        <f>30-BR77</f>
        <v>19</v>
      </c>
    </row>
    <row r="78" spans="1:71" x14ac:dyDescent="0.3">
      <c r="A78" s="3" t="s">
        <v>14</v>
      </c>
      <c r="B78" s="3">
        <v>0.9</v>
      </c>
      <c r="C78" s="3">
        <v>0.5</v>
      </c>
      <c r="D78" s="3">
        <v>0.6</v>
      </c>
      <c r="E78" s="3">
        <v>0.3</v>
      </c>
      <c r="F78" s="6">
        <v>365.81158399999998</v>
      </c>
      <c r="G78" s="3">
        <v>0</v>
      </c>
      <c r="I78" s="3" t="s">
        <v>14</v>
      </c>
      <c r="J78" s="3">
        <v>0.17</v>
      </c>
      <c r="K78" s="7">
        <v>368.59149200000002</v>
      </c>
      <c r="L78" s="3">
        <v>0</v>
      </c>
      <c r="M78" s="3">
        <f t="shared" si="8"/>
        <v>0.23499999999999999</v>
      </c>
      <c r="N78" s="5"/>
      <c r="O78" s="5"/>
      <c r="P78" s="5"/>
      <c r="Q78" s="5"/>
      <c r="R78" s="1"/>
      <c r="S78" s="3" t="s">
        <v>14</v>
      </c>
      <c r="T78" s="3">
        <v>0.9</v>
      </c>
      <c r="U78" s="3">
        <v>0.5</v>
      </c>
      <c r="V78" s="3">
        <v>0.6</v>
      </c>
      <c r="W78" s="3">
        <v>0.3</v>
      </c>
      <c r="X78" s="6">
        <v>355.35159299999998</v>
      </c>
      <c r="Y78" s="3">
        <v>0</v>
      </c>
      <c r="AA78" s="3" t="s">
        <v>14</v>
      </c>
      <c r="AB78" s="3">
        <v>0.64</v>
      </c>
      <c r="AC78" s="7">
        <v>359.73791499999999</v>
      </c>
      <c r="AD78" s="3">
        <v>0</v>
      </c>
      <c r="AE78" s="3">
        <f t="shared" si="9"/>
        <v>0.47</v>
      </c>
      <c r="AF78" s="5"/>
      <c r="AG78" s="5"/>
      <c r="AH78" s="5"/>
      <c r="AI78" s="5"/>
      <c r="AJ78" s="1"/>
      <c r="AK78" s="3" t="s">
        <v>15</v>
      </c>
      <c r="AL78" s="3">
        <v>0.9</v>
      </c>
      <c r="AM78" s="3">
        <v>0.5</v>
      </c>
      <c r="AN78" s="3">
        <v>0.6</v>
      </c>
      <c r="AO78" s="3">
        <v>0.3</v>
      </c>
      <c r="AP78" s="6">
        <v>707.81170699999996</v>
      </c>
      <c r="AQ78" s="3">
        <v>3.0000000000000001E-3</v>
      </c>
      <c r="AS78" s="3" t="s">
        <v>15</v>
      </c>
      <c r="AT78" s="3">
        <v>0.71</v>
      </c>
      <c r="AU78" s="7">
        <v>867.68316700000003</v>
      </c>
      <c r="AV78" s="3">
        <v>1E-3</v>
      </c>
      <c r="AW78" s="3">
        <f t="shared" si="10"/>
        <v>0.505</v>
      </c>
      <c r="AX78" s="5"/>
      <c r="AY78" s="5"/>
      <c r="AZ78" s="5"/>
      <c r="BA78" s="5"/>
      <c r="BB78" s="1"/>
      <c r="BC78" s="3" t="s">
        <v>15</v>
      </c>
      <c r="BD78" s="3">
        <v>0.9</v>
      </c>
      <c r="BE78" s="3">
        <v>0.5</v>
      </c>
      <c r="BF78" s="3">
        <v>0.6</v>
      </c>
      <c r="BG78" s="3">
        <v>0.3</v>
      </c>
      <c r="BH78" s="6">
        <v>704.45812999999998</v>
      </c>
      <c r="BI78" s="3">
        <v>3.0000000000000001E-3</v>
      </c>
      <c r="BK78" s="3" t="s">
        <v>15</v>
      </c>
      <c r="BL78" s="3">
        <v>0.53</v>
      </c>
      <c r="BM78" s="7">
        <v>769.81664999999998</v>
      </c>
      <c r="BN78" s="3">
        <v>1E-3</v>
      </c>
      <c r="BO78" s="3">
        <f t="shared" si="11"/>
        <v>0.41500000000000004</v>
      </c>
    </row>
    <row r="79" spans="1:71" x14ac:dyDescent="0.3">
      <c r="A79" s="3" t="s">
        <v>16</v>
      </c>
      <c r="B79" s="3">
        <v>0.9</v>
      </c>
      <c r="C79" s="3">
        <v>0.5</v>
      </c>
      <c r="D79" s="3">
        <v>0.6</v>
      </c>
      <c r="E79" s="3">
        <v>0.3</v>
      </c>
      <c r="F79" s="6">
        <v>394.24047899999999</v>
      </c>
      <c r="G79" s="3">
        <v>1E-3</v>
      </c>
      <c r="I79" s="3" t="s">
        <v>16</v>
      </c>
      <c r="J79" s="3">
        <v>0.48</v>
      </c>
      <c r="K79" s="7">
        <v>398.81622299999998</v>
      </c>
      <c r="L79" s="3">
        <v>0</v>
      </c>
      <c r="M79" s="3">
        <f t="shared" si="8"/>
        <v>0.39</v>
      </c>
      <c r="N79" s="5"/>
      <c r="O79" s="5"/>
      <c r="P79" s="5"/>
      <c r="Q79" s="5"/>
      <c r="R79" s="1"/>
      <c r="S79" s="3" t="s">
        <v>16</v>
      </c>
      <c r="T79" s="3">
        <v>0.9</v>
      </c>
      <c r="U79" s="3">
        <v>0.5</v>
      </c>
      <c r="V79" s="3">
        <v>0.6</v>
      </c>
      <c r="W79" s="3">
        <v>0.3</v>
      </c>
      <c r="X79" s="6">
        <v>385.09951799999999</v>
      </c>
      <c r="Y79" s="3">
        <v>1E-3</v>
      </c>
      <c r="AA79" s="3" t="s">
        <v>16</v>
      </c>
      <c r="AB79" s="3">
        <v>0.19</v>
      </c>
      <c r="AC79" s="7">
        <v>387.22427399999998</v>
      </c>
      <c r="AD79" s="3">
        <v>0</v>
      </c>
      <c r="AE79" s="3">
        <f t="shared" si="9"/>
        <v>0.245</v>
      </c>
      <c r="AF79" s="5"/>
      <c r="AG79" s="5"/>
      <c r="AH79" s="5"/>
      <c r="AI79" s="5"/>
      <c r="AJ79" s="1"/>
      <c r="AK79" s="3" t="s">
        <v>17</v>
      </c>
      <c r="AL79" s="3">
        <v>0.9</v>
      </c>
      <c r="AM79" s="3">
        <v>0.5</v>
      </c>
      <c r="AN79" s="3">
        <v>0.6</v>
      </c>
      <c r="AO79" s="3">
        <v>0.3</v>
      </c>
      <c r="AP79" s="7">
        <v>706.827271</v>
      </c>
      <c r="AQ79" s="3">
        <v>3.0000000000000001E-3</v>
      </c>
      <c r="AS79" s="3" t="s">
        <v>17</v>
      </c>
      <c r="AT79" s="3">
        <v>0.2</v>
      </c>
      <c r="AU79" s="6">
        <v>668.31976299999997</v>
      </c>
      <c r="AV79" s="3">
        <v>0</v>
      </c>
      <c r="AW79" s="3">
        <f t="shared" si="10"/>
        <v>0.25</v>
      </c>
      <c r="AX79" s="5"/>
      <c r="AY79" s="5"/>
      <c r="AZ79" s="5"/>
      <c r="BA79" s="5"/>
      <c r="BB79" s="1"/>
      <c r="BC79" s="3" t="s">
        <v>17</v>
      </c>
      <c r="BD79" s="3">
        <v>0.9</v>
      </c>
      <c r="BE79" s="3">
        <v>0.5</v>
      </c>
      <c r="BF79" s="3">
        <v>0.6</v>
      </c>
      <c r="BG79" s="3">
        <v>0.3</v>
      </c>
      <c r="BH79" s="7">
        <v>699.63574200000005</v>
      </c>
      <c r="BI79" s="3">
        <v>3.0000000000000001E-3</v>
      </c>
      <c r="BK79" s="3" t="s">
        <v>17</v>
      </c>
      <c r="BL79" s="3">
        <v>0.25</v>
      </c>
      <c r="BM79" s="6">
        <v>671.11102300000005</v>
      </c>
      <c r="BN79" s="3">
        <v>0</v>
      </c>
      <c r="BO79" s="3">
        <f t="shared" si="11"/>
        <v>0.27500000000000002</v>
      </c>
    </row>
    <row r="80" spans="1:71" x14ac:dyDescent="0.3">
      <c r="A80" s="3" t="s">
        <v>18</v>
      </c>
      <c r="B80" s="3">
        <v>0.9</v>
      </c>
      <c r="C80" s="3">
        <v>0.5</v>
      </c>
      <c r="D80" s="3">
        <v>0.6</v>
      </c>
      <c r="E80" s="3">
        <v>0.3</v>
      </c>
      <c r="F80" s="6">
        <v>346.68826300000001</v>
      </c>
      <c r="G80" s="3">
        <v>0</v>
      </c>
      <c r="I80" s="3" t="s">
        <v>18</v>
      </c>
      <c r="J80" s="3">
        <v>0.65</v>
      </c>
      <c r="K80" s="7">
        <v>348.41326900000001</v>
      </c>
      <c r="L80" s="3">
        <v>0</v>
      </c>
      <c r="M80" s="3">
        <f t="shared" si="8"/>
        <v>0.47499999999999998</v>
      </c>
      <c r="N80" s="5"/>
      <c r="O80" s="5"/>
      <c r="P80" s="5"/>
      <c r="Q80" s="5"/>
      <c r="R80" s="1"/>
      <c r="S80" s="3" t="s">
        <v>18</v>
      </c>
      <c r="T80" s="3">
        <v>0.9</v>
      </c>
      <c r="U80" s="3">
        <v>0.5</v>
      </c>
      <c r="V80" s="3">
        <v>0.6</v>
      </c>
      <c r="W80" s="3">
        <v>0.3</v>
      </c>
      <c r="X80" s="6">
        <v>335.85687300000001</v>
      </c>
      <c r="Y80" s="3">
        <v>1E-3</v>
      </c>
      <c r="AA80" s="3" t="s">
        <v>18</v>
      </c>
      <c r="AB80" s="3">
        <v>0.81</v>
      </c>
      <c r="AC80" s="7">
        <v>347.30905200000001</v>
      </c>
      <c r="AD80" s="3">
        <v>0</v>
      </c>
      <c r="AE80" s="3">
        <f t="shared" si="9"/>
        <v>0.55500000000000005</v>
      </c>
      <c r="AF80" s="5"/>
      <c r="AG80" s="5"/>
      <c r="AH80" s="5"/>
      <c r="AI80" s="5"/>
      <c r="AJ80" s="1"/>
      <c r="AK80" s="3" t="s">
        <v>19</v>
      </c>
      <c r="AL80" s="3">
        <v>0.9</v>
      </c>
      <c r="AM80" s="3">
        <v>0.5</v>
      </c>
      <c r="AN80" s="3">
        <v>0.6</v>
      </c>
      <c r="AO80" s="3">
        <v>0.3</v>
      </c>
      <c r="AP80" s="7">
        <v>733.20391800000004</v>
      </c>
      <c r="AQ80" s="3">
        <v>4.0000000000000001E-3</v>
      </c>
      <c r="AS80" s="3" t="s">
        <v>19</v>
      </c>
      <c r="AT80" s="3">
        <v>0.19</v>
      </c>
      <c r="AU80" s="6">
        <v>699.56726100000003</v>
      </c>
      <c r="AV80" s="3">
        <v>1E-3</v>
      </c>
      <c r="AW80" s="3">
        <f t="shared" si="10"/>
        <v>0.245</v>
      </c>
      <c r="AX80" s="5"/>
      <c r="AY80" s="5"/>
      <c r="AZ80" s="5"/>
      <c r="BA80" s="5"/>
      <c r="BB80" s="1"/>
      <c r="BC80" s="3" t="s">
        <v>19</v>
      </c>
      <c r="BD80" s="3">
        <v>0.9</v>
      </c>
      <c r="BE80" s="3">
        <v>0.5</v>
      </c>
      <c r="BF80" s="3">
        <v>0.6</v>
      </c>
      <c r="BG80" s="3">
        <v>0.3</v>
      </c>
      <c r="BH80" s="7">
        <v>721.95147699999995</v>
      </c>
      <c r="BI80" s="3">
        <v>4.0000000000000001E-3</v>
      </c>
      <c r="BK80" s="3" t="s">
        <v>19</v>
      </c>
      <c r="BL80" s="3">
        <v>0.09</v>
      </c>
      <c r="BM80" s="6">
        <v>669.03442399999994</v>
      </c>
      <c r="BN80" s="3">
        <v>0</v>
      </c>
      <c r="BO80" s="3">
        <f t="shared" si="11"/>
        <v>0.19500000000000001</v>
      </c>
    </row>
    <row r="81" spans="1:67" x14ac:dyDescent="0.3">
      <c r="A81" s="3" t="s">
        <v>20</v>
      </c>
      <c r="B81" s="3">
        <v>0.9</v>
      </c>
      <c r="C81" s="3">
        <v>0.5</v>
      </c>
      <c r="D81" s="3">
        <v>0.6</v>
      </c>
      <c r="E81" s="3">
        <v>0.3</v>
      </c>
      <c r="F81" s="6">
        <v>412.04544099999998</v>
      </c>
      <c r="G81" s="3">
        <v>0</v>
      </c>
      <c r="I81" s="3" t="s">
        <v>20</v>
      </c>
      <c r="J81" s="3">
        <v>0.7</v>
      </c>
      <c r="K81" s="7">
        <v>414.65704299999999</v>
      </c>
      <c r="L81" s="3">
        <v>0</v>
      </c>
      <c r="M81" s="3">
        <f t="shared" si="8"/>
        <v>0.5</v>
      </c>
      <c r="N81" s="5"/>
      <c r="O81" s="5"/>
      <c r="P81" s="5"/>
      <c r="Q81" s="5"/>
      <c r="R81" s="1"/>
      <c r="S81" s="3" t="s">
        <v>20</v>
      </c>
      <c r="T81" s="3">
        <v>0.9</v>
      </c>
      <c r="U81" s="3">
        <v>0.5</v>
      </c>
      <c r="V81" s="3">
        <v>0.6</v>
      </c>
      <c r="W81" s="3">
        <v>0.3</v>
      </c>
      <c r="X81" s="6">
        <v>404.231964</v>
      </c>
      <c r="Y81" s="3">
        <v>0</v>
      </c>
      <c r="AA81" s="3" t="s">
        <v>20</v>
      </c>
      <c r="AB81" s="3">
        <v>0.43</v>
      </c>
      <c r="AC81" s="7">
        <v>405.01739500000002</v>
      </c>
      <c r="AD81" s="3">
        <v>1E-3</v>
      </c>
      <c r="AE81" s="3">
        <f t="shared" si="9"/>
        <v>0.36499999999999999</v>
      </c>
      <c r="AF81" s="5"/>
      <c r="AG81" s="5"/>
      <c r="AH81" s="5"/>
      <c r="AI81" s="5"/>
      <c r="AJ81" s="1"/>
      <c r="AK81" s="3" t="s">
        <v>21</v>
      </c>
      <c r="AL81" s="3">
        <v>0.9</v>
      </c>
      <c r="AM81" s="3">
        <v>0.5</v>
      </c>
      <c r="AN81" s="3">
        <v>0.6</v>
      </c>
      <c r="AO81" s="3">
        <v>0.3</v>
      </c>
      <c r="AP81" s="6">
        <v>712.74823000000004</v>
      </c>
      <c r="AQ81" s="3">
        <v>4.0000000000000001E-3</v>
      </c>
      <c r="AS81" s="3" t="s">
        <v>21</v>
      </c>
      <c r="AT81" s="3">
        <v>0.54</v>
      </c>
      <c r="AU81" s="7">
        <v>836.50439500000005</v>
      </c>
      <c r="AV81" s="3">
        <v>0</v>
      </c>
      <c r="AW81" s="3">
        <f t="shared" si="10"/>
        <v>0.42000000000000004</v>
      </c>
      <c r="AX81" s="5"/>
      <c r="AY81" s="5"/>
      <c r="AZ81" s="5"/>
      <c r="BA81" s="5"/>
      <c r="BB81" s="1"/>
      <c r="BC81" s="3" t="s">
        <v>21</v>
      </c>
      <c r="BD81" s="3">
        <v>0.9</v>
      </c>
      <c r="BE81" s="3">
        <v>0.5</v>
      </c>
      <c r="BF81" s="3">
        <v>0.6</v>
      </c>
      <c r="BG81" s="3">
        <v>0.3</v>
      </c>
      <c r="BH81" s="6">
        <v>725.67681900000002</v>
      </c>
      <c r="BI81" s="3">
        <v>3.0000000000000001E-3</v>
      </c>
      <c r="BK81" s="3" t="s">
        <v>21</v>
      </c>
      <c r="BL81" s="3">
        <v>0.49</v>
      </c>
      <c r="BM81" s="7">
        <v>783.14959699999997</v>
      </c>
      <c r="BN81" s="3">
        <v>1E-3</v>
      </c>
      <c r="BO81" s="3">
        <f t="shared" si="11"/>
        <v>0.39500000000000002</v>
      </c>
    </row>
    <row r="82" spans="1:67" x14ac:dyDescent="0.3">
      <c r="A82" s="3" t="s">
        <v>22</v>
      </c>
      <c r="B82" s="3">
        <v>0.9</v>
      </c>
      <c r="C82" s="3">
        <v>0.5</v>
      </c>
      <c r="D82" s="3">
        <v>0.6</v>
      </c>
      <c r="E82" s="3">
        <v>0.3</v>
      </c>
      <c r="F82" s="6">
        <v>386.19570900000002</v>
      </c>
      <c r="G82" s="3">
        <v>0</v>
      </c>
      <c r="I82" s="3" t="s">
        <v>22</v>
      </c>
      <c r="J82" s="3">
        <v>0.93</v>
      </c>
      <c r="K82" s="7">
        <v>397.13119499999999</v>
      </c>
      <c r="L82" s="3">
        <v>0</v>
      </c>
      <c r="M82" s="3">
        <f t="shared" si="8"/>
        <v>0.61499999999999999</v>
      </c>
      <c r="N82" s="5"/>
      <c r="O82" s="5"/>
      <c r="P82" s="5"/>
      <c r="Q82" s="5"/>
      <c r="R82" s="1"/>
      <c r="S82" s="3" t="s">
        <v>22</v>
      </c>
      <c r="T82" s="3">
        <v>0.9</v>
      </c>
      <c r="U82" s="3">
        <v>0.5</v>
      </c>
      <c r="V82" s="3">
        <v>0.6</v>
      </c>
      <c r="W82" s="3">
        <v>0.3</v>
      </c>
      <c r="X82" s="6">
        <v>377.21435500000001</v>
      </c>
      <c r="Y82" s="3">
        <v>1E-3</v>
      </c>
      <c r="AA82" s="3" t="s">
        <v>22</v>
      </c>
      <c r="AB82" s="3">
        <v>0.11</v>
      </c>
      <c r="AC82" s="7">
        <v>383.956818</v>
      </c>
      <c r="AD82" s="3">
        <v>0</v>
      </c>
      <c r="AE82" s="3">
        <f t="shared" si="9"/>
        <v>0.20499999999999999</v>
      </c>
      <c r="AF82" s="5"/>
      <c r="AG82" s="5"/>
      <c r="AH82" s="5"/>
      <c r="AI82" s="5"/>
      <c r="AJ82" s="1"/>
      <c r="AK82" s="3" t="s">
        <v>23</v>
      </c>
      <c r="AL82" s="3">
        <v>0.9</v>
      </c>
      <c r="AM82" s="3">
        <v>0.5</v>
      </c>
      <c r="AN82" s="3">
        <v>0.6</v>
      </c>
      <c r="AO82" s="3">
        <v>0.3</v>
      </c>
      <c r="AP82" s="7">
        <v>725.86468500000001</v>
      </c>
      <c r="AQ82" s="3">
        <v>3.0000000000000001E-3</v>
      </c>
      <c r="AS82" s="3" t="s">
        <v>23</v>
      </c>
      <c r="AT82" s="3">
        <v>0.12</v>
      </c>
      <c r="AU82" s="6">
        <v>672.34655799999996</v>
      </c>
      <c r="AV82" s="3">
        <v>1E-3</v>
      </c>
      <c r="AW82" s="3">
        <f t="shared" si="10"/>
        <v>0.21</v>
      </c>
      <c r="AX82" s="5"/>
      <c r="AY82" s="5"/>
      <c r="AZ82" s="5"/>
      <c r="BA82" s="5"/>
      <c r="BB82" s="1"/>
      <c r="BC82" s="3" t="s">
        <v>23</v>
      </c>
      <c r="BD82" s="3">
        <v>0.9</v>
      </c>
      <c r="BE82" s="3">
        <v>0.5</v>
      </c>
      <c r="BF82" s="3">
        <v>0.6</v>
      </c>
      <c r="BG82" s="3">
        <v>0.3</v>
      </c>
      <c r="BH82" s="6">
        <v>724.70806900000002</v>
      </c>
      <c r="BI82" s="3">
        <v>4.0000000000000001E-3</v>
      </c>
      <c r="BK82" s="3" t="s">
        <v>23</v>
      </c>
      <c r="BL82" s="3">
        <v>0.56999999999999995</v>
      </c>
      <c r="BM82" s="7">
        <v>805.91272000000004</v>
      </c>
      <c r="BN82" s="3">
        <v>1E-3</v>
      </c>
      <c r="BO82" s="3">
        <f t="shared" si="11"/>
        <v>0.43499999999999994</v>
      </c>
    </row>
    <row r="83" spans="1:67" x14ac:dyDescent="0.3">
      <c r="A83" s="3" t="s">
        <v>24</v>
      </c>
      <c r="B83" s="3">
        <v>0.9</v>
      </c>
      <c r="C83" s="3">
        <v>0.5</v>
      </c>
      <c r="D83" s="3">
        <v>0.6</v>
      </c>
      <c r="E83" s="3">
        <v>0.3</v>
      </c>
      <c r="F83" s="6">
        <v>465.27917500000001</v>
      </c>
      <c r="G83" s="3">
        <v>1E-3</v>
      </c>
      <c r="I83" s="3" t="s">
        <v>24</v>
      </c>
      <c r="J83" s="3">
        <v>0.6</v>
      </c>
      <c r="K83" s="7">
        <v>471.24697900000001</v>
      </c>
      <c r="L83" s="3">
        <v>0</v>
      </c>
      <c r="M83" s="3">
        <f t="shared" si="8"/>
        <v>0.44999999999999996</v>
      </c>
      <c r="N83" s="5"/>
      <c r="O83" s="5"/>
      <c r="P83" s="5"/>
      <c r="Q83" s="5"/>
      <c r="R83" s="1"/>
      <c r="S83" s="3" t="s">
        <v>24</v>
      </c>
      <c r="T83" s="3">
        <v>0.9</v>
      </c>
      <c r="U83" s="3">
        <v>0.5</v>
      </c>
      <c r="V83" s="3">
        <v>0.6</v>
      </c>
      <c r="W83" s="3">
        <v>0.3</v>
      </c>
      <c r="X83" s="6">
        <v>451.84316999999999</v>
      </c>
      <c r="Y83" s="3">
        <v>0</v>
      </c>
      <c r="AA83" s="3" t="s">
        <v>24</v>
      </c>
      <c r="AB83" s="3">
        <v>0.21</v>
      </c>
      <c r="AC83" s="7">
        <v>457.41906699999998</v>
      </c>
      <c r="AD83" s="3">
        <v>0</v>
      </c>
      <c r="AE83" s="3">
        <f t="shared" si="9"/>
        <v>0.255</v>
      </c>
      <c r="AF83" s="5"/>
      <c r="AG83" s="5"/>
      <c r="AH83" s="5"/>
      <c r="AI83" s="5"/>
      <c r="AJ83" s="1"/>
      <c r="AK83" s="3" t="s">
        <v>25</v>
      </c>
      <c r="AL83" s="3">
        <v>0.9</v>
      </c>
      <c r="AM83" s="3">
        <v>0.5</v>
      </c>
      <c r="AN83" s="3">
        <v>0.6</v>
      </c>
      <c r="AO83" s="3">
        <v>0.3</v>
      </c>
      <c r="AP83" s="7">
        <v>749.67346199999997</v>
      </c>
      <c r="AQ83" s="3">
        <v>3.0000000000000001E-3</v>
      </c>
      <c r="AS83" s="3" t="s">
        <v>25</v>
      </c>
      <c r="AT83" s="3">
        <v>0.22</v>
      </c>
      <c r="AU83" s="6">
        <v>715.19451900000001</v>
      </c>
      <c r="AV83" s="3">
        <v>0</v>
      </c>
      <c r="AW83" s="3">
        <f t="shared" si="10"/>
        <v>0.26</v>
      </c>
      <c r="AX83" s="5"/>
      <c r="AY83" s="5"/>
      <c r="AZ83" s="5"/>
      <c r="BA83" s="5"/>
      <c r="BB83" s="1"/>
      <c r="BC83" s="3" t="s">
        <v>25</v>
      </c>
      <c r="BD83" s="3">
        <v>0.9</v>
      </c>
      <c r="BE83" s="3">
        <v>0.5</v>
      </c>
      <c r="BF83" s="3">
        <v>0.6</v>
      </c>
      <c r="BG83" s="3">
        <v>0.3</v>
      </c>
      <c r="BH83" s="6">
        <v>723.27075200000002</v>
      </c>
      <c r="BI83" s="3">
        <v>3.0000000000000001E-3</v>
      </c>
      <c r="BK83" s="3" t="s">
        <v>25</v>
      </c>
      <c r="BL83" s="3">
        <v>0.64</v>
      </c>
      <c r="BM83" s="7">
        <v>843.714111</v>
      </c>
      <c r="BN83" s="3">
        <v>1E-3</v>
      </c>
      <c r="BO83" s="3">
        <f t="shared" si="11"/>
        <v>0.47</v>
      </c>
    </row>
    <row r="84" spans="1:67" x14ac:dyDescent="0.3">
      <c r="A84" s="3" t="s">
        <v>26</v>
      </c>
      <c r="B84" s="3">
        <v>0.9</v>
      </c>
      <c r="C84" s="3">
        <v>0.5</v>
      </c>
      <c r="D84" s="3">
        <v>0.6</v>
      </c>
      <c r="E84" s="3">
        <v>0.3</v>
      </c>
      <c r="F84" s="7">
        <v>417.438782</v>
      </c>
      <c r="G84" s="3">
        <v>0</v>
      </c>
      <c r="I84" s="3" t="s">
        <v>26</v>
      </c>
      <c r="J84" s="3">
        <v>0.16</v>
      </c>
      <c r="K84" s="6">
        <v>416.22961400000003</v>
      </c>
      <c r="L84" s="3">
        <v>0</v>
      </c>
      <c r="M84" s="3">
        <f t="shared" si="8"/>
        <v>0.22999999999999998</v>
      </c>
      <c r="N84" s="5"/>
      <c r="O84" s="5"/>
      <c r="P84" s="5"/>
      <c r="Q84" s="5"/>
      <c r="R84" s="1"/>
      <c r="S84" s="3" t="s">
        <v>26</v>
      </c>
      <c r="T84" s="3">
        <v>0.9</v>
      </c>
      <c r="U84" s="3">
        <v>0.5</v>
      </c>
      <c r="V84" s="3">
        <v>0.6</v>
      </c>
      <c r="W84" s="3">
        <v>0.3</v>
      </c>
      <c r="X84" s="6">
        <v>407.37115499999999</v>
      </c>
      <c r="Y84" s="3">
        <v>1E-3</v>
      </c>
      <c r="AA84" s="3" t="s">
        <v>26</v>
      </c>
      <c r="AB84" s="3">
        <v>0.53</v>
      </c>
      <c r="AC84" s="7">
        <v>412.93246499999998</v>
      </c>
      <c r="AD84" s="3">
        <v>0</v>
      </c>
      <c r="AE84" s="3">
        <f t="shared" si="9"/>
        <v>0.41500000000000004</v>
      </c>
      <c r="AF84" s="5"/>
      <c r="AG84" s="5"/>
      <c r="AH84" s="5"/>
      <c r="AI84" s="5"/>
      <c r="AJ84" s="1"/>
      <c r="AK84" s="3" t="s">
        <v>27</v>
      </c>
      <c r="AL84" s="3">
        <v>0.9</v>
      </c>
      <c r="AM84" s="3">
        <v>0.5</v>
      </c>
      <c r="AN84" s="3">
        <v>0.6</v>
      </c>
      <c r="AO84" s="3">
        <v>0.3</v>
      </c>
      <c r="AP84" s="6">
        <v>706.453979</v>
      </c>
      <c r="AQ84" s="3">
        <v>3.0000000000000001E-3</v>
      </c>
      <c r="AS84" s="3" t="s">
        <v>27</v>
      </c>
      <c r="AT84" s="3">
        <v>0.45</v>
      </c>
      <c r="AU84" s="7">
        <v>755.12200900000005</v>
      </c>
      <c r="AV84" s="3">
        <v>0</v>
      </c>
      <c r="AW84" s="3">
        <f t="shared" si="10"/>
        <v>0.375</v>
      </c>
      <c r="AX84" s="5"/>
      <c r="AY84" s="5"/>
      <c r="AZ84" s="5"/>
      <c r="BA84" s="5"/>
      <c r="BB84" s="1"/>
      <c r="BC84" s="3" t="s">
        <v>27</v>
      </c>
      <c r="BD84" s="3">
        <v>0.9</v>
      </c>
      <c r="BE84" s="3">
        <v>0.5</v>
      </c>
      <c r="BF84" s="3">
        <v>0.6</v>
      </c>
      <c r="BG84" s="3">
        <v>0.3</v>
      </c>
      <c r="BH84" s="6">
        <v>705.60711700000002</v>
      </c>
      <c r="BI84" s="3">
        <v>3.0000000000000001E-3</v>
      </c>
      <c r="BK84" s="3" t="s">
        <v>27</v>
      </c>
      <c r="BL84" s="3">
        <v>0.85</v>
      </c>
      <c r="BM84" s="7">
        <v>849.56750499999998</v>
      </c>
      <c r="BN84" s="3">
        <v>0</v>
      </c>
      <c r="BO84" s="3">
        <f t="shared" si="11"/>
        <v>0.57499999999999996</v>
      </c>
    </row>
    <row r="85" spans="1:67" x14ac:dyDescent="0.3">
      <c r="A85" s="3" t="s">
        <v>28</v>
      </c>
      <c r="B85" s="3">
        <v>0.9</v>
      </c>
      <c r="C85" s="3">
        <v>0.5</v>
      </c>
      <c r="D85" s="3">
        <v>0.6</v>
      </c>
      <c r="E85" s="3">
        <v>0.3</v>
      </c>
      <c r="F85" s="6">
        <v>342.79367100000002</v>
      </c>
      <c r="G85" s="3">
        <v>1E-3</v>
      </c>
      <c r="I85" s="3" t="s">
        <v>28</v>
      </c>
      <c r="J85" s="3">
        <v>0.87</v>
      </c>
      <c r="K85" s="7">
        <v>357.57583599999998</v>
      </c>
      <c r="L85" s="3">
        <v>0</v>
      </c>
      <c r="M85" s="3">
        <f t="shared" si="8"/>
        <v>0.58499999999999996</v>
      </c>
      <c r="N85" s="5"/>
      <c r="O85" s="5"/>
      <c r="P85" s="5"/>
      <c r="Q85" s="5"/>
      <c r="R85" s="1"/>
      <c r="S85" s="3" t="s">
        <v>28</v>
      </c>
      <c r="T85" s="3">
        <v>0.9</v>
      </c>
      <c r="U85" s="3">
        <v>0.5</v>
      </c>
      <c r="V85" s="3">
        <v>0.6</v>
      </c>
      <c r="W85" s="3">
        <v>0.3</v>
      </c>
      <c r="X85" s="6">
        <v>332.42855800000001</v>
      </c>
      <c r="Y85" s="3">
        <v>1E-3</v>
      </c>
      <c r="AA85" s="3" t="s">
        <v>28</v>
      </c>
      <c r="AB85" s="3">
        <v>0.19</v>
      </c>
      <c r="AC85" s="8">
        <v>332.91168199999998</v>
      </c>
      <c r="AD85" s="3">
        <v>0</v>
      </c>
      <c r="AE85" s="3">
        <f t="shared" si="9"/>
        <v>0.245</v>
      </c>
      <c r="AF85" s="5"/>
      <c r="AG85" s="5"/>
      <c r="AH85" s="5"/>
      <c r="AI85" s="5"/>
      <c r="AJ85" s="1"/>
      <c r="AK85" s="3" t="s">
        <v>29</v>
      </c>
      <c r="AL85" s="3">
        <v>0.9</v>
      </c>
      <c r="AM85" s="3">
        <v>0.5</v>
      </c>
      <c r="AN85" s="3">
        <v>0.6</v>
      </c>
      <c r="AO85" s="3">
        <v>0.3</v>
      </c>
      <c r="AP85" s="7">
        <v>735.17358400000001</v>
      </c>
      <c r="AQ85" s="3">
        <v>4.0000000000000001E-3</v>
      </c>
      <c r="AS85" s="3" t="s">
        <v>29</v>
      </c>
      <c r="AT85" s="3">
        <v>0.14000000000000001</v>
      </c>
      <c r="AU85" s="6">
        <v>701.14184599999999</v>
      </c>
      <c r="AV85" s="3">
        <v>1E-3</v>
      </c>
      <c r="AW85" s="3">
        <f t="shared" si="10"/>
        <v>0.22</v>
      </c>
      <c r="AX85" s="5"/>
      <c r="AY85" s="5"/>
      <c r="AZ85" s="5"/>
      <c r="BA85" s="5"/>
      <c r="BB85" s="1"/>
      <c r="BC85" s="3" t="s">
        <v>29</v>
      </c>
      <c r="BD85" s="3">
        <v>0.9</v>
      </c>
      <c r="BE85" s="3">
        <v>0.5</v>
      </c>
      <c r="BF85" s="3">
        <v>0.6</v>
      </c>
      <c r="BG85" s="3">
        <v>0.3</v>
      </c>
      <c r="BH85" s="6">
        <v>727.80651899999998</v>
      </c>
      <c r="BI85" s="3">
        <v>3.0000000000000001E-3</v>
      </c>
      <c r="BK85" s="3" t="s">
        <v>29</v>
      </c>
      <c r="BL85" s="3">
        <v>0.54</v>
      </c>
      <c r="BM85" s="7">
        <v>816.30401600000005</v>
      </c>
      <c r="BN85" s="3">
        <v>0</v>
      </c>
      <c r="BO85" s="3">
        <f t="shared" si="11"/>
        <v>0.42000000000000004</v>
      </c>
    </row>
    <row r="86" spans="1:67" x14ac:dyDescent="0.3">
      <c r="A86" s="3" t="s">
        <v>30</v>
      </c>
      <c r="B86" s="3">
        <v>0.9</v>
      </c>
      <c r="C86" s="3">
        <v>0.5</v>
      </c>
      <c r="D86" s="3">
        <v>0.6</v>
      </c>
      <c r="E86" s="3">
        <v>0.3</v>
      </c>
      <c r="F86" s="6">
        <v>518.96655299999998</v>
      </c>
      <c r="G86" s="3">
        <v>0</v>
      </c>
      <c r="I86" s="3" t="s">
        <v>30</v>
      </c>
      <c r="J86" s="3">
        <v>0.12</v>
      </c>
      <c r="K86" s="7">
        <v>562.77526899999998</v>
      </c>
      <c r="L86" s="3">
        <v>0</v>
      </c>
      <c r="M86" s="3">
        <f t="shared" si="8"/>
        <v>0.21</v>
      </c>
      <c r="N86" s="5"/>
      <c r="O86" s="5"/>
      <c r="P86" s="5"/>
      <c r="Q86" s="5"/>
      <c r="R86" s="1"/>
      <c r="S86" s="3" t="s">
        <v>30</v>
      </c>
      <c r="T86" s="3">
        <v>0.9</v>
      </c>
      <c r="U86" s="3">
        <v>0.5</v>
      </c>
      <c r="V86" s="3">
        <v>0.6</v>
      </c>
      <c r="W86" s="3">
        <v>0.3</v>
      </c>
      <c r="X86" s="6">
        <v>531.40106200000002</v>
      </c>
      <c r="Y86" s="3">
        <v>1E-3</v>
      </c>
      <c r="AA86" s="3" t="s">
        <v>30</v>
      </c>
      <c r="AB86" s="3">
        <v>0.71</v>
      </c>
      <c r="AC86" s="7">
        <v>552.14941399999998</v>
      </c>
      <c r="AD86" s="3">
        <v>0</v>
      </c>
      <c r="AE86" s="3">
        <f t="shared" si="9"/>
        <v>0.505</v>
      </c>
      <c r="AF86" s="5"/>
      <c r="AG86" s="5"/>
      <c r="AH86" s="5"/>
      <c r="AI86" s="5"/>
      <c r="AJ86" s="1"/>
      <c r="AK86" s="3" t="s">
        <v>31</v>
      </c>
      <c r="AL86" s="3">
        <v>0.9</v>
      </c>
      <c r="AM86" s="3">
        <v>0.5</v>
      </c>
      <c r="AN86" s="3">
        <v>0.6</v>
      </c>
      <c r="AO86" s="3">
        <v>0.3</v>
      </c>
      <c r="AP86" s="6">
        <v>842.18780500000003</v>
      </c>
      <c r="AQ86" s="3">
        <v>4.0000000000000001E-3</v>
      </c>
      <c r="AS86" s="3" t="s">
        <v>31</v>
      </c>
      <c r="AT86" s="3">
        <v>0.74</v>
      </c>
      <c r="AU86" s="7">
        <v>1028.8292240000001</v>
      </c>
      <c r="AV86" s="3">
        <v>0</v>
      </c>
      <c r="AW86" s="3">
        <f t="shared" si="10"/>
        <v>0.52</v>
      </c>
      <c r="AX86" s="5"/>
      <c r="AY86" s="5"/>
      <c r="AZ86" s="5"/>
      <c r="BA86" s="5"/>
      <c r="BB86" s="1"/>
      <c r="BC86" s="3" t="s">
        <v>31</v>
      </c>
      <c r="BD86" s="3">
        <v>0.9</v>
      </c>
      <c r="BE86" s="3">
        <v>0.5</v>
      </c>
      <c r="BF86" s="3">
        <v>0.6</v>
      </c>
      <c r="BG86" s="3">
        <v>0.3</v>
      </c>
      <c r="BH86" s="6">
        <v>845.30828899999995</v>
      </c>
      <c r="BI86" s="3">
        <v>4.0000000000000001E-3</v>
      </c>
      <c r="BK86" s="3" t="s">
        <v>31</v>
      </c>
      <c r="BL86" s="3">
        <v>0.92</v>
      </c>
      <c r="BM86" s="7">
        <v>1079.2062989999999</v>
      </c>
      <c r="BN86" s="3">
        <v>0</v>
      </c>
      <c r="BO86" s="3">
        <f t="shared" si="11"/>
        <v>0.61</v>
      </c>
    </row>
    <row r="87" spans="1:67" x14ac:dyDescent="0.3">
      <c r="A87" s="3" t="s">
        <v>32</v>
      </c>
      <c r="B87" s="3">
        <v>0.9</v>
      </c>
      <c r="C87" s="3">
        <v>0.5</v>
      </c>
      <c r="D87" s="3">
        <v>0.6</v>
      </c>
      <c r="E87" s="3">
        <v>0.3</v>
      </c>
      <c r="F87" s="6">
        <v>474.83212300000002</v>
      </c>
      <c r="G87" s="3">
        <v>0</v>
      </c>
      <c r="I87" s="3" t="s">
        <v>32</v>
      </c>
      <c r="J87" s="3">
        <v>0</v>
      </c>
      <c r="K87" s="6">
        <v>474.83212300000002</v>
      </c>
      <c r="L87" s="3">
        <v>0</v>
      </c>
      <c r="M87" s="3">
        <f t="shared" si="8"/>
        <v>0.15</v>
      </c>
      <c r="N87" s="5"/>
      <c r="O87" s="5"/>
      <c r="P87" s="5"/>
      <c r="Q87" s="5"/>
      <c r="R87" s="1"/>
      <c r="S87" s="3" t="s">
        <v>32</v>
      </c>
      <c r="T87" s="3">
        <v>0.9</v>
      </c>
      <c r="U87" s="3">
        <v>0.5</v>
      </c>
      <c r="V87" s="3">
        <v>0.6</v>
      </c>
      <c r="W87" s="3">
        <v>0.3</v>
      </c>
      <c r="X87" s="6">
        <v>464.43417399999998</v>
      </c>
      <c r="Y87" s="3">
        <v>0</v>
      </c>
      <c r="AA87" s="3" t="s">
        <v>32</v>
      </c>
      <c r="AB87" s="3">
        <v>0.51</v>
      </c>
      <c r="AC87" s="7">
        <v>468.06603999999999</v>
      </c>
      <c r="AD87" s="3">
        <v>0</v>
      </c>
      <c r="AE87" s="3">
        <f t="shared" si="9"/>
        <v>0.40500000000000003</v>
      </c>
      <c r="AF87" s="5"/>
      <c r="AG87" s="5"/>
      <c r="AH87" s="5"/>
      <c r="AI87" s="5"/>
      <c r="AJ87" s="1"/>
      <c r="AK87" s="3" t="s">
        <v>33</v>
      </c>
      <c r="AL87" s="3">
        <v>0.9</v>
      </c>
      <c r="AM87" s="3">
        <v>0.5</v>
      </c>
      <c r="AN87" s="3">
        <v>0.6</v>
      </c>
      <c r="AO87" s="3">
        <v>0.3</v>
      </c>
      <c r="AP87" s="6">
        <v>773.38147000000004</v>
      </c>
      <c r="AQ87" s="3">
        <v>4.0000000000000001E-3</v>
      </c>
      <c r="AS87" s="3" t="s">
        <v>33</v>
      </c>
      <c r="AT87" s="3">
        <v>0.68</v>
      </c>
      <c r="AU87" s="7">
        <v>979.19030799999996</v>
      </c>
      <c r="AV87" s="3">
        <v>1E-3</v>
      </c>
      <c r="AW87" s="3">
        <f t="shared" si="10"/>
        <v>0.49</v>
      </c>
      <c r="AX87" s="5"/>
      <c r="AY87" s="5"/>
      <c r="AZ87" s="5"/>
      <c r="BA87" s="5"/>
      <c r="BB87" s="1"/>
      <c r="BC87" s="3" t="s">
        <v>33</v>
      </c>
      <c r="BD87" s="3">
        <v>0.9</v>
      </c>
      <c r="BE87" s="3">
        <v>0.5</v>
      </c>
      <c r="BF87" s="3">
        <v>0.6</v>
      </c>
      <c r="BG87" s="3">
        <v>0.3</v>
      </c>
      <c r="BH87" s="6">
        <v>773.94464100000005</v>
      </c>
      <c r="BI87" s="3">
        <v>3.0000000000000001E-3</v>
      </c>
      <c r="BK87" s="3" t="s">
        <v>33</v>
      </c>
      <c r="BL87" s="3">
        <v>0.73</v>
      </c>
      <c r="BM87" s="7">
        <v>973.01977499999998</v>
      </c>
      <c r="BN87" s="3">
        <v>0</v>
      </c>
      <c r="BO87" s="3">
        <f t="shared" si="11"/>
        <v>0.51500000000000001</v>
      </c>
    </row>
    <row r="88" spans="1:67" x14ac:dyDescent="0.3">
      <c r="A88" s="3" t="s">
        <v>34</v>
      </c>
      <c r="B88" s="3">
        <v>0.9</v>
      </c>
      <c r="C88" s="3">
        <v>0.5</v>
      </c>
      <c r="D88" s="3">
        <v>0.6</v>
      </c>
      <c r="E88" s="3">
        <v>0.3</v>
      </c>
      <c r="F88" s="6">
        <v>412.97958399999999</v>
      </c>
      <c r="G88" s="3">
        <v>0</v>
      </c>
      <c r="I88" s="3" t="s">
        <v>34</v>
      </c>
      <c r="J88" s="3">
        <v>0.57999999999999996</v>
      </c>
      <c r="K88" s="7">
        <v>413.59732100000002</v>
      </c>
      <c r="L88" s="3">
        <v>0</v>
      </c>
      <c r="M88" s="3">
        <f t="shared" si="8"/>
        <v>0.43999999999999995</v>
      </c>
      <c r="N88" s="5"/>
      <c r="O88" s="5"/>
      <c r="P88" s="5"/>
      <c r="Q88" s="5"/>
      <c r="R88" s="1"/>
      <c r="S88" s="3" t="s">
        <v>34</v>
      </c>
      <c r="T88" s="3">
        <v>0.9</v>
      </c>
      <c r="U88" s="3">
        <v>0.5</v>
      </c>
      <c r="V88" s="3">
        <v>0.6</v>
      </c>
      <c r="W88" s="3">
        <v>0.3</v>
      </c>
      <c r="X88" s="6">
        <v>409.62481700000001</v>
      </c>
      <c r="Y88" s="3">
        <v>0</v>
      </c>
      <c r="AA88" s="3" t="s">
        <v>34</v>
      </c>
      <c r="AB88" s="3">
        <v>0.82</v>
      </c>
      <c r="AC88" s="7">
        <v>417.93081699999999</v>
      </c>
      <c r="AD88" s="3">
        <v>0</v>
      </c>
      <c r="AE88" s="3">
        <f t="shared" si="9"/>
        <v>0.55999999999999994</v>
      </c>
      <c r="AF88" s="5"/>
      <c r="AG88" s="5"/>
      <c r="AH88" s="5"/>
      <c r="AI88" s="5"/>
      <c r="AJ88" s="1"/>
      <c r="AK88" s="3" t="s">
        <v>35</v>
      </c>
      <c r="AL88" s="3">
        <v>0.9</v>
      </c>
      <c r="AM88" s="3">
        <v>0.5</v>
      </c>
      <c r="AN88" s="3">
        <v>0.6</v>
      </c>
      <c r="AO88" s="3">
        <v>0.3</v>
      </c>
      <c r="AP88" s="7">
        <v>794.10144000000003</v>
      </c>
      <c r="AQ88" s="3">
        <v>4.0000000000000001E-3</v>
      </c>
      <c r="AS88" s="3" t="s">
        <v>35</v>
      </c>
      <c r="AT88" s="3">
        <v>0.12</v>
      </c>
      <c r="AU88" s="6">
        <v>700.36743200000001</v>
      </c>
      <c r="AV88" s="3">
        <v>1E-3</v>
      </c>
      <c r="AW88" s="3">
        <f t="shared" si="10"/>
        <v>0.21</v>
      </c>
      <c r="AX88" s="5"/>
      <c r="AY88" s="5"/>
      <c r="AZ88" s="5"/>
      <c r="BA88" s="5"/>
      <c r="BB88" s="1"/>
      <c r="BC88" s="3" t="s">
        <v>35</v>
      </c>
      <c r="BD88" s="3">
        <v>0.9</v>
      </c>
      <c r="BE88" s="3">
        <v>0.5</v>
      </c>
      <c r="BF88" s="3">
        <v>0.6</v>
      </c>
      <c r="BG88" s="3">
        <v>0.3</v>
      </c>
      <c r="BH88" s="7">
        <v>782.81744400000002</v>
      </c>
      <c r="BI88" s="3">
        <v>3.0000000000000001E-3</v>
      </c>
      <c r="BK88" s="3" t="s">
        <v>35</v>
      </c>
      <c r="BL88" s="3">
        <v>0.08</v>
      </c>
      <c r="BM88" s="6">
        <v>687.90673800000002</v>
      </c>
      <c r="BN88" s="3">
        <v>0</v>
      </c>
      <c r="BO88" s="3">
        <f t="shared" si="11"/>
        <v>0.19</v>
      </c>
    </row>
    <row r="89" spans="1:67" x14ac:dyDescent="0.3">
      <c r="A89" s="3" t="s">
        <v>36</v>
      </c>
      <c r="B89" s="3">
        <v>0.9</v>
      </c>
      <c r="C89" s="3">
        <v>0.5</v>
      </c>
      <c r="D89" s="3">
        <v>0.6</v>
      </c>
      <c r="E89" s="3">
        <v>0.3</v>
      </c>
      <c r="F89" s="6">
        <v>523.957581</v>
      </c>
      <c r="G89" s="3">
        <v>1E-3</v>
      </c>
      <c r="I89" s="3" t="s">
        <v>36</v>
      </c>
      <c r="J89" s="3">
        <v>0.7</v>
      </c>
      <c r="K89" s="7">
        <v>542.22296100000005</v>
      </c>
      <c r="L89" s="3">
        <v>1E-3</v>
      </c>
      <c r="M89" s="3">
        <f t="shared" si="8"/>
        <v>0.5</v>
      </c>
      <c r="N89" s="5"/>
      <c r="O89" s="5"/>
      <c r="P89" s="5"/>
      <c r="Q89" s="5"/>
      <c r="R89" s="1"/>
      <c r="S89" s="3" t="s">
        <v>36</v>
      </c>
      <c r="T89" s="3">
        <v>0.9</v>
      </c>
      <c r="U89" s="3">
        <v>0.5</v>
      </c>
      <c r="V89" s="3">
        <v>0.6</v>
      </c>
      <c r="W89" s="3">
        <v>0.3</v>
      </c>
      <c r="X89" s="6">
        <v>517.23809800000004</v>
      </c>
      <c r="Y89" s="3">
        <v>1E-3</v>
      </c>
      <c r="AA89" s="3" t="s">
        <v>36</v>
      </c>
      <c r="AB89" s="3">
        <v>0.72</v>
      </c>
      <c r="AC89" s="7">
        <v>527.69842500000004</v>
      </c>
      <c r="AD89" s="3">
        <v>0</v>
      </c>
      <c r="AE89" s="3">
        <f t="shared" si="9"/>
        <v>0.51</v>
      </c>
      <c r="AF89" s="5"/>
      <c r="AG89" s="5"/>
      <c r="AH89" s="5"/>
      <c r="AI89" s="5"/>
      <c r="AJ89" s="1"/>
      <c r="AK89" s="3" t="s">
        <v>37</v>
      </c>
      <c r="AL89" s="3">
        <v>0.9</v>
      </c>
      <c r="AM89" s="3">
        <v>0.5</v>
      </c>
      <c r="AN89" s="3">
        <v>0.6</v>
      </c>
      <c r="AO89" s="3">
        <v>0.3</v>
      </c>
      <c r="AP89" s="7">
        <v>785.38482699999997</v>
      </c>
      <c r="AQ89" s="3">
        <v>4.0000000000000001E-3</v>
      </c>
      <c r="AS89" s="3" t="s">
        <v>37</v>
      </c>
      <c r="AT89" s="3">
        <v>0.16</v>
      </c>
      <c r="AU89" s="6">
        <v>725.801514</v>
      </c>
      <c r="AV89" s="3">
        <v>0</v>
      </c>
      <c r="AW89" s="3">
        <f t="shared" si="10"/>
        <v>0.22999999999999998</v>
      </c>
      <c r="AX89" s="5"/>
      <c r="AY89" s="5"/>
      <c r="AZ89" s="5"/>
      <c r="BA89" s="5"/>
      <c r="BB89" s="1"/>
      <c r="BC89" s="3" t="s">
        <v>37</v>
      </c>
      <c r="BD89" s="3">
        <v>0.9</v>
      </c>
      <c r="BE89" s="3">
        <v>0.5</v>
      </c>
      <c r="BF89" s="3">
        <v>0.6</v>
      </c>
      <c r="BG89" s="3">
        <v>0.3</v>
      </c>
      <c r="BH89" s="7">
        <v>758.76165800000001</v>
      </c>
      <c r="BI89" s="3">
        <v>4.0000000000000001E-3</v>
      </c>
      <c r="BK89" s="3" t="s">
        <v>37</v>
      </c>
      <c r="BL89" s="3">
        <v>0.14000000000000001</v>
      </c>
      <c r="BM89" s="6">
        <v>711.02838099999997</v>
      </c>
      <c r="BN89" s="3">
        <v>0</v>
      </c>
      <c r="BO89" s="3">
        <f t="shared" si="11"/>
        <v>0.22</v>
      </c>
    </row>
    <row r="90" spans="1:67" x14ac:dyDescent="0.3">
      <c r="A90" s="3" t="s">
        <v>38</v>
      </c>
      <c r="B90" s="3">
        <v>0.9</v>
      </c>
      <c r="C90" s="3">
        <v>0.5</v>
      </c>
      <c r="D90" s="3">
        <v>0.6</v>
      </c>
      <c r="E90" s="3">
        <v>0.3</v>
      </c>
      <c r="F90" s="6">
        <v>462.71502700000002</v>
      </c>
      <c r="G90" s="3">
        <v>0</v>
      </c>
      <c r="I90" s="3" t="s">
        <v>38</v>
      </c>
      <c r="J90" s="3">
        <v>0.97</v>
      </c>
      <c r="K90" s="7">
        <v>475.85012799999998</v>
      </c>
      <c r="L90" s="3">
        <v>0</v>
      </c>
      <c r="M90" s="3">
        <f t="shared" si="8"/>
        <v>0.63500000000000001</v>
      </c>
      <c r="N90" s="5"/>
      <c r="O90" s="5"/>
      <c r="P90" s="5"/>
      <c r="Q90" s="5"/>
      <c r="R90" s="1"/>
      <c r="S90" s="3" t="s">
        <v>38</v>
      </c>
      <c r="T90" s="3">
        <v>0.9</v>
      </c>
      <c r="U90" s="3">
        <v>0.5</v>
      </c>
      <c r="V90" s="3">
        <v>0.6</v>
      </c>
      <c r="W90" s="3">
        <v>0.3</v>
      </c>
      <c r="X90" s="6">
        <v>457.08355699999998</v>
      </c>
      <c r="Y90" s="3">
        <v>1E-3</v>
      </c>
      <c r="AA90" s="3" t="s">
        <v>38</v>
      </c>
      <c r="AB90" s="3">
        <v>0.65</v>
      </c>
      <c r="AC90" s="7">
        <v>459.87677000000002</v>
      </c>
      <c r="AD90" s="3">
        <v>0</v>
      </c>
      <c r="AE90" s="3">
        <f t="shared" si="9"/>
        <v>0.47499999999999998</v>
      </c>
      <c r="AF90" s="5"/>
      <c r="AG90" s="5"/>
      <c r="AH90" s="5"/>
      <c r="AI90" s="5"/>
      <c r="AJ90" s="1"/>
      <c r="AK90" s="3" t="s">
        <v>39</v>
      </c>
      <c r="AL90" s="3">
        <v>0.9</v>
      </c>
      <c r="AM90" s="3">
        <v>0.5</v>
      </c>
      <c r="AN90" s="3">
        <v>0.6</v>
      </c>
      <c r="AO90" s="3">
        <v>0.3</v>
      </c>
      <c r="AP90" s="7">
        <v>788.53668200000004</v>
      </c>
      <c r="AQ90" s="3">
        <v>3.0000000000000001E-3</v>
      </c>
      <c r="AS90" s="3" t="s">
        <v>39</v>
      </c>
      <c r="AT90" s="3">
        <v>0.28000000000000003</v>
      </c>
      <c r="AU90" s="6">
        <v>763.12316899999996</v>
      </c>
      <c r="AV90" s="3">
        <v>0</v>
      </c>
      <c r="AW90" s="3">
        <f t="shared" si="10"/>
        <v>0.29000000000000004</v>
      </c>
      <c r="AX90" s="5"/>
      <c r="AY90" s="5"/>
      <c r="AZ90" s="5"/>
      <c r="BA90" s="5"/>
      <c r="BB90" s="1"/>
      <c r="BC90" s="3" t="s">
        <v>39</v>
      </c>
      <c r="BD90" s="3">
        <v>0.9</v>
      </c>
      <c r="BE90" s="3">
        <v>0.5</v>
      </c>
      <c r="BF90" s="3">
        <v>0.6</v>
      </c>
      <c r="BG90" s="3">
        <v>0.3</v>
      </c>
      <c r="BH90" s="6">
        <v>766.77185099999997</v>
      </c>
      <c r="BI90" s="3">
        <v>4.0000000000000001E-3</v>
      </c>
      <c r="BK90" s="3" t="s">
        <v>39</v>
      </c>
      <c r="BL90" s="3">
        <v>0.36</v>
      </c>
      <c r="BM90" s="7">
        <v>790.77136199999995</v>
      </c>
      <c r="BN90" s="3">
        <v>0</v>
      </c>
      <c r="BO90" s="3">
        <f t="shared" si="11"/>
        <v>0.32999999999999996</v>
      </c>
    </row>
    <row r="91" spans="1:67" x14ac:dyDescent="0.3">
      <c r="A91" s="3" t="s">
        <v>40</v>
      </c>
      <c r="B91" s="3">
        <v>0.9</v>
      </c>
      <c r="C91" s="3">
        <v>0.5</v>
      </c>
      <c r="D91" s="3">
        <v>0.6</v>
      </c>
      <c r="E91" s="3">
        <v>0.3</v>
      </c>
      <c r="F91" s="6">
        <v>404.60012799999998</v>
      </c>
      <c r="G91" s="3">
        <v>0</v>
      </c>
      <c r="I91" s="3" t="s">
        <v>40</v>
      </c>
      <c r="J91" s="3">
        <v>0.8</v>
      </c>
      <c r="K91" s="7">
        <v>423.284943</v>
      </c>
      <c r="L91" s="3">
        <v>0</v>
      </c>
      <c r="M91" s="3">
        <f t="shared" si="8"/>
        <v>0.55000000000000004</v>
      </c>
      <c r="N91" s="5"/>
      <c r="O91" s="5"/>
      <c r="P91" s="5"/>
      <c r="Q91" s="5"/>
      <c r="R91" s="1"/>
      <c r="S91" s="3" t="s">
        <v>40</v>
      </c>
      <c r="T91" s="3">
        <v>0.9</v>
      </c>
      <c r="U91" s="3">
        <v>0.5</v>
      </c>
      <c r="V91" s="3">
        <v>0.6</v>
      </c>
      <c r="W91" s="3">
        <v>0.3</v>
      </c>
      <c r="X91" s="6">
        <v>402.01260400000001</v>
      </c>
      <c r="Y91" s="3">
        <v>0</v>
      </c>
      <c r="AA91" s="3" t="s">
        <v>40</v>
      </c>
      <c r="AB91" s="3">
        <v>0.77</v>
      </c>
      <c r="AC91" s="7">
        <v>404.27752700000002</v>
      </c>
      <c r="AD91" s="3">
        <v>0</v>
      </c>
      <c r="AE91" s="3">
        <f t="shared" si="9"/>
        <v>0.53500000000000003</v>
      </c>
      <c r="AF91" s="5"/>
      <c r="AG91" s="5"/>
      <c r="AH91" s="5"/>
      <c r="AI91" s="5"/>
      <c r="AJ91" s="1"/>
      <c r="AK91" s="3" t="s">
        <v>41</v>
      </c>
      <c r="AL91" s="3">
        <v>0.9</v>
      </c>
      <c r="AM91" s="3">
        <v>0.5</v>
      </c>
      <c r="AN91" s="3">
        <v>0.6</v>
      </c>
      <c r="AO91" s="3">
        <v>0.3</v>
      </c>
      <c r="AP91" s="6">
        <v>894.89398200000005</v>
      </c>
      <c r="AQ91" s="3">
        <v>4.0000000000000001E-3</v>
      </c>
      <c r="AS91" s="3" t="s">
        <v>41</v>
      </c>
      <c r="AT91" s="3">
        <v>0.55000000000000004</v>
      </c>
      <c r="AU91" s="7">
        <v>969.40716599999996</v>
      </c>
      <c r="AV91" s="3">
        <v>1E-3</v>
      </c>
      <c r="AW91" s="3">
        <f t="shared" si="10"/>
        <v>0.42500000000000004</v>
      </c>
      <c r="AX91" s="5"/>
      <c r="AY91" s="5"/>
      <c r="AZ91" s="5"/>
      <c r="BA91" s="5"/>
      <c r="BB91" s="1"/>
      <c r="BC91" s="3" t="s">
        <v>41</v>
      </c>
      <c r="BD91" s="3">
        <v>0.9</v>
      </c>
      <c r="BE91" s="3">
        <v>0.5</v>
      </c>
      <c r="BF91" s="3">
        <v>0.6</v>
      </c>
      <c r="BG91" s="3">
        <v>0.3</v>
      </c>
      <c r="BH91" s="7">
        <v>887.83752400000003</v>
      </c>
      <c r="BI91" s="3">
        <v>5.0000000000000001E-3</v>
      </c>
      <c r="BK91" s="3" t="s">
        <v>41</v>
      </c>
      <c r="BL91" s="3">
        <v>0.17</v>
      </c>
      <c r="BM91" s="6">
        <v>776.79528800000003</v>
      </c>
      <c r="BN91" s="3">
        <v>0</v>
      </c>
      <c r="BO91" s="3">
        <f t="shared" si="11"/>
        <v>0.23499999999999999</v>
      </c>
    </row>
    <row r="92" spans="1:67" x14ac:dyDescent="0.3">
      <c r="A92" s="3" t="s">
        <v>42</v>
      </c>
      <c r="B92" s="3">
        <v>0.9</v>
      </c>
      <c r="C92" s="3">
        <v>0.5</v>
      </c>
      <c r="D92" s="3">
        <v>0.6</v>
      </c>
      <c r="E92" s="3">
        <v>0.3</v>
      </c>
      <c r="F92" s="6">
        <v>423.66629</v>
      </c>
      <c r="G92" s="3">
        <v>0</v>
      </c>
      <c r="I92" s="3" t="s">
        <v>42</v>
      </c>
      <c r="J92" s="3">
        <v>0.64</v>
      </c>
      <c r="K92" s="7">
        <v>447.08960000000002</v>
      </c>
      <c r="L92" s="3">
        <v>1E-3</v>
      </c>
      <c r="M92" s="3">
        <f t="shared" si="8"/>
        <v>0.47</v>
      </c>
      <c r="N92" s="5"/>
      <c r="O92" s="5"/>
      <c r="P92" s="5"/>
      <c r="Q92" s="5"/>
      <c r="R92" s="1"/>
      <c r="S92" s="3" t="s">
        <v>42</v>
      </c>
      <c r="T92" s="3">
        <v>0.9</v>
      </c>
      <c r="U92" s="3">
        <v>0.5</v>
      </c>
      <c r="V92" s="3">
        <v>0.6</v>
      </c>
      <c r="W92" s="3">
        <v>0.3</v>
      </c>
      <c r="X92" s="6">
        <v>416.69476300000002</v>
      </c>
      <c r="Y92" s="3">
        <v>0</v>
      </c>
      <c r="AA92" s="3" t="s">
        <v>42</v>
      </c>
      <c r="AB92" s="3">
        <v>0.65</v>
      </c>
      <c r="AC92" s="7">
        <v>435.54968300000002</v>
      </c>
      <c r="AD92" s="3">
        <v>0</v>
      </c>
      <c r="AE92" s="3">
        <f t="shared" si="9"/>
        <v>0.47499999999999998</v>
      </c>
      <c r="AF92" s="5"/>
      <c r="AG92" s="5"/>
      <c r="AH92" s="5"/>
      <c r="AI92" s="5"/>
      <c r="AJ92" s="1"/>
      <c r="AK92" s="3" t="s">
        <v>43</v>
      </c>
      <c r="AL92" s="3">
        <v>0.9</v>
      </c>
      <c r="AM92" s="3">
        <v>0.5</v>
      </c>
      <c r="AN92" s="3">
        <v>0.6</v>
      </c>
      <c r="AO92" s="3">
        <v>0.3</v>
      </c>
      <c r="AP92" s="6">
        <v>814.71423300000004</v>
      </c>
      <c r="AQ92" s="3">
        <v>4.0000000000000001E-3</v>
      </c>
      <c r="AS92" s="3" t="s">
        <v>43</v>
      </c>
      <c r="AT92" s="3">
        <v>0.86</v>
      </c>
      <c r="AU92" s="7">
        <v>974.45929000000001</v>
      </c>
      <c r="AV92" s="3">
        <v>0</v>
      </c>
      <c r="AW92" s="3">
        <f t="shared" si="10"/>
        <v>0.57999999999999996</v>
      </c>
      <c r="AX92" s="5"/>
      <c r="AY92" s="5"/>
      <c r="AZ92" s="5"/>
      <c r="BA92" s="5"/>
      <c r="BB92" s="1"/>
      <c r="BC92" s="3" t="s">
        <v>43</v>
      </c>
      <c r="BD92" s="3">
        <v>0.9</v>
      </c>
      <c r="BE92" s="3">
        <v>0.5</v>
      </c>
      <c r="BF92" s="3">
        <v>0.6</v>
      </c>
      <c r="BG92" s="3">
        <v>0.3</v>
      </c>
      <c r="BH92" s="6">
        <v>804.38952600000005</v>
      </c>
      <c r="BI92" s="3">
        <v>4.0000000000000001E-3</v>
      </c>
      <c r="BK92" s="3" t="s">
        <v>43</v>
      </c>
      <c r="BL92" s="3">
        <v>0.42</v>
      </c>
      <c r="BM92" s="7">
        <v>833.72332800000004</v>
      </c>
      <c r="BN92" s="3">
        <v>1E-3</v>
      </c>
      <c r="BO92" s="3">
        <f t="shared" si="11"/>
        <v>0.36</v>
      </c>
    </row>
    <row r="93" spans="1:67" x14ac:dyDescent="0.3">
      <c r="A93" s="3" t="s">
        <v>44</v>
      </c>
      <c r="B93" s="3">
        <v>0.9</v>
      </c>
      <c r="C93" s="3">
        <v>0.5</v>
      </c>
      <c r="D93" s="3">
        <v>0.6</v>
      </c>
      <c r="E93" s="3">
        <v>0.3</v>
      </c>
      <c r="F93" s="6">
        <v>515.32714799999997</v>
      </c>
      <c r="G93" s="3">
        <v>0</v>
      </c>
      <c r="I93" s="3" t="s">
        <v>44</v>
      </c>
      <c r="J93" s="3">
        <v>0.28000000000000003</v>
      </c>
      <c r="K93" s="8">
        <v>515.77703899999995</v>
      </c>
      <c r="L93" s="3">
        <v>0</v>
      </c>
      <c r="M93" s="3">
        <f t="shared" si="8"/>
        <v>0.29000000000000004</v>
      </c>
      <c r="N93" s="5"/>
      <c r="O93" s="5"/>
      <c r="P93" s="5"/>
      <c r="Q93" s="5"/>
      <c r="R93" s="1"/>
      <c r="S93" s="3" t="s">
        <v>44</v>
      </c>
      <c r="T93" s="3">
        <v>0.9</v>
      </c>
      <c r="U93" s="3">
        <v>0.5</v>
      </c>
      <c r="V93" s="3">
        <v>0.6</v>
      </c>
      <c r="W93" s="3">
        <v>0.3</v>
      </c>
      <c r="X93" s="6">
        <v>504.28717</v>
      </c>
      <c r="Y93" s="3">
        <v>1E-3</v>
      </c>
      <c r="AA93" s="3" t="s">
        <v>44</v>
      </c>
      <c r="AB93" s="3">
        <v>0.38</v>
      </c>
      <c r="AC93" s="7">
        <v>507.47137500000002</v>
      </c>
      <c r="AD93" s="3">
        <v>1E-3</v>
      </c>
      <c r="AE93" s="3">
        <f t="shared" si="9"/>
        <v>0.33999999999999997</v>
      </c>
      <c r="AF93" s="5"/>
      <c r="AG93" s="5"/>
      <c r="AH93" s="5"/>
      <c r="AI93" s="5"/>
      <c r="AJ93" s="1"/>
      <c r="AK93" s="3" t="s">
        <v>45</v>
      </c>
      <c r="AL93" s="3">
        <v>0.9</v>
      </c>
      <c r="AM93" s="3">
        <v>0.5</v>
      </c>
      <c r="AN93" s="3">
        <v>0.6</v>
      </c>
      <c r="AO93" s="3">
        <v>0.3</v>
      </c>
      <c r="AP93" s="6">
        <v>829.79931599999998</v>
      </c>
      <c r="AQ93" s="3">
        <v>4.0000000000000001E-3</v>
      </c>
      <c r="AS93" s="3" t="s">
        <v>45</v>
      </c>
      <c r="AT93" s="3">
        <v>0.7</v>
      </c>
      <c r="AU93" s="7">
        <v>1023.7780760000001</v>
      </c>
      <c r="AV93" s="3">
        <v>0</v>
      </c>
      <c r="AW93" s="3">
        <f t="shared" si="10"/>
        <v>0.5</v>
      </c>
      <c r="AX93" s="5"/>
      <c r="AY93" s="5"/>
      <c r="AZ93" s="5"/>
      <c r="BA93" s="5"/>
      <c r="BB93" s="1"/>
      <c r="BC93" s="3" t="s">
        <v>45</v>
      </c>
      <c r="BD93" s="3">
        <v>0.9</v>
      </c>
      <c r="BE93" s="3">
        <v>0.5</v>
      </c>
      <c r="BF93" s="3">
        <v>0.6</v>
      </c>
      <c r="BG93" s="3">
        <v>0.3</v>
      </c>
      <c r="BH93" s="6">
        <v>843.46966599999996</v>
      </c>
      <c r="BI93" s="3">
        <v>4.0000000000000001E-3</v>
      </c>
      <c r="BK93" s="3" t="s">
        <v>45</v>
      </c>
      <c r="BL93" s="3">
        <v>0.85</v>
      </c>
      <c r="BM93" s="7">
        <v>1075.1279300000001</v>
      </c>
      <c r="BN93" s="3">
        <v>1E-3</v>
      </c>
      <c r="BO93" s="3">
        <f t="shared" si="11"/>
        <v>0.57499999999999996</v>
      </c>
    </row>
    <row r="94" spans="1:67" x14ac:dyDescent="0.3">
      <c r="A94" s="3" t="s">
        <v>46</v>
      </c>
      <c r="B94" s="3">
        <v>0.9</v>
      </c>
      <c r="C94" s="3">
        <v>0.5</v>
      </c>
      <c r="D94" s="3">
        <v>0.6</v>
      </c>
      <c r="E94" s="3">
        <v>0.3</v>
      </c>
      <c r="F94" s="6">
        <v>499.92867999999999</v>
      </c>
      <c r="G94" s="3">
        <v>0</v>
      </c>
      <c r="I94" s="3" t="s">
        <v>46</v>
      </c>
      <c r="J94" s="3">
        <v>0.04</v>
      </c>
      <c r="K94" s="7">
        <v>545.63696300000004</v>
      </c>
      <c r="L94" s="3">
        <v>0</v>
      </c>
      <c r="M94" s="3">
        <f t="shared" si="8"/>
        <v>0.16999999999999998</v>
      </c>
      <c r="N94" s="5"/>
      <c r="O94" s="5"/>
      <c r="P94" s="5"/>
      <c r="Q94" s="5"/>
      <c r="R94" s="1"/>
      <c r="S94" s="3" t="s">
        <v>46</v>
      </c>
      <c r="T94" s="3">
        <v>0.9</v>
      </c>
      <c r="U94" s="3">
        <v>0.5</v>
      </c>
      <c r="V94" s="3">
        <v>0.6</v>
      </c>
      <c r="W94" s="3">
        <v>0.3</v>
      </c>
      <c r="X94" s="6">
        <v>492.45419299999998</v>
      </c>
      <c r="Y94" s="3">
        <v>1E-3</v>
      </c>
      <c r="AA94" s="3" t="s">
        <v>46</v>
      </c>
      <c r="AB94" s="3">
        <v>0.68</v>
      </c>
      <c r="AC94" s="7">
        <v>506.92166099999997</v>
      </c>
      <c r="AD94" s="3">
        <v>0</v>
      </c>
      <c r="AE94" s="3">
        <f t="shared" si="9"/>
        <v>0.49</v>
      </c>
      <c r="AF94" s="5"/>
      <c r="AG94" s="5"/>
      <c r="AH94" s="5"/>
      <c r="AI94" s="5"/>
      <c r="AJ94" s="1"/>
      <c r="AK94" s="3" t="s">
        <v>47</v>
      </c>
      <c r="AL94" s="3">
        <v>0.9</v>
      </c>
      <c r="AM94" s="3">
        <v>0.5</v>
      </c>
      <c r="AN94" s="3">
        <v>0.6</v>
      </c>
      <c r="AO94" s="3">
        <v>0.3</v>
      </c>
      <c r="AP94" s="7">
        <v>776.95434599999999</v>
      </c>
      <c r="AQ94" s="3">
        <v>4.0000000000000001E-3</v>
      </c>
      <c r="AS94" s="3" t="s">
        <v>47</v>
      </c>
      <c r="AT94" s="3">
        <v>0.27</v>
      </c>
      <c r="AU94" s="6">
        <v>745.63653599999998</v>
      </c>
      <c r="AV94" s="3">
        <v>0</v>
      </c>
      <c r="AW94" s="3">
        <f t="shared" si="10"/>
        <v>0.28500000000000003</v>
      </c>
      <c r="AX94" s="5"/>
      <c r="AY94" s="5"/>
      <c r="AZ94" s="5"/>
      <c r="BA94" s="5"/>
      <c r="BB94" s="1"/>
      <c r="BC94" s="3" t="s">
        <v>47</v>
      </c>
      <c r="BD94" s="3">
        <v>0.9</v>
      </c>
      <c r="BE94" s="3">
        <v>0.5</v>
      </c>
      <c r="BF94" s="3">
        <v>0.6</v>
      </c>
      <c r="BG94" s="3">
        <v>0.3</v>
      </c>
      <c r="BH94" s="7">
        <v>761.73498500000005</v>
      </c>
      <c r="BI94" s="3">
        <v>4.0000000000000001E-3</v>
      </c>
      <c r="BK94" s="3" t="s">
        <v>47</v>
      </c>
      <c r="BL94" s="3">
        <v>0.26</v>
      </c>
      <c r="BM94" s="6">
        <v>733.65039100000001</v>
      </c>
      <c r="BN94" s="3">
        <v>0</v>
      </c>
      <c r="BO94" s="3">
        <f t="shared" si="11"/>
        <v>0.28000000000000003</v>
      </c>
    </row>
    <row r="95" spans="1:67" x14ac:dyDescent="0.3">
      <c r="A95" s="3" t="s">
        <v>48</v>
      </c>
      <c r="B95" s="3">
        <v>0.9</v>
      </c>
      <c r="C95" s="3">
        <v>0.5</v>
      </c>
      <c r="D95" s="3">
        <v>0.6</v>
      </c>
      <c r="E95" s="3">
        <v>0.3</v>
      </c>
      <c r="F95" s="6">
        <v>465.539581</v>
      </c>
      <c r="G95" s="3">
        <v>0</v>
      </c>
      <c r="I95" s="3" t="s">
        <v>48</v>
      </c>
      <c r="J95" s="3">
        <v>0.97</v>
      </c>
      <c r="K95" s="7">
        <v>501.15673800000002</v>
      </c>
      <c r="L95" s="3">
        <v>0</v>
      </c>
      <c r="M95" s="3">
        <f t="shared" si="8"/>
        <v>0.63500000000000001</v>
      </c>
      <c r="N95" s="5"/>
      <c r="O95" s="5"/>
      <c r="P95" s="5"/>
      <c r="Q95" s="5"/>
      <c r="R95" s="1"/>
      <c r="S95" s="3" t="s">
        <v>48</v>
      </c>
      <c r="T95" s="3">
        <v>0.9</v>
      </c>
      <c r="U95" s="3">
        <v>0.5</v>
      </c>
      <c r="V95" s="3">
        <v>0.6</v>
      </c>
      <c r="W95" s="3">
        <v>0.3</v>
      </c>
      <c r="X95" s="6">
        <v>455.04409800000002</v>
      </c>
      <c r="Y95" s="3">
        <v>0</v>
      </c>
      <c r="AA95" s="3" t="s">
        <v>48</v>
      </c>
      <c r="AB95" s="3">
        <v>0.81</v>
      </c>
      <c r="AC95" s="7">
        <v>475.43948399999999</v>
      </c>
      <c r="AD95" s="3">
        <v>0</v>
      </c>
      <c r="AE95" s="3">
        <f t="shared" si="9"/>
        <v>0.55500000000000005</v>
      </c>
      <c r="AF95" s="5"/>
      <c r="AG95" s="5"/>
      <c r="AH95" s="5"/>
      <c r="AI95" s="5"/>
      <c r="AJ95" s="1"/>
      <c r="AK95" s="3" t="s">
        <v>49</v>
      </c>
      <c r="AL95" s="3">
        <v>0.9</v>
      </c>
      <c r="AM95" s="3">
        <v>0.5</v>
      </c>
      <c r="AN95" s="3">
        <v>0.6</v>
      </c>
      <c r="AO95" s="3">
        <v>0.3</v>
      </c>
      <c r="AP95" s="6">
        <v>816.69928000000004</v>
      </c>
      <c r="AQ95" s="3">
        <v>4.0000000000000001E-3</v>
      </c>
      <c r="AS95" s="3" t="s">
        <v>49</v>
      </c>
      <c r="AT95" s="3">
        <v>0.91</v>
      </c>
      <c r="AU95" s="7">
        <v>995.832764</v>
      </c>
      <c r="AV95" s="3">
        <v>0</v>
      </c>
      <c r="AW95" s="3">
        <f t="shared" si="10"/>
        <v>0.60499999999999998</v>
      </c>
      <c r="AX95" s="5"/>
      <c r="AY95" s="5"/>
      <c r="AZ95" s="5"/>
      <c r="BA95" s="5"/>
      <c r="BB95" s="1"/>
      <c r="BC95" s="3" t="s">
        <v>49</v>
      </c>
      <c r="BD95" s="3">
        <v>0.9</v>
      </c>
      <c r="BE95" s="3">
        <v>0.5</v>
      </c>
      <c r="BF95" s="3">
        <v>0.6</v>
      </c>
      <c r="BG95" s="3">
        <v>0.3</v>
      </c>
      <c r="BH95" s="6">
        <v>778.38147000000004</v>
      </c>
      <c r="BI95" s="3">
        <v>3.0000000000000001E-3</v>
      </c>
      <c r="BK95" s="3" t="s">
        <v>49</v>
      </c>
      <c r="BL95" s="3">
        <v>0.28000000000000003</v>
      </c>
      <c r="BM95" s="8">
        <v>778.48919699999999</v>
      </c>
      <c r="BN95" s="3">
        <v>0</v>
      </c>
      <c r="BO95" s="3">
        <f t="shared" si="11"/>
        <v>0.29000000000000004</v>
      </c>
    </row>
    <row r="96" spans="1:67" x14ac:dyDescent="0.3">
      <c r="A96" s="3" t="s">
        <v>50</v>
      </c>
      <c r="B96" s="3">
        <v>0.9</v>
      </c>
      <c r="C96" s="3">
        <v>0.5</v>
      </c>
      <c r="D96" s="3">
        <v>0.6</v>
      </c>
      <c r="E96" s="3">
        <v>0.3</v>
      </c>
      <c r="F96" s="7">
        <v>458.87048299999998</v>
      </c>
      <c r="G96" s="3">
        <v>1E-3</v>
      </c>
      <c r="I96" s="3" t="s">
        <v>50</v>
      </c>
      <c r="J96" s="3">
        <v>0.54</v>
      </c>
      <c r="K96" s="6">
        <v>455.887024</v>
      </c>
      <c r="L96" s="3">
        <v>0</v>
      </c>
      <c r="M96" s="3">
        <f t="shared" si="8"/>
        <v>0.42000000000000004</v>
      </c>
      <c r="N96" s="5"/>
      <c r="O96" s="5"/>
      <c r="P96" s="5"/>
      <c r="Q96" s="5"/>
      <c r="R96" s="1"/>
      <c r="S96" s="3" t="s">
        <v>50</v>
      </c>
      <c r="T96" s="3">
        <v>0.9</v>
      </c>
      <c r="U96" s="3">
        <v>0.5</v>
      </c>
      <c r="V96" s="3">
        <v>0.6</v>
      </c>
      <c r="W96" s="3">
        <v>0.3</v>
      </c>
      <c r="X96" s="7">
        <v>443.59765599999997</v>
      </c>
      <c r="Y96" s="3">
        <v>0</v>
      </c>
      <c r="AA96" s="3" t="s">
        <v>50</v>
      </c>
      <c r="AB96" s="3">
        <v>0.53</v>
      </c>
      <c r="AC96" s="6">
        <v>440.948914</v>
      </c>
      <c r="AD96" s="3">
        <v>0</v>
      </c>
      <c r="AE96" s="3">
        <f t="shared" si="9"/>
        <v>0.41500000000000004</v>
      </c>
      <c r="AF96" s="5"/>
      <c r="AG96" s="5"/>
      <c r="AH96" s="5"/>
      <c r="AI96" s="5"/>
      <c r="AJ96" s="1"/>
      <c r="AK96" s="3" t="s">
        <v>51</v>
      </c>
      <c r="AL96" s="3">
        <v>0.9</v>
      </c>
      <c r="AM96" s="3">
        <v>0.5</v>
      </c>
      <c r="AN96" s="3">
        <v>0.6</v>
      </c>
      <c r="AO96" s="3">
        <v>0.3</v>
      </c>
      <c r="AP96" s="6">
        <v>984.64343299999996</v>
      </c>
      <c r="AQ96" s="3">
        <v>4.0000000000000001E-3</v>
      </c>
      <c r="AS96" s="3" t="s">
        <v>51</v>
      </c>
      <c r="AT96" s="3">
        <v>0.44</v>
      </c>
      <c r="AU96" s="7">
        <v>1061.6640620000001</v>
      </c>
      <c r="AV96" s="3">
        <v>1E-3</v>
      </c>
      <c r="AW96" s="3">
        <f t="shared" si="10"/>
        <v>0.37</v>
      </c>
      <c r="AX96" s="5"/>
      <c r="AY96" s="5"/>
      <c r="AZ96" s="5"/>
      <c r="BA96" s="5"/>
      <c r="BB96" s="1"/>
      <c r="BC96" s="3" t="s">
        <v>51</v>
      </c>
      <c r="BD96" s="3">
        <v>0.9</v>
      </c>
      <c r="BE96" s="3">
        <v>0.5</v>
      </c>
      <c r="BF96" s="3">
        <v>0.6</v>
      </c>
      <c r="BG96" s="3">
        <v>0.3</v>
      </c>
      <c r="BH96" s="6">
        <v>989.09832800000004</v>
      </c>
      <c r="BI96" s="3">
        <v>5.0000000000000001E-3</v>
      </c>
      <c r="BK96" s="3" t="s">
        <v>51</v>
      </c>
      <c r="BL96" s="3">
        <v>0.76</v>
      </c>
      <c r="BM96" s="7">
        <v>1179.4381100000001</v>
      </c>
      <c r="BN96" s="3">
        <v>1E-3</v>
      </c>
      <c r="BO96" s="3">
        <f t="shared" si="11"/>
        <v>0.53</v>
      </c>
    </row>
    <row r="97" spans="1:71" x14ac:dyDescent="0.3">
      <c r="A97" s="3" t="s">
        <v>52</v>
      </c>
      <c r="B97" s="3">
        <v>0.9</v>
      </c>
      <c r="C97" s="3">
        <v>0.5</v>
      </c>
      <c r="D97" s="3">
        <v>0.6</v>
      </c>
      <c r="E97" s="3">
        <v>0.3</v>
      </c>
      <c r="F97" s="6">
        <v>468.975189</v>
      </c>
      <c r="G97" s="3">
        <v>0</v>
      </c>
      <c r="I97" s="3" t="s">
        <v>52</v>
      </c>
      <c r="J97" s="3">
        <v>0.03</v>
      </c>
      <c r="K97" s="7">
        <v>644.42132600000002</v>
      </c>
      <c r="L97" s="3">
        <v>0</v>
      </c>
      <c r="M97" s="3">
        <f t="shared" si="8"/>
        <v>0.16499999999999998</v>
      </c>
      <c r="N97" s="5"/>
      <c r="O97" s="5"/>
      <c r="P97" s="5"/>
      <c r="Q97" s="5"/>
      <c r="R97" s="1"/>
      <c r="S97" s="3" t="s">
        <v>52</v>
      </c>
      <c r="T97" s="3">
        <v>0.9</v>
      </c>
      <c r="U97" s="3">
        <v>0.5</v>
      </c>
      <c r="V97" s="3">
        <v>0.6</v>
      </c>
      <c r="W97" s="3">
        <v>0.3</v>
      </c>
      <c r="X97" s="6">
        <v>469.24471999999997</v>
      </c>
      <c r="Y97" s="3">
        <v>1E-3</v>
      </c>
      <c r="AA97" s="3" t="s">
        <v>52</v>
      </c>
      <c r="AB97" s="3">
        <v>0.46</v>
      </c>
      <c r="AC97" s="7">
        <v>471.92138699999998</v>
      </c>
      <c r="AD97" s="3">
        <v>0</v>
      </c>
      <c r="AE97" s="3">
        <f t="shared" si="9"/>
        <v>0.38</v>
      </c>
      <c r="AF97" s="5"/>
      <c r="AG97" s="5"/>
      <c r="AH97" s="5"/>
      <c r="AI97" s="5"/>
      <c r="AJ97" s="1"/>
      <c r="AK97" s="3" t="s">
        <v>53</v>
      </c>
      <c r="AL97" s="3">
        <v>0.9</v>
      </c>
      <c r="AM97" s="3">
        <v>0.5</v>
      </c>
      <c r="AN97" s="3">
        <v>0.6</v>
      </c>
      <c r="AO97" s="3">
        <v>0.3</v>
      </c>
      <c r="AP97" s="6">
        <v>949.12280299999998</v>
      </c>
      <c r="AQ97" s="3">
        <v>5.0000000000000001E-3</v>
      </c>
      <c r="AS97" s="3" t="s">
        <v>53</v>
      </c>
      <c r="AT97" s="3">
        <v>0.46</v>
      </c>
      <c r="AU97" s="7">
        <v>1007.390808</v>
      </c>
      <c r="AV97" s="3">
        <v>0</v>
      </c>
      <c r="AW97" s="3">
        <f t="shared" si="10"/>
        <v>0.38</v>
      </c>
      <c r="AX97" s="5"/>
      <c r="AY97" s="5"/>
      <c r="AZ97" s="5"/>
      <c r="BA97" s="5"/>
      <c r="BB97" s="1"/>
      <c r="BC97" s="3" t="s">
        <v>53</v>
      </c>
      <c r="BD97" s="3">
        <v>0.9</v>
      </c>
      <c r="BE97" s="3">
        <v>0.5</v>
      </c>
      <c r="BF97" s="3">
        <v>0.6</v>
      </c>
      <c r="BG97" s="3">
        <v>0.3</v>
      </c>
      <c r="BH97" s="6">
        <v>951.06915300000003</v>
      </c>
      <c r="BI97" s="3">
        <v>4.0000000000000001E-3</v>
      </c>
      <c r="BK97" s="3" t="s">
        <v>53</v>
      </c>
      <c r="BL97" s="3">
        <v>0.86</v>
      </c>
      <c r="BM97" s="7">
        <v>1158.7520750000001</v>
      </c>
      <c r="BN97" s="3">
        <v>1E-3</v>
      </c>
      <c r="BO97" s="3">
        <f t="shared" si="11"/>
        <v>0.57999999999999996</v>
      </c>
    </row>
    <row r="98" spans="1:71" x14ac:dyDescent="0.3">
      <c r="A98" s="3" t="s">
        <v>54</v>
      </c>
      <c r="B98" s="3">
        <v>0.9</v>
      </c>
      <c r="C98" s="3">
        <v>0.5</v>
      </c>
      <c r="D98" s="3">
        <v>0.6</v>
      </c>
      <c r="E98" s="3">
        <v>0.3</v>
      </c>
      <c r="F98" s="6">
        <v>558.04943800000001</v>
      </c>
      <c r="G98" s="3">
        <v>1E-3</v>
      </c>
      <c r="I98" s="3" t="s">
        <v>54</v>
      </c>
      <c r="J98" s="3">
        <v>0.2</v>
      </c>
      <c r="K98" s="7">
        <v>584.49920699999996</v>
      </c>
      <c r="L98" s="3">
        <v>0</v>
      </c>
      <c r="M98" s="3">
        <f t="shared" si="8"/>
        <v>0.25</v>
      </c>
      <c r="N98" s="5"/>
      <c r="O98" s="5"/>
      <c r="P98" s="5"/>
      <c r="Q98" s="5"/>
      <c r="R98" s="1"/>
      <c r="S98" s="3" t="s">
        <v>54</v>
      </c>
      <c r="T98" s="3">
        <v>0.9</v>
      </c>
      <c r="U98" s="3">
        <v>0.5</v>
      </c>
      <c r="V98" s="3">
        <v>0.6</v>
      </c>
      <c r="W98" s="3">
        <v>0.3</v>
      </c>
      <c r="X98" s="6">
        <v>561.625854</v>
      </c>
      <c r="Y98" s="3">
        <v>0</v>
      </c>
      <c r="AA98" s="3" t="s">
        <v>54</v>
      </c>
      <c r="AB98" s="3">
        <v>0.15</v>
      </c>
      <c r="AC98" s="7">
        <v>586.08605999999997</v>
      </c>
      <c r="AD98" s="3">
        <v>0</v>
      </c>
      <c r="AE98" s="3">
        <f t="shared" si="9"/>
        <v>0.22499999999999998</v>
      </c>
      <c r="AF98" s="5"/>
      <c r="AG98" s="5"/>
      <c r="AH98" s="5"/>
      <c r="AI98" s="5"/>
      <c r="AJ98" s="1"/>
      <c r="AK98" s="3" t="s">
        <v>55</v>
      </c>
      <c r="AL98" s="3">
        <v>0.9</v>
      </c>
      <c r="AM98" s="3">
        <v>0.5</v>
      </c>
      <c r="AN98" s="3">
        <v>0.6</v>
      </c>
      <c r="AO98" s="3">
        <v>0.3</v>
      </c>
      <c r="AP98" s="6">
        <v>957.86041299999999</v>
      </c>
      <c r="AQ98" s="3">
        <v>4.0000000000000001E-3</v>
      </c>
      <c r="AS98" s="3" t="s">
        <v>55</v>
      </c>
      <c r="AT98" s="3">
        <v>0.7</v>
      </c>
      <c r="AU98" s="7">
        <v>1096.509033</v>
      </c>
      <c r="AV98" s="3">
        <v>1E-3</v>
      </c>
      <c r="AW98" s="3">
        <f t="shared" si="10"/>
        <v>0.5</v>
      </c>
      <c r="AX98" s="5"/>
      <c r="AY98" s="5"/>
      <c r="AZ98" s="5"/>
      <c r="BA98" s="5"/>
      <c r="BB98" s="1"/>
      <c r="BC98" s="3" t="s">
        <v>55</v>
      </c>
      <c r="BD98" s="3">
        <v>0.9</v>
      </c>
      <c r="BE98" s="3">
        <v>0.5</v>
      </c>
      <c r="BF98" s="3">
        <v>0.6</v>
      </c>
      <c r="BG98" s="3">
        <v>0.3</v>
      </c>
      <c r="BH98" s="7">
        <v>929.21258499999999</v>
      </c>
      <c r="BI98" s="3">
        <v>4.0000000000000001E-3</v>
      </c>
      <c r="BK98" s="3" t="s">
        <v>55</v>
      </c>
      <c r="BL98" s="3">
        <v>0.22</v>
      </c>
      <c r="BM98" s="6">
        <v>878.03796399999999</v>
      </c>
      <c r="BN98" s="3">
        <v>1E-3</v>
      </c>
      <c r="BO98" s="3">
        <f t="shared" si="11"/>
        <v>0.26</v>
      </c>
    </row>
    <row r="99" spans="1:71" x14ac:dyDescent="0.3">
      <c r="A99" s="3" t="s">
        <v>56</v>
      </c>
      <c r="B99" s="3">
        <v>0.9</v>
      </c>
      <c r="C99" s="3">
        <v>0.5</v>
      </c>
      <c r="D99" s="3">
        <v>0.6</v>
      </c>
      <c r="E99" s="3">
        <v>0.3</v>
      </c>
      <c r="F99" s="6">
        <v>464.18408199999999</v>
      </c>
      <c r="G99" s="3">
        <v>1E-3</v>
      </c>
      <c r="I99" s="3" t="s">
        <v>56</v>
      </c>
      <c r="J99" s="3">
        <v>0.09</v>
      </c>
      <c r="K99" s="7">
        <v>469.02587899999997</v>
      </c>
      <c r="L99" s="3">
        <v>0</v>
      </c>
      <c r="M99" s="3">
        <f t="shared" si="8"/>
        <v>0.19500000000000001</v>
      </c>
      <c r="N99" s="5"/>
      <c r="O99" s="5"/>
      <c r="P99" s="5"/>
      <c r="Q99" s="5"/>
      <c r="R99" s="1"/>
      <c r="S99" s="3" t="s">
        <v>56</v>
      </c>
      <c r="T99" s="3">
        <v>0.9</v>
      </c>
      <c r="U99" s="3">
        <v>0.5</v>
      </c>
      <c r="V99" s="3">
        <v>0.6</v>
      </c>
      <c r="W99" s="3">
        <v>0.3</v>
      </c>
      <c r="X99" s="6">
        <v>463.59741200000002</v>
      </c>
      <c r="Y99" s="3">
        <v>1E-3</v>
      </c>
      <c r="AA99" s="3" t="s">
        <v>56</v>
      </c>
      <c r="AB99" s="3">
        <v>0.77</v>
      </c>
      <c r="AC99" s="7">
        <v>487.77093500000001</v>
      </c>
      <c r="AD99" s="3">
        <v>0</v>
      </c>
      <c r="AE99" s="3">
        <f t="shared" si="9"/>
        <v>0.53500000000000003</v>
      </c>
      <c r="AF99" s="5"/>
      <c r="AG99" s="5"/>
      <c r="AH99" s="5"/>
      <c r="AI99" s="5"/>
      <c r="AJ99" s="1"/>
      <c r="AK99" s="3" t="s">
        <v>57</v>
      </c>
      <c r="AL99" s="3">
        <v>0.9</v>
      </c>
      <c r="AM99" s="3">
        <v>0.5</v>
      </c>
      <c r="AN99" s="3">
        <v>0.6</v>
      </c>
      <c r="AO99" s="3">
        <v>0.3</v>
      </c>
      <c r="AP99" s="6">
        <v>931.31292699999995</v>
      </c>
      <c r="AQ99" s="3">
        <v>4.0000000000000001E-3</v>
      </c>
      <c r="AS99" s="3" t="s">
        <v>57</v>
      </c>
      <c r="AT99" s="3">
        <v>0.6</v>
      </c>
      <c r="AU99" s="7">
        <v>1036.5816649999999</v>
      </c>
      <c r="AV99" s="3">
        <v>1E-3</v>
      </c>
      <c r="AW99" s="3">
        <f t="shared" si="10"/>
        <v>0.44999999999999996</v>
      </c>
      <c r="AX99" s="5"/>
      <c r="AY99" s="5"/>
      <c r="AZ99" s="5"/>
      <c r="BA99" s="5"/>
      <c r="BB99" s="1"/>
      <c r="BC99" s="3" t="s">
        <v>57</v>
      </c>
      <c r="BD99" s="3">
        <v>0.9</v>
      </c>
      <c r="BE99" s="3">
        <v>0.5</v>
      </c>
      <c r="BF99" s="3">
        <v>0.6</v>
      </c>
      <c r="BG99" s="3">
        <v>0.3</v>
      </c>
      <c r="BH99" s="6">
        <v>918.58239700000001</v>
      </c>
      <c r="BI99" s="3">
        <v>4.0000000000000001E-3</v>
      </c>
      <c r="BK99" s="3" t="s">
        <v>57</v>
      </c>
      <c r="BL99" s="3">
        <v>0.78</v>
      </c>
      <c r="BM99" s="7">
        <v>1085.248169</v>
      </c>
      <c r="BN99" s="3">
        <v>1E-3</v>
      </c>
      <c r="BO99" s="3">
        <f t="shared" si="11"/>
        <v>0.54</v>
      </c>
    </row>
    <row r="100" spans="1:71" x14ac:dyDescent="0.3">
      <c r="A100" s="3" t="s">
        <v>58</v>
      </c>
      <c r="B100" s="3">
        <v>0.9</v>
      </c>
      <c r="C100" s="3">
        <v>0.5</v>
      </c>
      <c r="D100" s="3">
        <v>0.6</v>
      </c>
      <c r="E100" s="3">
        <v>0.3</v>
      </c>
      <c r="F100" s="6">
        <v>476.776276</v>
      </c>
      <c r="G100" s="3">
        <v>1E-3</v>
      </c>
      <c r="I100" s="3" t="s">
        <v>58</v>
      </c>
      <c r="J100" s="3">
        <v>0.18</v>
      </c>
      <c r="K100" s="6">
        <v>476.776276</v>
      </c>
      <c r="L100" s="3">
        <v>0</v>
      </c>
      <c r="M100" s="3">
        <f t="shared" si="8"/>
        <v>0.24</v>
      </c>
      <c r="N100" s="5"/>
      <c r="O100" s="5"/>
      <c r="P100" s="5"/>
      <c r="Q100" s="5"/>
      <c r="R100" s="1"/>
      <c r="S100" s="3" t="s">
        <v>58</v>
      </c>
      <c r="T100" s="3">
        <v>0.9</v>
      </c>
      <c r="U100" s="3">
        <v>0.5</v>
      </c>
      <c r="V100" s="3">
        <v>0.6</v>
      </c>
      <c r="W100" s="3">
        <v>0.3</v>
      </c>
      <c r="X100" s="6">
        <v>473.84387199999998</v>
      </c>
      <c r="Y100" s="3">
        <v>1E-3</v>
      </c>
      <c r="AA100" s="3" t="s">
        <v>58</v>
      </c>
      <c r="AB100" s="3">
        <v>0.05</v>
      </c>
      <c r="AC100" s="7">
        <v>488.002655</v>
      </c>
      <c r="AD100" s="3">
        <v>0</v>
      </c>
      <c r="AE100" s="3">
        <f t="shared" si="9"/>
        <v>0.17499999999999999</v>
      </c>
      <c r="AF100" s="5"/>
      <c r="AG100" s="5"/>
      <c r="AH100" s="5"/>
      <c r="AI100" s="5"/>
      <c r="AJ100" s="1"/>
      <c r="AK100" s="3" t="s">
        <v>59</v>
      </c>
      <c r="AL100" s="3">
        <v>0.9</v>
      </c>
      <c r="AM100" s="3">
        <v>0.5</v>
      </c>
      <c r="AN100" s="3">
        <v>0.6</v>
      </c>
      <c r="AO100" s="3">
        <v>0.3</v>
      </c>
      <c r="AP100" s="6">
        <v>864.55249000000003</v>
      </c>
      <c r="AQ100" s="3">
        <v>4.0000000000000001E-3</v>
      </c>
      <c r="AS100" s="3" t="s">
        <v>59</v>
      </c>
      <c r="AT100" s="3">
        <v>0.72</v>
      </c>
      <c r="AU100" s="7">
        <v>1036.2764890000001</v>
      </c>
      <c r="AV100" s="3">
        <v>1E-3</v>
      </c>
      <c r="AW100" s="3">
        <f t="shared" si="10"/>
        <v>0.51</v>
      </c>
      <c r="AX100" s="5"/>
      <c r="AY100" s="5"/>
      <c r="AZ100" s="5"/>
      <c r="BA100" s="5"/>
      <c r="BB100" s="1"/>
      <c r="BC100" s="3" t="s">
        <v>59</v>
      </c>
      <c r="BD100" s="3">
        <v>0.9</v>
      </c>
      <c r="BE100" s="3">
        <v>0.5</v>
      </c>
      <c r="BF100" s="3">
        <v>0.6</v>
      </c>
      <c r="BG100" s="3">
        <v>0.3</v>
      </c>
      <c r="BH100" s="6">
        <v>848.355591</v>
      </c>
      <c r="BI100" s="3">
        <v>4.0000000000000001E-3</v>
      </c>
      <c r="BK100" s="3" t="s">
        <v>59</v>
      </c>
      <c r="BL100" s="3">
        <v>0.4</v>
      </c>
      <c r="BM100" s="7">
        <v>910.860229</v>
      </c>
      <c r="BN100" s="3">
        <v>1E-3</v>
      </c>
      <c r="BO100" s="3">
        <f t="shared" si="11"/>
        <v>0.35</v>
      </c>
    </row>
    <row r="101" spans="1:71" x14ac:dyDescent="0.3">
      <c r="A101" s="3" t="s">
        <v>60</v>
      </c>
      <c r="B101" s="3">
        <v>0.9</v>
      </c>
      <c r="C101" s="3">
        <v>0.5</v>
      </c>
      <c r="D101" s="3">
        <v>0.6</v>
      </c>
      <c r="E101" s="3">
        <v>0.3</v>
      </c>
      <c r="F101" s="6">
        <v>584.81042500000001</v>
      </c>
      <c r="G101" s="3">
        <v>1E-3</v>
      </c>
      <c r="I101" s="3" t="s">
        <v>60</v>
      </c>
      <c r="J101" s="3">
        <v>0.32</v>
      </c>
      <c r="K101" s="7">
        <v>590.54461700000002</v>
      </c>
      <c r="L101" s="3">
        <v>0</v>
      </c>
      <c r="M101" s="3">
        <f t="shared" si="8"/>
        <v>0.31</v>
      </c>
      <c r="N101" s="5"/>
      <c r="O101" s="5"/>
      <c r="P101" s="5"/>
      <c r="Q101" s="5"/>
      <c r="R101" s="1"/>
      <c r="S101" s="3" t="s">
        <v>60</v>
      </c>
      <c r="T101" s="3">
        <v>0.9</v>
      </c>
      <c r="U101" s="3">
        <v>0.5</v>
      </c>
      <c r="V101" s="3">
        <v>0.6</v>
      </c>
      <c r="W101" s="3">
        <v>0.3</v>
      </c>
      <c r="X101" s="7">
        <v>585.15905799999996</v>
      </c>
      <c r="Y101" s="3">
        <v>1E-3</v>
      </c>
      <c r="AA101" s="3" t="s">
        <v>60</v>
      </c>
      <c r="AB101" s="3">
        <v>0.62</v>
      </c>
      <c r="AC101" s="6">
        <v>580.54943800000001</v>
      </c>
      <c r="AD101" s="3">
        <v>0</v>
      </c>
      <c r="AE101" s="3">
        <f t="shared" si="9"/>
        <v>0.45999999999999996</v>
      </c>
      <c r="AF101" s="5"/>
      <c r="AG101" s="5"/>
      <c r="AH101" s="5"/>
      <c r="AI101" s="5"/>
      <c r="AJ101" s="1"/>
      <c r="AK101" s="3" t="s">
        <v>61</v>
      </c>
      <c r="AL101" s="3">
        <v>0.9</v>
      </c>
      <c r="AM101" s="3">
        <v>0.5</v>
      </c>
      <c r="AN101" s="3">
        <v>0.6</v>
      </c>
      <c r="AO101" s="3">
        <v>0.3</v>
      </c>
      <c r="AP101" s="7">
        <v>991.61114499999996</v>
      </c>
      <c r="AQ101" s="3">
        <v>4.0000000000000001E-3</v>
      </c>
      <c r="AS101" s="3" t="s">
        <v>61</v>
      </c>
      <c r="AT101" s="3">
        <v>0.1</v>
      </c>
      <c r="AU101" s="6">
        <v>853.34497099999999</v>
      </c>
      <c r="AV101" s="3">
        <v>1E-3</v>
      </c>
      <c r="AW101" s="3">
        <f t="shared" si="10"/>
        <v>0.2</v>
      </c>
      <c r="AX101" s="5"/>
      <c r="AY101" s="5"/>
      <c r="AZ101" s="5"/>
      <c r="BA101" s="5"/>
      <c r="BB101" s="1"/>
      <c r="BC101" s="3" t="s">
        <v>61</v>
      </c>
      <c r="BD101" s="3">
        <v>0.9</v>
      </c>
      <c r="BE101" s="3">
        <v>0.5</v>
      </c>
      <c r="BF101" s="3">
        <v>0.6</v>
      </c>
      <c r="BG101" s="3">
        <v>0.3</v>
      </c>
      <c r="BH101" s="6">
        <v>993.267517</v>
      </c>
      <c r="BI101" s="3">
        <v>5.0000000000000001E-3</v>
      </c>
      <c r="BK101" s="3" t="s">
        <v>61</v>
      </c>
      <c r="BL101" s="3">
        <v>0.47</v>
      </c>
      <c r="BM101" s="7">
        <v>1065.466553</v>
      </c>
      <c r="BN101" s="3">
        <v>1E-3</v>
      </c>
      <c r="BO101" s="3">
        <f t="shared" si="11"/>
        <v>0.38500000000000001</v>
      </c>
    </row>
    <row r="102" spans="1:71" x14ac:dyDescent="0.3">
      <c r="A102" s="3" t="s">
        <v>62</v>
      </c>
      <c r="B102" s="3">
        <v>0.9</v>
      </c>
      <c r="C102" s="3">
        <v>0.5</v>
      </c>
      <c r="D102" s="3">
        <v>0.6</v>
      </c>
      <c r="E102" s="3">
        <v>0.3</v>
      </c>
      <c r="F102" s="6">
        <v>399.97909499999997</v>
      </c>
      <c r="G102" s="3">
        <v>0</v>
      </c>
      <c r="I102" s="3" t="s">
        <v>62</v>
      </c>
      <c r="J102" s="3">
        <v>0.23</v>
      </c>
      <c r="K102" s="7">
        <v>400.43536399999999</v>
      </c>
      <c r="L102" s="3">
        <v>0</v>
      </c>
      <c r="M102" s="3">
        <f t="shared" si="8"/>
        <v>0.26500000000000001</v>
      </c>
      <c r="N102" s="5"/>
      <c r="O102" s="5"/>
      <c r="P102" s="5"/>
      <c r="Q102" s="5"/>
      <c r="R102" s="1"/>
      <c r="S102" s="3" t="s">
        <v>62</v>
      </c>
      <c r="T102" s="3">
        <v>0.9</v>
      </c>
      <c r="U102" s="3">
        <v>0.5</v>
      </c>
      <c r="V102" s="3">
        <v>0.6</v>
      </c>
      <c r="W102" s="3">
        <v>0.3</v>
      </c>
      <c r="X102" s="6">
        <v>396.15759300000002</v>
      </c>
      <c r="Y102" s="3">
        <v>0</v>
      </c>
      <c r="AA102" s="3" t="s">
        <v>62</v>
      </c>
      <c r="AB102" s="3">
        <v>0.91</v>
      </c>
      <c r="AC102" s="7">
        <v>408.72616599999998</v>
      </c>
      <c r="AD102" s="3">
        <v>1E-3</v>
      </c>
      <c r="AE102" s="3">
        <f t="shared" si="9"/>
        <v>0.60499999999999998</v>
      </c>
      <c r="AF102" s="5"/>
      <c r="AG102" s="5"/>
      <c r="AH102" s="5"/>
      <c r="AI102" s="5"/>
      <c r="AJ102" s="1"/>
      <c r="AK102" s="3" t="s">
        <v>63</v>
      </c>
      <c r="AL102" s="3">
        <v>0.9</v>
      </c>
      <c r="AM102" s="3">
        <v>0.5</v>
      </c>
      <c r="AN102" s="3">
        <v>0.6</v>
      </c>
      <c r="AO102" s="3">
        <v>0.3</v>
      </c>
      <c r="AP102" s="6">
        <v>965.622253</v>
      </c>
      <c r="AQ102" s="3">
        <v>5.0000000000000001E-3</v>
      </c>
      <c r="AS102" s="3" t="s">
        <v>63</v>
      </c>
      <c r="AT102" s="3">
        <v>0.98</v>
      </c>
      <c r="AU102" s="7">
        <v>1145.4941409999999</v>
      </c>
      <c r="AV102" s="3">
        <v>1E-3</v>
      </c>
      <c r="AW102" s="3">
        <f t="shared" si="10"/>
        <v>0.64</v>
      </c>
      <c r="AX102" s="5"/>
      <c r="AY102" s="5"/>
      <c r="AZ102" s="5"/>
      <c r="BA102" s="5"/>
      <c r="BB102" s="1"/>
      <c r="BC102" s="3" t="s">
        <v>63</v>
      </c>
      <c r="BD102" s="3">
        <v>0.9</v>
      </c>
      <c r="BE102" s="3">
        <v>0.5</v>
      </c>
      <c r="BF102" s="3">
        <v>0.6</v>
      </c>
      <c r="BG102" s="3">
        <v>0.3</v>
      </c>
      <c r="BH102" s="6">
        <v>967.06951900000001</v>
      </c>
      <c r="BI102" s="3">
        <v>6.0000000000000001E-3</v>
      </c>
      <c r="BK102" s="3" t="s">
        <v>63</v>
      </c>
      <c r="BL102" s="3">
        <v>0.41</v>
      </c>
      <c r="BM102" s="7">
        <v>1007.074341</v>
      </c>
      <c r="BN102" s="3">
        <v>1E-3</v>
      </c>
      <c r="BO102" s="3">
        <f t="shared" si="11"/>
        <v>0.35499999999999998</v>
      </c>
    </row>
    <row r="103" spans="1:71" x14ac:dyDescent="0.3">
      <c r="A103" s="3" t="s">
        <v>64</v>
      </c>
      <c r="B103" s="3">
        <v>0.9</v>
      </c>
      <c r="C103" s="3">
        <v>0.5</v>
      </c>
      <c r="D103" s="3">
        <v>0.6</v>
      </c>
      <c r="E103" s="3">
        <v>0.3</v>
      </c>
      <c r="F103" s="6">
        <v>559.56286599999999</v>
      </c>
      <c r="G103" s="3">
        <v>1E-3</v>
      </c>
      <c r="I103" s="3" t="s">
        <v>64</v>
      </c>
      <c r="J103" s="3">
        <v>0.76</v>
      </c>
      <c r="K103" s="7">
        <v>575.26348900000005</v>
      </c>
      <c r="L103" s="3">
        <v>0</v>
      </c>
      <c r="M103" s="3">
        <f t="shared" si="8"/>
        <v>0.53</v>
      </c>
      <c r="N103" s="5"/>
      <c r="O103" s="5"/>
      <c r="P103" s="5"/>
      <c r="Q103" s="5"/>
      <c r="R103" s="1"/>
      <c r="S103" s="3" t="s">
        <v>64</v>
      </c>
      <c r="T103" s="3">
        <v>0.9</v>
      </c>
      <c r="U103" s="3">
        <v>0.5</v>
      </c>
      <c r="V103" s="3">
        <v>0.6</v>
      </c>
      <c r="W103" s="3">
        <v>0.3</v>
      </c>
      <c r="X103" s="6">
        <v>558.28326400000003</v>
      </c>
      <c r="Y103" s="3">
        <v>1E-3</v>
      </c>
      <c r="AA103" s="3" t="s">
        <v>64</v>
      </c>
      <c r="AB103" s="3">
        <v>0.24</v>
      </c>
      <c r="AC103" s="7">
        <v>566.16613800000005</v>
      </c>
      <c r="AD103" s="3">
        <v>0</v>
      </c>
      <c r="AE103" s="3">
        <f t="shared" si="9"/>
        <v>0.27</v>
      </c>
      <c r="AF103" s="5"/>
      <c r="AG103" s="5"/>
      <c r="AH103" s="5"/>
      <c r="AI103" s="5"/>
      <c r="AJ103" s="1"/>
      <c r="AK103" s="3" t="s">
        <v>65</v>
      </c>
      <c r="AL103" s="3">
        <v>0.9</v>
      </c>
      <c r="AM103" s="3">
        <v>0.5</v>
      </c>
      <c r="AN103" s="3">
        <v>0.6</v>
      </c>
      <c r="AO103" s="3">
        <v>0.3</v>
      </c>
      <c r="AP103" s="6">
        <v>901.65093999999999</v>
      </c>
      <c r="AQ103" s="3">
        <v>5.0000000000000001E-3</v>
      </c>
      <c r="AS103" s="3" t="s">
        <v>65</v>
      </c>
      <c r="AT103" s="3">
        <v>0.32</v>
      </c>
      <c r="AU103" s="7">
        <v>909.939392</v>
      </c>
      <c r="AV103" s="3">
        <v>1E-3</v>
      </c>
      <c r="AW103" s="3">
        <f t="shared" si="10"/>
        <v>0.31</v>
      </c>
      <c r="AX103" s="5"/>
      <c r="AY103" s="5"/>
      <c r="AZ103" s="5"/>
      <c r="BA103" s="5"/>
      <c r="BB103" s="1"/>
      <c r="BC103" s="3" t="s">
        <v>65</v>
      </c>
      <c r="BD103" s="3">
        <v>0.9</v>
      </c>
      <c r="BE103" s="3">
        <v>0.5</v>
      </c>
      <c r="BF103" s="3">
        <v>0.6</v>
      </c>
      <c r="BG103" s="3">
        <v>0.3</v>
      </c>
      <c r="BH103" s="6">
        <v>895.64355499999999</v>
      </c>
      <c r="BI103" s="3">
        <v>4.0000000000000001E-3</v>
      </c>
      <c r="BK103" s="3" t="s">
        <v>65</v>
      </c>
      <c r="BL103" s="3">
        <v>0.96</v>
      </c>
      <c r="BM103" s="7">
        <v>1154.38147</v>
      </c>
      <c r="BN103" s="3">
        <v>1E-3</v>
      </c>
      <c r="BO103" s="3">
        <f t="shared" si="11"/>
        <v>0.63</v>
      </c>
    </row>
    <row r="104" spans="1:71" x14ac:dyDescent="0.3">
      <c r="A104" s="3" t="s">
        <v>66</v>
      </c>
      <c r="B104" s="3">
        <v>0.9</v>
      </c>
      <c r="C104" s="3">
        <v>0.5</v>
      </c>
      <c r="D104" s="3">
        <v>0.6</v>
      </c>
      <c r="E104" s="3">
        <v>0.3</v>
      </c>
      <c r="F104" s="6">
        <v>510.85406499999999</v>
      </c>
      <c r="G104" s="3">
        <v>1E-3</v>
      </c>
      <c r="I104" s="3" t="s">
        <v>66</v>
      </c>
      <c r="J104" s="3">
        <v>0.92</v>
      </c>
      <c r="K104" s="7">
        <v>550.43139599999995</v>
      </c>
      <c r="L104" s="3">
        <v>0</v>
      </c>
      <c r="M104" s="3">
        <f t="shared" si="8"/>
        <v>0.61</v>
      </c>
      <c r="N104" s="5"/>
      <c r="O104" s="5"/>
      <c r="P104" s="5"/>
      <c r="Q104" s="5"/>
      <c r="R104" s="1"/>
      <c r="S104" s="3" t="s">
        <v>66</v>
      </c>
      <c r="T104" s="3">
        <v>0.9</v>
      </c>
      <c r="U104" s="3">
        <v>0.5</v>
      </c>
      <c r="V104" s="3">
        <v>0.6</v>
      </c>
      <c r="W104" s="3">
        <v>0.3</v>
      </c>
      <c r="X104" s="6">
        <v>505.31863399999997</v>
      </c>
      <c r="Y104" s="3">
        <v>0</v>
      </c>
      <c r="AA104" s="3" t="s">
        <v>66</v>
      </c>
      <c r="AB104" s="3">
        <v>0.06</v>
      </c>
      <c r="AC104" s="7">
        <v>520.561646</v>
      </c>
      <c r="AD104" s="3">
        <v>0</v>
      </c>
      <c r="AE104" s="3">
        <f t="shared" si="9"/>
        <v>0.18</v>
      </c>
      <c r="AF104" s="5"/>
      <c r="AG104" s="5"/>
      <c r="AH104" s="5"/>
      <c r="AI104" s="5"/>
      <c r="AJ104" s="1"/>
      <c r="AK104" s="3" t="s">
        <v>67</v>
      </c>
      <c r="AL104" s="3">
        <v>0.9</v>
      </c>
      <c r="AM104" s="3">
        <v>0.5</v>
      </c>
      <c r="AN104" s="3">
        <v>0.6</v>
      </c>
      <c r="AO104" s="3">
        <v>0.3</v>
      </c>
      <c r="AP104" s="6">
        <v>945.85308799999996</v>
      </c>
      <c r="AQ104" s="3">
        <v>4.0000000000000001E-3</v>
      </c>
      <c r="AS104" s="3" t="s">
        <v>67</v>
      </c>
      <c r="AT104" s="3">
        <v>0.36</v>
      </c>
      <c r="AU104" s="7">
        <v>983.75225799999998</v>
      </c>
      <c r="AV104" s="3">
        <v>0</v>
      </c>
      <c r="AW104" s="3">
        <f t="shared" si="10"/>
        <v>0.32999999999999996</v>
      </c>
      <c r="AX104" s="5"/>
      <c r="AY104" s="5"/>
      <c r="AZ104" s="5"/>
      <c r="BA104" s="5"/>
      <c r="BB104" s="1"/>
      <c r="BC104" s="3" t="s">
        <v>67</v>
      </c>
      <c r="BD104" s="3">
        <v>0.9</v>
      </c>
      <c r="BE104" s="3">
        <v>0.5</v>
      </c>
      <c r="BF104" s="3">
        <v>0.6</v>
      </c>
      <c r="BG104" s="3">
        <v>0.3</v>
      </c>
      <c r="BH104" s="7">
        <v>954.73718299999996</v>
      </c>
      <c r="BI104" s="3">
        <v>5.0000000000000001E-3</v>
      </c>
      <c r="BK104" s="3" t="s">
        <v>67</v>
      </c>
      <c r="BL104" s="3">
        <v>0.17</v>
      </c>
      <c r="BM104" s="6">
        <v>859.25073199999997</v>
      </c>
      <c r="BN104" s="3">
        <v>0</v>
      </c>
      <c r="BO104" s="3">
        <f t="shared" si="11"/>
        <v>0.23499999999999999</v>
      </c>
    </row>
    <row r="105" spans="1:71" x14ac:dyDescent="0.3">
      <c r="A105" s="3" t="s">
        <v>68</v>
      </c>
      <c r="B105" s="3">
        <v>0.9</v>
      </c>
      <c r="C105" s="3">
        <v>0.5</v>
      </c>
      <c r="D105" s="3">
        <v>0.6</v>
      </c>
      <c r="E105" s="3">
        <v>0.3</v>
      </c>
      <c r="F105" s="6">
        <v>400.58245799999997</v>
      </c>
      <c r="G105" s="3">
        <v>1E-3</v>
      </c>
      <c r="I105" s="3" t="s">
        <v>68</v>
      </c>
      <c r="J105" s="3">
        <v>0.85</v>
      </c>
      <c r="K105" s="7">
        <v>405.86981200000002</v>
      </c>
      <c r="L105" s="3">
        <v>0</v>
      </c>
      <c r="M105" s="3">
        <f t="shared" si="8"/>
        <v>0.57499999999999996</v>
      </c>
      <c r="N105" s="5"/>
      <c r="O105" s="5"/>
      <c r="P105" s="5"/>
      <c r="Q105" s="5"/>
      <c r="R105" s="1"/>
      <c r="S105" s="3" t="s">
        <v>68</v>
      </c>
      <c r="T105" s="3">
        <v>0.9</v>
      </c>
      <c r="U105" s="3">
        <v>0.5</v>
      </c>
      <c r="V105" s="3">
        <v>0.6</v>
      </c>
      <c r="W105" s="3">
        <v>0.3</v>
      </c>
      <c r="X105" s="6">
        <v>397.147064</v>
      </c>
      <c r="Y105" s="3">
        <v>0</v>
      </c>
      <c r="AA105" s="3" t="s">
        <v>68</v>
      </c>
      <c r="AB105" s="3">
        <v>0.49</v>
      </c>
      <c r="AC105" s="8">
        <v>397.21749899999998</v>
      </c>
      <c r="AD105" s="3">
        <v>1E-3</v>
      </c>
      <c r="AE105" s="3">
        <f t="shared" si="9"/>
        <v>0.39500000000000002</v>
      </c>
      <c r="AF105" s="5"/>
      <c r="AG105" s="5"/>
      <c r="AH105" s="5"/>
      <c r="AI105" s="5"/>
      <c r="AJ105" s="1"/>
      <c r="AK105" s="3" t="s">
        <v>69</v>
      </c>
      <c r="AL105" s="3">
        <v>0.9</v>
      </c>
      <c r="AM105" s="3">
        <v>0.5</v>
      </c>
      <c r="AN105" s="3">
        <v>0.6</v>
      </c>
      <c r="AO105" s="3">
        <v>0.3</v>
      </c>
      <c r="AP105" s="6">
        <v>970.48126200000002</v>
      </c>
      <c r="AQ105" s="3">
        <v>4.0000000000000001E-3</v>
      </c>
      <c r="AS105" s="3" t="s">
        <v>69</v>
      </c>
      <c r="AT105" s="3">
        <v>0.71</v>
      </c>
      <c r="AU105" s="7">
        <v>1118.961182</v>
      </c>
      <c r="AV105" s="3">
        <v>1E-3</v>
      </c>
      <c r="AW105" s="3">
        <f t="shared" si="10"/>
        <v>0.505</v>
      </c>
      <c r="AX105" s="5"/>
      <c r="AY105" s="5"/>
      <c r="AZ105" s="5"/>
      <c r="BA105" s="5"/>
      <c r="BB105" s="1"/>
      <c r="BC105" s="3" t="s">
        <v>69</v>
      </c>
      <c r="BD105" s="3">
        <v>0.9</v>
      </c>
      <c r="BE105" s="3">
        <v>0.5</v>
      </c>
      <c r="BF105" s="3">
        <v>0.6</v>
      </c>
      <c r="BG105" s="3">
        <v>0.3</v>
      </c>
      <c r="BH105" s="6">
        <v>968.88391100000001</v>
      </c>
      <c r="BI105" s="3">
        <v>5.0000000000000001E-3</v>
      </c>
      <c r="BK105" s="3" t="s">
        <v>69</v>
      </c>
      <c r="BL105" s="3">
        <v>0.9</v>
      </c>
      <c r="BM105" s="7">
        <v>1183.146851</v>
      </c>
      <c r="BN105" s="3">
        <v>1E-3</v>
      </c>
      <c r="BO105" s="3">
        <f t="shared" si="11"/>
        <v>0.6</v>
      </c>
    </row>
    <row r="106" spans="1:71" x14ac:dyDescent="0.3">
      <c r="A106" s="9" t="s">
        <v>316</v>
      </c>
      <c r="E106" s="9">
        <f>AVERAGE(E76:E105)</f>
        <v>0.3</v>
      </c>
      <c r="I106" s="9" t="s">
        <v>316</v>
      </c>
      <c r="J106" s="9">
        <f>AVERAGE(J76:J105)</f>
        <v>0.48766666666666664</v>
      </c>
      <c r="R106" s="1"/>
      <c r="S106" s="9" t="s">
        <v>316</v>
      </c>
      <c r="W106" s="9">
        <f>AVERAGE(W76:W105)</f>
        <v>0.3</v>
      </c>
      <c r="AA106" s="9" t="s">
        <v>316</v>
      </c>
      <c r="AB106" s="9">
        <f>AVERAGE(AB76:AB105)</f>
        <v>0.48733333333333345</v>
      </c>
      <c r="AJ106" s="1"/>
      <c r="AK106" s="9" t="s">
        <v>316</v>
      </c>
      <c r="AO106" s="9">
        <f>AVERAGE(AO76:AO105)</f>
        <v>0.3</v>
      </c>
      <c r="AS106" s="9" t="s">
        <v>316</v>
      </c>
      <c r="AT106" s="9">
        <f>AVERAGE(AT76:AT105)</f>
        <v>0.44733333333333342</v>
      </c>
      <c r="AW106" s="2"/>
      <c r="AX106" s="2"/>
      <c r="AY106" s="2"/>
      <c r="AZ106" s="2"/>
      <c r="BA106" s="2"/>
      <c r="BB106" s="1"/>
      <c r="BC106" s="9" t="s">
        <v>316</v>
      </c>
      <c r="BG106" s="9">
        <f>AVERAGE(BG76:BG105)</f>
        <v>0.3</v>
      </c>
      <c r="BK106" s="9" t="s">
        <v>316</v>
      </c>
      <c r="BL106" s="9">
        <f>AVERAGE(BL76:BL105)</f>
        <v>0.47933333333333328</v>
      </c>
    </row>
    <row r="107" spans="1:7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row>
    <row r="108" spans="1:71" x14ac:dyDescent="0.3">
      <c r="A108" s="19" t="s">
        <v>314</v>
      </c>
      <c r="B108" s="19"/>
      <c r="C108" s="19"/>
      <c r="D108" s="19"/>
      <c r="E108" s="19"/>
      <c r="F108" s="19"/>
      <c r="G108" s="19"/>
      <c r="I108" s="19" t="s">
        <v>315</v>
      </c>
      <c r="J108" s="19"/>
      <c r="K108" s="19"/>
      <c r="L108" s="19"/>
      <c r="M108" s="19"/>
      <c r="N108" s="11"/>
      <c r="O108" s="11"/>
      <c r="P108" s="11"/>
      <c r="Q108" s="11"/>
      <c r="R108" s="1"/>
      <c r="S108" s="19" t="s">
        <v>314</v>
      </c>
      <c r="T108" s="19"/>
      <c r="U108" s="19"/>
      <c r="V108" s="19"/>
      <c r="W108" s="19"/>
      <c r="X108" s="19"/>
      <c r="Y108" s="19"/>
      <c r="AA108" s="19" t="s">
        <v>315</v>
      </c>
      <c r="AB108" s="19"/>
      <c r="AC108" s="19"/>
      <c r="AD108" s="19"/>
      <c r="AE108" s="19"/>
      <c r="AF108" s="11"/>
      <c r="AG108" s="11"/>
      <c r="AH108" s="11"/>
      <c r="AI108" s="11"/>
      <c r="AJ108" s="1"/>
      <c r="AK108" s="19" t="s">
        <v>314</v>
      </c>
      <c r="AL108" s="19"/>
      <c r="AM108" s="19"/>
      <c r="AN108" s="19"/>
      <c r="AO108" s="19"/>
      <c r="AP108" s="19"/>
      <c r="AQ108" s="19"/>
      <c r="AS108" s="19" t="s">
        <v>315</v>
      </c>
      <c r="AT108" s="19"/>
      <c r="AU108" s="19"/>
      <c r="AV108" s="19"/>
      <c r="AW108" s="19"/>
      <c r="AX108" s="11"/>
      <c r="AY108" s="11"/>
      <c r="AZ108" s="11"/>
      <c r="BA108" s="11"/>
      <c r="BB108" s="1"/>
      <c r="BC108" s="19" t="s">
        <v>314</v>
      </c>
      <c r="BD108" s="19"/>
      <c r="BE108" s="19"/>
      <c r="BF108" s="19"/>
      <c r="BG108" s="19"/>
      <c r="BH108" s="19"/>
      <c r="BI108" s="19"/>
      <c r="BK108" s="19" t="s">
        <v>315</v>
      </c>
      <c r="BL108" s="19"/>
      <c r="BM108" s="19"/>
      <c r="BN108" s="19"/>
      <c r="BO108" s="19"/>
    </row>
    <row r="109" spans="1:71" x14ac:dyDescent="0.3">
      <c r="A109" s="20" t="s">
        <v>0</v>
      </c>
      <c r="B109" s="21"/>
      <c r="C109" s="21"/>
      <c r="D109" s="21"/>
      <c r="E109" s="21"/>
      <c r="F109" s="21"/>
      <c r="G109" s="22"/>
      <c r="I109" s="20" t="s">
        <v>0</v>
      </c>
      <c r="J109" s="21"/>
      <c r="K109" s="21"/>
      <c r="L109" s="21"/>
      <c r="M109" s="22"/>
      <c r="N109" s="11"/>
      <c r="O109" s="11"/>
      <c r="P109" s="11"/>
      <c r="Q109" s="11"/>
      <c r="R109" s="1"/>
      <c r="S109" s="3" t="s">
        <v>1</v>
      </c>
      <c r="T109" s="3"/>
      <c r="U109" s="3"/>
      <c r="V109" s="3"/>
      <c r="W109" s="3"/>
      <c r="X109" s="3"/>
      <c r="Y109" s="3"/>
      <c r="AA109" s="3" t="s">
        <v>1</v>
      </c>
      <c r="AB109" s="3"/>
      <c r="AC109" s="3"/>
      <c r="AD109" s="3"/>
      <c r="AE109" s="3"/>
      <c r="AF109" s="5"/>
      <c r="AG109" s="5"/>
      <c r="AH109" s="5"/>
      <c r="AI109" s="5"/>
      <c r="AJ109" s="1"/>
      <c r="AK109" s="3" t="s">
        <v>0</v>
      </c>
      <c r="AL109" s="3"/>
      <c r="AM109" s="3"/>
      <c r="AN109" s="3"/>
      <c r="AO109" s="3"/>
      <c r="AP109" s="3"/>
      <c r="AQ109" s="3"/>
      <c r="AS109" s="3" t="s">
        <v>0</v>
      </c>
      <c r="AT109" s="3"/>
      <c r="AU109" s="3"/>
      <c r="AV109" s="3"/>
      <c r="AW109" s="4"/>
      <c r="AX109" s="12"/>
      <c r="AY109" s="12"/>
      <c r="AZ109" s="12"/>
      <c r="BA109" s="12"/>
      <c r="BB109" s="1"/>
      <c r="BC109" s="3" t="s">
        <v>1</v>
      </c>
      <c r="BD109" s="3"/>
      <c r="BE109" s="3"/>
      <c r="BF109" s="3"/>
      <c r="BG109" s="3"/>
      <c r="BH109" s="3"/>
      <c r="BI109" s="3"/>
      <c r="BK109" s="3" t="s">
        <v>1</v>
      </c>
      <c r="BL109" s="3"/>
      <c r="BM109" s="3"/>
      <c r="BN109" s="3"/>
      <c r="BO109" s="3"/>
    </row>
    <row r="110" spans="1:71" x14ac:dyDescent="0.3">
      <c r="A110" s="4" t="s">
        <v>2</v>
      </c>
      <c r="B110" s="4" t="s">
        <v>3</v>
      </c>
      <c r="C110" s="4" t="s">
        <v>4</v>
      </c>
      <c r="D110" s="4" t="s">
        <v>5</v>
      </c>
      <c r="E110" s="4" t="s">
        <v>6</v>
      </c>
      <c r="F110" s="4" t="s">
        <v>7</v>
      </c>
      <c r="G110" s="4" t="s">
        <v>8</v>
      </c>
      <c r="H110" s="2"/>
      <c r="I110" s="4" t="s">
        <v>2</v>
      </c>
      <c r="J110" s="4" t="s">
        <v>6</v>
      </c>
      <c r="K110" s="4" t="s">
        <v>7</v>
      </c>
      <c r="L110" s="4" t="s">
        <v>8</v>
      </c>
      <c r="M110" s="4" t="s">
        <v>9</v>
      </c>
      <c r="N110" s="3" t="s">
        <v>322</v>
      </c>
      <c r="O110" s="3" t="s">
        <v>323</v>
      </c>
      <c r="P110" s="3" t="s">
        <v>322</v>
      </c>
      <c r="Q110" s="3" t="s">
        <v>323</v>
      </c>
      <c r="R110" s="1"/>
      <c r="S110" s="4" t="s">
        <v>2</v>
      </c>
      <c r="T110" s="4" t="s">
        <v>3</v>
      </c>
      <c r="U110" s="4" t="s">
        <v>4</v>
      </c>
      <c r="V110" s="4" t="s">
        <v>5</v>
      </c>
      <c r="W110" s="4" t="s">
        <v>6</v>
      </c>
      <c r="X110" s="4" t="s">
        <v>7</v>
      </c>
      <c r="Y110" s="4" t="s">
        <v>8</v>
      </c>
      <c r="Z110" s="2"/>
      <c r="AA110" s="4" t="s">
        <v>2</v>
      </c>
      <c r="AB110" s="4" t="s">
        <v>6</v>
      </c>
      <c r="AC110" s="4" t="s">
        <v>7</v>
      </c>
      <c r="AD110" s="4" t="s">
        <v>8</v>
      </c>
      <c r="AE110" s="4" t="s">
        <v>9</v>
      </c>
      <c r="AF110" s="3" t="s">
        <v>322</v>
      </c>
      <c r="AG110" s="3" t="s">
        <v>323</v>
      </c>
      <c r="AH110" s="3" t="s">
        <v>322</v>
      </c>
      <c r="AI110" s="3" t="s">
        <v>323</v>
      </c>
      <c r="AJ110" s="1"/>
      <c r="AK110" s="3" t="s">
        <v>2</v>
      </c>
      <c r="AL110" s="3" t="s">
        <v>3</v>
      </c>
      <c r="AM110" s="3" t="s">
        <v>4</v>
      </c>
      <c r="AN110" s="3" t="s">
        <v>5</v>
      </c>
      <c r="AO110" s="3" t="s">
        <v>6</v>
      </c>
      <c r="AP110" s="3" t="s">
        <v>7</v>
      </c>
      <c r="AQ110" s="3" t="s">
        <v>8</v>
      </c>
      <c r="AR110" s="2"/>
      <c r="AS110" s="3" t="s">
        <v>2</v>
      </c>
      <c r="AT110" s="3" t="s">
        <v>6</v>
      </c>
      <c r="AU110" s="3" t="s">
        <v>7</v>
      </c>
      <c r="AV110" s="3" t="s">
        <v>8</v>
      </c>
      <c r="AW110" s="3" t="s">
        <v>9</v>
      </c>
      <c r="AX110" s="3" t="s">
        <v>322</v>
      </c>
      <c r="AY110" s="3" t="s">
        <v>323</v>
      </c>
      <c r="AZ110" s="3" t="s">
        <v>322</v>
      </c>
      <c r="BA110" s="3" t="s">
        <v>323</v>
      </c>
      <c r="BB110" s="1"/>
      <c r="BC110" s="3" t="s">
        <v>2</v>
      </c>
      <c r="BD110" s="3" t="s">
        <v>3</v>
      </c>
      <c r="BE110" s="3" t="s">
        <v>4</v>
      </c>
      <c r="BF110" s="3" t="s">
        <v>5</v>
      </c>
      <c r="BG110" s="3" t="s">
        <v>6</v>
      </c>
      <c r="BH110" s="3" t="s">
        <v>7</v>
      </c>
      <c r="BI110" s="3" t="s">
        <v>8</v>
      </c>
      <c r="BJ110" s="2"/>
      <c r="BK110" s="3" t="s">
        <v>2</v>
      </c>
      <c r="BL110" s="3" t="s">
        <v>6</v>
      </c>
      <c r="BM110" s="3" t="s">
        <v>7</v>
      </c>
      <c r="BN110" s="3" t="s">
        <v>8</v>
      </c>
      <c r="BO110" s="3" t="s">
        <v>9</v>
      </c>
      <c r="BP110" s="3" t="s">
        <v>322</v>
      </c>
      <c r="BQ110" s="3" t="s">
        <v>323</v>
      </c>
      <c r="BR110" s="3" t="s">
        <v>322</v>
      </c>
      <c r="BS110" s="3" t="s">
        <v>323</v>
      </c>
    </row>
    <row r="111" spans="1:71" x14ac:dyDescent="0.3">
      <c r="A111" s="3" t="s">
        <v>74</v>
      </c>
      <c r="B111" s="3">
        <v>0.9</v>
      </c>
      <c r="C111" s="3">
        <v>0.5</v>
      </c>
      <c r="D111" s="3">
        <v>0.6</v>
      </c>
      <c r="E111" s="3">
        <v>0.3</v>
      </c>
      <c r="F111" s="6">
        <v>401.67568999999997</v>
      </c>
      <c r="G111" s="3">
        <v>1E-3</v>
      </c>
      <c r="I111" s="3" t="s">
        <v>74</v>
      </c>
      <c r="J111" s="3">
        <v>0.01</v>
      </c>
      <c r="K111" s="7">
        <v>429.75</v>
      </c>
      <c r="L111" s="3">
        <v>0</v>
      </c>
      <c r="M111" s="3">
        <f t="shared" ref="M111:M140" si="12">AVERAGE(E111,J111)</f>
        <v>0.155</v>
      </c>
      <c r="N111" s="4" t="s">
        <v>320</v>
      </c>
      <c r="O111" s="4" t="s">
        <v>320</v>
      </c>
      <c r="P111" s="4" t="s">
        <v>321</v>
      </c>
      <c r="Q111" s="4" t="s">
        <v>321</v>
      </c>
      <c r="R111" s="1"/>
      <c r="S111" s="3" t="s">
        <v>74</v>
      </c>
      <c r="T111" s="3">
        <v>0.9</v>
      </c>
      <c r="U111" s="3">
        <v>0.5</v>
      </c>
      <c r="V111" s="3">
        <v>0.6</v>
      </c>
      <c r="W111" s="3">
        <v>0.3</v>
      </c>
      <c r="X111" s="6">
        <v>368.78576700000002</v>
      </c>
      <c r="Y111" s="3">
        <v>1E-3</v>
      </c>
      <c r="AA111" s="3" t="s">
        <v>74</v>
      </c>
      <c r="AB111" s="3">
        <v>0.01</v>
      </c>
      <c r="AC111" s="7">
        <v>400.44961499999999</v>
      </c>
      <c r="AD111" s="3">
        <v>0</v>
      </c>
      <c r="AE111" s="3">
        <f t="shared" ref="AE111:AE140" si="13">AVERAGE(W111,AB111)</f>
        <v>0.155</v>
      </c>
      <c r="AF111" s="4" t="s">
        <v>320</v>
      </c>
      <c r="AG111" s="4" t="s">
        <v>320</v>
      </c>
      <c r="AH111" s="4" t="s">
        <v>321</v>
      </c>
      <c r="AI111" s="4" t="s">
        <v>321</v>
      </c>
      <c r="AJ111" s="1"/>
      <c r="AK111" s="3" t="s">
        <v>75</v>
      </c>
      <c r="AL111" s="3">
        <v>0.9</v>
      </c>
      <c r="AM111" s="3">
        <v>0.5</v>
      </c>
      <c r="AN111" s="3">
        <v>0.6</v>
      </c>
      <c r="AO111" s="3">
        <v>0.3</v>
      </c>
      <c r="AP111" s="7">
        <v>728.09893799999998</v>
      </c>
      <c r="AQ111" s="3">
        <v>8.9999999999999993E-3</v>
      </c>
      <c r="AS111" s="3" t="s">
        <v>75</v>
      </c>
      <c r="AT111" s="3">
        <v>0.01</v>
      </c>
      <c r="AU111" s="6">
        <v>685.51715100000001</v>
      </c>
      <c r="AV111" s="3">
        <v>1E-3</v>
      </c>
      <c r="AW111" s="3">
        <f t="shared" ref="AW111:AW140" si="14">AVERAGE(AO111,AT111)</f>
        <v>0.155</v>
      </c>
      <c r="AX111" s="4" t="s">
        <v>320</v>
      </c>
      <c r="AY111" s="4" t="s">
        <v>320</v>
      </c>
      <c r="AZ111" s="4" t="s">
        <v>321</v>
      </c>
      <c r="BA111" s="4" t="s">
        <v>321</v>
      </c>
      <c r="BB111" s="1"/>
      <c r="BC111" s="3" t="s">
        <v>75</v>
      </c>
      <c r="BD111" s="3">
        <v>0.9</v>
      </c>
      <c r="BE111" s="3">
        <v>0.5</v>
      </c>
      <c r="BF111" s="3">
        <v>0.6</v>
      </c>
      <c r="BG111" s="3">
        <v>0.3</v>
      </c>
      <c r="BH111" s="7">
        <v>689.98767099999998</v>
      </c>
      <c r="BI111" s="3">
        <v>5.0000000000000001E-3</v>
      </c>
      <c r="BK111" s="3" t="s">
        <v>75</v>
      </c>
      <c r="BL111" s="3">
        <v>0.01</v>
      </c>
      <c r="BM111" s="6">
        <v>632.99401899999998</v>
      </c>
      <c r="BN111" s="3">
        <v>0</v>
      </c>
      <c r="BO111" s="3">
        <f t="shared" ref="BO111:BO140" si="15">AVERAGE(BG111,BL111)</f>
        <v>0.155</v>
      </c>
      <c r="BP111" s="4" t="s">
        <v>320</v>
      </c>
      <c r="BQ111" s="4" t="s">
        <v>320</v>
      </c>
      <c r="BR111" s="4" t="s">
        <v>321</v>
      </c>
      <c r="BS111" s="4" t="s">
        <v>321</v>
      </c>
    </row>
    <row r="112" spans="1:71" x14ac:dyDescent="0.3">
      <c r="A112" s="3" t="s">
        <v>76</v>
      </c>
      <c r="B112" s="3">
        <v>0.9</v>
      </c>
      <c r="C112" s="3">
        <v>0.5</v>
      </c>
      <c r="D112" s="3">
        <v>0.6</v>
      </c>
      <c r="E112" s="3">
        <v>0.3</v>
      </c>
      <c r="F112" s="6">
        <v>434.25775099999998</v>
      </c>
      <c r="G112" s="3">
        <v>1E-3</v>
      </c>
      <c r="I112" s="3" t="s">
        <v>76</v>
      </c>
      <c r="J112" s="3">
        <v>0.73</v>
      </c>
      <c r="K112" s="7">
        <v>455.23260499999998</v>
      </c>
      <c r="L112" s="3">
        <v>0</v>
      </c>
      <c r="M112" s="3">
        <f t="shared" si="12"/>
        <v>0.51500000000000001</v>
      </c>
      <c r="N112" s="3">
        <f>COUNT(F111:F112,F115:F117,F120:F124,F126:F131,F133:F135,F138:F139)</f>
        <v>21</v>
      </c>
      <c r="O112" s="3">
        <f>30-N112</f>
        <v>9</v>
      </c>
      <c r="P112" s="3">
        <f>COUNT(K113:K114,K118:K119,K125,K132,K136:K137,K140)</f>
        <v>9</v>
      </c>
      <c r="Q112" s="3">
        <f>30-P112</f>
        <v>21</v>
      </c>
      <c r="R112" s="1"/>
      <c r="S112" s="3" t="s">
        <v>76</v>
      </c>
      <c r="T112" s="3">
        <v>0.9</v>
      </c>
      <c r="U112" s="3">
        <v>0.5</v>
      </c>
      <c r="V112" s="3">
        <v>0.6</v>
      </c>
      <c r="W112" s="3">
        <v>0.3</v>
      </c>
      <c r="X112" s="6">
        <v>397.466522</v>
      </c>
      <c r="Y112" s="3">
        <v>1E-3</v>
      </c>
      <c r="AA112" s="3" t="s">
        <v>76</v>
      </c>
      <c r="AB112" s="3">
        <v>0.96</v>
      </c>
      <c r="AC112" s="7">
        <v>414.12939499999999</v>
      </c>
      <c r="AD112" s="3">
        <v>0</v>
      </c>
      <c r="AE112" s="3">
        <f t="shared" si="13"/>
        <v>0.63</v>
      </c>
      <c r="AF112" s="3">
        <f>COUNT(X111:X113,X115:X116,X118:X120,X122,X124:X125,X127:X128,X130,X132:X133,X135,X138:X140)</f>
        <v>20</v>
      </c>
      <c r="AG112" s="3">
        <f>30-AF112</f>
        <v>10</v>
      </c>
      <c r="AH112" s="3">
        <f>COUNT(AC114,AC117,AC121,AC123,AC126,AC129,AC131,AC134,AC136:AC137)</f>
        <v>10</v>
      </c>
      <c r="AI112" s="3">
        <f>30-AH112</f>
        <v>20</v>
      </c>
      <c r="AJ112" s="1"/>
      <c r="AK112" s="3" t="s">
        <v>77</v>
      </c>
      <c r="AL112" s="3">
        <v>0.9</v>
      </c>
      <c r="AM112" s="3">
        <v>0.5</v>
      </c>
      <c r="AN112" s="3">
        <v>0.6</v>
      </c>
      <c r="AO112" s="3">
        <v>0.3</v>
      </c>
      <c r="AP112" s="6">
        <v>793.56445299999996</v>
      </c>
      <c r="AQ112" s="3">
        <v>8.0000000000000002E-3</v>
      </c>
      <c r="AS112" s="3" t="s">
        <v>77</v>
      </c>
      <c r="AT112" s="3">
        <v>0.49</v>
      </c>
      <c r="AU112" s="7">
        <v>891.33123799999998</v>
      </c>
      <c r="AV112" s="3">
        <v>1E-3</v>
      </c>
      <c r="AW112" s="3">
        <f t="shared" si="14"/>
        <v>0.39500000000000002</v>
      </c>
      <c r="AX112" s="3">
        <f>COUNT(AP112,AP114:AP116,AP118:AP120,AP123:AP125,AP128:AP136,AP138:AP140)</f>
        <v>22</v>
      </c>
      <c r="AY112" s="3">
        <f>30-AX112</f>
        <v>8</v>
      </c>
      <c r="AZ112" s="3">
        <f>COUNT(AU111,AU113,AU117,AU121:AU122,AU126:AU127,AU137)</f>
        <v>8</v>
      </c>
      <c r="BA112" s="3">
        <f>30-AZ112</f>
        <v>22</v>
      </c>
      <c r="BB112" s="1"/>
      <c r="BC112" s="3" t="s">
        <v>77</v>
      </c>
      <c r="BD112" s="3">
        <v>0.9</v>
      </c>
      <c r="BE112" s="3">
        <v>0.5</v>
      </c>
      <c r="BF112" s="3">
        <v>0.6</v>
      </c>
      <c r="BG112" s="3">
        <v>0.3</v>
      </c>
      <c r="BH112" s="6">
        <v>748.72119099999998</v>
      </c>
      <c r="BI112" s="3">
        <v>4.0000000000000001E-3</v>
      </c>
      <c r="BK112" s="3" t="s">
        <v>77</v>
      </c>
      <c r="BL112" s="3">
        <v>0.32</v>
      </c>
      <c r="BM112" s="7">
        <v>762.05950900000005</v>
      </c>
      <c r="BN112" s="3">
        <v>0</v>
      </c>
      <c r="BO112" s="3">
        <f t="shared" si="15"/>
        <v>0.31</v>
      </c>
      <c r="BP112" s="3">
        <f>COUNT(BH112:BH116,BH118:BH123,BH125:BH128,BH130:BH131,BH135:BH140)</f>
        <v>23</v>
      </c>
      <c r="BQ112" s="3">
        <f>30-BP112</f>
        <v>7</v>
      </c>
      <c r="BR112" s="3">
        <f>COUNT(BM111,BM117,BM124,BM129,BM132:BM134,BM136)</f>
        <v>8</v>
      </c>
      <c r="BS112" s="3">
        <f>30-BR112</f>
        <v>22</v>
      </c>
    </row>
    <row r="113" spans="1:67" x14ac:dyDescent="0.3">
      <c r="A113" s="3" t="s">
        <v>78</v>
      </c>
      <c r="B113" s="3">
        <v>0.9</v>
      </c>
      <c r="C113" s="3">
        <v>0.5</v>
      </c>
      <c r="D113" s="3">
        <v>0.6</v>
      </c>
      <c r="E113" s="3">
        <v>0.3</v>
      </c>
      <c r="F113" s="7">
        <v>426.38287400000002</v>
      </c>
      <c r="G113" s="3">
        <v>2E-3</v>
      </c>
      <c r="I113" s="3" t="s">
        <v>78</v>
      </c>
      <c r="J113" s="3">
        <v>0.16</v>
      </c>
      <c r="K113" s="6">
        <v>419.719269</v>
      </c>
      <c r="L113" s="3">
        <v>0</v>
      </c>
      <c r="M113" s="3">
        <f t="shared" si="12"/>
        <v>0.22999999999999998</v>
      </c>
      <c r="N113" s="5"/>
      <c r="O113" s="5"/>
      <c r="P113" s="5"/>
      <c r="Q113" s="5"/>
      <c r="R113" s="1"/>
      <c r="S113" s="3" t="s">
        <v>78</v>
      </c>
      <c r="T113" s="3">
        <v>0.9</v>
      </c>
      <c r="U113" s="3">
        <v>0.5</v>
      </c>
      <c r="V113" s="3">
        <v>0.6</v>
      </c>
      <c r="W113" s="3">
        <v>0.3</v>
      </c>
      <c r="X113" s="6">
        <v>390.376373</v>
      </c>
      <c r="Y113" s="3">
        <v>1E-3</v>
      </c>
      <c r="AA113" s="3" t="s">
        <v>78</v>
      </c>
      <c r="AB113" s="3">
        <v>0.44</v>
      </c>
      <c r="AC113" s="7">
        <v>396.01196299999998</v>
      </c>
      <c r="AD113" s="3">
        <v>0</v>
      </c>
      <c r="AE113" s="3">
        <f t="shared" si="13"/>
        <v>0.37</v>
      </c>
      <c r="AF113" s="5"/>
      <c r="AG113" s="5"/>
      <c r="AH113" s="5"/>
      <c r="AI113" s="5"/>
      <c r="AJ113" s="1"/>
      <c r="AK113" s="3" t="s">
        <v>79</v>
      </c>
      <c r="AL113" s="3">
        <v>0.9</v>
      </c>
      <c r="AM113" s="3">
        <v>0.5</v>
      </c>
      <c r="AN113" s="3">
        <v>0.6</v>
      </c>
      <c r="AO113" s="3">
        <v>0.3</v>
      </c>
      <c r="AP113" s="7">
        <v>775.41589399999998</v>
      </c>
      <c r="AQ113" s="3">
        <v>4.0000000000000001E-3</v>
      </c>
      <c r="AS113" s="3" t="s">
        <v>79</v>
      </c>
      <c r="AT113" s="3">
        <v>0.28000000000000003</v>
      </c>
      <c r="AU113" s="6">
        <v>748.22058100000004</v>
      </c>
      <c r="AV113" s="3">
        <v>1E-3</v>
      </c>
      <c r="AW113" s="3">
        <f t="shared" si="14"/>
        <v>0.29000000000000004</v>
      </c>
      <c r="AX113" s="5"/>
      <c r="AY113" s="5"/>
      <c r="AZ113" s="5"/>
      <c r="BA113" s="5"/>
      <c r="BB113" s="1"/>
      <c r="BC113" s="3" t="s">
        <v>79</v>
      </c>
      <c r="BD113" s="3">
        <v>0.9</v>
      </c>
      <c r="BE113" s="3">
        <v>0.5</v>
      </c>
      <c r="BF113" s="3">
        <v>0.6</v>
      </c>
      <c r="BG113" s="3">
        <v>0.3</v>
      </c>
      <c r="BH113" s="6">
        <v>727.59167500000001</v>
      </c>
      <c r="BI113" s="3">
        <v>4.0000000000000001E-3</v>
      </c>
      <c r="BK113" s="3" t="s">
        <v>79</v>
      </c>
      <c r="BL113" s="3">
        <v>0.65</v>
      </c>
      <c r="BM113" s="7">
        <v>841.26977499999998</v>
      </c>
      <c r="BN113" s="3">
        <v>0</v>
      </c>
      <c r="BO113" s="3">
        <f t="shared" si="15"/>
        <v>0.47499999999999998</v>
      </c>
    </row>
    <row r="114" spans="1:67" x14ac:dyDescent="0.3">
      <c r="A114" s="3" t="s">
        <v>80</v>
      </c>
      <c r="B114" s="3">
        <v>0.9</v>
      </c>
      <c r="C114" s="3">
        <v>0.5</v>
      </c>
      <c r="D114" s="3">
        <v>0.6</v>
      </c>
      <c r="E114" s="3">
        <v>0.3</v>
      </c>
      <c r="F114" s="7">
        <v>451.28558299999997</v>
      </c>
      <c r="G114" s="3">
        <v>1E-3</v>
      </c>
      <c r="I114" s="3" t="s">
        <v>80</v>
      </c>
      <c r="J114" s="3">
        <v>0.24</v>
      </c>
      <c r="K114" s="6">
        <v>439.06982399999998</v>
      </c>
      <c r="L114" s="3">
        <v>0</v>
      </c>
      <c r="M114" s="3">
        <f t="shared" si="12"/>
        <v>0.27</v>
      </c>
      <c r="N114" s="5"/>
      <c r="O114" s="5"/>
      <c r="P114" s="5"/>
      <c r="Q114" s="5"/>
      <c r="R114" s="1"/>
      <c r="S114" s="3" t="s">
        <v>80</v>
      </c>
      <c r="T114" s="3">
        <v>0.9</v>
      </c>
      <c r="U114" s="3">
        <v>0.5</v>
      </c>
      <c r="V114" s="3">
        <v>0.6</v>
      </c>
      <c r="W114" s="3">
        <v>0.3</v>
      </c>
      <c r="X114" s="7">
        <v>409.03671300000002</v>
      </c>
      <c r="Y114" s="3">
        <v>1E-3</v>
      </c>
      <c r="AA114" s="3" t="s">
        <v>80</v>
      </c>
      <c r="AB114" s="3">
        <v>0.28999999999999998</v>
      </c>
      <c r="AC114" s="6">
        <v>408.328552</v>
      </c>
      <c r="AD114" s="3">
        <v>0</v>
      </c>
      <c r="AE114" s="3">
        <f t="shared" si="13"/>
        <v>0.29499999999999998</v>
      </c>
      <c r="AF114" s="5"/>
      <c r="AG114" s="5"/>
      <c r="AH114" s="5"/>
      <c r="AI114" s="5"/>
      <c r="AJ114" s="1"/>
      <c r="AK114" s="3" t="s">
        <v>81</v>
      </c>
      <c r="AL114" s="3">
        <v>0.9</v>
      </c>
      <c r="AM114" s="3">
        <v>0.5</v>
      </c>
      <c r="AN114" s="3">
        <v>0.6</v>
      </c>
      <c r="AO114" s="3">
        <v>0.3</v>
      </c>
      <c r="AP114" s="6">
        <v>737.57080099999996</v>
      </c>
      <c r="AQ114" s="3">
        <v>6.0000000000000001E-3</v>
      </c>
      <c r="AS114" s="3" t="s">
        <v>81</v>
      </c>
      <c r="AT114" s="3">
        <v>0.66</v>
      </c>
      <c r="AU114" s="7">
        <v>848.39788799999997</v>
      </c>
      <c r="AV114" s="3">
        <v>1E-3</v>
      </c>
      <c r="AW114" s="3">
        <f t="shared" si="14"/>
        <v>0.48</v>
      </c>
      <c r="AX114" s="5"/>
      <c r="AY114" s="5"/>
      <c r="AZ114" s="5"/>
      <c r="BA114" s="5"/>
      <c r="BB114" s="1"/>
      <c r="BC114" s="3" t="s">
        <v>81</v>
      </c>
      <c r="BD114" s="3">
        <v>0.9</v>
      </c>
      <c r="BE114" s="3">
        <v>0.5</v>
      </c>
      <c r="BF114" s="3">
        <v>0.6</v>
      </c>
      <c r="BG114" s="3">
        <v>0.3</v>
      </c>
      <c r="BH114" s="6">
        <v>696.82580600000006</v>
      </c>
      <c r="BI114" s="3">
        <v>4.0000000000000001E-3</v>
      </c>
      <c r="BK114" s="3" t="s">
        <v>81</v>
      </c>
      <c r="BL114" s="3">
        <v>0.67</v>
      </c>
      <c r="BM114" s="7">
        <v>776.48553500000003</v>
      </c>
      <c r="BN114" s="3">
        <v>0</v>
      </c>
      <c r="BO114" s="3">
        <f t="shared" si="15"/>
        <v>0.48499999999999999</v>
      </c>
    </row>
    <row r="115" spans="1:67" x14ac:dyDescent="0.3">
      <c r="A115" s="3" t="s">
        <v>82</v>
      </c>
      <c r="B115" s="3">
        <v>0.9</v>
      </c>
      <c r="C115" s="3">
        <v>0.5</v>
      </c>
      <c r="D115" s="3">
        <v>0.6</v>
      </c>
      <c r="E115" s="3">
        <v>0.3</v>
      </c>
      <c r="F115" s="6">
        <v>417.13317899999998</v>
      </c>
      <c r="G115" s="3">
        <v>1E-3</v>
      </c>
      <c r="I115" s="3" t="s">
        <v>82</v>
      </c>
      <c r="J115" s="3">
        <v>0.88</v>
      </c>
      <c r="K115" s="7">
        <v>473.91619900000001</v>
      </c>
      <c r="L115" s="3">
        <v>1E-3</v>
      </c>
      <c r="M115" s="3">
        <f t="shared" si="12"/>
        <v>0.59</v>
      </c>
      <c r="N115" s="5"/>
      <c r="O115" s="5"/>
      <c r="P115" s="5"/>
      <c r="Q115" s="5"/>
      <c r="R115" s="1"/>
      <c r="S115" s="3" t="s">
        <v>82</v>
      </c>
      <c r="T115" s="3">
        <v>0.9</v>
      </c>
      <c r="U115" s="3">
        <v>0.5</v>
      </c>
      <c r="V115" s="3">
        <v>0.6</v>
      </c>
      <c r="W115" s="3">
        <v>0.3</v>
      </c>
      <c r="X115" s="6">
        <v>389.21209700000003</v>
      </c>
      <c r="Y115" s="3">
        <v>1E-3</v>
      </c>
      <c r="AA115" s="3" t="s">
        <v>82</v>
      </c>
      <c r="AB115" s="3">
        <v>0.47</v>
      </c>
      <c r="AC115" s="7">
        <v>403.23559599999999</v>
      </c>
      <c r="AD115" s="3">
        <v>0</v>
      </c>
      <c r="AE115" s="3">
        <f t="shared" si="13"/>
        <v>0.38500000000000001</v>
      </c>
      <c r="AF115" s="5"/>
      <c r="AG115" s="5"/>
      <c r="AH115" s="5"/>
      <c r="AI115" s="5"/>
      <c r="AJ115" s="1"/>
      <c r="AK115" s="3" t="s">
        <v>83</v>
      </c>
      <c r="AL115" s="3">
        <v>0.9</v>
      </c>
      <c r="AM115" s="3">
        <v>0.5</v>
      </c>
      <c r="AN115" s="3">
        <v>0.6</v>
      </c>
      <c r="AO115" s="3">
        <v>0.3</v>
      </c>
      <c r="AP115" s="6">
        <v>756.04290800000001</v>
      </c>
      <c r="AQ115" s="3">
        <v>5.0000000000000001E-3</v>
      </c>
      <c r="AS115" s="3" t="s">
        <v>83</v>
      </c>
      <c r="AT115" s="3">
        <v>0.96</v>
      </c>
      <c r="AU115" s="7">
        <v>919.74139400000001</v>
      </c>
      <c r="AV115" s="3">
        <v>0</v>
      </c>
      <c r="AW115" s="3">
        <f t="shared" si="14"/>
        <v>0.63</v>
      </c>
      <c r="AX115" s="5"/>
      <c r="AY115" s="5"/>
      <c r="AZ115" s="5"/>
      <c r="BA115" s="5"/>
      <c r="BB115" s="1"/>
      <c r="BC115" s="3" t="s">
        <v>83</v>
      </c>
      <c r="BD115" s="3">
        <v>0.9</v>
      </c>
      <c r="BE115" s="3">
        <v>0.5</v>
      </c>
      <c r="BF115" s="3">
        <v>0.6</v>
      </c>
      <c r="BG115" s="3">
        <v>0.3</v>
      </c>
      <c r="BH115" s="6">
        <v>705.35290499999996</v>
      </c>
      <c r="BI115" s="3">
        <v>7.0000000000000001E-3</v>
      </c>
      <c r="BK115" s="3" t="s">
        <v>83</v>
      </c>
      <c r="BL115" s="3">
        <v>0.36</v>
      </c>
      <c r="BM115" s="7">
        <v>720.54388400000005</v>
      </c>
      <c r="BN115" s="3">
        <v>0</v>
      </c>
      <c r="BO115" s="3">
        <f t="shared" si="15"/>
        <v>0.32999999999999996</v>
      </c>
    </row>
    <row r="116" spans="1:67" x14ac:dyDescent="0.3">
      <c r="A116" s="3" t="s">
        <v>84</v>
      </c>
      <c r="B116" s="3">
        <v>0.9</v>
      </c>
      <c r="C116" s="3">
        <v>0.5</v>
      </c>
      <c r="D116" s="3">
        <v>0.6</v>
      </c>
      <c r="E116" s="3">
        <v>0.3</v>
      </c>
      <c r="F116" s="6">
        <v>523.14532499999996</v>
      </c>
      <c r="G116" s="3">
        <v>1E-3</v>
      </c>
      <c r="I116" s="3" t="s">
        <v>84</v>
      </c>
      <c r="J116" s="3">
        <v>0.01</v>
      </c>
      <c r="K116" s="7">
        <v>565.88653599999998</v>
      </c>
      <c r="L116" s="3">
        <v>0</v>
      </c>
      <c r="M116" s="3">
        <f t="shared" si="12"/>
        <v>0.155</v>
      </c>
      <c r="N116" s="5"/>
      <c r="O116" s="5"/>
      <c r="P116" s="5"/>
      <c r="Q116" s="5"/>
      <c r="R116" s="1"/>
      <c r="S116" s="3" t="s">
        <v>84</v>
      </c>
      <c r="T116" s="3">
        <v>0.9</v>
      </c>
      <c r="U116" s="3">
        <v>0.5</v>
      </c>
      <c r="V116" s="3">
        <v>0.6</v>
      </c>
      <c r="W116" s="3">
        <v>0.3</v>
      </c>
      <c r="X116" s="6">
        <v>473.73468000000003</v>
      </c>
      <c r="Y116" s="3">
        <v>2E-3</v>
      </c>
      <c r="AA116" s="3" t="s">
        <v>84</v>
      </c>
      <c r="AB116" s="3">
        <v>0.51</v>
      </c>
      <c r="AC116" s="7">
        <v>503.41336100000001</v>
      </c>
      <c r="AD116" s="3">
        <v>1E-3</v>
      </c>
      <c r="AE116" s="3">
        <f t="shared" si="13"/>
        <v>0.40500000000000003</v>
      </c>
      <c r="AF116" s="5"/>
      <c r="AG116" s="5"/>
      <c r="AH116" s="5"/>
      <c r="AI116" s="5"/>
      <c r="AJ116" s="1"/>
      <c r="AK116" s="3" t="s">
        <v>85</v>
      </c>
      <c r="AL116" s="3">
        <v>0.9</v>
      </c>
      <c r="AM116" s="3">
        <v>0.5</v>
      </c>
      <c r="AN116" s="3">
        <v>0.6</v>
      </c>
      <c r="AO116" s="3">
        <v>0.3</v>
      </c>
      <c r="AP116" s="6">
        <v>859.24054000000001</v>
      </c>
      <c r="AQ116" s="3">
        <v>1.2E-2</v>
      </c>
      <c r="AS116" s="3" t="s">
        <v>85</v>
      </c>
      <c r="AT116" s="3">
        <v>0.61</v>
      </c>
      <c r="AU116" s="7">
        <v>957.71063200000003</v>
      </c>
      <c r="AV116" s="3">
        <v>1E-3</v>
      </c>
      <c r="AW116" s="3">
        <f t="shared" si="14"/>
        <v>0.45499999999999996</v>
      </c>
      <c r="AX116" s="5"/>
      <c r="AY116" s="5"/>
      <c r="AZ116" s="5"/>
      <c r="BA116" s="5"/>
      <c r="BB116" s="1"/>
      <c r="BC116" s="3" t="s">
        <v>85</v>
      </c>
      <c r="BD116" s="3">
        <v>0.9</v>
      </c>
      <c r="BE116" s="3">
        <v>0.5</v>
      </c>
      <c r="BF116" s="3">
        <v>0.6</v>
      </c>
      <c r="BG116" s="3">
        <v>0.3</v>
      </c>
      <c r="BH116" s="6">
        <v>833.49041699999998</v>
      </c>
      <c r="BI116" s="3">
        <v>5.0000000000000001E-3</v>
      </c>
      <c r="BK116" s="3" t="s">
        <v>85</v>
      </c>
      <c r="BL116" s="3">
        <v>0.59</v>
      </c>
      <c r="BM116" s="7">
        <v>937.80419900000004</v>
      </c>
      <c r="BN116" s="3">
        <v>1E-3</v>
      </c>
      <c r="BO116" s="3">
        <f t="shared" si="15"/>
        <v>0.44499999999999995</v>
      </c>
    </row>
    <row r="117" spans="1:67" x14ac:dyDescent="0.3">
      <c r="A117" s="3" t="s">
        <v>86</v>
      </c>
      <c r="B117" s="3">
        <v>0.9</v>
      </c>
      <c r="C117" s="3">
        <v>0.5</v>
      </c>
      <c r="D117" s="3">
        <v>0.6</v>
      </c>
      <c r="E117" s="3">
        <v>0.3</v>
      </c>
      <c r="F117" s="6">
        <v>572.10864300000003</v>
      </c>
      <c r="G117" s="3">
        <v>2E-3</v>
      </c>
      <c r="I117" s="3" t="s">
        <v>86</v>
      </c>
      <c r="J117" s="3">
        <v>0.56999999999999995</v>
      </c>
      <c r="K117" s="7">
        <v>583.96917699999995</v>
      </c>
      <c r="L117" s="3">
        <v>0</v>
      </c>
      <c r="M117" s="3">
        <f t="shared" si="12"/>
        <v>0.43499999999999994</v>
      </c>
      <c r="N117" s="5"/>
      <c r="O117" s="5"/>
      <c r="P117" s="5"/>
      <c r="Q117" s="5"/>
      <c r="R117" s="1"/>
      <c r="S117" s="3" t="s">
        <v>86</v>
      </c>
      <c r="T117" s="3" t="s">
        <v>319</v>
      </c>
      <c r="U117" s="3">
        <v>0.5</v>
      </c>
      <c r="V117" s="3">
        <v>0.6</v>
      </c>
      <c r="W117" s="3">
        <v>0.3</v>
      </c>
      <c r="X117" s="7">
        <v>515.123108</v>
      </c>
      <c r="Y117" s="3">
        <v>1E-3</v>
      </c>
      <c r="AA117" s="3" t="s">
        <v>86</v>
      </c>
      <c r="AB117" s="3">
        <v>0.1</v>
      </c>
      <c r="AC117" s="6">
        <v>487.96987899999999</v>
      </c>
      <c r="AD117" s="3">
        <v>0</v>
      </c>
      <c r="AE117" s="3">
        <f t="shared" si="13"/>
        <v>0.2</v>
      </c>
      <c r="AF117" s="5"/>
      <c r="AG117" s="5"/>
      <c r="AH117" s="5"/>
      <c r="AI117" s="5"/>
      <c r="AJ117" s="1"/>
      <c r="AK117" s="3" t="s">
        <v>87</v>
      </c>
      <c r="AL117" s="3">
        <v>0.9</v>
      </c>
      <c r="AM117" s="3">
        <v>0.5</v>
      </c>
      <c r="AN117" s="3">
        <v>0.6</v>
      </c>
      <c r="AO117" s="3">
        <v>0.3</v>
      </c>
      <c r="AP117" s="7">
        <v>801.49798599999997</v>
      </c>
      <c r="AQ117" s="3">
        <v>5.0000000000000001E-3</v>
      </c>
      <c r="AS117" s="3" t="s">
        <v>87</v>
      </c>
      <c r="AT117" s="3">
        <v>0.28999999999999998</v>
      </c>
      <c r="AU117" s="6">
        <v>780.24548300000004</v>
      </c>
      <c r="AV117" s="3">
        <v>1E-3</v>
      </c>
      <c r="AW117" s="3">
        <f t="shared" si="14"/>
        <v>0.29499999999999998</v>
      </c>
      <c r="AX117" s="5"/>
      <c r="AY117" s="5"/>
      <c r="AZ117" s="5"/>
      <c r="BA117" s="5"/>
      <c r="BB117" s="1"/>
      <c r="BC117" s="3" t="s">
        <v>87</v>
      </c>
      <c r="BD117" s="3">
        <v>0.9</v>
      </c>
      <c r="BE117" s="3">
        <v>0.5</v>
      </c>
      <c r="BF117" s="3">
        <v>0.6</v>
      </c>
      <c r="BG117" s="3">
        <v>0.3</v>
      </c>
      <c r="BH117" s="7">
        <v>745.94787599999995</v>
      </c>
      <c r="BI117" s="3">
        <v>7.0000000000000001E-3</v>
      </c>
      <c r="BK117" s="3" t="s">
        <v>87</v>
      </c>
      <c r="BL117" s="3">
        <v>7.0000000000000007E-2</v>
      </c>
      <c r="BM117" s="6">
        <v>653.02337599999998</v>
      </c>
      <c r="BN117" s="3">
        <v>0</v>
      </c>
      <c r="BO117" s="3">
        <f t="shared" si="15"/>
        <v>0.185</v>
      </c>
    </row>
    <row r="118" spans="1:67" x14ac:dyDescent="0.3">
      <c r="A118" s="3" t="s">
        <v>88</v>
      </c>
      <c r="B118" s="3">
        <v>0.9</v>
      </c>
      <c r="C118" s="3">
        <v>0.5</v>
      </c>
      <c r="D118" s="3">
        <v>0.6</v>
      </c>
      <c r="E118" s="3">
        <v>0.3</v>
      </c>
      <c r="F118" s="7">
        <v>486.26937900000001</v>
      </c>
      <c r="G118" s="3">
        <v>1E-3</v>
      </c>
      <c r="I118" s="3" t="s">
        <v>88</v>
      </c>
      <c r="J118" s="3">
        <v>0.17</v>
      </c>
      <c r="K118" s="6">
        <v>469.40347300000002</v>
      </c>
      <c r="L118" s="3">
        <v>0</v>
      </c>
      <c r="M118" s="3">
        <f t="shared" si="12"/>
        <v>0.23499999999999999</v>
      </c>
      <c r="N118" s="5"/>
      <c r="O118" s="5"/>
      <c r="P118" s="5"/>
      <c r="Q118" s="5"/>
      <c r="R118" s="1"/>
      <c r="S118" s="3" t="s">
        <v>88</v>
      </c>
      <c r="T118" s="3">
        <v>0.9</v>
      </c>
      <c r="U118" s="3">
        <v>0.5</v>
      </c>
      <c r="V118" s="3">
        <v>0.6</v>
      </c>
      <c r="W118" s="3">
        <v>0.3</v>
      </c>
      <c r="X118" s="6">
        <v>423.61642499999999</v>
      </c>
      <c r="Y118" s="3">
        <v>1E-3</v>
      </c>
      <c r="AA118" s="3" t="s">
        <v>88</v>
      </c>
      <c r="AB118" s="3">
        <v>0.01</v>
      </c>
      <c r="AC118" s="7">
        <v>475.29287699999998</v>
      </c>
      <c r="AD118" s="3">
        <v>0</v>
      </c>
      <c r="AE118" s="3">
        <f t="shared" si="13"/>
        <v>0.155</v>
      </c>
      <c r="AF118" s="5"/>
      <c r="AG118" s="5"/>
      <c r="AH118" s="5"/>
      <c r="AI118" s="5"/>
      <c r="AJ118" s="1"/>
      <c r="AK118" s="3" t="s">
        <v>89</v>
      </c>
      <c r="AL118" s="3">
        <v>0.9</v>
      </c>
      <c r="AM118" s="3">
        <v>0.5</v>
      </c>
      <c r="AN118" s="3">
        <v>0.6</v>
      </c>
      <c r="AO118" s="3">
        <v>0.3</v>
      </c>
      <c r="AP118" s="6">
        <v>776.49542199999996</v>
      </c>
      <c r="AQ118" s="3">
        <v>4.0000000000000001E-3</v>
      </c>
      <c r="AS118" s="3" t="s">
        <v>89</v>
      </c>
      <c r="AT118" s="3">
        <v>0.61</v>
      </c>
      <c r="AU118" s="7">
        <v>923.57312000000002</v>
      </c>
      <c r="AV118" s="3">
        <v>1E-3</v>
      </c>
      <c r="AW118" s="3">
        <f t="shared" si="14"/>
        <v>0.45499999999999996</v>
      </c>
      <c r="AX118" s="5"/>
      <c r="AY118" s="5"/>
      <c r="AZ118" s="5"/>
      <c r="BA118" s="5"/>
      <c r="BB118" s="1"/>
      <c r="BC118" s="3" t="s">
        <v>89</v>
      </c>
      <c r="BD118" s="3">
        <v>0.9</v>
      </c>
      <c r="BE118" s="3">
        <v>0.5</v>
      </c>
      <c r="BF118" s="3">
        <v>0.6</v>
      </c>
      <c r="BG118" s="3">
        <v>0.3</v>
      </c>
      <c r="BH118" s="6">
        <v>742.25097700000003</v>
      </c>
      <c r="BI118" s="3">
        <v>4.0000000000000001E-3</v>
      </c>
      <c r="BK118" s="3" t="s">
        <v>89</v>
      </c>
      <c r="BL118" s="3">
        <v>0.93</v>
      </c>
      <c r="BM118" s="7">
        <v>959.58081100000004</v>
      </c>
      <c r="BN118" s="3">
        <v>1E-3</v>
      </c>
      <c r="BO118" s="3">
        <f t="shared" si="15"/>
        <v>0.61499999999999999</v>
      </c>
    </row>
    <row r="119" spans="1:67" x14ac:dyDescent="0.3">
      <c r="A119" s="3" t="s">
        <v>90</v>
      </c>
      <c r="B119" s="3">
        <v>0.9</v>
      </c>
      <c r="C119" s="3">
        <v>0.5</v>
      </c>
      <c r="D119" s="3">
        <v>0.6</v>
      </c>
      <c r="E119" s="3">
        <v>0.3</v>
      </c>
      <c r="F119" s="7">
        <v>433.58477800000003</v>
      </c>
      <c r="G119" s="3">
        <v>1E-3</v>
      </c>
      <c r="I119" s="3" t="s">
        <v>90</v>
      </c>
      <c r="J119" s="3">
        <v>0.24</v>
      </c>
      <c r="K119" s="6">
        <v>428.68609600000002</v>
      </c>
      <c r="L119" s="3">
        <v>0</v>
      </c>
      <c r="M119" s="3">
        <f t="shared" si="12"/>
        <v>0.27</v>
      </c>
      <c r="N119" s="5"/>
      <c r="O119" s="5"/>
      <c r="P119" s="5"/>
      <c r="Q119" s="5"/>
      <c r="R119" s="1"/>
      <c r="S119" s="3" t="s">
        <v>90</v>
      </c>
      <c r="T119" s="3">
        <v>0.9</v>
      </c>
      <c r="U119" s="3">
        <v>0.5</v>
      </c>
      <c r="V119" s="3">
        <v>0.6</v>
      </c>
      <c r="W119" s="3">
        <v>0.3</v>
      </c>
      <c r="X119" s="6">
        <v>402.05816700000003</v>
      </c>
      <c r="Y119" s="3">
        <v>1E-3</v>
      </c>
      <c r="AA119" s="3" t="s">
        <v>90</v>
      </c>
      <c r="AB119" s="3">
        <v>0.75</v>
      </c>
      <c r="AC119" s="7">
        <v>428.72634900000003</v>
      </c>
      <c r="AD119" s="3">
        <v>0</v>
      </c>
      <c r="AE119" s="3">
        <f t="shared" si="13"/>
        <v>0.52500000000000002</v>
      </c>
      <c r="AF119" s="5"/>
      <c r="AG119" s="5"/>
      <c r="AH119" s="5"/>
      <c r="AI119" s="5"/>
      <c r="AJ119" s="1"/>
      <c r="AK119" s="3" t="s">
        <v>91</v>
      </c>
      <c r="AL119" s="3">
        <v>0.9</v>
      </c>
      <c r="AM119" s="3">
        <v>0.5</v>
      </c>
      <c r="AN119" s="3">
        <v>0.6</v>
      </c>
      <c r="AO119" s="3">
        <v>0.3</v>
      </c>
      <c r="AP119" s="6">
        <v>785.48406999999997</v>
      </c>
      <c r="AQ119" s="3">
        <v>7.0000000000000001E-3</v>
      </c>
      <c r="AS119" s="3" t="s">
        <v>91</v>
      </c>
      <c r="AT119" s="3">
        <v>0.55000000000000004</v>
      </c>
      <c r="AU119" s="7">
        <v>879.198486</v>
      </c>
      <c r="AV119" s="3">
        <v>0</v>
      </c>
      <c r="AW119" s="3">
        <f t="shared" si="14"/>
        <v>0.42500000000000004</v>
      </c>
      <c r="AX119" s="5"/>
      <c r="AY119" s="5"/>
      <c r="AZ119" s="5"/>
      <c r="BA119" s="5"/>
      <c r="BB119" s="1"/>
      <c r="BC119" s="3" t="s">
        <v>91</v>
      </c>
      <c r="BD119" s="3">
        <v>0.9</v>
      </c>
      <c r="BE119" s="3">
        <v>0.5</v>
      </c>
      <c r="BF119" s="3">
        <v>0.6</v>
      </c>
      <c r="BG119" s="3">
        <v>0.3</v>
      </c>
      <c r="BH119" s="6">
        <v>746.04382299999997</v>
      </c>
      <c r="BI119" s="3">
        <v>4.0000000000000001E-3</v>
      </c>
      <c r="BK119" s="3" t="s">
        <v>91</v>
      </c>
      <c r="BL119" s="3">
        <v>0.74</v>
      </c>
      <c r="BM119" s="7">
        <v>822.56426999999996</v>
      </c>
      <c r="BN119" s="3">
        <v>1E-3</v>
      </c>
      <c r="BO119" s="3">
        <f t="shared" si="15"/>
        <v>0.52</v>
      </c>
    </row>
    <row r="120" spans="1:67" x14ac:dyDescent="0.3">
      <c r="A120" s="3" t="s">
        <v>92</v>
      </c>
      <c r="B120" s="3">
        <v>0.9</v>
      </c>
      <c r="C120" s="3">
        <v>0.5</v>
      </c>
      <c r="D120" s="3">
        <v>0.6</v>
      </c>
      <c r="E120" s="3">
        <v>0.3</v>
      </c>
      <c r="F120" s="6">
        <v>560.24304199999995</v>
      </c>
      <c r="G120" s="3">
        <v>1E-3</v>
      </c>
      <c r="I120" s="3" t="s">
        <v>92</v>
      </c>
      <c r="J120" s="3">
        <v>0.02</v>
      </c>
      <c r="K120" s="7">
        <v>582.01855499999999</v>
      </c>
      <c r="L120" s="3">
        <v>0</v>
      </c>
      <c r="M120" s="3">
        <f t="shared" si="12"/>
        <v>0.16</v>
      </c>
      <c r="N120" s="5"/>
      <c r="O120" s="5"/>
      <c r="P120" s="5"/>
      <c r="Q120" s="5"/>
      <c r="R120" s="1"/>
      <c r="S120" s="3" t="s">
        <v>92</v>
      </c>
      <c r="T120" s="3">
        <v>0.9</v>
      </c>
      <c r="U120" s="3">
        <v>0.5</v>
      </c>
      <c r="V120" s="3">
        <v>0.6</v>
      </c>
      <c r="W120" s="3">
        <v>0.3</v>
      </c>
      <c r="X120" s="6">
        <v>496.61914100000001</v>
      </c>
      <c r="Y120" s="3">
        <v>1E-3</v>
      </c>
      <c r="AA120" s="3" t="s">
        <v>92</v>
      </c>
      <c r="AB120" s="3">
        <v>0.86</v>
      </c>
      <c r="AC120" s="7">
        <v>539.48217799999998</v>
      </c>
      <c r="AD120" s="3">
        <v>0</v>
      </c>
      <c r="AE120" s="3">
        <f t="shared" si="13"/>
        <v>0.57999999999999996</v>
      </c>
      <c r="AF120" s="5"/>
      <c r="AG120" s="5"/>
      <c r="AH120" s="5"/>
      <c r="AI120" s="5"/>
      <c r="AJ120" s="1"/>
      <c r="AK120" s="3" t="s">
        <v>93</v>
      </c>
      <c r="AL120" s="3">
        <v>0.9</v>
      </c>
      <c r="AM120" s="3">
        <v>0.5</v>
      </c>
      <c r="AN120" s="3">
        <v>0.6</v>
      </c>
      <c r="AO120" s="3">
        <v>0.3</v>
      </c>
      <c r="AP120" s="6">
        <v>741.36206100000004</v>
      </c>
      <c r="AQ120" s="3">
        <v>8.0000000000000002E-3</v>
      </c>
      <c r="AS120" s="3" t="s">
        <v>93</v>
      </c>
      <c r="AT120" s="3">
        <v>0.42</v>
      </c>
      <c r="AU120" s="7">
        <v>792.02551300000005</v>
      </c>
      <c r="AV120" s="3">
        <v>1E-3</v>
      </c>
      <c r="AW120" s="3">
        <f t="shared" si="14"/>
        <v>0.36</v>
      </c>
      <c r="AX120" s="5"/>
      <c r="AY120" s="5"/>
      <c r="AZ120" s="5"/>
      <c r="BA120" s="5"/>
      <c r="BB120" s="1"/>
      <c r="BC120" s="3" t="s">
        <v>93</v>
      </c>
      <c r="BD120" s="3">
        <v>0.9</v>
      </c>
      <c r="BE120" s="3">
        <v>0.5</v>
      </c>
      <c r="BF120" s="3">
        <v>0.6</v>
      </c>
      <c r="BG120" s="3">
        <v>0.3</v>
      </c>
      <c r="BH120" s="6">
        <v>706.64318800000001</v>
      </c>
      <c r="BI120" s="3">
        <v>5.0000000000000001E-3</v>
      </c>
      <c r="BK120" s="3" t="s">
        <v>93</v>
      </c>
      <c r="BL120" s="3">
        <v>0.64</v>
      </c>
      <c r="BM120" s="7">
        <v>801.66687000000002</v>
      </c>
      <c r="BN120" s="3">
        <v>1E-3</v>
      </c>
      <c r="BO120" s="3">
        <f t="shared" si="15"/>
        <v>0.47</v>
      </c>
    </row>
    <row r="121" spans="1:67" x14ac:dyDescent="0.3">
      <c r="A121" s="3" t="s">
        <v>94</v>
      </c>
      <c r="B121" s="3">
        <v>0.9</v>
      </c>
      <c r="C121" s="3">
        <v>0.5</v>
      </c>
      <c r="D121" s="3">
        <v>0.6</v>
      </c>
      <c r="E121" s="3">
        <v>0.3</v>
      </c>
      <c r="F121" s="6">
        <v>441.745544</v>
      </c>
      <c r="G121" s="3">
        <v>2E-3</v>
      </c>
      <c r="I121" s="3" t="s">
        <v>94</v>
      </c>
      <c r="J121" s="3">
        <v>0.77</v>
      </c>
      <c r="K121" s="7">
        <v>538.30267300000003</v>
      </c>
      <c r="L121" s="3">
        <v>0</v>
      </c>
      <c r="M121" s="3">
        <f t="shared" si="12"/>
        <v>0.53500000000000003</v>
      </c>
      <c r="N121" s="5"/>
      <c r="O121" s="5"/>
      <c r="P121" s="5"/>
      <c r="Q121" s="5"/>
      <c r="R121" s="1"/>
      <c r="S121" s="3" t="s">
        <v>94</v>
      </c>
      <c r="T121" s="3">
        <v>0.9</v>
      </c>
      <c r="U121" s="3">
        <v>0.5</v>
      </c>
      <c r="V121" s="3">
        <v>0.6</v>
      </c>
      <c r="W121" s="3">
        <v>0.3</v>
      </c>
      <c r="X121" s="7">
        <v>420.32147200000003</v>
      </c>
      <c r="Y121" s="3">
        <v>1E-3</v>
      </c>
      <c r="AA121" s="3" t="s">
        <v>94</v>
      </c>
      <c r="AB121" s="3">
        <v>0.19</v>
      </c>
      <c r="AC121" s="6">
        <v>414.19931000000003</v>
      </c>
      <c r="AD121" s="3">
        <v>0</v>
      </c>
      <c r="AE121" s="3">
        <f t="shared" si="13"/>
        <v>0.245</v>
      </c>
      <c r="AF121" s="5"/>
      <c r="AG121" s="5"/>
      <c r="AH121" s="5"/>
      <c r="AI121" s="5"/>
      <c r="AJ121" s="1"/>
      <c r="AK121" s="3" t="s">
        <v>95</v>
      </c>
      <c r="AL121" s="3">
        <v>0.9</v>
      </c>
      <c r="AM121" s="3">
        <v>0.5</v>
      </c>
      <c r="AN121" s="3">
        <v>0.6</v>
      </c>
      <c r="AO121" s="3">
        <v>0.3</v>
      </c>
      <c r="AP121" s="7">
        <v>814.53161599999999</v>
      </c>
      <c r="AQ121" s="3">
        <v>8.9999999999999993E-3</v>
      </c>
      <c r="AS121" s="3" t="s">
        <v>95</v>
      </c>
      <c r="AT121" s="3">
        <v>0.12</v>
      </c>
      <c r="AU121" s="6">
        <v>712.64410399999997</v>
      </c>
      <c r="AV121" s="3">
        <v>1E-3</v>
      </c>
      <c r="AW121" s="3">
        <f t="shared" si="14"/>
        <v>0.21</v>
      </c>
      <c r="AX121" s="5"/>
      <c r="AY121" s="5"/>
      <c r="AZ121" s="5"/>
      <c r="BA121" s="5"/>
      <c r="BB121" s="1"/>
      <c r="BC121" s="3" t="s">
        <v>95</v>
      </c>
      <c r="BD121" s="3">
        <v>0.9</v>
      </c>
      <c r="BE121" s="3">
        <v>0.5</v>
      </c>
      <c r="BF121" s="3">
        <v>0.6</v>
      </c>
      <c r="BG121" s="3">
        <v>0.3</v>
      </c>
      <c r="BH121" s="6">
        <v>771.59594700000002</v>
      </c>
      <c r="BI121" s="3">
        <v>7.0000000000000001E-3</v>
      </c>
      <c r="BK121" s="3" t="s">
        <v>95</v>
      </c>
      <c r="BL121" s="3">
        <v>0.3</v>
      </c>
      <c r="BM121" s="7">
        <v>779.61926300000005</v>
      </c>
      <c r="BN121" s="3">
        <v>1E-3</v>
      </c>
      <c r="BO121" s="3">
        <f t="shared" si="15"/>
        <v>0.3</v>
      </c>
    </row>
    <row r="122" spans="1:67" x14ac:dyDescent="0.3">
      <c r="A122" s="3" t="s">
        <v>96</v>
      </c>
      <c r="B122" s="3">
        <v>0.9</v>
      </c>
      <c r="C122" s="3">
        <v>0.5</v>
      </c>
      <c r="D122" s="3">
        <v>0.6</v>
      </c>
      <c r="E122" s="3">
        <v>0.3</v>
      </c>
      <c r="F122" s="6">
        <v>585.30450399999995</v>
      </c>
      <c r="G122" s="3">
        <v>2E-3</v>
      </c>
      <c r="I122" s="3" t="s">
        <v>96</v>
      </c>
      <c r="J122" s="3">
        <v>0.35</v>
      </c>
      <c r="K122" s="7">
        <v>598.78753700000004</v>
      </c>
      <c r="L122" s="3">
        <v>0</v>
      </c>
      <c r="M122" s="3">
        <f t="shared" si="12"/>
        <v>0.32499999999999996</v>
      </c>
      <c r="N122" s="5"/>
      <c r="O122" s="5"/>
      <c r="P122" s="5"/>
      <c r="Q122" s="5"/>
      <c r="R122" s="1"/>
      <c r="S122" s="3" t="s">
        <v>96</v>
      </c>
      <c r="T122" s="3">
        <v>0.9</v>
      </c>
      <c r="U122" s="3">
        <v>0.5</v>
      </c>
      <c r="V122" s="3">
        <v>0.6</v>
      </c>
      <c r="W122" s="3">
        <v>0.3</v>
      </c>
      <c r="X122" s="6">
        <v>558.20214799999997</v>
      </c>
      <c r="Y122" s="3">
        <v>1E-3</v>
      </c>
      <c r="AA122" s="3" t="s">
        <v>96</v>
      </c>
      <c r="AB122" s="3">
        <v>0.86</v>
      </c>
      <c r="AC122" s="7">
        <v>610.05352800000003</v>
      </c>
      <c r="AD122" s="3">
        <v>0</v>
      </c>
      <c r="AE122" s="3">
        <f t="shared" si="13"/>
        <v>0.57999999999999996</v>
      </c>
      <c r="AF122" s="5"/>
      <c r="AG122" s="5"/>
      <c r="AH122" s="5"/>
      <c r="AI122" s="5"/>
      <c r="AJ122" s="1"/>
      <c r="AK122" s="3" t="s">
        <v>97</v>
      </c>
      <c r="AL122" s="3">
        <v>0.9</v>
      </c>
      <c r="AM122" s="3">
        <v>0.5</v>
      </c>
      <c r="AN122" s="3">
        <v>0.6</v>
      </c>
      <c r="AO122" s="3">
        <v>0.3</v>
      </c>
      <c r="AP122" s="7">
        <v>955.05542000000003</v>
      </c>
      <c r="AQ122" s="3">
        <v>7.0000000000000001E-3</v>
      </c>
      <c r="AS122" s="3" t="s">
        <v>97</v>
      </c>
      <c r="AT122" s="3">
        <v>0.02</v>
      </c>
      <c r="AU122" s="6">
        <v>806.67169200000001</v>
      </c>
      <c r="AV122" s="3">
        <v>1.4999999999999999E-2</v>
      </c>
      <c r="AW122" s="3">
        <f t="shared" si="14"/>
        <v>0.16</v>
      </c>
      <c r="AX122" s="5"/>
      <c r="AY122" s="5"/>
      <c r="AZ122" s="5"/>
      <c r="BA122" s="5"/>
      <c r="BB122" s="1"/>
      <c r="BC122" s="3" t="s">
        <v>97</v>
      </c>
      <c r="BD122" s="3">
        <v>0.9</v>
      </c>
      <c r="BE122" s="3">
        <v>0.5</v>
      </c>
      <c r="BF122" s="3">
        <v>0.6</v>
      </c>
      <c r="BG122" s="3">
        <v>0.3</v>
      </c>
      <c r="BH122" s="6">
        <v>907.13232400000004</v>
      </c>
      <c r="BI122" s="3">
        <v>8.9999999999999993E-3</v>
      </c>
      <c r="BK122" s="3" t="s">
        <v>97</v>
      </c>
      <c r="BL122" s="3">
        <v>0.35</v>
      </c>
      <c r="BM122" s="7">
        <v>939.96667500000001</v>
      </c>
      <c r="BN122" s="3">
        <v>0</v>
      </c>
      <c r="BO122" s="3">
        <f t="shared" si="15"/>
        <v>0.32499999999999996</v>
      </c>
    </row>
    <row r="123" spans="1:67" x14ac:dyDescent="0.3">
      <c r="A123" s="3" t="s">
        <v>98</v>
      </c>
      <c r="B123" s="3">
        <v>0.9</v>
      </c>
      <c r="C123" s="3">
        <v>0.5</v>
      </c>
      <c r="D123" s="3">
        <v>0.6</v>
      </c>
      <c r="E123" s="3">
        <v>0.3</v>
      </c>
      <c r="F123" s="6">
        <v>455.38677999999999</v>
      </c>
      <c r="G123" s="3">
        <v>1E-3</v>
      </c>
      <c r="I123" s="3" t="s">
        <v>98</v>
      </c>
      <c r="J123" s="3">
        <v>0.42</v>
      </c>
      <c r="K123" s="7">
        <v>472.107147</v>
      </c>
      <c r="L123" s="3">
        <v>1E-3</v>
      </c>
      <c r="M123" s="3">
        <f t="shared" si="12"/>
        <v>0.36</v>
      </c>
      <c r="N123" s="5"/>
      <c r="O123" s="5"/>
      <c r="P123" s="5"/>
      <c r="Q123" s="5"/>
      <c r="R123" s="1"/>
      <c r="S123" s="3" t="s">
        <v>98</v>
      </c>
      <c r="T123" s="3">
        <v>0.9</v>
      </c>
      <c r="U123" s="3">
        <v>0.5</v>
      </c>
      <c r="V123" s="3">
        <v>0.6</v>
      </c>
      <c r="W123" s="3">
        <v>0.3</v>
      </c>
      <c r="X123" s="7">
        <v>428.31997699999999</v>
      </c>
      <c r="Y123" s="3">
        <v>2E-3</v>
      </c>
      <c r="AA123" s="3" t="s">
        <v>98</v>
      </c>
      <c r="AB123" s="3">
        <v>0.13</v>
      </c>
      <c r="AC123" s="6">
        <v>427.11312900000001</v>
      </c>
      <c r="AD123" s="3">
        <v>0</v>
      </c>
      <c r="AE123" s="3">
        <f t="shared" si="13"/>
        <v>0.215</v>
      </c>
      <c r="AF123" s="5"/>
      <c r="AG123" s="5"/>
      <c r="AH123" s="5"/>
      <c r="AI123" s="5"/>
      <c r="AJ123" s="1"/>
      <c r="AK123" s="3" t="s">
        <v>99</v>
      </c>
      <c r="AL123" s="3">
        <v>0.9</v>
      </c>
      <c r="AM123" s="3">
        <v>0.5</v>
      </c>
      <c r="AN123" s="3">
        <v>0.6</v>
      </c>
      <c r="AO123" s="3">
        <v>0.3</v>
      </c>
      <c r="AP123" s="6">
        <v>889.88458300000002</v>
      </c>
      <c r="AQ123" s="3">
        <v>5.0000000000000001E-3</v>
      </c>
      <c r="AS123" s="3" t="s">
        <v>99</v>
      </c>
      <c r="AT123" s="3">
        <v>0.44</v>
      </c>
      <c r="AU123" s="7">
        <v>987.73577899999998</v>
      </c>
      <c r="AV123" s="3">
        <v>0</v>
      </c>
      <c r="AW123" s="3">
        <f t="shared" si="14"/>
        <v>0.37</v>
      </c>
      <c r="AX123" s="5"/>
      <c r="AY123" s="5"/>
      <c r="AZ123" s="5"/>
      <c r="BA123" s="5"/>
      <c r="BB123" s="1"/>
      <c r="BC123" s="3" t="s">
        <v>99</v>
      </c>
      <c r="BD123" s="3">
        <v>0.9</v>
      </c>
      <c r="BE123" s="3">
        <v>0.5</v>
      </c>
      <c r="BF123" s="3">
        <v>0.6</v>
      </c>
      <c r="BG123" s="3">
        <v>0.3</v>
      </c>
      <c r="BH123" s="6">
        <v>866.41607699999997</v>
      </c>
      <c r="BI123" s="3">
        <v>8.0000000000000002E-3</v>
      </c>
      <c r="BK123" s="3" t="s">
        <v>99</v>
      </c>
      <c r="BL123" s="3">
        <v>0.37</v>
      </c>
      <c r="BM123" s="7">
        <v>910.96618699999999</v>
      </c>
      <c r="BN123" s="3">
        <v>1E-3</v>
      </c>
      <c r="BO123" s="3">
        <f t="shared" si="15"/>
        <v>0.33499999999999996</v>
      </c>
    </row>
    <row r="124" spans="1:67" x14ac:dyDescent="0.3">
      <c r="A124" s="3" t="s">
        <v>100</v>
      </c>
      <c r="B124" s="3">
        <v>0.9</v>
      </c>
      <c r="C124" s="3">
        <v>0.5</v>
      </c>
      <c r="D124" s="3">
        <v>0.6</v>
      </c>
      <c r="E124" s="3">
        <v>0.3</v>
      </c>
      <c r="F124" s="6">
        <v>602.13256799999999</v>
      </c>
      <c r="G124" s="3">
        <v>2E-3</v>
      </c>
      <c r="I124" s="3" t="s">
        <v>100</v>
      </c>
      <c r="J124" s="3">
        <v>0.79</v>
      </c>
      <c r="K124" s="7">
        <v>658.25769000000003</v>
      </c>
      <c r="L124" s="3">
        <v>1E-3</v>
      </c>
      <c r="M124" s="3">
        <f t="shared" si="12"/>
        <v>0.54500000000000004</v>
      </c>
      <c r="N124" s="5"/>
      <c r="O124" s="5"/>
      <c r="P124" s="5"/>
      <c r="Q124" s="5"/>
      <c r="R124" s="1"/>
      <c r="S124" s="3" t="s">
        <v>100</v>
      </c>
      <c r="T124" s="3">
        <v>0.9</v>
      </c>
      <c r="U124" s="3">
        <v>0.5</v>
      </c>
      <c r="V124" s="3">
        <v>0.6</v>
      </c>
      <c r="W124" s="3">
        <v>0.3</v>
      </c>
      <c r="X124" s="6">
        <v>599.50665300000003</v>
      </c>
      <c r="Y124" s="3">
        <v>1E-3</v>
      </c>
      <c r="AA124" s="3" t="s">
        <v>100</v>
      </c>
      <c r="AB124" s="3">
        <v>0.67</v>
      </c>
      <c r="AC124" s="7">
        <v>635.05053699999996</v>
      </c>
      <c r="AD124" s="3">
        <v>0</v>
      </c>
      <c r="AE124" s="3">
        <f t="shared" si="13"/>
        <v>0.48499999999999999</v>
      </c>
      <c r="AF124" s="5"/>
      <c r="AG124" s="5"/>
      <c r="AH124" s="5"/>
      <c r="AI124" s="5"/>
      <c r="AJ124" s="1"/>
      <c r="AK124" s="3" t="s">
        <v>101</v>
      </c>
      <c r="AL124" s="3">
        <v>0.9</v>
      </c>
      <c r="AM124" s="3">
        <v>0.5</v>
      </c>
      <c r="AN124" s="3">
        <v>0.6</v>
      </c>
      <c r="AO124" s="3">
        <v>0.3</v>
      </c>
      <c r="AP124" s="6">
        <v>787.32458499999996</v>
      </c>
      <c r="AQ124" s="3">
        <v>5.0000000000000001E-3</v>
      </c>
      <c r="AS124" s="3" t="s">
        <v>101</v>
      </c>
      <c r="AT124" s="3">
        <v>0.72</v>
      </c>
      <c r="AU124" s="7">
        <v>980.14538600000003</v>
      </c>
      <c r="AV124" s="3">
        <v>1E-3</v>
      </c>
      <c r="AW124" s="3">
        <f t="shared" si="14"/>
        <v>0.51</v>
      </c>
      <c r="AX124" s="5"/>
      <c r="AY124" s="5"/>
      <c r="AZ124" s="5"/>
      <c r="BA124" s="5"/>
      <c r="BB124" s="1"/>
      <c r="BC124" s="3" t="s">
        <v>101</v>
      </c>
      <c r="BD124" s="3">
        <v>0.9</v>
      </c>
      <c r="BE124" s="3">
        <v>0.5</v>
      </c>
      <c r="BF124" s="3">
        <v>0.6</v>
      </c>
      <c r="BG124" s="3">
        <v>0.3</v>
      </c>
      <c r="BH124" s="7">
        <v>788.72729500000003</v>
      </c>
      <c r="BI124" s="3">
        <v>5.0000000000000001E-3</v>
      </c>
      <c r="BK124" s="3" t="s">
        <v>101</v>
      </c>
      <c r="BL124" s="3">
        <v>0.13</v>
      </c>
      <c r="BM124" s="6">
        <v>702.42834500000004</v>
      </c>
      <c r="BN124" s="3">
        <v>1E-3</v>
      </c>
      <c r="BO124" s="3">
        <f t="shared" si="15"/>
        <v>0.215</v>
      </c>
    </row>
    <row r="125" spans="1:67" x14ac:dyDescent="0.3">
      <c r="A125" s="3" t="s">
        <v>102</v>
      </c>
      <c r="B125" s="3">
        <v>0.9</v>
      </c>
      <c r="C125" s="3">
        <v>0.5</v>
      </c>
      <c r="D125" s="3">
        <v>0.6</v>
      </c>
      <c r="E125" s="3">
        <v>0.3</v>
      </c>
      <c r="F125" s="7">
        <v>599.83892800000001</v>
      </c>
      <c r="G125" s="3">
        <v>1E-3</v>
      </c>
      <c r="I125" s="3" t="s">
        <v>102</v>
      </c>
      <c r="J125" s="3">
        <v>0.1</v>
      </c>
      <c r="K125" s="6">
        <v>590.34387200000003</v>
      </c>
      <c r="L125" s="3">
        <v>0</v>
      </c>
      <c r="M125" s="3">
        <f t="shared" si="12"/>
        <v>0.2</v>
      </c>
      <c r="N125" s="5"/>
      <c r="O125" s="5"/>
      <c r="P125" s="5"/>
      <c r="Q125" s="5"/>
      <c r="R125" s="1"/>
      <c r="S125" s="3" t="s">
        <v>102</v>
      </c>
      <c r="T125" s="3">
        <v>0.9</v>
      </c>
      <c r="U125" s="3">
        <v>0.5</v>
      </c>
      <c r="V125" s="3">
        <v>0.6</v>
      </c>
      <c r="W125" s="3">
        <v>0.3</v>
      </c>
      <c r="X125" s="6">
        <v>595.14544699999999</v>
      </c>
      <c r="Y125" s="3">
        <v>1E-3</v>
      </c>
      <c r="AA125" s="3" t="s">
        <v>102</v>
      </c>
      <c r="AB125" s="3">
        <v>0.75</v>
      </c>
      <c r="AC125" s="7">
        <v>649.66265899999996</v>
      </c>
      <c r="AD125" s="3">
        <v>0</v>
      </c>
      <c r="AE125" s="3">
        <f t="shared" si="13"/>
        <v>0.52500000000000002</v>
      </c>
      <c r="AF125" s="5"/>
      <c r="AG125" s="5"/>
      <c r="AH125" s="5"/>
      <c r="AI125" s="5"/>
      <c r="AJ125" s="1"/>
      <c r="AK125" s="3" t="s">
        <v>103</v>
      </c>
      <c r="AL125" s="3">
        <v>0.9</v>
      </c>
      <c r="AM125" s="3">
        <v>0.5</v>
      </c>
      <c r="AN125" s="3">
        <v>0.6</v>
      </c>
      <c r="AO125" s="3">
        <v>0.3</v>
      </c>
      <c r="AP125" s="6">
        <v>859.97186299999998</v>
      </c>
      <c r="AQ125" s="3">
        <v>1.0999999999999999E-2</v>
      </c>
      <c r="AS125" s="3" t="s">
        <v>103</v>
      </c>
      <c r="AT125" s="3">
        <v>0.33</v>
      </c>
      <c r="AU125" s="7">
        <v>861.40600600000005</v>
      </c>
      <c r="AV125" s="3">
        <v>0</v>
      </c>
      <c r="AW125" s="3">
        <f t="shared" si="14"/>
        <v>0.315</v>
      </c>
      <c r="AX125" s="5"/>
      <c r="AY125" s="5"/>
      <c r="AZ125" s="5"/>
      <c r="BA125" s="5"/>
      <c r="BB125" s="1"/>
      <c r="BC125" s="3" t="s">
        <v>103</v>
      </c>
      <c r="BD125" s="3">
        <v>0.9</v>
      </c>
      <c r="BE125" s="3">
        <v>0.5</v>
      </c>
      <c r="BF125" s="3">
        <v>0.6</v>
      </c>
      <c r="BG125" s="3">
        <v>0.3</v>
      </c>
      <c r="BH125" s="6">
        <v>808.46502699999996</v>
      </c>
      <c r="BI125" s="3">
        <v>8.0000000000000002E-3</v>
      </c>
      <c r="BK125" s="3" t="s">
        <v>103</v>
      </c>
      <c r="BL125" s="3">
        <v>0.88</v>
      </c>
      <c r="BM125" s="7">
        <v>972.87493900000004</v>
      </c>
      <c r="BN125" s="3">
        <v>1E-3</v>
      </c>
      <c r="BO125" s="3">
        <f t="shared" si="15"/>
        <v>0.59</v>
      </c>
    </row>
    <row r="126" spans="1:67" x14ac:dyDescent="0.3">
      <c r="A126" s="3" t="s">
        <v>104</v>
      </c>
      <c r="B126" s="3">
        <v>0.9</v>
      </c>
      <c r="C126" s="3">
        <v>0.5</v>
      </c>
      <c r="D126" s="3">
        <v>0.6</v>
      </c>
      <c r="E126" s="3">
        <v>0.3</v>
      </c>
      <c r="F126" s="6">
        <v>580.26434300000005</v>
      </c>
      <c r="G126" s="3">
        <v>1E-3</v>
      </c>
      <c r="I126" s="3" t="s">
        <v>104</v>
      </c>
      <c r="J126" s="3">
        <v>0.56000000000000005</v>
      </c>
      <c r="K126" s="7">
        <v>631.99340800000004</v>
      </c>
      <c r="L126" s="3">
        <v>0</v>
      </c>
      <c r="M126" s="3">
        <f t="shared" si="12"/>
        <v>0.43000000000000005</v>
      </c>
      <c r="N126" s="5"/>
      <c r="O126" s="5"/>
      <c r="P126" s="5"/>
      <c r="Q126" s="5"/>
      <c r="R126" s="1"/>
      <c r="S126" s="3" t="s">
        <v>104</v>
      </c>
      <c r="T126" s="3">
        <v>0.9</v>
      </c>
      <c r="U126" s="3">
        <v>0.5</v>
      </c>
      <c r="V126" s="3">
        <v>0.6</v>
      </c>
      <c r="W126" s="3">
        <v>0.3</v>
      </c>
      <c r="X126" s="7">
        <v>572.114014</v>
      </c>
      <c r="Y126" s="3">
        <v>1E-3</v>
      </c>
      <c r="AA126" s="3" t="s">
        <v>104</v>
      </c>
      <c r="AB126" s="3">
        <v>0.24</v>
      </c>
      <c r="AC126" s="6">
        <v>538.46038799999997</v>
      </c>
      <c r="AD126" s="3">
        <v>1E-3</v>
      </c>
      <c r="AE126" s="3">
        <f t="shared" si="13"/>
        <v>0.27</v>
      </c>
      <c r="AF126" s="5"/>
      <c r="AG126" s="5"/>
      <c r="AH126" s="5"/>
      <c r="AI126" s="5"/>
      <c r="AJ126" s="1"/>
      <c r="AK126" s="3" t="s">
        <v>105</v>
      </c>
      <c r="AL126" s="3">
        <v>0.9</v>
      </c>
      <c r="AM126" s="3">
        <v>0.5</v>
      </c>
      <c r="AN126" s="3">
        <v>0.6</v>
      </c>
      <c r="AO126" s="3">
        <v>0.3</v>
      </c>
      <c r="AP126" s="7">
        <v>984.21691899999996</v>
      </c>
      <c r="AQ126" s="3">
        <v>1.2E-2</v>
      </c>
      <c r="AS126" s="3" t="s">
        <v>105</v>
      </c>
      <c r="AT126" s="3">
        <v>0.28999999999999998</v>
      </c>
      <c r="AU126" s="6">
        <v>960.92828399999996</v>
      </c>
      <c r="AV126" s="3">
        <v>1E-3</v>
      </c>
      <c r="AW126" s="3">
        <f t="shared" si="14"/>
        <v>0.29499999999999998</v>
      </c>
      <c r="AX126" s="5"/>
      <c r="AY126" s="5"/>
      <c r="AZ126" s="5"/>
      <c r="BA126" s="5"/>
      <c r="BB126" s="1"/>
      <c r="BC126" s="3" t="s">
        <v>105</v>
      </c>
      <c r="BD126" s="3">
        <v>0.9</v>
      </c>
      <c r="BE126" s="3">
        <v>0.5</v>
      </c>
      <c r="BF126" s="3">
        <v>0.6</v>
      </c>
      <c r="BG126" s="3">
        <v>0.3</v>
      </c>
      <c r="BH126" s="6">
        <v>941.87219200000004</v>
      </c>
      <c r="BI126" s="3">
        <v>6.0000000000000001E-3</v>
      </c>
      <c r="BK126" s="3" t="s">
        <v>105</v>
      </c>
      <c r="BL126" s="3">
        <v>0.57999999999999996</v>
      </c>
      <c r="BM126" s="7">
        <v>1030.8599850000001</v>
      </c>
      <c r="BN126" s="3">
        <v>1E-3</v>
      </c>
      <c r="BO126" s="3">
        <f t="shared" si="15"/>
        <v>0.43999999999999995</v>
      </c>
    </row>
    <row r="127" spans="1:67" x14ac:dyDescent="0.3">
      <c r="A127" s="3" t="s">
        <v>106</v>
      </c>
      <c r="B127" s="3">
        <v>0.9</v>
      </c>
      <c r="C127" s="3">
        <v>0.5</v>
      </c>
      <c r="D127" s="3">
        <v>0.6</v>
      </c>
      <c r="E127" s="3">
        <v>0.3</v>
      </c>
      <c r="F127" s="6">
        <v>535.00170900000001</v>
      </c>
      <c r="G127" s="3">
        <v>2E-3</v>
      </c>
      <c r="I127" s="3" t="s">
        <v>106</v>
      </c>
      <c r="J127" s="3">
        <v>0.94</v>
      </c>
      <c r="K127" s="7">
        <v>617.23577899999998</v>
      </c>
      <c r="L127" s="3">
        <v>0</v>
      </c>
      <c r="M127" s="3">
        <f t="shared" si="12"/>
        <v>0.62</v>
      </c>
      <c r="N127" s="5"/>
      <c r="O127" s="5"/>
      <c r="P127" s="5"/>
      <c r="Q127" s="5"/>
      <c r="R127" s="1"/>
      <c r="S127" s="3" t="s">
        <v>106</v>
      </c>
      <c r="T127" s="3">
        <v>0.9</v>
      </c>
      <c r="U127" s="3">
        <v>0.5</v>
      </c>
      <c r="V127" s="3">
        <v>0.6</v>
      </c>
      <c r="W127" s="3">
        <v>0.3</v>
      </c>
      <c r="X127" s="6">
        <v>519.22289999999998</v>
      </c>
      <c r="Y127" s="3">
        <v>1E-3</v>
      </c>
      <c r="AA127" s="3" t="s">
        <v>106</v>
      </c>
      <c r="AB127" s="3">
        <v>0.84</v>
      </c>
      <c r="AC127" s="7">
        <v>611.99383499999999</v>
      </c>
      <c r="AD127" s="3">
        <v>0</v>
      </c>
      <c r="AE127" s="3">
        <f t="shared" si="13"/>
        <v>0.56999999999999995</v>
      </c>
      <c r="AF127" s="5"/>
      <c r="AG127" s="5"/>
      <c r="AH127" s="5"/>
      <c r="AI127" s="5"/>
      <c r="AJ127" s="1"/>
      <c r="AK127" s="3" t="s">
        <v>107</v>
      </c>
      <c r="AL127" s="3">
        <v>0.9</v>
      </c>
      <c r="AM127" s="3">
        <v>0.5</v>
      </c>
      <c r="AN127" s="3">
        <v>0.6</v>
      </c>
      <c r="AO127" s="3">
        <v>0.3</v>
      </c>
      <c r="AP127" s="7">
        <v>1047.9748540000001</v>
      </c>
      <c r="AQ127" s="3">
        <v>7.0000000000000001E-3</v>
      </c>
      <c r="AS127" s="3" t="s">
        <v>107</v>
      </c>
      <c r="AT127" s="3">
        <v>0.26</v>
      </c>
      <c r="AU127" s="6">
        <v>1012.593384</v>
      </c>
      <c r="AV127" s="3">
        <v>0</v>
      </c>
      <c r="AW127" s="3">
        <f t="shared" si="14"/>
        <v>0.28000000000000003</v>
      </c>
      <c r="AX127" s="5"/>
      <c r="AY127" s="5"/>
      <c r="AZ127" s="5"/>
      <c r="BA127" s="5"/>
      <c r="BB127" s="1"/>
      <c r="BC127" s="3" t="s">
        <v>107</v>
      </c>
      <c r="BD127" s="3">
        <v>0.9</v>
      </c>
      <c r="BE127" s="3">
        <v>0.5</v>
      </c>
      <c r="BF127" s="3">
        <v>0.6</v>
      </c>
      <c r="BG127" s="3">
        <v>0.3</v>
      </c>
      <c r="BH127" s="6">
        <v>1023.3912350000001</v>
      </c>
      <c r="BI127" s="3">
        <v>8.9999999999999993E-3</v>
      </c>
      <c r="BK127" s="3" t="s">
        <v>107</v>
      </c>
      <c r="BL127" s="3">
        <v>0.77</v>
      </c>
      <c r="BM127" s="7">
        <v>1145.9945070000001</v>
      </c>
      <c r="BN127" s="3">
        <v>1E-3</v>
      </c>
      <c r="BO127" s="3">
        <f t="shared" si="15"/>
        <v>0.53500000000000003</v>
      </c>
    </row>
    <row r="128" spans="1:67" x14ac:dyDescent="0.3">
      <c r="A128" s="3" t="s">
        <v>108</v>
      </c>
      <c r="B128" s="3">
        <v>0.9</v>
      </c>
      <c r="C128" s="3">
        <v>0.5</v>
      </c>
      <c r="D128" s="3">
        <v>0.6</v>
      </c>
      <c r="E128" s="3">
        <v>0.3</v>
      </c>
      <c r="F128" s="6">
        <v>601.55273399999999</v>
      </c>
      <c r="G128" s="3">
        <v>2E-3</v>
      </c>
      <c r="I128" s="3" t="s">
        <v>108</v>
      </c>
      <c r="J128" s="3">
        <v>0.09</v>
      </c>
      <c r="K128" s="7">
        <v>631.07501200000002</v>
      </c>
      <c r="L128" s="3">
        <v>0</v>
      </c>
      <c r="M128" s="3">
        <f t="shared" si="12"/>
        <v>0.19500000000000001</v>
      </c>
      <c r="N128" s="5"/>
      <c r="O128" s="5"/>
      <c r="P128" s="5"/>
      <c r="Q128" s="5"/>
      <c r="R128" s="1"/>
      <c r="S128" s="3" t="s">
        <v>108</v>
      </c>
      <c r="T128" s="3">
        <v>0.9</v>
      </c>
      <c r="U128" s="3">
        <v>0.5</v>
      </c>
      <c r="V128" s="3">
        <v>0.6</v>
      </c>
      <c r="W128" s="3">
        <v>0.3</v>
      </c>
      <c r="X128" s="6">
        <v>559.64392099999998</v>
      </c>
      <c r="Y128" s="3">
        <v>2E-3</v>
      </c>
      <c r="AA128" s="3" t="s">
        <v>108</v>
      </c>
      <c r="AB128" s="3">
        <v>0.35</v>
      </c>
      <c r="AC128" s="7">
        <v>568.42755099999999</v>
      </c>
      <c r="AD128" s="3">
        <v>0</v>
      </c>
      <c r="AE128" s="3">
        <f t="shared" si="13"/>
        <v>0.32499999999999996</v>
      </c>
      <c r="AF128" s="5"/>
      <c r="AG128" s="5"/>
      <c r="AH128" s="5"/>
      <c r="AI128" s="5"/>
      <c r="AJ128" s="1"/>
      <c r="AK128" s="3" t="s">
        <v>109</v>
      </c>
      <c r="AL128" s="3">
        <v>0.9</v>
      </c>
      <c r="AM128" s="3">
        <v>0.5</v>
      </c>
      <c r="AN128" s="3">
        <v>0.6</v>
      </c>
      <c r="AO128" s="3">
        <v>0.3</v>
      </c>
      <c r="AP128" s="6">
        <v>889.67242399999998</v>
      </c>
      <c r="AQ128" s="3">
        <v>5.0000000000000001E-3</v>
      </c>
      <c r="AS128" s="3" t="s">
        <v>109</v>
      </c>
      <c r="AT128" s="3">
        <v>0.52</v>
      </c>
      <c r="AU128" s="7">
        <v>988.41131600000006</v>
      </c>
      <c r="AV128" s="3">
        <v>1E-3</v>
      </c>
      <c r="AW128" s="3">
        <f t="shared" si="14"/>
        <v>0.41000000000000003</v>
      </c>
      <c r="AX128" s="5"/>
      <c r="AY128" s="5"/>
      <c r="AZ128" s="5"/>
      <c r="BA128" s="5"/>
      <c r="BB128" s="1"/>
      <c r="BC128" s="3" t="s">
        <v>109</v>
      </c>
      <c r="BD128" s="3">
        <v>0.9</v>
      </c>
      <c r="BE128" s="3">
        <v>0.5</v>
      </c>
      <c r="BF128" s="3">
        <v>0.6</v>
      </c>
      <c r="BG128" s="3">
        <v>0.3</v>
      </c>
      <c r="BH128" s="6">
        <v>864.14624000000003</v>
      </c>
      <c r="BI128" s="3">
        <v>7.0000000000000001E-3</v>
      </c>
      <c r="BK128" s="3" t="s">
        <v>109</v>
      </c>
      <c r="BL128" s="3">
        <v>0.84</v>
      </c>
      <c r="BM128" s="7">
        <v>1080.512207</v>
      </c>
      <c r="BN128" s="3">
        <v>1E-3</v>
      </c>
      <c r="BO128" s="3">
        <f t="shared" si="15"/>
        <v>0.56999999999999995</v>
      </c>
    </row>
    <row r="129" spans="1:67" x14ac:dyDescent="0.3">
      <c r="A129" s="3" t="s">
        <v>110</v>
      </c>
      <c r="B129" s="3">
        <v>0.9</v>
      </c>
      <c r="C129" s="3">
        <v>0.5</v>
      </c>
      <c r="D129" s="3">
        <v>0.6</v>
      </c>
      <c r="E129" s="3">
        <v>0.3</v>
      </c>
      <c r="F129" s="6">
        <v>575.77954099999999</v>
      </c>
      <c r="G129" s="3">
        <v>1E-3</v>
      </c>
      <c r="I129" s="3" t="s">
        <v>110</v>
      </c>
      <c r="J129" s="3">
        <v>0.95</v>
      </c>
      <c r="K129" s="7">
        <v>671.42382799999996</v>
      </c>
      <c r="L129" s="3">
        <v>0</v>
      </c>
      <c r="M129" s="3">
        <f t="shared" si="12"/>
        <v>0.625</v>
      </c>
      <c r="N129" s="5"/>
      <c r="O129" s="5"/>
      <c r="P129" s="5"/>
      <c r="Q129" s="5"/>
      <c r="R129" s="1"/>
      <c r="S129" s="3" t="s">
        <v>110</v>
      </c>
      <c r="T129" s="3">
        <v>0.9</v>
      </c>
      <c r="U129" s="3">
        <v>0.5</v>
      </c>
      <c r="V129" s="3">
        <v>0.6</v>
      </c>
      <c r="W129" s="3">
        <v>0.3</v>
      </c>
      <c r="X129" s="7">
        <v>557.52557400000001</v>
      </c>
      <c r="Y129" s="3">
        <v>2E-3</v>
      </c>
      <c r="AA129" s="3" t="s">
        <v>110</v>
      </c>
      <c r="AB129" s="3">
        <v>0.2</v>
      </c>
      <c r="AC129" s="6">
        <v>540.76709000000005</v>
      </c>
      <c r="AD129" s="3">
        <v>0</v>
      </c>
      <c r="AE129" s="3">
        <f t="shared" si="13"/>
        <v>0.25</v>
      </c>
      <c r="AF129" s="5"/>
      <c r="AG129" s="5"/>
      <c r="AH129" s="5"/>
      <c r="AI129" s="5"/>
      <c r="AJ129" s="1"/>
      <c r="AK129" s="3" t="s">
        <v>111</v>
      </c>
      <c r="AL129" s="3">
        <v>0.9</v>
      </c>
      <c r="AM129" s="3">
        <v>0.5</v>
      </c>
      <c r="AN129" s="3">
        <v>0.6</v>
      </c>
      <c r="AO129" s="3">
        <v>0.3</v>
      </c>
      <c r="AP129" s="6">
        <v>1003.557068</v>
      </c>
      <c r="AQ129" s="3">
        <v>1.0999999999999999E-2</v>
      </c>
      <c r="AS129" s="3" t="s">
        <v>111</v>
      </c>
      <c r="AT129" s="3">
        <v>0.35</v>
      </c>
      <c r="AU129" s="7">
        <v>1015.4592290000001</v>
      </c>
      <c r="AV129" s="3">
        <v>1E-3</v>
      </c>
      <c r="AW129" s="3">
        <f t="shared" si="14"/>
        <v>0.32499999999999996</v>
      </c>
      <c r="AX129" s="5"/>
      <c r="AY129" s="5"/>
      <c r="AZ129" s="5"/>
      <c r="BA129" s="5"/>
      <c r="BB129" s="1"/>
      <c r="BC129" s="3" t="s">
        <v>111</v>
      </c>
      <c r="BD129" s="3">
        <v>0.9</v>
      </c>
      <c r="BE129" s="3">
        <v>0.5</v>
      </c>
      <c r="BF129" s="3">
        <v>0.6</v>
      </c>
      <c r="BG129" s="3">
        <v>0.3</v>
      </c>
      <c r="BH129" s="7">
        <v>961.74133300000005</v>
      </c>
      <c r="BI129" s="3">
        <v>6.0000000000000001E-3</v>
      </c>
      <c r="BK129" s="3" t="s">
        <v>111</v>
      </c>
      <c r="BL129" s="3">
        <v>0.1</v>
      </c>
      <c r="BM129" s="6">
        <v>828.88464399999998</v>
      </c>
      <c r="BN129" s="3">
        <v>0</v>
      </c>
      <c r="BO129" s="3">
        <f t="shared" si="15"/>
        <v>0.2</v>
      </c>
    </row>
    <row r="130" spans="1:67" x14ac:dyDescent="0.3">
      <c r="A130" s="3" t="s">
        <v>112</v>
      </c>
      <c r="B130" s="3">
        <v>0.9</v>
      </c>
      <c r="C130" s="3">
        <v>0.5</v>
      </c>
      <c r="D130" s="3">
        <v>0.6</v>
      </c>
      <c r="E130" s="3">
        <v>0.3</v>
      </c>
      <c r="F130" s="6">
        <v>467.391479</v>
      </c>
      <c r="G130" s="3">
        <v>1E-3</v>
      </c>
      <c r="I130" s="3" t="s">
        <v>112</v>
      </c>
      <c r="J130" s="3">
        <v>0.95</v>
      </c>
      <c r="K130" s="7">
        <v>544.87847899999997</v>
      </c>
      <c r="L130" s="3">
        <v>0</v>
      </c>
      <c r="M130" s="3">
        <f t="shared" si="12"/>
        <v>0.625</v>
      </c>
      <c r="N130" s="5"/>
      <c r="O130" s="5"/>
      <c r="P130" s="5"/>
      <c r="Q130" s="5"/>
      <c r="R130" s="1"/>
      <c r="S130" s="3" t="s">
        <v>112</v>
      </c>
      <c r="T130" s="3">
        <v>0.9</v>
      </c>
      <c r="U130" s="3">
        <v>0.5</v>
      </c>
      <c r="V130" s="3">
        <v>0.6</v>
      </c>
      <c r="W130" s="3">
        <v>0.3</v>
      </c>
      <c r="X130" s="6">
        <v>420.16146900000001</v>
      </c>
      <c r="Y130" s="3">
        <v>1E-3</v>
      </c>
      <c r="AA130" s="3" t="s">
        <v>112</v>
      </c>
      <c r="AB130" s="3">
        <v>0.77</v>
      </c>
      <c r="AC130" s="7">
        <v>456.696594</v>
      </c>
      <c r="AD130" s="3">
        <v>0</v>
      </c>
      <c r="AE130" s="3">
        <f t="shared" si="13"/>
        <v>0.53500000000000003</v>
      </c>
      <c r="AF130" s="5"/>
      <c r="AG130" s="5"/>
      <c r="AH130" s="5"/>
      <c r="AI130" s="5"/>
      <c r="AJ130" s="1"/>
      <c r="AK130" s="3" t="s">
        <v>113</v>
      </c>
      <c r="AL130" s="3">
        <v>0.9</v>
      </c>
      <c r="AM130" s="3">
        <v>0.5</v>
      </c>
      <c r="AN130" s="3">
        <v>0.6</v>
      </c>
      <c r="AO130" s="3">
        <v>0.3</v>
      </c>
      <c r="AP130" s="6">
        <v>925.93548599999997</v>
      </c>
      <c r="AQ130" s="3">
        <v>0.01</v>
      </c>
      <c r="AS130" s="3" t="s">
        <v>113</v>
      </c>
      <c r="AT130" s="3">
        <v>0.51</v>
      </c>
      <c r="AU130" s="7">
        <v>972.38781700000004</v>
      </c>
      <c r="AV130" s="3">
        <v>1E-3</v>
      </c>
      <c r="AW130" s="3">
        <f t="shared" si="14"/>
        <v>0.40500000000000003</v>
      </c>
      <c r="AX130" s="5"/>
      <c r="AY130" s="5"/>
      <c r="AZ130" s="5"/>
      <c r="BA130" s="5"/>
      <c r="BB130" s="1"/>
      <c r="BC130" s="3" t="s">
        <v>113</v>
      </c>
      <c r="BD130" s="3">
        <v>0.9</v>
      </c>
      <c r="BE130" s="3">
        <v>0.5</v>
      </c>
      <c r="BF130" s="3">
        <v>0.6</v>
      </c>
      <c r="BG130" s="3">
        <v>0.3</v>
      </c>
      <c r="BH130" s="6">
        <v>876.55194100000006</v>
      </c>
      <c r="BI130" s="3">
        <v>7.0000000000000001E-3</v>
      </c>
      <c r="BK130" s="3" t="s">
        <v>113</v>
      </c>
      <c r="BL130" s="3">
        <v>0.5</v>
      </c>
      <c r="BM130" s="7">
        <v>941.89166299999999</v>
      </c>
      <c r="BN130" s="3">
        <v>1E-3</v>
      </c>
      <c r="BO130" s="3">
        <f t="shared" si="15"/>
        <v>0.4</v>
      </c>
    </row>
    <row r="131" spans="1:67" x14ac:dyDescent="0.3">
      <c r="A131" s="3" t="s">
        <v>114</v>
      </c>
      <c r="B131" s="3">
        <v>0.9</v>
      </c>
      <c r="C131" s="3">
        <v>0.5</v>
      </c>
      <c r="D131" s="3">
        <v>0.6</v>
      </c>
      <c r="E131" s="3">
        <v>0.3</v>
      </c>
      <c r="F131" s="6">
        <v>589.70929000000001</v>
      </c>
      <c r="G131" s="3">
        <v>2E-3</v>
      </c>
      <c r="I131" s="3" t="s">
        <v>114</v>
      </c>
      <c r="J131" s="3">
        <v>0.42</v>
      </c>
      <c r="K131" s="7">
        <v>611.11749299999997</v>
      </c>
      <c r="L131" s="3">
        <v>0</v>
      </c>
      <c r="M131" s="3">
        <f t="shared" si="12"/>
        <v>0.36</v>
      </c>
      <c r="N131" s="5"/>
      <c r="O131" s="5"/>
      <c r="P131" s="5"/>
      <c r="Q131" s="5"/>
      <c r="R131" s="1"/>
      <c r="S131" s="3" t="s">
        <v>114</v>
      </c>
      <c r="T131" s="3">
        <v>0.9</v>
      </c>
      <c r="U131" s="3">
        <v>0.5</v>
      </c>
      <c r="V131" s="3">
        <v>0.6</v>
      </c>
      <c r="W131" s="3">
        <v>0.3</v>
      </c>
      <c r="X131" s="7">
        <v>583.28363000000002</v>
      </c>
      <c r="Y131" s="3">
        <v>2E-3</v>
      </c>
      <c r="AA131" s="3" t="s">
        <v>114</v>
      </c>
      <c r="AB131" s="3">
        <v>0.25</v>
      </c>
      <c r="AC131" s="6">
        <v>554.99530000000004</v>
      </c>
      <c r="AD131" s="3">
        <v>0</v>
      </c>
      <c r="AE131" s="3">
        <f t="shared" si="13"/>
        <v>0.27500000000000002</v>
      </c>
      <c r="AF131" s="5"/>
      <c r="AG131" s="5"/>
      <c r="AH131" s="5"/>
      <c r="AI131" s="5"/>
      <c r="AJ131" s="1"/>
      <c r="AK131" s="3" t="s">
        <v>115</v>
      </c>
      <c r="AL131" s="3">
        <v>0.9</v>
      </c>
      <c r="AM131" s="3">
        <v>0.5</v>
      </c>
      <c r="AN131" s="3">
        <v>0.6</v>
      </c>
      <c r="AO131" s="3">
        <v>0.3</v>
      </c>
      <c r="AP131" s="6">
        <v>1019.836914</v>
      </c>
      <c r="AQ131" s="3">
        <v>8.9999999999999993E-3</v>
      </c>
      <c r="AS131" s="3" t="s">
        <v>115</v>
      </c>
      <c r="AT131" s="3">
        <v>0.68</v>
      </c>
      <c r="AU131" s="7">
        <v>1242.3874510000001</v>
      </c>
      <c r="AV131" s="3">
        <v>1E-3</v>
      </c>
      <c r="AW131" s="3">
        <f t="shared" si="14"/>
        <v>0.49</v>
      </c>
      <c r="AX131" s="5"/>
      <c r="AY131" s="5"/>
      <c r="AZ131" s="5"/>
      <c r="BA131" s="5"/>
      <c r="BB131" s="1"/>
      <c r="BC131" s="3" t="s">
        <v>115</v>
      </c>
      <c r="BD131" s="3">
        <v>0.9</v>
      </c>
      <c r="BE131" s="3">
        <v>0.5</v>
      </c>
      <c r="BF131" s="3">
        <v>0.6</v>
      </c>
      <c r="BG131" s="3">
        <v>0.3</v>
      </c>
      <c r="BH131" s="6">
        <v>1011.037598</v>
      </c>
      <c r="BI131" s="3">
        <v>7.0000000000000001E-3</v>
      </c>
      <c r="BK131" s="3" t="s">
        <v>115</v>
      </c>
      <c r="BL131" s="3">
        <v>0.51</v>
      </c>
      <c r="BM131" s="7">
        <v>1089.1735839999999</v>
      </c>
      <c r="BN131" s="3">
        <v>1E-3</v>
      </c>
      <c r="BO131" s="3">
        <f t="shared" si="15"/>
        <v>0.40500000000000003</v>
      </c>
    </row>
    <row r="132" spans="1:67" x14ac:dyDescent="0.3">
      <c r="A132" s="3" t="s">
        <v>116</v>
      </c>
      <c r="B132" s="3">
        <v>0.9</v>
      </c>
      <c r="C132" s="3">
        <v>0.5</v>
      </c>
      <c r="D132" s="3">
        <v>0.6</v>
      </c>
      <c r="E132" s="3">
        <v>0.3</v>
      </c>
      <c r="F132" s="7">
        <v>648.70770300000004</v>
      </c>
      <c r="G132" s="3">
        <v>2E-3</v>
      </c>
      <c r="I132" s="3" t="s">
        <v>116</v>
      </c>
      <c r="J132" s="3">
        <v>0.01</v>
      </c>
      <c r="K132" s="6">
        <v>635.63604699999996</v>
      </c>
      <c r="L132" s="3">
        <v>0</v>
      </c>
      <c r="M132" s="3">
        <f t="shared" si="12"/>
        <v>0.155</v>
      </c>
      <c r="N132" s="5"/>
      <c r="O132" s="5"/>
      <c r="P132" s="5"/>
      <c r="Q132" s="5"/>
      <c r="R132" s="1"/>
      <c r="S132" s="3" t="s">
        <v>116</v>
      </c>
      <c r="T132" s="3">
        <v>0.9</v>
      </c>
      <c r="U132" s="3">
        <v>0.5</v>
      </c>
      <c r="V132" s="3">
        <v>0.6</v>
      </c>
      <c r="W132" s="3">
        <v>0.3</v>
      </c>
      <c r="X132" s="6">
        <v>629.21881099999996</v>
      </c>
      <c r="Y132" s="3">
        <v>1E-3</v>
      </c>
      <c r="AA132" s="3" t="s">
        <v>116</v>
      </c>
      <c r="AB132" s="3">
        <v>0.95</v>
      </c>
      <c r="AC132" s="7">
        <v>668.58074999999997</v>
      </c>
      <c r="AD132" s="3">
        <v>0</v>
      </c>
      <c r="AE132" s="3">
        <f t="shared" si="13"/>
        <v>0.625</v>
      </c>
      <c r="AF132" s="5"/>
      <c r="AG132" s="5"/>
      <c r="AH132" s="5"/>
      <c r="AI132" s="5"/>
      <c r="AJ132" s="1"/>
      <c r="AK132" s="3" t="s">
        <v>117</v>
      </c>
      <c r="AL132" s="3">
        <v>0.9</v>
      </c>
      <c r="AM132" s="3">
        <v>0.5</v>
      </c>
      <c r="AN132" s="3">
        <v>0.6</v>
      </c>
      <c r="AO132" s="3">
        <v>0.3</v>
      </c>
      <c r="AP132" s="6">
        <v>943.66583300000002</v>
      </c>
      <c r="AQ132" s="3">
        <v>0.01</v>
      </c>
      <c r="AS132" s="3" t="s">
        <v>117</v>
      </c>
      <c r="AT132" s="3">
        <v>0.85</v>
      </c>
      <c r="AU132" s="7">
        <v>1146.2332759999999</v>
      </c>
      <c r="AV132" s="3">
        <v>1E-3</v>
      </c>
      <c r="AW132" s="3">
        <f t="shared" si="14"/>
        <v>0.57499999999999996</v>
      </c>
      <c r="AX132" s="5"/>
      <c r="AY132" s="5"/>
      <c r="AZ132" s="5"/>
      <c r="BA132" s="5"/>
      <c r="BB132" s="1"/>
      <c r="BC132" s="3" t="s">
        <v>117</v>
      </c>
      <c r="BD132" s="3">
        <v>0.9</v>
      </c>
      <c r="BE132" s="3">
        <v>0.5</v>
      </c>
      <c r="BF132" s="3">
        <v>0.6</v>
      </c>
      <c r="BG132" s="3">
        <v>0.3</v>
      </c>
      <c r="BH132" s="7">
        <v>897.83862299999998</v>
      </c>
      <c r="BI132" s="3">
        <v>7.0000000000000001E-3</v>
      </c>
      <c r="BK132" s="3" t="s">
        <v>117</v>
      </c>
      <c r="BL132" s="3">
        <v>0.09</v>
      </c>
      <c r="BM132" s="6">
        <v>747.81237799999997</v>
      </c>
      <c r="BN132" s="3">
        <v>0</v>
      </c>
      <c r="BO132" s="3">
        <f t="shared" si="15"/>
        <v>0.19500000000000001</v>
      </c>
    </row>
    <row r="133" spans="1:67" x14ac:dyDescent="0.3">
      <c r="A133" s="3" t="s">
        <v>118</v>
      </c>
      <c r="B133" s="3">
        <v>0.9</v>
      </c>
      <c r="C133" s="3">
        <v>0.5</v>
      </c>
      <c r="D133" s="3">
        <v>0.6</v>
      </c>
      <c r="E133" s="3">
        <v>0.3</v>
      </c>
      <c r="F133" s="6">
        <v>563.38079800000003</v>
      </c>
      <c r="G133" s="3">
        <v>1E-3</v>
      </c>
      <c r="I133" s="3" t="s">
        <v>118</v>
      </c>
      <c r="J133" s="3">
        <v>0.93</v>
      </c>
      <c r="K133" s="7">
        <v>651.70654300000001</v>
      </c>
      <c r="L133" s="3">
        <v>0</v>
      </c>
      <c r="M133" s="3">
        <f t="shared" si="12"/>
        <v>0.61499999999999999</v>
      </c>
      <c r="N133" s="5"/>
      <c r="O133" s="5"/>
      <c r="P133" s="5"/>
      <c r="Q133" s="5"/>
      <c r="R133" s="1"/>
      <c r="S133" s="3" t="s">
        <v>118</v>
      </c>
      <c r="T133" s="3">
        <v>0.9</v>
      </c>
      <c r="U133" s="3">
        <v>0.5</v>
      </c>
      <c r="V133" s="3">
        <v>0.6</v>
      </c>
      <c r="W133" s="3">
        <v>0.3</v>
      </c>
      <c r="X133" s="6">
        <v>542.12377900000001</v>
      </c>
      <c r="Y133" s="3">
        <v>2E-3</v>
      </c>
      <c r="AA133" s="3" t="s">
        <v>118</v>
      </c>
      <c r="AB133" s="3">
        <v>0.82</v>
      </c>
      <c r="AC133" s="7">
        <v>636.57641599999999</v>
      </c>
      <c r="AD133" s="3">
        <v>0</v>
      </c>
      <c r="AE133" s="3">
        <f t="shared" si="13"/>
        <v>0.55999999999999994</v>
      </c>
      <c r="AF133" s="5"/>
      <c r="AG133" s="5"/>
      <c r="AH133" s="5"/>
      <c r="AI133" s="5"/>
      <c r="AJ133" s="1"/>
      <c r="AK133" s="3" t="s">
        <v>119</v>
      </c>
      <c r="AL133" s="3">
        <v>0.9</v>
      </c>
      <c r="AM133" s="3">
        <v>0.5</v>
      </c>
      <c r="AN133" s="3">
        <v>0.6</v>
      </c>
      <c r="AO133" s="3">
        <v>0.3</v>
      </c>
      <c r="AP133" s="6">
        <v>977.73541299999999</v>
      </c>
      <c r="AQ133" s="3">
        <v>6.0000000000000001E-3</v>
      </c>
      <c r="AS133" s="3" t="s">
        <v>119</v>
      </c>
      <c r="AT133" s="3">
        <v>0.92</v>
      </c>
      <c r="AU133" s="7">
        <v>1265.6170649999999</v>
      </c>
      <c r="AV133" s="3">
        <v>2E-3</v>
      </c>
      <c r="AW133" s="3">
        <f t="shared" si="14"/>
        <v>0.61</v>
      </c>
      <c r="AX133" s="5"/>
      <c r="AY133" s="5"/>
      <c r="AZ133" s="5"/>
      <c r="BA133" s="5"/>
      <c r="BB133" s="1"/>
      <c r="BC133" s="3" t="s">
        <v>119</v>
      </c>
      <c r="BD133" s="3">
        <v>0.9</v>
      </c>
      <c r="BE133" s="3">
        <v>0.5</v>
      </c>
      <c r="BF133" s="3">
        <v>0.6</v>
      </c>
      <c r="BG133" s="3">
        <v>0.3</v>
      </c>
      <c r="BH133" s="7">
        <v>982.831726</v>
      </c>
      <c r="BI133" s="3">
        <v>8.9999999999999993E-3</v>
      </c>
      <c r="BK133" s="3" t="s">
        <v>119</v>
      </c>
      <c r="BL133" s="3">
        <v>0.31</v>
      </c>
      <c r="BM133" s="6">
        <v>976.02319299999999</v>
      </c>
      <c r="BN133" s="3">
        <v>1E-3</v>
      </c>
      <c r="BO133" s="3">
        <f t="shared" si="15"/>
        <v>0.30499999999999999</v>
      </c>
    </row>
    <row r="134" spans="1:67" x14ac:dyDescent="0.3">
      <c r="A134" s="3" t="s">
        <v>120</v>
      </c>
      <c r="B134" s="3">
        <v>0.9</v>
      </c>
      <c r="C134" s="3">
        <v>0.5</v>
      </c>
      <c r="D134" s="3">
        <v>0.6</v>
      </c>
      <c r="E134" s="3">
        <v>0.3</v>
      </c>
      <c r="F134" s="6">
        <v>706.35607900000002</v>
      </c>
      <c r="G134" s="3">
        <v>2E-3</v>
      </c>
      <c r="I134" s="3" t="s">
        <v>120</v>
      </c>
      <c r="J134" s="3">
        <v>0.64</v>
      </c>
      <c r="K134" s="7">
        <v>763.04797399999995</v>
      </c>
      <c r="L134" s="3">
        <v>0</v>
      </c>
      <c r="M134" s="3">
        <f t="shared" si="12"/>
        <v>0.47</v>
      </c>
      <c r="N134" s="5"/>
      <c r="O134" s="5"/>
      <c r="P134" s="5"/>
      <c r="Q134" s="5"/>
      <c r="R134" s="1"/>
      <c r="S134" s="3" t="s">
        <v>120</v>
      </c>
      <c r="T134" s="3">
        <v>0.9</v>
      </c>
      <c r="U134" s="3">
        <v>0.5</v>
      </c>
      <c r="V134" s="3">
        <v>0.6</v>
      </c>
      <c r="W134" s="3">
        <v>0.3</v>
      </c>
      <c r="X134" s="7">
        <v>703.61004600000001</v>
      </c>
      <c r="Y134" s="3">
        <v>3.0000000000000001E-3</v>
      </c>
      <c r="AA134" s="3" t="s">
        <v>120</v>
      </c>
      <c r="AB134" s="3">
        <v>0.33</v>
      </c>
      <c r="AC134" s="6">
        <v>702.72406000000001</v>
      </c>
      <c r="AD134" s="3">
        <v>0</v>
      </c>
      <c r="AE134" s="3">
        <f t="shared" si="13"/>
        <v>0.315</v>
      </c>
      <c r="AF134" s="5"/>
      <c r="AG134" s="5"/>
      <c r="AH134" s="5"/>
      <c r="AI134" s="5"/>
      <c r="AJ134" s="1"/>
      <c r="AK134" s="3" t="s">
        <v>121</v>
      </c>
      <c r="AL134" s="3">
        <v>0.9</v>
      </c>
      <c r="AM134" s="3">
        <v>0.5</v>
      </c>
      <c r="AN134" s="3">
        <v>0.6</v>
      </c>
      <c r="AO134" s="3">
        <v>0.3</v>
      </c>
      <c r="AP134" s="6">
        <v>1022.211426</v>
      </c>
      <c r="AQ134" s="3">
        <v>6.0000000000000001E-3</v>
      </c>
      <c r="AS134" s="3" t="s">
        <v>121</v>
      </c>
      <c r="AT134" s="3">
        <v>0.91</v>
      </c>
      <c r="AU134" s="7">
        <v>1233.1948239999999</v>
      </c>
      <c r="AV134" s="3">
        <v>1E-3</v>
      </c>
      <c r="AW134" s="3">
        <f t="shared" si="14"/>
        <v>0.60499999999999998</v>
      </c>
      <c r="AX134" s="5"/>
      <c r="AY134" s="5"/>
      <c r="AZ134" s="5"/>
      <c r="BA134" s="5"/>
      <c r="BB134" s="1"/>
      <c r="BC134" s="3" t="s">
        <v>121</v>
      </c>
      <c r="BD134" s="3">
        <v>0.9</v>
      </c>
      <c r="BE134" s="3">
        <v>0.5</v>
      </c>
      <c r="BF134" s="3">
        <v>0.6</v>
      </c>
      <c r="BG134" s="3">
        <v>0.3</v>
      </c>
      <c r="BH134" s="7">
        <v>1014.615051</v>
      </c>
      <c r="BI134" s="3">
        <v>0.01</v>
      </c>
      <c r="BK134" s="3" t="s">
        <v>121</v>
      </c>
      <c r="BL134" s="3">
        <v>0.05</v>
      </c>
      <c r="BM134" s="6">
        <v>779.04815699999995</v>
      </c>
      <c r="BN134" s="3">
        <v>1E-3</v>
      </c>
      <c r="BO134" s="3">
        <f t="shared" si="15"/>
        <v>0.17499999999999999</v>
      </c>
    </row>
    <row r="135" spans="1:67" x14ac:dyDescent="0.3">
      <c r="A135" s="3" t="s">
        <v>122</v>
      </c>
      <c r="B135" s="3">
        <v>0.9</v>
      </c>
      <c r="C135" s="3">
        <v>0.5</v>
      </c>
      <c r="D135" s="3">
        <v>0.6</v>
      </c>
      <c r="E135" s="3">
        <v>0.3</v>
      </c>
      <c r="F135" s="6">
        <v>646.662781</v>
      </c>
      <c r="G135" s="3">
        <v>2E-3</v>
      </c>
      <c r="I135" s="3" t="s">
        <v>122</v>
      </c>
      <c r="J135" s="3">
        <v>0.87</v>
      </c>
      <c r="K135" s="7">
        <v>685.38214100000005</v>
      </c>
      <c r="L135" s="3">
        <v>0</v>
      </c>
      <c r="M135" s="3">
        <f t="shared" si="12"/>
        <v>0.58499999999999996</v>
      </c>
      <c r="N135" s="5"/>
      <c r="O135" s="5"/>
      <c r="P135" s="5"/>
      <c r="Q135" s="5"/>
      <c r="R135" s="1"/>
      <c r="S135" s="3" t="s">
        <v>122</v>
      </c>
      <c r="T135" s="3">
        <v>0.9</v>
      </c>
      <c r="U135" s="3">
        <v>0.5</v>
      </c>
      <c r="V135" s="3">
        <v>0.6</v>
      </c>
      <c r="W135" s="3">
        <v>0.3</v>
      </c>
      <c r="X135" s="6">
        <v>637.89685099999997</v>
      </c>
      <c r="Y135" s="3">
        <v>1E-3</v>
      </c>
      <c r="AA135" s="3" t="s">
        <v>122</v>
      </c>
      <c r="AB135" s="3">
        <v>0.89</v>
      </c>
      <c r="AC135" s="7">
        <v>703.14752199999998</v>
      </c>
      <c r="AD135" s="3">
        <v>0</v>
      </c>
      <c r="AE135" s="3">
        <f t="shared" si="13"/>
        <v>0.59499999999999997</v>
      </c>
      <c r="AF135" s="5"/>
      <c r="AG135" s="5"/>
      <c r="AH135" s="5"/>
      <c r="AI135" s="5"/>
      <c r="AJ135" s="1"/>
      <c r="AK135" s="3" t="s">
        <v>123</v>
      </c>
      <c r="AL135" s="3">
        <v>0.9</v>
      </c>
      <c r="AM135" s="3">
        <v>0.5</v>
      </c>
      <c r="AN135" s="3">
        <v>0.6</v>
      </c>
      <c r="AO135" s="3">
        <v>0.3</v>
      </c>
      <c r="AP135" s="6">
        <v>984.41790800000001</v>
      </c>
      <c r="AQ135" s="3">
        <v>6.0000000000000001E-3</v>
      </c>
      <c r="AS135" s="3" t="s">
        <v>123</v>
      </c>
      <c r="AT135" s="3">
        <v>0.48</v>
      </c>
      <c r="AU135" s="7">
        <v>1093.3479</v>
      </c>
      <c r="AV135" s="3">
        <v>1E-3</v>
      </c>
      <c r="AW135" s="3">
        <f t="shared" si="14"/>
        <v>0.39</v>
      </c>
      <c r="AX135" s="5"/>
      <c r="AY135" s="5"/>
      <c r="AZ135" s="5"/>
      <c r="BA135" s="5"/>
      <c r="BB135" s="1"/>
      <c r="BC135" s="3" t="s">
        <v>123</v>
      </c>
      <c r="BD135" s="3">
        <v>0.9</v>
      </c>
      <c r="BE135" s="3">
        <v>0.5</v>
      </c>
      <c r="BF135" s="3">
        <v>0.6</v>
      </c>
      <c r="BG135" s="3">
        <v>0.3</v>
      </c>
      <c r="BH135" s="6">
        <v>973.338257</v>
      </c>
      <c r="BI135" s="3">
        <v>7.0000000000000001E-3</v>
      </c>
      <c r="BK135" s="3" t="s">
        <v>123</v>
      </c>
      <c r="BL135" s="3">
        <v>0.95</v>
      </c>
      <c r="BM135" s="7">
        <v>1195.6951899999999</v>
      </c>
      <c r="BN135" s="3">
        <v>1E-3</v>
      </c>
      <c r="BO135" s="3">
        <f t="shared" si="15"/>
        <v>0.625</v>
      </c>
    </row>
    <row r="136" spans="1:67" x14ac:dyDescent="0.3">
      <c r="A136" s="3" t="s">
        <v>124</v>
      </c>
      <c r="B136" s="3">
        <v>0.9</v>
      </c>
      <c r="C136" s="3">
        <v>0.5</v>
      </c>
      <c r="D136" s="3">
        <v>0.6</v>
      </c>
      <c r="E136" s="3">
        <v>0.3</v>
      </c>
      <c r="F136" s="7">
        <v>549.49816899999996</v>
      </c>
      <c r="G136" s="3">
        <v>2E-3</v>
      </c>
      <c r="I136" s="3" t="s">
        <v>124</v>
      </c>
      <c r="J136" s="3">
        <v>0.2</v>
      </c>
      <c r="K136" s="6">
        <v>543.99487299999998</v>
      </c>
      <c r="L136" s="3">
        <v>1E-3</v>
      </c>
      <c r="M136" s="3">
        <f t="shared" si="12"/>
        <v>0.25</v>
      </c>
      <c r="N136" s="5"/>
      <c r="O136" s="5"/>
      <c r="P136" s="5"/>
      <c r="Q136" s="5"/>
      <c r="R136" s="1"/>
      <c r="S136" s="3" t="s">
        <v>124</v>
      </c>
      <c r="T136" s="3">
        <v>0.9</v>
      </c>
      <c r="U136" s="3">
        <v>0.5</v>
      </c>
      <c r="V136" s="3">
        <v>0.6</v>
      </c>
      <c r="W136" s="3">
        <v>0.3</v>
      </c>
      <c r="X136" s="7">
        <v>529.65496800000005</v>
      </c>
      <c r="Y136" s="3">
        <v>1E-3</v>
      </c>
      <c r="AA136" s="3" t="s">
        <v>124</v>
      </c>
      <c r="AB136" s="3">
        <v>0.12</v>
      </c>
      <c r="AC136" s="6">
        <v>524.91186500000003</v>
      </c>
      <c r="AD136" s="3">
        <v>0</v>
      </c>
      <c r="AE136" s="3">
        <f t="shared" si="13"/>
        <v>0.21</v>
      </c>
      <c r="AF136" s="5"/>
      <c r="AG136" s="5"/>
      <c r="AH136" s="5"/>
      <c r="AI136" s="5"/>
      <c r="AJ136" s="1"/>
      <c r="AK136" s="3" t="s">
        <v>125</v>
      </c>
      <c r="AL136" s="3">
        <v>0.9</v>
      </c>
      <c r="AM136" s="3">
        <v>0.5</v>
      </c>
      <c r="AN136" s="3">
        <v>0.6</v>
      </c>
      <c r="AO136" s="3">
        <v>0.3</v>
      </c>
      <c r="AP136" s="6">
        <v>1036.1103519999999</v>
      </c>
      <c r="AQ136" s="3">
        <v>6.0000000000000001E-3</v>
      </c>
      <c r="AS136" s="3" t="s">
        <v>125</v>
      </c>
      <c r="AT136" s="3">
        <v>0.71</v>
      </c>
      <c r="AU136" s="7">
        <v>1191.794189</v>
      </c>
      <c r="AV136" s="3">
        <v>1E-3</v>
      </c>
      <c r="AW136" s="3">
        <f t="shared" si="14"/>
        <v>0.505</v>
      </c>
      <c r="AX136" s="5"/>
      <c r="AY136" s="5"/>
      <c r="AZ136" s="5"/>
      <c r="BA136" s="5"/>
      <c r="BB136" s="1"/>
      <c r="BC136" s="3" t="s">
        <v>125</v>
      </c>
      <c r="BD136" s="3">
        <v>0.9</v>
      </c>
      <c r="BE136" s="3">
        <v>0.5</v>
      </c>
      <c r="BF136" s="3">
        <v>0.6</v>
      </c>
      <c r="BG136" s="3">
        <v>0.3</v>
      </c>
      <c r="BH136" s="6">
        <v>1027.3551030000001</v>
      </c>
      <c r="BI136" s="3">
        <v>8.0000000000000002E-3</v>
      </c>
      <c r="BK136" s="3" t="s">
        <v>125</v>
      </c>
      <c r="BL136" s="3">
        <v>0.31</v>
      </c>
      <c r="BM136" s="8">
        <v>1027.4664310000001</v>
      </c>
      <c r="BN136" s="3">
        <v>0</v>
      </c>
      <c r="BO136" s="3">
        <f t="shared" si="15"/>
        <v>0.30499999999999999</v>
      </c>
    </row>
    <row r="137" spans="1:67" x14ac:dyDescent="0.3">
      <c r="A137" s="3" t="s">
        <v>126</v>
      </c>
      <c r="B137" s="3">
        <v>0.9</v>
      </c>
      <c r="C137" s="3">
        <v>0.5</v>
      </c>
      <c r="D137" s="3">
        <v>0.6</v>
      </c>
      <c r="E137" s="3">
        <v>0.3</v>
      </c>
      <c r="F137" s="7">
        <v>627.19055200000003</v>
      </c>
      <c r="G137" s="3">
        <v>1E-3</v>
      </c>
      <c r="I137" s="3" t="s">
        <v>126</v>
      </c>
      <c r="J137" s="3">
        <v>0.3</v>
      </c>
      <c r="K137" s="6">
        <v>612.19592299999999</v>
      </c>
      <c r="L137" s="3">
        <v>0</v>
      </c>
      <c r="M137" s="3">
        <f t="shared" si="12"/>
        <v>0.3</v>
      </c>
      <c r="N137" s="5"/>
      <c r="O137" s="5"/>
      <c r="P137" s="5"/>
      <c r="Q137" s="5"/>
      <c r="R137" s="1"/>
      <c r="S137" s="3" t="s">
        <v>126</v>
      </c>
      <c r="T137" s="3">
        <v>0.9</v>
      </c>
      <c r="U137" s="3">
        <v>0.5</v>
      </c>
      <c r="V137" s="3">
        <v>0.6</v>
      </c>
      <c r="W137" s="3">
        <v>0.3</v>
      </c>
      <c r="X137" s="7">
        <v>613.71520999999996</v>
      </c>
      <c r="Y137" s="3">
        <v>1E-3</v>
      </c>
      <c r="AA137" s="3" t="s">
        <v>126</v>
      </c>
      <c r="AB137" s="3">
        <v>0.19</v>
      </c>
      <c r="AC137" s="6">
        <v>585.73718299999996</v>
      </c>
      <c r="AD137" s="3">
        <v>0</v>
      </c>
      <c r="AE137" s="3">
        <f t="shared" si="13"/>
        <v>0.245</v>
      </c>
      <c r="AF137" s="5"/>
      <c r="AG137" s="5"/>
      <c r="AH137" s="5"/>
      <c r="AI137" s="5"/>
      <c r="AJ137" s="1"/>
      <c r="AK137" s="3" t="s">
        <v>127</v>
      </c>
      <c r="AL137" s="3">
        <v>0.9</v>
      </c>
      <c r="AM137" s="3">
        <v>0.5</v>
      </c>
      <c r="AN137" s="3">
        <v>0.6</v>
      </c>
      <c r="AO137" s="3">
        <v>0.3</v>
      </c>
      <c r="AP137" s="7">
        <v>1047.8081050000001</v>
      </c>
      <c r="AQ137" s="3">
        <v>7.0000000000000001E-3</v>
      </c>
      <c r="AS137" s="3" t="s">
        <v>127</v>
      </c>
      <c r="AT137" s="3">
        <v>0.18</v>
      </c>
      <c r="AU137" s="6">
        <v>949.99420199999997</v>
      </c>
      <c r="AV137" s="3">
        <v>1E-3</v>
      </c>
      <c r="AW137" s="3">
        <f t="shared" si="14"/>
        <v>0.24</v>
      </c>
      <c r="AX137" s="5"/>
      <c r="AY137" s="5"/>
      <c r="AZ137" s="5"/>
      <c r="BA137" s="5"/>
      <c r="BB137" s="1"/>
      <c r="BC137" s="3" t="s">
        <v>127</v>
      </c>
      <c r="BD137" s="3">
        <v>0.9</v>
      </c>
      <c r="BE137" s="3">
        <v>0.5</v>
      </c>
      <c r="BF137" s="3">
        <v>0.6</v>
      </c>
      <c r="BG137" s="3">
        <v>0.3</v>
      </c>
      <c r="BH137" s="6">
        <v>1018.929321</v>
      </c>
      <c r="BI137" s="3">
        <v>8.0000000000000002E-3</v>
      </c>
      <c r="BK137" s="3" t="s">
        <v>127</v>
      </c>
      <c r="BL137" s="3">
        <v>0.94</v>
      </c>
      <c r="BM137" s="7">
        <v>1298.434448</v>
      </c>
      <c r="BN137" s="3">
        <v>1E-3</v>
      </c>
      <c r="BO137" s="3">
        <f t="shared" si="15"/>
        <v>0.62</v>
      </c>
    </row>
    <row r="138" spans="1:67" x14ac:dyDescent="0.3">
      <c r="A138" s="3" t="s">
        <v>128</v>
      </c>
      <c r="B138" s="3">
        <v>0.9</v>
      </c>
      <c r="C138" s="3">
        <v>0.5</v>
      </c>
      <c r="D138" s="3">
        <v>0.6</v>
      </c>
      <c r="E138" s="3">
        <v>0.3</v>
      </c>
      <c r="F138" s="6">
        <v>595.46801800000003</v>
      </c>
      <c r="G138" s="3">
        <v>1E-3</v>
      </c>
      <c r="I138" s="3" t="s">
        <v>128</v>
      </c>
      <c r="J138" s="3">
        <v>0.59</v>
      </c>
      <c r="K138" s="7">
        <v>625.72131300000001</v>
      </c>
      <c r="L138" s="3">
        <v>0</v>
      </c>
      <c r="M138" s="3">
        <f t="shared" si="12"/>
        <v>0.44499999999999995</v>
      </c>
      <c r="N138" s="5"/>
      <c r="O138" s="5"/>
      <c r="P138" s="5"/>
      <c r="Q138" s="5"/>
      <c r="R138" s="1"/>
      <c r="S138" s="3" t="s">
        <v>128</v>
      </c>
      <c r="T138" s="3">
        <v>0.9</v>
      </c>
      <c r="U138" s="3">
        <v>0.5</v>
      </c>
      <c r="V138" s="3">
        <v>0.6</v>
      </c>
      <c r="W138" s="3">
        <v>0.3</v>
      </c>
      <c r="X138" s="6">
        <v>570.23364300000003</v>
      </c>
      <c r="Y138" s="3">
        <v>1E-3</v>
      </c>
      <c r="AA138" s="3" t="s">
        <v>128</v>
      </c>
      <c r="AB138" s="3">
        <v>0.4</v>
      </c>
      <c r="AC138" s="7">
        <v>578.84594700000002</v>
      </c>
      <c r="AD138" s="3">
        <v>0</v>
      </c>
      <c r="AE138" s="3">
        <f t="shared" si="13"/>
        <v>0.35</v>
      </c>
      <c r="AF138" s="5"/>
      <c r="AG138" s="5"/>
      <c r="AH138" s="5"/>
      <c r="AI138" s="5"/>
      <c r="AJ138" s="1"/>
      <c r="AK138" s="3" t="s">
        <v>129</v>
      </c>
      <c r="AL138" s="3">
        <v>0.9</v>
      </c>
      <c r="AM138" s="3">
        <v>0.5</v>
      </c>
      <c r="AN138" s="3">
        <v>0.6</v>
      </c>
      <c r="AO138" s="3">
        <v>0.3</v>
      </c>
      <c r="AP138" s="6">
        <v>997.13855000000001</v>
      </c>
      <c r="AQ138" s="3">
        <v>8.0000000000000002E-3</v>
      </c>
      <c r="AS138" s="3" t="s">
        <v>129</v>
      </c>
      <c r="AT138" s="3">
        <v>0.98</v>
      </c>
      <c r="AU138" s="7">
        <v>1194.939697</v>
      </c>
      <c r="AV138" s="3">
        <v>1E-3</v>
      </c>
      <c r="AW138" s="3">
        <f t="shared" si="14"/>
        <v>0.64</v>
      </c>
      <c r="AX138" s="5"/>
      <c r="AY138" s="5"/>
      <c r="AZ138" s="5"/>
      <c r="BA138" s="5"/>
      <c r="BB138" s="1"/>
      <c r="BC138" s="3" t="s">
        <v>129</v>
      </c>
      <c r="BD138" s="3">
        <v>0.9</v>
      </c>
      <c r="BE138" s="3">
        <v>0.5</v>
      </c>
      <c r="BF138" s="3">
        <v>0.6</v>
      </c>
      <c r="BG138" s="3">
        <v>0.3</v>
      </c>
      <c r="BH138" s="6">
        <v>983.57135000000005</v>
      </c>
      <c r="BI138" s="3">
        <v>8.9999999999999993E-3</v>
      </c>
      <c r="BK138" s="3" t="s">
        <v>129</v>
      </c>
      <c r="BL138" s="3">
        <v>0.63</v>
      </c>
      <c r="BM138" s="7">
        <v>1107.486206</v>
      </c>
      <c r="BN138" s="3">
        <v>0</v>
      </c>
      <c r="BO138" s="3">
        <f t="shared" si="15"/>
        <v>0.46499999999999997</v>
      </c>
    </row>
    <row r="139" spans="1:67" x14ac:dyDescent="0.3">
      <c r="A139" s="3" t="s">
        <v>130</v>
      </c>
      <c r="B139" s="3">
        <v>0.9</v>
      </c>
      <c r="C139" s="3">
        <v>0.5</v>
      </c>
      <c r="D139" s="3">
        <v>0.6</v>
      </c>
      <c r="E139" s="3">
        <v>0.3</v>
      </c>
      <c r="F139" s="6">
        <v>636.48242200000004</v>
      </c>
      <c r="G139" s="3">
        <v>2E-3</v>
      </c>
      <c r="I139" s="3" t="s">
        <v>130</v>
      </c>
      <c r="J139" s="3">
        <v>0.86</v>
      </c>
      <c r="K139" s="7">
        <v>713.40441899999996</v>
      </c>
      <c r="L139" s="3">
        <v>0</v>
      </c>
      <c r="M139" s="3">
        <f t="shared" si="12"/>
        <v>0.57999999999999996</v>
      </c>
      <c r="N139" s="5"/>
      <c r="O139" s="5"/>
      <c r="P139" s="5"/>
      <c r="Q139" s="5"/>
      <c r="R139" s="1"/>
      <c r="S139" s="3" t="s">
        <v>130</v>
      </c>
      <c r="T139" s="3">
        <v>0.9</v>
      </c>
      <c r="U139" s="3">
        <v>0.5</v>
      </c>
      <c r="V139" s="3">
        <v>0.6</v>
      </c>
      <c r="W139" s="3">
        <v>0.3</v>
      </c>
      <c r="X139" s="6">
        <v>629.25567599999999</v>
      </c>
      <c r="Y139" s="3">
        <v>1E-3</v>
      </c>
      <c r="AA139" s="3" t="s">
        <v>130</v>
      </c>
      <c r="AB139" s="3">
        <v>0.86</v>
      </c>
      <c r="AC139" s="7">
        <v>660.03057899999999</v>
      </c>
      <c r="AD139" s="3">
        <v>0</v>
      </c>
      <c r="AE139" s="3">
        <f t="shared" si="13"/>
        <v>0.57999999999999996</v>
      </c>
      <c r="AF139" s="5"/>
      <c r="AG139" s="5"/>
      <c r="AH139" s="5"/>
      <c r="AI139" s="5"/>
      <c r="AJ139" s="1"/>
      <c r="AK139" s="3" t="s">
        <v>131</v>
      </c>
      <c r="AL139" s="3">
        <v>0.9</v>
      </c>
      <c r="AM139" s="3">
        <v>0.5</v>
      </c>
      <c r="AN139" s="3">
        <v>0.6</v>
      </c>
      <c r="AO139" s="3">
        <v>0.3</v>
      </c>
      <c r="AP139" s="6">
        <v>1016.065308</v>
      </c>
      <c r="AQ139" s="3">
        <v>6.0000000000000001E-3</v>
      </c>
      <c r="AS139" s="3" t="s">
        <v>131</v>
      </c>
      <c r="AT139" s="3">
        <v>0.84</v>
      </c>
      <c r="AU139" s="7">
        <v>1287.0195309999999</v>
      </c>
      <c r="AV139" s="3">
        <v>0</v>
      </c>
      <c r="AW139" s="3">
        <f t="shared" si="14"/>
        <v>0.56999999999999995</v>
      </c>
      <c r="AX139" s="5"/>
      <c r="AY139" s="5"/>
      <c r="AZ139" s="5"/>
      <c r="BA139" s="5"/>
      <c r="BB139" s="1"/>
      <c r="BC139" s="3" t="s">
        <v>131</v>
      </c>
      <c r="BD139" s="3">
        <v>0.9</v>
      </c>
      <c r="BE139" s="3">
        <v>0.5</v>
      </c>
      <c r="BF139" s="3">
        <v>0.6</v>
      </c>
      <c r="BG139" s="3">
        <v>0.3</v>
      </c>
      <c r="BH139" s="6">
        <v>1003.791565</v>
      </c>
      <c r="BI139" s="3">
        <v>8.0000000000000002E-3</v>
      </c>
      <c r="BK139" s="3" t="s">
        <v>131</v>
      </c>
      <c r="BL139" s="3">
        <v>0.49</v>
      </c>
      <c r="BM139" s="7">
        <v>1134.441284</v>
      </c>
      <c r="BN139" s="3">
        <v>1E-3</v>
      </c>
      <c r="BO139" s="3">
        <f t="shared" si="15"/>
        <v>0.39500000000000002</v>
      </c>
    </row>
    <row r="140" spans="1:67" x14ac:dyDescent="0.3">
      <c r="A140" s="3" t="s">
        <v>132</v>
      </c>
      <c r="B140" s="3">
        <v>0.9</v>
      </c>
      <c r="C140" s="3">
        <v>0.5</v>
      </c>
      <c r="D140" s="3">
        <v>0.6</v>
      </c>
      <c r="E140" s="3">
        <v>0.3</v>
      </c>
      <c r="F140" s="7">
        <v>559.28137200000003</v>
      </c>
      <c r="G140" s="3">
        <v>2E-3</v>
      </c>
      <c r="I140" s="3" t="s">
        <v>132</v>
      </c>
      <c r="J140" s="3">
        <v>0.24</v>
      </c>
      <c r="K140" s="6">
        <v>534.81494099999998</v>
      </c>
      <c r="L140" s="3">
        <v>1E-3</v>
      </c>
      <c r="M140" s="3">
        <f t="shared" si="12"/>
        <v>0.27</v>
      </c>
      <c r="N140" s="5"/>
      <c r="O140" s="5"/>
      <c r="P140" s="5"/>
      <c r="Q140" s="5"/>
      <c r="R140" s="1"/>
      <c r="S140" s="3" t="s">
        <v>132</v>
      </c>
      <c r="T140" s="3">
        <v>0.9</v>
      </c>
      <c r="U140" s="3">
        <v>0.5</v>
      </c>
      <c r="V140" s="3">
        <v>0.6</v>
      </c>
      <c r="W140" s="3">
        <v>0.3</v>
      </c>
      <c r="X140" s="6">
        <v>512.65637200000003</v>
      </c>
      <c r="Y140" s="3">
        <v>1E-3</v>
      </c>
      <c r="AA140" s="3" t="s">
        <v>132</v>
      </c>
      <c r="AB140" s="3">
        <v>0.44</v>
      </c>
      <c r="AC140" s="7">
        <v>568.50994900000001</v>
      </c>
      <c r="AD140" s="3">
        <v>1E-3</v>
      </c>
      <c r="AE140" s="3">
        <f t="shared" si="13"/>
        <v>0.37</v>
      </c>
      <c r="AF140" s="5"/>
      <c r="AG140" s="5"/>
      <c r="AH140" s="5"/>
      <c r="AI140" s="5"/>
      <c r="AJ140" s="1"/>
      <c r="AK140" s="3" t="s">
        <v>133</v>
      </c>
      <c r="AL140" s="3">
        <v>0.9</v>
      </c>
      <c r="AM140" s="3">
        <v>0.5</v>
      </c>
      <c r="AN140" s="3">
        <v>0.6</v>
      </c>
      <c r="AO140" s="3">
        <v>0.3</v>
      </c>
      <c r="AP140" s="6">
        <v>1067.1683350000001</v>
      </c>
      <c r="AQ140" s="3">
        <v>6.0000000000000001E-3</v>
      </c>
      <c r="AS140" s="3" t="s">
        <v>133</v>
      </c>
      <c r="AT140" s="3">
        <v>0.48</v>
      </c>
      <c r="AU140" s="7">
        <v>1136.0466309999999</v>
      </c>
      <c r="AV140" s="3">
        <v>1E-3</v>
      </c>
      <c r="AW140" s="3">
        <f t="shared" si="14"/>
        <v>0.39</v>
      </c>
      <c r="AX140" s="5"/>
      <c r="AY140" s="5"/>
      <c r="AZ140" s="5"/>
      <c r="BA140" s="5"/>
      <c r="BB140" s="1"/>
      <c r="BC140" s="3" t="s">
        <v>133</v>
      </c>
      <c r="BD140" s="3">
        <v>0.9</v>
      </c>
      <c r="BE140" s="3">
        <v>0.5</v>
      </c>
      <c r="BF140" s="3">
        <v>0.6</v>
      </c>
      <c r="BG140" s="3">
        <v>0.3</v>
      </c>
      <c r="BH140" s="6">
        <v>1031.7454829999999</v>
      </c>
      <c r="BI140" s="3">
        <v>8.0000000000000002E-3</v>
      </c>
      <c r="BK140" s="3" t="s">
        <v>133</v>
      </c>
      <c r="BL140" s="3">
        <v>0.81</v>
      </c>
      <c r="BM140" s="7">
        <v>1268.3519289999999</v>
      </c>
      <c r="BN140" s="3">
        <v>1E-3</v>
      </c>
      <c r="BO140" s="3">
        <f t="shared" si="15"/>
        <v>0.55500000000000005</v>
      </c>
    </row>
    <row r="141" spans="1:67" x14ac:dyDescent="0.3">
      <c r="A141" s="9" t="s">
        <v>316</v>
      </c>
      <c r="E141" s="9">
        <f>AVERAGE(E111:E140)</f>
        <v>0.3</v>
      </c>
      <c r="I141" s="9" t="s">
        <v>316</v>
      </c>
      <c r="J141" s="9">
        <f>AVERAGE(J111:J140)</f>
        <v>0.46699999999999992</v>
      </c>
      <c r="M141" s="5"/>
      <c r="N141" s="5"/>
      <c r="O141" s="5"/>
      <c r="P141" s="5"/>
      <c r="Q141" s="5"/>
      <c r="R141" s="1"/>
      <c r="S141" s="9" t="s">
        <v>316</v>
      </c>
      <c r="W141" s="9">
        <f>AVERAGE(W111:W140)</f>
        <v>0.3</v>
      </c>
      <c r="AA141" s="9" t="s">
        <v>316</v>
      </c>
      <c r="AB141" s="9">
        <f>AVERAGE(AB111:AB140)</f>
        <v>0.48833333333333323</v>
      </c>
      <c r="AE141" s="5"/>
      <c r="AF141" s="5"/>
      <c r="AG141" s="5"/>
      <c r="AH141" s="5"/>
      <c r="AI141" s="5"/>
      <c r="AJ141" s="1"/>
      <c r="AK141" s="9" t="s">
        <v>316</v>
      </c>
      <c r="AO141" s="9">
        <f>AVERAGE(AO111:AO140)</f>
        <v>0.3</v>
      </c>
      <c r="AS141" s="9" t="s">
        <v>316</v>
      </c>
      <c r="AT141" s="9">
        <f>AVERAGE(AT111:AT140)</f>
        <v>0.51566666666666661</v>
      </c>
      <c r="AW141" s="5"/>
      <c r="AX141" s="5"/>
      <c r="AY141" s="5"/>
      <c r="AZ141" s="5"/>
      <c r="BA141" s="5"/>
      <c r="BB141" s="1"/>
      <c r="BC141" s="9" t="s">
        <v>316</v>
      </c>
      <c r="BG141" s="9">
        <f>AVERAGE(BG111:BG140)</f>
        <v>0.3</v>
      </c>
      <c r="BK141" s="9" t="s">
        <v>316</v>
      </c>
      <c r="BL141" s="9">
        <f>AVERAGE(BL111:BL140)</f>
        <v>0.49633333333333335</v>
      </c>
      <c r="BO141" s="5"/>
    </row>
    <row r="142" spans="1:67" x14ac:dyDescent="0.3">
      <c r="M142" s="5"/>
      <c r="N142" s="5"/>
      <c r="O142" s="5"/>
      <c r="P142" s="5"/>
      <c r="Q142" s="5"/>
      <c r="R142" s="1"/>
      <c r="AE142" s="5"/>
      <c r="AF142" s="5"/>
      <c r="AG142" s="5"/>
      <c r="AH142" s="5"/>
      <c r="AI142" s="5"/>
      <c r="AJ142" s="1"/>
      <c r="AW142" s="5"/>
      <c r="AX142" s="5"/>
      <c r="AY142" s="5"/>
      <c r="AZ142" s="5"/>
      <c r="BA142" s="5"/>
      <c r="BB142" s="1"/>
      <c r="BO142" s="5"/>
    </row>
    <row r="143" spans="1:67" x14ac:dyDescent="0.3">
      <c r="M143" s="5"/>
      <c r="N143" s="5"/>
      <c r="O143" s="5"/>
      <c r="P143" s="5"/>
      <c r="Q143" s="5"/>
      <c r="R143" s="1"/>
      <c r="AE143" s="5"/>
      <c r="AF143" s="5"/>
      <c r="AG143" s="5"/>
      <c r="AH143" s="5"/>
      <c r="AI143" s="5"/>
      <c r="AJ143" s="1"/>
      <c r="AQ143" s="5"/>
      <c r="AW143" s="5"/>
      <c r="AX143" s="5"/>
      <c r="AY143" s="5"/>
      <c r="AZ143" s="5"/>
      <c r="BA143" s="5"/>
      <c r="BB143" s="1"/>
      <c r="BO143" s="5"/>
    </row>
    <row r="144" spans="1:67" x14ac:dyDescent="0.3">
      <c r="A144" s="19" t="s">
        <v>314</v>
      </c>
      <c r="B144" s="19"/>
      <c r="C144" s="19"/>
      <c r="D144" s="19"/>
      <c r="E144" s="19"/>
      <c r="F144" s="19"/>
      <c r="G144" s="19"/>
      <c r="I144" s="19" t="s">
        <v>315</v>
      </c>
      <c r="J144" s="19"/>
      <c r="K144" s="19"/>
      <c r="L144" s="19"/>
      <c r="M144" s="19"/>
      <c r="N144" s="11"/>
      <c r="O144" s="11"/>
      <c r="P144" s="11"/>
      <c r="Q144" s="11"/>
      <c r="R144" s="1"/>
      <c r="S144" s="19" t="s">
        <v>314</v>
      </c>
      <c r="T144" s="19"/>
      <c r="U144" s="19"/>
      <c r="V144" s="19"/>
      <c r="W144" s="19"/>
      <c r="X144" s="19"/>
      <c r="Y144" s="19"/>
      <c r="AA144" s="19" t="s">
        <v>315</v>
      </c>
      <c r="AB144" s="19"/>
      <c r="AC144" s="19"/>
      <c r="AD144" s="19"/>
      <c r="AE144" s="19"/>
      <c r="AF144" s="11"/>
      <c r="AG144" s="11"/>
      <c r="AH144" s="11"/>
      <c r="AI144" s="11"/>
      <c r="AJ144" s="1"/>
      <c r="AK144" s="19" t="s">
        <v>314</v>
      </c>
      <c r="AL144" s="19"/>
      <c r="AM144" s="19"/>
      <c r="AN144" s="19"/>
      <c r="AO144" s="19"/>
      <c r="AP144" s="19"/>
      <c r="AQ144" s="19"/>
      <c r="AR144" s="5"/>
      <c r="AS144" s="19" t="s">
        <v>315</v>
      </c>
      <c r="AT144" s="19"/>
      <c r="AU144" s="19"/>
      <c r="AV144" s="19"/>
      <c r="AW144" s="19"/>
      <c r="AX144" s="11"/>
      <c r="AY144" s="11"/>
      <c r="AZ144" s="11"/>
      <c r="BA144" s="11"/>
      <c r="BB144" s="1"/>
      <c r="BC144" s="19" t="s">
        <v>314</v>
      </c>
      <c r="BD144" s="19"/>
      <c r="BE144" s="19"/>
      <c r="BF144" s="19"/>
      <c r="BG144" s="19"/>
      <c r="BH144" s="19"/>
      <c r="BI144" s="19"/>
      <c r="BK144" s="19" t="s">
        <v>315</v>
      </c>
      <c r="BL144" s="19"/>
      <c r="BM144" s="19"/>
      <c r="BN144" s="19"/>
      <c r="BO144" s="19"/>
    </row>
    <row r="145" spans="1:71" x14ac:dyDescent="0.3">
      <c r="A145" s="20" t="s">
        <v>70</v>
      </c>
      <c r="B145" s="21"/>
      <c r="C145" s="21"/>
      <c r="D145" s="21"/>
      <c r="E145" s="21"/>
      <c r="F145" s="21"/>
      <c r="G145" s="22"/>
      <c r="I145" s="20" t="s">
        <v>70</v>
      </c>
      <c r="J145" s="21"/>
      <c r="K145" s="21"/>
      <c r="L145" s="21"/>
      <c r="M145" s="22"/>
      <c r="N145" s="11"/>
      <c r="O145" s="11"/>
      <c r="P145" s="11"/>
      <c r="Q145" s="11"/>
      <c r="R145" s="1"/>
      <c r="S145" s="3" t="s">
        <v>71</v>
      </c>
      <c r="T145" s="3"/>
      <c r="U145" s="3"/>
      <c r="V145" s="3"/>
      <c r="W145" s="3"/>
      <c r="X145" s="3"/>
      <c r="Y145" s="3"/>
      <c r="AA145" s="3" t="s">
        <v>71</v>
      </c>
      <c r="AB145" s="3"/>
      <c r="AC145" s="3"/>
      <c r="AD145" s="3"/>
      <c r="AE145" s="3"/>
      <c r="AF145" s="5"/>
      <c r="AG145" s="5"/>
      <c r="AH145" s="5"/>
      <c r="AI145" s="5"/>
      <c r="AJ145" s="1"/>
      <c r="AK145" s="3" t="s">
        <v>70</v>
      </c>
      <c r="AL145" s="3"/>
      <c r="AM145" s="3"/>
      <c r="AN145" s="3"/>
      <c r="AO145" s="3"/>
      <c r="AP145" s="3"/>
      <c r="AQ145" s="3"/>
      <c r="AS145" s="3" t="s">
        <v>70</v>
      </c>
      <c r="AT145" s="3"/>
      <c r="AU145" s="3"/>
      <c r="AV145" s="3"/>
      <c r="AW145" s="4"/>
      <c r="AX145" s="12"/>
      <c r="AY145" s="12"/>
      <c r="AZ145" s="12"/>
      <c r="BA145" s="12"/>
      <c r="BB145" s="1"/>
      <c r="BC145" s="3" t="s">
        <v>71</v>
      </c>
      <c r="BD145" s="3"/>
      <c r="BE145" s="3"/>
      <c r="BF145" s="3"/>
      <c r="BG145" s="3"/>
      <c r="BH145" s="3"/>
      <c r="BI145" s="3"/>
      <c r="BK145" s="3" t="s">
        <v>71</v>
      </c>
      <c r="BL145" s="3"/>
      <c r="BM145" s="3"/>
      <c r="BN145" s="3"/>
      <c r="BO145" s="3"/>
    </row>
    <row r="146" spans="1:71" x14ac:dyDescent="0.3">
      <c r="A146" s="3" t="s">
        <v>2</v>
      </c>
      <c r="B146" s="3" t="s">
        <v>3</v>
      </c>
      <c r="C146" s="3" t="s">
        <v>4</v>
      </c>
      <c r="D146" s="3" t="s">
        <v>5</v>
      </c>
      <c r="E146" s="3" t="s">
        <v>6</v>
      </c>
      <c r="F146" s="3" t="s">
        <v>7</v>
      </c>
      <c r="G146" s="3" t="s">
        <v>8</v>
      </c>
      <c r="I146" s="3" t="s">
        <v>2</v>
      </c>
      <c r="J146" s="3" t="s">
        <v>6</v>
      </c>
      <c r="K146" s="3" t="s">
        <v>7</v>
      </c>
      <c r="L146" s="3" t="s">
        <v>8</v>
      </c>
      <c r="M146" s="3" t="s">
        <v>9</v>
      </c>
      <c r="N146" s="3" t="s">
        <v>322</v>
      </c>
      <c r="O146" s="3" t="s">
        <v>323</v>
      </c>
      <c r="P146" s="3" t="s">
        <v>322</v>
      </c>
      <c r="Q146" s="3" t="s">
        <v>323</v>
      </c>
      <c r="R146" s="1"/>
      <c r="S146" s="3" t="s">
        <v>2</v>
      </c>
      <c r="T146" s="3" t="s">
        <v>3</v>
      </c>
      <c r="U146" s="3" t="s">
        <v>4</v>
      </c>
      <c r="V146" s="3" t="s">
        <v>5</v>
      </c>
      <c r="W146" s="3" t="s">
        <v>6</v>
      </c>
      <c r="X146" s="3" t="s">
        <v>7</v>
      </c>
      <c r="Y146" s="3" t="s">
        <v>8</v>
      </c>
      <c r="AA146" s="3" t="s">
        <v>2</v>
      </c>
      <c r="AB146" s="3" t="s">
        <v>6</v>
      </c>
      <c r="AC146" s="3" t="s">
        <v>7</v>
      </c>
      <c r="AD146" s="3" t="s">
        <v>8</v>
      </c>
      <c r="AE146" s="3" t="s">
        <v>9</v>
      </c>
      <c r="AF146" s="3" t="s">
        <v>322</v>
      </c>
      <c r="AG146" s="3" t="s">
        <v>323</v>
      </c>
      <c r="AH146" s="3" t="s">
        <v>322</v>
      </c>
      <c r="AI146" s="3" t="s">
        <v>323</v>
      </c>
      <c r="AJ146" s="1"/>
      <c r="AK146" s="3" t="s">
        <v>2</v>
      </c>
      <c r="AL146" s="3" t="s">
        <v>3</v>
      </c>
      <c r="AM146" s="3" t="s">
        <v>4</v>
      </c>
      <c r="AN146" s="3" t="s">
        <v>5</v>
      </c>
      <c r="AO146" s="3" t="s">
        <v>6</v>
      </c>
      <c r="AP146" s="3" t="s">
        <v>7</v>
      </c>
      <c r="AQ146" s="3" t="s">
        <v>8</v>
      </c>
      <c r="AS146" s="3" t="s">
        <v>2</v>
      </c>
      <c r="AT146" s="3" t="s">
        <v>6</v>
      </c>
      <c r="AU146" s="3" t="s">
        <v>7</v>
      </c>
      <c r="AV146" s="3" t="s">
        <v>8</v>
      </c>
      <c r="AW146" s="3" t="s">
        <v>9</v>
      </c>
      <c r="AX146" s="3" t="s">
        <v>322</v>
      </c>
      <c r="AY146" s="3" t="s">
        <v>323</v>
      </c>
      <c r="AZ146" s="3" t="s">
        <v>322</v>
      </c>
      <c r="BA146" s="3" t="s">
        <v>323</v>
      </c>
      <c r="BB146" s="1"/>
      <c r="BC146" s="3" t="s">
        <v>2</v>
      </c>
      <c r="BD146" s="3" t="s">
        <v>3</v>
      </c>
      <c r="BE146" s="3" t="s">
        <v>4</v>
      </c>
      <c r="BF146" s="3" t="s">
        <v>5</v>
      </c>
      <c r="BG146" s="3" t="s">
        <v>6</v>
      </c>
      <c r="BH146" s="3" t="s">
        <v>7</v>
      </c>
      <c r="BI146" s="3" t="s">
        <v>8</v>
      </c>
      <c r="BK146" s="3" t="s">
        <v>2</v>
      </c>
      <c r="BL146" s="3" t="s">
        <v>6</v>
      </c>
      <c r="BM146" s="3" t="s">
        <v>7</v>
      </c>
      <c r="BN146" s="3" t="s">
        <v>8</v>
      </c>
      <c r="BO146" s="3" t="s">
        <v>9</v>
      </c>
      <c r="BP146" s="3" t="s">
        <v>322</v>
      </c>
      <c r="BQ146" s="3" t="s">
        <v>323</v>
      </c>
      <c r="BR146" s="3" t="s">
        <v>322</v>
      </c>
      <c r="BS146" s="3" t="s">
        <v>323</v>
      </c>
    </row>
    <row r="147" spans="1:71" x14ac:dyDescent="0.3">
      <c r="A147" s="3" t="s">
        <v>74</v>
      </c>
      <c r="B147" s="3">
        <v>0.9</v>
      </c>
      <c r="C147" s="3">
        <v>0.5</v>
      </c>
      <c r="D147" s="3">
        <v>0.6</v>
      </c>
      <c r="E147" s="3">
        <v>0.3</v>
      </c>
      <c r="F147" s="6">
        <v>401.67568999999997</v>
      </c>
      <c r="G147" s="3">
        <v>0</v>
      </c>
      <c r="I147" s="3" t="s">
        <v>74</v>
      </c>
      <c r="J147" s="3">
        <v>0.01</v>
      </c>
      <c r="K147" s="7">
        <v>429.75</v>
      </c>
      <c r="L147" s="3">
        <v>0</v>
      </c>
      <c r="M147" s="3">
        <f t="shared" ref="M147:M176" si="16">AVERAGE(E147,J147)</f>
        <v>0.155</v>
      </c>
      <c r="N147" s="4" t="s">
        <v>320</v>
      </c>
      <c r="O147" s="4" t="s">
        <v>320</v>
      </c>
      <c r="P147" s="4" t="s">
        <v>321</v>
      </c>
      <c r="Q147" s="4" t="s">
        <v>321</v>
      </c>
      <c r="R147" s="1"/>
      <c r="S147" s="3" t="s">
        <v>74</v>
      </c>
      <c r="T147" s="3">
        <v>0.9</v>
      </c>
      <c r="U147" s="3">
        <v>0.5</v>
      </c>
      <c r="V147" s="3">
        <v>0.6</v>
      </c>
      <c r="W147" s="3">
        <v>0.3</v>
      </c>
      <c r="X147" s="6">
        <v>378.85406499999999</v>
      </c>
      <c r="Y147" s="3">
        <v>0</v>
      </c>
      <c r="AA147" s="3" t="s">
        <v>74</v>
      </c>
      <c r="AB147" s="3">
        <v>0.01</v>
      </c>
      <c r="AC147" s="7">
        <v>405.03613300000001</v>
      </c>
      <c r="AD147" s="3">
        <v>0</v>
      </c>
      <c r="AE147" s="3">
        <f t="shared" ref="AE147:AE176" si="17">AVERAGE(W147,AB147)</f>
        <v>0.155</v>
      </c>
      <c r="AF147" s="4" t="s">
        <v>320</v>
      </c>
      <c r="AG147" s="4" t="s">
        <v>320</v>
      </c>
      <c r="AH147" s="4" t="s">
        <v>321</v>
      </c>
      <c r="AI147" s="4" t="s">
        <v>321</v>
      </c>
      <c r="AJ147" s="1"/>
      <c r="AK147" s="3" t="s">
        <v>75</v>
      </c>
      <c r="AL147" s="3">
        <v>0.9</v>
      </c>
      <c r="AM147" s="3">
        <v>0.5</v>
      </c>
      <c r="AN147" s="3">
        <v>0.6</v>
      </c>
      <c r="AO147" s="3">
        <v>0.3</v>
      </c>
      <c r="AP147" s="7">
        <v>728.88641399999995</v>
      </c>
      <c r="AQ147" s="3">
        <v>4.0000000000000001E-3</v>
      </c>
      <c r="AS147" s="3" t="s">
        <v>75</v>
      </c>
      <c r="AT147" s="3">
        <v>0.01</v>
      </c>
      <c r="AU147" s="6">
        <v>685.51715100000001</v>
      </c>
      <c r="AV147" s="3">
        <v>0</v>
      </c>
      <c r="AW147" s="3">
        <f t="shared" ref="AW147:AW176" si="18">AVERAGE(AO147,AT147)</f>
        <v>0.155</v>
      </c>
      <c r="AX147" s="4" t="s">
        <v>320</v>
      </c>
      <c r="AY147" s="4" t="s">
        <v>320</v>
      </c>
      <c r="AZ147" s="4" t="s">
        <v>321</v>
      </c>
      <c r="BA147" s="4" t="s">
        <v>321</v>
      </c>
      <c r="BB147" s="1"/>
      <c r="BC147" s="3" t="s">
        <v>75</v>
      </c>
      <c r="BD147" s="3">
        <v>0.9</v>
      </c>
      <c r="BE147" s="3">
        <v>0.5</v>
      </c>
      <c r="BF147" s="3">
        <v>0.6</v>
      </c>
      <c r="BG147" s="3">
        <v>0.3</v>
      </c>
      <c r="BH147" s="7">
        <v>693.86785899999995</v>
      </c>
      <c r="BI147" s="3">
        <v>4.0000000000000001E-3</v>
      </c>
      <c r="BK147" s="3" t="s">
        <v>75</v>
      </c>
      <c r="BL147" s="3">
        <v>0.01</v>
      </c>
      <c r="BM147" s="6">
        <v>654.31719999999996</v>
      </c>
      <c r="BN147" s="3">
        <v>1E-3</v>
      </c>
      <c r="BO147" s="3">
        <f t="shared" ref="BO147:BO176" si="19">AVERAGE(BG147,BL147)</f>
        <v>0.155</v>
      </c>
      <c r="BP147" s="4" t="s">
        <v>320</v>
      </c>
      <c r="BQ147" s="4" t="s">
        <v>320</v>
      </c>
      <c r="BR147" s="4" t="s">
        <v>321</v>
      </c>
      <c r="BS147" s="4" t="s">
        <v>321</v>
      </c>
    </row>
    <row r="148" spans="1:71" x14ac:dyDescent="0.3">
      <c r="A148" s="3" t="s">
        <v>76</v>
      </c>
      <c r="B148" s="3">
        <v>0.9</v>
      </c>
      <c r="C148" s="3">
        <v>0.5</v>
      </c>
      <c r="D148" s="3">
        <v>0.6</v>
      </c>
      <c r="E148" s="3">
        <v>0.3</v>
      </c>
      <c r="F148" s="6">
        <v>438.98226899999997</v>
      </c>
      <c r="G148" s="3">
        <v>1E-3</v>
      </c>
      <c r="I148" s="3" t="s">
        <v>76</v>
      </c>
      <c r="J148" s="3">
        <v>0.66</v>
      </c>
      <c r="K148" s="7">
        <v>459.13604700000002</v>
      </c>
      <c r="L148" s="3">
        <v>0</v>
      </c>
      <c r="M148" s="3">
        <f t="shared" si="16"/>
        <v>0.48</v>
      </c>
      <c r="N148" s="3">
        <f>COUNT(F147:F149,F151:F153,F155:F160,F165:F166,F168:F171,F173:F174,F176)</f>
        <v>21</v>
      </c>
      <c r="O148" s="3">
        <f>30-N148</f>
        <v>9</v>
      </c>
      <c r="P148" s="3">
        <f>COUNT(K150,K154,K157,K161:K164,K167,K172,K175)</f>
        <v>10</v>
      </c>
      <c r="Q148" s="3">
        <f>30-P148</f>
        <v>20</v>
      </c>
      <c r="R148" s="1"/>
      <c r="S148" s="3" t="s">
        <v>76</v>
      </c>
      <c r="T148" s="3">
        <v>0.9</v>
      </c>
      <c r="U148" s="3">
        <v>0.5</v>
      </c>
      <c r="V148" s="3">
        <v>0.6</v>
      </c>
      <c r="W148" s="3">
        <v>0.3</v>
      </c>
      <c r="X148" s="7">
        <v>412.682861</v>
      </c>
      <c r="Y148" s="3">
        <v>1E-3</v>
      </c>
      <c r="AA148" s="3" t="s">
        <v>76</v>
      </c>
      <c r="AB148" s="3">
        <v>0.17</v>
      </c>
      <c r="AC148" s="6">
        <v>399.85766599999999</v>
      </c>
      <c r="AD148" s="3">
        <v>0</v>
      </c>
      <c r="AE148" s="3">
        <f t="shared" si="17"/>
        <v>0.23499999999999999</v>
      </c>
      <c r="AF148" s="3">
        <f>COUNT(X147,X149,X152:X153,X155:X156,X158,X164,X166:X167,X169:X170,X172:X173,X175)</f>
        <v>15</v>
      </c>
      <c r="AG148" s="3">
        <f>30-AF148</f>
        <v>15</v>
      </c>
      <c r="AH148" s="3">
        <f>COUNT(AC148,AC150:AC151,AC154,AC157,AC159:AC163,AC165,AC168,AC171,AC174,AC176)</f>
        <v>15</v>
      </c>
      <c r="AI148" s="3">
        <f>30-AH148</f>
        <v>15</v>
      </c>
      <c r="AJ148" s="1"/>
      <c r="AK148" s="3" t="s">
        <v>77</v>
      </c>
      <c r="AL148" s="3">
        <v>0.9</v>
      </c>
      <c r="AM148" s="3">
        <v>0.5</v>
      </c>
      <c r="AN148" s="3">
        <v>0.6</v>
      </c>
      <c r="AO148" s="3">
        <v>0.3</v>
      </c>
      <c r="AP148" s="7">
        <v>820.81585700000005</v>
      </c>
      <c r="AQ148" s="3">
        <v>7.0000000000000001E-3</v>
      </c>
      <c r="AS148" s="3" t="s">
        <v>77</v>
      </c>
      <c r="AT148" s="3">
        <v>0.94</v>
      </c>
      <c r="AU148" s="6">
        <v>970.06231700000001</v>
      </c>
      <c r="AV148" s="3">
        <v>1E-3</v>
      </c>
      <c r="AW148" s="3">
        <f t="shared" si="18"/>
        <v>0.62</v>
      </c>
      <c r="AX148" s="3">
        <f>COUNT(AP149:AP150,AP152:AP154,AP156:AP157,AP159:AP162,AP164:AP167,AP169,AP171:AP173,AP175:AP176)</f>
        <v>21</v>
      </c>
      <c r="AY148" s="3">
        <f>30-AX148</f>
        <v>9</v>
      </c>
      <c r="AZ148" s="3">
        <f>COUNT(AU147:AU148,AU151,AU156,AU158,AU163,AU168,AU170,AU174)</f>
        <v>9</v>
      </c>
      <c r="BA148" s="3">
        <f>30-AZ148</f>
        <v>21</v>
      </c>
      <c r="BB148" s="1"/>
      <c r="BC148" s="3" t="s">
        <v>77</v>
      </c>
      <c r="BD148" s="3">
        <v>0.9</v>
      </c>
      <c r="BE148" s="3">
        <v>0.5</v>
      </c>
      <c r="BF148" s="3">
        <v>0.6</v>
      </c>
      <c r="BG148" s="3">
        <v>0.3</v>
      </c>
      <c r="BH148" s="6">
        <v>756.72125200000005</v>
      </c>
      <c r="BI148" s="3">
        <v>4.0000000000000001E-3</v>
      </c>
      <c r="BK148" s="3" t="s">
        <v>77</v>
      </c>
      <c r="BL148" s="3">
        <v>0.41</v>
      </c>
      <c r="BM148" s="7">
        <v>813.02282700000001</v>
      </c>
      <c r="BN148" s="3">
        <v>0</v>
      </c>
      <c r="BO148" s="3">
        <f t="shared" si="19"/>
        <v>0.35499999999999998</v>
      </c>
      <c r="BP148" s="3">
        <f>COUNT(BH148:BH150,BH152:BH153,BH157:BH158,BH160:BH161,BH163:BH164,BH166:BH173,BH175:BH176)</f>
        <v>21</v>
      </c>
      <c r="BQ148" s="3">
        <f>30-BP148</f>
        <v>9</v>
      </c>
      <c r="BR148" s="3">
        <f>COUNT(BM147,BM151,BM154:BM156,BM159,BM162,BM165,BM174)</f>
        <v>9</v>
      </c>
      <c r="BS148" s="3">
        <f>30-BR148</f>
        <v>21</v>
      </c>
    </row>
    <row r="149" spans="1:71" x14ac:dyDescent="0.3">
      <c r="A149" s="3" t="s">
        <v>78</v>
      </c>
      <c r="B149" s="3">
        <v>0.9</v>
      </c>
      <c r="C149" s="3">
        <v>0.5</v>
      </c>
      <c r="D149" s="3">
        <v>0.6</v>
      </c>
      <c r="E149" s="3">
        <v>0.3</v>
      </c>
      <c r="F149" s="6">
        <v>423.86352499999998</v>
      </c>
      <c r="G149" s="3">
        <v>1E-3</v>
      </c>
      <c r="I149" s="3" t="s">
        <v>78</v>
      </c>
      <c r="J149" s="3">
        <v>0.69</v>
      </c>
      <c r="K149" s="7">
        <v>453.67434700000001</v>
      </c>
      <c r="L149" s="3">
        <v>1E-3</v>
      </c>
      <c r="M149" s="3">
        <f t="shared" si="16"/>
        <v>0.495</v>
      </c>
      <c r="N149" s="5"/>
      <c r="O149" s="5"/>
      <c r="P149" s="5"/>
      <c r="Q149" s="5"/>
      <c r="R149" s="1"/>
      <c r="S149" s="3" t="s">
        <v>78</v>
      </c>
      <c r="T149" s="3">
        <v>0.9</v>
      </c>
      <c r="U149" s="3">
        <v>0.5</v>
      </c>
      <c r="V149" s="3">
        <v>0.6</v>
      </c>
      <c r="W149" s="3">
        <v>0.3</v>
      </c>
      <c r="X149" s="6">
        <v>403.34835800000002</v>
      </c>
      <c r="Y149" s="3">
        <v>0</v>
      </c>
      <c r="AA149" s="3" t="s">
        <v>78</v>
      </c>
      <c r="AB149" s="3">
        <v>0.9</v>
      </c>
      <c r="AC149" s="7">
        <v>418.86187699999999</v>
      </c>
      <c r="AD149" s="3">
        <v>1E-3</v>
      </c>
      <c r="AE149" s="3">
        <f t="shared" si="17"/>
        <v>0.6</v>
      </c>
      <c r="AF149" s="5"/>
      <c r="AG149" s="5"/>
      <c r="AH149" s="5"/>
      <c r="AI149" s="5"/>
      <c r="AJ149" s="1"/>
      <c r="AK149" s="3" t="s">
        <v>79</v>
      </c>
      <c r="AL149" s="3">
        <v>0.9</v>
      </c>
      <c r="AM149" s="3">
        <v>0.5</v>
      </c>
      <c r="AN149" s="3">
        <v>0.6</v>
      </c>
      <c r="AO149" s="3">
        <v>0.3</v>
      </c>
      <c r="AP149" s="6">
        <v>770.65991199999996</v>
      </c>
      <c r="AQ149" s="3">
        <v>4.0000000000000001E-3</v>
      </c>
      <c r="AS149" s="3" t="s">
        <v>79</v>
      </c>
      <c r="AT149" s="3">
        <v>0.85</v>
      </c>
      <c r="AU149" s="7">
        <v>936.64074700000003</v>
      </c>
      <c r="AV149" s="3">
        <v>0</v>
      </c>
      <c r="AW149" s="3">
        <f t="shared" si="18"/>
        <v>0.57499999999999996</v>
      </c>
      <c r="AX149" s="5"/>
      <c r="AY149" s="5"/>
      <c r="AZ149" s="5"/>
      <c r="BA149" s="5"/>
      <c r="BB149" s="1"/>
      <c r="BC149" s="3" t="s">
        <v>79</v>
      </c>
      <c r="BD149" s="3">
        <v>0.9</v>
      </c>
      <c r="BE149" s="3">
        <v>0.5</v>
      </c>
      <c r="BF149" s="3">
        <v>0.6</v>
      </c>
      <c r="BG149" s="3">
        <v>0.3</v>
      </c>
      <c r="BH149" s="6">
        <v>743.65966800000001</v>
      </c>
      <c r="BI149" s="3">
        <v>4.0000000000000001E-3</v>
      </c>
      <c r="BK149" s="3" t="s">
        <v>79</v>
      </c>
      <c r="BL149" s="3">
        <v>0.86</v>
      </c>
      <c r="BM149" s="7">
        <v>905.63781700000004</v>
      </c>
      <c r="BN149" s="3">
        <v>0</v>
      </c>
      <c r="BO149" s="3">
        <f t="shared" si="19"/>
        <v>0.57999999999999996</v>
      </c>
    </row>
    <row r="150" spans="1:71" x14ac:dyDescent="0.3">
      <c r="A150" s="3" t="s">
        <v>80</v>
      </c>
      <c r="B150" s="3">
        <v>0.9</v>
      </c>
      <c r="C150" s="3">
        <v>0.5</v>
      </c>
      <c r="D150" s="3">
        <v>0.6</v>
      </c>
      <c r="E150" s="3">
        <v>0.3</v>
      </c>
      <c r="F150" s="7">
        <v>457.40896600000002</v>
      </c>
      <c r="G150" s="3">
        <v>1E-3</v>
      </c>
      <c r="I150" s="3" t="s">
        <v>80</v>
      </c>
      <c r="J150" s="3">
        <v>0.19</v>
      </c>
      <c r="K150" s="6">
        <v>451.680542</v>
      </c>
      <c r="L150" s="3">
        <v>0</v>
      </c>
      <c r="M150" s="3">
        <f t="shared" si="16"/>
        <v>0.245</v>
      </c>
      <c r="N150" s="5"/>
      <c r="O150" s="5"/>
      <c r="P150" s="5"/>
      <c r="Q150" s="5"/>
      <c r="R150" s="1"/>
      <c r="S150" s="3" t="s">
        <v>80</v>
      </c>
      <c r="T150" s="3">
        <v>0.9</v>
      </c>
      <c r="U150" s="3">
        <v>0.5</v>
      </c>
      <c r="V150" s="3">
        <v>0.6</v>
      </c>
      <c r="W150" s="3">
        <v>0.3</v>
      </c>
      <c r="X150" s="7">
        <v>418.89267000000001</v>
      </c>
      <c r="Y150" s="3">
        <v>0</v>
      </c>
      <c r="AA150" s="3" t="s">
        <v>80</v>
      </c>
      <c r="AB150" s="3">
        <v>0.16</v>
      </c>
      <c r="AC150" s="6">
        <v>416.057343</v>
      </c>
      <c r="AD150" s="3">
        <v>0</v>
      </c>
      <c r="AE150" s="3">
        <f t="shared" si="17"/>
        <v>0.22999999999999998</v>
      </c>
      <c r="AF150" s="5"/>
      <c r="AG150" s="5"/>
      <c r="AH150" s="5"/>
      <c r="AI150" s="5"/>
      <c r="AJ150" s="1"/>
      <c r="AK150" s="3" t="s">
        <v>81</v>
      </c>
      <c r="AL150" s="3">
        <v>0.9</v>
      </c>
      <c r="AM150" s="3">
        <v>0.5</v>
      </c>
      <c r="AN150" s="3">
        <v>0.6</v>
      </c>
      <c r="AO150" s="3">
        <v>0.3</v>
      </c>
      <c r="AP150" s="6">
        <v>723.85003700000004</v>
      </c>
      <c r="AQ150" s="3">
        <v>4.0000000000000001E-3</v>
      </c>
      <c r="AS150" s="3" t="s">
        <v>81</v>
      </c>
      <c r="AT150" s="3">
        <v>0.59</v>
      </c>
      <c r="AU150" s="7">
        <v>834.73638900000003</v>
      </c>
      <c r="AV150" s="3">
        <v>0</v>
      </c>
      <c r="AW150" s="3">
        <f t="shared" si="18"/>
        <v>0.44499999999999995</v>
      </c>
      <c r="AX150" s="5"/>
      <c r="AY150" s="5"/>
      <c r="AZ150" s="5"/>
      <c r="BA150" s="5"/>
      <c r="BB150" s="1"/>
      <c r="BC150" s="3" t="s">
        <v>81</v>
      </c>
      <c r="BD150" s="3">
        <v>0.9</v>
      </c>
      <c r="BE150" s="3">
        <v>0.5</v>
      </c>
      <c r="BF150" s="3">
        <v>0.6</v>
      </c>
      <c r="BG150" s="3">
        <v>0.3</v>
      </c>
      <c r="BH150" s="6">
        <v>699.88256799999999</v>
      </c>
      <c r="BI150" s="3">
        <v>4.0000000000000001E-3</v>
      </c>
      <c r="BK150" s="3" t="s">
        <v>81</v>
      </c>
      <c r="BL150" s="3">
        <v>0.4</v>
      </c>
      <c r="BM150" s="7">
        <v>734.16418499999997</v>
      </c>
      <c r="BN150" s="3">
        <v>1E-3</v>
      </c>
      <c r="BO150" s="3">
        <f t="shared" si="19"/>
        <v>0.35</v>
      </c>
    </row>
    <row r="151" spans="1:71" x14ac:dyDescent="0.3">
      <c r="A151" s="3" t="s">
        <v>82</v>
      </c>
      <c r="B151" s="3">
        <v>0.9</v>
      </c>
      <c r="C151" s="3">
        <v>0.5</v>
      </c>
      <c r="D151" s="3">
        <v>0.6</v>
      </c>
      <c r="E151" s="3">
        <v>0.3</v>
      </c>
      <c r="F151" s="6">
        <v>417.89263899999997</v>
      </c>
      <c r="G151" s="3">
        <v>1E-3</v>
      </c>
      <c r="I151" s="3" t="s">
        <v>82</v>
      </c>
      <c r="J151" s="3">
        <v>0.49</v>
      </c>
      <c r="K151" s="7">
        <v>444.55535900000001</v>
      </c>
      <c r="L151" s="3">
        <v>1E-3</v>
      </c>
      <c r="M151" s="3">
        <f t="shared" si="16"/>
        <v>0.39500000000000002</v>
      </c>
      <c r="N151" s="5"/>
      <c r="O151" s="5"/>
      <c r="P151" s="5"/>
      <c r="Q151" s="5"/>
      <c r="R151" s="1"/>
      <c r="S151" s="3" t="s">
        <v>82</v>
      </c>
      <c r="T151" s="3">
        <v>0.9</v>
      </c>
      <c r="U151" s="3">
        <v>0.5</v>
      </c>
      <c r="V151" s="3">
        <v>0.6</v>
      </c>
      <c r="W151" s="3">
        <v>0.3</v>
      </c>
      <c r="X151" s="7">
        <v>401.66940299999999</v>
      </c>
      <c r="Y151" s="3">
        <v>1E-3</v>
      </c>
      <c r="AA151" s="3" t="s">
        <v>82</v>
      </c>
      <c r="AB151" s="3">
        <v>0.32</v>
      </c>
      <c r="AC151" s="6">
        <v>399.44708300000002</v>
      </c>
      <c r="AD151" s="3">
        <v>0</v>
      </c>
      <c r="AE151" s="3">
        <f t="shared" si="17"/>
        <v>0.31</v>
      </c>
      <c r="AF151" s="5"/>
      <c r="AG151" s="5"/>
      <c r="AH151" s="5"/>
      <c r="AI151" s="5"/>
      <c r="AJ151" s="1"/>
      <c r="AK151" s="3" t="s">
        <v>83</v>
      </c>
      <c r="AL151" s="3">
        <v>0.9</v>
      </c>
      <c r="AM151" s="3">
        <v>0.5</v>
      </c>
      <c r="AN151" s="3">
        <v>0.6</v>
      </c>
      <c r="AO151" s="3">
        <v>0.3</v>
      </c>
      <c r="AP151" s="7">
        <v>752.17504899999994</v>
      </c>
      <c r="AQ151" s="3">
        <v>4.0000000000000001E-3</v>
      </c>
      <c r="AS151" s="3" t="s">
        <v>83</v>
      </c>
      <c r="AT151" s="3">
        <v>0.16</v>
      </c>
      <c r="AU151" s="6">
        <v>702.58404499999995</v>
      </c>
      <c r="AV151" s="3">
        <v>0</v>
      </c>
      <c r="AW151" s="3">
        <f t="shared" si="18"/>
        <v>0.22999999999999998</v>
      </c>
      <c r="AX151" s="5"/>
      <c r="AY151" s="5"/>
      <c r="AZ151" s="5"/>
      <c r="BA151" s="5"/>
      <c r="BB151" s="1"/>
      <c r="BC151" s="3" t="s">
        <v>83</v>
      </c>
      <c r="BD151" s="3">
        <v>0.9</v>
      </c>
      <c r="BE151" s="3">
        <v>0.5</v>
      </c>
      <c r="BF151" s="3">
        <v>0.6</v>
      </c>
      <c r="BG151" s="3">
        <v>0.3</v>
      </c>
      <c r="BH151" s="7">
        <v>720.67309599999999</v>
      </c>
      <c r="BI151" s="3">
        <v>5.0000000000000001E-3</v>
      </c>
      <c r="BK151" s="3" t="s">
        <v>83</v>
      </c>
      <c r="BL151" s="3">
        <v>0.27</v>
      </c>
      <c r="BM151" s="6">
        <v>714.52227800000003</v>
      </c>
      <c r="BN151" s="3">
        <v>0</v>
      </c>
      <c r="BO151" s="3">
        <f t="shared" si="19"/>
        <v>0.28500000000000003</v>
      </c>
    </row>
    <row r="152" spans="1:71" x14ac:dyDescent="0.3">
      <c r="A152" s="3" t="s">
        <v>84</v>
      </c>
      <c r="B152" s="3">
        <v>0.9</v>
      </c>
      <c r="C152" s="3">
        <v>0.5</v>
      </c>
      <c r="D152" s="3">
        <v>0.6</v>
      </c>
      <c r="E152" s="3">
        <v>0.3</v>
      </c>
      <c r="F152" s="6">
        <v>528.08221400000002</v>
      </c>
      <c r="G152" s="3">
        <v>1E-3</v>
      </c>
      <c r="I152" s="3" t="s">
        <v>84</v>
      </c>
      <c r="J152" s="3">
        <v>0.06</v>
      </c>
      <c r="K152" s="7">
        <v>531.64788799999997</v>
      </c>
      <c r="L152" s="3">
        <v>1E-3</v>
      </c>
      <c r="M152" s="3">
        <f t="shared" si="16"/>
        <v>0.18</v>
      </c>
      <c r="N152" s="5"/>
      <c r="O152" s="5"/>
      <c r="P152" s="5"/>
      <c r="Q152" s="5"/>
      <c r="R152" s="1"/>
      <c r="S152" s="3" t="s">
        <v>84</v>
      </c>
      <c r="T152" s="3">
        <v>0.9</v>
      </c>
      <c r="U152" s="3">
        <v>0.5</v>
      </c>
      <c r="V152" s="3">
        <v>0.6</v>
      </c>
      <c r="W152" s="3">
        <v>0.3</v>
      </c>
      <c r="X152" s="6">
        <v>494.85012799999998</v>
      </c>
      <c r="Y152" s="3">
        <v>1E-3</v>
      </c>
      <c r="AA152" s="3" t="s">
        <v>84</v>
      </c>
      <c r="AB152" s="3">
        <v>0.67</v>
      </c>
      <c r="AC152" s="7">
        <v>514.89898700000003</v>
      </c>
      <c r="AD152" s="3">
        <v>0</v>
      </c>
      <c r="AE152" s="3">
        <f t="shared" si="17"/>
        <v>0.48499999999999999</v>
      </c>
      <c r="AF152" s="5"/>
      <c r="AG152" s="5"/>
      <c r="AH152" s="5"/>
      <c r="AI152" s="5"/>
      <c r="AJ152" s="1"/>
      <c r="AK152" s="3" t="s">
        <v>85</v>
      </c>
      <c r="AL152" s="3">
        <v>0.9</v>
      </c>
      <c r="AM152" s="3">
        <v>0.5</v>
      </c>
      <c r="AN152" s="3">
        <v>0.6</v>
      </c>
      <c r="AO152" s="3">
        <v>0.3</v>
      </c>
      <c r="AP152" s="6">
        <v>871.18438700000002</v>
      </c>
      <c r="AQ152" s="3">
        <v>5.0000000000000001E-3</v>
      </c>
      <c r="AS152" s="3" t="s">
        <v>85</v>
      </c>
      <c r="AT152" s="3">
        <v>0.38</v>
      </c>
      <c r="AU152" s="7">
        <v>906.87383999999997</v>
      </c>
      <c r="AV152" s="3">
        <v>0</v>
      </c>
      <c r="AW152" s="3">
        <f t="shared" si="18"/>
        <v>0.33999999999999997</v>
      </c>
      <c r="AX152" s="5"/>
      <c r="AY152" s="5"/>
      <c r="AZ152" s="5"/>
      <c r="BA152" s="5"/>
      <c r="BB152" s="1"/>
      <c r="BC152" s="3" t="s">
        <v>85</v>
      </c>
      <c r="BD152" s="3">
        <v>0.9</v>
      </c>
      <c r="BE152" s="3">
        <v>0.5</v>
      </c>
      <c r="BF152" s="3">
        <v>0.6</v>
      </c>
      <c r="BG152" s="3">
        <v>0.3</v>
      </c>
      <c r="BH152" s="6">
        <v>847.12524399999995</v>
      </c>
      <c r="BI152" s="3">
        <v>4.0000000000000001E-3</v>
      </c>
      <c r="BK152" s="3" t="s">
        <v>85</v>
      </c>
      <c r="BL152" s="3">
        <v>0.8</v>
      </c>
      <c r="BM152" s="7">
        <v>963.74060099999997</v>
      </c>
      <c r="BN152" s="3">
        <v>0</v>
      </c>
      <c r="BO152" s="3">
        <f t="shared" si="19"/>
        <v>0.55000000000000004</v>
      </c>
    </row>
    <row r="153" spans="1:71" x14ac:dyDescent="0.3">
      <c r="A153" s="3" t="s">
        <v>86</v>
      </c>
      <c r="B153" s="3">
        <v>0.9</v>
      </c>
      <c r="C153" s="3">
        <v>0.5</v>
      </c>
      <c r="D153" s="3">
        <v>0.6</v>
      </c>
      <c r="E153" s="3">
        <v>0.3</v>
      </c>
      <c r="F153" s="6">
        <v>568.23950200000002</v>
      </c>
      <c r="G153" s="3">
        <v>1E-3</v>
      </c>
      <c r="I153" s="3" t="s">
        <v>86</v>
      </c>
      <c r="J153" s="3">
        <v>0.79</v>
      </c>
      <c r="K153" s="7">
        <v>603.23144500000001</v>
      </c>
      <c r="L153" s="3">
        <v>0</v>
      </c>
      <c r="M153" s="3">
        <f t="shared" si="16"/>
        <v>0.54500000000000004</v>
      </c>
      <c r="N153" s="5"/>
      <c r="O153" s="5"/>
      <c r="P153" s="5"/>
      <c r="Q153" s="5"/>
      <c r="R153" s="1"/>
      <c r="S153" s="3" t="s">
        <v>86</v>
      </c>
      <c r="T153" s="3">
        <v>0.9</v>
      </c>
      <c r="U153" s="3">
        <v>0.5</v>
      </c>
      <c r="V153" s="3">
        <v>0.6</v>
      </c>
      <c r="W153" s="3">
        <v>0.3</v>
      </c>
      <c r="X153" s="6">
        <v>532.722534</v>
      </c>
      <c r="Y153" s="3">
        <v>0</v>
      </c>
      <c r="AA153" s="3" t="s">
        <v>86</v>
      </c>
      <c r="AB153" s="3">
        <v>0.56999999999999995</v>
      </c>
      <c r="AC153" s="7">
        <v>572.35681199999999</v>
      </c>
      <c r="AD153" s="3">
        <v>0</v>
      </c>
      <c r="AE153" s="3">
        <f t="shared" si="17"/>
        <v>0.43499999999999994</v>
      </c>
      <c r="AF153" s="5"/>
      <c r="AG153" s="5"/>
      <c r="AH153" s="5"/>
      <c r="AI153" s="5"/>
      <c r="AJ153" s="1"/>
      <c r="AK153" s="3" t="s">
        <v>87</v>
      </c>
      <c r="AL153" s="3">
        <v>0.9</v>
      </c>
      <c r="AM153" s="3">
        <v>0.5</v>
      </c>
      <c r="AN153" s="3">
        <v>0.6</v>
      </c>
      <c r="AO153" s="3">
        <v>0.3</v>
      </c>
      <c r="AP153" s="6">
        <v>772.47711200000003</v>
      </c>
      <c r="AQ153" s="3">
        <v>5.0000000000000001E-3</v>
      </c>
      <c r="AS153" s="3" t="s">
        <v>87</v>
      </c>
      <c r="AT153" s="3">
        <v>0.36</v>
      </c>
      <c r="AU153" s="7">
        <v>835.98828100000003</v>
      </c>
      <c r="AV153" s="3">
        <v>0</v>
      </c>
      <c r="AW153" s="3">
        <f t="shared" si="18"/>
        <v>0.32999999999999996</v>
      </c>
      <c r="AX153" s="5"/>
      <c r="AY153" s="5"/>
      <c r="AZ153" s="5"/>
      <c r="BA153" s="5"/>
      <c r="BB153" s="1"/>
      <c r="BC153" s="3" t="s">
        <v>87</v>
      </c>
      <c r="BD153" s="3">
        <v>0.9</v>
      </c>
      <c r="BE153" s="3">
        <v>0.5</v>
      </c>
      <c r="BF153" s="3">
        <v>0.6</v>
      </c>
      <c r="BG153" s="3">
        <v>0.3</v>
      </c>
      <c r="BH153" s="6">
        <v>749.05432099999996</v>
      </c>
      <c r="BI153" s="3">
        <v>4.0000000000000001E-3</v>
      </c>
      <c r="BK153" s="3" t="s">
        <v>87</v>
      </c>
      <c r="BL153" s="3">
        <v>0.31</v>
      </c>
      <c r="BM153" s="7">
        <v>764.37207000000001</v>
      </c>
      <c r="BN153" s="3">
        <v>0</v>
      </c>
      <c r="BO153" s="3">
        <f t="shared" si="19"/>
        <v>0.30499999999999999</v>
      </c>
    </row>
    <row r="154" spans="1:71" x14ac:dyDescent="0.3">
      <c r="A154" s="3" t="s">
        <v>88</v>
      </c>
      <c r="B154" s="3">
        <v>0.9</v>
      </c>
      <c r="C154" s="3">
        <v>0.5</v>
      </c>
      <c r="D154" s="3">
        <v>0.6</v>
      </c>
      <c r="E154" s="3">
        <v>0.3</v>
      </c>
      <c r="F154" s="7">
        <v>493.693848</v>
      </c>
      <c r="G154" s="3">
        <v>1E-3</v>
      </c>
      <c r="I154" s="3" t="s">
        <v>88</v>
      </c>
      <c r="J154" s="3">
        <v>0.19</v>
      </c>
      <c r="K154" s="6">
        <v>478.624573</v>
      </c>
      <c r="L154" s="3">
        <v>0</v>
      </c>
      <c r="M154" s="3">
        <f t="shared" si="16"/>
        <v>0.245</v>
      </c>
      <c r="N154" s="5"/>
      <c r="O154" s="5"/>
      <c r="P154" s="5"/>
      <c r="Q154" s="5"/>
      <c r="R154" s="1"/>
      <c r="S154" s="3" t="s">
        <v>88</v>
      </c>
      <c r="T154" s="3">
        <v>0.9</v>
      </c>
      <c r="U154" s="3">
        <v>0.5</v>
      </c>
      <c r="V154" s="3">
        <v>0.6</v>
      </c>
      <c r="W154" s="3">
        <v>0.3</v>
      </c>
      <c r="X154" s="7">
        <v>457.71310399999999</v>
      </c>
      <c r="Y154" s="3">
        <v>1E-3</v>
      </c>
      <c r="AA154" s="3" t="s">
        <v>88</v>
      </c>
      <c r="AB154" s="3">
        <v>0.26</v>
      </c>
      <c r="AC154" s="6">
        <v>445.33734099999998</v>
      </c>
      <c r="AD154" s="3">
        <v>0</v>
      </c>
      <c r="AE154" s="3">
        <f t="shared" si="17"/>
        <v>0.28000000000000003</v>
      </c>
      <c r="AF154" s="5"/>
      <c r="AG154" s="5"/>
      <c r="AH154" s="5"/>
      <c r="AI154" s="5"/>
      <c r="AJ154" s="1"/>
      <c r="AK154" s="3" t="s">
        <v>89</v>
      </c>
      <c r="AL154" s="3">
        <v>0.9</v>
      </c>
      <c r="AM154" s="3">
        <v>0.5</v>
      </c>
      <c r="AN154" s="3">
        <v>0.6</v>
      </c>
      <c r="AO154" s="3">
        <v>0.3</v>
      </c>
      <c r="AP154" s="6">
        <v>787.21826199999998</v>
      </c>
      <c r="AQ154" s="3">
        <v>5.0000000000000001E-3</v>
      </c>
      <c r="AS154" s="3" t="s">
        <v>89</v>
      </c>
      <c r="AT154" s="3">
        <v>0.46</v>
      </c>
      <c r="AU154" s="7">
        <v>858.89099099999999</v>
      </c>
      <c r="AV154" s="3">
        <v>1E-3</v>
      </c>
      <c r="AW154" s="3">
        <f t="shared" si="18"/>
        <v>0.38</v>
      </c>
      <c r="AX154" s="5"/>
      <c r="AY154" s="5"/>
      <c r="AZ154" s="5"/>
      <c r="BA154" s="5"/>
      <c r="BB154" s="1"/>
      <c r="BC154" s="3" t="s">
        <v>89</v>
      </c>
      <c r="BD154" s="3">
        <v>0.9</v>
      </c>
      <c r="BE154" s="3">
        <v>0.5</v>
      </c>
      <c r="BF154" s="3">
        <v>0.6</v>
      </c>
      <c r="BG154" s="3">
        <v>0.3</v>
      </c>
      <c r="BH154" s="7">
        <v>767.93249500000002</v>
      </c>
      <c r="BI154" s="3">
        <v>4.0000000000000001E-3</v>
      </c>
      <c r="BK154" s="3" t="s">
        <v>89</v>
      </c>
      <c r="BL154" s="3">
        <v>0.25</v>
      </c>
      <c r="BM154" s="6">
        <v>732.16339100000005</v>
      </c>
      <c r="BN154" s="3">
        <v>0</v>
      </c>
      <c r="BO154" s="3">
        <f t="shared" si="19"/>
        <v>0.27500000000000002</v>
      </c>
    </row>
    <row r="155" spans="1:71" x14ac:dyDescent="0.3">
      <c r="A155" s="3" t="s">
        <v>90</v>
      </c>
      <c r="B155" s="3">
        <v>0.9</v>
      </c>
      <c r="C155" s="3">
        <v>0.5</v>
      </c>
      <c r="D155" s="3">
        <v>0.6</v>
      </c>
      <c r="E155" s="3">
        <v>0.3</v>
      </c>
      <c r="F155" s="6">
        <v>427.23998999999998</v>
      </c>
      <c r="G155" s="3">
        <v>1E-3</v>
      </c>
      <c r="I155" s="3" t="s">
        <v>90</v>
      </c>
      <c r="J155" s="3">
        <v>0.81</v>
      </c>
      <c r="K155" s="7">
        <v>505.67718500000001</v>
      </c>
      <c r="L155" s="3">
        <v>0</v>
      </c>
      <c r="M155" s="3">
        <f t="shared" si="16"/>
        <v>0.55500000000000005</v>
      </c>
      <c r="N155" s="5"/>
      <c r="O155" s="5"/>
      <c r="P155" s="5"/>
      <c r="Q155" s="5"/>
      <c r="R155" s="1"/>
      <c r="S155" s="3" t="s">
        <v>90</v>
      </c>
      <c r="T155" s="3">
        <v>0.9</v>
      </c>
      <c r="U155" s="3">
        <v>0.5</v>
      </c>
      <c r="V155" s="3">
        <v>0.6</v>
      </c>
      <c r="W155" s="3">
        <v>0.3</v>
      </c>
      <c r="X155" s="6">
        <v>408.11267099999998</v>
      </c>
      <c r="Y155" s="3">
        <v>1E-3</v>
      </c>
      <c r="AA155" s="3" t="s">
        <v>90</v>
      </c>
      <c r="AB155" s="3">
        <v>0.53</v>
      </c>
      <c r="AC155" s="7">
        <v>441.607147</v>
      </c>
      <c r="AD155" s="3">
        <v>0</v>
      </c>
      <c r="AE155" s="3">
        <f t="shared" si="17"/>
        <v>0.41500000000000004</v>
      </c>
      <c r="AF155" s="5"/>
      <c r="AG155" s="5"/>
      <c r="AH155" s="5"/>
      <c r="AI155" s="5"/>
      <c r="AJ155" s="1"/>
      <c r="AK155" s="3" t="s">
        <v>91</v>
      </c>
      <c r="AL155" s="3">
        <v>0.9</v>
      </c>
      <c r="AM155" s="3">
        <v>0.5</v>
      </c>
      <c r="AN155" s="3">
        <v>0.6</v>
      </c>
      <c r="AO155" s="3">
        <v>0.3</v>
      </c>
      <c r="AP155" s="7">
        <v>771.07080099999996</v>
      </c>
      <c r="AQ155" s="3">
        <v>6.0000000000000001E-3</v>
      </c>
      <c r="AS155" s="3" t="s">
        <v>91</v>
      </c>
      <c r="AT155" s="3">
        <v>0.23</v>
      </c>
      <c r="AU155" s="7">
        <v>748.97497599999997</v>
      </c>
      <c r="AV155" s="3">
        <v>1E-3</v>
      </c>
      <c r="AW155" s="3">
        <f t="shared" si="18"/>
        <v>0.26500000000000001</v>
      </c>
      <c r="AX155" s="5"/>
      <c r="AY155" s="5"/>
      <c r="AZ155" s="5"/>
      <c r="BA155" s="5"/>
      <c r="BB155" s="1"/>
      <c r="BC155" s="3" t="s">
        <v>91</v>
      </c>
      <c r="BD155" s="3">
        <v>0.9</v>
      </c>
      <c r="BE155" s="3">
        <v>0.5</v>
      </c>
      <c r="BF155" s="3">
        <v>0.6</v>
      </c>
      <c r="BG155" s="3">
        <v>0.3</v>
      </c>
      <c r="BH155" s="7">
        <v>760.53985599999999</v>
      </c>
      <c r="BI155" s="3">
        <v>4.0000000000000001E-3</v>
      </c>
      <c r="BK155" s="3" t="s">
        <v>91</v>
      </c>
      <c r="BL155" s="3">
        <v>0.31</v>
      </c>
      <c r="BM155" s="6">
        <v>754.243469</v>
      </c>
      <c r="BN155" s="3">
        <v>0</v>
      </c>
      <c r="BO155" s="3">
        <f t="shared" si="19"/>
        <v>0.30499999999999999</v>
      </c>
    </row>
    <row r="156" spans="1:71" x14ac:dyDescent="0.3">
      <c r="A156" s="3" t="s">
        <v>92</v>
      </c>
      <c r="B156" s="3">
        <v>0.9</v>
      </c>
      <c r="C156" s="3">
        <v>0.5</v>
      </c>
      <c r="D156" s="3">
        <v>0.6</v>
      </c>
      <c r="E156" s="3">
        <v>0.3</v>
      </c>
      <c r="F156" s="6">
        <v>562.34045400000002</v>
      </c>
      <c r="G156" s="3">
        <v>1E-3</v>
      </c>
      <c r="I156" s="3" t="s">
        <v>92</v>
      </c>
      <c r="J156" s="3">
        <v>0.71</v>
      </c>
      <c r="K156" s="7">
        <v>592.47497599999997</v>
      </c>
      <c r="L156" s="3">
        <v>1E-3</v>
      </c>
      <c r="M156" s="3">
        <f t="shared" si="16"/>
        <v>0.505</v>
      </c>
      <c r="N156" s="5"/>
      <c r="O156" s="5"/>
      <c r="P156" s="5"/>
      <c r="Q156" s="5"/>
      <c r="R156" s="1"/>
      <c r="S156" s="3" t="s">
        <v>92</v>
      </c>
      <c r="T156" s="3">
        <v>0.9</v>
      </c>
      <c r="U156" s="3">
        <v>0.5</v>
      </c>
      <c r="V156" s="3">
        <v>0.6</v>
      </c>
      <c r="W156" s="3">
        <v>0.3</v>
      </c>
      <c r="X156" s="6">
        <v>530.81097399999999</v>
      </c>
      <c r="Y156" s="3">
        <v>1E-3</v>
      </c>
      <c r="AA156" s="3" t="s">
        <v>92</v>
      </c>
      <c r="AB156" s="3">
        <v>0.79</v>
      </c>
      <c r="AC156" s="7">
        <v>559.57659899999999</v>
      </c>
      <c r="AD156" s="3">
        <v>0</v>
      </c>
      <c r="AE156" s="3">
        <f t="shared" si="17"/>
        <v>0.54500000000000004</v>
      </c>
      <c r="AF156" s="5"/>
      <c r="AG156" s="5"/>
      <c r="AH156" s="5"/>
      <c r="AI156" s="5"/>
      <c r="AJ156" s="1"/>
      <c r="AK156" s="3" t="s">
        <v>93</v>
      </c>
      <c r="AL156" s="3">
        <v>0.9</v>
      </c>
      <c r="AM156" s="3">
        <v>0.5</v>
      </c>
      <c r="AN156" s="3">
        <v>0.6</v>
      </c>
      <c r="AO156" s="3">
        <v>0.3</v>
      </c>
      <c r="AP156" s="6">
        <v>724.506531</v>
      </c>
      <c r="AQ156" s="3">
        <v>6.0000000000000001E-3</v>
      </c>
      <c r="AS156" s="3" t="s">
        <v>93</v>
      </c>
      <c r="AT156" s="3">
        <v>0.47</v>
      </c>
      <c r="AU156" s="6">
        <v>810.84655799999996</v>
      </c>
      <c r="AV156" s="3">
        <v>0</v>
      </c>
      <c r="AW156" s="3">
        <f t="shared" si="18"/>
        <v>0.38500000000000001</v>
      </c>
      <c r="AX156" s="5"/>
      <c r="AY156" s="5"/>
      <c r="AZ156" s="5"/>
      <c r="BA156" s="5"/>
      <c r="BB156" s="1"/>
      <c r="BC156" s="3" t="s">
        <v>93</v>
      </c>
      <c r="BD156" s="3">
        <v>0.9</v>
      </c>
      <c r="BE156" s="3">
        <v>0.5</v>
      </c>
      <c r="BF156" s="3">
        <v>0.6</v>
      </c>
      <c r="BG156" s="3">
        <v>0.3</v>
      </c>
      <c r="BH156" s="7">
        <v>711.49468999999999</v>
      </c>
      <c r="BI156" s="3">
        <v>5.0000000000000001E-3</v>
      </c>
      <c r="BK156" s="3" t="s">
        <v>93</v>
      </c>
      <c r="BL156" s="3">
        <v>0.01</v>
      </c>
      <c r="BM156" s="6">
        <v>648.49530000000004</v>
      </c>
      <c r="BN156" s="3">
        <v>1E-3</v>
      </c>
      <c r="BO156" s="3">
        <f t="shared" si="19"/>
        <v>0.155</v>
      </c>
    </row>
    <row r="157" spans="1:71" x14ac:dyDescent="0.3">
      <c r="A157" s="3" t="s">
        <v>94</v>
      </c>
      <c r="B157" s="3">
        <v>0.9</v>
      </c>
      <c r="C157" s="3">
        <v>0.5</v>
      </c>
      <c r="D157" s="3">
        <v>0.6</v>
      </c>
      <c r="E157" s="3">
        <v>0.3</v>
      </c>
      <c r="F157" s="6">
        <v>432.19461100000001</v>
      </c>
      <c r="G157" s="3">
        <v>1E-3</v>
      </c>
      <c r="I157" s="3" t="s">
        <v>94</v>
      </c>
      <c r="J157" s="3">
        <v>0.18</v>
      </c>
      <c r="K157" s="6">
        <v>432.19461100000001</v>
      </c>
      <c r="L157" s="3">
        <v>0</v>
      </c>
      <c r="M157" s="3">
        <f t="shared" si="16"/>
        <v>0.24</v>
      </c>
      <c r="N157" s="5"/>
      <c r="O157" s="5"/>
      <c r="P157" s="5"/>
      <c r="Q157" s="5"/>
      <c r="R157" s="1"/>
      <c r="S157" s="3" t="s">
        <v>94</v>
      </c>
      <c r="T157" s="3">
        <v>0.9</v>
      </c>
      <c r="U157" s="3">
        <v>0.5</v>
      </c>
      <c r="V157" s="3">
        <v>0.6</v>
      </c>
      <c r="W157" s="3">
        <v>0.3</v>
      </c>
      <c r="X157" s="7">
        <v>443.27810699999998</v>
      </c>
      <c r="Y157" s="3">
        <v>1E-3</v>
      </c>
      <c r="AA157" s="3" t="s">
        <v>94</v>
      </c>
      <c r="AB157" s="3">
        <v>0.3</v>
      </c>
      <c r="AC157" s="6">
        <v>420.68310500000001</v>
      </c>
      <c r="AD157" s="3">
        <v>0</v>
      </c>
      <c r="AE157" s="3">
        <f t="shared" si="17"/>
        <v>0.3</v>
      </c>
      <c r="AF157" s="5"/>
      <c r="AG157" s="5"/>
      <c r="AH157" s="5"/>
      <c r="AI157" s="5"/>
      <c r="AJ157" s="1"/>
      <c r="AK157" s="3" t="s">
        <v>95</v>
      </c>
      <c r="AL157" s="3">
        <v>0.9</v>
      </c>
      <c r="AM157" s="3">
        <v>0.5</v>
      </c>
      <c r="AN157" s="3">
        <v>0.6</v>
      </c>
      <c r="AO157" s="3">
        <v>0.3</v>
      </c>
      <c r="AP157" s="6">
        <v>828.41332999999997</v>
      </c>
      <c r="AQ157" s="3">
        <v>8.9999999999999993E-3</v>
      </c>
      <c r="AS157" s="3" t="s">
        <v>95</v>
      </c>
      <c r="AT157" s="3">
        <v>0.5</v>
      </c>
      <c r="AU157" s="7">
        <v>922.12426800000003</v>
      </c>
      <c r="AV157" s="3">
        <v>1E-3</v>
      </c>
      <c r="AW157" s="3">
        <f t="shared" si="18"/>
        <v>0.4</v>
      </c>
      <c r="AX157" s="5"/>
      <c r="AY157" s="5"/>
      <c r="AZ157" s="5"/>
      <c r="BA157" s="5"/>
      <c r="BB157" s="1"/>
      <c r="BC157" s="3" t="s">
        <v>95</v>
      </c>
      <c r="BD157" s="3">
        <v>0.9</v>
      </c>
      <c r="BE157" s="3">
        <v>0.5</v>
      </c>
      <c r="BF157" s="3">
        <v>0.6</v>
      </c>
      <c r="BG157" s="3">
        <v>0.3</v>
      </c>
      <c r="BH157" s="6">
        <v>820.24603300000001</v>
      </c>
      <c r="BI157" s="3">
        <v>5.0000000000000001E-3</v>
      </c>
      <c r="BK157" s="3" t="s">
        <v>95</v>
      </c>
      <c r="BL157" s="3">
        <v>0.68</v>
      </c>
      <c r="BM157" s="7">
        <v>948.36901899999998</v>
      </c>
      <c r="BN157" s="3">
        <v>0</v>
      </c>
      <c r="BO157" s="3">
        <f t="shared" si="19"/>
        <v>0.49</v>
      </c>
    </row>
    <row r="158" spans="1:71" x14ac:dyDescent="0.3">
      <c r="A158" s="3" t="s">
        <v>96</v>
      </c>
      <c r="B158" s="3">
        <v>0.9</v>
      </c>
      <c r="C158" s="3">
        <v>0.5</v>
      </c>
      <c r="D158" s="3">
        <v>0.6</v>
      </c>
      <c r="E158" s="3">
        <v>0.3</v>
      </c>
      <c r="F158" s="6">
        <v>591.61621100000002</v>
      </c>
      <c r="G158" s="3">
        <v>1E-3</v>
      </c>
      <c r="I158" s="3" t="s">
        <v>96</v>
      </c>
      <c r="J158" s="3">
        <v>0.57999999999999996</v>
      </c>
      <c r="K158" s="7">
        <v>631.56982400000004</v>
      </c>
      <c r="L158" s="3">
        <v>0</v>
      </c>
      <c r="M158" s="3">
        <f t="shared" si="16"/>
        <v>0.43999999999999995</v>
      </c>
      <c r="N158" s="5"/>
      <c r="O158" s="5"/>
      <c r="P158" s="5"/>
      <c r="Q158" s="5"/>
      <c r="R158" s="1"/>
      <c r="S158" s="3" t="s">
        <v>96</v>
      </c>
      <c r="T158" s="3">
        <v>0.9</v>
      </c>
      <c r="U158" s="3">
        <v>0.5</v>
      </c>
      <c r="V158" s="3">
        <v>0.6</v>
      </c>
      <c r="W158" s="3">
        <v>0.3</v>
      </c>
      <c r="X158" s="6">
        <v>560.47766100000001</v>
      </c>
      <c r="Y158" s="3">
        <v>1E-3</v>
      </c>
      <c r="AA158" s="3" t="s">
        <v>96</v>
      </c>
      <c r="AB158" s="3">
        <v>0.42</v>
      </c>
      <c r="AC158" s="7">
        <v>588.59802200000001</v>
      </c>
      <c r="AD158" s="3">
        <v>0</v>
      </c>
      <c r="AE158" s="3">
        <f t="shared" si="17"/>
        <v>0.36</v>
      </c>
      <c r="AF158" s="5"/>
      <c r="AG158" s="5"/>
      <c r="AH158" s="5"/>
      <c r="AI158" s="5"/>
      <c r="AJ158" s="1"/>
      <c r="AK158" s="3" t="s">
        <v>97</v>
      </c>
      <c r="AL158" s="3">
        <v>0.9</v>
      </c>
      <c r="AM158" s="3">
        <v>0.5</v>
      </c>
      <c r="AN158" s="3">
        <v>0.6</v>
      </c>
      <c r="AO158" s="3">
        <v>0.3</v>
      </c>
      <c r="AP158" s="7">
        <v>957.70343000000003</v>
      </c>
      <c r="AQ158" s="3">
        <v>6.0000000000000001E-3</v>
      </c>
      <c r="AS158" s="3" t="s">
        <v>97</v>
      </c>
      <c r="AT158" s="3">
        <v>0.28999999999999998</v>
      </c>
      <c r="AU158" s="6">
        <v>953.89776600000005</v>
      </c>
      <c r="AV158" s="3">
        <v>0</v>
      </c>
      <c r="AW158" s="3">
        <f t="shared" si="18"/>
        <v>0.29499999999999998</v>
      </c>
      <c r="AX158" s="5"/>
      <c r="AY158" s="5"/>
      <c r="AZ158" s="5"/>
      <c r="BA158" s="5"/>
      <c r="BB158" s="1"/>
      <c r="BC158" s="3" t="s">
        <v>97</v>
      </c>
      <c r="BD158" s="3">
        <v>0.9</v>
      </c>
      <c r="BE158" s="3">
        <v>0.5</v>
      </c>
      <c r="BF158" s="3">
        <v>0.6</v>
      </c>
      <c r="BG158" s="3">
        <v>0.3</v>
      </c>
      <c r="BH158" s="6">
        <v>927.93701199999998</v>
      </c>
      <c r="BI158" s="3">
        <v>6.0000000000000001E-3</v>
      </c>
      <c r="BK158" s="3" t="s">
        <v>97</v>
      </c>
      <c r="BL158" s="3">
        <v>0.46</v>
      </c>
      <c r="BM158" s="7">
        <v>986.68170199999997</v>
      </c>
      <c r="BN158" s="3">
        <v>1E-3</v>
      </c>
      <c r="BO158" s="3">
        <f t="shared" si="19"/>
        <v>0.38</v>
      </c>
    </row>
    <row r="159" spans="1:71" x14ac:dyDescent="0.3">
      <c r="A159" s="3" t="s">
        <v>98</v>
      </c>
      <c r="B159" s="3">
        <v>0.9</v>
      </c>
      <c r="C159" s="3">
        <v>0.5</v>
      </c>
      <c r="D159" s="3">
        <v>0.6</v>
      </c>
      <c r="E159" s="3">
        <v>0.3</v>
      </c>
      <c r="F159" s="6">
        <v>482.62603799999999</v>
      </c>
      <c r="G159" s="3">
        <v>1E-3</v>
      </c>
      <c r="I159" s="3" t="s">
        <v>98</v>
      </c>
      <c r="J159" s="3">
        <v>0.08</v>
      </c>
      <c r="K159" s="7">
        <v>469.36407500000001</v>
      </c>
      <c r="L159" s="3">
        <v>0</v>
      </c>
      <c r="M159" s="3">
        <f t="shared" si="16"/>
        <v>0.19</v>
      </c>
      <c r="N159" s="5"/>
      <c r="O159" s="5"/>
      <c r="P159" s="5"/>
      <c r="Q159" s="5"/>
      <c r="R159" s="1"/>
      <c r="S159" s="3" t="s">
        <v>98</v>
      </c>
      <c r="T159" s="3">
        <v>0.9</v>
      </c>
      <c r="U159" s="3">
        <v>0.5</v>
      </c>
      <c r="V159" s="3">
        <v>0.6</v>
      </c>
      <c r="W159" s="3">
        <v>0.3</v>
      </c>
      <c r="X159" s="7">
        <v>455.25457799999998</v>
      </c>
      <c r="Y159" s="3">
        <v>1E-3</v>
      </c>
      <c r="AA159" s="3" t="s">
        <v>98</v>
      </c>
      <c r="AB159" s="3">
        <v>0.17</v>
      </c>
      <c r="AC159" s="6">
        <v>439.96939099999997</v>
      </c>
      <c r="AD159" s="3">
        <v>0</v>
      </c>
      <c r="AE159" s="3">
        <f t="shared" si="17"/>
        <v>0.23499999999999999</v>
      </c>
      <c r="AF159" s="5"/>
      <c r="AG159" s="5"/>
      <c r="AH159" s="5"/>
      <c r="AI159" s="5"/>
      <c r="AJ159" s="1"/>
      <c r="AK159" s="3" t="s">
        <v>99</v>
      </c>
      <c r="AL159" s="3">
        <v>0.9</v>
      </c>
      <c r="AM159" s="3">
        <v>0.5</v>
      </c>
      <c r="AN159" s="3">
        <v>0.6</v>
      </c>
      <c r="AO159" s="3">
        <v>0.3</v>
      </c>
      <c r="AP159" s="6">
        <v>923.57482900000002</v>
      </c>
      <c r="AQ159" s="3">
        <v>7.0000000000000001E-3</v>
      </c>
      <c r="AS159" s="3" t="s">
        <v>99</v>
      </c>
      <c r="AT159" s="3">
        <v>0.46</v>
      </c>
      <c r="AU159" s="7">
        <v>1004.876953</v>
      </c>
      <c r="AV159" s="3">
        <v>1E-3</v>
      </c>
      <c r="AW159" s="3">
        <f t="shared" si="18"/>
        <v>0.38</v>
      </c>
      <c r="AX159" s="5"/>
      <c r="AY159" s="5"/>
      <c r="AZ159" s="5"/>
      <c r="BA159" s="5"/>
      <c r="BB159" s="1"/>
      <c r="BC159" s="3" t="s">
        <v>99</v>
      </c>
      <c r="BD159" s="3">
        <v>0.9</v>
      </c>
      <c r="BE159" s="3">
        <v>0.5</v>
      </c>
      <c r="BF159" s="3">
        <v>0.6</v>
      </c>
      <c r="BG159" s="3">
        <v>0.3</v>
      </c>
      <c r="BH159" s="7">
        <v>891.87237500000003</v>
      </c>
      <c r="BI159" s="3">
        <v>4.0000000000000001E-3</v>
      </c>
      <c r="BK159" s="3" t="s">
        <v>99</v>
      </c>
      <c r="BL159" s="3">
        <v>7.0000000000000007E-2</v>
      </c>
      <c r="BM159" s="6">
        <v>730.37170400000002</v>
      </c>
      <c r="BN159" s="3">
        <v>0</v>
      </c>
      <c r="BO159" s="3">
        <f t="shared" si="19"/>
        <v>0.185</v>
      </c>
    </row>
    <row r="160" spans="1:71" x14ac:dyDescent="0.3">
      <c r="A160" s="3" t="s">
        <v>100</v>
      </c>
      <c r="B160" s="3">
        <v>0.9</v>
      </c>
      <c r="C160" s="3">
        <v>0.5</v>
      </c>
      <c r="D160" s="3">
        <v>0.6</v>
      </c>
      <c r="E160" s="3">
        <v>0.3</v>
      </c>
      <c r="F160" s="6">
        <v>609.87329099999999</v>
      </c>
      <c r="G160" s="3">
        <v>1E-3</v>
      </c>
      <c r="I160" s="3" t="s">
        <v>100</v>
      </c>
      <c r="J160" s="3">
        <v>0.59</v>
      </c>
      <c r="K160" s="7">
        <v>635.02301</v>
      </c>
      <c r="L160" s="3">
        <v>0</v>
      </c>
      <c r="M160" s="3">
        <f t="shared" si="16"/>
        <v>0.44499999999999995</v>
      </c>
      <c r="N160" s="5"/>
      <c r="O160" s="5"/>
      <c r="P160" s="5"/>
      <c r="Q160" s="5"/>
      <c r="R160" s="1"/>
      <c r="S160" s="3" t="s">
        <v>100</v>
      </c>
      <c r="T160" s="3">
        <v>0.9</v>
      </c>
      <c r="U160" s="3">
        <v>0.5</v>
      </c>
      <c r="V160" s="3">
        <v>0.6</v>
      </c>
      <c r="W160" s="3">
        <v>0.3</v>
      </c>
      <c r="X160" s="7">
        <v>608.22778300000004</v>
      </c>
      <c r="Y160" s="3">
        <v>1E-3</v>
      </c>
      <c r="AA160" s="3" t="s">
        <v>100</v>
      </c>
      <c r="AB160" s="3">
        <v>0.16</v>
      </c>
      <c r="AC160" s="6">
        <v>595.21252400000003</v>
      </c>
      <c r="AD160" s="3">
        <v>0</v>
      </c>
      <c r="AE160" s="3">
        <f t="shared" si="17"/>
        <v>0.22999999999999998</v>
      </c>
      <c r="AF160" s="5"/>
      <c r="AG160" s="5"/>
      <c r="AH160" s="5"/>
      <c r="AI160" s="5"/>
      <c r="AJ160" s="1"/>
      <c r="AK160" s="3" t="s">
        <v>101</v>
      </c>
      <c r="AL160" s="3">
        <v>0.9</v>
      </c>
      <c r="AM160" s="3">
        <v>0.5</v>
      </c>
      <c r="AN160" s="3">
        <v>0.6</v>
      </c>
      <c r="AO160" s="3">
        <v>0.3</v>
      </c>
      <c r="AP160" s="6">
        <v>830.20220900000004</v>
      </c>
      <c r="AQ160" s="3">
        <v>5.0000000000000001E-3</v>
      </c>
      <c r="AS160" s="3" t="s">
        <v>101</v>
      </c>
      <c r="AT160" s="3">
        <v>0.74</v>
      </c>
      <c r="AU160" s="7">
        <v>1012.944397</v>
      </c>
      <c r="AV160" s="3">
        <v>0</v>
      </c>
      <c r="AW160" s="3">
        <f t="shared" si="18"/>
        <v>0.52</v>
      </c>
      <c r="AX160" s="5"/>
      <c r="AY160" s="5"/>
      <c r="AZ160" s="5"/>
      <c r="BA160" s="5"/>
      <c r="BB160" s="1"/>
      <c r="BC160" s="3" t="s">
        <v>101</v>
      </c>
      <c r="BD160" s="3">
        <v>0.9</v>
      </c>
      <c r="BE160" s="3">
        <v>0.5</v>
      </c>
      <c r="BF160" s="3">
        <v>0.6</v>
      </c>
      <c r="BG160" s="3">
        <v>0.3</v>
      </c>
      <c r="BH160" s="6">
        <v>775.39843800000006</v>
      </c>
      <c r="BI160" s="3">
        <v>4.0000000000000001E-3</v>
      </c>
      <c r="BK160" s="3" t="s">
        <v>101</v>
      </c>
      <c r="BL160" s="3">
        <v>0.49</v>
      </c>
      <c r="BM160" s="7">
        <v>888.77587900000003</v>
      </c>
      <c r="BN160" s="3">
        <v>1E-3</v>
      </c>
      <c r="BO160" s="3">
        <f t="shared" si="19"/>
        <v>0.39500000000000002</v>
      </c>
    </row>
    <row r="161" spans="1:67" x14ac:dyDescent="0.3">
      <c r="A161" s="3" t="s">
        <v>102</v>
      </c>
      <c r="B161" s="3">
        <v>0.9</v>
      </c>
      <c r="C161" s="3">
        <v>0.5</v>
      </c>
      <c r="D161" s="3">
        <v>0.6</v>
      </c>
      <c r="E161" s="3">
        <v>0.3</v>
      </c>
      <c r="F161" s="7">
        <v>611.81549099999995</v>
      </c>
      <c r="G161" s="3">
        <v>1E-3</v>
      </c>
      <c r="I161" s="3" t="s">
        <v>102</v>
      </c>
      <c r="J161" s="3">
        <v>7.0000000000000007E-2</v>
      </c>
      <c r="K161" s="6">
        <v>594.72051999999996</v>
      </c>
      <c r="L161" s="3">
        <v>1E-3</v>
      </c>
      <c r="M161" s="3">
        <f t="shared" si="16"/>
        <v>0.185</v>
      </c>
      <c r="N161" s="5"/>
      <c r="O161" s="5"/>
      <c r="P161" s="5"/>
      <c r="Q161" s="5"/>
      <c r="R161" s="1"/>
      <c r="S161" s="3" t="s">
        <v>102</v>
      </c>
      <c r="T161" s="3">
        <v>0.9</v>
      </c>
      <c r="U161" s="3">
        <v>0.5</v>
      </c>
      <c r="V161" s="3">
        <v>0.6</v>
      </c>
      <c r="W161" s="3">
        <v>0.3</v>
      </c>
      <c r="X161" s="7">
        <v>604.49047900000005</v>
      </c>
      <c r="Y161" s="3">
        <v>1E-3</v>
      </c>
      <c r="AA161" s="3" t="s">
        <v>102</v>
      </c>
      <c r="AB161" s="3">
        <v>0.06</v>
      </c>
      <c r="AC161" s="6">
        <v>596.756531</v>
      </c>
      <c r="AD161" s="3">
        <v>0</v>
      </c>
      <c r="AE161" s="3">
        <f t="shared" si="17"/>
        <v>0.18</v>
      </c>
      <c r="AF161" s="5"/>
      <c r="AG161" s="5"/>
      <c r="AH161" s="5"/>
      <c r="AI161" s="5"/>
      <c r="AJ161" s="1"/>
      <c r="AK161" s="3" t="s">
        <v>103</v>
      </c>
      <c r="AL161" s="3">
        <v>0.9</v>
      </c>
      <c r="AM161" s="3">
        <v>0.5</v>
      </c>
      <c r="AN161" s="3">
        <v>0.6</v>
      </c>
      <c r="AO161" s="3">
        <v>0.3</v>
      </c>
      <c r="AP161" s="6">
        <v>854.17260699999997</v>
      </c>
      <c r="AQ161" s="3">
        <v>5.0000000000000001E-3</v>
      </c>
      <c r="AS161" s="3" t="s">
        <v>103</v>
      </c>
      <c r="AT161" s="3">
        <v>0.52</v>
      </c>
      <c r="AU161" s="7">
        <v>964.35076900000001</v>
      </c>
      <c r="AV161" s="3">
        <v>1E-3</v>
      </c>
      <c r="AW161" s="3">
        <f t="shared" si="18"/>
        <v>0.41000000000000003</v>
      </c>
      <c r="AX161" s="5"/>
      <c r="AY161" s="5"/>
      <c r="AZ161" s="5"/>
      <c r="BA161" s="5"/>
      <c r="BB161" s="1"/>
      <c r="BC161" s="3" t="s">
        <v>103</v>
      </c>
      <c r="BD161" s="3">
        <v>0.9</v>
      </c>
      <c r="BE161" s="3">
        <v>0.5</v>
      </c>
      <c r="BF161" s="3">
        <v>0.6</v>
      </c>
      <c r="BG161" s="3">
        <v>0.3</v>
      </c>
      <c r="BH161" s="6">
        <v>844.53704800000003</v>
      </c>
      <c r="BI161" s="3">
        <v>4.0000000000000001E-3</v>
      </c>
      <c r="BK161" s="3" t="s">
        <v>103</v>
      </c>
      <c r="BL161" s="3">
        <v>0.93</v>
      </c>
      <c r="BM161" s="7">
        <v>1002.058777</v>
      </c>
      <c r="BN161" s="3">
        <v>0</v>
      </c>
      <c r="BO161" s="3">
        <f t="shared" si="19"/>
        <v>0.61499999999999999</v>
      </c>
    </row>
    <row r="162" spans="1:67" x14ac:dyDescent="0.3">
      <c r="A162" s="3" t="s">
        <v>104</v>
      </c>
      <c r="B162" s="3">
        <v>0.9</v>
      </c>
      <c r="C162" s="3">
        <v>0.5</v>
      </c>
      <c r="D162" s="3">
        <v>0.6</v>
      </c>
      <c r="E162" s="3">
        <v>0.3</v>
      </c>
      <c r="F162" s="7">
        <v>582.24731399999996</v>
      </c>
      <c r="G162" s="3">
        <v>1E-3</v>
      </c>
      <c r="I162" s="3" t="s">
        <v>104</v>
      </c>
      <c r="J162" s="3">
        <v>0.18</v>
      </c>
      <c r="K162" s="6">
        <v>574.10437000000002</v>
      </c>
      <c r="L162" s="3">
        <v>0</v>
      </c>
      <c r="M162" s="3">
        <f t="shared" si="16"/>
        <v>0.24</v>
      </c>
      <c r="N162" s="5"/>
      <c r="O162" s="5"/>
      <c r="P162" s="5"/>
      <c r="Q162" s="5"/>
      <c r="R162" s="1"/>
      <c r="S162" s="3" t="s">
        <v>104</v>
      </c>
      <c r="T162" s="3">
        <v>0.9</v>
      </c>
      <c r="U162" s="3">
        <v>0.5</v>
      </c>
      <c r="V162" s="3">
        <v>0.6</v>
      </c>
      <c r="W162" s="3">
        <v>0.3</v>
      </c>
      <c r="X162" s="7">
        <v>584.26721199999997</v>
      </c>
      <c r="Y162" s="3">
        <v>1E-3</v>
      </c>
      <c r="AA162" s="3" t="s">
        <v>104</v>
      </c>
      <c r="AB162" s="3">
        <v>0.27</v>
      </c>
      <c r="AC162" s="6">
        <v>568.17999299999997</v>
      </c>
      <c r="AD162" s="3">
        <v>0</v>
      </c>
      <c r="AE162" s="3">
        <f t="shared" si="17"/>
        <v>0.28500000000000003</v>
      </c>
      <c r="AF162" s="5"/>
      <c r="AG162" s="5"/>
      <c r="AH162" s="5"/>
      <c r="AI162" s="5"/>
      <c r="AJ162" s="1"/>
      <c r="AK162" s="3" t="s">
        <v>105</v>
      </c>
      <c r="AL162" s="3">
        <v>0.9</v>
      </c>
      <c r="AM162" s="3">
        <v>0.5</v>
      </c>
      <c r="AN162" s="3">
        <v>0.6</v>
      </c>
      <c r="AO162" s="3">
        <v>0.3</v>
      </c>
      <c r="AP162" s="6">
        <v>983.48474099999999</v>
      </c>
      <c r="AQ162" s="3">
        <v>5.0000000000000001E-3</v>
      </c>
      <c r="AS162" s="3" t="s">
        <v>105</v>
      </c>
      <c r="AT162" s="3">
        <v>0.34</v>
      </c>
      <c r="AU162" s="7">
        <v>1010.0787350000001</v>
      </c>
      <c r="AV162" s="3">
        <v>0</v>
      </c>
      <c r="AW162" s="3">
        <f t="shared" si="18"/>
        <v>0.32</v>
      </c>
      <c r="AX162" s="5"/>
      <c r="AY162" s="5"/>
      <c r="AZ162" s="5"/>
      <c r="BA162" s="5"/>
      <c r="BB162" s="1"/>
      <c r="BC162" s="3" t="s">
        <v>105</v>
      </c>
      <c r="BD162" s="3">
        <v>0.9</v>
      </c>
      <c r="BE162" s="3">
        <v>0.5</v>
      </c>
      <c r="BF162" s="3">
        <v>0.6</v>
      </c>
      <c r="BG162" s="3">
        <v>0.3</v>
      </c>
      <c r="BH162" s="7">
        <v>957.981628</v>
      </c>
      <c r="BI162" s="3">
        <v>5.0000000000000001E-3</v>
      </c>
      <c r="BK162" s="3" t="s">
        <v>105</v>
      </c>
      <c r="BL162" s="3">
        <v>0.15</v>
      </c>
      <c r="BM162" s="6">
        <v>836.62896699999999</v>
      </c>
      <c r="BN162" s="3">
        <v>0</v>
      </c>
      <c r="BO162" s="3">
        <f t="shared" si="19"/>
        <v>0.22499999999999998</v>
      </c>
    </row>
    <row r="163" spans="1:67" x14ac:dyDescent="0.3">
      <c r="A163" s="3" t="s">
        <v>106</v>
      </c>
      <c r="B163" s="3">
        <v>0.9</v>
      </c>
      <c r="C163" s="3">
        <v>0.5</v>
      </c>
      <c r="D163" s="3">
        <v>0.6</v>
      </c>
      <c r="E163" s="3">
        <v>0.3</v>
      </c>
      <c r="F163" s="7">
        <v>534.07696499999997</v>
      </c>
      <c r="G163" s="3">
        <v>1E-3</v>
      </c>
      <c r="I163" s="3" t="s">
        <v>106</v>
      </c>
      <c r="J163" s="3">
        <v>0.23</v>
      </c>
      <c r="K163" s="6">
        <v>531.02911400000005</v>
      </c>
      <c r="L163" s="3">
        <v>0</v>
      </c>
      <c r="M163" s="3">
        <f t="shared" si="16"/>
        <v>0.26500000000000001</v>
      </c>
      <c r="N163" s="5"/>
      <c r="O163" s="5"/>
      <c r="P163" s="5"/>
      <c r="Q163" s="5"/>
      <c r="R163" s="1"/>
      <c r="S163" s="3" t="s">
        <v>106</v>
      </c>
      <c r="T163" s="3">
        <v>0.9</v>
      </c>
      <c r="U163" s="3">
        <v>0.5</v>
      </c>
      <c r="V163" s="3">
        <v>0.6</v>
      </c>
      <c r="W163" s="3">
        <v>0.3</v>
      </c>
      <c r="X163" s="7">
        <v>554.75073199999997</v>
      </c>
      <c r="Y163" s="3">
        <v>1E-3</v>
      </c>
      <c r="AA163" s="3" t="s">
        <v>106</v>
      </c>
      <c r="AB163" s="3">
        <v>0.1</v>
      </c>
      <c r="AC163" s="6">
        <v>514.25939900000003</v>
      </c>
      <c r="AD163" s="3">
        <v>0</v>
      </c>
      <c r="AE163" s="3">
        <f t="shared" si="17"/>
        <v>0.2</v>
      </c>
      <c r="AF163" s="5"/>
      <c r="AG163" s="5"/>
      <c r="AH163" s="5"/>
      <c r="AI163" s="5"/>
      <c r="AJ163" s="1"/>
      <c r="AK163" s="3" t="s">
        <v>107</v>
      </c>
      <c r="AL163" s="3">
        <v>0.9</v>
      </c>
      <c r="AM163" s="3">
        <v>0.5</v>
      </c>
      <c r="AN163" s="3">
        <v>0.6</v>
      </c>
      <c r="AO163" s="3">
        <v>0.3</v>
      </c>
      <c r="AP163" s="7">
        <v>1033.886841</v>
      </c>
      <c r="AQ163" s="3">
        <v>5.0000000000000001E-3</v>
      </c>
      <c r="AS163" s="3" t="s">
        <v>107</v>
      </c>
      <c r="AT163" s="3">
        <v>0.04</v>
      </c>
      <c r="AU163" s="6">
        <v>881.24987799999997</v>
      </c>
      <c r="AV163" s="3">
        <v>0</v>
      </c>
      <c r="AW163" s="3">
        <f t="shared" si="18"/>
        <v>0.16999999999999998</v>
      </c>
      <c r="AX163" s="5"/>
      <c r="AY163" s="5"/>
      <c r="AZ163" s="5"/>
      <c r="BA163" s="5"/>
      <c r="BB163" s="1"/>
      <c r="BC163" s="3" t="s">
        <v>107</v>
      </c>
      <c r="BD163" s="3">
        <v>0.9</v>
      </c>
      <c r="BE163" s="3">
        <v>0.5</v>
      </c>
      <c r="BF163" s="3">
        <v>0.6</v>
      </c>
      <c r="BG163" s="3">
        <v>0.3</v>
      </c>
      <c r="BH163" s="6">
        <v>1038.3111570000001</v>
      </c>
      <c r="BI163" s="3">
        <v>5.0000000000000001E-3</v>
      </c>
      <c r="BK163" s="3" t="s">
        <v>107</v>
      </c>
      <c r="BL163" s="3">
        <v>0.43</v>
      </c>
      <c r="BM163" s="7">
        <v>1081.241577</v>
      </c>
      <c r="BN163" s="3">
        <v>1E-3</v>
      </c>
      <c r="BO163" s="3">
        <f t="shared" si="19"/>
        <v>0.36499999999999999</v>
      </c>
    </row>
    <row r="164" spans="1:67" x14ac:dyDescent="0.3">
      <c r="A164" s="3" t="s">
        <v>108</v>
      </c>
      <c r="B164" s="3">
        <v>0.9</v>
      </c>
      <c r="C164" s="3">
        <v>0.5</v>
      </c>
      <c r="D164" s="3">
        <v>0.6</v>
      </c>
      <c r="E164" s="3">
        <v>0.3</v>
      </c>
      <c r="F164" s="7">
        <v>605.71917699999995</v>
      </c>
      <c r="G164" s="3">
        <v>1E-3</v>
      </c>
      <c r="I164" s="3" t="s">
        <v>108</v>
      </c>
      <c r="J164" s="3">
        <v>0.21</v>
      </c>
      <c r="K164" s="6">
        <v>600.38909899999999</v>
      </c>
      <c r="L164" s="3">
        <v>0</v>
      </c>
      <c r="M164" s="3">
        <f t="shared" si="16"/>
        <v>0.255</v>
      </c>
      <c r="N164" s="5"/>
      <c r="O164" s="5"/>
      <c r="P164" s="5"/>
      <c r="Q164" s="5"/>
      <c r="R164" s="1"/>
      <c r="S164" s="3" t="s">
        <v>108</v>
      </c>
      <c r="T164" s="3">
        <v>0.9</v>
      </c>
      <c r="U164" s="3">
        <v>0.5</v>
      </c>
      <c r="V164" s="3">
        <v>0.6</v>
      </c>
      <c r="W164" s="3">
        <v>0.3</v>
      </c>
      <c r="X164" s="6">
        <v>584.26458700000001</v>
      </c>
      <c r="Y164" s="3">
        <v>1E-3</v>
      </c>
      <c r="AA164" s="3" t="s">
        <v>108</v>
      </c>
      <c r="AB164" s="3">
        <v>0.25</v>
      </c>
      <c r="AC164" s="7">
        <v>586.45788600000003</v>
      </c>
      <c r="AD164" s="3">
        <v>0</v>
      </c>
      <c r="AE164" s="3">
        <f t="shared" si="17"/>
        <v>0.27500000000000002</v>
      </c>
      <c r="AF164" s="5"/>
      <c r="AG164" s="5"/>
      <c r="AH164" s="5"/>
      <c r="AI164" s="5"/>
      <c r="AJ164" s="1"/>
      <c r="AK164" s="3" t="s">
        <v>109</v>
      </c>
      <c r="AL164" s="3">
        <v>0.9</v>
      </c>
      <c r="AM164" s="3">
        <v>0.5</v>
      </c>
      <c r="AN164" s="3">
        <v>0.6</v>
      </c>
      <c r="AO164" s="3">
        <v>0.3</v>
      </c>
      <c r="AP164" s="6">
        <v>906.29266399999995</v>
      </c>
      <c r="AQ164" s="3">
        <v>5.0000000000000001E-3</v>
      </c>
      <c r="AS164" s="3" t="s">
        <v>109</v>
      </c>
      <c r="AT164" s="3">
        <v>0.95</v>
      </c>
      <c r="AU164" s="7">
        <v>1102.5507809999999</v>
      </c>
      <c r="AV164" s="3">
        <v>1E-3</v>
      </c>
      <c r="AW164" s="3">
        <f t="shared" si="18"/>
        <v>0.625</v>
      </c>
      <c r="AX164" s="5"/>
      <c r="AY164" s="5"/>
      <c r="AZ164" s="5"/>
      <c r="BA164" s="5"/>
      <c r="BB164" s="1"/>
      <c r="BC164" s="3" t="s">
        <v>109</v>
      </c>
      <c r="BD164" s="3">
        <v>0.9</v>
      </c>
      <c r="BE164" s="3">
        <v>0.5</v>
      </c>
      <c r="BF164" s="3">
        <v>0.6</v>
      </c>
      <c r="BG164" s="3">
        <v>0.3</v>
      </c>
      <c r="BH164" s="6">
        <v>891.42706299999998</v>
      </c>
      <c r="BI164" s="3">
        <v>5.0000000000000001E-3</v>
      </c>
      <c r="BK164" s="3" t="s">
        <v>109</v>
      </c>
      <c r="BL164" s="3">
        <v>0.38</v>
      </c>
      <c r="BM164" s="7">
        <v>922.47161900000003</v>
      </c>
      <c r="BN164" s="3">
        <v>1E-3</v>
      </c>
      <c r="BO164" s="3">
        <f t="shared" si="19"/>
        <v>0.33999999999999997</v>
      </c>
    </row>
    <row r="165" spans="1:67" x14ac:dyDescent="0.3">
      <c r="A165" s="3" t="s">
        <v>110</v>
      </c>
      <c r="B165" s="3">
        <v>0.9</v>
      </c>
      <c r="C165" s="3">
        <v>0.5</v>
      </c>
      <c r="D165" s="3">
        <v>0.6</v>
      </c>
      <c r="E165" s="3">
        <v>0.3</v>
      </c>
      <c r="F165" s="6">
        <v>582.90521200000001</v>
      </c>
      <c r="G165" s="3">
        <v>1E-3</v>
      </c>
      <c r="I165" s="3" t="s">
        <v>110</v>
      </c>
      <c r="J165" s="3">
        <v>0.65</v>
      </c>
      <c r="K165" s="7">
        <v>636.22839399999998</v>
      </c>
      <c r="L165" s="3">
        <v>0</v>
      </c>
      <c r="M165" s="3">
        <f t="shared" si="16"/>
        <v>0.47499999999999998</v>
      </c>
      <c r="N165" s="5"/>
      <c r="O165" s="5"/>
      <c r="P165" s="5"/>
      <c r="Q165" s="5"/>
      <c r="R165" s="1"/>
      <c r="S165" s="3" t="s">
        <v>110</v>
      </c>
      <c r="T165" s="3">
        <v>0.9</v>
      </c>
      <c r="U165" s="3">
        <v>0.5</v>
      </c>
      <c r="V165" s="3">
        <v>0.6</v>
      </c>
      <c r="W165" s="3">
        <v>0.3</v>
      </c>
      <c r="X165" s="7">
        <v>587.03259300000002</v>
      </c>
      <c r="Y165" s="3">
        <v>1E-3</v>
      </c>
      <c r="AA165" s="3" t="s">
        <v>110</v>
      </c>
      <c r="AB165" s="3">
        <v>0.1</v>
      </c>
      <c r="AC165" s="6">
        <v>571.69445800000005</v>
      </c>
      <c r="AD165" s="3">
        <v>0</v>
      </c>
      <c r="AE165" s="3">
        <f t="shared" si="17"/>
        <v>0.2</v>
      </c>
      <c r="AF165" s="5"/>
      <c r="AG165" s="5"/>
      <c r="AH165" s="5"/>
      <c r="AI165" s="5"/>
      <c r="AJ165" s="1"/>
      <c r="AK165" s="3" t="s">
        <v>111</v>
      </c>
      <c r="AL165" s="3">
        <v>0.9</v>
      </c>
      <c r="AM165" s="3">
        <v>0.5</v>
      </c>
      <c r="AN165" s="3">
        <v>0.6</v>
      </c>
      <c r="AO165" s="3">
        <v>0.3</v>
      </c>
      <c r="AP165" s="6">
        <v>1002.737366</v>
      </c>
      <c r="AQ165" s="3">
        <v>5.0000000000000001E-3</v>
      </c>
      <c r="AS165" s="3" t="s">
        <v>111</v>
      </c>
      <c r="AT165" s="3">
        <v>0.99</v>
      </c>
      <c r="AU165" s="7">
        <v>1190.385986</v>
      </c>
      <c r="AV165" s="3">
        <v>1E-3</v>
      </c>
      <c r="AW165" s="3">
        <f t="shared" si="18"/>
        <v>0.64500000000000002</v>
      </c>
      <c r="AX165" s="5"/>
      <c r="AY165" s="5"/>
      <c r="AZ165" s="5"/>
      <c r="BA165" s="5"/>
      <c r="BB165" s="1"/>
      <c r="BC165" s="3" t="s">
        <v>111</v>
      </c>
      <c r="BD165" s="3">
        <v>0.9</v>
      </c>
      <c r="BE165" s="3">
        <v>0.5</v>
      </c>
      <c r="BF165" s="3">
        <v>0.6</v>
      </c>
      <c r="BG165" s="3">
        <v>0.3</v>
      </c>
      <c r="BH165" s="7">
        <v>991.43688999999995</v>
      </c>
      <c r="BI165" s="3">
        <v>6.0000000000000001E-3</v>
      </c>
      <c r="BK165" s="3" t="s">
        <v>111</v>
      </c>
      <c r="BL165" s="3">
        <v>0.02</v>
      </c>
      <c r="BM165" s="6">
        <v>811.72326699999996</v>
      </c>
      <c r="BN165" s="3">
        <v>0</v>
      </c>
      <c r="BO165" s="3">
        <f t="shared" si="19"/>
        <v>0.16</v>
      </c>
    </row>
    <row r="166" spans="1:67" x14ac:dyDescent="0.3">
      <c r="A166" s="3" t="s">
        <v>112</v>
      </c>
      <c r="B166" s="3">
        <v>0.9</v>
      </c>
      <c r="C166" s="3">
        <v>0.5</v>
      </c>
      <c r="D166" s="3">
        <v>0.6</v>
      </c>
      <c r="E166" s="3">
        <v>0.3</v>
      </c>
      <c r="F166" s="6">
        <v>465.50125100000002</v>
      </c>
      <c r="G166" s="3">
        <v>0</v>
      </c>
      <c r="I166" s="3" t="s">
        <v>112</v>
      </c>
      <c r="J166" s="3">
        <v>0.78</v>
      </c>
      <c r="K166" s="7">
        <v>517.91876200000002</v>
      </c>
      <c r="L166" s="3">
        <v>0</v>
      </c>
      <c r="M166" s="3">
        <f t="shared" si="16"/>
        <v>0.54</v>
      </c>
      <c r="N166" s="5"/>
      <c r="O166" s="5"/>
      <c r="P166" s="5"/>
      <c r="Q166" s="5"/>
      <c r="R166" s="1"/>
      <c r="S166" s="3" t="s">
        <v>112</v>
      </c>
      <c r="T166" s="3">
        <v>0.9</v>
      </c>
      <c r="U166" s="3">
        <v>0.5</v>
      </c>
      <c r="V166" s="3">
        <v>0.6</v>
      </c>
      <c r="W166" s="3">
        <v>0.3</v>
      </c>
      <c r="X166" s="6">
        <v>435.23095699999999</v>
      </c>
      <c r="Y166" s="3">
        <v>0</v>
      </c>
      <c r="AA166" s="3" t="s">
        <v>112</v>
      </c>
      <c r="AB166" s="3">
        <v>0.33</v>
      </c>
      <c r="AC166" s="7">
        <v>437.14529399999998</v>
      </c>
      <c r="AD166" s="3">
        <v>0</v>
      </c>
      <c r="AE166" s="3">
        <f t="shared" si="17"/>
        <v>0.315</v>
      </c>
      <c r="AF166" s="5"/>
      <c r="AG166" s="5"/>
      <c r="AH166" s="5"/>
      <c r="AI166" s="5"/>
      <c r="AJ166" s="1"/>
      <c r="AK166" s="3" t="s">
        <v>113</v>
      </c>
      <c r="AL166" s="3">
        <v>0.9</v>
      </c>
      <c r="AM166" s="3">
        <v>0.5</v>
      </c>
      <c r="AN166" s="3">
        <v>0.6</v>
      </c>
      <c r="AO166" s="3">
        <v>0.3</v>
      </c>
      <c r="AP166" s="6">
        <v>908.07312000000002</v>
      </c>
      <c r="AQ166" s="3">
        <v>4.0000000000000001E-3</v>
      </c>
      <c r="AS166" s="3" t="s">
        <v>113</v>
      </c>
      <c r="AT166" s="3">
        <v>0.33</v>
      </c>
      <c r="AU166" s="7">
        <v>925.11785899999995</v>
      </c>
      <c r="AV166" s="3">
        <v>0</v>
      </c>
      <c r="AW166" s="3">
        <f t="shared" si="18"/>
        <v>0.315</v>
      </c>
      <c r="AX166" s="5"/>
      <c r="AY166" s="5"/>
      <c r="AZ166" s="5"/>
      <c r="BA166" s="5"/>
      <c r="BB166" s="1"/>
      <c r="BC166" s="3" t="s">
        <v>113</v>
      </c>
      <c r="BD166" s="3">
        <v>0.9</v>
      </c>
      <c r="BE166" s="3">
        <v>0.5</v>
      </c>
      <c r="BF166" s="3">
        <v>0.6</v>
      </c>
      <c r="BG166" s="3">
        <v>0.3</v>
      </c>
      <c r="BH166" s="6">
        <v>884.57336399999997</v>
      </c>
      <c r="BI166" s="3">
        <v>5.0000000000000001E-3</v>
      </c>
      <c r="BK166" s="3" t="s">
        <v>113</v>
      </c>
      <c r="BL166" s="3">
        <v>0.59</v>
      </c>
      <c r="BM166" s="7">
        <v>998.147156</v>
      </c>
      <c r="BN166" s="3">
        <v>1E-3</v>
      </c>
      <c r="BO166" s="3">
        <f t="shared" si="19"/>
        <v>0.44499999999999995</v>
      </c>
    </row>
    <row r="167" spans="1:67" x14ac:dyDescent="0.3">
      <c r="A167" s="3" t="s">
        <v>114</v>
      </c>
      <c r="B167" s="3">
        <v>0.9</v>
      </c>
      <c r="C167" s="3">
        <v>0.5</v>
      </c>
      <c r="D167" s="3">
        <v>0.6</v>
      </c>
      <c r="E167" s="3">
        <v>0.3</v>
      </c>
      <c r="F167" s="7">
        <v>598.52142300000003</v>
      </c>
      <c r="G167" s="3">
        <v>1E-3</v>
      </c>
      <c r="I167" s="3" t="s">
        <v>114</v>
      </c>
      <c r="J167" s="3">
        <v>0.26</v>
      </c>
      <c r="K167" s="6">
        <v>591.05639599999995</v>
      </c>
      <c r="L167" s="3">
        <v>0</v>
      </c>
      <c r="M167" s="3">
        <f t="shared" si="16"/>
        <v>0.28000000000000003</v>
      </c>
      <c r="N167" s="5"/>
      <c r="O167" s="5"/>
      <c r="P167" s="5"/>
      <c r="Q167" s="5"/>
      <c r="R167" s="1"/>
      <c r="S167" s="3" t="s">
        <v>114</v>
      </c>
      <c r="T167" s="3">
        <v>0.9</v>
      </c>
      <c r="U167" s="3">
        <v>0.5</v>
      </c>
      <c r="V167" s="3">
        <v>0.6</v>
      </c>
      <c r="W167" s="3">
        <v>0.3</v>
      </c>
      <c r="X167" s="6">
        <v>579.05517599999996</v>
      </c>
      <c r="Y167" s="3">
        <v>1E-3</v>
      </c>
      <c r="AA167" s="3" t="s">
        <v>114</v>
      </c>
      <c r="AB167" s="3">
        <v>0.99</v>
      </c>
      <c r="AC167" s="7">
        <v>702.28308100000004</v>
      </c>
      <c r="AD167" s="3">
        <v>0</v>
      </c>
      <c r="AE167" s="3">
        <f t="shared" si="17"/>
        <v>0.64500000000000002</v>
      </c>
      <c r="AF167" s="5"/>
      <c r="AG167" s="5"/>
      <c r="AH167" s="5"/>
      <c r="AI167" s="5"/>
      <c r="AJ167" s="1"/>
      <c r="AK167" s="3" t="s">
        <v>115</v>
      </c>
      <c r="AL167" s="3">
        <v>0.9</v>
      </c>
      <c r="AM167" s="3">
        <v>0.5</v>
      </c>
      <c r="AN167" s="3">
        <v>0.6</v>
      </c>
      <c r="AO167" s="3">
        <v>0.3</v>
      </c>
      <c r="AP167" s="6">
        <v>1003.537598</v>
      </c>
      <c r="AQ167" s="3">
        <v>6.0000000000000001E-3</v>
      </c>
      <c r="AS167" s="3" t="s">
        <v>115</v>
      </c>
      <c r="AT167" s="3">
        <v>0.37</v>
      </c>
      <c r="AU167" s="7">
        <v>1054.6507570000001</v>
      </c>
      <c r="AV167" s="3">
        <v>1E-3</v>
      </c>
      <c r="AW167" s="3">
        <f t="shared" si="18"/>
        <v>0.33499999999999996</v>
      </c>
      <c r="AX167" s="5"/>
      <c r="AY167" s="5"/>
      <c r="AZ167" s="5"/>
      <c r="BA167" s="5"/>
      <c r="BB167" s="1"/>
      <c r="BC167" s="3" t="s">
        <v>115</v>
      </c>
      <c r="BD167" s="3">
        <v>0.9</v>
      </c>
      <c r="BE167" s="3">
        <v>0.5</v>
      </c>
      <c r="BF167" s="3">
        <v>0.6</v>
      </c>
      <c r="BG167" s="3">
        <v>0.3</v>
      </c>
      <c r="BH167" s="6">
        <v>1021.4169920000001</v>
      </c>
      <c r="BI167" s="3">
        <v>5.0000000000000001E-3</v>
      </c>
      <c r="BK167" s="3" t="s">
        <v>115</v>
      </c>
      <c r="BL167" s="3">
        <v>0.46</v>
      </c>
      <c r="BM167" s="7">
        <v>1097.855225</v>
      </c>
      <c r="BN167" s="3">
        <v>1E-3</v>
      </c>
      <c r="BO167" s="3">
        <f t="shared" si="19"/>
        <v>0.38</v>
      </c>
    </row>
    <row r="168" spans="1:67" x14ac:dyDescent="0.3">
      <c r="A168" s="3" t="s">
        <v>116</v>
      </c>
      <c r="B168" s="3">
        <v>0.9</v>
      </c>
      <c r="C168" s="3">
        <v>0.5</v>
      </c>
      <c r="D168" s="3">
        <v>0.6</v>
      </c>
      <c r="E168" s="3">
        <v>0.3</v>
      </c>
      <c r="F168" s="6">
        <v>649.63269000000003</v>
      </c>
      <c r="G168" s="3">
        <v>1E-3</v>
      </c>
      <c r="I168" s="3" t="s">
        <v>116</v>
      </c>
      <c r="J168" s="3">
        <v>0.44</v>
      </c>
      <c r="K168" s="7">
        <v>662.64141800000004</v>
      </c>
      <c r="L168" s="3">
        <v>0</v>
      </c>
      <c r="M168" s="3">
        <f t="shared" si="16"/>
        <v>0.37</v>
      </c>
      <c r="N168" s="5"/>
      <c r="O168" s="5"/>
      <c r="P168" s="5"/>
      <c r="Q168" s="5"/>
      <c r="R168" s="1"/>
      <c r="S168" s="3" t="s">
        <v>116</v>
      </c>
      <c r="T168" s="3">
        <v>0.9</v>
      </c>
      <c r="U168" s="3">
        <v>0.5</v>
      </c>
      <c r="V168" s="3">
        <v>0.6</v>
      </c>
      <c r="W168" s="3">
        <v>0.3</v>
      </c>
      <c r="X168" s="7">
        <v>624.42932099999996</v>
      </c>
      <c r="Y168" s="3">
        <v>1E-3</v>
      </c>
      <c r="AA168" s="3" t="s">
        <v>116</v>
      </c>
      <c r="AB168" s="3">
        <v>0.1</v>
      </c>
      <c r="AC168" s="6">
        <v>601.24029499999995</v>
      </c>
      <c r="AD168" s="3">
        <v>0</v>
      </c>
      <c r="AE168" s="3">
        <f t="shared" si="17"/>
        <v>0.2</v>
      </c>
      <c r="AF168" s="5"/>
      <c r="AG168" s="5"/>
      <c r="AH168" s="5"/>
      <c r="AI168" s="5"/>
      <c r="AJ168" s="1"/>
      <c r="AK168" s="3" t="s">
        <v>117</v>
      </c>
      <c r="AL168" s="3">
        <v>0.9</v>
      </c>
      <c r="AM168" s="3">
        <v>0.5</v>
      </c>
      <c r="AN168" s="3">
        <v>0.6</v>
      </c>
      <c r="AO168" s="3">
        <v>0.3</v>
      </c>
      <c r="AP168" s="7">
        <v>953.83923300000004</v>
      </c>
      <c r="AQ168" s="3">
        <v>5.0000000000000001E-3</v>
      </c>
      <c r="AS168" s="3" t="s">
        <v>117</v>
      </c>
      <c r="AT168" s="3">
        <v>0.03</v>
      </c>
      <c r="AU168" s="6">
        <v>786.18695100000002</v>
      </c>
      <c r="AV168" s="3">
        <v>0</v>
      </c>
      <c r="AW168" s="3">
        <f t="shared" si="18"/>
        <v>0.16499999999999998</v>
      </c>
      <c r="AX168" s="5"/>
      <c r="AY168" s="5"/>
      <c r="AZ168" s="5"/>
      <c r="BA168" s="5"/>
      <c r="BB168" s="1"/>
      <c r="BC168" s="3" t="s">
        <v>117</v>
      </c>
      <c r="BD168" s="3">
        <v>0.9</v>
      </c>
      <c r="BE168" s="3">
        <v>0.5</v>
      </c>
      <c r="BF168" s="3">
        <v>0.6</v>
      </c>
      <c r="BG168" s="3">
        <v>0.3</v>
      </c>
      <c r="BH168" s="6">
        <v>939.84814500000005</v>
      </c>
      <c r="BI168" s="3">
        <v>5.0000000000000001E-3</v>
      </c>
      <c r="BK168" s="3" t="s">
        <v>117</v>
      </c>
      <c r="BL168" s="3">
        <v>0.82</v>
      </c>
      <c r="BM168" s="7">
        <v>1105.2827150000001</v>
      </c>
      <c r="BN168" s="3">
        <v>0</v>
      </c>
      <c r="BO168" s="3">
        <f t="shared" si="19"/>
        <v>0.55999999999999994</v>
      </c>
    </row>
    <row r="169" spans="1:67" x14ac:dyDescent="0.3">
      <c r="A169" s="3" t="s">
        <v>118</v>
      </c>
      <c r="B169" s="3">
        <v>0.9</v>
      </c>
      <c r="C169" s="3">
        <v>0.5</v>
      </c>
      <c r="D169" s="3">
        <v>0.6</v>
      </c>
      <c r="E169" s="3">
        <v>0.3</v>
      </c>
      <c r="F169" s="6">
        <v>565.503601</v>
      </c>
      <c r="G169" s="3">
        <v>1E-3</v>
      </c>
      <c r="I169" s="3" t="s">
        <v>118</v>
      </c>
      <c r="J169" s="3">
        <v>0.55000000000000004</v>
      </c>
      <c r="K169" s="7">
        <v>615.03710899999999</v>
      </c>
      <c r="L169" s="3">
        <v>0</v>
      </c>
      <c r="M169" s="3">
        <f t="shared" si="16"/>
        <v>0.42500000000000004</v>
      </c>
      <c r="N169" s="5"/>
      <c r="O169" s="5"/>
      <c r="P169" s="5"/>
      <c r="Q169" s="5"/>
      <c r="R169" s="1"/>
      <c r="S169" s="3" t="s">
        <v>118</v>
      </c>
      <c r="T169" s="3">
        <v>0.9</v>
      </c>
      <c r="U169" s="3">
        <v>0.5</v>
      </c>
      <c r="V169" s="3">
        <v>0.6</v>
      </c>
      <c r="W169" s="3">
        <v>0.3</v>
      </c>
      <c r="X169" s="6">
        <v>551.69708300000002</v>
      </c>
      <c r="Y169" s="3">
        <v>1E-3</v>
      </c>
      <c r="AA169" s="3" t="s">
        <v>118</v>
      </c>
      <c r="AB169" s="3">
        <v>0.94</v>
      </c>
      <c r="AC169" s="7">
        <v>654.737122</v>
      </c>
      <c r="AD169" s="3">
        <v>0</v>
      </c>
      <c r="AE169" s="3">
        <f t="shared" si="17"/>
        <v>0.62</v>
      </c>
      <c r="AF169" s="5"/>
      <c r="AG169" s="5"/>
      <c r="AH169" s="5"/>
      <c r="AI169" s="5"/>
      <c r="AJ169" s="1"/>
      <c r="AK169" s="3" t="s">
        <v>119</v>
      </c>
      <c r="AL169" s="3">
        <v>0.9</v>
      </c>
      <c r="AM169" s="3">
        <v>0.5</v>
      </c>
      <c r="AN169" s="3">
        <v>0.6</v>
      </c>
      <c r="AO169" s="3">
        <v>0.3</v>
      </c>
      <c r="AP169" s="6">
        <v>987.17193599999996</v>
      </c>
      <c r="AQ169" s="3">
        <v>5.0000000000000001E-3</v>
      </c>
      <c r="AS169" s="3" t="s">
        <v>119</v>
      </c>
      <c r="AT169" s="3">
        <v>0.81</v>
      </c>
      <c r="AU169" s="7">
        <v>1213.747437</v>
      </c>
      <c r="AV169" s="3">
        <v>1E-3</v>
      </c>
      <c r="AW169" s="3">
        <f t="shared" si="18"/>
        <v>0.55500000000000005</v>
      </c>
      <c r="AX169" s="5"/>
      <c r="AY169" s="5"/>
      <c r="AZ169" s="5"/>
      <c r="BA169" s="5"/>
      <c r="BB169" s="1"/>
      <c r="BC169" s="3" t="s">
        <v>119</v>
      </c>
      <c r="BD169" s="3">
        <v>0.9</v>
      </c>
      <c r="BE169" s="3">
        <v>0.5</v>
      </c>
      <c r="BF169" s="3">
        <v>0.6</v>
      </c>
      <c r="BG169" s="3">
        <v>0.3</v>
      </c>
      <c r="BH169" s="6">
        <v>973.45745799999997</v>
      </c>
      <c r="BI169" s="3">
        <v>5.0000000000000001E-3</v>
      </c>
      <c r="BK169" s="3" t="s">
        <v>119</v>
      </c>
      <c r="BL169" s="3">
        <v>0.37</v>
      </c>
      <c r="BM169" s="7">
        <v>1034.174072</v>
      </c>
      <c r="BN169" s="3">
        <v>1E-3</v>
      </c>
      <c r="BO169" s="3">
        <f t="shared" si="19"/>
        <v>0.33499999999999996</v>
      </c>
    </row>
    <row r="170" spans="1:67" x14ac:dyDescent="0.3">
      <c r="A170" s="3" t="s">
        <v>120</v>
      </c>
      <c r="B170" s="3">
        <v>0.9</v>
      </c>
      <c r="C170" s="3">
        <v>0.5</v>
      </c>
      <c r="D170" s="3">
        <v>0.6</v>
      </c>
      <c r="E170" s="3">
        <v>0.3</v>
      </c>
      <c r="F170" s="6">
        <v>705.42980999999997</v>
      </c>
      <c r="G170" s="3">
        <v>1E-3</v>
      </c>
      <c r="I170" s="3" t="s">
        <v>120</v>
      </c>
      <c r="J170" s="3">
        <v>0.68</v>
      </c>
      <c r="K170" s="7">
        <v>770.46020499999997</v>
      </c>
      <c r="L170" s="3">
        <v>0</v>
      </c>
      <c r="M170" s="3">
        <f t="shared" si="16"/>
        <v>0.49</v>
      </c>
      <c r="N170" s="5"/>
      <c r="O170" s="5"/>
      <c r="P170" s="5"/>
      <c r="Q170" s="5"/>
      <c r="R170" s="1"/>
      <c r="S170" s="3" t="s">
        <v>120</v>
      </c>
      <c r="T170" s="3">
        <v>0.9</v>
      </c>
      <c r="U170" s="3">
        <v>0.5</v>
      </c>
      <c r="V170" s="3">
        <v>0.6</v>
      </c>
      <c r="W170" s="3">
        <v>0.3</v>
      </c>
      <c r="X170" s="6">
        <v>705.56579599999998</v>
      </c>
      <c r="Y170" s="3">
        <v>2E-3</v>
      </c>
      <c r="AA170" s="3" t="s">
        <v>120</v>
      </c>
      <c r="AB170" s="3">
        <v>0.81</v>
      </c>
      <c r="AC170" s="7">
        <v>769.642517</v>
      </c>
      <c r="AD170" s="3">
        <v>0</v>
      </c>
      <c r="AE170" s="3">
        <f t="shared" si="17"/>
        <v>0.55500000000000005</v>
      </c>
      <c r="AF170" s="5"/>
      <c r="AG170" s="5"/>
      <c r="AH170" s="5"/>
      <c r="AI170" s="5"/>
      <c r="AJ170" s="1"/>
      <c r="AK170" s="3" t="s">
        <v>121</v>
      </c>
      <c r="AL170" s="3">
        <v>0.9</v>
      </c>
      <c r="AM170" s="3">
        <v>0.5</v>
      </c>
      <c r="AN170" s="3">
        <v>0.6</v>
      </c>
      <c r="AO170" s="3">
        <v>0.3</v>
      </c>
      <c r="AP170" s="7">
        <v>1019.899658</v>
      </c>
      <c r="AQ170" s="3">
        <v>6.0000000000000001E-3</v>
      </c>
      <c r="AS170" s="3" t="s">
        <v>121</v>
      </c>
      <c r="AT170" s="3">
        <v>0.23</v>
      </c>
      <c r="AU170" s="6">
        <v>972.96911599999999</v>
      </c>
      <c r="AV170" s="3">
        <v>1E-3</v>
      </c>
      <c r="AW170" s="3">
        <f t="shared" si="18"/>
        <v>0.26500000000000001</v>
      </c>
      <c r="AX170" s="5"/>
      <c r="AY170" s="5"/>
      <c r="AZ170" s="5"/>
      <c r="BA170" s="5"/>
      <c r="BB170" s="1"/>
      <c r="BC170" s="3" t="s">
        <v>121</v>
      </c>
      <c r="BD170" s="3">
        <v>0.9</v>
      </c>
      <c r="BE170" s="3">
        <v>0.5</v>
      </c>
      <c r="BF170" s="3">
        <v>0.6</v>
      </c>
      <c r="BG170" s="3">
        <v>0.3</v>
      </c>
      <c r="BH170" s="6">
        <v>1010.680054</v>
      </c>
      <c r="BI170" s="3">
        <v>5.0000000000000001E-3</v>
      </c>
      <c r="BK170" s="3" t="s">
        <v>121</v>
      </c>
      <c r="BL170" s="3">
        <v>0.97</v>
      </c>
      <c r="BM170" s="7">
        <v>1239.397461</v>
      </c>
      <c r="BN170" s="3">
        <v>0</v>
      </c>
      <c r="BO170" s="3">
        <f t="shared" si="19"/>
        <v>0.63500000000000001</v>
      </c>
    </row>
    <row r="171" spans="1:67" x14ac:dyDescent="0.3">
      <c r="A171" s="3" t="s">
        <v>122</v>
      </c>
      <c r="B171" s="3">
        <v>0.9</v>
      </c>
      <c r="C171" s="3">
        <v>0.5</v>
      </c>
      <c r="D171" s="3">
        <v>0.6</v>
      </c>
      <c r="E171" s="3">
        <v>0.3</v>
      </c>
      <c r="F171" s="6">
        <v>648.54559300000005</v>
      </c>
      <c r="G171" s="3">
        <v>1E-3</v>
      </c>
      <c r="I171" s="3" t="s">
        <v>122</v>
      </c>
      <c r="J171" s="3">
        <v>0.99</v>
      </c>
      <c r="K171" s="7">
        <v>684.44702099999995</v>
      </c>
      <c r="L171" s="3">
        <v>0</v>
      </c>
      <c r="M171" s="3">
        <f t="shared" si="16"/>
        <v>0.64500000000000002</v>
      </c>
      <c r="N171" s="5"/>
      <c r="O171" s="5"/>
      <c r="P171" s="5"/>
      <c r="Q171" s="5"/>
      <c r="R171" s="1"/>
      <c r="S171" s="3" t="s">
        <v>122</v>
      </c>
      <c r="T171" s="3">
        <v>0.9</v>
      </c>
      <c r="U171" s="3">
        <v>0.5</v>
      </c>
      <c r="V171" s="3">
        <v>0.6</v>
      </c>
      <c r="W171" s="3">
        <v>0.3</v>
      </c>
      <c r="X171" s="7">
        <v>644.14880400000004</v>
      </c>
      <c r="Y171" s="3">
        <v>1E-3</v>
      </c>
      <c r="AA171" s="3" t="s">
        <v>122</v>
      </c>
      <c r="AB171" s="3">
        <v>0.16</v>
      </c>
      <c r="AC171" s="6">
        <v>636.09155299999998</v>
      </c>
      <c r="AD171" s="3">
        <v>1E-3</v>
      </c>
      <c r="AE171" s="3">
        <f t="shared" si="17"/>
        <v>0.22999999999999998</v>
      </c>
      <c r="AF171" s="5"/>
      <c r="AG171" s="5"/>
      <c r="AH171" s="5"/>
      <c r="AI171" s="5"/>
      <c r="AJ171" s="1"/>
      <c r="AK171" s="3" t="s">
        <v>123</v>
      </c>
      <c r="AL171" s="3">
        <v>0.9</v>
      </c>
      <c r="AM171" s="3">
        <v>0.5</v>
      </c>
      <c r="AN171" s="3">
        <v>0.6</v>
      </c>
      <c r="AO171" s="3">
        <v>0.3</v>
      </c>
      <c r="AP171" s="6">
        <v>1001.315979</v>
      </c>
      <c r="AQ171" s="3">
        <v>5.0000000000000001E-3</v>
      </c>
      <c r="AS171" s="3" t="s">
        <v>123</v>
      </c>
      <c r="AT171" s="3">
        <v>0.92</v>
      </c>
      <c r="AU171" s="7">
        <v>1233.838135</v>
      </c>
      <c r="AV171" s="3">
        <v>1E-3</v>
      </c>
      <c r="AW171" s="3">
        <f t="shared" si="18"/>
        <v>0.61</v>
      </c>
      <c r="AX171" s="5"/>
      <c r="AY171" s="5"/>
      <c r="AZ171" s="5"/>
      <c r="BA171" s="5"/>
      <c r="BB171" s="1"/>
      <c r="BC171" s="3" t="s">
        <v>123</v>
      </c>
      <c r="BD171" s="3">
        <v>0.9</v>
      </c>
      <c r="BE171" s="3">
        <v>0.5</v>
      </c>
      <c r="BF171" s="3">
        <v>0.6</v>
      </c>
      <c r="BG171" s="3">
        <v>0.3</v>
      </c>
      <c r="BH171" s="6">
        <v>975.62261999999998</v>
      </c>
      <c r="BI171" s="3">
        <v>6.0000000000000001E-3</v>
      </c>
      <c r="BK171" s="3" t="s">
        <v>123</v>
      </c>
      <c r="BL171" s="3">
        <v>0.37</v>
      </c>
      <c r="BM171" s="7">
        <v>1023.145142</v>
      </c>
      <c r="BN171" s="3">
        <v>0</v>
      </c>
      <c r="BO171" s="3">
        <f t="shared" si="19"/>
        <v>0.33499999999999996</v>
      </c>
    </row>
    <row r="172" spans="1:67" x14ac:dyDescent="0.3">
      <c r="A172" s="3" t="s">
        <v>124</v>
      </c>
      <c r="B172" s="3">
        <v>0.9</v>
      </c>
      <c r="C172" s="3">
        <v>0.5</v>
      </c>
      <c r="D172" s="3">
        <v>0.6</v>
      </c>
      <c r="E172" s="3">
        <v>0.3</v>
      </c>
      <c r="F172" s="7">
        <v>562.11566200000004</v>
      </c>
      <c r="G172" s="3">
        <v>1E-3</v>
      </c>
      <c r="I172" s="3" t="s">
        <v>124</v>
      </c>
      <c r="J172" s="3">
        <v>0.23</v>
      </c>
      <c r="K172" s="6">
        <v>551.75976600000001</v>
      </c>
      <c r="L172" s="3">
        <v>0</v>
      </c>
      <c r="M172" s="3">
        <f t="shared" si="16"/>
        <v>0.26500000000000001</v>
      </c>
      <c r="N172" s="5"/>
      <c r="O172" s="5"/>
      <c r="P172" s="5"/>
      <c r="Q172" s="5"/>
      <c r="R172" s="1"/>
      <c r="S172" s="3" t="s">
        <v>124</v>
      </c>
      <c r="T172" s="3">
        <v>0.9</v>
      </c>
      <c r="U172" s="3">
        <v>0.5</v>
      </c>
      <c r="V172" s="3">
        <v>0.6</v>
      </c>
      <c r="W172" s="3">
        <v>0.3</v>
      </c>
      <c r="X172" s="6">
        <v>552.25561500000003</v>
      </c>
      <c r="Y172" s="3">
        <v>1E-3</v>
      </c>
      <c r="AA172" s="3" t="s">
        <v>124</v>
      </c>
      <c r="AB172" s="3">
        <v>0.45</v>
      </c>
      <c r="AC172" s="7">
        <v>569.41064500000005</v>
      </c>
      <c r="AD172" s="3">
        <v>1E-3</v>
      </c>
      <c r="AE172" s="3">
        <f t="shared" si="17"/>
        <v>0.375</v>
      </c>
      <c r="AF172" s="5"/>
      <c r="AG172" s="5"/>
      <c r="AH172" s="5"/>
      <c r="AI172" s="5"/>
      <c r="AJ172" s="1"/>
      <c r="AK172" s="3" t="s">
        <v>125</v>
      </c>
      <c r="AL172" s="3">
        <v>0.9</v>
      </c>
      <c r="AM172" s="3">
        <v>0.5</v>
      </c>
      <c r="AN172" s="3">
        <v>0.6</v>
      </c>
      <c r="AO172" s="3">
        <v>0.3</v>
      </c>
      <c r="AP172" s="6">
        <v>1045.275269</v>
      </c>
      <c r="AQ172" s="3">
        <v>6.0000000000000001E-3</v>
      </c>
      <c r="AS172" s="3" t="s">
        <v>125</v>
      </c>
      <c r="AT172" s="3">
        <v>0.71</v>
      </c>
      <c r="AU172" s="7">
        <v>1181.9099120000001</v>
      </c>
      <c r="AV172" s="3">
        <v>1E-3</v>
      </c>
      <c r="AW172" s="3">
        <f t="shared" si="18"/>
        <v>0.505</v>
      </c>
      <c r="AX172" s="5"/>
      <c r="AY172" s="5"/>
      <c r="AZ172" s="5"/>
      <c r="BA172" s="5"/>
      <c r="BB172" s="1"/>
      <c r="BC172" s="3" t="s">
        <v>125</v>
      </c>
      <c r="BD172" s="3">
        <v>0.9</v>
      </c>
      <c r="BE172" s="3">
        <v>0.5</v>
      </c>
      <c r="BF172" s="3">
        <v>0.6</v>
      </c>
      <c r="BG172" s="3">
        <v>0.3</v>
      </c>
      <c r="BH172" s="6">
        <v>1035.6282960000001</v>
      </c>
      <c r="BI172" s="3">
        <v>5.0000000000000001E-3</v>
      </c>
      <c r="BK172" s="3" t="s">
        <v>125</v>
      </c>
      <c r="BL172" s="3">
        <v>0.55000000000000004</v>
      </c>
      <c r="BM172" s="7">
        <v>1125.5775149999999</v>
      </c>
      <c r="BN172" s="3">
        <v>1E-3</v>
      </c>
      <c r="BO172" s="3">
        <f t="shared" si="19"/>
        <v>0.42500000000000004</v>
      </c>
    </row>
    <row r="173" spans="1:67" x14ac:dyDescent="0.3">
      <c r="A173" s="3" t="s">
        <v>126</v>
      </c>
      <c r="B173" s="3">
        <v>0.9</v>
      </c>
      <c r="C173" s="3">
        <v>0.5</v>
      </c>
      <c r="D173" s="3">
        <v>0.6</v>
      </c>
      <c r="E173" s="3">
        <v>0.3</v>
      </c>
      <c r="F173" s="6">
        <v>613.02551300000005</v>
      </c>
      <c r="G173" s="3">
        <v>1E-3</v>
      </c>
      <c r="I173" s="3" t="s">
        <v>126</v>
      </c>
      <c r="J173" s="3">
        <v>0.89</v>
      </c>
      <c r="K173" s="7">
        <v>704.14685099999997</v>
      </c>
      <c r="L173" s="3">
        <v>0</v>
      </c>
      <c r="M173" s="3">
        <f t="shared" si="16"/>
        <v>0.59499999999999997</v>
      </c>
      <c r="N173" s="5"/>
      <c r="O173" s="5"/>
      <c r="P173" s="5"/>
      <c r="Q173" s="5"/>
      <c r="R173" s="1"/>
      <c r="S173" s="3" t="s">
        <v>126</v>
      </c>
      <c r="T173" s="3">
        <v>0.9</v>
      </c>
      <c r="U173" s="3">
        <v>0.5</v>
      </c>
      <c r="V173" s="3">
        <v>0.6</v>
      </c>
      <c r="W173" s="3">
        <v>0.3</v>
      </c>
      <c r="X173" s="6">
        <v>602.16906700000004</v>
      </c>
      <c r="Y173" s="3">
        <v>1E-3</v>
      </c>
      <c r="AA173" s="3" t="s">
        <v>126</v>
      </c>
      <c r="AB173" s="3">
        <v>0.72</v>
      </c>
      <c r="AC173" s="7">
        <v>686.21368399999994</v>
      </c>
      <c r="AD173" s="3">
        <v>0</v>
      </c>
      <c r="AE173" s="3">
        <f t="shared" si="17"/>
        <v>0.51</v>
      </c>
      <c r="AF173" s="5"/>
      <c r="AG173" s="5"/>
      <c r="AH173" s="5"/>
      <c r="AI173" s="5"/>
      <c r="AJ173" s="1"/>
      <c r="AK173" s="3" t="s">
        <v>127</v>
      </c>
      <c r="AL173" s="3">
        <v>0.9</v>
      </c>
      <c r="AM173" s="3">
        <v>0.5</v>
      </c>
      <c r="AN173" s="3">
        <v>0.6</v>
      </c>
      <c r="AO173" s="3">
        <v>0.3</v>
      </c>
      <c r="AP173" s="6">
        <v>1024.533203</v>
      </c>
      <c r="AQ173" s="3">
        <v>6.0000000000000001E-3</v>
      </c>
      <c r="AS173" s="3" t="s">
        <v>127</v>
      </c>
      <c r="AT173" s="3">
        <v>0.67</v>
      </c>
      <c r="AU173" s="7">
        <v>1237.369995</v>
      </c>
      <c r="AV173" s="3">
        <v>1E-3</v>
      </c>
      <c r="AW173" s="3">
        <f t="shared" si="18"/>
        <v>0.48499999999999999</v>
      </c>
      <c r="AX173" s="5"/>
      <c r="AY173" s="5"/>
      <c r="AZ173" s="5"/>
      <c r="BA173" s="5"/>
      <c r="BB173" s="1"/>
      <c r="BC173" s="3" t="s">
        <v>127</v>
      </c>
      <c r="BD173" s="3">
        <v>0.9</v>
      </c>
      <c r="BE173" s="3">
        <v>0.5</v>
      </c>
      <c r="BF173" s="3">
        <v>0.6</v>
      </c>
      <c r="BG173" s="3">
        <v>0.3</v>
      </c>
      <c r="BH173" s="6">
        <v>1028.378052</v>
      </c>
      <c r="BI173" s="3">
        <v>6.0000000000000001E-3</v>
      </c>
      <c r="BK173" s="3" t="s">
        <v>127</v>
      </c>
      <c r="BL173" s="3">
        <v>0.67</v>
      </c>
      <c r="BM173" s="7">
        <v>1211.2216800000001</v>
      </c>
      <c r="BN173" s="3">
        <v>1E-3</v>
      </c>
      <c r="BO173" s="3">
        <f t="shared" si="19"/>
        <v>0.48499999999999999</v>
      </c>
    </row>
    <row r="174" spans="1:67" x14ac:dyDescent="0.3">
      <c r="A174" s="3" t="s">
        <v>128</v>
      </c>
      <c r="B174" s="3">
        <v>0.9</v>
      </c>
      <c r="C174" s="3">
        <v>0.5</v>
      </c>
      <c r="D174" s="3">
        <v>0.6</v>
      </c>
      <c r="E174" s="3">
        <v>0.3</v>
      </c>
      <c r="F174" s="6">
        <v>584.61010699999997</v>
      </c>
      <c r="G174" s="3">
        <v>1E-3</v>
      </c>
      <c r="I174" s="3" t="s">
        <v>128</v>
      </c>
      <c r="J174" s="3">
        <v>0.09</v>
      </c>
      <c r="K174" s="7">
        <v>586.34448199999997</v>
      </c>
      <c r="L174" s="3">
        <v>0</v>
      </c>
      <c r="M174" s="3">
        <f t="shared" si="16"/>
        <v>0.19500000000000001</v>
      </c>
      <c r="N174" s="5"/>
      <c r="O174" s="5"/>
      <c r="P174" s="5"/>
      <c r="Q174" s="5"/>
      <c r="R174" s="1"/>
      <c r="S174" s="3" t="s">
        <v>128</v>
      </c>
      <c r="T174" s="3">
        <v>0.9</v>
      </c>
      <c r="U174" s="3">
        <v>0.5</v>
      </c>
      <c r="V174" s="3">
        <v>0.6</v>
      </c>
      <c r="W174" s="3">
        <v>0.3</v>
      </c>
      <c r="X174" s="7">
        <v>581.58160399999997</v>
      </c>
      <c r="Y174" s="3">
        <v>1E-3</v>
      </c>
      <c r="AA174" s="3" t="s">
        <v>128</v>
      </c>
      <c r="AB174" s="3">
        <v>0.22</v>
      </c>
      <c r="AC174" s="6">
        <v>579.29797399999995</v>
      </c>
      <c r="AD174" s="3">
        <v>0</v>
      </c>
      <c r="AE174" s="3">
        <f t="shared" si="17"/>
        <v>0.26</v>
      </c>
      <c r="AF174" s="5"/>
      <c r="AG174" s="5"/>
      <c r="AH174" s="5"/>
      <c r="AI174" s="5"/>
      <c r="AJ174" s="1"/>
      <c r="AK174" s="3" t="s">
        <v>129</v>
      </c>
      <c r="AL174" s="3">
        <v>0.9</v>
      </c>
      <c r="AM174" s="3">
        <v>0.5</v>
      </c>
      <c r="AN174" s="3">
        <v>0.6</v>
      </c>
      <c r="AO174" s="3">
        <v>0.3</v>
      </c>
      <c r="AP174" s="7">
        <v>999.51074200000005</v>
      </c>
      <c r="AQ174" s="3">
        <v>6.0000000000000001E-3</v>
      </c>
      <c r="AS174" s="3" t="s">
        <v>129</v>
      </c>
      <c r="AT174" s="3">
        <v>0.13</v>
      </c>
      <c r="AU174" s="6">
        <v>892.23498500000005</v>
      </c>
      <c r="AV174" s="3">
        <v>1E-3</v>
      </c>
      <c r="AW174" s="3">
        <f t="shared" si="18"/>
        <v>0.215</v>
      </c>
      <c r="AX174" s="5"/>
      <c r="AY174" s="5"/>
      <c r="AZ174" s="5"/>
      <c r="BA174" s="5"/>
      <c r="BB174" s="1"/>
      <c r="BC174" s="3" t="s">
        <v>129</v>
      </c>
      <c r="BD174" s="3">
        <v>0.9</v>
      </c>
      <c r="BE174" s="3">
        <v>0.5</v>
      </c>
      <c r="BF174" s="3">
        <v>0.6</v>
      </c>
      <c r="BG174" s="3">
        <v>0.3</v>
      </c>
      <c r="BH174" s="7">
        <v>984.82006799999999</v>
      </c>
      <c r="BI174" s="3">
        <v>5.0000000000000001E-3</v>
      </c>
      <c r="BK174" s="3" t="s">
        <v>129</v>
      </c>
      <c r="BL174" s="3">
        <v>0.24</v>
      </c>
      <c r="BM174" s="6">
        <v>940.29504399999996</v>
      </c>
      <c r="BN174" s="3">
        <v>1E-3</v>
      </c>
      <c r="BO174" s="3">
        <f t="shared" si="19"/>
        <v>0.27</v>
      </c>
    </row>
    <row r="175" spans="1:67" x14ac:dyDescent="0.3">
      <c r="A175" s="3" t="s">
        <v>130</v>
      </c>
      <c r="B175" s="3">
        <v>0.9</v>
      </c>
      <c r="C175" s="3">
        <v>0.5</v>
      </c>
      <c r="D175" s="3">
        <v>0.6</v>
      </c>
      <c r="E175" s="3">
        <v>0.3</v>
      </c>
      <c r="F175" s="7">
        <v>632.51995799999997</v>
      </c>
      <c r="G175" s="3">
        <v>1E-3</v>
      </c>
      <c r="I175" s="3" t="s">
        <v>130</v>
      </c>
      <c r="J175" s="3">
        <v>0.32</v>
      </c>
      <c r="K175" s="6">
        <v>616.52435300000002</v>
      </c>
      <c r="L175" s="3">
        <v>0</v>
      </c>
      <c r="M175" s="3">
        <f t="shared" si="16"/>
        <v>0.31</v>
      </c>
      <c r="N175" s="5"/>
      <c r="O175" s="5"/>
      <c r="P175" s="5"/>
      <c r="Q175" s="5"/>
      <c r="R175" s="1"/>
      <c r="S175" s="3" t="s">
        <v>130</v>
      </c>
      <c r="T175" s="3">
        <v>0.9</v>
      </c>
      <c r="U175" s="3">
        <v>0.5</v>
      </c>
      <c r="V175" s="3">
        <v>0.6</v>
      </c>
      <c r="W175" s="3">
        <v>0.3</v>
      </c>
      <c r="X175" s="6">
        <v>624.111267</v>
      </c>
      <c r="Y175" s="3">
        <v>1E-3</v>
      </c>
      <c r="AA175" s="3" t="s">
        <v>130</v>
      </c>
      <c r="AB175" s="3">
        <v>0</v>
      </c>
      <c r="AC175" s="7">
        <v>685.92883300000005</v>
      </c>
      <c r="AD175" s="3">
        <v>0</v>
      </c>
      <c r="AE175" s="3">
        <f t="shared" si="17"/>
        <v>0.15</v>
      </c>
      <c r="AF175" s="5"/>
      <c r="AG175" s="5"/>
      <c r="AH175" s="5"/>
      <c r="AI175" s="5"/>
      <c r="AJ175" s="1"/>
      <c r="AK175" s="3" t="s">
        <v>131</v>
      </c>
      <c r="AL175" s="3">
        <v>0.9</v>
      </c>
      <c r="AM175" s="3">
        <v>0.5</v>
      </c>
      <c r="AN175" s="3">
        <v>0.6</v>
      </c>
      <c r="AO175" s="3">
        <v>0.3</v>
      </c>
      <c r="AP175" s="6">
        <v>1012.640808</v>
      </c>
      <c r="AQ175" s="3">
        <v>6.0000000000000001E-3</v>
      </c>
      <c r="AS175" s="3" t="s">
        <v>131</v>
      </c>
      <c r="AT175" s="3">
        <v>0.51</v>
      </c>
      <c r="AU175" s="7">
        <v>1133.6293949999999</v>
      </c>
      <c r="AV175" s="3">
        <v>1E-3</v>
      </c>
      <c r="AW175" s="3">
        <f t="shared" si="18"/>
        <v>0.40500000000000003</v>
      </c>
      <c r="AX175" s="5"/>
      <c r="AY175" s="5"/>
      <c r="AZ175" s="5"/>
      <c r="BA175" s="5"/>
      <c r="BB175" s="1"/>
      <c r="BC175" s="3" t="s">
        <v>131</v>
      </c>
      <c r="BD175" s="3">
        <v>0.9</v>
      </c>
      <c r="BE175" s="3">
        <v>0.5</v>
      </c>
      <c r="BF175" s="3">
        <v>0.6</v>
      </c>
      <c r="BG175" s="3">
        <v>0.3</v>
      </c>
      <c r="BH175" s="6">
        <v>1011.275879</v>
      </c>
      <c r="BI175" s="3">
        <v>6.0000000000000001E-3</v>
      </c>
      <c r="BK175" s="3" t="s">
        <v>131</v>
      </c>
      <c r="BL175" s="3">
        <v>0.92</v>
      </c>
      <c r="BM175" s="7">
        <v>1343.4017329999999</v>
      </c>
      <c r="BN175" s="3">
        <v>1E-3</v>
      </c>
      <c r="BO175" s="3">
        <f t="shared" si="19"/>
        <v>0.61</v>
      </c>
    </row>
    <row r="176" spans="1:67" x14ac:dyDescent="0.3">
      <c r="A176" s="3" t="s">
        <v>132</v>
      </c>
      <c r="B176" s="3">
        <v>0.9</v>
      </c>
      <c r="C176" s="3">
        <v>0.5</v>
      </c>
      <c r="D176" s="3">
        <v>0.6</v>
      </c>
      <c r="E176" s="3">
        <v>0.3</v>
      </c>
      <c r="F176" s="6">
        <v>539.13708499999996</v>
      </c>
      <c r="G176" s="3">
        <v>1E-3</v>
      </c>
      <c r="I176" s="3" t="s">
        <v>132</v>
      </c>
      <c r="J176" s="3">
        <v>0.34</v>
      </c>
      <c r="K176" s="7">
        <v>563.02667199999996</v>
      </c>
      <c r="L176" s="3">
        <v>1E-3</v>
      </c>
      <c r="M176" s="3">
        <f t="shared" si="16"/>
        <v>0.32</v>
      </c>
      <c r="N176" s="5"/>
      <c r="O176" s="5"/>
      <c r="P176" s="5"/>
      <c r="Q176" s="5"/>
      <c r="R176" s="1"/>
      <c r="S176" s="3" t="s">
        <v>132</v>
      </c>
      <c r="T176" s="3">
        <v>0.9</v>
      </c>
      <c r="U176" s="3">
        <v>0.5</v>
      </c>
      <c r="V176" s="3">
        <v>0.6</v>
      </c>
      <c r="W176" s="3">
        <v>0.3</v>
      </c>
      <c r="X176" s="7">
        <v>542.95752000000005</v>
      </c>
      <c r="Y176" s="3">
        <v>2E-3</v>
      </c>
      <c r="AA176" s="3" t="s">
        <v>132</v>
      </c>
      <c r="AB176" s="3">
        <v>0.19</v>
      </c>
      <c r="AC176" s="6">
        <v>522.82959000000005</v>
      </c>
      <c r="AD176" s="3">
        <v>0</v>
      </c>
      <c r="AE176" s="3">
        <f t="shared" si="17"/>
        <v>0.245</v>
      </c>
      <c r="AF176" s="5"/>
      <c r="AG176" s="5"/>
      <c r="AH176" s="5"/>
      <c r="AI176" s="5"/>
      <c r="AJ176" s="1"/>
      <c r="AK176" s="3" t="s">
        <v>133</v>
      </c>
      <c r="AL176" s="3">
        <v>0.9</v>
      </c>
      <c r="AM176" s="3">
        <v>0.5</v>
      </c>
      <c r="AN176" s="3">
        <v>0.6</v>
      </c>
      <c r="AO176" s="3">
        <v>0.3</v>
      </c>
      <c r="AP176" s="6">
        <v>1048.7595209999999</v>
      </c>
      <c r="AQ176" s="3">
        <v>6.0000000000000001E-3</v>
      </c>
      <c r="AS176" s="3" t="s">
        <v>133</v>
      </c>
      <c r="AT176" s="3">
        <v>0.41</v>
      </c>
      <c r="AU176" s="7">
        <v>1118.836914</v>
      </c>
      <c r="AV176" s="3">
        <v>1E-3</v>
      </c>
      <c r="AW176" s="3">
        <f t="shared" si="18"/>
        <v>0.35499999999999998</v>
      </c>
      <c r="AX176" s="5"/>
      <c r="AY176" s="5"/>
      <c r="AZ176" s="5"/>
      <c r="BA176" s="5"/>
      <c r="BB176" s="1"/>
      <c r="BC176" s="3" t="s">
        <v>133</v>
      </c>
      <c r="BD176" s="3">
        <v>0.9</v>
      </c>
      <c r="BE176" s="3">
        <v>0.5</v>
      </c>
      <c r="BF176" s="3">
        <v>0.6</v>
      </c>
      <c r="BG176" s="3">
        <v>0.3</v>
      </c>
      <c r="BH176" s="6">
        <v>1039.1492920000001</v>
      </c>
      <c r="BI176" s="3">
        <v>6.0000000000000001E-3</v>
      </c>
      <c r="BK176" s="3" t="s">
        <v>133</v>
      </c>
      <c r="BL176" s="3">
        <v>0.3</v>
      </c>
      <c r="BM176" s="7">
        <v>1051.1264650000001</v>
      </c>
      <c r="BN176" s="3">
        <v>1E-3</v>
      </c>
      <c r="BO176" s="3">
        <f t="shared" si="19"/>
        <v>0.3</v>
      </c>
    </row>
    <row r="177" spans="1:71" x14ac:dyDescent="0.3">
      <c r="A177" s="9" t="s">
        <v>316</v>
      </c>
      <c r="E177" s="9">
        <f>AVERAGE(E147:E176)</f>
        <v>0.3</v>
      </c>
      <c r="I177" s="9" t="s">
        <v>316</v>
      </c>
      <c r="J177" s="9">
        <f>AVERAGE(J147:J176)</f>
        <v>0.4313333333333334</v>
      </c>
      <c r="M177" s="5"/>
      <c r="N177" s="5"/>
      <c r="O177" s="5"/>
      <c r="P177" s="5"/>
      <c r="Q177" s="5"/>
      <c r="R177" s="1"/>
      <c r="S177" s="9" t="s">
        <v>316</v>
      </c>
      <c r="W177" s="9">
        <f>AVERAGE(W147:W176)</f>
        <v>0.3</v>
      </c>
      <c r="AA177" s="9" t="s">
        <v>316</v>
      </c>
      <c r="AB177" s="9">
        <f>AVERAGE(AB147:AB176)</f>
        <v>0.37066666666666664</v>
      </c>
      <c r="AE177" s="5"/>
      <c r="AF177" s="5"/>
      <c r="AG177" s="5"/>
      <c r="AH177" s="5"/>
      <c r="AI177" s="5"/>
      <c r="AJ177" s="1"/>
      <c r="AK177" s="9" t="s">
        <v>316</v>
      </c>
      <c r="AO177" s="9">
        <f>AVERAGE(AO147:AO176)</f>
        <v>0.3</v>
      </c>
      <c r="AS177" s="9" t="s">
        <v>316</v>
      </c>
      <c r="AT177" s="9">
        <f>AVERAGE(AT147:AT176)</f>
        <v>0.48000000000000004</v>
      </c>
      <c r="AW177" s="5"/>
      <c r="AX177" s="5"/>
      <c r="AY177" s="5"/>
      <c r="AZ177" s="5"/>
      <c r="BA177" s="5"/>
      <c r="BB177" s="1"/>
      <c r="BC177" s="9" t="s">
        <v>316</v>
      </c>
      <c r="BG177" s="9">
        <f>AVERAGE(BG147:BG176)</f>
        <v>0.3</v>
      </c>
      <c r="BK177" s="9" t="s">
        <v>316</v>
      </c>
      <c r="BL177" s="9">
        <f>AVERAGE(BL147:BL176)</f>
        <v>0.45</v>
      </c>
      <c r="BO177" s="5"/>
    </row>
    <row r="178" spans="1:71" x14ac:dyDescent="0.3">
      <c r="M178" s="5"/>
      <c r="N178" s="5"/>
      <c r="O178" s="5"/>
      <c r="P178" s="5"/>
      <c r="Q178" s="5"/>
      <c r="R178" s="1"/>
      <c r="AE178" s="5"/>
      <c r="AF178" s="5"/>
      <c r="AG178" s="5"/>
      <c r="AH178" s="5"/>
      <c r="AI178" s="5"/>
      <c r="AJ178" s="1"/>
      <c r="AW178" s="5"/>
      <c r="AX178" s="5"/>
      <c r="AY178" s="5"/>
      <c r="AZ178" s="5"/>
      <c r="BA178" s="5"/>
      <c r="BB178" s="1"/>
      <c r="BO178" s="5"/>
    </row>
    <row r="179" spans="1:71" x14ac:dyDescent="0.3">
      <c r="M179" s="5"/>
      <c r="N179" s="5"/>
      <c r="O179" s="5"/>
      <c r="P179" s="5"/>
      <c r="Q179" s="5"/>
      <c r="R179" s="1"/>
      <c r="AE179" s="5"/>
      <c r="AF179" s="5"/>
      <c r="AG179" s="5"/>
      <c r="AH179" s="5"/>
      <c r="AI179" s="5"/>
      <c r="AJ179" s="1"/>
      <c r="AW179" s="5"/>
      <c r="AX179" s="5"/>
      <c r="AY179" s="5"/>
      <c r="AZ179" s="5"/>
      <c r="BA179" s="5"/>
      <c r="BB179" s="1"/>
      <c r="BO179" s="5"/>
    </row>
    <row r="180" spans="1:71" x14ac:dyDescent="0.3">
      <c r="A180" s="19" t="s">
        <v>314</v>
      </c>
      <c r="B180" s="19"/>
      <c r="C180" s="19"/>
      <c r="D180" s="19"/>
      <c r="E180" s="19"/>
      <c r="F180" s="19"/>
      <c r="G180" s="19"/>
      <c r="I180" s="19" t="s">
        <v>315</v>
      </c>
      <c r="J180" s="19"/>
      <c r="K180" s="19"/>
      <c r="L180" s="19"/>
      <c r="M180" s="19"/>
      <c r="N180" s="11"/>
      <c r="O180" s="11"/>
      <c r="P180" s="11"/>
      <c r="Q180" s="11"/>
      <c r="R180" s="1"/>
      <c r="S180" s="19" t="s">
        <v>314</v>
      </c>
      <c r="T180" s="19"/>
      <c r="U180" s="19"/>
      <c r="V180" s="19"/>
      <c r="W180" s="19"/>
      <c r="X180" s="19"/>
      <c r="Y180" s="19"/>
      <c r="AA180" s="19" t="s">
        <v>315</v>
      </c>
      <c r="AB180" s="19"/>
      <c r="AC180" s="19"/>
      <c r="AD180" s="19"/>
      <c r="AE180" s="19"/>
      <c r="AF180" s="11"/>
      <c r="AG180" s="11"/>
      <c r="AH180" s="11"/>
      <c r="AI180" s="11"/>
      <c r="AJ180" s="1"/>
      <c r="AK180" s="19" t="s">
        <v>314</v>
      </c>
      <c r="AL180" s="19"/>
      <c r="AM180" s="19"/>
      <c r="AN180" s="19"/>
      <c r="AO180" s="19"/>
      <c r="AP180" s="19"/>
      <c r="AQ180" s="19"/>
      <c r="AS180" s="19" t="s">
        <v>315</v>
      </c>
      <c r="AT180" s="19"/>
      <c r="AU180" s="19"/>
      <c r="AV180" s="19"/>
      <c r="AW180" s="19"/>
      <c r="AX180" s="11"/>
      <c r="AY180" s="11"/>
      <c r="AZ180" s="11"/>
      <c r="BA180" s="11"/>
      <c r="BB180" s="1"/>
      <c r="BC180" s="19" t="s">
        <v>314</v>
      </c>
      <c r="BD180" s="19"/>
      <c r="BE180" s="19"/>
      <c r="BF180" s="19"/>
      <c r="BG180" s="19"/>
      <c r="BH180" s="19"/>
      <c r="BI180" s="19"/>
      <c r="BK180" s="19" t="s">
        <v>315</v>
      </c>
      <c r="BL180" s="19"/>
      <c r="BM180" s="19"/>
      <c r="BN180" s="19"/>
      <c r="BO180" s="19"/>
    </row>
    <row r="181" spans="1:71" x14ac:dyDescent="0.3">
      <c r="A181" s="20" t="s">
        <v>72</v>
      </c>
      <c r="B181" s="21"/>
      <c r="C181" s="21"/>
      <c r="D181" s="21"/>
      <c r="E181" s="21"/>
      <c r="F181" s="21"/>
      <c r="G181" s="22"/>
      <c r="I181" s="20" t="s">
        <v>72</v>
      </c>
      <c r="J181" s="21"/>
      <c r="K181" s="21"/>
      <c r="L181" s="21"/>
      <c r="M181" s="22"/>
      <c r="N181" s="11"/>
      <c r="O181" s="11"/>
      <c r="P181" s="11"/>
      <c r="Q181" s="11"/>
      <c r="R181" s="1"/>
      <c r="S181" s="3" t="s">
        <v>73</v>
      </c>
      <c r="T181" s="3"/>
      <c r="U181" s="3"/>
      <c r="V181" s="3"/>
      <c r="W181" s="3"/>
      <c r="X181" s="3"/>
      <c r="Y181" s="3"/>
      <c r="AA181" s="3" t="s">
        <v>73</v>
      </c>
      <c r="AB181" s="3"/>
      <c r="AC181" s="3"/>
      <c r="AD181" s="3"/>
      <c r="AE181" s="3"/>
      <c r="AF181" s="5"/>
      <c r="AG181" s="5"/>
      <c r="AH181" s="5"/>
      <c r="AI181" s="5"/>
      <c r="AJ181" s="1"/>
      <c r="AK181" s="3" t="s">
        <v>72</v>
      </c>
      <c r="AL181" s="3"/>
      <c r="AM181" s="3"/>
      <c r="AN181" s="3"/>
      <c r="AO181" s="3"/>
      <c r="AP181" s="3"/>
      <c r="AQ181" s="3"/>
      <c r="AS181" s="3" t="s">
        <v>72</v>
      </c>
      <c r="AT181" s="3"/>
      <c r="AU181" s="3"/>
      <c r="AV181" s="3"/>
      <c r="AW181" s="4"/>
      <c r="AX181" s="12"/>
      <c r="AY181" s="12"/>
      <c r="AZ181" s="12"/>
      <c r="BA181" s="12"/>
      <c r="BB181" s="1"/>
      <c r="BC181" s="3" t="s">
        <v>73</v>
      </c>
      <c r="BD181" s="3"/>
      <c r="BE181" s="3"/>
      <c r="BF181" s="3"/>
      <c r="BG181" s="3"/>
      <c r="BH181" s="3"/>
      <c r="BI181" s="3"/>
      <c r="BK181" s="3" t="s">
        <v>73</v>
      </c>
      <c r="BL181" s="3"/>
      <c r="BM181" s="3"/>
      <c r="BN181" s="3"/>
      <c r="BO181" s="3"/>
    </row>
    <row r="182" spans="1:71" x14ac:dyDescent="0.3">
      <c r="A182" s="3" t="s">
        <v>2</v>
      </c>
      <c r="B182" s="3" t="s">
        <v>3</v>
      </c>
      <c r="C182" s="3" t="s">
        <v>4</v>
      </c>
      <c r="D182" s="3" t="s">
        <v>5</v>
      </c>
      <c r="E182" s="3" t="s">
        <v>6</v>
      </c>
      <c r="F182" s="3" t="s">
        <v>7</v>
      </c>
      <c r="G182" s="3" t="s">
        <v>8</v>
      </c>
      <c r="I182" s="3" t="s">
        <v>2</v>
      </c>
      <c r="J182" s="3" t="s">
        <v>6</v>
      </c>
      <c r="K182" s="3" t="s">
        <v>7</v>
      </c>
      <c r="L182" s="3" t="s">
        <v>8</v>
      </c>
      <c r="M182" s="3" t="s">
        <v>9</v>
      </c>
      <c r="N182" s="3" t="s">
        <v>322</v>
      </c>
      <c r="O182" s="3" t="s">
        <v>323</v>
      </c>
      <c r="P182" s="3" t="s">
        <v>322</v>
      </c>
      <c r="Q182" s="3" t="s">
        <v>323</v>
      </c>
      <c r="R182" s="1"/>
      <c r="S182" s="3" t="s">
        <v>2</v>
      </c>
      <c r="T182" s="3" t="s">
        <v>3</v>
      </c>
      <c r="U182" s="3" t="s">
        <v>4</v>
      </c>
      <c r="V182" s="3" t="s">
        <v>5</v>
      </c>
      <c r="W182" s="3" t="s">
        <v>6</v>
      </c>
      <c r="X182" s="3" t="s">
        <v>7</v>
      </c>
      <c r="Y182" s="3" t="s">
        <v>8</v>
      </c>
      <c r="AA182" s="3" t="s">
        <v>2</v>
      </c>
      <c r="AB182" s="3" t="s">
        <v>6</v>
      </c>
      <c r="AC182" s="3" t="s">
        <v>7</v>
      </c>
      <c r="AD182" s="3" t="s">
        <v>8</v>
      </c>
      <c r="AE182" s="3" t="s">
        <v>9</v>
      </c>
      <c r="AF182" s="3" t="s">
        <v>322</v>
      </c>
      <c r="AG182" s="3" t="s">
        <v>323</v>
      </c>
      <c r="AH182" s="3" t="s">
        <v>322</v>
      </c>
      <c r="AI182" s="3" t="s">
        <v>323</v>
      </c>
      <c r="AJ182" s="1"/>
      <c r="AK182" s="3" t="s">
        <v>2</v>
      </c>
      <c r="AL182" s="3" t="s">
        <v>3</v>
      </c>
      <c r="AM182" s="3" t="s">
        <v>4</v>
      </c>
      <c r="AN182" s="3" t="s">
        <v>5</v>
      </c>
      <c r="AO182" s="3" t="s">
        <v>6</v>
      </c>
      <c r="AP182" s="3" t="s">
        <v>7</v>
      </c>
      <c r="AQ182" s="3" t="s">
        <v>8</v>
      </c>
      <c r="AS182" s="3" t="s">
        <v>2</v>
      </c>
      <c r="AT182" s="3" t="s">
        <v>6</v>
      </c>
      <c r="AU182" s="3" t="s">
        <v>7</v>
      </c>
      <c r="AV182" s="3" t="s">
        <v>8</v>
      </c>
      <c r="AW182" s="3" t="s">
        <v>9</v>
      </c>
      <c r="AX182" s="3" t="s">
        <v>322</v>
      </c>
      <c r="AY182" s="3" t="s">
        <v>323</v>
      </c>
      <c r="AZ182" s="3" t="s">
        <v>322</v>
      </c>
      <c r="BA182" s="3" t="s">
        <v>323</v>
      </c>
      <c r="BB182" s="1"/>
      <c r="BC182" s="3" t="s">
        <v>2</v>
      </c>
      <c r="BD182" s="3" t="s">
        <v>3</v>
      </c>
      <c r="BE182" s="3" t="s">
        <v>4</v>
      </c>
      <c r="BF182" s="3" t="s">
        <v>5</v>
      </c>
      <c r="BG182" s="3" t="s">
        <v>6</v>
      </c>
      <c r="BH182" s="3" t="s">
        <v>7</v>
      </c>
      <c r="BI182" s="3" t="s">
        <v>8</v>
      </c>
      <c r="BK182" s="3" t="s">
        <v>2</v>
      </c>
      <c r="BL182" s="3" t="s">
        <v>6</v>
      </c>
      <c r="BM182" s="3" t="s">
        <v>7</v>
      </c>
      <c r="BN182" s="3" t="s">
        <v>8</v>
      </c>
      <c r="BO182" s="3" t="s">
        <v>9</v>
      </c>
      <c r="BP182" s="3" t="s">
        <v>322</v>
      </c>
      <c r="BQ182" s="3" t="s">
        <v>323</v>
      </c>
      <c r="BR182" s="3" t="s">
        <v>322</v>
      </c>
      <c r="BS182" s="3" t="s">
        <v>323</v>
      </c>
    </row>
    <row r="183" spans="1:71" x14ac:dyDescent="0.3">
      <c r="A183" s="3" t="s">
        <v>74</v>
      </c>
      <c r="B183" s="3">
        <v>0.9</v>
      </c>
      <c r="C183" s="3">
        <v>0.5</v>
      </c>
      <c r="D183" s="3">
        <v>0.6</v>
      </c>
      <c r="E183" s="3">
        <v>0.3</v>
      </c>
      <c r="F183" s="6">
        <v>401.67568999999997</v>
      </c>
      <c r="G183" s="3">
        <v>1E-3</v>
      </c>
      <c r="I183" s="3" t="s">
        <v>74</v>
      </c>
      <c r="J183" s="3">
        <v>0.01</v>
      </c>
      <c r="K183" s="7">
        <v>429.75</v>
      </c>
      <c r="L183" s="3">
        <v>0</v>
      </c>
      <c r="M183" s="3">
        <f t="shared" ref="M183:M212" si="20">AVERAGE(E183,J183)</f>
        <v>0.155</v>
      </c>
      <c r="N183" s="4" t="s">
        <v>320</v>
      </c>
      <c r="O183" s="4" t="s">
        <v>320</v>
      </c>
      <c r="P183" s="4" t="s">
        <v>321</v>
      </c>
      <c r="Q183" s="4" t="s">
        <v>321</v>
      </c>
      <c r="R183" s="1"/>
      <c r="S183" s="3" t="s">
        <v>74</v>
      </c>
      <c r="T183" s="3">
        <v>0.9</v>
      </c>
      <c r="U183" s="3">
        <v>0.5</v>
      </c>
      <c r="V183" s="3">
        <v>0.6</v>
      </c>
      <c r="W183" s="3">
        <v>0.3</v>
      </c>
      <c r="X183" s="6">
        <v>393.59326199999998</v>
      </c>
      <c r="Y183" s="3">
        <v>1E-3</v>
      </c>
      <c r="AA183" s="3" t="s">
        <v>74</v>
      </c>
      <c r="AB183" s="3">
        <v>0.01</v>
      </c>
      <c r="AC183" s="7">
        <v>414.27294899999998</v>
      </c>
      <c r="AD183" s="3">
        <v>0</v>
      </c>
      <c r="AE183" s="3">
        <f t="shared" ref="AE183:AE212" si="21">AVERAGE(W183,AB183)</f>
        <v>0.155</v>
      </c>
      <c r="AF183" s="4" t="s">
        <v>320</v>
      </c>
      <c r="AG183" s="4" t="s">
        <v>320</v>
      </c>
      <c r="AH183" s="4" t="s">
        <v>321</v>
      </c>
      <c r="AI183" s="4" t="s">
        <v>321</v>
      </c>
      <c r="AJ183" s="1"/>
      <c r="AK183" s="3" t="s">
        <v>75</v>
      </c>
      <c r="AL183" s="3">
        <v>0.9</v>
      </c>
      <c r="AM183" s="3">
        <v>0.5</v>
      </c>
      <c r="AN183" s="3">
        <v>0.6</v>
      </c>
      <c r="AO183" s="3">
        <v>0.3</v>
      </c>
      <c r="AP183" s="7">
        <v>730.92443800000001</v>
      </c>
      <c r="AQ183" s="3">
        <v>3.0000000000000001E-3</v>
      </c>
      <c r="AS183" s="3" t="s">
        <v>75</v>
      </c>
      <c r="AT183" s="3">
        <v>0.01</v>
      </c>
      <c r="AU183" s="6">
        <v>686.70733600000005</v>
      </c>
      <c r="AV183" s="3">
        <v>0</v>
      </c>
      <c r="AW183" s="3">
        <f t="shared" ref="AW183:AW212" si="22">AVERAGE(AO183,AT183)</f>
        <v>0.155</v>
      </c>
      <c r="AX183" s="4" t="s">
        <v>320</v>
      </c>
      <c r="AY183" s="4" t="s">
        <v>320</v>
      </c>
      <c r="AZ183" s="4" t="s">
        <v>321</v>
      </c>
      <c r="BA183" s="4" t="s">
        <v>321</v>
      </c>
      <c r="BB183" s="1"/>
      <c r="BC183" s="3" t="s">
        <v>75</v>
      </c>
      <c r="BD183" s="3">
        <v>0.9</v>
      </c>
      <c r="BE183" s="3">
        <v>0.5</v>
      </c>
      <c r="BF183" s="3">
        <v>0.6</v>
      </c>
      <c r="BG183" s="3">
        <v>0.3</v>
      </c>
      <c r="BH183" s="7">
        <v>714.30542000000003</v>
      </c>
      <c r="BI183" s="3">
        <v>5.0000000000000001E-3</v>
      </c>
      <c r="BK183" s="3" t="s">
        <v>75</v>
      </c>
      <c r="BL183" s="3">
        <v>0.01</v>
      </c>
      <c r="BM183" s="6">
        <v>672.91625999999997</v>
      </c>
      <c r="BN183" s="3">
        <v>0</v>
      </c>
      <c r="BO183" s="3">
        <f t="shared" ref="BO183:BO212" si="23">AVERAGE(BG183,BL183)</f>
        <v>0.155</v>
      </c>
      <c r="BP183" s="4" t="s">
        <v>320</v>
      </c>
      <c r="BQ183" s="4" t="s">
        <v>320</v>
      </c>
      <c r="BR183" s="4" t="s">
        <v>321</v>
      </c>
      <c r="BS183" s="4" t="s">
        <v>321</v>
      </c>
    </row>
    <row r="184" spans="1:71" x14ac:dyDescent="0.3">
      <c r="A184" s="3" t="s">
        <v>76</v>
      </c>
      <c r="B184" s="3">
        <v>0.9</v>
      </c>
      <c r="C184" s="3">
        <v>0.5</v>
      </c>
      <c r="D184" s="3">
        <v>0.6</v>
      </c>
      <c r="E184" s="3">
        <v>0.3</v>
      </c>
      <c r="F184" s="6">
        <v>441.18945300000001</v>
      </c>
      <c r="G184" s="3">
        <v>1E-3</v>
      </c>
      <c r="I184" s="3" t="s">
        <v>76</v>
      </c>
      <c r="J184" s="3">
        <v>0.46</v>
      </c>
      <c r="K184" s="7">
        <v>456.09082000000001</v>
      </c>
      <c r="L184" s="3">
        <v>0</v>
      </c>
      <c r="M184" s="3">
        <f t="shared" si="20"/>
        <v>0.38</v>
      </c>
      <c r="N184" s="3">
        <f>COUNT(F183:F185,F187:F188,F190:F192,F194,F196,F198:F208,F210:F211)</f>
        <v>23</v>
      </c>
      <c r="O184" s="3">
        <f>30-N184</f>
        <v>7</v>
      </c>
      <c r="P184" s="3">
        <f>COUNT(K186,K189,K191,K193,K195,K197,K209,K212)</f>
        <v>8</v>
      </c>
      <c r="Q184" s="3">
        <f>30-P184</f>
        <v>22</v>
      </c>
      <c r="R184" s="1"/>
      <c r="S184" s="3" t="s">
        <v>76</v>
      </c>
      <c r="T184" s="3">
        <v>0.9</v>
      </c>
      <c r="U184" s="3">
        <v>0.5</v>
      </c>
      <c r="V184" s="3">
        <v>0.6</v>
      </c>
      <c r="W184" s="3">
        <v>0.3</v>
      </c>
      <c r="X184" s="6">
        <v>418.120544</v>
      </c>
      <c r="Y184" s="3">
        <v>1E-3</v>
      </c>
      <c r="AA184" s="3" t="s">
        <v>76</v>
      </c>
      <c r="AB184" s="3">
        <v>0.56000000000000005</v>
      </c>
      <c r="AC184" s="7">
        <v>447.43893400000002</v>
      </c>
      <c r="AD184" s="3">
        <v>0</v>
      </c>
      <c r="AE184" s="3">
        <f t="shared" si="21"/>
        <v>0.43000000000000005</v>
      </c>
      <c r="AF184" s="3">
        <f>COUNT(X183:X187,X189:X190,X192:X198,X200:X206,X208:X210,X212)</f>
        <v>25</v>
      </c>
      <c r="AG184" s="3">
        <f>30-AF184</f>
        <v>5</v>
      </c>
      <c r="AH184" s="3">
        <f>COUNT(AC188,AC191,AC199,AC207,AC211)</f>
        <v>5</v>
      </c>
      <c r="AI184" s="3">
        <f>30-AH184</f>
        <v>25</v>
      </c>
      <c r="AJ184" s="1"/>
      <c r="AK184" s="3" t="s">
        <v>77</v>
      </c>
      <c r="AL184" s="3">
        <v>0.9</v>
      </c>
      <c r="AM184" s="3">
        <v>0.5</v>
      </c>
      <c r="AN184" s="3">
        <v>0.6</v>
      </c>
      <c r="AO184" s="3">
        <v>0.3</v>
      </c>
      <c r="AP184" s="6">
        <v>805.61724900000002</v>
      </c>
      <c r="AQ184" s="3">
        <v>4.0000000000000001E-3</v>
      </c>
      <c r="AS184" s="3" t="s">
        <v>77</v>
      </c>
      <c r="AT184" s="3">
        <v>0.3</v>
      </c>
      <c r="AU184" s="7">
        <v>815.51769999999999</v>
      </c>
      <c r="AV184" s="3">
        <v>0</v>
      </c>
      <c r="AW184" s="3">
        <f t="shared" si="22"/>
        <v>0.3</v>
      </c>
      <c r="AX184" s="3">
        <f>COUNT(AP184:AP186,AP189:AP190,AP192,AP194:AP198,AP200:AP212)</f>
        <v>24</v>
      </c>
      <c r="AY184" s="3">
        <f>30-AX184</f>
        <v>6</v>
      </c>
      <c r="AZ184" s="3">
        <f>COUNT(AU183,AU187:AU188,AU191,AU193,AU199)</f>
        <v>6</v>
      </c>
      <c r="BA184" s="3">
        <f>30-AZ184</f>
        <v>24</v>
      </c>
      <c r="BB184" s="1"/>
      <c r="BC184" s="3" t="s">
        <v>77</v>
      </c>
      <c r="BD184" s="3">
        <v>0.9</v>
      </c>
      <c r="BE184" s="3">
        <v>0.5</v>
      </c>
      <c r="BF184" s="3">
        <v>0.6</v>
      </c>
      <c r="BG184" s="3">
        <v>0.3</v>
      </c>
      <c r="BH184" s="6">
        <v>796.45288100000005</v>
      </c>
      <c r="BI184" s="3">
        <v>8.9999999999999993E-3</v>
      </c>
      <c r="BK184" s="3" t="s">
        <v>77</v>
      </c>
      <c r="BL184" s="3">
        <v>0.62</v>
      </c>
      <c r="BM184" s="7">
        <v>909.66320800000005</v>
      </c>
      <c r="BN184" s="3">
        <v>1E-3</v>
      </c>
      <c r="BO184" s="3">
        <f t="shared" si="23"/>
        <v>0.45999999999999996</v>
      </c>
      <c r="BP184" s="3">
        <f>COUNT(BH184:BH190,BH195:BH197,BH199:BH202,BH204,BH207:BH209,BH211:BH212)</f>
        <v>20</v>
      </c>
      <c r="BQ184" s="3">
        <f>30-BP184</f>
        <v>10</v>
      </c>
      <c r="BR184" s="3">
        <f>COUNT(BM183,BM191:BM194,BM198,BM203,BM205:BM206,BM210)</f>
        <v>10</v>
      </c>
      <c r="BS184" s="3">
        <f>30-BR184</f>
        <v>20</v>
      </c>
    </row>
    <row r="185" spans="1:71" x14ac:dyDescent="0.3">
      <c r="A185" s="3" t="s">
        <v>78</v>
      </c>
      <c r="B185" s="3">
        <v>0.9</v>
      </c>
      <c r="C185" s="3">
        <v>0.5</v>
      </c>
      <c r="D185" s="3">
        <v>0.6</v>
      </c>
      <c r="E185" s="3">
        <v>0.3</v>
      </c>
      <c r="F185" s="6">
        <v>429.31347699999998</v>
      </c>
      <c r="G185" s="3">
        <v>1E-3</v>
      </c>
      <c r="I185" s="3" t="s">
        <v>78</v>
      </c>
      <c r="J185" s="3">
        <v>0.05</v>
      </c>
      <c r="K185" s="7">
        <v>431.98919699999999</v>
      </c>
      <c r="L185" s="3">
        <v>0</v>
      </c>
      <c r="M185" s="3">
        <f t="shared" si="20"/>
        <v>0.17499999999999999</v>
      </c>
      <c r="N185" s="5"/>
      <c r="O185" s="5"/>
      <c r="P185" s="5"/>
      <c r="Q185" s="5"/>
      <c r="R185" s="1"/>
      <c r="S185" s="3" t="s">
        <v>78</v>
      </c>
      <c r="T185" s="3">
        <v>0.9</v>
      </c>
      <c r="U185" s="3">
        <v>0.5</v>
      </c>
      <c r="V185" s="3">
        <v>0.6</v>
      </c>
      <c r="W185" s="3">
        <v>0.3</v>
      </c>
      <c r="X185" s="6">
        <v>412.85815400000001</v>
      </c>
      <c r="Y185" s="3">
        <v>1E-3</v>
      </c>
      <c r="AA185" s="3" t="s">
        <v>78</v>
      </c>
      <c r="AB185" s="3">
        <v>0.6</v>
      </c>
      <c r="AC185" s="7">
        <v>433.86810300000002</v>
      </c>
      <c r="AD185" s="3">
        <v>1E-3</v>
      </c>
      <c r="AE185" s="3">
        <f t="shared" si="21"/>
        <v>0.44999999999999996</v>
      </c>
      <c r="AF185" s="5"/>
      <c r="AG185" s="5"/>
      <c r="AH185" s="5"/>
      <c r="AI185" s="5"/>
      <c r="AJ185" s="1"/>
      <c r="AK185" s="3" t="s">
        <v>79</v>
      </c>
      <c r="AL185" s="3">
        <v>0.9</v>
      </c>
      <c r="AM185" s="3">
        <v>0.5</v>
      </c>
      <c r="AN185" s="3">
        <v>0.6</v>
      </c>
      <c r="AO185" s="3">
        <v>0.3</v>
      </c>
      <c r="AP185" s="6">
        <v>761.51464799999997</v>
      </c>
      <c r="AQ185" s="3">
        <v>4.0000000000000001E-3</v>
      </c>
      <c r="AS185" s="3" t="s">
        <v>79</v>
      </c>
      <c r="AT185" s="3">
        <v>0.66</v>
      </c>
      <c r="AU185" s="7">
        <v>911.83300799999995</v>
      </c>
      <c r="AV185" s="3">
        <v>0</v>
      </c>
      <c r="AW185" s="3">
        <f t="shared" si="22"/>
        <v>0.48</v>
      </c>
      <c r="AX185" s="5"/>
      <c r="AY185" s="5"/>
      <c r="AZ185" s="5"/>
      <c r="BA185" s="5"/>
      <c r="BB185" s="1"/>
      <c r="BC185" s="3" t="s">
        <v>79</v>
      </c>
      <c r="BD185" s="3">
        <v>0.9</v>
      </c>
      <c r="BE185" s="3">
        <v>0.5</v>
      </c>
      <c r="BF185" s="3">
        <v>0.6</v>
      </c>
      <c r="BG185" s="3">
        <v>0.3</v>
      </c>
      <c r="BH185" s="6">
        <v>729.90734899999995</v>
      </c>
      <c r="BI185" s="3">
        <v>8.0000000000000002E-3</v>
      </c>
      <c r="BK185" s="3" t="s">
        <v>79</v>
      </c>
      <c r="BL185" s="3">
        <v>0.7</v>
      </c>
      <c r="BM185" s="7">
        <v>909.31231700000001</v>
      </c>
      <c r="BN185" s="3">
        <v>0</v>
      </c>
      <c r="BO185" s="3">
        <f t="shared" si="23"/>
        <v>0.5</v>
      </c>
    </row>
    <row r="186" spans="1:71" x14ac:dyDescent="0.3">
      <c r="A186" s="3" t="s">
        <v>80</v>
      </c>
      <c r="B186" s="3">
        <v>0.9</v>
      </c>
      <c r="C186" s="3">
        <v>0.5</v>
      </c>
      <c r="D186" s="3">
        <v>0.6</v>
      </c>
      <c r="E186" s="3">
        <v>0.3</v>
      </c>
      <c r="F186" s="7">
        <v>462.20266700000002</v>
      </c>
      <c r="G186" s="3">
        <v>1E-3</v>
      </c>
      <c r="I186" s="3" t="s">
        <v>80</v>
      </c>
      <c r="J186" s="3">
        <v>0.25</v>
      </c>
      <c r="K186" s="6">
        <v>456.50857500000001</v>
      </c>
      <c r="L186" s="3">
        <v>0</v>
      </c>
      <c r="M186" s="3">
        <f t="shared" si="20"/>
        <v>0.27500000000000002</v>
      </c>
      <c r="N186" s="5"/>
      <c r="O186" s="5"/>
      <c r="P186" s="5"/>
      <c r="Q186" s="5"/>
      <c r="R186" s="1"/>
      <c r="S186" s="3" t="s">
        <v>80</v>
      </c>
      <c r="T186" s="3">
        <v>0.9</v>
      </c>
      <c r="U186" s="3">
        <v>0.5</v>
      </c>
      <c r="V186" s="3">
        <v>0.6</v>
      </c>
      <c r="W186" s="3">
        <v>0.3</v>
      </c>
      <c r="X186" s="6">
        <v>435.63125600000001</v>
      </c>
      <c r="Y186" s="3">
        <v>1E-3</v>
      </c>
      <c r="AA186" s="3" t="s">
        <v>80</v>
      </c>
      <c r="AB186" s="3">
        <v>0.53</v>
      </c>
      <c r="AC186" s="7">
        <v>459.54565400000001</v>
      </c>
      <c r="AD186" s="3">
        <v>0</v>
      </c>
      <c r="AE186" s="3">
        <f t="shared" si="21"/>
        <v>0.41500000000000004</v>
      </c>
      <c r="AF186" s="5"/>
      <c r="AG186" s="5"/>
      <c r="AH186" s="5"/>
      <c r="AI186" s="5"/>
      <c r="AJ186" s="1"/>
      <c r="AK186" s="3" t="s">
        <v>81</v>
      </c>
      <c r="AL186" s="3">
        <v>0.9</v>
      </c>
      <c r="AM186" s="3">
        <v>0.5</v>
      </c>
      <c r="AN186" s="3">
        <v>0.6</v>
      </c>
      <c r="AO186" s="3">
        <v>0.3</v>
      </c>
      <c r="AP186" s="6">
        <v>735.40643299999999</v>
      </c>
      <c r="AQ186" s="3">
        <v>4.0000000000000001E-3</v>
      </c>
      <c r="AS186" s="3" t="s">
        <v>81</v>
      </c>
      <c r="AT186" s="3">
        <v>0.63</v>
      </c>
      <c r="AU186" s="7">
        <v>828.97009300000002</v>
      </c>
      <c r="AV186" s="3">
        <v>1E-3</v>
      </c>
      <c r="AW186" s="3">
        <f t="shared" si="22"/>
        <v>0.46499999999999997</v>
      </c>
      <c r="AX186" s="5"/>
      <c r="AY186" s="5"/>
      <c r="AZ186" s="5"/>
      <c r="BA186" s="5"/>
      <c r="BB186" s="1"/>
      <c r="BC186" s="3" t="s">
        <v>81</v>
      </c>
      <c r="BD186" s="3">
        <v>0.9</v>
      </c>
      <c r="BE186" s="3">
        <v>0.5</v>
      </c>
      <c r="BF186" s="3">
        <v>0.6</v>
      </c>
      <c r="BG186" s="3">
        <v>0.3</v>
      </c>
      <c r="BH186" s="6">
        <v>713.78222700000003</v>
      </c>
      <c r="BI186" s="3">
        <v>8.0000000000000002E-3</v>
      </c>
      <c r="BK186" s="3" t="s">
        <v>81</v>
      </c>
      <c r="BL186" s="3">
        <v>0.41</v>
      </c>
      <c r="BM186" s="7">
        <v>759.73419200000001</v>
      </c>
      <c r="BN186" s="3">
        <v>0</v>
      </c>
      <c r="BO186" s="3">
        <f t="shared" si="23"/>
        <v>0.35499999999999998</v>
      </c>
    </row>
    <row r="187" spans="1:71" x14ac:dyDescent="0.3">
      <c r="A187" s="3" t="s">
        <v>82</v>
      </c>
      <c r="B187" s="3">
        <v>0.9</v>
      </c>
      <c r="C187" s="3">
        <v>0.5</v>
      </c>
      <c r="D187" s="3">
        <v>0.6</v>
      </c>
      <c r="E187" s="3">
        <v>0.3</v>
      </c>
      <c r="F187" s="6">
        <v>425.22131300000001</v>
      </c>
      <c r="G187" s="3">
        <v>0</v>
      </c>
      <c r="I187" s="3" t="s">
        <v>82</v>
      </c>
      <c r="J187" s="3">
        <v>0.73</v>
      </c>
      <c r="K187" s="7">
        <v>475.568512</v>
      </c>
      <c r="L187" s="3">
        <v>0</v>
      </c>
      <c r="M187" s="3">
        <f t="shared" si="20"/>
        <v>0.51500000000000001</v>
      </c>
      <c r="N187" s="5"/>
      <c r="O187" s="5"/>
      <c r="P187" s="5"/>
      <c r="Q187" s="5"/>
      <c r="R187" s="1"/>
      <c r="S187" s="3" t="s">
        <v>82</v>
      </c>
      <c r="T187" s="3">
        <v>0.9</v>
      </c>
      <c r="U187" s="3">
        <v>0.5</v>
      </c>
      <c r="V187" s="3">
        <v>0.6</v>
      </c>
      <c r="W187" s="3">
        <v>0.3</v>
      </c>
      <c r="X187" s="6">
        <v>416.028076</v>
      </c>
      <c r="Y187" s="3">
        <v>1E-3</v>
      </c>
      <c r="AA187" s="3" t="s">
        <v>82</v>
      </c>
      <c r="AB187" s="3">
        <v>0.75</v>
      </c>
      <c r="AC187" s="7">
        <v>463.61734000000001</v>
      </c>
      <c r="AD187" s="3">
        <v>0</v>
      </c>
      <c r="AE187" s="3">
        <f t="shared" si="21"/>
        <v>0.52500000000000002</v>
      </c>
      <c r="AF187" s="5"/>
      <c r="AG187" s="5"/>
      <c r="AH187" s="5"/>
      <c r="AI187" s="5"/>
      <c r="AJ187" s="1"/>
      <c r="AK187" s="3" t="s">
        <v>83</v>
      </c>
      <c r="AL187" s="3">
        <v>0.9</v>
      </c>
      <c r="AM187" s="3">
        <v>0.5</v>
      </c>
      <c r="AN187" s="3">
        <v>0.6</v>
      </c>
      <c r="AO187" s="3">
        <v>0.3</v>
      </c>
      <c r="AP187" s="7">
        <v>758.09643600000004</v>
      </c>
      <c r="AQ187" s="3">
        <v>5.0000000000000001E-3</v>
      </c>
      <c r="AS187" s="3" t="s">
        <v>83</v>
      </c>
      <c r="AT187" s="3">
        <v>0.22</v>
      </c>
      <c r="AU187" s="6">
        <v>722.70153800000003</v>
      </c>
      <c r="AV187" s="3">
        <v>0</v>
      </c>
      <c r="AW187" s="3">
        <f t="shared" si="22"/>
        <v>0.26</v>
      </c>
      <c r="AX187" s="5"/>
      <c r="AY187" s="5"/>
      <c r="AZ187" s="5"/>
      <c r="BA187" s="5"/>
      <c r="BB187" s="1"/>
      <c r="BC187" s="3" t="s">
        <v>83</v>
      </c>
      <c r="BD187" s="3">
        <v>0.9</v>
      </c>
      <c r="BE187" s="3">
        <v>0.5</v>
      </c>
      <c r="BF187" s="3">
        <v>0.6</v>
      </c>
      <c r="BG187" s="3">
        <v>0.3</v>
      </c>
      <c r="BH187" s="6">
        <v>746.24322500000005</v>
      </c>
      <c r="BI187" s="3">
        <v>4.0000000000000001E-3</v>
      </c>
      <c r="BK187" s="3" t="s">
        <v>83</v>
      </c>
      <c r="BL187" s="3">
        <v>0.89</v>
      </c>
      <c r="BM187" s="7">
        <v>908.88549799999998</v>
      </c>
      <c r="BN187" s="3">
        <v>0</v>
      </c>
      <c r="BO187" s="3">
        <f t="shared" si="23"/>
        <v>0.59499999999999997</v>
      </c>
    </row>
    <row r="188" spans="1:71" x14ac:dyDescent="0.3">
      <c r="A188" s="3" t="s">
        <v>84</v>
      </c>
      <c r="B188" s="3">
        <v>0.9</v>
      </c>
      <c r="C188" s="3">
        <v>0.5</v>
      </c>
      <c r="D188" s="3">
        <v>0.6</v>
      </c>
      <c r="E188" s="3">
        <v>0.3</v>
      </c>
      <c r="F188" s="6">
        <v>540.70977800000003</v>
      </c>
      <c r="G188" s="3">
        <v>1E-3</v>
      </c>
      <c r="I188" s="3" t="s">
        <v>84</v>
      </c>
      <c r="J188" s="3">
        <v>0.88</v>
      </c>
      <c r="K188" s="7">
        <v>590.73889199999996</v>
      </c>
      <c r="L188" s="3">
        <v>0</v>
      </c>
      <c r="M188" s="3">
        <f t="shared" si="20"/>
        <v>0.59</v>
      </c>
      <c r="N188" s="5"/>
      <c r="O188" s="5"/>
      <c r="P188" s="5"/>
      <c r="Q188" s="5"/>
      <c r="R188" s="1"/>
      <c r="S188" s="3" t="s">
        <v>84</v>
      </c>
      <c r="T188" s="3">
        <v>0.9</v>
      </c>
      <c r="U188" s="3">
        <v>0.5</v>
      </c>
      <c r="V188" s="3">
        <v>0.6</v>
      </c>
      <c r="W188" s="3">
        <v>0.3</v>
      </c>
      <c r="X188" s="7">
        <v>525.18969700000002</v>
      </c>
      <c r="Y188" s="3">
        <v>1E-3</v>
      </c>
      <c r="AA188" s="3" t="s">
        <v>84</v>
      </c>
      <c r="AB188" s="3">
        <v>0.33</v>
      </c>
      <c r="AC188" s="6">
        <v>512.11029099999996</v>
      </c>
      <c r="AD188" s="3">
        <v>0</v>
      </c>
      <c r="AE188" s="3">
        <f t="shared" si="21"/>
        <v>0.315</v>
      </c>
      <c r="AF188" s="5"/>
      <c r="AG188" s="5"/>
      <c r="AH188" s="5"/>
      <c r="AI188" s="5"/>
      <c r="AJ188" s="1"/>
      <c r="AK188" s="3" t="s">
        <v>85</v>
      </c>
      <c r="AL188" s="3">
        <v>0.9</v>
      </c>
      <c r="AM188" s="3">
        <v>0.5</v>
      </c>
      <c r="AN188" s="3">
        <v>0.6</v>
      </c>
      <c r="AO188" s="3">
        <v>0.3</v>
      </c>
      <c r="AP188" s="7">
        <v>871.78558299999997</v>
      </c>
      <c r="AQ188" s="3">
        <v>1.9E-2</v>
      </c>
      <c r="AS188" s="3" t="s">
        <v>85</v>
      </c>
      <c r="AT188" s="3">
        <v>0.17</v>
      </c>
      <c r="AU188" s="6">
        <v>786.97778300000004</v>
      </c>
      <c r="AV188" s="3">
        <v>1E-3</v>
      </c>
      <c r="AW188" s="3">
        <f t="shared" si="22"/>
        <v>0.23499999999999999</v>
      </c>
      <c r="AX188" s="5"/>
      <c r="AY188" s="5"/>
      <c r="AZ188" s="5"/>
      <c r="BA188" s="5"/>
      <c r="BB188" s="1"/>
      <c r="BC188" s="3" t="s">
        <v>85</v>
      </c>
      <c r="BD188" s="3">
        <v>0.9</v>
      </c>
      <c r="BE188" s="3">
        <v>0.5</v>
      </c>
      <c r="BF188" s="3">
        <v>0.6</v>
      </c>
      <c r="BG188" s="3">
        <v>0.3</v>
      </c>
      <c r="BH188" s="6">
        <v>856.53167699999995</v>
      </c>
      <c r="BI188" s="3">
        <v>6.0000000000000001E-3</v>
      </c>
      <c r="BK188" s="3" t="s">
        <v>85</v>
      </c>
      <c r="BL188" s="3">
        <v>0.99</v>
      </c>
      <c r="BM188" s="7">
        <v>993.47412099999997</v>
      </c>
      <c r="BN188" s="3">
        <v>1E-3</v>
      </c>
      <c r="BO188" s="3">
        <f t="shared" si="23"/>
        <v>0.64500000000000002</v>
      </c>
    </row>
    <row r="189" spans="1:71" x14ac:dyDescent="0.3">
      <c r="A189" s="3" t="s">
        <v>86</v>
      </c>
      <c r="B189" s="3">
        <v>0.9</v>
      </c>
      <c r="C189" s="3">
        <v>0.5</v>
      </c>
      <c r="D189" s="3">
        <v>0.6</v>
      </c>
      <c r="E189" s="3">
        <v>0.3</v>
      </c>
      <c r="F189" s="7">
        <v>569.16980000000001</v>
      </c>
      <c r="G189" s="3">
        <v>1E-3</v>
      </c>
      <c r="I189" s="3" t="s">
        <v>86</v>
      </c>
      <c r="J189" s="3">
        <v>0.14000000000000001</v>
      </c>
      <c r="K189" s="6">
        <v>556.777649</v>
      </c>
      <c r="L189" s="3">
        <v>0</v>
      </c>
      <c r="M189" s="3">
        <f t="shared" si="20"/>
        <v>0.22</v>
      </c>
      <c r="N189" s="5"/>
      <c r="O189" s="5"/>
      <c r="P189" s="5"/>
      <c r="Q189" s="5"/>
      <c r="R189" s="1"/>
      <c r="S189" s="3" t="s">
        <v>86</v>
      </c>
      <c r="T189" s="3">
        <v>0.9</v>
      </c>
      <c r="U189" s="3">
        <v>0.5</v>
      </c>
      <c r="V189" s="3">
        <v>0.6</v>
      </c>
      <c r="W189" s="3">
        <v>0.3</v>
      </c>
      <c r="X189" s="6">
        <v>558.04724099999999</v>
      </c>
      <c r="Y189" s="3">
        <v>1E-3</v>
      </c>
      <c r="AA189" s="3" t="s">
        <v>86</v>
      </c>
      <c r="AB189" s="3">
        <v>0.89</v>
      </c>
      <c r="AC189" s="7">
        <v>597.39453100000003</v>
      </c>
      <c r="AD189" s="3">
        <v>0</v>
      </c>
      <c r="AE189" s="3">
        <f t="shared" si="21"/>
        <v>0.59499999999999997</v>
      </c>
      <c r="AF189" s="5"/>
      <c r="AG189" s="5"/>
      <c r="AH189" s="5"/>
      <c r="AI189" s="5"/>
      <c r="AJ189" s="1"/>
      <c r="AK189" s="3" t="s">
        <v>87</v>
      </c>
      <c r="AL189" s="3">
        <v>0.9</v>
      </c>
      <c r="AM189" s="3">
        <v>0.5</v>
      </c>
      <c r="AN189" s="3">
        <v>0.6</v>
      </c>
      <c r="AO189" s="3">
        <v>0.3</v>
      </c>
      <c r="AP189" s="6">
        <v>796.96881099999996</v>
      </c>
      <c r="AQ189" s="3">
        <v>8.0000000000000002E-3</v>
      </c>
      <c r="AS189" s="3" t="s">
        <v>87</v>
      </c>
      <c r="AT189" s="3">
        <v>0.55000000000000004</v>
      </c>
      <c r="AU189" s="7">
        <v>896.83148200000005</v>
      </c>
      <c r="AV189" s="3">
        <v>1E-3</v>
      </c>
      <c r="AW189" s="3">
        <f t="shared" si="22"/>
        <v>0.42500000000000004</v>
      </c>
      <c r="AX189" s="5"/>
      <c r="AY189" s="5"/>
      <c r="AZ189" s="5"/>
      <c r="BA189" s="5"/>
      <c r="BB189" s="1"/>
      <c r="BC189" s="3" t="s">
        <v>87</v>
      </c>
      <c r="BD189" s="3">
        <v>0.9</v>
      </c>
      <c r="BE189" s="3">
        <v>0.5</v>
      </c>
      <c r="BF189" s="3">
        <v>0.6</v>
      </c>
      <c r="BG189" s="3">
        <v>0.3</v>
      </c>
      <c r="BH189" s="6">
        <v>793.237976</v>
      </c>
      <c r="BI189" s="3">
        <v>5.0000000000000001E-3</v>
      </c>
      <c r="BK189" s="3" t="s">
        <v>87</v>
      </c>
      <c r="BL189" s="3">
        <v>0.37</v>
      </c>
      <c r="BM189" s="7">
        <v>821.02630599999998</v>
      </c>
      <c r="BN189" s="3">
        <v>0</v>
      </c>
      <c r="BO189" s="3">
        <f t="shared" si="23"/>
        <v>0.33499999999999996</v>
      </c>
    </row>
    <row r="190" spans="1:71" x14ac:dyDescent="0.3">
      <c r="A190" s="3" t="s">
        <v>88</v>
      </c>
      <c r="B190" s="3">
        <v>0.9</v>
      </c>
      <c r="C190" s="3">
        <v>0.5</v>
      </c>
      <c r="D190" s="3">
        <v>0.6</v>
      </c>
      <c r="E190" s="3">
        <v>0.3</v>
      </c>
      <c r="F190" s="6">
        <v>494.33279399999998</v>
      </c>
      <c r="G190" s="3">
        <v>1E-3</v>
      </c>
      <c r="I190" s="3" t="s">
        <v>88</v>
      </c>
      <c r="J190" s="3">
        <v>0.59</v>
      </c>
      <c r="K190" s="7">
        <v>512.62567100000001</v>
      </c>
      <c r="L190" s="3">
        <v>0</v>
      </c>
      <c r="M190" s="3">
        <f t="shared" si="20"/>
        <v>0.44499999999999995</v>
      </c>
      <c r="N190" s="5"/>
      <c r="O190" s="5"/>
      <c r="P190" s="5"/>
      <c r="Q190" s="5"/>
      <c r="R190" s="1"/>
      <c r="S190" s="3" t="s">
        <v>88</v>
      </c>
      <c r="T190" s="3">
        <v>0.9</v>
      </c>
      <c r="U190" s="3">
        <v>0.5</v>
      </c>
      <c r="V190" s="3">
        <v>0.6</v>
      </c>
      <c r="W190" s="3">
        <v>0.3</v>
      </c>
      <c r="X190" s="6">
        <v>475.04605099999998</v>
      </c>
      <c r="Y190" s="3">
        <v>1E-3</v>
      </c>
      <c r="AA190" s="3" t="s">
        <v>88</v>
      </c>
      <c r="AB190" s="3">
        <v>0.89</v>
      </c>
      <c r="AC190" s="7">
        <v>494.34869400000002</v>
      </c>
      <c r="AD190" s="3">
        <v>0</v>
      </c>
      <c r="AE190" s="3">
        <f t="shared" si="21"/>
        <v>0.59499999999999997</v>
      </c>
      <c r="AF190" s="5"/>
      <c r="AG190" s="5"/>
      <c r="AH190" s="5"/>
      <c r="AI190" s="5"/>
      <c r="AJ190" s="1"/>
      <c r="AK190" s="3" t="s">
        <v>89</v>
      </c>
      <c r="AL190" s="3">
        <v>0.9</v>
      </c>
      <c r="AM190" s="3">
        <v>0.5</v>
      </c>
      <c r="AN190" s="3">
        <v>0.6</v>
      </c>
      <c r="AO190" s="3">
        <v>0.3</v>
      </c>
      <c r="AP190" s="6">
        <v>797.86944600000004</v>
      </c>
      <c r="AQ190" s="3">
        <v>8.0000000000000002E-3</v>
      </c>
      <c r="AS190" s="3" t="s">
        <v>89</v>
      </c>
      <c r="AT190" s="3">
        <v>0.84</v>
      </c>
      <c r="AU190" s="7">
        <v>967.13830600000006</v>
      </c>
      <c r="AV190" s="3">
        <v>1E-3</v>
      </c>
      <c r="AW190" s="3">
        <f t="shared" si="22"/>
        <v>0.56999999999999995</v>
      </c>
      <c r="AX190" s="5"/>
      <c r="AY190" s="5"/>
      <c r="AZ190" s="5"/>
      <c r="BA190" s="5"/>
      <c r="BB190" s="1"/>
      <c r="BC190" s="3" t="s">
        <v>89</v>
      </c>
      <c r="BD190" s="3">
        <v>0.9</v>
      </c>
      <c r="BE190" s="3">
        <v>0.5</v>
      </c>
      <c r="BF190" s="3">
        <v>0.6</v>
      </c>
      <c r="BG190" s="3">
        <v>0.3</v>
      </c>
      <c r="BH190" s="6">
        <v>800.80291699999998</v>
      </c>
      <c r="BI190" s="3">
        <v>5.0000000000000001E-3</v>
      </c>
      <c r="BK190" s="3" t="s">
        <v>89</v>
      </c>
      <c r="BL190" s="3">
        <v>0.8</v>
      </c>
      <c r="BM190" s="7">
        <v>970.71783400000004</v>
      </c>
      <c r="BN190" s="3">
        <v>1E-3</v>
      </c>
      <c r="BO190" s="3">
        <f t="shared" si="23"/>
        <v>0.55000000000000004</v>
      </c>
    </row>
    <row r="191" spans="1:71" x14ac:dyDescent="0.3">
      <c r="A191" s="3" t="s">
        <v>90</v>
      </c>
      <c r="B191" s="3">
        <v>0.9</v>
      </c>
      <c r="C191" s="3">
        <v>0.5</v>
      </c>
      <c r="D191" s="3">
        <v>0.6</v>
      </c>
      <c r="E191" s="3">
        <v>0.3</v>
      </c>
      <c r="F191" s="8">
        <v>436.71691900000002</v>
      </c>
      <c r="G191" s="3">
        <v>1E-3</v>
      </c>
      <c r="I191" s="3" t="s">
        <v>90</v>
      </c>
      <c r="J191" s="3">
        <v>0.27</v>
      </c>
      <c r="K191" s="6">
        <v>436.18893400000002</v>
      </c>
      <c r="L191" s="3">
        <v>0</v>
      </c>
      <c r="M191" s="3">
        <f t="shared" si="20"/>
        <v>0.28500000000000003</v>
      </c>
      <c r="N191" s="5"/>
      <c r="O191" s="5"/>
      <c r="P191" s="5"/>
      <c r="Q191" s="5"/>
      <c r="R191" s="1"/>
      <c r="S191" s="3" t="s">
        <v>90</v>
      </c>
      <c r="T191" s="3">
        <v>0.9</v>
      </c>
      <c r="U191" s="3">
        <v>0.5</v>
      </c>
      <c r="V191" s="3">
        <v>0.6</v>
      </c>
      <c r="W191" s="3">
        <v>0.3</v>
      </c>
      <c r="X191" s="7">
        <v>418.68591300000003</v>
      </c>
      <c r="Y191" s="3">
        <v>1E-3</v>
      </c>
      <c r="AA191" s="3" t="s">
        <v>90</v>
      </c>
      <c r="AB191" s="3">
        <v>0.14000000000000001</v>
      </c>
      <c r="AC191" s="6">
        <v>411.39672899999999</v>
      </c>
      <c r="AD191" s="3">
        <v>0</v>
      </c>
      <c r="AE191" s="3">
        <f t="shared" si="21"/>
        <v>0.22</v>
      </c>
      <c r="AF191" s="5"/>
      <c r="AG191" s="5"/>
      <c r="AH191" s="5"/>
      <c r="AI191" s="5"/>
      <c r="AJ191" s="1"/>
      <c r="AK191" s="3" t="s">
        <v>91</v>
      </c>
      <c r="AL191" s="3">
        <v>0.9</v>
      </c>
      <c r="AM191" s="3">
        <v>0.5</v>
      </c>
      <c r="AN191" s="3">
        <v>0.6</v>
      </c>
      <c r="AO191" s="3">
        <v>0.3</v>
      </c>
      <c r="AP191" s="7">
        <v>800.90295400000002</v>
      </c>
      <c r="AQ191" s="3">
        <v>5.0000000000000001E-3</v>
      </c>
      <c r="AS191" s="3" t="s">
        <v>91</v>
      </c>
      <c r="AT191" s="3">
        <v>0.2</v>
      </c>
      <c r="AU191" s="6">
        <v>735.66851799999995</v>
      </c>
      <c r="AV191" s="3">
        <v>0</v>
      </c>
      <c r="AW191" s="3">
        <f t="shared" si="22"/>
        <v>0.25</v>
      </c>
      <c r="AX191" s="5"/>
      <c r="AY191" s="5"/>
      <c r="AZ191" s="5"/>
      <c r="BA191" s="5"/>
      <c r="BB191" s="1"/>
      <c r="BC191" s="3" t="s">
        <v>91</v>
      </c>
      <c r="BD191" s="3">
        <v>0.9</v>
      </c>
      <c r="BE191" s="3">
        <v>0.5</v>
      </c>
      <c r="BF191" s="3">
        <v>0.6</v>
      </c>
      <c r="BG191" s="3">
        <v>0.3</v>
      </c>
      <c r="BH191" s="7">
        <v>767.66961700000002</v>
      </c>
      <c r="BI191" s="3">
        <v>5.0000000000000001E-3</v>
      </c>
      <c r="BK191" s="3" t="s">
        <v>91</v>
      </c>
      <c r="BL191" s="3">
        <v>0.09</v>
      </c>
      <c r="BM191" s="6">
        <v>689.25103799999999</v>
      </c>
      <c r="BN191" s="3">
        <v>1E-3</v>
      </c>
      <c r="BO191" s="3">
        <f t="shared" si="23"/>
        <v>0.19500000000000001</v>
      </c>
    </row>
    <row r="192" spans="1:71" x14ac:dyDescent="0.3">
      <c r="A192" s="3" t="s">
        <v>92</v>
      </c>
      <c r="B192" s="3">
        <v>0.9</v>
      </c>
      <c r="C192" s="3">
        <v>0.5</v>
      </c>
      <c r="D192" s="3">
        <v>0.6</v>
      </c>
      <c r="E192" s="3">
        <v>0.3</v>
      </c>
      <c r="F192" s="6">
        <v>568.98913600000003</v>
      </c>
      <c r="G192" s="3">
        <v>1E-3</v>
      </c>
      <c r="I192" s="3" t="s">
        <v>92</v>
      </c>
      <c r="J192" s="3">
        <v>0.52</v>
      </c>
      <c r="K192" s="7">
        <v>581.43676800000003</v>
      </c>
      <c r="L192" s="3">
        <v>0</v>
      </c>
      <c r="M192" s="3">
        <f t="shared" si="20"/>
        <v>0.41000000000000003</v>
      </c>
      <c r="N192" s="5"/>
      <c r="O192" s="5"/>
      <c r="P192" s="5"/>
      <c r="Q192" s="5"/>
      <c r="R192" s="1"/>
      <c r="S192" s="3" t="s">
        <v>92</v>
      </c>
      <c r="T192" s="3">
        <v>0.9</v>
      </c>
      <c r="U192" s="3">
        <v>0.5</v>
      </c>
      <c r="V192" s="3">
        <v>0.6</v>
      </c>
      <c r="W192" s="3">
        <v>0.3</v>
      </c>
      <c r="X192" s="6">
        <v>549.44232199999999</v>
      </c>
      <c r="Y192" s="3">
        <v>1E-3</v>
      </c>
      <c r="AA192" s="3" t="s">
        <v>92</v>
      </c>
      <c r="AB192" s="3">
        <v>0.87</v>
      </c>
      <c r="AC192" s="7">
        <v>594.04736300000002</v>
      </c>
      <c r="AD192" s="3">
        <v>1E-3</v>
      </c>
      <c r="AE192" s="3">
        <f t="shared" si="21"/>
        <v>0.58499999999999996</v>
      </c>
      <c r="AF192" s="5"/>
      <c r="AG192" s="5"/>
      <c r="AH192" s="5"/>
      <c r="AI192" s="5"/>
      <c r="AJ192" s="1"/>
      <c r="AK192" s="3" t="s">
        <v>93</v>
      </c>
      <c r="AL192" s="3">
        <v>0.9</v>
      </c>
      <c r="AM192" s="3">
        <v>0.5</v>
      </c>
      <c r="AN192" s="3">
        <v>0.6</v>
      </c>
      <c r="AO192" s="3">
        <v>0.3</v>
      </c>
      <c r="AP192" s="6">
        <v>746.30920400000002</v>
      </c>
      <c r="AQ192" s="3">
        <v>5.0000000000000001E-3</v>
      </c>
      <c r="AS192" s="3" t="s">
        <v>93</v>
      </c>
      <c r="AT192" s="3">
        <v>0.4</v>
      </c>
      <c r="AU192" s="7">
        <v>774.91223100000002</v>
      </c>
      <c r="AV192" s="3">
        <v>0</v>
      </c>
      <c r="AW192" s="3">
        <f t="shared" si="22"/>
        <v>0.35</v>
      </c>
      <c r="AX192" s="5"/>
      <c r="AY192" s="5"/>
      <c r="AZ192" s="5"/>
      <c r="BA192" s="5"/>
      <c r="BB192" s="1"/>
      <c r="BC192" s="3" t="s">
        <v>93</v>
      </c>
      <c r="BD192" s="3">
        <v>0.9</v>
      </c>
      <c r="BE192" s="3">
        <v>0.5</v>
      </c>
      <c r="BF192" s="3">
        <v>0.6</v>
      </c>
      <c r="BG192" s="3">
        <v>0.3</v>
      </c>
      <c r="BH192" s="7">
        <v>725.90850799999998</v>
      </c>
      <c r="BI192" s="3">
        <v>5.0000000000000001E-3</v>
      </c>
      <c r="BK192" s="3" t="s">
        <v>93</v>
      </c>
      <c r="BL192" s="3">
        <v>0.14000000000000001</v>
      </c>
      <c r="BM192" s="6">
        <v>671.41821300000004</v>
      </c>
      <c r="BN192" s="3">
        <v>0</v>
      </c>
      <c r="BO192" s="3">
        <f t="shared" si="23"/>
        <v>0.22</v>
      </c>
    </row>
    <row r="193" spans="1:67" x14ac:dyDescent="0.3">
      <c r="A193" s="3" t="s">
        <v>94</v>
      </c>
      <c r="B193" s="3">
        <v>0.9</v>
      </c>
      <c r="C193" s="3">
        <v>0.5</v>
      </c>
      <c r="D193" s="3">
        <v>0.6</v>
      </c>
      <c r="E193" s="3">
        <v>0.3</v>
      </c>
      <c r="F193" s="7">
        <v>465.49774200000002</v>
      </c>
      <c r="G193" s="3">
        <v>1E-3</v>
      </c>
      <c r="I193" s="3" t="s">
        <v>94</v>
      </c>
      <c r="J193" s="3">
        <v>0.11</v>
      </c>
      <c r="K193" s="6">
        <v>441.66622899999999</v>
      </c>
      <c r="L193" s="3">
        <v>0</v>
      </c>
      <c r="M193" s="3">
        <f t="shared" si="20"/>
        <v>0.20499999999999999</v>
      </c>
      <c r="N193" s="5"/>
      <c r="O193" s="5"/>
      <c r="P193" s="5"/>
      <c r="Q193" s="5"/>
      <c r="R193" s="1"/>
      <c r="S193" s="3" t="s">
        <v>94</v>
      </c>
      <c r="T193" s="3">
        <v>0.9</v>
      </c>
      <c r="U193" s="3">
        <v>0.5</v>
      </c>
      <c r="V193" s="3">
        <v>0.6</v>
      </c>
      <c r="W193" s="3">
        <v>0.3</v>
      </c>
      <c r="X193" s="6">
        <v>448.44101000000001</v>
      </c>
      <c r="Y193" s="3">
        <v>0</v>
      </c>
      <c r="AA193" s="3" t="s">
        <v>94</v>
      </c>
      <c r="AB193" s="3">
        <v>0.97</v>
      </c>
      <c r="AC193" s="7">
        <v>599.72186299999998</v>
      </c>
      <c r="AD193" s="3">
        <v>0</v>
      </c>
      <c r="AE193" s="3">
        <f t="shared" si="21"/>
        <v>0.63500000000000001</v>
      </c>
      <c r="AF193" s="5"/>
      <c r="AG193" s="5"/>
      <c r="AH193" s="5"/>
      <c r="AI193" s="5"/>
      <c r="AJ193" s="1"/>
      <c r="AK193" s="3" t="s">
        <v>95</v>
      </c>
      <c r="AL193" s="3">
        <v>0.9</v>
      </c>
      <c r="AM193" s="3">
        <v>0.5</v>
      </c>
      <c r="AN193" s="3">
        <v>0.6</v>
      </c>
      <c r="AO193" s="3">
        <v>0.3</v>
      </c>
      <c r="AP193" s="7">
        <v>838.95019500000001</v>
      </c>
      <c r="AQ193" s="3">
        <v>5.0000000000000001E-3</v>
      </c>
      <c r="AS193" s="3" t="s">
        <v>95</v>
      </c>
      <c r="AT193" s="3">
        <v>7.0000000000000007E-2</v>
      </c>
      <c r="AU193" s="6">
        <v>707.149719</v>
      </c>
      <c r="AV193" s="3">
        <v>0</v>
      </c>
      <c r="AW193" s="3">
        <f t="shared" si="22"/>
        <v>0.185</v>
      </c>
      <c r="AX193" s="5"/>
      <c r="AY193" s="5"/>
      <c r="AZ193" s="5"/>
      <c r="BA193" s="5"/>
      <c r="BB193" s="1"/>
      <c r="BC193" s="3" t="s">
        <v>95</v>
      </c>
      <c r="BD193" s="3">
        <v>0.9</v>
      </c>
      <c r="BE193" s="3">
        <v>0.5</v>
      </c>
      <c r="BF193" s="3">
        <v>0.6</v>
      </c>
      <c r="BG193" s="3">
        <v>0.3</v>
      </c>
      <c r="BH193" s="7">
        <v>822.831909</v>
      </c>
      <c r="BI193" s="3">
        <v>4.0000000000000001E-3</v>
      </c>
      <c r="BK193" s="3" t="s">
        <v>95</v>
      </c>
      <c r="BL193" s="3">
        <v>0.15</v>
      </c>
      <c r="BM193" s="6">
        <v>736.17291299999999</v>
      </c>
      <c r="BN193" s="3">
        <v>1E-3</v>
      </c>
      <c r="BO193" s="3">
        <f t="shared" si="23"/>
        <v>0.22499999999999998</v>
      </c>
    </row>
    <row r="194" spans="1:67" x14ac:dyDescent="0.3">
      <c r="A194" s="3" t="s">
        <v>96</v>
      </c>
      <c r="B194" s="3">
        <v>0.9</v>
      </c>
      <c r="C194" s="3">
        <v>0.5</v>
      </c>
      <c r="D194" s="3">
        <v>0.6</v>
      </c>
      <c r="E194" s="3">
        <v>0.3</v>
      </c>
      <c r="F194" s="6">
        <v>593.11859100000004</v>
      </c>
      <c r="G194" s="3">
        <v>1E-3</v>
      </c>
      <c r="I194" s="3" t="s">
        <v>96</v>
      </c>
      <c r="J194" s="3">
        <v>0.8</v>
      </c>
      <c r="K194" s="7">
        <v>639.35333300000002</v>
      </c>
      <c r="L194" s="3">
        <v>0</v>
      </c>
      <c r="M194" s="3">
        <f t="shared" si="20"/>
        <v>0.55000000000000004</v>
      </c>
      <c r="N194" s="5"/>
      <c r="O194" s="5"/>
      <c r="P194" s="5"/>
      <c r="Q194" s="5"/>
      <c r="R194" s="1"/>
      <c r="S194" s="3" t="s">
        <v>96</v>
      </c>
      <c r="T194" s="3">
        <v>0.9</v>
      </c>
      <c r="U194" s="3">
        <v>0.5</v>
      </c>
      <c r="V194" s="3">
        <v>0.6</v>
      </c>
      <c r="W194" s="3">
        <v>0.3</v>
      </c>
      <c r="X194" s="6">
        <v>597.16168200000004</v>
      </c>
      <c r="Y194" s="3">
        <v>1E-3</v>
      </c>
      <c r="AA194" s="3" t="s">
        <v>96</v>
      </c>
      <c r="AB194" s="3">
        <v>0.67</v>
      </c>
      <c r="AC194" s="7">
        <v>630.96575900000005</v>
      </c>
      <c r="AD194" s="3">
        <v>0</v>
      </c>
      <c r="AE194" s="3">
        <f t="shared" si="21"/>
        <v>0.48499999999999999</v>
      </c>
      <c r="AF194" s="5"/>
      <c r="AG194" s="5"/>
      <c r="AH194" s="5"/>
      <c r="AI194" s="5"/>
      <c r="AJ194" s="1"/>
      <c r="AK194" s="3" t="s">
        <v>97</v>
      </c>
      <c r="AL194" s="3">
        <v>0.9</v>
      </c>
      <c r="AM194" s="3">
        <v>0.5</v>
      </c>
      <c r="AN194" s="3">
        <v>0.6</v>
      </c>
      <c r="AO194" s="3">
        <v>0.3</v>
      </c>
      <c r="AP194" s="6">
        <v>953.15374799999995</v>
      </c>
      <c r="AQ194" s="3">
        <v>8.0000000000000002E-3</v>
      </c>
      <c r="AS194" s="3" t="s">
        <v>97</v>
      </c>
      <c r="AT194" s="3">
        <v>0.81</v>
      </c>
      <c r="AU194" s="7">
        <v>1083.363525</v>
      </c>
      <c r="AV194" s="3">
        <v>1E-3</v>
      </c>
      <c r="AW194" s="3">
        <f t="shared" si="22"/>
        <v>0.55500000000000005</v>
      </c>
      <c r="AX194" s="5"/>
      <c r="AY194" s="5"/>
      <c r="AZ194" s="5"/>
      <c r="BA194" s="5"/>
      <c r="BB194" s="1"/>
      <c r="BC194" s="3" t="s">
        <v>97</v>
      </c>
      <c r="BD194" s="3">
        <v>0.9</v>
      </c>
      <c r="BE194" s="3">
        <v>0.5</v>
      </c>
      <c r="BF194" s="3">
        <v>0.6</v>
      </c>
      <c r="BG194" s="3">
        <v>0.3</v>
      </c>
      <c r="BH194" s="7">
        <v>948.83935499999995</v>
      </c>
      <c r="BI194" s="3">
        <v>5.0000000000000001E-3</v>
      </c>
      <c r="BK194" s="3" t="s">
        <v>97</v>
      </c>
      <c r="BL194" s="3">
        <v>0.14000000000000001</v>
      </c>
      <c r="BM194" s="6">
        <v>848.05297900000005</v>
      </c>
      <c r="BN194" s="3">
        <v>1E-3</v>
      </c>
      <c r="BO194" s="3">
        <f t="shared" si="23"/>
        <v>0.22</v>
      </c>
    </row>
    <row r="195" spans="1:67" x14ac:dyDescent="0.3">
      <c r="A195" s="3" t="s">
        <v>98</v>
      </c>
      <c r="B195" s="3">
        <v>0.9</v>
      </c>
      <c r="C195" s="3">
        <v>0.5</v>
      </c>
      <c r="D195" s="3">
        <v>0.6</v>
      </c>
      <c r="E195" s="3">
        <v>0.3</v>
      </c>
      <c r="F195" s="7">
        <v>488.36288500000001</v>
      </c>
      <c r="G195" s="3">
        <v>1E-3</v>
      </c>
      <c r="I195" s="3" t="s">
        <v>98</v>
      </c>
      <c r="J195" s="3">
        <v>0.11</v>
      </c>
      <c r="K195" s="6">
        <v>471.28839099999999</v>
      </c>
      <c r="L195" s="3">
        <v>0</v>
      </c>
      <c r="M195" s="3">
        <f t="shared" si="20"/>
        <v>0.20499999999999999</v>
      </c>
      <c r="N195" s="5"/>
      <c r="O195" s="5"/>
      <c r="P195" s="5"/>
      <c r="Q195" s="5"/>
      <c r="R195" s="1"/>
      <c r="S195" s="3" t="s">
        <v>98</v>
      </c>
      <c r="T195" s="3">
        <v>0.9</v>
      </c>
      <c r="U195" s="3">
        <v>0.5</v>
      </c>
      <c r="V195" s="3">
        <v>0.6</v>
      </c>
      <c r="W195" s="3">
        <v>0.3</v>
      </c>
      <c r="X195" s="6">
        <v>479.87179600000002</v>
      </c>
      <c r="Y195" s="3">
        <v>1E-3</v>
      </c>
      <c r="AA195" s="3" t="s">
        <v>98</v>
      </c>
      <c r="AB195" s="3">
        <v>0.77</v>
      </c>
      <c r="AC195" s="7">
        <v>565.83917199999996</v>
      </c>
      <c r="AD195" s="3">
        <v>0</v>
      </c>
      <c r="AE195" s="3">
        <f t="shared" si="21"/>
        <v>0.53500000000000003</v>
      </c>
      <c r="AF195" s="5"/>
      <c r="AG195" s="5"/>
      <c r="AH195" s="5"/>
      <c r="AI195" s="5"/>
      <c r="AJ195" s="1"/>
      <c r="AK195" s="3" t="s">
        <v>99</v>
      </c>
      <c r="AL195" s="3">
        <v>0.9</v>
      </c>
      <c r="AM195" s="3">
        <v>0.5</v>
      </c>
      <c r="AN195" s="3">
        <v>0.6</v>
      </c>
      <c r="AO195" s="3">
        <v>0.3</v>
      </c>
      <c r="AP195" s="6">
        <v>925.23718299999996</v>
      </c>
      <c r="AQ195" s="3">
        <v>6.0000000000000001E-3</v>
      </c>
      <c r="AS195" s="3" t="s">
        <v>99</v>
      </c>
      <c r="AT195" s="3">
        <v>0.56999999999999995</v>
      </c>
      <c r="AU195" s="7">
        <v>1061.0664059999999</v>
      </c>
      <c r="AV195" s="3">
        <v>1E-3</v>
      </c>
      <c r="AW195" s="3">
        <f t="shared" si="22"/>
        <v>0.43499999999999994</v>
      </c>
      <c r="AX195" s="5"/>
      <c r="AY195" s="5"/>
      <c r="AZ195" s="5"/>
      <c r="BA195" s="5"/>
      <c r="BB195" s="1"/>
      <c r="BC195" s="3" t="s">
        <v>99</v>
      </c>
      <c r="BD195" s="3">
        <v>0.9</v>
      </c>
      <c r="BE195" s="3">
        <v>0.5</v>
      </c>
      <c r="BF195" s="3">
        <v>0.6</v>
      </c>
      <c r="BG195" s="3">
        <v>0.3</v>
      </c>
      <c r="BH195" s="6">
        <v>927.92285200000003</v>
      </c>
      <c r="BI195" s="3">
        <v>5.0000000000000001E-3</v>
      </c>
      <c r="BK195" s="3" t="s">
        <v>99</v>
      </c>
      <c r="BL195" s="3">
        <v>0.52</v>
      </c>
      <c r="BM195" s="7">
        <v>1004.289307</v>
      </c>
      <c r="BN195" s="3">
        <v>1E-3</v>
      </c>
      <c r="BO195" s="3">
        <f t="shared" si="23"/>
        <v>0.41000000000000003</v>
      </c>
    </row>
    <row r="196" spans="1:67" x14ac:dyDescent="0.3">
      <c r="A196" s="3" t="s">
        <v>100</v>
      </c>
      <c r="B196" s="3">
        <v>0.9</v>
      </c>
      <c r="C196" s="3">
        <v>0.5</v>
      </c>
      <c r="D196" s="3">
        <v>0.6</v>
      </c>
      <c r="E196" s="3">
        <v>0.3</v>
      </c>
      <c r="F196" s="6">
        <v>617.54785200000003</v>
      </c>
      <c r="G196" s="3">
        <v>2E-3</v>
      </c>
      <c r="I196" s="3" t="s">
        <v>100</v>
      </c>
      <c r="J196" s="3">
        <v>0</v>
      </c>
      <c r="K196" s="7">
        <v>630.63989300000003</v>
      </c>
      <c r="L196" s="3">
        <v>1E-3</v>
      </c>
      <c r="M196" s="3">
        <f t="shared" si="20"/>
        <v>0.15</v>
      </c>
      <c r="N196" s="5"/>
      <c r="O196" s="5"/>
      <c r="P196" s="5"/>
      <c r="Q196" s="5"/>
      <c r="R196" s="1"/>
      <c r="S196" s="3" t="s">
        <v>100</v>
      </c>
      <c r="T196" s="3">
        <v>0.9</v>
      </c>
      <c r="U196" s="3">
        <v>0.5</v>
      </c>
      <c r="V196" s="3">
        <v>0.6</v>
      </c>
      <c r="W196" s="3">
        <v>0.3</v>
      </c>
      <c r="X196" s="6">
        <v>617.07287599999995</v>
      </c>
      <c r="Y196" s="3">
        <v>2E-3</v>
      </c>
      <c r="AA196" s="3" t="s">
        <v>100</v>
      </c>
      <c r="AB196" s="3">
        <v>0.43</v>
      </c>
      <c r="AC196" s="7">
        <v>620.447632</v>
      </c>
      <c r="AD196" s="3">
        <v>0</v>
      </c>
      <c r="AE196" s="3">
        <f t="shared" si="21"/>
        <v>0.36499999999999999</v>
      </c>
      <c r="AF196" s="5"/>
      <c r="AG196" s="5"/>
      <c r="AH196" s="5"/>
      <c r="AI196" s="5"/>
      <c r="AJ196" s="1"/>
      <c r="AK196" s="3" t="s">
        <v>101</v>
      </c>
      <c r="AL196" s="3">
        <v>0.9</v>
      </c>
      <c r="AM196" s="3">
        <v>0.5</v>
      </c>
      <c r="AN196" s="3">
        <v>0.6</v>
      </c>
      <c r="AO196" s="3">
        <v>0.3</v>
      </c>
      <c r="AP196" s="6">
        <v>818.27435300000002</v>
      </c>
      <c r="AQ196" s="3">
        <v>8.9999999999999993E-3</v>
      </c>
      <c r="AS196" s="3" t="s">
        <v>101</v>
      </c>
      <c r="AT196" s="3">
        <v>0.88</v>
      </c>
      <c r="AU196" s="7">
        <v>1049.1827390000001</v>
      </c>
      <c r="AV196" s="3">
        <v>1E-3</v>
      </c>
      <c r="AW196" s="3">
        <f t="shared" si="22"/>
        <v>0.59</v>
      </c>
      <c r="AX196" s="5"/>
      <c r="AY196" s="5"/>
      <c r="AZ196" s="5"/>
      <c r="BA196" s="5"/>
      <c r="BB196" s="1"/>
      <c r="BC196" s="3" t="s">
        <v>101</v>
      </c>
      <c r="BD196" s="3">
        <v>0.9</v>
      </c>
      <c r="BE196" s="3">
        <v>0.5</v>
      </c>
      <c r="BF196" s="3">
        <v>0.6</v>
      </c>
      <c r="BG196" s="3">
        <v>0.3</v>
      </c>
      <c r="BH196" s="6">
        <v>823.20129399999996</v>
      </c>
      <c r="BI196" s="3">
        <v>5.0000000000000001E-3</v>
      </c>
      <c r="BK196" s="3" t="s">
        <v>101</v>
      </c>
      <c r="BL196" s="3">
        <v>0.56999999999999995</v>
      </c>
      <c r="BM196" s="7">
        <v>964.91650400000003</v>
      </c>
      <c r="BN196" s="3">
        <v>1E-3</v>
      </c>
      <c r="BO196" s="3">
        <f t="shared" si="23"/>
        <v>0.43499999999999994</v>
      </c>
    </row>
    <row r="197" spans="1:67" x14ac:dyDescent="0.3">
      <c r="A197" s="3" t="s">
        <v>102</v>
      </c>
      <c r="B197" s="3">
        <v>0.9</v>
      </c>
      <c r="C197" s="3">
        <v>0.5</v>
      </c>
      <c r="D197" s="3">
        <v>0.6</v>
      </c>
      <c r="E197" s="3">
        <v>0.3</v>
      </c>
      <c r="F197" s="7">
        <v>609.63830600000006</v>
      </c>
      <c r="G197" s="3">
        <v>1E-3</v>
      </c>
      <c r="I197" s="3" t="s">
        <v>102</v>
      </c>
      <c r="J197" s="3">
        <v>0.09</v>
      </c>
      <c r="K197" s="6">
        <v>601.07006799999999</v>
      </c>
      <c r="L197" s="3">
        <v>0</v>
      </c>
      <c r="M197" s="3">
        <f t="shared" si="20"/>
        <v>0.19500000000000001</v>
      </c>
      <c r="N197" s="5"/>
      <c r="O197" s="5"/>
      <c r="P197" s="5"/>
      <c r="Q197" s="5"/>
      <c r="R197" s="1"/>
      <c r="S197" s="3" t="s">
        <v>102</v>
      </c>
      <c r="T197" s="3">
        <v>0.9</v>
      </c>
      <c r="U197" s="3">
        <v>0.5</v>
      </c>
      <c r="V197" s="3">
        <v>0.6</v>
      </c>
      <c r="W197" s="3">
        <v>0.3</v>
      </c>
      <c r="X197" s="6">
        <v>615.96038799999997</v>
      </c>
      <c r="Y197" s="3">
        <v>1E-3</v>
      </c>
      <c r="AA197" s="3" t="s">
        <v>102</v>
      </c>
      <c r="AB197" s="3">
        <v>0.44</v>
      </c>
      <c r="AC197" s="7">
        <v>626.41223100000002</v>
      </c>
      <c r="AD197" s="3">
        <v>0</v>
      </c>
      <c r="AE197" s="3">
        <f t="shared" si="21"/>
        <v>0.37</v>
      </c>
      <c r="AF197" s="5"/>
      <c r="AG197" s="5"/>
      <c r="AH197" s="5"/>
      <c r="AI197" s="5"/>
      <c r="AJ197" s="1"/>
      <c r="AK197" s="3" t="s">
        <v>103</v>
      </c>
      <c r="AL197" s="3">
        <v>0.9</v>
      </c>
      <c r="AM197" s="3">
        <v>0.5</v>
      </c>
      <c r="AN197" s="3">
        <v>0.6</v>
      </c>
      <c r="AO197" s="3">
        <v>0.3</v>
      </c>
      <c r="AP197" s="6">
        <v>871.10418700000002</v>
      </c>
      <c r="AQ197" s="3">
        <v>6.0000000000000001E-3</v>
      </c>
      <c r="AS197" s="3" t="s">
        <v>103</v>
      </c>
      <c r="AT197" s="3">
        <v>0.86</v>
      </c>
      <c r="AU197" s="7">
        <v>1017.657654</v>
      </c>
      <c r="AV197" s="3">
        <v>1E-3</v>
      </c>
      <c r="AW197" s="3">
        <f t="shared" si="22"/>
        <v>0.57999999999999996</v>
      </c>
      <c r="AX197" s="5"/>
      <c r="AY197" s="5"/>
      <c r="AZ197" s="5"/>
      <c r="BA197" s="5"/>
      <c r="BB197" s="1"/>
      <c r="BC197" s="3" t="s">
        <v>103</v>
      </c>
      <c r="BD197" s="3">
        <v>0.9</v>
      </c>
      <c r="BE197" s="3">
        <v>0.5</v>
      </c>
      <c r="BF197" s="3">
        <v>0.6</v>
      </c>
      <c r="BG197" s="3">
        <v>0.3</v>
      </c>
      <c r="BH197" s="6">
        <v>873.35632299999997</v>
      </c>
      <c r="BI197" s="3">
        <v>4.0000000000000001E-3</v>
      </c>
      <c r="BK197" s="3" t="s">
        <v>103</v>
      </c>
      <c r="BL197" s="3">
        <v>0.92</v>
      </c>
      <c r="BM197" s="7">
        <v>1000.070129</v>
      </c>
      <c r="BN197" s="3">
        <v>1E-3</v>
      </c>
      <c r="BO197" s="3">
        <f t="shared" si="23"/>
        <v>0.61</v>
      </c>
    </row>
    <row r="198" spans="1:67" x14ac:dyDescent="0.3">
      <c r="A198" s="3" t="s">
        <v>104</v>
      </c>
      <c r="B198" s="3">
        <v>0.9</v>
      </c>
      <c r="C198" s="3">
        <v>0.5</v>
      </c>
      <c r="D198" s="3">
        <v>0.6</v>
      </c>
      <c r="E198" s="3">
        <v>0.3</v>
      </c>
      <c r="F198" s="6">
        <v>602.97442599999999</v>
      </c>
      <c r="G198" s="3">
        <v>2E-3</v>
      </c>
      <c r="I198" s="3" t="s">
        <v>104</v>
      </c>
      <c r="J198" s="3">
        <v>0.8</v>
      </c>
      <c r="K198" s="7">
        <v>677.15228300000001</v>
      </c>
      <c r="L198" s="3">
        <v>0</v>
      </c>
      <c r="M198" s="3">
        <f t="shared" si="20"/>
        <v>0.55000000000000004</v>
      </c>
      <c r="N198" s="5"/>
      <c r="O198" s="5"/>
      <c r="P198" s="5"/>
      <c r="Q198" s="5"/>
      <c r="R198" s="1"/>
      <c r="S198" s="3" t="s">
        <v>104</v>
      </c>
      <c r="T198" s="3">
        <v>0.9</v>
      </c>
      <c r="U198" s="3">
        <v>0.5</v>
      </c>
      <c r="V198" s="3">
        <v>0.6</v>
      </c>
      <c r="W198" s="3">
        <v>0.3</v>
      </c>
      <c r="X198" s="6">
        <v>593.96154799999999</v>
      </c>
      <c r="Y198" s="3">
        <v>1E-3</v>
      </c>
      <c r="AA198" s="3" t="s">
        <v>104</v>
      </c>
      <c r="AB198" s="3">
        <v>0.79</v>
      </c>
      <c r="AC198" s="7">
        <v>669.82757600000002</v>
      </c>
      <c r="AD198" s="3">
        <v>0</v>
      </c>
      <c r="AE198" s="3">
        <f t="shared" si="21"/>
        <v>0.54500000000000004</v>
      </c>
      <c r="AF198" s="5"/>
      <c r="AG198" s="5"/>
      <c r="AH198" s="5"/>
      <c r="AI198" s="5"/>
      <c r="AJ198" s="1"/>
      <c r="AK198" s="3" t="s">
        <v>105</v>
      </c>
      <c r="AL198" s="3">
        <v>0.9</v>
      </c>
      <c r="AM198" s="3">
        <v>0.5</v>
      </c>
      <c r="AN198" s="3">
        <v>0.6</v>
      </c>
      <c r="AO198" s="3">
        <v>0.3</v>
      </c>
      <c r="AP198" s="6">
        <v>955.95324700000003</v>
      </c>
      <c r="AQ198" s="3">
        <v>8.9999999999999993E-3</v>
      </c>
      <c r="AS198" s="3" t="s">
        <v>105</v>
      </c>
      <c r="AT198" s="3">
        <v>0.34</v>
      </c>
      <c r="AU198" s="7">
        <v>1014.823486</v>
      </c>
      <c r="AV198" s="3">
        <v>1E-3</v>
      </c>
      <c r="AW198" s="3">
        <f t="shared" si="22"/>
        <v>0.32</v>
      </c>
      <c r="AX198" s="5"/>
      <c r="AY198" s="5"/>
      <c r="AZ198" s="5"/>
      <c r="BA198" s="5"/>
      <c r="BB198" s="1"/>
      <c r="BC198" s="3" t="s">
        <v>105</v>
      </c>
      <c r="BD198" s="3">
        <v>0.9</v>
      </c>
      <c r="BE198" s="3">
        <v>0.5</v>
      </c>
      <c r="BF198" s="3">
        <v>0.6</v>
      </c>
      <c r="BG198" s="3">
        <v>0.3</v>
      </c>
      <c r="BH198" s="7">
        <v>970.43884300000002</v>
      </c>
      <c r="BI198" s="3">
        <v>8.0000000000000002E-3</v>
      </c>
      <c r="BK198" s="3" t="s">
        <v>105</v>
      </c>
      <c r="BL198" s="3">
        <v>0.22</v>
      </c>
      <c r="BM198" s="6">
        <v>910.64849900000002</v>
      </c>
      <c r="BN198" s="3">
        <v>0</v>
      </c>
      <c r="BO198" s="3">
        <f t="shared" si="23"/>
        <v>0.26</v>
      </c>
    </row>
    <row r="199" spans="1:67" x14ac:dyDescent="0.3">
      <c r="A199" s="3" t="s">
        <v>106</v>
      </c>
      <c r="B199" s="3">
        <v>0.9</v>
      </c>
      <c r="C199" s="3">
        <v>0.5</v>
      </c>
      <c r="D199" s="3">
        <v>0.6</v>
      </c>
      <c r="E199" s="3">
        <v>0.3</v>
      </c>
      <c r="F199" s="6">
        <v>558.839966</v>
      </c>
      <c r="G199" s="3">
        <v>1E-3</v>
      </c>
      <c r="I199" s="3" t="s">
        <v>106</v>
      </c>
      <c r="J199" s="3">
        <v>0.93</v>
      </c>
      <c r="K199" s="7">
        <v>626.34844999999996</v>
      </c>
      <c r="L199" s="3">
        <v>0</v>
      </c>
      <c r="M199" s="3">
        <f t="shared" si="20"/>
        <v>0.61499999999999999</v>
      </c>
      <c r="N199" s="5"/>
      <c r="O199" s="5"/>
      <c r="P199" s="5"/>
      <c r="Q199" s="5"/>
      <c r="R199" s="1"/>
      <c r="S199" s="3" t="s">
        <v>106</v>
      </c>
      <c r="T199" s="3">
        <v>0.9</v>
      </c>
      <c r="U199" s="3">
        <v>0.5</v>
      </c>
      <c r="V199" s="3">
        <v>0.6</v>
      </c>
      <c r="W199" s="3">
        <v>0.3</v>
      </c>
      <c r="X199" s="7">
        <v>557.47955300000001</v>
      </c>
      <c r="Y199" s="3">
        <v>1E-3</v>
      </c>
      <c r="AA199" s="3" t="s">
        <v>106</v>
      </c>
      <c r="AB199" s="3">
        <v>0.28000000000000003</v>
      </c>
      <c r="AC199" s="6">
        <v>547.54193099999998</v>
      </c>
      <c r="AD199" s="3">
        <v>0</v>
      </c>
      <c r="AE199" s="3">
        <f t="shared" si="21"/>
        <v>0.29000000000000004</v>
      </c>
      <c r="AF199" s="5"/>
      <c r="AG199" s="5"/>
      <c r="AH199" s="5"/>
      <c r="AI199" s="5"/>
      <c r="AJ199" s="1"/>
      <c r="AK199" s="3" t="s">
        <v>107</v>
      </c>
      <c r="AL199" s="3">
        <v>0.9</v>
      </c>
      <c r="AM199" s="3">
        <v>0.5</v>
      </c>
      <c r="AN199" s="3">
        <v>0.6</v>
      </c>
      <c r="AO199" s="3">
        <v>0.3</v>
      </c>
      <c r="AP199" s="7">
        <v>1041.149658</v>
      </c>
      <c r="AQ199" s="3">
        <v>8.0000000000000002E-3</v>
      </c>
      <c r="AS199" s="3" t="s">
        <v>107</v>
      </c>
      <c r="AT199" s="3">
        <v>0.28000000000000003</v>
      </c>
      <c r="AU199" s="6">
        <v>1021.127075</v>
      </c>
      <c r="AV199" s="3">
        <v>1E-3</v>
      </c>
      <c r="AW199" s="3">
        <f t="shared" si="22"/>
        <v>0.29000000000000004</v>
      </c>
      <c r="AX199" s="5"/>
      <c r="AY199" s="5"/>
      <c r="AZ199" s="5"/>
      <c r="BA199" s="5"/>
      <c r="BB199" s="1"/>
      <c r="BC199" s="3" t="s">
        <v>107</v>
      </c>
      <c r="BD199" s="3">
        <v>0.9</v>
      </c>
      <c r="BE199" s="3">
        <v>0.5</v>
      </c>
      <c r="BF199" s="3">
        <v>0.6</v>
      </c>
      <c r="BG199" s="3">
        <v>0.3</v>
      </c>
      <c r="BH199" s="6">
        <v>1027.6942140000001</v>
      </c>
      <c r="BI199" s="3">
        <v>5.0000000000000001E-3</v>
      </c>
      <c r="BK199" s="3" t="s">
        <v>107</v>
      </c>
      <c r="BL199" s="3">
        <v>0.51</v>
      </c>
      <c r="BM199" s="7">
        <v>1126.368408</v>
      </c>
      <c r="BN199" s="3">
        <v>0</v>
      </c>
      <c r="BO199" s="3">
        <f t="shared" si="23"/>
        <v>0.40500000000000003</v>
      </c>
    </row>
    <row r="200" spans="1:67" x14ac:dyDescent="0.3">
      <c r="A200" s="3" t="s">
        <v>108</v>
      </c>
      <c r="B200" s="3">
        <v>0.9</v>
      </c>
      <c r="C200" s="3">
        <v>0.5</v>
      </c>
      <c r="D200" s="3">
        <v>0.6</v>
      </c>
      <c r="E200" s="3">
        <v>0.3</v>
      </c>
      <c r="F200" s="6">
        <v>605.77020300000004</v>
      </c>
      <c r="G200" s="3">
        <v>1E-3</v>
      </c>
      <c r="I200" s="3" t="s">
        <v>108</v>
      </c>
      <c r="J200" s="3">
        <v>0.09</v>
      </c>
      <c r="K200" s="7">
        <v>633.58630400000004</v>
      </c>
      <c r="L200" s="3">
        <v>0</v>
      </c>
      <c r="M200" s="3">
        <f t="shared" si="20"/>
        <v>0.19500000000000001</v>
      </c>
      <c r="N200" s="5"/>
      <c r="O200" s="5"/>
      <c r="P200" s="5"/>
      <c r="Q200" s="5"/>
      <c r="R200" s="1"/>
      <c r="S200" s="3" t="s">
        <v>108</v>
      </c>
      <c r="T200" s="3">
        <v>0.9</v>
      </c>
      <c r="U200" s="3">
        <v>0.5</v>
      </c>
      <c r="V200" s="3">
        <v>0.6</v>
      </c>
      <c r="W200" s="3">
        <v>0.3</v>
      </c>
      <c r="X200" s="6">
        <v>595.51824999999997</v>
      </c>
      <c r="Y200" s="3">
        <v>1E-3</v>
      </c>
      <c r="AA200" s="3" t="s">
        <v>108</v>
      </c>
      <c r="AB200" s="3">
        <v>0.01</v>
      </c>
      <c r="AC200" s="7">
        <v>654.23547399999995</v>
      </c>
      <c r="AD200" s="3">
        <v>0</v>
      </c>
      <c r="AE200" s="3">
        <f t="shared" si="21"/>
        <v>0.155</v>
      </c>
      <c r="AF200" s="5"/>
      <c r="AG200" s="5"/>
      <c r="AH200" s="5"/>
      <c r="AI200" s="5"/>
      <c r="AJ200" s="1"/>
      <c r="AK200" s="3" t="s">
        <v>109</v>
      </c>
      <c r="AL200" s="3">
        <v>0.9</v>
      </c>
      <c r="AM200" s="3">
        <v>0.5</v>
      </c>
      <c r="AN200" s="3">
        <v>0.6</v>
      </c>
      <c r="AO200" s="3">
        <v>0.3</v>
      </c>
      <c r="AP200" s="6">
        <v>887.81640600000003</v>
      </c>
      <c r="AQ200" s="3">
        <v>6.0000000000000001E-3</v>
      </c>
      <c r="AS200" s="3" t="s">
        <v>109</v>
      </c>
      <c r="AT200" s="3">
        <v>0.33</v>
      </c>
      <c r="AU200" s="7">
        <v>918.36608899999999</v>
      </c>
      <c r="AV200" s="3">
        <v>2E-3</v>
      </c>
      <c r="AW200" s="3">
        <f t="shared" si="22"/>
        <v>0.315</v>
      </c>
      <c r="AX200" s="5"/>
      <c r="AY200" s="5"/>
      <c r="AZ200" s="5"/>
      <c r="BA200" s="5"/>
      <c r="BB200" s="1"/>
      <c r="BC200" s="3" t="s">
        <v>109</v>
      </c>
      <c r="BD200" s="3">
        <v>0.9</v>
      </c>
      <c r="BE200" s="3">
        <v>0.5</v>
      </c>
      <c r="BF200" s="3">
        <v>0.6</v>
      </c>
      <c r="BG200" s="3">
        <v>0.3</v>
      </c>
      <c r="BH200" s="6">
        <v>903.18322799999999</v>
      </c>
      <c r="BI200" s="3">
        <v>5.0000000000000001E-3</v>
      </c>
      <c r="BK200" s="3" t="s">
        <v>109</v>
      </c>
      <c r="BL200" s="3">
        <v>0.83</v>
      </c>
      <c r="BM200" s="7">
        <v>1100.3093260000001</v>
      </c>
      <c r="BN200" s="3">
        <v>1E-3</v>
      </c>
      <c r="BO200" s="3">
        <f t="shared" si="23"/>
        <v>0.56499999999999995</v>
      </c>
    </row>
    <row r="201" spans="1:67" x14ac:dyDescent="0.3">
      <c r="A201" s="3" t="s">
        <v>110</v>
      </c>
      <c r="B201" s="3">
        <v>0.9</v>
      </c>
      <c r="C201" s="3">
        <v>0.5</v>
      </c>
      <c r="D201" s="3">
        <v>0.6</v>
      </c>
      <c r="E201" s="3">
        <v>0.3</v>
      </c>
      <c r="F201" s="6">
        <v>603.15508999999997</v>
      </c>
      <c r="G201" s="3">
        <v>1E-3</v>
      </c>
      <c r="I201" s="3" t="s">
        <v>110</v>
      </c>
      <c r="J201" s="3">
        <v>0.67</v>
      </c>
      <c r="K201" s="7">
        <v>633.26293899999996</v>
      </c>
      <c r="L201" s="3">
        <v>0</v>
      </c>
      <c r="M201" s="3">
        <f t="shared" si="20"/>
        <v>0.48499999999999999</v>
      </c>
      <c r="N201" s="5"/>
      <c r="O201" s="5"/>
      <c r="P201" s="5"/>
      <c r="Q201" s="5"/>
      <c r="R201" s="1"/>
      <c r="S201" s="3" t="s">
        <v>110</v>
      </c>
      <c r="T201" s="3">
        <v>0.9</v>
      </c>
      <c r="U201" s="3">
        <v>0.5</v>
      </c>
      <c r="V201" s="3">
        <v>0.6</v>
      </c>
      <c r="W201" s="3">
        <v>0.3</v>
      </c>
      <c r="X201" s="6">
        <v>592.05535899999995</v>
      </c>
      <c r="Y201" s="3">
        <v>1E-3</v>
      </c>
      <c r="AA201" s="3" t="s">
        <v>110</v>
      </c>
      <c r="AB201" s="3">
        <v>0.56999999999999995</v>
      </c>
      <c r="AC201" s="7">
        <v>629.30108600000005</v>
      </c>
      <c r="AD201" s="3">
        <v>0</v>
      </c>
      <c r="AE201" s="3">
        <f t="shared" si="21"/>
        <v>0.43499999999999994</v>
      </c>
      <c r="AF201" s="5"/>
      <c r="AG201" s="5"/>
      <c r="AH201" s="5"/>
      <c r="AI201" s="5"/>
      <c r="AJ201" s="1"/>
      <c r="AK201" s="3" t="s">
        <v>111</v>
      </c>
      <c r="AL201" s="3">
        <v>0.9</v>
      </c>
      <c r="AM201" s="3">
        <v>0.5</v>
      </c>
      <c r="AN201" s="3">
        <v>0.6</v>
      </c>
      <c r="AO201" s="3">
        <v>0.3</v>
      </c>
      <c r="AP201" s="6">
        <v>995.270081</v>
      </c>
      <c r="AQ201" s="3">
        <v>8.9999999999999993E-3</v>
      </c>
      <c r="AS201" s="3" t="s">
        <v>111</v>
      </c>
      <c r="AT201" s="3">
        <v>0.54</v>
      </c>
      <c r="AU201" s="7">
        <v>1098.7335210000001</v>
      </c>
      <c r="AV201" s="3">
        <v>0</v>
      </c>
      <c r="AW201" s="3">
        <f t="shared" si="22"/>
        <v>0.42000000000000004</v>
      </c>
      <c r="AX201" s="5"/>
      <c r="AY201" s="5"/>
      <c r="AZ201" s="5"/>
      <c r="BA201" s="5"/>
      <c r="BB201" s="1"/>
      <c r="BC201" s="3" t="s">
        <v>111</v>
      </c>
      <c r="BD201" s="3">
        <v>0.9</v>
      </c>
      <c r="BE201" s="3">
        <v>0.5</v>
      </c>
      <c r="BF201" s="3">
        <v>0.6</v>
      </c>
      <c r="BG201" s="3">
        <v>0.3</v>
      </c>
      <c r="BH201" s="6">
        <v>996.55578600000001</v>
      </c>
      <c r="BI201" s="3">
        <v>5.0000000000000001E-3</v>
      </c>
      <c r="BK201" s="3" t="s">
        <v>111</v>
      </c>
      <c r="BL201" s="3">
        <v>0.82</v>
      </c>
      <c r="BM201" s="7">
        <v>1158.380737</v>
      </c>
      <c r="BN201" s="3">
        <v>2E-3</v>
      </c>
      <c r="BO201" s="3">
        <f t="shared" si="23"/>
        <v>0.55999999999999994</v>
      </c>
    </row>
    <row r="202" spans="1:67" x14ac:dyDescent="0.3">
      <c r="A202" s="3" t="s">
        <v>112</v>
      </c>
      <c r="B202" s="3">
        <v>0.9</v>
      </c>
      <c r="C202" s="3">
        <v>0.5</v>
      </c>
      <c r="D202" s="3">
        <v>0.6</v>
      </c>
      <c r="E202" s="3">
        <v>0.3</v>
      </c>
      <c r="F202" s="6">
        <v>473.782532</v>
      </c>
      <c r="G202" s="3">
        <v>1E-3</v>
      </c>
      <c r="I202" s="3" t="s">
        <v>112</v>
      </c>
      <c r="J202" s="3">
        <v>0.99</v>
      </c>
      <c r="K202" s="7">
        <v>543.12066700000003</v>
      </c>
      <c r="L202" s="3">
        <v>0</v>
      </c>
      <c r="M202" s="3">
        <f t="shared" si="20"/>
        <v>0.64500000000000002</v>
      </c>
      <c r="N202" s="5"/>
      <c r="O202" s="5"/>
      <c r="P202" s="5"/>
      <c r="Q202" s="5"/>
      <c r="R202" s="1"/>
      <c r="S202" s="3" t="s">
        <v>112</v>
      </c>
      <c r="T202" s="3">
        <v>0.9</v>
      </c>
      <c r="U202" s="3">
        <v>0.5</v>
      </c>
      <c r="V202" s="3">
        <v>0.6</v>
      </c>
      <c r="W202" s="3">
        <v>0.3</v>
      </c>
      <c r="X202" s="6">
        <v>462.56518599999998</v>
      </c>
      <c r="Y202" s="3">
        <v>0</v>
      </c>
      <c r="AA202" s="3" t="s">
        <v>112</v>
      </c>
      <c r="AB202" s="3">
        <v>0.03</v>
      </c>
      <c r="AC202" s="7">
        <v>489.10668900000002</v>
      </c>
      <c r="AD202" s="3">
        <v>0</v>
      </c>
      <c r="AE202" s="3">
        <f t="shared" si="21"/>
        <v>0.16499999999999998</v>
      </c>
      <c r="AF202" s="5"/>
      <c r="AG202" s="5"/>
      <c r="AH202" s="5"/>
      <c r="AI202" s="5"/>
      <c r="AJ202" s="1"/>
      <c r="AK202" s="3" t="s">
        <v>113</v>
      </c>
      <c r="AL202" s="3">
        <v>0.9</v>
      </c>
      <c r="AM202" s="3">
        <v>0.5</v>
      </c>
      <c r="AN202" s="3">
        <v>0.6</v>
      </c>
      <c r="AO202" s="3">
        <v>0.3</v>
      </c>
      <c r="AP202" s="6">
        <v>897.05621299999996</v>
      </c>
      <c r="AQ202" s="3">
        <v>5.0000000000000001E-3</v>
      </c>
      <c r="AS202" s="3" t="s">
        <v>113</v>
      </c>
      <c r="AT202" s="3">
        <v>0.39</v>
      </c>
      <c r="AU202" s="7">
        <v>959.87658699999997</v>
      </c>
      <c r="AV202" s="3">
        <v>0</v>
      </c>
      <c r="AW202" s="3">
        <f t="shared" si="22"/>
        <v>0.34499999999999997</v>
      </c>
      <c r="AX202" s="5"/>
      <c r="AY202" s="5"/>
      <c r="AZ202" s="5"/>
      <c r="BA202" s="5"/>
      <c r="BB202" s="1"/>
      <c r="BC202" s="3" t="s">
        <v>113</v>
      </c>
      <c r="BD202" s="3">
        <v>0.9</v>
      </c>
      <c r="BE202" s="3">
        <v>0.5</v>
      </c>
      <c r="BF202" s="3">
        <v>0.6</v>
      </c>
      <c r="BG202" s="3">
        <v>0.3</v>
      </c>
      <c r="BH202" s="6">
        <v>921.22875999999997</v>
      </c>
      <c r="BI202" s="3">
        <v>4.0000000000000001E-3</v>
      </c>
      <c r="BK202" s="3" t="s">
        <v>113</v>
      </c>
      <c r="BL202" s="3">
        <v>0.36</v>
      </c>
      <c r="BM202" s="7">
        <v>928.89636199999995</v>
      </c>
      <c r="BN202" s="3">
        <v>0</v>
      </c>
      <c r="BO202" s="3">
        <f t="shared" si="23"/>
        <v>0.32999999999999996</v>
      </c>
    </row>
    <row r="203" spans="1:67" x14ac:dyDescent="0.3">
      <c r="A203" s="3" t="s">
        <v>114</v>
      </c>
      <c r="B203" s="3">
        <v>0.9</v>
      </c>
      <c r="C203" s="3">
        <v>0.5</v>
      </c>
      <c r="D203" s="3">
        <v>0.6</v>
      </c>
      <c r="E203" s="3">
        <v>0.3</v>
      </c>
      <c r="F203" s="6">
        <v>602.31042500000001</v>
      </c>
      <c r="G203" s="3">
        <v>1E-3</v>
      </c>
      <c r="I203" s="3" t="s">
        <v>114</v>
      </c>
      <c r="J203" s="3">
        <v>0.49</v>
      </c>
      <c r="K203" s="7">
        <v>634.22955300000001</v>
      </c>
      <c r="L203" s="3">
        <v>0</v>
      </c>
      <c r="M203" s="3">
        <f t="shared" si="20"/>
        <v>0.39500000000000002</v>
      </c>
      <c r="N203" s="5"/>
      <c r="O203" s="5"/>
      <c r="P203" s="5"/>
      <c r="Q203" s="5"/>
      <c r="R203" s="1"/>
      <c r="S203" s="3" t="s">
        <v>114</v>
      </c>
      <c r="T203" s="3">
        <v>0.9</v>
      </c>
      <c r="U203" s="3">
        <v>0.5</v>
      </c>
      <c r="V203" s="3">
        <v>0.6</v>
      </c>
      <c r="W203" s="3">
        <v>0.3</v>
      </c>
      <c r="X203" s="6">
        <v>590.68158000000005</v>
      </c>
      <c r="Y203" s="3">
        <v>2E-3</v>
      </c>
      <c r="AA203" s="3" t="s">
        <v>114</v>
      </c>
      <c r="AB203" s="3">
        <v>0.5</v>
      </c>
      <c r="AC203" s="7">
        <v>632.73828100000003</v>
      </c>
      <c r="AD203" s="3">
        <v>0</v>
      </c>
      <c r="AE203" s="3">
        <f t="shared" si="21"/>
        <v>0.4</v>
      </c>
      <c r="AF203" s="5"/>
      <c r="AG203" s="5"/>
      <c r="AH203" s="5"/>
      <c r="AI203" s="5"/>
      <c r="AJ203" s="1"/>
      <c r="AK203" s="3" t="s">
        <v>115</v>
      </c>
      <c r="AL203" s="3">
        <v>0.9</v>
      </c>
      <c r="AM203" s="3">
        <v>0.5</v>
      </c>
      <c r="AN203" s="3">
        <v>0.6</v>
      </c>
      <c r="AO203" s="3">
        <v>0.3</v>
      </c>
      <c r="AP203" s="6">
        <v>1016.844543</v>
      </c>
      <c r="AQ203" s="3">
        <v>1.4E-2</v>
      </c>
      <c r="AS203" s="3" t="s">
        <v>115</v>
      </c>
      <c r="AT203" s="3">
        <v>0.92</v>
      </c>
      <c r="AU203" s="7">
        <v>1335.111206</v>
      </c>
      <c r="AV203" s="3">
        <v>1E-3</v>
      </c>
      <c r="AW203" s="3">
        <f t="shared" si="22"/>
        <v>0.61</v>
      </c>
      <c r="AX203" s="5"/>
      <c r="AY203" s="5"/>
      <c r="AZ203" s="5"/>
      <c r="BA203" s="5"/>
      <c r="BB203" s="1"/>
      <c r="BC203" s="3" t="s">
        <v>115</v>
      </c>
      <c r="BD203" s="3">
        <v>0.9</v>
      </c>
      <c r="BE203" s="3">
        <v>0.5</v>
      </c>
      <c r="BF203" s="3">
        <v>0.6</v>
      </c>
      <c r="BG203" s="3">
        <v>0.3</v>
      </c>
      <c r="BH203" s="7">
        <v>1031.8939210000001</v>
      </c>
      <c r="BI203" s="3">
        <v>7.0000000000000001E-3</v>
      </c>
      <c r="BK203" s="3" t="s">
        <v>115</v>
      </c>
      <c r="BL203" s="3">
        <v>0.13</v>
      </c>
      <c r="BM203" s="6">
        <v>881.87365699999998</v>
      </c>
      <c r="BN203" s="3">
        <v>1E-3</v>
      </c>
      <c r="BO203" s="3">
        <f t="shared" si="23"/>
        <v>0.215</v>
      </c>
    </row>
    <row r="204" spans="1:67" x14ac:dyDescent="0.3">
      <c r="A204" s="3" t="s">
        <v>116</v>
      </c>
      <c r="B204" s="3">
        <v>0.9</v>
      </c>
      <c r="C204" s="3">
        <v>0.5</v>
      </c>
      <c r="D204" s="3">
        <v>0.6</v>
      </c>
      <c r="E204" s="3">
        <v>0.3</v>
      </c>
      <c r="F204" s="6">
        <v>644.91931199999999</v>
      </c>
      <c r="G204" s="3">
        <v>1E-3</v>
      </c>
      <c r="I204" s="3" t="s">
        <v>116</v>
      </c>
      <c r="J204" s="3">
        <v>0.7</v>
      </c>
      <c r="K204" s="7">
        <v>670.37744099999998</v>
      </c>
      <c r="L204" s="3">
        <v>0</v>
      </c>
      <c r="M204" s="3">
        <f t="shared" si="20"/>
        <v>0.5</v>
      </c>
      <c r="N204" s="5"/>
      <c r="O204" s="5"/>
      <c r="P204" s="5"/>
      <c r="Q204" s="5"/>
      <c r="R204" s="1"/>
      <c r="S204" s="3" t="s">
        <v>116</v>
      </c>
      <c r="T204" s="3">
        <v>0.9</v>
      </c>
      <c r="U204" s="3">
        <v>0.5</v>
      </c>
      <c r="V204" s="3">
        <v>0.6</v>
      </c>
      <c r="W204" s="3">
        <v>0.3</v>
      </c>
      <c r="X204" s="6">
        <v>643.04742399999998</v>
      </c>
      <c r="Y204" s="3">
        <v>1E-3</v>
      </c>
      <c r="AA204" s="3" t="s">
        <v>116</v>
      </c>
      <c r="AB204" s="3">
        <v>0.37</v>
      </c>
      <c r="AC204" s="7">
        <v>648.21148700000003</v>
      </c>
      <c r="AD204" s="3">
        <v>0</v>
      </c>
      <c r="AE204" s="3">
        <f t="shared" si="21"/>
        <v>0.33499999999999996</v>
      </c>
      <c r="AF204" s="5"/>
      <c r="AG204" s="5"/>
      <c r="AH204" s="5"/>
      <c r="AI204" s="5"/>
      <c r="AJ204" s="1"/>
      <c r="AK204" s="3" t="s">
        <v>117</v>
      </c>
      <c r="AL204" s="3">
        <v>0.9</v>
      </c>
      <c r="AM204" s="3">
        <v>0.5</v>
      </c>
      <c r="AN204" s="3">
        <v>0.6</v>
      </c>
      <c r="AO204" s="3">
        <v>0.3</v>
      </c>
      <c r="AP204" s="6">
        <v>972.33142099999998</v>
      </c>
      <c r="AQ204" s="3">
        <v>5.0000000000000001E-3</v>
      </c>
      <c r="AS204" s="3" t="s">
        <v>117</v>
      </c>
      <c r="AT204" s="3">
        <v>0.89</v>
      </c>
      <c r="AU204" s="7">
        <v>1166.915039</v>
      </c>
      <c r="AV204" s="3">
        <v>1E-3</v>
      </c>
      <c r="AW204" s="3">
        <f t="shared" si="22"/>
        <v>0.59499999999999997</v>
      </c>
      <c r="AX204" s="5"/>
      <c r="AY204" s="5"/>
      <c r="AZ204" s="5"/>
      <c r="BA204" s="5"/>
      <c r="BB204" s="1"/>
      <c r="BC204" s="3" t="s">
        <v>117</v>
      </c>
      <c r="BD204" s="3">
        <v>0.9</v>
      </c>
      <c r="BE204" s="3">
        <v>0.5</v>
      </c>
      <c r="BF204" s="3">
        <v>0.6</v>
      </c>
      <c r="BG204" s="3">
        <v>0.3</v>
      </c>
      <c r="BH204" s="6">
        <v>969.48944100000006</v>
      </c>
      <c r="BI204" s="3">
        <v>5.0000000000000001E-3</v>
      </c>
      <c r="BK204" s="3" t="s">
        <v>117</v>
      </c>
      <c r="BL204" s="3">
        <v>0.37</v>
      </c>
      <c r="BM204" s="7">
        <v>1005.928284</v>
      </c>
      <c r="BN204" s="3">
        <v>0</v>
      </c>
      <c r="BO204" s="3">
        <f t="shared" si="23"/>
        <v>0.33499999999999996</v>
      </c>
    </row>
    <row r="205" spans="1:67" x14ac:dyDescent="0.3">
      <c r="A205" s="3" t="s">
        <v>118</v>
      </c>
      <c r="B205" s="3">
        <v>0.9</v>
      </c>
      <c r="C205" s="3">
        <v>0.5</v>
      </c>
      <c r="D205" s="3">
        <v>0.6</v>
      </c>
      <c r="E205" s="3">
        <v>0.3</v>
      </c>
      <c r="F205" s="6">
        <v>571.61261000000002</v>
      </c>
      <c r="G205" s="3">
        <v>2E-3</v>
      </c>
      <c r="I205" s="3" t="s">
        <v>118</v>
      </c>
      <c r="J205" s="3">
        <v>0.62</v>
      </c>
      <c r="K205" s="7">
        <v>627.90258800000004</v>
      </c>
      <c r="L205" s="3">
        <v>0</v>
      </c>
      <c r="M205" s="3">
        <f t="shared" si="20"/>
        <v>0.45999999999999996</v>
      </c>
      <c r="N205" s="5"/>
      <c r="O205" s="5"/>
      <c r="P205" s="5"/>
      <c r="Q205" s="5"/>
      <c r="R205" s="1"/>
      <c r="S205" s="3" t="s">
        <v>118</v>
      </c>
      <c r="T205" s="3">
        <v>0.9</v>
      </c>
      <c r="U205" s="3">
        <v>0.5</v>
      </c>
      <c r="V205" s="3">
        <v>0.6</v>
      </c>
      <c r="W205" s="3">
        <v>0.3</v>
      </c>
      <c r="X205" s="6">
        <v>579.28356900000006</v>
      </c>
      <c r="Y205" s="3">
        <v>1E-3</v>
      </c>
      <c r="AA205" s="3" t="s">
        <v>118</v>
      </c>
      <c r="AB205" s="3">
        <v>0.63</v>
      </c>
      <c r="AC205" s="7">
        <v>610.20642099999998</v>
      </c>
      <c r="AD205" s="3">
        <v>0</v>
      </c>
      <c r="AE205" s="3">
        <f t="shared" si="21"/>
        <v>0.46499999999999997</v>
      </c>
      <c r="AF205" s="5"/>
      <c r="AG205" s="5"/>
      <c r="AH205" s="5"/>
      <c r="AI205" s="5"/>
      <c r="AJ205" s="1"/>
      <c r="AK205" s="3" t="s">
        <v>119</v>
      </c>
      <c r="AL205" s="3">
        <v>0.9</v>
      </c>
      <c r="AM205" s="3">
        <v>0.5</v>
      </c>
      <c r="AN205" s="3">
        <v>0.6</v>
      </c>
      <c r="AO205" s="3">
        <v>0.3</v>
      </c>
      <c r="AP205" s="6">
        <v>994.38909899999999</v>
      </c>
      <c r="AQ205" s="3">
        <v>5.0000000000000001E-3</v>
      </c>
      <c r="AS205" s="3" t="s">
        <v>119</v>
      </c>
      <c r="AT205" s="3">
        <v>0.5</v>
      </c>
      <c r="AU205" s="7">
        <v>1111.4384769999999</v>
      </c>
      <c r="AV205" s="3">
        <v>1E-3</v>
      </c>
      <c r="AW205" s="3">
        <f t="shared" si="22"/>
        <v>0.4</v>
      </c>
      <c r="AX205" s="5"/>
      <c r="AY205" s="5"/>
      <c r="AZ205" s="5"/>
      <c r="BA205" s="5"/>
      <c r="BB205" s="1"/>
      <c r="BC205" s="3" t="s">
        <v>119</v>
      </c>
      <c r="BD205" s="3">
        <v>0.9</v>
      </c>
      <c r="BE205" s="3">
        <v>0.5</v>
      </c>
      <c r="BF205" s="3">
        <v>0.6</v>
      </c>
      <c r="BG205" s="3">
        <v>0.3</v>
      </c>
      <c r="BH205" s="7">
        <v>1012.809875</v>
      </c>
      <c r="BI205" s="3">
        <v>8.0000000000000002E-3</v>
      </c>
      <c r="BK205" s="3" t="s">
        <v>119</v>
      </c>
      <c r="BL205" s="3">
        <v>0.06</v>
      </c>
      <c r="BM205" s="6">
        <v>823.41870100000006</v>
      </c>
      <c r="BN205" s="3">
        <v>0</v>
      </c>
      <c r="BO205" s="3">
        <f t="shared" si="23"/>
        <v>0.18</v>
      </c>
    </row>
    <row r="206" spans="1:67" x14ac:dyDescent="0.3">
      <c r="A206" s="3" t="s">
        <v>120</v>
      </c>
      <c r="B206" s="3">
        <v>0.9</v>
      </c>
      <c r="C206" s="3">
        <v>0.5</v>
      </c>
      <c r="D206" s="3">
        <v>0.6</v>
      </c>
      <c r="E206" s="3">
        <v>0.3</v>
      </c>
      <c r="F206" s="6">
        <v>709.50439500000005</v>
      </c>
      <c r="G206" s="3">
        <v>2E-3</v>
      </c>
      <c r="I206" s="3" t="s">
        <v>120</v>
      </c>
      <c r="J206" s="3">
        <v>0.52</v>
      </c>
      <c r="K206" s="7">
        <v>758.731628</v>
      </c>
      <c r="L206" s="3">
        <v>0</v>
      </c>
      <c r="M206" s="3">
        <f t="shared" si="20"/>
        <v>0.41000000000000003</v>
      </c>
      <c r="N206" s="5"/>
      <c r="O206" s="5"/>
      <c r="P206" s="5"/>
      <c r="Q206" s="5"/>
      <c r="R206" s="1"/>
      <c r="S206" s="3" t="s">
        <v>120</v>
      </c>
      <c r="T206" s="3">
        <v>0.9</v>
      </c>
      <c r="U206" s="3">
        <v>0.5</v>
      </c>
      <c r="V206" s="3">
        <v>0.6</v>
      </c>
      <c r="W206" s="3">
        <v>0.3</v>
      </c>
      <c r="X206" s="6">
        <v>712.93017599999996</v>
      </c>
      <c r="Y206" s="3">
        <v>1E-3</v>
      </c>
      <c r="AA206" s="3" t="s">
        <v>120</v>
      </c>
      <c r="AB206" s="3">
        <v>0.7</v>
      </c>
      <c r="AC206" s="7">
        <v>764.49749799999995</v>
      </c>
      <c r="AD206" s="3">
        <v>1E-3</v>
      </c>
      <c r="AE206" s="3">
        <f t="shared" si="21"/>
        <v>0.5</v>
      </c>
      <c r="AF206" s="5"/>
      <c r="AG206" s="5"/>
      <c r="AH206" s="5"/>
      <c r="AI206" s="5"/>
      <c r="AJ206" s="1"/>
      <c r="AK206" s="3" t="s">
        <v>121</v>
      </c>
      <c r="AL206" s="3">
        <v>0.9</v>
      </c>
      <c r="AM206" s="3">
        <v>0.5</v>
      </c>
      <c r="AN206" s="3">
        <v>0.6</v>
      </c>
      <c r="AO206" s="3">
        <v>0.3</v>
      </c>
      <c r="AP206" s="6">
        <v>1024.392822</v>
      </c>
      <c r="AQ206" s="3">
        <v>8.0000000000000002E-3</v>
      </c>
      <c r="AS206" s="3" t="s">
        <v>121</v>
      </c>
      <c r="AT206" s="3">
        <v>0.61</v>
      </c>
      <c r="AU206" s="7">
        <v>1150.7818600000001</v>
      </c>
      <c r="AV206" s="3">
        <v>1E-3</v>
      </c>
      <c r="AW206" s="3">
        <f t="shared" si="22"/>
        <v>0.45499999999999996</v>
      </c>
      <c r="AX206" s="5"/>
      <c r="AY206" s="5"/>
      <c r="AZ206" s="5"/>
      <c r="BA206" s="5"/>
      <c r="BB206" s="1"/>
      <c r="BC206" s="3" t="s">
        <v>121</v>
      </c>
      <c r="BD206" s="3">
        <v>0.9</v>
      </c>
      <c r="BE206" s="3">
        <v>0.5</v>
      </c>
      <c r="BF206" s="3">
        <v>0.6</v>
      </c>
      <c r="BG206" s="3">
        <v>0.3</v>
      </c>
      <c r="BH206" s="7">
        <v>1036.9761960000001</v>
      </c>
      <c r="BI206" s="3">
        <v>6.0000000000000001E-3</v>
      </c>
      <c r="BK206" s="3" t="s">
        <v>121</v>
      </c>
      <c r="BL206" s="3">
        <v>0.15</v>
      </c>
      <c r="BM206" s="6">
        <v>904.03796399999999</v>
      </c>
      <c r="BN206" s="3">
        <v>1E-3</v>
      </c>
      <c r="BO206" s="3">
        <f t="shared" si="23"/>
        <v>0.22499999999999998</v>
      </c>
    </row>
    <row r="207" spans="1:67" x14ac:dyDescent="0.3">
      <c r="A207" s="3" t="s">
        <v>122</v>
      </c>
      <c r="B207" s="3">
        <v>0.9</v>
      </c>
      <c r="C207" s="3">
        <v>0.5</v>
      </c>
      <c r="D207" s="3">
        <v>0.6</v>
      </c>
      <c r="E207" s="3">
        <v>0.3</v>
      </c>
      <c r="F207" s="6">
        <v>658.18322799999999</v>
      </c>
      <c r="G207" s="3">
        <v>3.0000000000000001E-3</v>
      </c>
      <c r="I207" s="3" t="s">
        <v>122</v>
      </c>
      <c r="J207" s="3">
        <v>0.05</v>
      </c>
      <c r="K207" s="7">
        <v>675.68048099999999</v>
      </c>
      <c r="L207" s="3">
        <v>1E-3</v>
      </c>
      <c r="M207" s="3">
        <f t="shared" si="20"/>
        <v>0.17499999999999999</v>
      </c>
      <c r="N207" s="5"/>
      <c r="O207" s="5"/>
      <c r="P207" s="5"/>
      <c r="Q207" s="5"/>
      <c r="R207" s="1"/>
      <c r="S207" s="3" t="s">
        <v>122</v>
      </c>
      <c r="T207" s="3">
        <v>0.9</v>
      </c>
      <c r="U207" s="3">
        <v>0.5</v>
      </c>
      <c r="V207" s="3">
        <v>0.6</v>
      </c>
      <c r="W207" s="3">
        <v>0.3</v>
      </c>
      <c r="X207" s="7">
        <v>650.97729500000003</v>
      </c>
      <c r="Y207" s="3">
        <v>1E-3</v>
      </c>
      <c r="AA207" s="3" t="s">
        <v>122</v>
      </c>
      <c r="AB207" s="3">
        <v>0.17</v>
      </c>
      <c r="AC207" s="6">
        <v>634.35900900000001</v>
      </c>
      <c r="AD207" s="3">
        <v>0</v>
      </c>
      <c r="AE207" s="3">
        <f t="shared" si="21"/>
        <v>0.23499999999999999</v>
      </c>
      <c r="AF207" s="5"/>
      <c r="AG207" s="5"/>
      <c r="AH207" s="5"/>
      <c r="AI207" s="5"/>
      <c r="AJ207" s="1"/>
      <c r="AK207" s="3" t="s">
        <v>123</v>
      </c>
      <c r="AL207" s="3">
        <v>0.9</v>
      </c>
      <c r="AM207" s="3">
        <v>0.5</v>
      </c>
      <c r="AN207" s="3">
        <v>0.6</v>
      </c>
      <c r="AO207" s="3">
        <v>0.3</v>
      </c>
      <c r="AP207" s="6">
        <v>998.46057099999996</v>
      </c>
      <c r="AQ207" s="3">
        <v>5.0000000000000001E-3</v>
      </c>
      <c r="AS207" s="3" t="s">
        <v>123</v>
      </c>
      <c r="AT207" s="3">
        <v>0.52</v>
      </c>
      <c r="AU207" s="7">
        <v>1106.572388</v>
      </c>
      <c r="AV207" s="3">
        <v>1E-3</v>
      </c>
      <c r="AW207" s="3">
        <f t="shared" si="22"/>
        <v>0.41000000000000003</v>
      </c>
      <c r="AX207" s="5"/>
      <c r="AY207" s="5"/>
      <c r="AZ207" s="5"/>
      <c r="BA207" s="5"/>
      <c r="BB207" s="1"/>
      <c r="BC207" s="3" t="s">
        <v>123</v>
      </c>
      <c r="BD207" s="3">
        <v>0.9</v>
      </c>
      <c r="BE207" s="3">
        <v>0.5</v>
      </c>
      <c r="BF207" s="3">
        <v>0.6</v>
      </c>
      <c r="BG207" s="3">
        <v>0.3</v>
      </c>
      <c r="BH207" s="6">
        <v>1010.304077</v>
      </c>
      <c r="BI207" s="3">
        <v>6.0000000000000001E-3</v>
      </c>
      <c r="BK207" s="3" t="s">
        <v>123</v>
      </c>
      <c r="BL207" s="3">
        <v>0.47</v>
      </c>
      <c r="BM207" s="7">
        <v>1090.9372559999999</v>
      </c>
      <c r="BN207" s="3">
        <v>1E-3</v>
      </c>
      <c r="BO207" s="3">
        <f t="shared" si="23"/>
        <v>0.38500000000000001</v>
      </c>
    </row>
    <row r="208" spans="1:67" x14ac:dyDescent="0.3">
      <c r="A208" s="3" t="s">
        <v>124</v>
      </c>
      <c r="B208" s="3">
        <v>0.9</v>
      </c>
      <c r="C208" s="3">
        <v>0.5</v>
      </c>
      <c r="D208" s="3">
        <v>0.6</v>
      </c>
      <c r="E208" s="3">
        <v>0.3</v>
      </c>
      <c r="F208" s="6">
        <v>561.05938700000002</v>
      </c>
      <c r="G208" s="3">
        <v>2E-3</v>
      </c>
      <c r="I208" s="3" t="s">
        <v>124</v>
      </c>
      <c r="J208" s="3">
        <v>0.77</v>
      </c>
      <c r="K208" s="7">
        <v>633.95819100000006</v>
      </c>
      <c r="L208" s="3">
        <v>0</v>
      </c>
      <c r="M208" s="3">
        <f t="shared" si="20"/>
        <v>0.53500000000000003</v>
      </c>
      <c r="N208" s="5"/>
      <c r="O208" s="5"/>
      <c r="P208" s="5"/>
      <c r="Q208" s="5"/>
      <c r="R208" s="1"/>
      <c r="S208" s="3" t="s">
        <v>124</v>
      </c>
      <c r="T208" s="3">
        <v>0.9</v>
      </c>
      <c r="U208" s="3">
        <v>0.5</v>
      </c>
      <c r="V208" s="3">
        <v>0.6</v>
      </c>
      <c r="W208" s="3">
        <v>0.3</v>
      </c>
      <c r="X208" s="6">
        <v>567.65368699999999</v>
      </c>
      <c r="Y208" s="3">
        <v>1E-3</v>
      </c>
      <c r="AA208" s="3" t="s">
        <v>124</v>
      </c>
      <c r="AB208" s="3">
        <v>0.99</v>
      </c>
      <c r="AC208" s="7">
        <v>655.81347700000003</v>
      </c>
      <c r="AD208" s="3">
        <v>0</v>
      </c>
      <c r="AE208" s="3">
        <f t="shared" si="21"/>
        <v>0.64500000000000002</v>
      </c>
      <c r="AF208" s="5"/>
      <c r="AG208" s="5"/>
      <c r="AH208" s="5"/>
      <c r="AI208" s="5"/>
      <c r="AJ208" s="1"/>
      <c r="AK208" s="3" t="s">
        <v>125</v>
      </c>
      <c r="AL208" s="3">
        <v>0.9</v>
      </c>
      <c r="AM208" s="3">
        <v>0.5</v>
      </c>
      <c r="AN208" s="3">
        <v>0.6</v>
      </c>
      <c r="AO208" s="3">
        <v>0.3</v>
      </c>
      <c r="AP208" s="6">
        <v>1052.783447</v>
      </c>
      <c r="AQ208" s="3">
        <v>7.0000000000000001E-3</v>
      </c>
      <c r="AS208" s="3" t="s">
        <v>125</v>
      </c>
      <c r="AT208" s="3">
        <v>0.34</v>
      </c>
      <c r="AU208" s="7">
        <v>1075.5177000000001</v>
      </c>
      <c r="AV208" s="3">
        <v>1E-3</v>
      </c>
      <c r="AW208" s="3">
        <f t="shared" si="22"/>
        <v>0.32</v>
      </c>
      <c r="AX208" s="5"/>
      <c r="AY208" s="5"/>
      <c r="AZ208" s="5"/>
      <c r="BA208" s="5"/>
      <c r="BB208" s="1"/>
      <c r="BC208" s="3" t="s">
        <v>125</v>
      </c>
      <c r="BD208" s="3">
        <v>0.9</v>
      </c>
      <c r="BE208" s="3">
        <v>0.5</v>
      </c>
      <c r="BF208" s="3">
        <v>0.6</v>
      </c>
      <c r="BG208" s="3">
        <v>0.3</v>
      </c>
      <c r="BH208" s="6">
        <v>1060.5048830000001</v>
      </c>
      <c r="BI208" s="3">
        <v>6.0000000000000001E-3</v>
      </c>
      <c r="BK208" s="3" t="s">
        <v>125</v>
      </c>
      <c r="BL208" s="3">
        <v>0.81</v>
      </c>
      <c r="BM208" s="7">
        <v>1248.3580320000001</v>
      </c>
      <c r="BN208" s="3">
        <v>1E-3</v>
      </c>
      <c r="BO208" s="3">
        <f t="shared" si="23"/>
        <v>0.55500000000000005</v>
      </c>
    </row>
    <row r="209" spans="1:71" x14ac:dyDescent="0.3">
      <c r="A209" s="3" t="s">
        <v>126</v>
      </c>
      <c r="B209" s="3">
        <v>0.9</v>
      </c>
      <c r="C209" s="3">
        <v>0.5</v>
      </c>
      <c r="D209" s="3">
        <v>0.6</v>
      </c>
      <c r="E209" s="3">
        <v>0.3</v>
      </c>
      <c r="F209" s="7">
        <v>627.63568099999998</v>
      </c>
      <c r="G209" s="3">
        <v>1E-3</v>
      </c>
      <c r="I209" s="3" t="s">
        <v>126</v>
      </c>
      <c r="J209" s="3">
        <v>0.27</v>
      </c>
      <c r="K209" s="6">
        <v>618.49352999999996</v>
      </c>
      <c r="L209" s="3">
        <v>1E-3</v>
      </c>
      <c r="M209" s="3">
        <f t="shared" si="20"/>
        <v>0.28500000000000003</v>
      </c>
      <c r="N209" s="5"/>
      <c r="O209" s="5"/>
      <c r="P209" s="5"/>
      <c r="Q209" s="5"/>
      <c r="R209" s="1"/>
      <c r="S209" s="3" t="s">
        <v>126</v>
      </c>
      <c r="T209" s="3">
        <v>0.9</v>
      </c>
      <c r="U209" s="3">
        <v>0.5</v>
      </c>
      <c r="V209" s="3">
        <v>0.6</v>
      </c>
      <c r="W209" s="3">
        <v>0.3</v>
      </c>
      <c r="X209" s="6">
        <v>614.95318599999996</v>
      </c>
      <c r="Y209" s="3">
        <v>1E-3</v>
      </c>
      <c r="AA209" s="3" t="s">
        <v>126</v>
      </c>
      <c r="AB209" s="3">
        <v>0.88</v>
      </c>
      <c r="AC209" s="7">
        <v>703.21612500000003</v>
      </c>
      <c r="AD209" s="3">
        <v>0</v>
      </c>
      <c r="AE209" s="3">
        <f t="shared" si="21"/>
        <v>0.59</v>
      </c>
      <c r="AF209" s="5"/>
      <c r="AG209" s="5"/>
      <c r="AH209" s="5"/>
      <c r="AI209" s="5"/>
      <c r="AJ209" s="1"/>
      <c r="AK209" s="3" t="s">
        <v>127</v>
      </c>
      <c r="AL209" s="3">
        <v>0.9</v>
      </c>
      <c r="AM209" s="3">
        <v>0.5</v>
      </c>
      <c r="AN209" s="3">
        <v>0.6</v>
      </c>
      <c r="AO209" s="3">
        <v>0.3</v>
      </c>
      <c r="AP209" s="6">
        <v>1045.5164789999999</v>
      </c>
      <c r="AQ209" s="3">
        <v>1.0999999999999999E-2</v>
      </c>
      <c r="AS209" s="3" t="s">
        <v>127</v>
      </c>
      <c r="AT209" s="3">
        <v>0.82</v>
      </c>
      <c r="AU209" s="7">
        <v>1256.1450199999999</v>
      </c>
      <c r="AV209" s="3">
        <v>1E-3</v>
      </c>
      <c r="AW209" s="3">
        <f t="shared" si="22"/>
        <v>0.55999999999999994</v>
      </c>
      <c r="AX209" s="5"/>
      <c r="AY209" s="5"/>
      <c r="AZ209" s="5"/>
      <c r="BA209" s="5"/>
      <c r="BB209" s="1"/>
      <c r="BC209" s="3" t="s">
        <v>127</v>
      </c>
      <c r="BD209" s="3">
        <v>0.9</v>
      </c>
      <c r="BE209" s="3">
        <v>0.5</v>
      </c>
      <c r="BF209" s="3">
        <v>0.6</v>
      </c>
      <c r="BG209" s="3">
        <v>0.3</v>
      </c>
      <c r="BH209" s="6">
        <v>1033.7132570000001</v>
      </c>
      <c r="BI209" s="3">
        <v>6.0000000000000001E-3</v>
      </c>
      <c r="BK209" s="3" t="s">
        <v>127</v>
      </c>
      <c r="BL209" s="3">
        <v>0.47</v>
      </c>
      <c r="BM209" s="7">
        <v>1123.9508060000001</v>
      </c>
      <c r="BN209" s="3">
        <v>1E-3</v>
      </c>
      <c r="BO209" s="3">
        <f t="shared" si="23"/>
        <v>0.38500000000000001</v>
      </c>
    </row>
    <row r="210" spans="1:71" x14ac:dyDescent="0.3">
      <c r="A210" s="3" t="s">
        <v>128</v>
      </c>
      <c r="B210" s="3">
        <v>0.9</v>
      </c>
      <c r="C210" s="3">
        <v>0.5</v>
      </c>
      <c r="D210" s="3">
        <v>0.6</v>
      </c>
      <c r="E210" s="3">
        <v>0.3</v>
      </c>
      <c r="F210" s="6">
        <v>594.78631600000006</v>
      </c>
      <c r="G210" s="3">
        <v>1E-3</v>
      </c>
      <c r="I210" s="3" t="s">
        <v>128</v>
      </c>
      <c r="J210" s="3">
        <v>0.02</v>
      </c>
      <c r="K210" s="7">
        <v>652.480591</v>
      </c>
      <c r="L210" s="3">
        <v>0</v>
      </c>
      <c r="M210" s="3">
        <f t="shared" si="20"/>
        <v>0.16</v>
      </c>
      <c r="N210" s="5"/>
      <c r="O210" s="5"/>
      <c r="P210" s="5"/>
      <c r="Q210" s="5"/>
      <c r="R210" s="1"/>
      <c r="S210" s="3" t="s">
        <v>128</v>
      </c>
      <c r="T210" s="3">
        <v>0.9</v>
      </c>
      <c r="U210" s="3">
        <v>0.5</v>
      </c>
      <c r="V210" s="3">
        <v>0.6</v>
      </c>
      <c r="W210" s="3">
        <v>0.3</v>
      </c>
      <c r="X210" s="6">
        <v>601.212402</v>
      </c>
      <c r="Y210" s="3">
        <v>1E-3</v>
      </c>
      <c r="AA210" s="3" t="s">
        <v>128</v>
      </c>
      <c r="AB210" s="3">
        <v>0.96</v>
      </c>
      <c r="AC210" s="7">
        <v>682.72442599999999</v>
      </c>
      <c r="AD210" s="3">
        <v>0</v>
      </c>
      <c r="AE210" s="3">
        <f t="shared" si="21"/>
        <v>0.63</v>
      </c>
      <c r="AF210" s="5"/>
      <c r="AG210" s="5"/>
      <c r="AH210" s="5"/>
      <c r="AI210" s="5"/>
      <c r="AJ210" s="1"/>
      <c r="AK210" s="3" t="s">
        <v>129</v>
      </c>
      <c r="AL210" s="3">
        <v>0.9</v>
      </c>
      <c r="AM210" s="3">
        <v>0.5</v>
      </c>
      <c r="AN210" s="3">
        <v>0.6</v>
      </c>
      <c r="AO210" s="3">
        <v>0.3</v>
      </c>
      <c r="AP210" s="6">
        <v>1024.1453859999999</v>
      </c>
      <c r="AQ210" s="3">
        <v>8.9999999999999993E-3</v>
      </c>
      <c r="AS210" s="3" t="s">
        <v>129</v>
      </c>
      <c r="AT210" s="3">
        <v>0.77</v>
      </c>
      <c r="AU210" s="7">
        <v>1142.8668210000001</v>
      </c>
      <c r="AV210" s="3">
        <v>1E-3</v>
      </c>
      <c r="AW210" s="3">
        <f t="shared" si="22"/>
        <v>0.53500000000000003</v>
      </c>
      <c r="AX210" s="5"/>
      <c r="AY210" s="5"/>
      <c r="AZ210" s="5"/>
      <c r="BA210" s="5"/>
      <c r="BB210" s="1"/>
      <c r="BC210" s="3" t="s">
        <v>129</v>
      </c>
      <c r="BD210" s="3">
        <v>0.9</v>
      </c>
      <c r="BE210" s="3">
        <v>0.5</v>
      </c>
      <c r="BF210" s="3">
        <v>0.6</v>
      </c>
      <c r="BG210" s="3">
        <v>0.3</v>
      </c>
      <c r="BH210" s="7">
        <v>1007.266296</v>
      </c>
      <c r="BI210" s="3">
        <v>8.0000000000000002E-3</v>
      </c>
      <c r="BK210" s="3" t="s">
        <v>129</v>
      </c>
      <c r="BL210" s="3">
        <v>0.27</v>
      </c>
      <c r="BM210" s="6">
        <v>997.948669</v>
      </c>
      <c r="BN210" s="3">
        <v>1E-3</v>
      </c>
      <c r="BO210" s="3">
        <f t="shared" si="23"/>
        <v>0.28500000000000003</v>
      </c>
    </row>
    <row r="211" spans="1:71" x14ac:dyDescent="0.3">
      <c r="A211" s="3" t="s">
        <v>130</v>
      </c>
      <c r="B211" s="3">
        <v>0.9</v>
      </c>
      <c r="C211" s="3">
        <v>0.5</v>
      </c>
      <c r="D211" s="3">
        <v>0.6</v>
      </c>
      <c r="E211" s="3">
        <v>0.3</v>
      </c>
      <c r="F211" s="6">
        <v>627.75500499999998</v>
      </c>
      <c r="G211" s="3">
        <v>1E-3</v>
      </c>
      <c r="I211" s="3" t="s">
        <v>130</v>
      </c>
      <c r="J211" s="3">
        <v>0.38</v>
      </c>
      <c r="K211" s="7">
        <v>636.80212400000005</v>
      </c>
      <c r="L211" s="3">
        <v>0</v>
      </c>
      <c r="M211" s="3">
        <f t="shared" si="20"/>
        <v>0.33999999999999997</v>
      </c>
      <c r="N211" s="5"/>
      <c r="O211" s="5"/>
      <c r="P211" s="5"/>
      <c r="Q211" s="5"/>
      <c r="R211" s="1"/>
      <c r="S211" s="3" t="s">
        <v>130</v>
      </c>
      <c r="T211" s="3">
        <v>0.9</v>
      </c>
      <c r="U211" s="3">
        <v>0.5</v>
      </c>
      <c r="V211" s="3">
        <v>0.6</v>
      </c>
      <c r="W211" s="3">
        <v>0.3</v>
      </c>
      <c r="X211" s="7">
        <v>644.73529099999996</v>
      </c>
      <c r="Y211" s="3">
        <v>2E-3</v>
      </c>
      <c r="AA211" s="3" t="s">
        <v>130</v>
      </c>
      <c r="AB211" s="3">
        <v>0.12</v>
      </c>
      <c r="AC211" s="6">
        <v>627.17334000000005</v>
      </c>
      <c r="AD211" s="3">
        <v>0</v>
      </c>
      <c r="AE211" s="3">
        <f t="shared" si="21"/>
        <v>0.21</v>
      </c>
      <c r="AF211" s="5"/>
      <c r="AG211" s="5"/>
      <c r="AH211" s="5"/>
      <c r="AI211" s="5"/>
      <c r="AJ211" s="1"/>
      <c r="AK211" s="3" t="s">
        <v>131</v>
      </c>
      <c r="AL211" s="3">
        <v>0.9</v>
      </c>
      <c r="AM211" s="3">
        <v>0.5</v>
      </c>
      <c r="AN211" s="3">
        <v>0.6</v>
      </c>
      <c r="AO211" s="3">
        <v>0.3</v>
      </c>
      <c r="AP211" s="6">
        <v>1024.695068</v>
      </c>
      <c r="AQ211" s="3">
        <v>8.0000000000000002E-3</v>
      </c>
      <c r="AS211" s="3" t="s">
        <v>131</v>
      </c>
      <c r="AT211" s="3">
        <v>0.44</v>
      </c>
      <c r="AU211" s="7">
        <v>1121.30188</v>
      </c>
      <c r="AV211" s="3">
        <v>1E-3</v>
      </c>
      <c r="AW211" s="3">
        <f t="shared" si="22"/>
        <v>0.37</v>
      </c>
      <c r="AX211" s="5"/>
      <c r="AY211" s="5"/>
      <c r="AZ211" s="5"/>
      <c r="BA211" s="5"/>
      <c r="BB211" s="1"/>
      <c r="BC211" s="3" t="s">
        <v>131</v>
      </c>
      <c r="BD211" s="3">
        <v>0.9</v>
      </c>
      <c r="BE211" s="3">
        <v>0.5</v>
      </c>
      <c r="BF211" s="3">
        <v>0.6</v>
      </c>
      <c r="BG211" s="3">
        <v>0.3</v>
      </c>
      <c r="BH211" s="6">
        <v>1024.642578</v>
      </c>
      <c r="BI211" s="3">
        <v>8.9999999999999993E-3</v>
      </c>
      <c r="BK211" s="3" t="s">
        <v>131</v>
      </c>
      <c r="BL211" s="3">
        <v>0.98</v>
      </c>
      <c r="BM211" s="7">
        <v>1354.9135739999999</v>
      </c>
      <c r="BN211" s="3">
        <v>2E-3</v>
      </c>
      <c r="BO211" s="3">
        <f t="shared" si="23"/>
        <v>0.64</v>
      </c>
    </row>
    <row r="212" spans="1:71" x14ac:dyDescent="0.3">
      <c r="A212" s="3" t="s">
        <v>132</v>
      </c>
      <c r="B212" s="3">
        <v>0.9</v>
      </c>
      <c r="C212" s="3">
        <v>0.5</v>
      </c>
      <c r="D212" s="3">
        <v>0.6</v>
      </c>
      <c r="E212" s="3">
        <v>0.3</v>
      </c>
      <c r="F212" s="7">
        <v>551.62072799999999</v>
      </c>
      <c r="G212" s="3">
        <v>1E-3</v>
      </c>
      <c r="I212" s="3" t="s">
        <v>132</v>
      </c>
      <c r="J212" s="3">
        <v>0.23</v>
      </c>
      <c r="K212" s="6">
        <v>545.19946300000004</v>
      </c>
      <c r="L212" s="3">
        <v>0</v>
      </c>
      <c r="M212" s="3">
        <f t="shared" si="20"/>
        <v>0.26500000000000001</v>
      </c>
      <c r="N212" s="5"/>
      <c r="O212" s="5"/>
      <c r="P212" s="5"/>
      <c r="Q212" s="5"/>
      <c r="R212" s="1"/>
      <c r="S212" s="3" t="s">
        <v>132</v>
      </c>
      <c r="T212" s="3">
        <v>0.9</v>
      </c>
      <c r="U212" s="3">
        <v>0.5</v>
      </c>
      <c r="V212" s="3">
        <v>0.6</v>
      </c>
      <c r="W212" s="3">
        <v>0.3</v>
      </c>
      <c r="X212" s="6">
        <v>561.93652299999997</v>
      </c>
      <c r="Y212" s="3">
        <v>1E-3</v>
      </c>
      <c r="AA212" s="3" t="s">
        <v>132</v>
      </c>
      <c r="AB212" s="3">
        <v>0.86</v>
      </c>
      <c r="AC212" s="7">
        <v>657.29614300000003</v>
      </c>
      <c r="AD212" s="3">
        <v>0</v>
      </c>
      <c r="AE212" s="3">
        <f t="shared" si="21"/>
        <v>0.57999999999999996</v>
      </c>
      <c r="AF212" s="5"/>
      <c r="AG212" s="5"/>
      <c r="AH212" s="5"/>
      <c r="AI212" s="5"/>
      <c r="AJ212" s="1"/>
      <c r="AK212" s="3" t="s">
        <v>133</v>
      </c>
      <c r="AL212" s="3">
        <v>0.9</v>
      </c>
      <c r="AM212" s="3">
        <v>0.5</v>
      </c>
      <c r="AN212" s="3">
        <v>0.6</v>
      </c>
      <c r="AO212" s="3">
        <v>0.3</v>
      </c>
      <c r="AP212" s="6">
        <v>1074.7506100000001</v>
      </c>
      <c r="AQ212" s="3">
        <v>0.01</v>
      </c>
      <c r="AS212" s="3" t="s">
        <v>133</v>
      </c>
      <c r="AT212" s="3">
        <v>0.91</v>
      </c>
      <c r="AU212" s="7">
        <v>1248.4038089999999</v>
      </c>
      <c r="AV212" s="3">
        <v>1E-3</v>
      </c>
      <c r="AW212" s="3">
        <f t="shared" si="22"/>
        <v>0.60499999999999998</v>
      </c>
      <c r="AX212" s="5"/>
      <c r="AY212" s="5"/>
      <c r="AZ212" s="5"/>
      <c r="BA212" s="5"/>
      <c r="BB212" s="1"/>
      <c r="BC212" s="3" t="s">
        <v>133</v>
      </c>
      <c r="BD212" s="3">
        <v>0.9</v>
      </c>
      <c r="BE212" s="3">
        <v>0.5</v>
      </c>
      <c r="BF212" s="3">
        <v>0.6</v>
      </c>
      <c r="BG212" s="3">
        <v>0.3</v>
      </c>
      <c r="BH212" s="6">
        <v>1054.787231</v>
      </c>
      <c r="BI212" s="3">
        <v>8.9999999999999993E-3</v>
      </c>
      <c r="BK212" s="3" t="s">
        <v>133</v>
      </c>
      <c r="BL212" s="3">
        <v>0.55000000000000004</v>
      </c>
      <c r="BM212" s="7">
        <v>1181.6016850000001</v>
      </c>
      <c r="BN212" s="3">
        <v>2E-3</v>
      </c>
      <c r="BO212" s="3">
        <f t="shared" si="23"/>
        <v>0.42500000000000004</v>
      </c>
    </row>
    <row r="213" spans="1:71" x14ac:dyDescent="0.3">
      <c r="A213" s="9" t="s">
        <v>316</v>
      </c>
      <c r="E213" s="9">
        <f>AVERAGE(E183:E212)</f>
        <v>0.3</v>
      </c>
      <c r="I213" s="9" t="s">
        <v>316</v>
      </c>
      <c r="J213" s="9">
        <f>AVERAGE(J183:J212)</f>
        <v>0.41799999999999993</v>
      </c>
      <c r="R213" s="1"/>
      <c r="S213" s="9" t="s">
        <v>316</v>
      </c>
      <c r="W213" s="9">
        <f>AVERAGE(W183:W212)</f>
        <v>0.3</v>
      </c>
      <c r="AA213" s="9" t="s">
        <v>316</v>
      </c>
      <c r="AB213" s="9">
        <f>AVERAGE(AB183:AB212)</f>
        <v>0.55700000000000005</v>
      </c>
      <c r="AJ213" s="1"/>
      <c r="AK213" s="9" t="s">
        <v>316</v>
      </c>
      <c r="AO213" s="9">
        <f>AVERAGE(AO183:AO212)</f>
        <v>0.3</v>
      </c>
      <c r="AS213" s="9" t="s">
        <v>316</v>
      </c>
      <c r="AT213" s="9">
        <f>AVERAGE(AT183:AT212)</f>
        <v>0.52566666666666662</v>
      </c>
      <c r="AW213" s="2"/>
      <c r="AX213" s="2"/>
      <c r="AY213" s="2"/>
      <c r="AZ213" s="2"/>
      <c r="BA213" s="2"/>
      <c r="BB213" s="1"/>
      <c r="BC213" s="9" t="s">
        <v>316</v>
      </c>
      <c r="BG213" s="9">
        <f>AVERAGE(BG183:BG212)</f>
        <v>0.3</v>
      </c>
      <c r="BK213" s="9" t="s">
        <v>316</v>
      </c>
      <c r="BL213" s="9">
        <f>AVERAGE(BL183:BL212)</f>
        <v>0.47733333333333344</v>
      </c>
    </row>
    <row r="214" spans="1:7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row>
    <row r="215" spans="1:71" x14ac:dyDescent="0.3">
      <c r="A215" s="19" t="s">
        <v>314</v>
      </c>
      <c r="B215" s="19"/>
      <c r="C215" s="19"/>
      <c r="D215" s="19"/>
      <c r="E215" s="19"/>
      <c r="F215" s="19"/>
      <c r="G215" s="19"/>
      <c r="I215" s="19" t="s">
        <v>315</v>
      </c>
      <c r="J215" s="19"/>
      <c r="K215" s="19"/>
      <c r="L215" s="19"/>
      <c r="M215" s="19"/>
      <c r="N215" s="11"/>
      <c r="O215" s="11"/>
      <c r="P215" s="11"/>
      <c r="Q215" s="11"/>
      <c r="R215" s="1"/>
      <c r="S215" s="19" t="s">
        <v>314</v>
      </c>
      <c r="T215" s="19"/>
      <c r="U215" s="19"/>
      <c r="V215" s="19"/>
      <c r="W215" s="19"/>
      <c r="X215" s="19"/>
      <c r="Y215" s="19"/>
      <c r="AA215" s="19" t="s">
        <v>315</v>
      </c>
      <c r="AB215" s="19"/>
      <c r="AC215" s="19"/>
      <c r="AD215" s="19"/>
      <c r="AE215" s="19"/>
      <c r="AF215" s="11"/>
      <c r="AG215" s="11"/>
      <c r="AH215" s="11"/>
      <c r="AI215" s="11"/>
      <c r="AJ215" s="1"/>
      <c r="AK215" s="19" t="s">
        <v>314</v>
      </c>
      <c r="AL215" s="19"/>
      <c r="AM215" s="19"/>
      <c r="AN215" s="19"/>
      <c r="AO215" s="19"/>
      <c r="AP215" s="19"/>
      <c r="AQ215" s="19"/>
      <c r="AS215" s="19" t="s">
        <v>315</v>
      </c>
      <c r="AT215" s="19"/>
      <c r="AU215" s="19"/>
      <c r="AV215" s="19"/>
      <c r="AW215" s="19"/>
      <c r="AX215" s="11"/>
      <c r="AY215" s="11"/>
      <c r="AZ215" s="11"/>
      <c r="BA215" s="11"/>
      <c r="BB215" s="1"/>
      <c r="BC215" s="19" t="s">
        <v>314</v>
      </c>
      <c r="BD215" s="19"/>
      <c r="BE215" s="19"/>
      <c r="BF215" s="19"/>
      <c r="BG215" s="19"/>
      <c r="BH215" s="19"/>
      <c r="BI215" s="19"/>
      <c r="BK215" s="19" t="s">
        <v>315</v>
      </c>
      <c r="BL215" s="19"/>
      <c r="BM215" s="19"/>
      <c r="BN215" s="19"/>
      <c r="BO215" s="19"/>
    </row>
    <row r="216" spans="1:71" x14ac:dyDescent="0.3">
      <c r="A216" s="20" t="s">
        <v>0</v>
      </c>
      <c r="B216" s="21"/>
      <c r="C216" s="21"/>
      <c r="D216" s="21"/>
      <c r="E216" s="21"/>
      <c r="F216" s="21"/>
      <c r="G216" s="22"/>
      <c r="I216" s="20" t="s">
        <v>0</v>
      </c>
      <c r="J216" s="21"/>
      <c r="K216" s="21"/>
      <c r="L216" s="21"/>
      <c r="M216" s="22"/>
      <c r="N216" s="11"/>
      <c r="O216" s="11"/>
      <c r="P216" s="11"/>
      <c r="Q216" s="11"/>
      <c r="R216" s="1"/>
      <c r="S216" s="3" t="s">
        <v>1</v>
      </c>
      <c r="T216" s="3"/>
      <c r="U216" s="3"/>
      <c r="V216" s="3"/>
      <c r="W216" s="3"/>
      <c r="X216" s="3"/>
      <c r="Y216" s="3"/>
      <c r="AA216" s="3" t="s">
        <v>1</v>
      </c>
      <c r="AB216" s="3"/>
      <c r="AC216" s="3"/>
      <c r="AD216" s="3"/>
      <c r="AE216" s="3"/>
      <c r="AF216" s="5"/>
      <c r="AG216" s="5"/>
      <c r="AH216" s="5"/>
      <c r="AI216" s="5"/>
      <c r="AJ216" s="1"/>
      <c r="AK216" s="3" t="s">
        <v>0</v>
      </c>
      <c r="AL216" s="3"/>
      <c r="AM216" s="3"/>
      <c r="AN216" s="3"/>
      <c r="AO216" s="3"/>
      <c r="AP216" s="3"/>
      <c r="AQ216" s="3"/>
      <c r="AS216" s="3" t="s">
        <v>0</v>
      </c>
      <c r="AT216" s="3"/>
      <c r="AU216" s="3"/>
      <c r="AV216" s="3"/>
      <c r="AW216" s="4"/>
      <c r="AX216" s="12"/>
      <c r="AY216" s="12"/>
      <c r="AZ216" s="12"/>
      <c r="BA216" s="12"/>
      <c r="BB216" s="1"/>
      <c r="BC216" s="3" t="s">
        <v>1</v>
      </c>
      <c r="BD216" s="3"/>
      <c r="BE216" s="3"/>
      <c r="BF216" s="3"/>
      <c r="BG216" s="3"/>
      <c r="BH216" s="3"/>
      <c r="BI216" s="3"/>
      <c r="BK216" s="3" t="s">
        <v>1</v>
      </c>
      <c r="BL216" s="3"/>
      <c r="BM216" s="3"/>
      <c r="BN216" s="3"/>
      <c r="BO216" s="3"/>
    </row>
    <row r="217" spans="1:71" x14ac:dyDescent="0.3">
      <c r="A217" s="4" t="s">
        <v>2</v>
      </c>
      <c r="B217" s="4" t="s">
        <v>3</v>
      </c>
      <c r="C217" s="4" t="s">
        <v>4</v>
      </c>
      <c r="D217" s="4" t="s">
        <v>5</v>
      </c>
      <c r="E217" s="4" t="s">
        <v>6</v>
      </c>
      <c r="F217" s="4" t="s">
        <v>7</v>
      </c>
      <c r="G217" s="4" t="s">
        <v>8</v>
      </c>
      <c r="H217" s="2"/>
      <c r="I217" s="4" t="s">
        <v>2</v>
      </c>
      <c r="J217" s="4" t="s">
        <v>6</v>
      </c>
      <c r="K217" s="4" t="s">
        <v>7</v>
      </c>
      <c r="L217" s="4" t="s">
        <v>8</v>
      </c>
      <c r="M217" s="4" t="s">
        <v>9</v>
      </c>
      <c r="N217" s="3" t="s">
        <v>322</v>
      </c>
      <c r="O217" s="3" t="s">
        <v>323</v>
      </c>
      <c r="P217" s="3" t="s">
        <v>322</v>
      </c>
      <c r="Q217" s="3" t="s">
        <v>323</v>
      </c>
      <c r="R217" s="1"/>
      <c r="S217" s="4" t="s">
        <v>2</v>
      </c>
      <c r="T217" s="4" t="s">
        <v>3</v>
      </c>
      <c r="U217" s="4" t="s">
        <v>4</v>
      </c>
      <c r="V217" s="4" t="s">
        <v>5</v>
      </c>
      <c r="W217" s="4" t="s">
        <v>6</v>
      </c>
      <c r="X217" s="4" t="s">
        <v>7</v>
      </c>
      <c r="Y217" s="4" t="s">
        <v>8</v>
      </c>
      <c r="Z217" s="2"/>
      <c r="AA217" s="4" t="s">
        <v>2</v>
      </c>
      <c r="AB217" s="4" t="s">
        <v>6</v>
      </c>
      <c r="AC217" s="4" t="s">
        <v>7</v>
      </c>
      <c r="AD217" s="4" t="s">
        <v>8</v>
      </c>
      <c r="AE217" s="4" t="s">
        <v>9</v>
      </c>
      <c r="AF217" s="3" t="s">
        <v>322</v>
      </c>
      <c r="AG217" s="3" t="s">
        <v>323</v>
      </c>
      <c r="AH217" s="3" t="s">
        <v>322</v>
      </c>
      <c r="AI217" s="3" t="s">
        <v>323</v>
      </c>
      <c r="AJ217" s="1"/>
      <c r="AK217" s="3" t="s">
        <v>2</v>
      </c>
      <c r="AL217" s="3" t="s">
        <v>3</v>
      </c>
      <c r="AM217" s="3" t="s">
        <v>4</v>
      </c>
      <c r="AN217" s="3" t="s">
        <v>5</v>
      </c>
      <c r="AO217" s="3" t="s">
        <v>6</v>
      </c>
      <c r="AP217" s="3" t="s">
        <v>7</v>
      </c>
      <c r="AQ217" s="3" t="s">
        <v>8</v>
      </c>
      <c r="AR217" s="2"/>
      <c r="AS217" s="3" t="s">
        <v>2</v>
      </c>
      <c r="AT217" s="3" t="s">
        <v>6</v>
      </c>
      <c r="AU217" s="3" t="s">
        <v>7</v>
      </c>
      <c r="AV217" s="3" t="s">
        <v>8</v>
      </c>
      <c r="AW217" s="3" t="s">
        <v>9</v>
      </c>
      <c r="AX217" s="3" t="s">
        <v>322</v>
      </c>
      <c r="AY217" s="3" t="s">
        <v>323</v>
      </c>
      <c r="AZ217" s="3" t="s">
        <v>322</v>
      </c>
      <c r="BA217" s="3" t="s">
        <v>323</v>
      </c>
      <c r="BB217" s="1"/>
      <c r="BC217" s="3" t="s">
        <v>2</v>
      </c>
      <c r="BD217" s="3" t="s">
        <v>3</v>
      </c>
      <c r="BE217" s="3" t="s">
        <v>4</v>
      </c>
      <c r="BF217" s="3" t="s">
        <v>5</v>
      </c>
      <c r="BG217" s="3" t="s">
        <v>6</v>
      </c>
      <c r="BH217" s="3" t="s">
        <v>7</v>
      </c>
      <c r="BI217" s="3" t="s">
        <v>8</v>
      </c>
      <c r="BJ217" s="2"/>
      <c r="BK217" s="3" t="s">
        <v>2</v>
      </c>
      <c r="BL217" s="3" t="s">
        <v>6</v>
      </c>
      <c r="BM217" s="3" t="s">
        <v>7</v>
      </c>
      <c r="BN217" s="3" t="s">
        <v>8</v>
      </c>
      <c r="BO217" s="3" t="s">
        <v>9</v>
      </c>
      <c r="BP217" s="3" t="s">
        <v>322</v>
      </c>
      <c r="BQ217" s="3" t="s">
        <v>323</v>
      </c>
      <c r="BR217" s="3" t="s">
        <v>322</v>
      </c>
      <c r="BS217" s="3" t="s">
        <v>323</v>
      </c>
    </row>
    <row r="218" spans="1:71" x14ac:dyDescent="0.3">
      <c r="A218" s="3" t="s">
        <v>134</v>
      </c>
      <c r="B218" s="3">
        <v>0.9</v>
      </c>
      <c r="C218" s="3">
        <v>0.5</v>
      </c>
      <c r="D218" s="3">
        <v>0.6</v>
      </c>
      <c r="E218" s="3">
        <v>0.3</v>
      </c>
      <c r="F218" s="7">
        <v>600.08557099999996</v>
      </c>
      <c r="G218" s="3">
        <v>2E-3</v>
      </c>
      <c r="I218" s="3" t="s">
        <v>134</v>
      </c>
      <c r="J218" s="3">
        <v>0.01</v>
      </c>
      <c r="K218" s="6">
        <v>588.62658699999997</v>
      </c>
      <c r="L218" s="3">
        <v>0</v>
      </c>
      <c r="M218" s="3">
        <f t="shared" ref="M218:M247" si="24">AVERAGE(E218,J218)</f>
        <v>0.155</v>
      </c>
      <c r="N218" s="4" t="s">
        <v>320</v>
      </c>
      <c r="O218" s="4" t="s">
        <v>320</v>
      </c>
      <c r="P218" s="4" t="s">
        <v>321</v>
      </c>
      <c r="Q218" s="4" t="s">
        <v>321</v>
      </c>
      <c r="R218" s="1"/>
      <c r="S218" s="3" t="s">
        <v>134</v>
      </c>
      <c r="T218" s="3">
        <v>0.9</v>
      </c>
      <c r="U218" s="3">
        <v>0.5</v>
      </c>
      <c r="V218" s="3">
        <v>0.6</v>
      </c>
      <c r="W218" s="3">
        <v>0.3</v>
      </c>
      <c r="X218" s="7">
        <v>553.515625</v>
      </c>
      <c r="Y218" s="3">
        <v>2E-3</v>
      </c>
      <c r="AA218" s="3" t="s">
        <v>134</v>
      </c>
      <c r="AB218" s="3">
        <v>0.01</v>
      </c>
      <c r="AC218" s="6">
        <v>549.27002000000005</v>
      </c>
      <c r="AD218" s="3">
        <v>0</v>
      </c>
      <c r="AE218" s="3">
        <f t="shared" ref="AE218:AE247" si="25">AVERAGE(W218,AB218)</f>
        <v>0.155</v>
      </c>
      <c r="AF218" s="4" t="s">
        <v>320</v>
      </c>
      <c r="AG218" s="4" t="s">
        <v>320</v>
      </c>
      <c r="AH218" s="4" t="s">
        <v>321</v>
      </c>
      <c r="AI218" s="4" t="s">
        <v>321</v>
      </c>
      <c r="AJ218" s="1"/>
      <c r="AK218" s="3" t="s">
        <v>135</v>
      </c>
      <c r="AL218" s="3">
        <v>0.9</v>
      </c>
      <c r="AM218" s="3">
        <v>0.5</v>
      </c>
      <c r="AN218" s="3">
        <v>0.6</v>
      </c>
      <c r="AO218" s="3">
        <v>0.3</v>
      </c>
      <c r="AP218" s="7">
        <v>793.36767599999996</v>
      </c>
      <c r="AQ218" s="3">
        <v>5.0000000000000001E-3</v>
      </c>
      <c r="AS218" s="3" t="s">
        <v>135</v>
      </c>
      <c r="AT218" s="3">
        <v>0.01</v>
      </c>
      <c r="AU218" s="6">
        <v>714.575378</v>
      </c>
      <c r="AV218" s="3">
        <v>0</v>
      </c>
      <c r="AW218" s="3">
        <f t="shared" ref="AW218:AW247" si="26">AVERAGE(AO218,AT218)</f>
        <v>0.155</v>
      </c>
      <c r="AX218" s="4" t="s">
        <v>320</v>
      </c>
      <c r="AY218" s="4" t="s">
        <v>320</v>
      </c>
      <c r="AZ218" s="4" t="s">
        <v>321</v>
      </c>
      <c r="BA218" s="4" t="s">
        <v>321</v>
      </c>
      <c r="BB218" s="1"/>
      <c r="BC218" s="3" t="s">
        <v>135</v>
      </c>
      <c r="BD218" s="3">
        <v>0.9</v>
      </c>
      <c r="BE218" s="3">
        <v>0.5</v>
      </c>
      <c r="BF218" s="3">
        <v>0.6</v>
      </c>
      <c r="BG218" s="3">
        <v>0.3</v>
      </c>
      <c r="BH218" s="7">
        <v>729.96337900000003</v>
      </c>
      <c r="BI218" s="3">
        <v>4.0000000000000001E-3</v>
      </c>
      <c r="BK218" s="3" t="s">
        <v>135</v>
      </c>
      <c r="BL218" s="3">
        <v>0.01</v>
      </c>
      <c r="BM218" s="6">
        <v>661.16137700000002</v>
      </c>
      <c r="BN218" s="3">
        <v>0</v>
      </c>
      <c r="BO218" s="3">
        <f t="shared" ref="BO218:BO247" si="27">AVERAGE(BG218,BL218)</f>
        <v>0.155</v>
      </c>
      <c r="BP218" s="4" t="s">
        <v>320</v>
      </c>
      <c r="BQ218" s="4" t="s">
        <v>320</v>
      </c>
      <c r="BR218" s="4" t="s">
        <v>321</v>
      </c>
      <c r="BS218" s="4" t="s">
        <v>321</v>
      </c>
    </row>
    <row r="219" spans="1:71" x14ac:dyDescent="0.3">
      <c r="A219" s="3" t="s">
        <v>136</v>
      </c>
      <c r="B219" s="3">
        <v>0.9</v>
      </c>
      <c r="C219" s="3">
        <v>0.5</v>
      </c>
      <c r="D219" s="3">
        <v>0.6</v>
      </c>
      <c r="E219" s="3">
        <v>0.3</v>
      </c>
      <c r="F219" s="7">
        <v>544.890625</v>
      </c>
      <c r="G219" s="3">
        <v>1E-3</v>
      </c>
      <c r="I219" s="3" t="s">
        <v>136</v>
      </c>
      <c r="J219" s="3">
        <v>0.16</v>
      </c>
      <c r="K219" s="6">
        <v>516.95764199999996</v>
      </c>
      <c r="L219" s="3">
        <v>0</v>
      </c>
      <c r="M219" s="3">
        <f t="shared" si="24"/>
        <v>0.22999999999999998</v>
      </c>
      <c r="N219" s="3">
        <f>COUNT(F220:F222,F224,F227:F228,F230,F232:F236,F239,F244,F246:F247)</f>
        <v>16</v>
      </c>
      <c r="O219" s="3">
        <f>30-N219</f>
        <v>14</v>
      </c>
      <c r="P219" s="3">
        <f>COUNT(K218:K219,K223,K225:K226,K229,K231,K237:K238,K240:K243,K245)</f>
        <v>14</v>
      </c>
      <c r="Q219" s="3">
        <f>30-P219</f>
        <v>16</v>
      </c>
      <c r="R219" s="1"/>
      <c r="S219" s="3" t="s">
        <v>136</v>
      </c>
      <c r="T219" s="3">
        <v>0.9</v>
      </c>
      <c r="U219" s="3">
        <v>0.5</v>
      </c>
      <c r="V219" s="3">
        <v>0.6</v>
      </c>
      <c r="W219" s="3">
        <v>0.3</v>
      </c>
      <c r="X219" s="6">
        <v>458.34362800000002</v>
      </c>
      <c r="Y219" s="3">
        <v>2E-3</v>
      </c>
      <c r="AA219" s="3" t="s">
        <v>136</v>
      </c>
      <c r="AB219" s="3">
        <v>0.45</v>
      </c>
      <c r="AC219" s="7">
        <v>468.19949300000002</v>
      </c>
      <c r="AD219" s="3">
        <v>0</v>
      </c>
      <c r="AE219" s="3">
        <f t="shared" si="25"/>
        <v>0.375</v>
      </c>
      <c r="AF219" s="3">
        <f>COUNT(X219:X221,X223:X224,X226:X228,X230,X232:X234,X236:X238,X240:X241,X243:X245,X247)</f>
        <v>21</v>
      </c>
      <c r="AG219" s="3">
        <f>30-AF219</f>
        <v>9</v>
      </c>
      <c r="AH219" s="3">
        <f>COUNT(AC218,AC222,AC225,AC229,AC231,AC235,AC239,AC242,AC246)</f>
        <v>9</v>
      </c>
      <c r="AI219" s="3">
        <f>30-AH219</f>
        <v>21</v>
      </c>
      <c r="AJ219" s="1"/>
      <c r="AK219" s="3" t="s">
        <v>137</v>
      </c>
      <c r="AL219" s="3">
        <v>0.9</v>
      </c>
      <c r="AM219" s="3">
        <v>0.5</v>
      </c>
      <c r="AN219" s="3">
        <v>0.6</v>
      </c>
      <c r="AO219" s="3">
        <v>0.3</v>
      </c>
      <c r="AP219" s="7">
        <v>881.770264</v>
      </c>
      <c r="AQ219" s="3">
        <v>5.0000000000000001E-3</v>
      </c>
      <c r="AS219" s="3" t="s">
        <v>137</v>
      </c>
      <c r="AT219" s="3">
        <v>0.02</v>
      </c>
      <c r="AU219" s="6">
        <v>728.18481399999996</v>
      </c>
      <c r="AV219" s="3">
        <v>0</v>
      </c>
      <c r="AW219" s="3">
        <f t="shared" si="26"/>
        <v>0.16</v>
      </c>
      <c r="AX219" s="3">
        <f>COUNT(AP220,AP222,AP224:AP226,AP228:AP230,AP233:AP234,AP236:AP243,AP245:AP247)</f>
        <v>21</v>
      </c>
      <c r="AY219" s="3">
        <f>30-AX219</f>
        <v>9</v>
      </c>
      <c r="AZ219" s="3">
        <f>COUNT(AU218:AU219,AU221,AU223,AU227,AU231:AU232,AU235,AU244)</f>
        <v>9</v>
      </c>
      <c r="BA219" s="3">
        <f>30-AZ219</f>
        <v>21</v>
      </c>
      <c r="BB219" s="1"/>
      <c r="BC219" s="3" t="s">
        <v>137</v>
      </c>
      <c r="BD219" s="3">
        <v>0.9</v>
      </c>
      <c r="BE219" s="3">
        <v>0.5</v>
      </c>
      <c r="BF219" s="3">
        <v>0.6</v>
      </c>
      <c r="BG219" s="3">
        <v>0.3</v>
      </c>
      <c r="BH219" s="6">
        <v>829.39160200000003</v>
      </c>
      <c r="BI219" s="3">
        <v>5.0000000000000001E-3</v>
      </c>
      <c r="BK219" s="3" t="s">
        <v>137</v>
      </c>
      <c r="BL219" s="3">
        <v>0.53</v>
      </c>
      <c r="BM219" s="7">
        <v>911.12432899999999</v>
      </c>
      <c r="BN219" s="3">
        <v>0</v>
      </c>
      <c r="BO219" s="3">
        <f t="shared" si="27"/>
        <v>0.41500000000000004</v>
      </c>
      <c r="BP219" s="3">
        <f>COUNT(BH219,BH221:BH222,BH224:BH227,BH229:BH230,BH232:BH234,BH238,BH240,BH242:BH243,BH245:BH247)</f>
        <v>19</v>
      </c>
      <c r="BQ219" s="3">
        <f>30-BP219</f>
        <v>11</v>
      </c>
      <c r="BR219" s="3">
        <f>COUNT(BM218,BM220,BM223,BM228,BM231,BM235:BM237,BM239,BM241,BM244)</f>
        <v>11</v>
      </c>
      <c r="BS219" s="3">
        <f>30-BR219</f>
        <v>19</v>
      </c>
    </row>
    <row r="220" spans="1:71" x14ac:dyDescent="0.3">
      <c r="A220" s="3" t="s">
        <v>138</v>
      </c>
      <c r="B220" s="3">
        <v>0.9</v>
      </c>
      <c r="C220" s="3">
        <v>0.5</v>
      </c>
      <c r="D220" s="3">
        <v>0.6</v>
      </c>
      <c r="E220" s="3">
        <v>0.3</v>
      </c>
      <c r="F220" s="6">
        <v>603.32708700000001</v>
      </c>
      <c r="G220" s="3">
        <v>1E-3</v>
      </c>
      <c r="I220" s="3" t="s">
        <v>138</v>
      </c>
      <c r="J220" s="3">
        <v>0.83</v>
      </c>
      <c r="K220" s="7">
        <v>655.64483600000005</v>
      </c>
      <c r="L220" s="3">
        <v>0</v>
      </c>
      <c r="M220" s="3">
        <f t="shared" si="24"/>
        <v>0.56499999999999995</v>
      </c>
      <c r="N220" s="5"/>
      <c r="O220" s="5"/>
      <c r="P220" s="5"/>
      <c r="Q220" s="5"/>
      <c r="R220" s="1"/>
      <c r="S220" s="3" t="s">
        <v>138</v>
      </c>
      <c r="T220" s="3">
        <v>0.9</v>
      </c>
      <c r="U220" s="3">
        <v>0.5</v>
      </c>
      <c r="V220" s="3">
        <v>0.6</v>
      </c>
      <c r="W220" s="3">
        <v>0.3</v>
      </c>
      <c r="X220" s="6">
        <v>545.328125</v>
      </c>
      <c r="Y220" s="3">
        <v>2E-3</v>
      </c>
      <c r="AA220" s="3" t="s">
        <v>138</v>
      </c>
      <c r="AB220" s="3">
        <v>0.79</v>
      </c>
      <c r="AC220" s="7">
        <v>613.38525400000003</v>
      </c>
      <c r="AD220" s="3">
        <v>0</v>
      </c>
      <c r="AE220" s="3">
        <f t="shared" si="25"/>
        <v>0.54500000000000004</v>
      </c>
      <c r="AF220" s="5"/>
      <c r="AG220" s="5"/>
      <c r="AH220" s="5"/>
      <c r="AI220" s="5"/>
      <c r="AJ220" s="1"/>
      <c r="AK220" s="3" t="s">
        <v>139</v>
      </c>
      <c r="AL220" s="3">
        <v>0.9</v>
      </c>
      <c r="AM220" s="3">
        <v>0.5</v>
      </c>
      <c r="AN220" s="3">
        <v>0.6</v>
      </c>
      <c r="AO220" s="3">
        <v>0.3</v>
      </c>
      <c r="AP220" s="6">
        <v>896.74194299999999</v>
      </c>
      <c r="AQ220" s="3">
        <v>8.0000000000000002E-3</v>
      </c>
      <c r="AS220" s="3" t="s">
        <v>139</v>
      </c>
      <c r="AT220" s="3">
        <v>0.32</v>
      </c>
      <c r="AU220" s="7">
        <v>905.21252400000003</v>
      </c>
      <c r="AV220" s="3">
        <v>1E-3</v>
      </c>
      <c r="AW220" s="3">
        <f t="shared" si="26"/>
        <v>0.31</v>
      </c>
      <c r="AX220" s="5"/>
      <c r="AY220" s="5"/>
      <c r="AZ220" s="5"/>
      <c r="BA220" s="5"/>
      <c r="BB220" s="1"/>
      <c r="BC220" s="3" t="s">
        <v>139</v>
      </c>
      <c r="BD220" s="3">
        <v>0.9</v>
      </c>
      <c r="BE220" s="3">
        <v>0.5</v>
      </c>
      <c r="BF220" s="3">
        <v>0.6</v>
      </c>
      <c r="BG220" s="3">
        <v>0.3</v>
      </c>
      <c r="BH220" s="7">
        <v>832.72143600000004</v>
      </c>
      <c r="BI220" s="3">
        <v>6.0000000000000001E-3</v>
      </c>
      <c r="BK220" s="3" t="s">
        <v>139</v>
      </c>
      <c r="BL220" s="3">
        <v>7.0000000000000007E-2</v>
      </c>
      <c r="BM220" s="6">
        <v>722.92852800000003</v>
      </c>
      <c r="BN220" s="3">
        <v>1E-3</v>
      </c>
      <c r="BO220" s="3">
        <f t="shared" si="27"/>
        <v>0.185</v>
      </c>
    </row>
    <row r="221" spans="1:71" x14ac:dyDescent="0.3">
      <c r="A221" s="3" t="s">
        <v>140</v>
      </c>
      <c r="B221" s="3">
        <v>0.9</v>
      </c>
      <c r="C221" s="3">
        <v>0.5</v>
      </c>
      <c r="D221" s="3">
        <v>0.6</v>
      </c>
      <c r="E221" s="3">
        <v>0.3</v>
      </c>
      <c r="F221" s="6">
        <v>599.78900099999998</v>
      </c>
      <c r="G221" s="3">
        <v>1E-3</v>
      </c>
      <c r="I221" s="3" t="s">
        <v>140</v>
      </c>
      <c r="J221" s="3">
        <v>0.77</v>
      </c>
      <c r="K221" s="7">
        <v>651.22076400000003</v>
      </c>
      <c r="L221" s="3">
        <v>0</v>
      </c>
      <c r="M221" s="3">
        <f t="shared" si="24"/>
        <v>0.53500000000000003</v>
      </c>
      <c r="N221" s="5"/>
      <c r="O221" s="5"/>
      <c r="P221" s="5"/>
      <c r="Q221" s="5"/>
      <c r="R221" s="1"/>
      <c r="S221" s="3" t="s">
        <v>140</v>
      </c>
      <c r="T221" s="3">
        <v>0.9</v>
      </c>
      <c r="U221" s="3">
        <v>0.5</v>
      </c>
      <c r="V221" s="3">
        <v>0.6</v>
      </c>
      <c r="W221" s="3">
        <v>0.3</v>
      </c>
      <c r="X221" s="6">
        <v>544.80743399999994</v>
      </c>
      <c r="Y221" s="3">
        <v>1E-3</v>
      </c>
      <c r="AA221" s="3" t="s">
        <v>140</v>
      </c>
      <c r="AB221" s="3">
        <v>0.64</v>
      </c>
      <c r="AC221" s="7">
        <v>608.03192100000001</v>
      </c>
      <c r="AD221" s="3">
        <v>0</v>
      </c>
      <c r="AE221" s="3">
        <f t="shared" si="25"/>
        <v>0.47</v>
      </c>
      <c r="AF221" s="5"/>
      <c r="AG221" s="5"/>
      <c r="AH221" s="5"/>
      <c r="AI221" s="5"/>
      <c r="AJ221" s="1"/>
      <c r="AK221" s="3" t="s">
        <v>141</v>
      </c>
      <c r="AL221" s="3">
        <v>0.9</v>
      </c>
      <c r="AM221" s="3">
        <v>0.5</v>
      </c>
      <c r="AN221" s="3">
        <v>0.6</v>
      </c>
      <c r="AO221" s="3">
        <v>0.3</v>
      </c>
      <c r="AP221" s="7">
        <v>927.65460199999995</v>
      </c>
      <c r="AQ221" s="3">
        <v>5.0000000000000001E-3</v>
      </c>
      <c r="AS221" s="3" t="s">
        <v>141</v>
      </c>
      <c r="AT221" s="3">
        <v>0.04</v>
      </c>
      <c r="AU221" s="6">
        <v>791.52502400000003</v>
      </c>
      <c r="AV221" s="3">
        <v>0</v>
      </c>
      <c r="AW221" s="3">
        <f t="shared" si="26"/>
        <v>0.16999999999999998</v>
      </c>
      <c r="AX221" s="5"/>
      <c r="AY221" s="5"/>
      <c r="AZ221" s="5"/>
      <c r="BA221" s="5"/>
      <c r="BB221" s="1"/>
      <c r="BC221" s="3" t="s">
        <v>141</v>
      </c>
      <c r="BD221" s="3">
        <v>0.9</v>
      </c>
      <c r="BE221" s="3">
        <v>0.5</v>
      </c>
      <c r="BF221" s="3">
        <v>0.6</v>
      </c>
      <c r="BG221" s="3">
        <v>0.3</v>
      </c>
      <c r="BH221" s="6">
        <v>896.203125</v>
      </c>
      <c r="BI221" s="3">
        <v>6.0000000000000001E-3</v>
      </c>
      <c r="BK221" s="3" t="s">
        <v>141</v>
      </c>
      <c r="BL221" s="3">
        <v>0.53</v>
      </c>
      <c r="BM221" s="7">
        <v>985.94757100000004</v>
      </c>
      <c r="BN221" s="3">
        <v>1E-3</v>
      </c>
      <c r="BO221" s="3">
        <f t="shared" si="27"/>
        <v>0.41500000000000004</v>
      </c>
    </row>
    <row r="222" spans="1:71" x14ac:dyDescent="0.3">
      <c r="A222" s="3" t="s">
        <v>142</v>
      </c>
      <c r="B222" s="3">
        <v>0.9</v>
      </c>
      <c r="C222" s="3">
        <v>0.5</v>
      </c>
      <c r="D222" s="3">
        <v>0.6</v>
      </c>
      <c r="E222" s="3">
        <v>0.3</v>
      </c>
      <c r="F222" s="6">
        <v>519.76959199999999</v>
      </c>
      <c r="G222" s="3">
        <v>2E-3</v>
      </c>
      <c r="I222" s="3" t="s">
        <v>142</v>
      </c>
      <c r="J222" s="3">
        <v>0.78</v>
      </c>
      <c r="K222" s="7">
        <v>555.95752000000005</v>
      </c>
      <c r="L222" s="3">
        <v>0</v>
      </c>
      <c r="M222" s="3">
        <f t="shared" si="24"/>
        <v>0.54</v>
      </c>
      <c r="N222" s="5"/>
      <c r="O222" s="5"/>
      <c r="P222" s="5"/>
      <c r="Q222" s="5"/>
      <c r="R222" s="1"/>
      <c r="S222" s="3" t="s">
        <v>142</v>
      </c>
      <c r="T222" s="3">
        <v>0.9</v>
      </c>
      <c r="U222" s="3">
        <v>0.5</v>
      </c>
      <c r="V222" s="3">
        <v>0.6</v>
      </c>
      <c r="W222" s="3">
        <v>0.3</v>
      </c>
      <c r="X222" s="7">
        <v>446.243652</v>
      </c>
      <c r="Y222" s="3">
        <v>2E-3</v>
      </c>
      <c r="AA222" s="3" t="s">
        <v>142</v>
      </c>
      <c r="AB222" s="3">
        <v>0.16</v>
      </c>
      <c r="AC222" s="6">
        <v>421.98644999999999</v>
      </c>
      <c r="AD222" s="3">
        <v>0</v>
      </c>
      <c r="AE222" s="3">
        <f t="shared" si="25"/>
        <v>0.22999999999999998</v>
      </c>
      <c r="AF222" s="5"/>
      <c r="AG222" s="5"/>
      <c r="AH222" s="5"/>
      <c r="AI222" s="5"/>
      <c r="AJ222" s="1"/>
      <c r="AK222" s="3" t="s">
        <v>143</v>
      </c>
      <c r="AL222" s="3">
        <v>0.9</v>
      </c>
      <c r="AM222" s="3">
        <v>0.5</v>
      </c>
      <c r="AN222" s="3">
        <v>0.6</v>
      </c>
      <c r="AO222" s="3">
        <v>0.3</v>
      </c>
      <c r="AP222" s="6">
        <v>895.97418200000004</v>
      </c>
      <c r="AQ222" s="3">
        <v>5.0000000000000001E-3</v>
      </c>
      <c r="AS222" s="3" t="s">
        <v>143</v>
      </c>
      <c r="AT222" s="3">
        <v>0.7</v>
      </c>
      <c r="AU222" s="7">
        <v>1000.146484</v>
      </c>
      <c r="AV222" s="3">
        <v>1E-3</v>
      </c>
      <c r="AW222" s="3">
        <f t="shared" si="26"/>
        <v>0.5</v>
      </c>
      <c r="AX222" s="5"/>
      <c r="AY222" s="5"/>
      <c r="AZ222" s="5"/>
      <c r="BA222" s="5"/>
      <c r="BB222" s="1"/>
      <c r="BC222" s="3" t="s">
        <v>143</v>
      </c>
      <c r="BD222" s="3">
        <v>0.9</v>
      </c>
      <c r="BE222" s="3">
        <v>0.5</v>
      </c>
      <c r="BF222" s="3">
        <v>0.6</v>
      </c>
      <c r="BG222" s="3">
        <v>0.3</v>
      </c>
      <c r="BH222" s="6">
        <v>828.85339399999998</v>
      </c>
      <c r="BI222" s="3">
        <v>5.0000000000000001E-3</v>
      </c>
      <c r="BK222" s="3" t="s">
        <v>143</v>
      </c>
      <c r="BL222" s="3">
        <v>0.78</v>
      </c>
      <c r="BM222" s="7">
        <v>949.12377900000001</v>
      </c>
      <c r="BN222" s="3">
        <v>1E-3</v>
      </c>
      <c r="BO222" s="3">
        <f t="shared" si="27"/>
        <v>0.54</v>
      </c>
    </row>
    <row r="223" spans="1:71" x14ac:dyDescent="0.3">
      <c r="A223" s="3" t="s">
        <v>144</v>
      </c>
      <c r="B223" s="3">
        <v>0.9</v>
      </c>
      <c r="C223" s="3">
        <v>0.5</v>
      </c>
      <c r="D223" s="3">
        <v>0.6</v>
      </c>
      <c r="E223" s="3">
        <v>0.3</v>
      </c>
      <c r="F223" s="7">
        <v>610.307007</v>
      </c>
      <c r="G223" s="3">
        <v>2E-3</v>
      </c>
      <c r="I223" s="3" t="s">
        <v>144</v>
      </c>
      <c r="J223" s="3">
        <v>0.05</v>
      </c>
      <c r="K223" s="6">
        <v>602.59863299999995</v>
      </c>
      <c r="L223" s="3">
        <v>0</v>
      </c>
      <c r="M223" s="3">
        <f t="shared" si="24"/>
        <v>0.17499999999999999</v>
      </c>
      <c r="N223" s="5"/>
      <c r="O223" s="5"/>
      <c r="P223" s="5"/>
      <c r="Q223" s="5"/>
      <c r="R223" s="1"/>
      <c r="S223" s="3" t="s">
        <v>144</v>
      </c>
      <c r="T223" s="3">
        <v>0.9</v>
      </c>
      <c r="U223" s="3">
        <v>0.5</v>
      </c>
      <c r="V223" s="3">
        <v>0.6</v>
      </c>
      <c r="W223" s="3">
        <v>0.3</v>
      </c>
      <c r="X223" s="6">
        <v>577.97735599999999</v>
      </c>
      <c r="Y223" s="3">
        <v>1E-3</v>
      </c>
      <c r="AA223" s="3" t="s">
        <v>144</v>
      </c>
      <c r="AB223" s="3">
        <v>0.86</v>
      </c>
      <c r="AC223" s="7">
        <v>622.59118699999999</v>
      </c>
      <c r="AD223" s="3">
        <v>0</v>
      </c>
      <c r="AE223" s="3">
        <f t="shared" si="25"/>
        <v>0.57999999999999996</v>
      </c>
      <c r="AF223" s="5"/>
      <c r="AG223" s="5"/>
      <c r="AH223" s="5"/>
      <c r="AI223" s="5"/>
      <c r="AJ223" s="1"/>
      <c r="AK223" s="3" t="s">
        <v>145</v>
      </c>
      <c r="AL223" s="3">
        <v>0.9</v>
      </c>
      <c r="AM223" s="3">
        <v>0.5</v>
      </c>
      <c r="AN223" s="3">
        <v>0.6</v>
      </c>
      <c r="AO223" s="3">
        <v>0.3</v>
      </c>
      <c r="AP223" s="7">
        <v>901.23089600000003</v>
      </c>
      <c r="AQ223" s="3">
        <v>5.0000000000000001E-3</v>
      </c>
      <c r="AS223" s="3" t="s">
        <v>145</v>
      </c>
      <c r="AT223" s="3">
        <v>0.04</v>
      </c>
      <c r="AU223" s="6">
        <v>733.25933799999996</v>
      </c>
      <c r="AV223" s="3">
        <v>0</v>
      </c>
      <c r="AW223" s="3">
        <f t="shared" si="26"/>
        <v>0.16999999999999998</v>
      </c>
      <c r="AX223" s="5"/>
      <c r="AY223" s="5"/>
      <c r="AZ223" s="5"/>
      <c r="BA223" s="5"/>
      <c r="BB223" s="1"/>
      <c r="BC223" s="3" t="s">
        <v>145</v>
      </c>
      <c r="BD223" s="3">
        <v>0.9</v>
      </c>
      <c r="BE223" s="3">
        <v>0.5</v>
      </c>
      <c r="BF223" s="3">
        <v>0.6</v>
      </c>
      <c r="BG223" s="3">
        <v>0.3</v>
      </c>
      <c r="BH223" s="7">
        <v>845.92199700000003</v>
      </c>
      <c r="BI223" s="3">
        <v>7.0000000000000001E-3</v>
      </c>
      <c r="BK223" s="3" t="s">
        <v>145</v>
      </c>
      <c r="BL223" s="3">
        <v>0.01</v>
      </c>
      <c r="BM223" s="6">
        <v>710.15008499999999</v>
      </c>
      <c r="BN223" s="3">
        <v>0</v>
      </c>
      <c r="BO223" s="3">
        <f t="shared" si="27"/>
        <v>0.155</v>
      </c>
    </row>
    <row r="224" spans="1:71" x14ac:dyDescent="0.3">
      <c r="A224" s="3" t="s">
        <v>146</v>
      </c>
      <c r="B224" s="3">
        <v>0.9</v>
      </c>
      <c r="C224" s="3">
        <v>0.5</v>
      </c>
      <c r="D224" s="3">
        <v>0.6</v>
      </c>
      <c r="E224" s="3">
        <v>0.3</v>
      </c>
      <c r="F224" s="6">
        <v>543.838257</v>
      </c>
      <c r="G224" s="3">
        <v>2E-3</v>
      </c>
      <c r="I224" s="3" t="s">
        <v>146</v>
      </c>
      <c r="J224" s="3">
        <v>0.7</v>
      </c>
      <c r="K224" s="7">
        <v>595.64794900000004</v>
      </c>
      <c r="L224" s="3">
        <v>1E-3</v>
      </c>
      <c r="M224" s="3">
        <f t="shared" si="24"/>
        <v>0.5</v>
      </c>
      <c r="N224" s="5"/>
      <c r="O224" s="5"/>
      <c r="P224" s="5"/>
      <c r="Q224" s="5"/>
      <c r="R224" s="1"/>
      <c r="S224" s="3" t="s">
        <v>146</v>
      </c>
      <c r="T224" s="3">
        <v>0.9</v>
      </c>
      <c r="U224" s="3">
        <v>0.5</v>
      </c>
      <c r="V224" s="3">
        <v>0.6</v>
      </c>
      <c r="W224" s="3">
        <v>0.3</v>
      </c>
      <c r="X224" s="6">
        <v>466.94134500000001</v>
      </c>
      <c r="Y224" s="3">
        <v>2E-3</v>
      </c>
      <c r="AA224" s="3" t="s">
        <v>146</v>
      </c>
      <c r="AB224" s="3">
        <v>0.68</v>
      </c>
      <c r="AC224" s="7">
        <v>545.49652100000003</v>
      </c>
      <c r="AD224" s="3">
        <v>0</v>
      </c>
      <c r="AE224" s="3">
        <f t="shared" si="25"/>
        <v>0.49</v>
      </c>
      <c r="AF224" s="5"/>
      <c r="AG224" s="5"/>
      <c r="AH224" s="5"/>
      <c r="AI224" s="5"/>
      <c r="AJ224" s="1"/>
      <c r="AK224" s="3" t="s">
        <v>147</v>
      </c>
      <c r="AL224" s="3">
        <v>0.9</v>
      </c>
      <c r="AM224" s="3">
        <v>0.5</v>
      </c>
      <c r="AN224" s="3">
        <v>0.6</v>
      </c>
      <c r="AO224" s="3">
        <v>0.3</v>
      </c>
      <c r="AP224" s="6">
        <v>847.52862500000003</v>
      </c>
      <c r="AQ224" s="3">
        <v>6.0000000000000001E-3</v>
      </c>
      <c r="AS224" s="3" t="s">
        <v>147</v>
      </c>
      <c r="AT224" s="3">
        <v>0.9</v>
      </c>
      <c r="AU224" s="7">
        <v>1018.518738</v>
      </c>
      <c r="AV224" s="3">
        <v>1E-3</v>
      </c>
      <c r="AW224" s="3">
        <f t="shared" si="26"/>
        <v>0.6</v>
      </c>
      <c r="AX224" s="5"/>
      <c r="AY224" s="5"/>
      <c r="AZ224" s="5"/>
      <c r="BA224" s="5"/>
      <c r="BB224" s="1"/>
      <c r="BC224" s="3" t="s">
        <v>147</v>
      </c>
      <c r="BD224" s="3">
        <v>0.9</v>
      </c>
      <c r="BE224" s="3">
        <v>0.5</v>
      </c>
      <c r="BF224" s="3">
        <v>0.6</v>
      </c>
      <c r="BG224" s="3">
        <v>0.3</v>
      </c>
      <c r="BH224" s="6">
        <v>788.03344700000002</v>
      </c>
      <c r="BI224" s="3">
        <v>5.0000000000000001E-3</v>
      </c>
      <c r="BK224" s="3" t="s">
        <v>147</v>
      </c>
      <c r="BL224" s="3">
        <v>0.97</v>
      </c>
      <c r="BM224" s="7">
        <v>986.87304700000004</v>
      </c>
      <c r="BN224" s="3">
        <v>0</v>
      </c>
      <c r="BO224" s="3">
        <f t="shared" si="27"/>
        <v>0.63500000000000001</v>
      </c>
    </row>
    <row r="225" spans="1:67" x14ac:dyDescent="0.3">
      <c r="A225" s="3" t="s">
        <v>148</v>
      </c>
      <c r="B225" s="3">
        <v>0.9</v>
      </c>
      <c r="C225" s="3">
        <v>0.5</v>
      </c>
      <c r="D225" s="3">
        <v>0.6</v>
      </c>
      <c r="E225" s="3">
        <v>0.3</v>
      </c>
      <c r="F225" s="7">
        <v>599.996216</v>
      </c>
      <c r="G225" s="3">
        <v>1E-3</v>
      </c>
      <c r="I225" s="3" t="s">
        <v>148</v>
      </c>
      <c r="J225" s="3">
        <v>0.16</v>
      </c>
      <c r="K225" s="6">
        <v>575.23004200000003</v>
      </c>
      <c r="L225" s="3">
        <v>1E-3</v>
      </c>
      <c r="M225" s="3">
        <f t="shared" si="24"/>
        <v>0.22999999999999998</v>
      </c>
      <c r="N225" s="5"/>
      <c r="O225" s="5"/>
      <c r="P225" s="5"/>
      <c r="Q225" s="5"/>
      <c r="R225" s="1"/>
      <c r="S225" s="3" t="s">
        <v>148</v>
      </c>
      <c r="T225" s="3">
        <v>0.9</v>
      </c>
      <c r="U225" s="3">
        <v>0.5</v>
      </c>
      <c r="V225" s="3">
        <v>0.6</v>
      </c>
      <c r="W225" s="3">
        <v>0.3</v>
      </c>
      <c r="X225" s="7">
        <v>541.82678199999998</v>
      </c>
      <c r="Y225" s="3">
        <v>1E-3</v>
      </c>
      <c r="AA225" s="3" t="s">
        <v>148</v>
      </c>
      <c r="AB225" s="3">
        <v>0.16</v>
      </c>
      <c r="AC225" s="6">
        <v>500.67480499999999</v>
      </c>
      <c r="AD225" s="3">
        <v>0</v>
      </c>
      <c r="AE225" s="3">
        <f t="shared" si="25"/>
        <v>0.22999999999999998</v>
      </c>
      <c r="AF225" s="5"/>
      <c r="AG225" s="5"/>
      <c r="AH225" s="5"/>
      <c r="AI225" s="5"/>
      <c r="AJ225" s="1"/>
      <c r="AK225" s="3" t="s">
        <v>149</v>
      </c>
      <c r="AL225" s="3">
        <v>0.9</v>
      </c>
      <c r="AM225" s="3">
        <v>0.5</v>
      </c>
      <c r="AN225" s="3">
        <v>0.6</v>
      </c>
      <c r="AO225" s="3">
        <v>0.3</v>
      </c>
      <c r="AP225" s="6">
        <v>854.40582300000005</v>
      </c>
      <c r="AQ225" s="3">
        <v>6.0000000000000001E-3</v>
      </c>
      <c r="AS225" s="3" t="s">
        <v>149</v>
      </c>
      <c r="AT225" s="3">
        <v>0.49</v>
      </c>
      <c r="AU225" s="7">
        <v>934.50604199999998</v>
      </c>
      <c r="AV225" s="3">
        <v>1E-3</v>
      </c>
      <c r="AW225" s="3">
        <f t="shared" si="26"/>
        <v>0.39500000000000002</v>
      </c>
      <c r="AX225" s="5"/>
      <c r="AY225" s="5"/>
      <c r="AZ225" s="5"/>
      <c r="BA225" s="5"/>
      <c r="BB225" s="1"/>
      <c r="BC225" s="3" t="s">
        <v>149</v>
      </c>
      <c r="BD225" s="3">
        <v>0.9</v>
      </c>
      <c r="BE225" s="3">
        <v>0.5</v>
      </c>
      <c r="BF225" s="3">
        <v>0.6</v>
      </c>
      <c r="BG225" s="3">
        <v>0.3</v>
      </c>
      <c r="BH225" s="6">
        <v>816.615906</v>
      </c>
      <c r="BI225" s="3">
        <v>5.0000000000000001E-3</v>
      </c>
      <c r="BK225" s="3" t="s">
        <v>149</v>
      </c>
      <c r="BL225" s="3">
        <v>0.6</v>
      </c>
      <c r="BM225" s="7">
        <v>894.02832000000001</v>
      </c>
      <c r="BN225" s="3">
        <v>0</v>
      </c>
      <c r="BO225" s="3">
        <f t="shared" si="27"/>
        <v>0.44999999999999996</v>
      </c>
    </row>
    <row r="226" spans="1:67" x14ac:dyDescent="0.3">
      <c r="A226" s="3" t="s">
        <v>150</v>
      </c>
      <c r="B226" s="3">
        <v>0.9</v>
      </c>
      <c r="C226" s="3">
        <v>0.5</v>
      </c>
      <c r="D226" s="3">
        <v>0.6</v>
      </c>
      <c r="E226" s="3">
        <v>0.3</v>
      </c>
      <c r="F226" s="7">
        <v>536.33410600000002</v>
      </c>
      <c r="G226" s="3">
        <v>1E-3</v>
      </c>
      <c r="I226" s="3" t="s">
        <v>150</v>
      </c>
      <c r="J226" s="3">
        <v>0.28000000000000003</v>
      </c>
      <c r="K226" s="6">
        <v>519.41235400000005</v>
      </c>
      <c r="L226" s="3">
        <v>0</v>
      </c>
      <c r="M226" s="3">
        <f t="shared" si="24"/>
        <v>0.29000000000000004</v>
      </c>
      <c r="N226" s="5"/>
      <c r="O226" s="5"/>
      <c r="P226" s="5"/>
      <c r="Q226" s="5"/>
      <c r="R226" s="1"/>
      <c r="S226" s="3" t="s">
        <v>150</v>
      </c>
      <c r="T226" s="3">
        <v>0.9</v>
      </c>
      <c r="U226" s="3">
        <v>0.5</v>
      </c>
      <c r="V226" s="3">
        <v>0.6</v>
      </c>
      <c r="W226" s="3">
        <v>0.3</v>
      </c>
      <c r="X226" s="6">
        <v>449.11697400000003</v>
      </c>
      <c r="Y226" s="3">
        <v>1E-3</v>
      </c>
      <c r="AA226" s="3" t="s">
        <v>150</v>
      </c>
      <c r="AB226" s="3">
        <v>0.96</v>
      </c>
      <c r="AC226" s="7">
        <v>565.35986300000002</v>
      </c>
      <c r="AD226" s="3">
        <v>0</v>
      </c>
      <c r="AE226" s="3">
        <f t="shared" si="25"/>
        <v>0.63</v>
      </c>
      <c r="AF226" s="5"/>
      <c r="AG226" s="5"/>
      <c r="AH226" s="5"/>
      <c r="AI226" s="5"/>
      <c r="AJ226" s="1"/>
      <c r="AK226" s="3" t="s">
        <v>151</v>
      </c>
      <c r="AL226" s="3">
        <v>0.9</v>
      </c>
      <c r="AM226" s="3">
        <v>0.5</v>
      </c>
      <c r="AN226" s="3">
        <v>0.6</v>
      </c>
      <c r="AO226" s="3">
        <v>0.3</v>
      </c>
      <c r="AP226" s="6">
        <v>795.18896500000005</v>
      </c>
      <c r="AQ226" s="3">
        <v>5.0000000000000001E-3</v>
      </c>
      <c r="AS226" s="3" t="s">
        <v>151</v>
      </c>
      <c r="AT226" s="3">
        <v>0.55000000000000004</v>
      </c>
      <c r="AU226" s="7">
        <v>888.94268799999998</v>
      </c>
      <c r="AV226" s="3">
        <v>1E-3</v>
      </c>
      <c r="AW226" s="3">
        <f t="shared" si="26"/>
        <v>0.42500000000000004</v>
      </c>
      <c r="AX226" s="5"/>
      <c r="AY226" s="5"/>
      <c r="AZ226" s="5"/>
      <c r="BA226" s="5"/>
      <c r="BB226" s="1"/>
      <c r="BC226" s="3" t="s">
        <v>151</v>
      </c>
      <c r="BD226" s="3">
        <v>0.9</v>
      </c>
      <c r="BE226" s="3">
        <v>0.5</v>
      </c>
      <c r="BF226" s="3">
        <v>0.6</v>
      </c>
      <c r="BG226" s="3">
        <v>0.3</v>
      </c>
      <c r="BH226" s="6">
        <v>732.98535200000003</v>
      </c>
      <c r="BI226" s="3">
        <v>5.0000000000000001E-3</v>
      </c>
      <c r="BK226" s="3" t="s">
        <v>151</v>
      </c>
      <c r="BL226" s="3">
        <v>0.48</v>
      </c>
      <c r="BM226" s="7">
        <v>800.65368699999999</v>
      </c>
      <c r="BN226" s="3">
        <v>0</v>
      </c>
      <c r="BO226" s="3">
        <f t="shared" si="27"/>
        <v>0.39</v>
      </c>
    </row>
    <row r="227" spans="1:67" x14ac:dyDescent="0.3">
      <c r="A227" s="3" t="s">
        <v>152</v>
      </c>
      <c r="B227" s="3">
        <v>0.9</v>
      </c>
      <c r="C227" s="3">
        <v>0.5</v>
      </c>
      <c r="D227" s="3">
        <v>0.6</v>
      </c>
      <c r="E227" s="3">
        <v>0.3</v>
      </c>
      <c r="F227" s="6">
        <v>582.50158699999997</v>
      </c>
      <c r="G227" s="3">
        <v>1E-3</v>
      </c>
      <c r="I227" s="3" t="s">
        <v>152</v>
      </c>
      <c r="J227" s="3">
        <v>0.52</v>
      </c>
      <c r="K227" s="7">
        <v>606.68292199999996</v>
      </c>
      <c r="L227" s="3">
        <v>0</v>
      </c>
      <c r="M227" s="3">
        <f t="shared" si="24"/>
        <v>0.41000000000000003</v>
      </c>
      <c r="N227" s="5"/>
      <c r="O227" s="5"/>
      <c r="P227" s="5"/>
      <c r="Q227" s="5"/>
      <c r="R227" s="1"/>
      <c r="S227" s="3" t="s">
        <v>152</v>
      </c>
      <c r="T227" s="3">
        <v>0.9</v>
      </c>
      <c r="U227" s="3">
        <v>0.5</v>
      </c>
      <c r="V227" s="3">
        <v>0.6</v>
      </c>
      <c r="W227" s="3">
        <v>0.3</v>
      </c>
      <c r="X227" s="6">
        <v>536.48095699999999</v>
      </c>
      <c r="Y227" s="3">
        <v>1E-3</v>
      </c>
      <c r="AA227" s="3" t="s">
        <v>152</v>
      </c>
      <c r="AB227" s="3">
        <v>0.44</v>
      </c>
      <c r="AC227" s="7">
        <v>564.76122999999995</v>
      </c>
      <c r="AD227" s="3">
        <v>0</v>
      </c>
      <c r="AE227" s="3">
        <f t="shared" si="25"/>
        <v>0.37</v>
      </c>
      <c r="AF227" s="5"/>
      <c r="AG227" s="5"/>
      <c r="AH227" s="5"/>
      <c r="AI227" s="5"/>
      <c r="AJ227" s="1"/>
      <c r="AK227" s="3" t="s">
        <v>153</v>
      </c>
      <c r="AL227" s="3">
        <v>0.9</v>
      </c>
      <c r="AM227" s="3">
        <v>0.5</v>
      </c>
      <c r="AN227" s="3">
        <v>0.6</v>
      </c>
      <c r="AO227" s="3">
        <v>0.3</v>
      </c>
      <c r="AP227" s="7">
        <v>850.49096699999996</v>
      </c>
      <c r="AQ227" s="3">
        <v>5.0000000000000001E-3</v>
      </c>
      <c r="AS227" s="3" t="s">
        <v>153</v>
      </c>
      <c r="AT227" s="3">
        <v>0.02</v>
      </c>
      <c r="AU227" s="6">
        <v>738.61889599999995</v>
      </c>
      <c r="AV227" s="3">
        <v>0</v>
      </c>
      <c r="AW227" s="3">
        <f t="shared" si="26"/>
        <v>0.16</v>
      </c>
      <c r="AX227" s="5"/>
      <c r="AY227" s="5"/>
      <c r="AZ227" s="5"/>
      <c r="BA227" s="5"/>
      <c r="BB227" s="1"/>
      <c r="BC227" s="3" t="s">
        <v>153</v>
      </c>
      <c r="BD227" s="3">
        <v>0.9</v>
      </c>
      <c r="BE227" s="3">
        <v>0.5</v>
      </c>
      <c r="BF227" s="3">
        <v>0.6</v>
      </c>
      <c r="BG227" s="3">
        <v>0.3</v>
      </c>
      <c r="BH227" s="6">
        <v>789.715149</v>
      </c>
      <c r="BI227" s="3">
        <v>6.0000000000000001E-3</v>
      </c>
      <c r="BK227" s="3" t="s">
        <v>153</v>
      </c>
      <c r="BL227" s="3">
        <v>0.9</v>
      </c>
      <c r="BM227" s="7">
        <v>985.39221199999997</v>
      </c>
      <c r="BN227" s="3">
        <v>0</v>
      </c>
      <c r="BO227" s="3">
        <f t="shared" si="27"/>
        <v>0.6</v>
      </c>
    </row>
    <row r="228" spans="1:67" x14ac:dyDescent="0.3">
      <c r="A228" s="3" t="s">
        <v>154</v>
      </c>
      <c r="B228" s="3">
        <v>0.9</v>
      </c>
      <c r="C228" s="3">
        <v>0.5</v>
      </c>
      <c r="D228" s="3">
        <v>0.6</v>
      </c>
      <c r="E228" s="3">
        <v>0.3</v>
      </c>
      <c r="F228" s="6">
        <v>573.82934599999999</v>
      </c>
      <c r="G228" s="3">
        <v>2E-3</v>
      </c>
      <c r="I228" s="3" t="s">
        <v>154</v>
      </c>
      <c r="J228" s="3">
        <v>0.48</v>
      </c>
      <c r="K228" s="7">
        <v>636.87469499999997</v>
      </c>
      <c r="L228" s="3">
        <v>0</v>
      </c>
      <c r="M228" s="3">
        <f t="shared" si="24"/>
        <v>0.39</v>
      </c>
      <c r="N228" s="5"/>
      <c r="O228" s="5"/>
      <c r="P228" s="5"/>
      <c r="Q228" s="5"/>
      <c r="R228" s="1"/>
      <c r="S228" s="3" t="s">
        <v>154</v>
      </c>
      <c r="T228" s="3">
        <v>0.9</v>
      </c>
      <c r="U228" s="3">
        <v>0.5</v>
      </c>
      <c r="V228" s="3">
        <v>0.6</v>
      </c>
      <c r="W228" s="3">
        <v>0.3</v>
      </c>
      <c r="X228" s="6">
        <v>579.96484399999997</v>
      </c>
      <c r="Y228" s="3">
        <v>1E-3</v>
      </c>
      <c r="AA228" s="3" t="s">
        <v>154</v>
      </c>
      <c r="AB228" s="3">
        <v>0.35</v>
      </c>
      <c r="AC228" s="7">
        <v>588.88391100000001</v>
      </c>
      <c r="AD228" s="3">
        <v>0</v>
      </c>
      <c r="AE228" s="3">
        <f t="shared" si="25"/>
        <v>0.32499999999999996</v>
      </c>
      <c r="AF228" s="5"/>
      <c r="AG228" s="5"/>
      <c r="AH228" s="5"/>
      <c r="AI228" s="5"/>
      <c r="AJ228" s="1"/>
      <c r="AK228" s="3" t="s">
        <v>155</v>
      </c>
      <c r="AL228" s="3">
        <v>0.9</v>
      </c>
      <c r="AM228" s="3">
        <v>0.5</v>
      </c>
      <c r="AN228" s="3">
        <v>0.6</v>
      </c>
      <c r="AO228" s="3">
        <v>0.3</v>
      </c>
      <c r="AP228" s="6">
        <v>1067.165283</v>
      </c>
      <c r="AQ228" s="3">
        <v>7.0000000000000001E-3</v>
      </c>
      <c r="AS228" s="3" t="s">
        <v>155</v>
      </c>
      <c r="AT228" s="3">
        <v>0.41</v>
      </c>
      <c r="AU228" s="7">
        <v>1122.55835</v>
      </c>
      <c r="AV228" s="3">
        <v>1E-3</v>
      </c>
      <c r="AW228" s="3">
        <f t="shared" si="26"/>
        <v>0.35499999999999998</v>
      </c>
      <c r="AX228" s="5"/>
      <c r="AY228" s="5"/>
      <c r="AZ228" s="5"/>
      <c r="BA228" s="5"/>
      <c r="BB228" s="1"/>
      <c r="BC228" s="3" t="s">
        <v>155</v>
      </c>
      <c r="BD228" s="3">
        <v>0.9</v>
      </c>
      <c r="BE228" s="3">
        <v>0.5</v>
      </c>
      <c r="BF228" s="3">
        <v>0.6</v>
      </c>
      <c r="BG228" s="3">
        <v>0.3</v>
      </c>
      <c r="BH228" s="7">
        <v>1074.2280270000001</v>
      </c>
      <c r="BI228" s="3">
        <v>7.0000000000000001E-3</v>
      </c>
      <c r="BK228" s="3" t="s">
        <v>155</v>
      </c>
      <c r="BL228" s="3">
        <v>0.2</v>
      </c>
      <c r="BM228" s="6">
        <v>1012.966125</v>
      </c>
      <c r="BN228" s="3">
        <v>0</v>
      </c>
      <c r="BO228" s="3">
        <f t="shared" si="27"/>
        <v>0.25</v>
      </c>
    </row>
    <row r="229" spans="1:67" x14ac:dyDescent="0.3">
      <c r="A229" s="3" t="s">
        <v>156</v>
      </c>
      <c r="B229" s="3">
        <v>0.9</v>
      </c>
      <c r="C229" s="3">
        <v>0.5</v>
      </c>
      <c r="D229" s="3">
        <v>0.6</v>
      </c>
      <c r="E229" s="3">
        <v>0.3</v>
      </c>
      <c r="F229" s="7">
        <v>651.55474900000002</v>
      </c>
      <c r="G229" s="3">
        <v>2E-3</v>
      </c>
      <c r="I229" s="3" t="s">
        <v>156</v>
      </c>
      <c r="J229" s="3">
        <v>0.23</v>
      </c>
      <c r="K229" s="6">
        <v>643.61852999999996</v>
      </c>
      <c r="L229" s="3">
        <v>0</v>
      </c>
      <c r="M229" s="3">
        <f t="shared" si="24"/>
        <v>0.26500000000000001</v>
      </c>
      <c r="N229" s="5"/>
      <c r="O229" s="5"/>
      <c r="P229" s="5"/>
      <c r="Q229" s="5"/>
      <c r="R229" s="1"/>
      <c r="S229" s="3" t="s">
        <v>156</v>
      </c>
      <c r="T229" s="3">
        <v>0.9</v>
      </c>
      <c r="U229" s="3">
        <v>0.5</v>
      </c>
      <c r="V229" s="3">
        <v>0.6</v>
      </c>
      <c r="W229" s="3">
        <v>0.3</v>
      </c>
      <c r="X229" s="7">
        <v>627.69537400000002</v>
      </c>
      <c r="Y229" s="3">
        <v>1E-3</v>
      </c>
      <c r="AA229" s="3" t="s">
        <v>156</v>
      </c>
      <c r="AB229" s="3">
        <v>0.21</v>
      </c>
      <c r="AC229" s="6">
        <v>605.72522000000004</v>
      </c>
      <c r="AD229" s="3">
        <v>0</v>
      </c>
      <c r="AE229" s="3">
        <f t="shared" si="25"/>
        <v>0.255</v>
      </c>
      <c r="AF229" s="5"/>
      <c r="AG229" s="5"/>
      <c r="AH229" s="5"/>
      <c r="AI229" s="5"/>
      <c r="AJ229" s="1"/>
      <c r="AK229" s="3" t="s">
        <v>157</v>
      </c>
      <c r="AL229" s="3">
        <v>0.9</v>
      </c>
      <c r="AM229" s="3">
        <v>0.5</v>
      </c>
      <c r="AN229" s="3">
        <v>0.6</v>
      </c>
      <c r="AO229" s="3">
        <v>0.3</v>
      </c>
      <c r="AP229" s="6">
        <v>1023.536377</v>
      </c>
      <c r="AQ229" s="3">
        <v>7.0000000000000001E-3</v>
      </c>
      <c r="AS229" s="3" t="s">
        <v>157</v>
      </c>
      <c r="AT229" s="3">
        <v>0.89</v>
      </c>
      <c r="AU229" s="7">
        <v>1262.9001459999999</v>
      </c>
      <c r="AV229" s="3">
        <v>1E-3</v>
      </c>
      <c r="AW229" s="3">
        <f t="shared" si="26"/>
        <v>0.59499999999999997</v>
      </c>
      <c r="AX229" s="5"/>
      <c r="AY229" s="5"/>
      <c r="AZ229" s="5"/>
      <c r="BA229" s="5"/>
      <c r="BB229" s="1"/>
      <c r="BC229" s="3" t="s">
        <v>157</v>
      </c>
      <c r="BD229" s="3">
        <v>0.9</v>
      </c>
      <c r="BE229" s="3">
        <v>0.5</v>
      </c>
      <c r="BF229" s="3">
        <v>0.6</v>
      </c>
      <c r="BG229" s="3">
        <v>0.3</v>
      </c>
      <c r="BH229" s="6">
        <v>985.10882600000002</v>
      </c>
      <c r="BI229" s="3">
        <v>6.0000000000000001E-3</v>
      </c>
      <c r="BK229" s="3" t="s">
        <v>157</v>
      </c>
      <c r="BL229" s="3">
        <v>0.73</v>
      </c>
      <c r="BM229" s="7">
        <v>1194.075439</v>
      </c>
      <c r="BN229" s="3">
        <v>1E-3</v>
      </c>
      <c r="BO229" s="3">
        <f t="shared" si="27"/>
        <v>0.51500000000000001</v>
      </c>
    </row>
    <row r="230" spans="1:67" x14ac:dyDescent="0.3">
      <c r="A230" s="3" t="s">
        <v>158</v>
      </c>
      <c r="B230" s="3">
        <v>0.9</v>
      </c>
      <c r="C230" s="3">
        <v>0.5</v>
      </c>
      <c r="D230" s="3">
        <v>0.6</v>
      </c>
      <c r="E230" s="3">
        <v>0.3</v>
      </c>
      <c r="F230" s="6">
        <v>641.40112299999998</v>
      </c>
      <c r="G230" s="3">
        <v>2E-3</v>
      </c>
      <c r="I230" s="3" t="s">
        <v>158</v>
      </c>
      <c r="J230" s="3">
        <v>0.75</v>
      </c>
      <c r="K230" s="7">
        <v>730.84094200000004</v>
      </c>
      <c r="L230" s="3">
        <v>0</v>
      </c>
      <c r="M230" s="3">
        <f t="shared" si="24"/>
        <v>0.52500000000000002</v>
      </c>
      <c r="N230" s="5"/>
      <c r="O230" s="5"/>
      <c r="P230" s="5"/>
      <c r="Q230" s="5"/>
      <c r="R230" s="1"/>
      <c r="S230" s="3" t="s">
        <v>158</v>
      </c>
      <c r="T230" s="3">
        <v>0.9</v>
      </c>
      <c r="U230" s="3">
        <v>0.5</v>
      </c>
      <c r="V230" s="3">
        <v>0.6</v>
      </c>
      <c r="W230" s="3">
        <v>0.3</v>
      </c>
      <c r="X230" s="6">
        <v>639.66796899999997</v>
      </c>
      <c r="Y230" s="3">
        <v>1E-3</v>
      </c>
      <c r="AA230" s="3" t="s">
        <v>158</v>
      </c>
      <c r="AB230" s="3">
        <v>0.61</v>
      </c>
      <c r="AC230" s="7">
        <v>694.08245799999997</v>
      </c>
      <c r="AD230" s="3">
        <v>0</v>
      </c>
      <c r="AE230" s="3">
        <f t="shared" si="25"/>
        <v>0.45499999999999996</v>
      </c>
      <c r="AF230" s="5"/>
      <c r="AG230" s="5"/>
      <c r="AH230" s="5"/>
      <c r="AI230" s="5"/>
      <c r="AJ230" s="1"/>
      <c r="AK230" s="3" t="s">
        <v>159</v>
      </c>
      <c r="AL230" s="3">
        <v>0.9</v>
      </c>
      <c r="AM230" s="3">
        <v>0.5</v>
      </c>
      <c r="AN230" s="3">
        <v>0.6</v>
      </c>
      <c r="AO230" s="3">
        <v>0.3</v>
      </c>
      <c r="AP230" s="6">
        <v>949.64343299999996</v>
      </c>
      <c r="AQ230" s="3">
        <v>7.0000000000000001E-3</v>
      </c>
      <c r="AS230" s="3" t="s">
        <v>159</v>
      </c>
      <c r="AT230" s="3">
        <v>0.96</v>
      </c>
      <c r="AU230" s="7">
        <v>1207.076904</v>
      </c>
      <c r="AV230" s="3">
        <v>1E-3</v>
      </c>
      <c r="AW230" s="3">
        <f t="shared" si="26"/>
        <v>0.63</v>
      </c>
      <c r="AX230" s="5"/>
      <c r="AY230" s="5"/>
      <c r="AZ230" s="5"/>
      <c r="BA230" s="5"/>
      <c r="BB230" s="1"/>
      <c r="BC230" s="3" t="s">
        <v>159</v>
      </c>
      <c r="BD230" s="3">
        <v>0.9</v>
      </c>
      <c r="BE230" s="3">
        <v>0.5</v>
      </c>
      <c r="BF230" s="3">
        <v>0.6</v>
      </c>
      <c r="BG230" s="3">
        <v>0.3</v>
      </c>
      <c r="BH230" s="6">
        <v>923.98962400000005</v>
      </c>
      <c r="BI230" s="3">
        <v>7.0000000000000001E-3</v>
      </c>
      <c r="BK230" s="3" t="s">
        <v>159</v>
      </c>
      <c r="BL230" s="3">
        <v>0.62</v>
      </c>
      <c r="BM230" s="7">
        <v>1076.007202</v>
      </c>
      <c r="BN230" s="3">
        <v>1E-3</v>
      </c>
      <c r="BO230" s="3">
        <f t="shared" si="27"/>
        <v>0.45999999999999996</v>
      </c>
    </row>
    <row r="231" spans="1:67" x14ac:dyDescent="0.3">
      <c r="A231" s="3" t="s">
        <v>160</v>
      </c>
      <c r="B231" s="3">
        <v>0.9</v>
      </c>
      <c r="C231" s="3">
        <v>0.5</v>
      </c>
      <c r="D231" s="3">
        <v>0.6</v>
      </c>
      <c r="E231" s="3">
        <v>0.3</v>
      </c>
      <c r="F231" s="7">
        <v>592.14892599999996</v>
      </c>
      <c r="G231" s="3">
        <v>1E-3</v>
      </c>
      <c r="I231" s="3" t="s">
        <v>160</v>
      </c>
      <c r="J231" s="3">
        <v>0.05</v>
      </c>
      <c r="K231" s="6">
        <v>571.63171399999999</v>
      </c>
      <c r="L231" s="3">
        <v>0</v>
      </c>
      <c r="M231" s="3">
        <f t="shared" si="24"/>
        <v>0.17499999999999999</v>
      </c>
      <c r="N231" s="5"/>
      <c r="O231" s="5"/>
      <c r="P231" s="5"/>
      <c r="Q231" s="5"/>
      <c r="R231" s="1"/>
      <c r="S231" s="3" t="s">
        <v>160</v>
      </c>
      <c r="T231" s="3">
        <v>0.9</v>
      </c>
      <c r="U231" s="3">
        <v>0.5</v>
      </c>
      <c r="V231" s="3">
        <v>0.6</v>
      </c>
      <c r="W231" s="3">
        <v>0.3</v>
      </c>
      <c r="X231" s="7">
        <v>547.05249000000003</v>
      </c>
      <c r="Y231" s="3">
        <v>1E-3</v>
      </c>
      <c r="AA231" s="3" t="s">
        <v>160</v>
      </c>
      <c r="AB231" s="3">
        <v>0.21</v>
      </c>
      <c r="AC231" s="6">
        <v>495.42596400000002</v>
      </c>
      <c r="AD231" s="3">
        <v>1E-3</v>
      </c>
      <c r="AE231" s="3">
        <f t="shared" si="25"/>
        <v>0.255</v>
      </c>
      <c r="AF231" s="5"/>
      <c r="AG231" s="5"/>
      <c r="AH231" s="5"/>
      <c r="AI231" s="5"/>
      <c r="AJ231" s="1"/>
      <c r="AK231" s="3" t="s">
        <v>161</v>
      </c>
      <c r="AL231" s="3">
        <v>0.9</v>
      </c>
      <c r="AM231" s="3">
        <v>0.5</v>
      </c>
      <c r="AN231" s="3">
        <v>0.6</v>
      </c>
      <c r="AO231" s="3">
        <v>0.3</v>
      </c>
      <c r="AP231" s="7">
        <v>1024.1906739999999</v>
      </c>
      <c r="AQ231" s="3">
        <v>6.0000000000000001E-3</v>
      </c>
      <c r="AS231" s="3" t="s">
        <v>161</v>
      </c>
      <c r="AT231" s="3">
        <v>0.16</v>
      </c>
      <c r="AU231" s="6">
        <v>936.15100099999995</v>
      </c>
      <c r="AV231" s="3">
        <v>0</v>
      </c>
      <c r="AW231" s="3">
        <f t="shared" si="26"/>
        <v>0.22999999999999998</v>
      </c>
      <c r="AX231" s="5"/>
      <c r="AY231" s="5"/>
      <c r="AZ231" s="5"/>
      <c r="BA231" s="5"/>
      <c r="BB231" s="1"/>
      <c r="BC231" s="3" t="s">
        <v>161</v>
      </c>
      <c r="BD231" s="3">
        <v>0.9</v>
      </c>
      <c r="BE231" s="3">
        <v>0.5</v>
      </c>
      <c r="BF231" s="3">
        <v>0.6</v>
      </c>
      <c r="BG231" s="3">
        <v>0.3</v>
      </c>
      <c r="BH231" s="7">
        <v>997.95013400000005</v>
      </c>
      <c r="BI231" s="3">
        <v>6.0000000000000001E-3</v>
      </c>
      <c r="BK231" s="3" t="s">
        <v>161</v>
      </c>
      <c r="BL231" s="3">
        <v>0.2</v>
      </c>
      <c r="BM231" s="6">
        <v>925.62341300000003</v>
      </c>
      <c r="BN231" s="3">
        <v>1E-3</v>
      </c>
      <c r="BO231" s="3">
        <f t="shared" si="27"/>
        <v>0.25</v>
      </c>
    </row>
    <row r="232" spans="1:67" x14ac:dyDescent="0.3">
      <c r="A232" s="3" t="s">
        <v>162</v>
      </c>
      <c r="B232" s="3">
        <v>0.9</v>
      </c>
      <c r="C232" s="3">
        <v>0.5</v>
      </c>
      <c r="D232" s="3">
        <v>0.6</v>
      </c>
      <c r="E232" s="3">
        <v>0.3</v>
      </c>
      <c r="F232" s="6">
        <v>602.11248799999998</v>
      </c>
      <c r="G232" s="3">
        <v>1E-3</v>
      </c>
      <c r="I232" s="3" t="s">
        <v>162</v>
      </c>
      <c r="J232" s="3">
        <v>0.53</v>
      </c>
      <c r="K232" s="7">
        <v>651.89312700000005</v>
      </c>
      <c r="L232" s="3">
        <v>0</v>
      </c>
      <c r="M232" s="3">
        <f t="shared" si="24"/>
        <v>0.41500000000000004</v>
      </c>
      <c r="N232" s="5"/>
      <c r="O232" s="5"/>
      <c r="P232" s="5"/>
      <c r="Q232" s="5"/>
      <c r="R232" s="1"/>
      <c r="S232" s="3" t="s">
        <v>162</v>
      </c>
      <c r="T232" s="3">
        <v>0.9</v>
      </c>
      <c r="U232" s="3">
        <v>0.5</v>
      </c>
      <c r="V232" s="3">
        <v>0.6</v>
      </c>
      <c r="W232" s="3">
        <v>0.3</v>
      </c>
      <c r="X232" s="6">
        <v>554.59539800000005</v>
      </c>
      <c r="Y232" s="3">
        <v>2E-3</v>
      </c>
      <c r="AA232" s="3" t="s">
        <v>162</v>
      </c>
      <c r="AB232" s="3">
        <v>0.21</v>
      </c>
      <c r="AC232" s="7">
        <v>555.80780000000004</v>
      </c>
      <c r="AD232" s="3">
        <v>0</v>
      </c>
      <c r="AE232" s="3">
        <f t="shared" si="25"/>
        <v>0.255</v>
      </c>
      <c r="AF232" s="5"/>
      <c r="AG232" s="5"/>
      <c r="AH232" s="5"/>
      <c r="AI232" s="5"/>
      <c r="AJ232" s="1"/>
      <c r="AK232" s="3" t="s">
        <v>163</v>
      </c>
      <c r="AL232" s="3">
        <v>0.9</v>
      </c>
      <c r="AM232" s="3">
        <v>0.5</v>
      </c>
      <c r="AN232" s="3">
        <v>0.6</v>
      </c>
      <c r="AO232" s="3">
        <v>0.3</v>
      </c>
      <c r="AP232" s="7">
        <v>1019.637085</v>
      </c>
      <c r="AQ232" s="3">
        <v>7.0000000000000001E-3</v>
      </c>
      <c r="AS232" s="3" t="s">
        <v>163</v>
      </c>
      <c r="AT232" s="3">
        <v>0.23</v>
      </c>
      <c r="AU232" s="6">
        <v>979.51049799999998</v>
      </c>
      <c r="AV232" s="3">
        <v>0</v>
      </c>
      <c r="AW232" s="3">
        <f t="shared" si="26"/>
        <v>0.26500000000000001</v>
      </c>
      <c r="AX232" s="5"/>
      <c r="AY232" s="5"/>
      <c r="AZ232" s="5"/>
      <c r="BA232" s="5"/>
      <c r="BB232" s="1"/>
      <c r="BC232" s="3" t="s">
        <v>163</v>
      </c>
      <c r="BD232" s="3">
        <v>0.9</v>
      </c>
      <c r="BE232" s="3">
        <v>0.5</v>
      </c>
      <c r="BF232" s="3">
        <v>0.6</v>
      </c>
      <c r="BG232" s="3">
        <v>0.3</v>
      </c>
      <c r="BH232" s="6">
        <v>995.15118399999994</v>
      </c>
      <c r="BI232" s="3">
        <v>7.0000000000000001E-3</v>
      </c>
      <c r="BK232" s="3" t="s">
        <v>163</v>
      </c>
      <c r="BL232" s="3">
        <v>0.18</v>
      </c>
      <c r="BM232" s="7">
        <v>891.412598</v>
      </c>
      <c r="BN232" s="3">
        <v>1E-3</v>
      </c>
      <c r="BO232" s="3">
        <f t="shared" si="27"/>
        <v>0.24</v>
      </c>
    </row>
    <row r="233" spans="1:67" x14ac:dyDescent="0.3">
      <c r="A233" s="3" t="s">
        <v>164</v>
      </c>
      <c r="B233" s="3">
        <v>0.9</v>
      </c>
      <c r="C233" s="3">
        <v>0.5</v>
      </c>
      <c r="D233" s="3">
        <v>0.6</v>
      </c>
      <c r="E233" s="3">
        <v>0.3</v>
      </c>
      <c r="F233" s="6">
        <v>549.76715100000001</v>
      </c>
      <c r="G233" s="3">
        <v>2E-3</v>
      </c>
      <c r="I233" s="3" t="s">
        <v>164</v>
      </c>
      <c r="J233" s="3">
        <v>0.76</v>
      </c>
      <c r="K233" s="7">
        <v>619.65502900000001</v>
      </c>
      <c r="L233" s="3">
        <v>1E-3</v>
      </c>
      <c r="M233" s="3">
        <f t="shared" si="24"/>
        <v>0.53</v>
      </c>
      <c r="N233" s="5"/>
      <c r="O233" s="5"/>
      <c r="P233" s="5"/>
      <c r="Q233" s="5"/>
      <c r="R233" s="1"/>
      <c r="S233" s="3" t="s">
        <v>164</v>
      </c>
      <c r="T233" s="3">
        <v>0.9</v>
      </c>
      <c r="U233" s="3">
        <v>0.5</v>
      </c>
      <c r="V233" s="3">
        <v>0.6</v>
      </c>
      <c r="W233" s="3">
        <v>0.3</v>
      </c>
      <c r="X233" s="6">
        <v>461.26446499999997</v>
      </c>
      <c r="Y233" s="3">
        <v>1E-3</v>
      </c>
      <c r="AA233" s="3" t="s">
        <v>164</v>
      </c>
      <c r="AB233" s="3">
        <v>0.91</v>
      </c>
      <c r="AC233" s="7">
        <v>587.28088400000001</v>
      </c>
      <c r="AD233" s="3">
        <v>0</v>
      </c>
      <c r="AE233" s="3">
        <f t="shared" si="25"/>
        <v>0.60499999999999998</v>
      </c>
      <c r="AF233" s="5"/>
      <c r="AG233" s="5"/>
      <c r="AH233" s="5"/>
      <c r="AI233" s="5"/>
      <c r="AJ233" s="1"/>
      <c r="AK233" s="3" t="s">
        <v>165</v>
      </c>
      <c r="AL233" s="3">
        <v>0.9</v>
      </c>
      <c r="AM233" s="3">
        <v>0.5</v>
      </c>
      <c r="AN233" s="3">
        <v>0.6</v>
      </c>
      <c r="AO233" s="3">
        <v>0.3</v>
      </c>
      <c r="AP233" s="6">
        <v>937.19226100000003</v>
      </c>
      <c r="AQ233" s="3">
        <v>6.0000000000000001E-3</v>
      </c>
      <c r="AS233" s="3" t="s">
        <v>165</v>
      </c>
      <c r="AT233" s="3">
        <v>0.93</v>
      </c>
      <c r="AU233" s="7">
        <v>1141.2463379999999</v>
      </c>
      <c r="AV233" s="3">
        <v>1E-3</v>
      </c>
      <c r="AW233" s="3">
        <f t="shared" si="26"/>
        <v>0.61499999999999999</v>
      </c>
      <c r="AX233" s="5"/>
      <c r="AY233" s="5"/>
      <c r="AZ233" s="5"/>
      <c r="BA233" s="5"/>
      <c r="BB233" s="1"/>
      <c r="BC233" s="3" t="s">
        <v>165</v>
      </c>
      <c r="BD233" s="3">
        <v>0.9</v>
      </c>
      <c r="BE233" s="3">
        <v>0.5</v>
      </c>
      <c r="BF233" s="3">
        <v>0.6</v>
      </c>
      <c r="BG233" s="3">
        <v>0.3</v>
      </c>
      <c r="BH233" s="6">
        <v>913.92334000000005</v>
      </c>
      <c r="BI233" s="3">
        <v>6.0000000000000001E-3</v>
      </c>
      <c r="BK233" s="3" t="s">
        <v>165</v>
      </c>
      <c r="BL233" s="3">
        <v>0.72</v>
      </c>
      <c r="BM233" s="7">
        <v>1061.4573969999999</v>
      </c>
      <c r="BN233" s="3">
        <v>1E-3</v>
      </c>
      <c r="BO233" s="3">
        <f t="shared" si="27"/>
        <v>0.51</v>
      </c>
    </row>
    <row r="234" spans="1:67" x14ac:dyDescent="0.3">
      <c r="A234" s="3" t="s">
        <v>166</v>
      </c>
      <c r="B234" s="3">
        <v>0.9</v>
      </c>
      <c r="C234" s="3">
        <v>0.5</v>
      </c>
      <c r="D234" s="3">
        <v>0.6</v>
      </c>
      <c r="E234" s="3">
        <v>0.3</v>
      </c>
      <c r="F234" s="6">
        <v>724.91589399999998</v>
      </c>
      <c r="G234" s="3">
        <v>1E-3</v>
      </c>
      <c r="I234" s="3" t="s">
        <v>166</v>
      </c>
      <c r="J234" s="3">
        <v>0.84</v>
      </c>
      <c r="K234" s="7">
        <v>808.23925799999995</v>
      </c>
      <c r="L234" s="3">
        <v>1E-3</v>
      </c>
      <c r="M234" s="3">
        <f t="shared" si="24"/>
        <v>0.56999999999999995</v>
      </c>
      <c r="N234" s="5"/>
      <c r="O234" s="5"/>
      <c r="P234" s="5"/>
      <c r="Q234" s="5"/>
      <c r="R234" s="1"/>
      <c r="S234" s="3" t="s">
        <v>166</v>
      </c>
      <c r="T234" s="3">
        <v>0.9</v>
      </c>
      <c r="U234" s="3">
        <v>0.5</v>
      </c>
      <c r="V234" s="3">
        <v>0.6</v>
      </c>
      <c r="W234" s="3">
        <v>0.3</v>
      </c>
      <c r="X234" s="6">
        <v>703.52337599999998</v>
      </c>
      <c r="Y234" s="3">
        <v>2E-3</v>
      </c>
      <c r="AA234" s="3" t="s">
        <v>166</v>
      </c>
      <c r="AB234" s="3">
        <v>0.39</v>
      </c>
      <c r="AC234" s="7">
        <v>718.40850799999998</v>
      </c>
      <c r="AD234" s="3">
        <v>0</v>
      </c>
      <c r="AE234" s="3">
        <f t="shared" si="25"/>
        <v>0.34499999999999997</v>
      </c>
      <c r="AF234" s="5"/>
      <c r="AG234" s="5"/>
      <c r="AH234" s="5"/>
      <c r="AI234" s="5"/>
      <c r="AJ234" s="1"/>
      <c r="AK234" s="3" t="s">
        <v>167</v>
      </c>
      <c r="AL234" s="3">
        <v>0.9</v>
      </c>
      <c r="AM234" s="3">
        <v>0.5</v>
      </c>
      <c r="AN234" s="3">
        <v>0.6</v>
      </c>
      <c r="AO234" s="3">
        <v>0.3</v>
      </c>
      <c r="AP234" s="6">
        <v>955.35101299999997</v>
      </c>
      <c r="AQ234" s="3">
        <v>7.0000000000000001E-3</v>
      </c>
      <c r="AS234" s="3" t="s">
        <v>167</v>
      </c>
      <c r="AT234" s="3">
        <v>0.88</v>
      </c>
      <c r="AU234" s="7">
        <v>1183.7163089999999</v>
      </c>
      <c r="AV234" s="3">
        <v>0</v>
      </c>
      <c r="AW234" s="3">
        <f t="shared" si="26"/>
        <v>0.59</v>
      </c>
      <c r="AX234" s="5"/>
      <c r="AY234" s="5"/>
      <c r="AZ234" s="5"/>
      <c r="BA234" s="5"/>
      <c r="BB234" s="1"/>
      <c r="BC234" s="3" t="s">
        <v>167</v>
      </c>
      <c r="BD234" s="3">
        <v>0.9</v>
      </c>
      <c r="BE234" s="3">
        <v>0.5</v>
      </c>
      <c r="BF234" s="3">
        <v>0.6</v>
      </c>
      <c r="BG234" s="3">
        <v>0.3</v>
      </c>
      <c r="BH234" s="6">
        <v>928.70996100000002</v>
      </c>
      <c r="BI234" s="3">
        <v>6.0000000000000001E-3</v>
      </c>
      <c r="BK234" s="3" t="s">
        <v>167</v>
      </c>
      <c r="BL234" s="3">
        <v>0.73</v>
      </c>
      <c r="BM234" s="7">
        <v>1126.4332280000001</v>
      </c>
      <c r="BN234" s="3">
        <v>1E-3</v>
      </c>
      <c r="BO234" s="3">
        <f t="shared" si="27"/>
        <v>0.51500000000000001</v>
      </c>
    </row>
    <row r="235" spans="1:67" x14ac:dyDescent="0.3">
      <c r="A235" s="3" t="s">
        <v>168</v>
      </c>
      <c r="B235" s="3">
        <v>0.9</v>
      </c>
      <c r="C235" s="3">
        <v>0.5</v>
      </c>
      <c r="D235" s="3">
        <v>0.6</v>
      </c>
      <c r="E235" s="3">
        <v>0.3</v>
      </c>
      <c r="F235" s="6">
        <v>664.11364700000001</v>
      </c>
      <c r="G235" s="3">
        <v>2E-3</v>
      </c>
      <c r="I235" s="3" t="s">
        <v>168</v>
      </c>
      <c r="J235" s="3">
        <v>0.96</v>
      </c>
      <c r="K235" s="7">
        <v>748.36627199999998</v>
      </c>
      <c r="L235" s="3">
        <v>0</v>
      </c>
      <c r="M235" s="3">
        <f t="shared" si="24"/>
        <v>0.63</v>
      </c>
      <c r="N235" s="5"/>
      <c r="O235" s="5"/>
      <c r="P235" s="5"/>
      <c r="Q235" s="5"/>
      <c r="R235" s="1"/>
      <c r="S235" s="3" t="s">
        <v>168</v>
      </c>
      <c r="T235" s="3">
        <v>0.9</v>
      </c>
      <c r="U235" s="3">
        <v>0.5</v>
      </c>
      <c r="V235" s="3">
        <v>0.6</v>
      </c>
      <c r="W235" s="3">
        <v>0.3</v>
      </c>
      <c r="X235" s="7">
        <v>647.74670400000002</v>
      </c>
      <c r="Y235" s="3">
        <v>1E-3</v>
      </c>
      <c r="AA235" s="3" t="s">
        <v>168</v>
      </c>
      <c r="AB235" s="3">
        <v>0.02</v>
      </c>
      <c r="AC235" s="6">
        <v>620.28765899999996</v>
      </c>
      <c r="AD235" s="3">
        <v>0</v>
      </c>
      <c r="AE235" s="3">
        <f t="shared" si="25"/>
        <v>0.16</v>
      </c>
      <c r="AF235" s="5"/>
      <c r="AG235" s="5"/>
      <c r="AH235" s="5"/>
      <c r="AI235" s="5"/>
      <c r="AJ235" s="1"/>
      <c r="AK235" s="3" t="s">
        <v>169</v>
      </c>
      <c r="AL235" s="3">
        <v>0.9</v>
      </c>
      <c r="AM235" s="3">
        <v>0.5</v>
      </c>
      <c r="AN235" s="3">
        <v>0.6</v>
      </c>
      <c r="AO235" s="3">
        <v>0.3</v>
      </c>
      <c r="AP235" s="7">
        <v>1001.721619</v>
      </c>
      <c r="AQ235" s="3">
        <v>6.0000000000000001E-3</v>
      </c>
      <c r="AS235" s="3" t="s">
        <v>169</v>
      </c>
      <c r="AT235" s="3">
        <v>0.19</v>
      </c>
      <c r="AU235" s="6">
        <v>906.96948199999997</v>
      </c>
      <c r="AV235" s="3">
        <v>1E-3</v>
      </c>
      <c r="AW235" s="3">
        <f t="shared" si="26"/>
        <v>0.245</v>
      </c>
      <c r="AX235" s="5"/>
      <c r="AY235" s="5"/>
      <c r="AZ235" s="5"/>
      <c r="BA235" s="5"/>
      <c r="BB235" s="1"/>
      <c r="BC235" s="3" t="s">
        <v>169</v>
      </c>
      <c r="BD235" s="3">
        <v>0.9</v>
      </c>
      <c r="BE235" s="3">
        <v>0.5</v>
      </c>
      <c r="BF235" s="3">
        <v>0.6</v>
      </c>
      <c r="BG235" s="3">
        <v>0.3</v>
      </c>
      <c r="BH235" s="7">
        <v>962.70837400000005</v>
      </c>
      <c r="BI235" s="3">
        <v>6.0000000000000001E-3</v>
      </c>
      <c r="BK235" s="3" t="s">
        <v>169</v>
      </c>
      <c r="BL235" s="3">
        <v>0.22</v>
      </c>
      <c r="BM235" s="6">
        <v>925.27252199999998</v>
      </c>
      <c r="BN235" s="3">
        <v>0</v>
      </c>
      <c r="BO235" s="3">
        <f t="shared" si="27"/>
        <v>0.26</v>
      </c>
    </row>
    <row r="236" spans="1:67" x14ac:dyDescent="0.3">
      <c r="A236" s="3" t="s">
        <v>170</v>
      </c>
      <c r="B236" s="3">
        <v>0.9</v>
      </c>
      <c r="C236" s="3">
        <v>0.5</v>
      </c>
      <c r="D236" s="3">
        <v>0.6</v>
      </c>
      <c r="E236" s="3">
        <v>0.3</v>
      </c>
      <c r="F236" s="6">
        <v>701.655396</v>
      </c>
      <c r="G236" s="3">
        <v>2E-3</v>
      </c>
      <c r="I236" s="3" t="s">
        <v>170</v>
      </c>
      <c r="J236" s="3">
        <v>0.66</v>
      </c>
      <c r="K236" s="7">
        <v>724.16778599999998</v>
      </c>
      <c r="L236" s="3">
        <v>0</v>
      </c>
      <c r="M236" s="3">
        <f t="shared" si="24"/>
        <v>0.48</v>
      </c>
      <c r="N236" s="5"/>
      <c r="O236" s="5"/>
      <c r="P236" s="5"/>
      <c r="Q236" s="5"/>
      <c r="R236" s="1"/>
      <c r="S236" s="3" t="s">
        <v>170</v>
      </c>
      <c r="T236" s="3">
        <v>0.9</v>
      </c>
      <c r="U236" s="3">
        <v>0.5</v>
      </c>
      <c r="V236" s="3">
        <v>0.6</v>
      </c>
      <c r="W236" s="3">
        <v>0.3</v>
      </c>
      <c r="X236" s="6">
        <v>666.97839399999998</v>
      </c>
      <c r="Y236" s="3">
        <v>2E-3</v>
      </c>
      <c r="AA236" s="3" t="s">
        <v>170</v>
      </c>
      <c r="AB236" s="3">
        <v>0.62</v>
      </c>
      <c r="AC236" s="7">
        <v>696.42810099999997</v>
      </c>
      <c r="AD236" s="3">
        <v>0</v>
      </c>
      <c r="AE236" s="3">
        <f t="shared" si="25"/>
        <v>0.45999999999999996</v>
      </c>
      <c r="AF236" s="5"/>
      <c r="AG236" s="5"/>
      <c r="AH236" s="5"/>
      <c r="AI236" s="5"/>
      <c r="AJ236" s="1"/>
      <c r="AK236" s="3" t="s">
        <v>171</v>
      </c>
      <c r="AL236" s="3">
        <v>0.9</v>
      </c>
      <c r="AM236" s="3">
        <v>0.5</v>
      </c>
      <c r="AN236" s="3">
        <v>0.6</v>
      </c>
      <c r="AO236" s="3">
        <v>0.3</v>
      </c>
      <c r="AP236" s="6">
        <v>923.73724400000003</v>
      </c>
      <c r="AQ236" s="3">
        <v>8.0000000000000002E-3</v>
      </c>
      <c r="AS236" s="3" t="s">
        <v>171</v>
      </c>
      <c r="AT236" s="3">
        <v>0.92</v>
      </c>
      <c r="AU236" s="7">
        <v>1084.533203</v>
      </c>
      <c r="AV236" s="3">
        <v>0</v>
      </c>
      <c r="AW236" s="3">
        <f t="shared" si="26"/>
        <v>0.61</v>
      </c>
      <c r="AX236" s="5"/>
      <c r="AY236" s="5"/>
      <c r="AZ236" s="5"/>
      <c r="BA236" s="5"/>
      <c r="BB236" s="1"/>
      <c r="BC236" s="3" t="s">
        <v>171</v>
      </c>
      <c r="BD236" s="3">
        <v>0.9</v>
      </c>
      <c r="BE236" s="3">
        <v>0.5</v>
      </c>
      <c r="BF236" s="3">
        <v>0.6</v>
      </c>
      <c r="BG236" s="3">
        <v>0.3</v>
      </c>
      <c r="BH236" s="7">
        <v>848.67016599999999</v>
      </c>
      <c r="BI236" s="3">
        <v>6.0000000000000001E-3</v>
      </c>
      <c r="BK236" s="3" t="s">
        <v>171</v>
      </c>
      <c r="BL236" s="3">
        <v>0.08</v>
      </c>
      <c r="BM236" s="6">
        <v>709.71691899999996</v>
      </c>
      <c r="BN236" s="3">
        <v>1E-3</v>
      </c>
      <c r="BO236" s="3">
        <f t="shared" si="27"/>
        <v>0.19</v>
      </c>
    </row>
    <row r="237" spans="1:67" x14ac:dyDescent="0.3">
      <c r="A237" s="3" t="s">
        <v>172</v>
      </c>
      <c r="B237" s="3">
        <v>0.9</v>
      </c>
      <c r="C237" s="3">
        <v>0.5</v>
      </c>
      <c r="D237" s="3">
        <v>0.6</v>
      </c>
      <c r="E237" s="3">
        <v>0.3</v>
      </c>
      <c r="F237" s="7">
        <v>678.54125999999997</v>
      </c>
      <c r="G237" s="3">
        <v>1E-3</v>
      </c>
      <c r="I237" s="3" t="s">
        <v>172</v>
      </c>
      <c r="J237" s="3">
        <v>0.28999999999999998</v>
      </c>
      <c r="K237" s="6">
        <v>667.18530299999998</v>
      </c>
      <c r="L237" s="3">
        <v>0</v>
      </c>
      <c r="M237" s="3">
        <f t="shared" si="24"/>
        <v>0.29499999999999998</v>
      </c>
      <c r="N237" s="5"/>
      <c r="O237" s="5"/>
      <c r="P237" s="5"/>
      <c r="Q237" s="5"/>
      <c r="R237" s="1"/>
      <c r="S237" s="3" t="s">
        <v>172</v>
      </c>
      <c r="T237" s="3">
        <v>0.9</v>
      </c>
      <c r="U237" s="3">
        <v>0.5</v>
      </c>
      <c r="V237" s="3">
        <v>0.6</v>
      </c>
      <c r="W237" s="3">
        <v>0.3</v>
      </c>
      <c r="X237" s="6">
        <v>655.93591300000003</v>
      </c>
      <c r="Y237" s="3">
        <v>1E-3</v>
      </c>
      <c r="AA237" s="3" t="s">
        <v>172</v>
      </c>
      <c r="AB237" s="3">
        <v>0.82</v>
      </c>
      <c r="AC237" s="7">
        <v>740.27563499999997</v>
      </c>
      <c r="AD237" s="3">
        <v>0</v>
      </c>
      <c r="AE237" s="3">
        <f t="shared" si="25"/>
        <v>0.55999999999999994</v>
      </c>
      <c r="AF237" s="5"/>
      <c r="AG237" s="5"/>
      <c r="AH237" s="5"/>
      <c r="AI237" s="5"/>
      <c r="AJ237" s="1"/>
      <c r="AK237" s="3" t="s">
        <v>173</v>
      </c>
      <c r="AL237" s="3">
        <v>0.9</v>
      </c>
      <c r="AM237" s="3">
        <v>0.5</v>
      </c>
      <c r="AN237" s="3">
        <v>0.6</v>
      </c>
      <c r="AO237" s="3">
        <v>0.3</v>
      </c>
      <c r="AP237" s="6">
        <v>962.53454599999998</v>
      </c>
      <c r="AQ237" s="3">
        <v>6.0000000000000001E-3</v>
      </c>
      <c r="AS237" s="3" t="s">
        <v>173</v>
      </c>
      <c r="AT237" s="3">
        <v>0.84</v>
      </c>
      <c r="AU237" s="7">
        <v>1210.7836910000001</v>
      </c>
      <c r="AV237" s="3">
        <v>0</v>
      </c>
      <c r="AW237" s="3">
        <f t="shared" si="26"/>
        <v>0.56999999999999995</v>
      </c>
      <c r="AX237" s="5"/>
      <c r="AY237" s="5"/>
      <c r="AZ237" s="5"/>
      <c r="BA237" s="5"/>
      <c r="BB237" s="1"/>
      <c r="BC237" s="3" t="s">
        <v>173</v>
      </c>
      <c r="BD237" s="3">
        <v>0.9</v>
      </c>
      <c r="BE237" s="3">
        <v>0.5</v>
      </c>
      <c r="BF237" s="3">
        <v>0.6</v>
      </c>
      <c r="BG237" s="3">
        <v>0.3</v>
      </c>
      <c r="BH237" s="7">
        <v>957.39605700000004</v>
      </c>
      <c r="BI237" s="3">
        <v>6.0000000000000001E-3</v>
      </c>
      <c r="BK237" s="3" t="s">
        <v>173</v>
      </c>
      <c r="BL237" s="3">
        <v>0.27</v>
      </c>
      <c r="BM237" s="6">
        <v>955.79003899999998</v>
      </c>
      <c r="BN237" s="3">
        <v>0</v>
      </c>
      <c r="BO237" s="3">
        <f t="shared" si="27"/>
        <v>0.28500000000000003</v>
      </c>
    </row>
    <row r="238" spans="1:67" x14ac:dyDescent="0.3">
      <c r="A238" s="3" t="s">
        <v>174</v>
      </c>
      <c r="B238" s="3">
        <v>0.9</v>
      </c>
      <c r="C238" s="3">
        <v>0.5</v>
      </c>
      <c r="D238" s="3">
        <v>0.6</v>
      </c>
      <c r="E238" s="3">
        <v>0.3</v>
      </c>
      <c r="F238" s="7">
        <v>686.09057600000006</v>
      </c>
      <c r="G238" s="3">
        <v>2E-3</v>
      </c>
      <c r="I238" s="3" t="s">
        <v>174</v>
      </c>
      <c r="J238" s="3">
        <v>0.28999999999999998</v>
      </c>
      <c r="K238" s="6">
        <v>676.13897699999995</v>
      </c>
      <c r="L238" s="3">
        <v>0</v>
      </c>
      <c r="M238" s="3">
        <f t="shared" si="24"/>
        <v>0.29499999999999998</v>
      </c>
      <c r="N238" s="5"/>
      <c r="O238" s="5"/>
      <c r="P238" s="5"/>
      <c r="Q238" s="5"/>
      <c r="R238" s="1"/>
      <c r="S238" s="3" t="s">
        <v>174</v>
      </c>
      <c r="T238" s="3">
        <v>0.9</v>
      </c>
      <c r="U238" s="3">
        <v>0.5</v>
      </c>
      <c r="V238" s="3">
        <v>0.6</v>
      </c>
      <c r="W238" s="3">
        <v>0.3</v>
      </c>
      <c r="X238" s="6">
        <v>670.11676</v>
      </c>
      <c r="Y238" s="3">
        <v>2E-3</v>
      </c>
      <c r="AA238" s="3" t="s">
        <v>174</v>
      </c>
      <c r="AB238" s="3">
        <v>0.81</v>
      </c>
      <c r="AC238" s="7">
        <v>738.68524200000002</v>
      </c>
      <c r="AD238" s="3">
        <v>0</v>
      </c>
      <c r="AE238" s="3">
        <f t="shared" si="25"/>
        <v>0.55500000000000005</v>
      </c>
      <c r="AF238" s="5"/>
      <c r="AG238" s="5"/>
      <c r="AH238" s="5"/>
      <c r="AI238" s="5"/>
      <c r="AJ238" s="1"/>
      <c r="AK238" s="3" t="s">
        <v>175</v>
      </c>
      <c r="AL238" s="3">
        <v>0.9</v>
      </c>
      <c r="AM238" s="3">
        <v>0.5</v>
      </c>
      <c r="AN238" s="3">
        <v>0.6</v>
      </c>
      <c r="AO238" s="3">
        <v>0.3</v>
      </c>
      <c r="AP238" s="6">
        <v>977.95916699999998</v>
      </c>
      <c r="AQ238" s="3">
        <v>0.01</v>
      </c>
      <c r="AS238" s="3" t="s">
        <v>175</v>
      </c>
      <c r="AT238" s="3">
        <v>0.86</v>
      </c>
      <c r="AU238" s="7">
        <v>1200.8123780000001</v>
      </c>
      <c r="AV238" s="3">
        <v>1E-3</v>
      </c>
      <c r="AW238" s="3">
        <f t="shared" si="26"/>
        <v>0.57999999999999996</v>
      </c>
      <c r="AX238" s="5"/>
      <c r="AY238" s="5"/>
      <c r="AZ238" s="5"/>
      <c r="BA238" s="5"/>
      <c r="BB238" s="1"/>
      <c r="BC238" s="3" t="s">
        <v>175</v>
      </c>
      <c r="BD238" s="3">
        <v>0.9</v>
      </c>
      <c r="BE238" s="3">
        <v>0.5</v>
      </c>
      <c r="BF238" s="3">
        <v>0.6</v>
      </c>
      <c r="BG238" s="3">
        <v>0.3</v>
      </c>
      <c r="BH238" s="6">
        <v>958.14282200000002</v>
      </c>
      <c r="BI238" s="3">
        <v>7.0000000000000001E-3</v>
      </c>
      <c r="BK238" s="3" t="s">
        <v>175</v>
      </c>
      <c r="BL238" s="3">
        <v>0.46</v>
      </c>
      <c r="BM238" s="7">
        <v>1051.2586670000001</v>
      </c>
      <c r="BN238" s="3">
        <v>1E-3</v>
      </c>
      <c r="BO238" s="3">
        <f t="shared" si="27"/>
        <v>0.38</v>
      </c>
    </row>
    <row r="239" spans="1:67" x14ac:dyDescent="0.3">
      <c r="A239" s="3" t="s">
        <v>176</v>
      </c>
      <c r="B239" s="3">
        <v>0.9</v>
      </c>
      <c r="C239" s="3">
        <v>0.5</v>
      </c>
      <c r="D239" s="3">
        <v>0.6</v>
      </c>
      <c r="E239" s="3">
        <v>0.3</v>
      </c>
      <c r="F239" s="6">
        <v>707.24566700000003</v>
      </c>
      <c r="G239" s="3">
        <v>2E-3</v>
      </c>
      <c r="I239" s="3" t="s">
        <v>176</v>
      </c>
      <c r="J239" s="3">
        <v>0.53</v>
      </c>
      <c r="K239" s="7">
        <v>746.24279799999999</v>
      </c>
      <c r="L239" s="3">
        <v>0</v>
      </c>
      <c r="M239" s="3">
        <f t="shared" si="24"/>
        <v>0.41500000000000004</v>
      </c>
      <c r="N239" s="5"/>
      <c r="O239" s="5"/>
      <c r="P239" s="5"/>
      <c r="Q239" s="5"/>
      <c r="R239" s="1"/>
      <c r="S239" s="3" t="s">
        <v>176</v>
      </c>
      <c r="T239" s="3">
        <v>0.9</v>
      </c>
      <c r="U239" s="3">
        <v>0.5</v>
      </c>
      <c r="V239" s="3">
        <v>0.6</v>
      </c>
      <c r="W239" s="3">
        <v>0.3</v>
      </c>
      <c r="X239" s="7">
        <v>694.58581500000003</v>
      </c>
      <c r="Y239" s="3">
        <v>2E-3</v>
      </c>
      <c r="AA239" s="3" t="s">
        <v>176</v>
      </c>
      <c r="AB239" s="3">
        <v>0.11</v>
      </c>
      <c r="AC239" s="6">
        <v>657.45245399999999</v>
      </c>
      <c r="AD239" s="3">
        <v>0</v>
      </c>
      <c r="AE239" s="3">
        <f t="shared" si="25"/>
        <v>0.20499999999999999</v>
      </c>
      <c r="AF239" s="5"/>
      <c r="AG239" s="5"/>
      <c r="AH239" s="5"/>
      <c r="AI239" s="5"/>
      <c r="AJ239" s="1"/>
      <c r="AK239" s="3" t="s">
        <v>177</v>
      </c>
      <c r="AL239" s="3">
        <v>0.9</v>
      </c>
      <c r="AM239" s="3">
        <v>0.5</v>
      </c>
      <c r="AN239" s="3">
        <v>0.6</v>
      </c>
      <c r="AO239" s="3">
        <v>0.3</v>
      </c>
      <c r="AP239" s="6">
        <v>1086.8961179999999</v>
      </c>
      <c r="AQ239" s="3">
        <v>8.0000000000000002E-3</v>
      </c>
      <c r="AS239" s="3" t="s">
        <v>177</v>
      </c>
      <c r="AT239" s="3">
        <v>0.76</v>
      </c>
      <c r="AU239" s="7">
        <v>1319.2296140000001</v>
      </c>
      <c r="AV239" s="3">
        <v>1E-3</v>
      </c>
      <c r="AW239" s="3">
        <f t="shared" si="26"/>
        <v>0.53</v>
      </c>
      <c r="AX239" s="5"/>
      <c r="AY239" s="5"/>
      <c r="AZ239" s="5"/>
      <c r="BA239" s="5"/>
      <c r="BB239" s="1"/>
      <c r="BC239" s="3" t="s">
        <v>177</v>
      </c>
      <c r="BD239" s="3">
        <v>0.9</v>
      </c>
      <c r="BE239" s="3">
        <v>0.5</v>
      </c>
      <c r="BF239" s="3">
        <v>0.6</v>
      </c>
      <c r="BG239" s="3">
        <v>0.3</v>
      </c>
      <c r="BH239" s="7">
        <v>1044.595703</v>
      </c>
      <c r="BI239" s="3">
        <v>8.0000000000000002E-3</v>
      </c>
      <c r="BK239" s="3" t="s">
        <v>177</v>
      </c>
      <c r="BL239" s="3">
        <v>0</v>
      </c>
      <c r="BM239" s="6">
        <v>984.838257</v>
      </c>
      <c r="BN239" s="3">
        <v>1E-3</v>
      </c>
      <c r="BO239" s="3">
        <f t="shared" si="27"/>
        <v>0.15</v>
      </c>
    </row>
    <row r="240" spans="1:67" x14ac:dyDescent="0.3">
      <c r="A240" s="3" t="s">
        <v>178</v>
      </c>
      <c r="B240" s="3">
        <v>0.9</v>
      </c>
      <c r="C240" s="3">
        <v>0.5</v>
      </c>
      <c r="D240" s="3">
        <v>0.6</v>
      </c>
      <c r="E240" s="3">
        <v>0.3</v>
      </c>
      <c r="F240" s="7">
        <v>674.61303699999996</v>
      </c>
      <c r="G240" s="3">
        <v>1E-3</v>
      </c>
      <c r="I240" s="3" t="s">
        <v>178</v>
      </c>
      <c r="J240" s="3">
        <v>0.17</v>
      </c>
      <c r="K240" s="6">
        <v>641.173767</v>
      </c>
      <c r="L240" s="3">
        <v>0</v>
      </c>
      <c r="M240" s="3">
        <f t="shared" si="24"/>
        <v>0.23499999999999999</v>
      </c>
      <c r="N240" s="5"/>
      <c r="O240" s="5"/>
      <c r="P240" s="5"/>
      <c r="Q240" s="5"/>
      <c r="R240" s="1"/>
      <c r="S240" s="3" t="s">
        <v>178</v>
      </c>
      <c r="T240" s="3">
        <v>0.9</v>
      </c>
      <c r="U240" s="3">
        <v>0.5</v>
      </c>
      <c r="V240" s="3">
        <v>0.6</v>
      </c>
      <c r="W240" s="3">
        <v>0.3</v>
      </c>
      <c r="X240" s="6">
        <v>640.28515600000003</v>
      </c>
      <c r="Y240" s="3">
        <v>1E-3</v>
      </c>
      <c r="AA240" s="3" t="s">
        <v>178</v>
      </c>
      <c r="AB240" s="3">
        <v>0.32</v>
      </c>
      <c r="AC240" s="7">
        <v>656.96380599999998</v>
      </c>
      <c r="AD240" s="3">
        <v>1E-3</v>
      </c>
      <c r="AE240" s="3">
        <f t="shared" si="25"/>
        <v>0.31</v>
      </c>
      <c r="AF240" s="5"/>
      <c r="AG240" s="5"/>
      <c r="AH240" s="5"/>
      <c r="AI240" s="5"/>
      <c r="AJ240" s="1"/>
      <c r="AK240" s="3" t="s">
        <v>179</v>
      </c>
      <c r="AL240" s="3">
        <v>0.9</v>
      </c>
      <c r="AM240" s="3">
        <v>0.5</v>
      </c>
      <c r="AN240" s="3">
        <v>0.6</v>
      </c>
      <c r="AO240" s="3">
        <v>0.3</v>
      </c>
      <c r="AP240" s="6">
        <v>1032.3348390000001</v>
      </c>
      <c r="AQ240" s="3">
        <v>7.0000000000000001E-3</v>
      </c>
      <c r="AS240" s="3" t="s">
        <v>179</v>
      </c>
      <c r="AT240" s="3">
        <v>0.81</v>
      </c>
      <c r="AU240" s="7">
        <v>1224.447144</v>
      </c>
      <c r="AV240" s="3">
        <v>1E-3</v>
      </c>
      <c r="AW240" s="3">
        <f t="shared" si="26"/>
        <v>0.55500000000000005</v>
      </c>
      <c r="AX240" s="5"/>
      <c r="AY240" s="5"/>
      <c r="AZ240" s="5"/>
      <c r="BA240" s="5"/>
      <c r="BB240" s="1"/>
      <c r="BC240" s="3" t="s">
        <v>179</v>
      </c>
      <c r="BD240" s="3">
        <v>0.9</v>
      </c>
      <c r="BE240" s="3">
        <v>0.5</v>
      </c>
      <c r="BF240" s="3">
        <v>0.6</v>
      </c>
      <c r="BG240" s="3">
        <v>0.3</v>
      </c>
      <c r="BH240" s="6">
        <v>1010.740784</v>
      </c>
      <c r="BI240" s="3">
        <v>6.0000000000000001E-3</v>
      </c>
      <c r="BK240" s="3" t="s">
        <v>179</v>
      </c>
      <c r="BL240" s="3">
        <v>0.43</v>
      </c>
      <c r="BM240" s="7">
        <v>1092.4814449999999</v>
      </c>
      <c r="BN240" s="3">
        <v>1E-3</v>
      </c>
      <c r="BO240" s="3">
        <f t="shared" si="27"/>
        <v>0.36499999999999999</v>
      </c>
    </row>
    <row r="241" spans="1:71" x14ac:dyDescent="0.3">
      <c r="A241" s="3" t="s">
        <v>180</v>
      </c>
      <c r="B241" s="3">
        <v>0.9</v>
      </c>
      <c r="C241" s="3">
        <v>0.5</v>
      </c>
      <c r="D241" s="3">
        <v>0.6</v>
      </c>
      <c r="E241" s="3">
        <v>0.3</v>
      </c>
      <c r="F241" s="7">
        <v>673.78869599999996</v>
      </c>
      <c r="G241" s="3">
        <v>2E-3</v>
      </c>
      <c r="I241" s="3" t="s">
        <v>180</v>
      </c>
      <c r="J241" s="3">
        <v>0.24</v>
      </c>
      <c r="K241" s="6">
        <v>661.00006099999996</v>
      </c>
      <c r="L241" s="3">
        <v>1E-3</v>
      </c>
      <c r="M241" s="3">
        <f t="shared" si="24"/>
        <v>0.27</v>
      </c>
      <c r="N241" s="5"/>
      <c r="O241" s="5"/>
      <c r="P241" s="5"/>
      <c r="Q241" s="5"/>
      <c r="R241" s="1"/>
      <c r="S241" s="3" t="s">
        <v>180</v>
      </c>
      <c r="T241" s="3">
        <v>0.9</v>
      </c>
      <c r="U241" s="3">
        <v>0.5</v>
      </c>
      <c r="V241" s="3">
        <v>0.6</v>
      </c>
      <c r="W241" s="3">
        <v>0.3</v>
      </c>
      <c r="X241" s="6">
        <v>669.84527600000001</v>
      </c>
      <c r="Y241" s="3">
        <v>1E-3</v>
      </c>
      <c r="AA241" s="3" t="s">
        <v>180</v>
      </c>
      <c r="AB241" s="3">
        <v>0.93</v>
      </c>
      <c r="AC241" s="7">
        <v>734.61499000000003</v>
      </c>
      <c r="AD241" s="3">
        <v>0</v>
      </c>
      <c r="AE241" s="3">
        <f t="shared" si="25"/>
        <v>0.61499999999999999</v>
      </c>
      <c r="AF241" s="5"/>
      <c r="AG241" s="5"/>
      <c r="AH241" s="5"/>
      <c r="AI241" s="5"/>
      <c r="AJ241" s="1"/>
      <c r="AK241" s="3" t="s">
        <v>181</v>
      </c>
      <c r="AL241" s="3">
        <v>0.9</v>
      </c>
      <c r="AM241" s="3">
        <v>0.5</v>
      </c>
      <c r="AN241" s="3">
        <v>0.6</v>
      </c>
      <c r="AO241" s="3">
        <v>0.3</v>
      </c>
      <c r="AP241" s="6">
        <v>1039.3226320000001</v>
      </c>
      <c r="AQ241" s="3">
        <v>7.0000000000000001E-3</v>
      </c>
      <c r="AS241" s="3" t="s">
        <v>181</v>
      </c>
      <c r="AT241" s="3">
        <v>0.7</v>
      </c>
      <c r="AU241" s="7">
        <v>1211.7189940000001</v>
      </c>
      <c r="AV241" s="3">
        <v>1E-3</v>
      </c>
      <c r="AW241" s="3">
        <f t="shared" si="26"/>
        <v>0.5</v>
      </c>
      <c r="AX241" s="5"/>
      <c r="AY241" s="5"/>
      <c r="AZ241" s="5"/>
      <c r="BA241" s="5"/>
      <c r="BB241" s="1"/>
      <c r="BC241" s="3" t="s">
        <v>181</v>
      </c>
      <c r="BD241" s="3">
        <v>0.9</v>
      </c>
      <c r="BE241" s="3">
        <v>0.5</v>
      </c>
      <c r="BF241" s="3">
        <v>0.6</v>
      </c>
      <c r="BG241" s="3">
        <v>0.3</v>
      </c>
      <c r="BH241" s="7">
        <v>996.02288799999997</v>
      </c>
      <c r="BI241" s="3">
        <v>7.0000000000000001E-3</v>
      </c>
      <c r="BK241" s="3" t="s">
        <v>181</v>
      </c>
      <c r="BL241" s="3">
        <v>0.27</v>
      </c>
      <c r="BM241" s="6">
        <v>966.63439900000003</v>
      </c>
      <c r="BN241" s="3">
        <v>1E-3</v>
      </c>
      <c r="BO241" s="3">
        <f t="shared" si="27"/>
        <v>0.28500000000000003</v>
      </c>
    </row>
    <row r="242" spans="1:71" x14ac:dyDescent="0.3">
      <c r="A242" s="3" t="s">
        <v>182</v>
      </c>
      <c r="B242" s="3">
        <v>0.9</v>
      </c>
      <c r="C242" s="3">
        <v>0.5</v>
      </c>
      <c r="D242" s="3">
        <v>0.6</v>
      </c>
      <c r="E242" s="3">
        <v>0.3</v>
      </c>
      <c r="F242" s="7">
        <v>625.35784899999999</v>
      </c>
      <c r="G242" s="3">
        <v>1E-3</v>
      </c>
      <c r="I242" s="3" t="s">
        <v>182</v>
      </c>
      <c r="J242" s="3">
        <v>0.21</v>
      </c>
      <c r="K242" s="6">
        <v>616.96820100000002</v>
      </c>
      <c r="L242" s="3">
        <v>0</v>
      </c>
      <c r="M242" s="3">
        <f t="shared" si="24"/>
        <v>0.255</v>
      </c>
      <c r="N242" s="5"/>
      <c r="O242" s="5"/>
      <c r="P242" s="5"/>
      <c r="Q242" s="5"/>
      <c r="R242" s="1"/>
      <c r="S242" s="3" t="s">
        <v>182</v>
      </c>
      <c r="T242" s="3">
        <v>0.9</v>
      </c>
      <c r="U242" s="3">
        <v>0.5</v>
      </c>
      <c r="V242" s="3">
        <v>0.6</v>
      </c>
      <c r="W242" s="3">
        <v>0.3</v>
      </c>
      <c r="X242" s="7">
        <v>611.75146500000005</v>
      </c>
      <c r="Y242" s="3">
        <v>1E-3</v>
      </c>
      <c r="AA242" s="3" t="s">
        <v>182</v>
      </c>
      <c r="AB242" s="3">
        <v>0.24</v>
      </c>
      <c r="AC242" s="6">
        <v>605.48187299999995</v>
      </c>
      <c r="AD242" s="3">
        <v>0</v>
      </c>
      <c r="AE242" s="3">
        <f t="shared" si="25"/>
        <v>0.27</v>
      </c>
      <c r="AF242" s="5"/>
      <c r="AG242" s="5"/>
      <c r="AH242" s="5"/>
      <c r="AI242" s="5"/>
      <c r="AJ242" s="1"/>
      <c r="AK242" s="3" t="s">
        <v>183</v>
      </c>
      <c r="AL242" s="3">
        <v>0.9</v>
      </c>
      <c r="AM242" s="3">
        <v>0.5</v>
      </c>
      <c r="AN242" s="3">
        <v>0.6</v>
      </c>
      <c r="AO242" s="3">
        <v>0.3</v>
      </c>
      <c r="AP242" s="6">
        <v>1067.0251459999999</v>
      </c>
      <c r="AQ242" s="3">
        <v>7.0000000000000001E-3</v>
      </c>
      <c r="AS242" s="3" t="s">
        <v>183</v>
      </c>
      <c r="AT242" s="3">
        <v>0.97</v>
      </c>
      <c r="AU242" s="7">
        <v>1326.5509030000001</v>
      </c>
      <c r="AV242" s="3">
        <v>1E-3</v>
      </c>
      <c r="AW242" s="3">
        <f t="shared" si="26"/>
        <v>0.63500000000000001</v>
      </c>
      <c r="AX242" s="5"/>
      <c r="AY242" s="5"/>
      <c r="AZ242" s="5"/>
      <c r="BA242" s="5"/>
      <c r="BB242" s="1"/>
      <c r="BC242" s="3" t="s">
        <v>183</v>
      </c>
      <c r="BD242" s="3">
        <v>0.9</v>
      </c>
      <c r="BE242" s="3">
        <v>0.5</v>
      </c>
      <c r="BF242" s="3">
        <v>0.6</v>
      </c>
      <c r="BG242" s="3">
        <v>0.3</v>
      </c>
      <c r="BH242" s="6">
        <v>1047.1072999999999</v>
      </c>
      <c r="BI242" s="3">
        <v>7.0000000000000001E-3</v>
      </c>
      <c r="BK242" s="3" t="s">
        <v>183</v>
      </c>
      <c r="BL242" s="3">
        <v>0.85</v>
      </c>
      <c r="BM242" s="7">
        <v>1253.8438719999999</v>
      </c>
      <c r="BN242" s="3">
        <v>1E-3</v>
      </c>
      <c r="BO242" s="3">
        <f t="shared" si="27"/>
        <v>0.57499999999999996</v>
      </c>
    </row>
    <row r="243" spans="1:71" x14ac:dyDescent="0.3">
      <c r="A243" s="3" t="s">
        <v>184</v>
      </c>
      <c r="B243" s="3">
        <v>0.9</v>
      </c>
      <c r="C243" s="3">
        <v>0.5</v>
      </c>
      <c r="D243" s="3">
        <v>0.6</v>
      </c>
      <c r="E243" s="3">
        <v>0.3</v>
      </c>
      <c r="F243" s="7">
        <v>649.77593999999999</v>
      </c>
      <c r="G243" s="3">
        <v>1E-3</v>
      </c>
      <c r="I243" s="3" t="s">
        <v>184</v>
      </c>
      <c r="J243" s="3">
        <v>0.26</v>
      </c>
      <c r="K243" s="6">
        <v>638.11151099999995</v>
      </c>
      <c r="L243" s="3">
        <v>0</v>
      </c>
      <c r="M243" s="3">
        <f t="shared" si="24"/>
        <v>0.28000000000000003</v>
      </c>
      <c r="N243" s="5"/>
      <c r="O243" s="5"/>
      <c r="P243" s="5"/>
      <c r="Q243" s="5"/>
      <c r="R243" s="1"/>
      <c r="S243" s="3" t="s">
        <v>184</v>
      </c>
      <c r="T243" s="3">
        <v>0.9</v>
      </c>
      <c r="U243" s="3">
        <v>0.5</v>
      </c>
      <c r="V243" s="3">
        <v>0.6</v>
      </c>
      <c r="W243" s="3">
        <v>0.3</v>
      </c>
      <c r="X243" s="6">
        <v>617.88653599999998</v>
      </c>
      <c r="Y243" s="3">
        <v>1E-3</v>
      </c>
      <c r="AA243" s="3" t="s">
        <v>184</v>
      </c>
      <c r="AB243" s="3">
        <v>0.34</v>
      </c>
      <c r="AC243" s="7">
        <v>634.04632600000002</v>
      </c>
      <c r="AD243" s="3">
        <v>0</v>
      </c>
      <c r="AE243" s="3">
        <f t="shared" si="25"/>
        <v>0.32</v>
      </c>
      <c r="AF243" s="5"/>
      <c r="AG243" s="5"/>
      <c r="AH243" s="5"/>
      <c r="AI243" s="5"/>
      <c r="AJ243" s="1"/>
      <c r="AK243" s="3" t="s">
        <v>185</v>
      </c>
      <c r="AL243" s="3">
        <v>0.9</v>
      </c>
      <c r="AM243" s="3">
        <v>0.5</v>
      </c>
      <c r="AN243" s="3">
        <v>0.6</v>
      </c>
      <c r="AO243" s="3">
        <v>0.3</v>
      </c>
      <c r="AP243" s="6">
        <v>1025.0541989999999</v>
      </c>
      <c r="AQ243" s="3">
        <v>7.0000000000000001E-3</v>
      </c>
      <c r="AS243" s="3" t="s">
        <v>185</v>
      </c>
      <c r="AT243" s="3">
        <v>0.5</v>
      </c>
      <c r="AU243" s="7">
        <v>1152.8210449999999</v>
      </c>
      <c r="AV243" s="3">
        <v>1E-3</v>
      </c>
      <c r="AW243" s="3">
        <f t="shared" si="26"/>
        <v>0.4</v>
      </c>
      <c r="AX243" s="5"/>
      <c r="AY243" s="5"/>
      <c r="AZ243" s="5"/>
      <c r="BA243" s="5"/>
      <c r="BB243" s="1"/>
      <c r="BC243" s="3" t="s">
        <v>185</v>
      </c>
      <c r="BD243" s="3">
        <v>0.9</v>
      </c>
      <c r="BE243" s="3">
        <v>0.5</v>
      </c>
      <c r="BF243" s="3">
        <v>0.6</v>
      </c>
      <c r="BG243" s="3">
        <v>0.3</v>
      </c>
      <c r="BH243" s="6">
        <v>1023.160034</v>
      </c>
      <c r="BI243" s="3">
        <v>7.0000000000000001E-3</v>
      </c>
      <c r="BK243" s="3" t="s">
        <v>185</v>
      </c>
      <c r="BL243" s="3">
        <v>0.41</v>
      </c>
      <c r="BM243" s="7">
        <v>1061.615112</v>
      </c>
      <c r="BN243" s="3">
        <v>1E-3</v>
      </c>
      <c r="BO243" s="3">
        <f t="shared" si="27"/>
        <v>0.35499999999999998</v>
      </c>
    </row>
    <row r="244" spans="1:71" x14ac:dyDescent="0.3">
      <c r="A244" s="3" t="s">
        <v>186</v>
      </c>
      <c r="B244" s="3">
        <v>0.9</v>
      </c>
      <c r="C244" s="3">
        <v>0.5</v>
      </c>
      <c r="D244" s="3">
        <v>0.6</v>
      </c>
      <c r="E244" s="3">
        <v>0.3</v>
      </c>
      <c r="F244" s="6">
        <v>745.99169900000004</v>
      </c>
      <c r="G244" s="3">
        <v>1E-3</v>
      </c>
      <c r="I244" s="3" t="s">
        <v>186</v>
      </c>
      <c r="J244" s="3">
        <v>0.87</v>
      </c>
      <c r="K244" s="7">
        <v>934.98321499999997</v>
      </c>
      <c r="L244" s="3">
        <v>0</v>
      </c>
      <c r="M244" s="3">
        <f t="shared" si="24"/>
        <v>0.58499999999999996</v>
      </c>
      <c r="N244" s="5"/>
      <c r="O244" s="5"/>
      <c r="P244" s="5"/>
      <c r="Q244" s="5"/>
      <c r="R244" s="1"/>
      <c r="S244" s="3" t="s">
        <v>186</v>
      </c>
      <c r="T244" s="3">
        <v>0.9</v>
      </c>
      <c r="U244" s="3">
        <v>0.5</v>
      </c>
      <c r="V244" s="3">
        <v>0.6</v>
      </c>
      <c r="W244" s="3">
        <v>0.3</v>
      </c>
      <c r="X244" s="6">
        <v>732.42492700000003</v>
      </c>
      <c r="Y244" s="3">
        <v>1E-3</v>
      </c>
      <c r="AA244" s="3" t="s">
        <v>186</v>
      </c>
      <c r="AB244" s="3">
        <v>0.93</v>
      </c>
      <c r="AC244" s="7">
        <v>911.70611599999995</v>
      </c>
      <c r="AD244" s="3">
        <v>0</v>
      </c>
      <c r="AE244" s="3">
        <f t="shared" si="25"/>
        <v>0.61499999999999999</v>
      </c>
      <c r="AF244" s="5"/>
      <c r="AG244" s="5"/>
      <c r="AH244" s="5"/>
      <c r="AI244" s="5"/>
      <c r="AJ244" s="1"/>
      <c r="AK244" s="3" t="s">
        <v>187</v>
      </c>
      <c r="AL244" s="3">
        <v>0.9</v>
      </c>
      <c r="AM244" s="3">
        <v>0.5</v>
      </c>
      <c r="AN244" s="3">
        <v>0.6</v>
      </c>
      <c r="AO244" s="3">
        <v>0.3</v>
      </c>
      <c r="AP244" s="7">
        <v>1137.481689</v>
      </c>
      <c r="AQ244" s="3">
        <v>8.0000000000000002E-3</v>
      </c>
      <c r="AS244" s="3" t="s">
        <v>187</v>
      </c>
      <c r="AT244" s="3">
        <v>0.12</v>
      </c>
      <c r="AU244" s="6">
        <v>1009.797668</v>
      </c>
      <c r="AV244" s="3">
        <v>0</v>
      </c>
      <c r="AW244" s="3">
        <f t="shared" si="26"/>
        <v>0.21</v>
      </c>
      <c r="AX244" s="5"/>
      <c r="AY244" s="5"/>
      <c r="AZ244" s="5"/>
      <c r="BA244" s="5"/>
      <c r="BB244" s="1"/>
      <c r="BC244" s="3" t="s">
        <v>187</v>
      </c>
      <c r="BD244" s="3">
        <v>0.9</v>
      </c>
      <c r="BE244" s="3">
        <v>0.5</v>
      </c>
      <c r="BF244" s="3">
        <v>0.6</v>
      </c>
      <c r="BG244" s="3">
        <v>0.3</v>
      </c>
      <c r="BH244" s="7">
        <v>1116.3873289999999</v>
      </c>
      <c r="BI244" s="3">
        <v>7.0000000000000001E-3</v>
      </c>
      <c r="BK244" s="3" t="s">
        <v>187</v>
      </c>
      <c r="BL244" s="3">
        <v>0.23</v>
      </c>
      <c r="BM244" s="6">
        <v>1069.0579829999999</v>
      </c>
      <c r="BN244" s="3">
        <v>0</v>
      </c>
      <c r="BO244" s="3">
        <f t="shared" si="27"/>
        <v>0.26500000000000001</v>
      </c>
    </row>
    <row r="245" spans="1:71" x14ac:dyDescent="0.3">
      <c r="A245" s="3" t="s">
        <v>188</v>
      </c>
      <c r="B245" s="3">
        <v>0.9</v>
      </c>
      <c r="C245" s="3">
        <v>0.5</v>
      </c>
      <c r="D245" s="3">
        <v>0.6</v>
      </c>
      <c r="E245" s="3">
        <v>0.3</v>
      </c>
      <c r="F245" s="7">
        <v>676.25616500000001</v>
      </c>
      <c r="G245" s="3">
        <v>2E-3</v>
      </c>
      <c r="I245" s="3" t="s">
        <v>188</v>
      </c>
      <c r="J245" s="3">
        <v>0.19</v>
      </c>
      <c r="K245" s="6">
        <v>649.10571300000004</v>
      </c>
      <c r="L245" s="3">
        <v>0</v>
      </c>
      <c r="M245" s="3">
        <f t="shared" si="24"/>
        <v>0.245</v>
      </c>
      <c r="N245" s="5"/>
      <c r="O245" s="5"/>
      <c r="P245" s="5"/>
      <c r="Q245" s="5"/>
      <c r="R245" s="1"/>
      <c r="S245" s="3" t="s">
        <v>188</v>
      </c>
      <c r="T245" s="3">
        <v>0.9</v>
      </c>
      <c r="U245" s="3">
        <v>0.5</v>
      </c>
      <c r="V245" s="3">
        <v>0.6</v>
      </c>
      <c r="W245" s="3">
        <v>0.3</v>
      </c>
      <c r="X245" s="6">
        <v>653.67767300000003</v>
      </c>
      <c r="Y245" s="3">
        <v>4.0000000000000001E-3</v>
      </c>
      <c r="AA245" s="3" t="s">
        <v>188</v>
      </c>
      <c r="AB245" s="3">
        <v>0.9</v>
      </c>
      <c r="AC245" s="7">
        <v>763.72479199999998</v>
      </c>
      <c r="AD245" s="3">
        <v>0</v>
      </c>
      <c r="AE245" s="3">
        <f t="shared" si="25"/>
        <v>0.6</v>
      </c>
      <c r="AF245" s="5"/>
      <c r="AG245" s="5"/>
      <c r="AH245" s="5"/>
      <c r="AI245" s="5"/>
      <c r="AJ245" s="1"/>
      <c r="AK245" s="3" t="s">
        <v>189</v>
      </c>
      <c r="AL245" s="3">
        <v>0.9</v>
      </c>
      <c r="AM245" s="3">
        <v>0.5</v>
      </c>
      <c r="AN245" s="3">
        <v>0.6</v>
      </c>
      <c r="AO245" s="3">
        <v>0.3</v>
      </c>
      <c r="AP245" s="6">
        <v>983.92980999999997</v>
      </c>
      <c r="AQ245" s="3">
        <v>6.0000000000000001E-3</v>
      </c>
      <c r="AS245" s="3" t="s">
        <v>189</v>
      </c>
      <c r="AT245" s="3">
        <v>0.3</v>
      </c>
      <c r="AU245" s="7">
        <v>998.17053199999998</v>
      </c>
      <c r="AV245" s="3">
        <v>1E-3</v>
      </c>
      <c r="AW245" s="3">
        <f t="shared" si="26"/>
        <v>0.3</v>
      </c>
      <c r="AX245" s="5"/>
      <c r="AY245" s="5"/>
      <c r="AZ245" s="5"/>
      <c r="BA245" s="5"/>
      <c r="BB245" s="1"/>
      <c r="BC245" s="3" t="s">
        <v>189</v>
      </c>
      <c r="BD245" s="3">
        <v>0.9</v>
      </c>
      <c r="BE245" s="3">
        <v>0.5</v>
      </c>
      <c r="BF245" s="3">
        <v>0.6</v>
      </c>
      <c r="BG245" s="3">
        <v>0.3</v>
      </c>
      <c r="BH245" s="6">
        <v>955.55792199999996</v>
      </c>
      <c r="BI245" s="3">
        <v>6.0000000000000001E-3</v>
      </c>
      <c r="BK245" s="3" t="s">
        <v>189</v>
      </c>
      <c r="BL245" s="3">
        <v>0.43</v>
      </c>
      <c r="BM245" s="7">
        <v>1039.8741460000001</v>
      </c>
      <c r="BN245" s="3">
        <v>1E-3</v>
      </c>
      <c r="BO245" s="3">
        <f t="shared" si="27"/>
        <v>0.36499999999999999</v>
      </c>
    </row>
    <row r="246" spans="1:71" x14ac:dyDescent="0.3">
      <c r="A246" s="3" t="s">
        <v>190</v>
      </c>
      <c r="B246" s="3">
        <v>0.9</v>
      </c>
      <c r="C246" s="3">
        <v>0.5</v>
      </c>
      <c r="D246" s="3">
        <v>0.6</v>
      </c>
      <c r="E246" s="3">
        <v>0.3</v>
      </c>
      <c r="F246" s="6">
        <v>662.42627000000005</v>
      </c>
      <c r="G246" s="3">
        <v>2E-3</v>
      </c>
      <c r="I246" s="3" t="s">
        <v>190</v>
      </c>
      <c r="J246" s="3">
        <v>0.56000000000000005</v>
      </c>
      <c r="K246" s="7">
        <v>688.01269500000001</v>
      </c>
      <c r="L246" s="3">
        <v>1E-3</v>
      </c>
      <c r="M246" s="3">
        <f t="shared" si="24"/>
        <v>0.43000000000000005</v>
      </c>
      <c r="N246" s="5"/>
      <c r="O246" s="5"/>
      <c r="P246" s="5"/>
      <c r="Q246" s="5"/>
      <c r="R246" s="1"/>
      <c r="S246" s="3" t="s">
        <v>190</v>
      </c>
      <c r="T246" s="3">
        <v>0.9</v>
      </c>
      <c r="U246" s="3">
        <v>0.5</v>
      </c>
      <c r="V246" s="3">
        <v>0.6</v>
      </c>
      <c r="W246" s="3">
        <v>0.3</v>
      </c>
      <c r="X246" s="7">
        <v>653.85784899999999</v>
      </c>
      <c r="Y246" s="3">
        <v>3.0000000000000001E-3</v>
      </c>
      <c r="AA246" s="3" t="s">
        <v>190</v>
      </c>
      <c r="AB246" s="3">
        <v>0.24</v>
      </c>
      <c r="AC246" s="6">
        <v>639.73382600000002</v>
      </c>
      <c r="AD246" s="3">
        <v>0</v>
      </c>
      <c r="AE246" s="3">
        <f t="shared" si="25"/>
        <v>0.27</v>
      </c>
      <c r="AF246" s="5"/>
      <c r="AG246" s="5"/>
      <c r="AH246" s="5"/>
      <c r="AI246" s="5"/>
      <c r="AJ246" s="1"/>
      <c r="AK246" s="3" t="s">
        <v>191</v>
      </c>
      <c r="AL246" s="3">
        <v>0.9</v>
      </c>
      <c r="AM246" s="3">
        <v>0.5</v>
      </c>
      <c r="AN246" s="3">
        <v>0.6</v>
      </c>
      <c r="AO246" s="3">
        <v>0.3</v>
      </c>
      <c r="AP246" s="6">
        <v>988.23944100000006</v>
      </c>
      <c r="AQ246" s="3">
        <v>6.0000000000000001E-3</v>
      </c>
      <c r="AS246" s="3" t="s">
        <v>191</v>
      </c>
      <c r="AT246" s="3">
        <v>0.8</v>
      </c>
      <c r="AU246" s="7">
        <v>1160.1328120000001</v>
      </c>
      <c r="AV246" s="3">
        <v>1E-3</v>
      </c>
      <c r="AW246" s="3">
        <f t="shared" si="26"/>
        <v>0.55000000000000004</v>
      </c>
      <c r="AX246" s="5"/>
      <c r="AY246" s="5"/>
      <c r="AZ246" s="5"/>
      <c r="BA246" s="5"/>
      <c r="BB246" s="1"/>
      <c r="BC246" s="3" t="s">
        <v>191</v>
      </c>
      <c r="BD246" s="3">
        <v>0.9</v>
      </c>
      <c r="BE246" s="3">
        <v>0.5</v>
      </c>
      <c r="BF246" s="3">
        <v>0.6</v>
      </c>
      <c r="BG246" s="3">
        <v>0.3</v>
      </c>
      <c r="BH246" s="6">
        <v>969.10589600000003</v>
      </c>
      <c r="BI246" s="3">
        <v>6.0000000000000001E-3</v>
      </c>
      <c r="BK246" s="3" t="s">
        <v>191</v>
      </c>
      <c r="BL246" s="3">
        <v>0.64</v>
      </c>
      <c r="BM246" s="7">
        <v>1128.7452390000001</v>
      </c>
      <c r="BN246" s="3">
        <v>1E-3</v>
      </c>
      <c r="BO246" s="3">
        <f t="shared" si="27"/>
        <v>0.47</v>
      </c>
    </row>
    <row r="247" spans="1:71" x14ac:dyDescent="0.3">
      <c r="A247" s="3" t="s">
        <v>192</v>
      </c>
      <c r="B247" s="3">
        <v>0.9</v>
      </c>
      <c r="C247" s="3">
        <v>0.5</v>
      </c>
      <c r="D247" s="3">
        <v>0.6</v>
      </c>
      <c r="E247" s="3">
        <v>0.3</v>
      </c>
      <c r="F247" s="6">
        <v>754.32055700000001</v>
      </c>
      <c r="G247" s="3">
        <v>2E-3</v>
      </c>
      <c r="I247" s="3" t="s">
        <v>192</v>
      </c>
      <c r="J247" s="3">
        <v>0.86</v>
      </c>
      <c r="K247" s="7">
        <v>919.11242700000003</v>
      </c>
      <c r="L247" s="3">
        <v>0</v>
      </c>
      <c r="M247" s="3">
        <f t="shared" si="24"/>
        <v>0.57999999999999996</v>
      </c>
      <c r="N247" s="5"/>
      <c r="O247" s="5"/>
      <c r="P247" s="5"/>
      <c r="Q247" s="5"/>
      <c r="R247" s="1"/>
      <c r="S247" s="3" t="s">
        <v>192</v>
      </c>
      <c r="T247" s="3">
        <v>0.9</v>
      </c>
      <c r="U247" s="3">
        <v>0.5</v>
      </c>
      <c r="V247" s="3">
        <v>0.6</v>
      </c>
      <c r="W247" s="3">
        <v>0.3</v>
      </c>
      <c r="X247" s="6">
        <v>766.16589399999998</v>
      </c>
      <c r="Y247" s="3">
        <v>2E-3</v>
      </c>
      <c r="AA247" s="3" t="s">
        <v>192</v>
      </c>
      <c r="AB247" s="3">
        <v>0.51</v>
      </c>
      <c r="AC247" s="7">
        <v>847.82232699999997</v>
      </c>
      <c r="AD247" s="3">
        <v>0</v>
      </c>
      <c r="AE247" s="3">
        <f t="shared" si="25"/>
        <v>0.40500000000000003</v>
      </c>
      <c r="AF247" s="5"/>
      <c r="AG247" s="5"/>
      <c r="AH247" s="5"/>
      <c r="AI247" s="5"/>
      <c r="AJ247" s="1"/>
      <c r="AK247" s="3" t="s">
        <v>193</v>
      </c>
      <c r="AL247" s="3">
        <v>0.9</v>
      </c>
      <c r="AM247" s="3">
        <v>0.5</v>
      </c>
      <c r="AN247" s="3">
        <v>0.6</v>
      </c>
      <c r="AO247" s="3">
        <v>0.3</v>
      </c>
      <c r="AP247" s="6">
        <v>1082.581909</v>
      </c>
      <c r="AQ247" s="3">
        <v>7.0000000000000001E-3</v>
      </c>
      <c r="AS247" s="3" t="s">
        <v>193</v>
      </c>
      <c r="AT247" s="3">
        <v>0.35</v>
      </c>
      <c r="AU247" s="7">
        <v>1122.519043</v>
      </c>
      <c r="AV247" s="3">
        <v>0</v>
      </c>
      <c r="AW247" s="3">
        <f t="shared" si="26"/>
        <v>0.32499999999999996</v>
      </c>
      <c r="AX247" s="5"/>
      <c r="AY247" s="5"/>
      <c r="AZ247" s="5"/>
      <c r="BA247" s="5"/>
      <c r="BB247" s="1"/>
      <c r="BC247" s="3" t="s">
        <v>193</v>
      </c>
      <c r="BD247" s="3">
        <v>0.9</v>
      </c>
      <c r="BE247" s="3">
        <v>0.5</v>
      </c>
      <c r="BF247" s="3">
        <v>0.6</v>
      </c>
      <c r="BG247" s="3">
        <v>0.3</v>
      </c>
      <c r="BH247" s="6">
        <v>1057.0688479999999</v>
      </c>
      <c r="BI247" s="3">
        <v>8.9999999999999993E-3</v>
      </c>
      <c r="BK247" s="3" t="s">
        <v>193</v>
      </c>
      <c r="BL247" s="3">
        <v>0.64</v>
      </c>
      <c r="BM247" s="7">
        <v>1227.433716</v>
      </c>
      <c r="BN247" s="3">
        <v>1E-3</v>
      </c>
      <c r="BO247" s="3">
        <f t="shared" si="27"/>
        <v>0.47</v>
      </c>
    </row>
    <row r="248" spans="1:71" x14ac:dyDescent="0.3">
      <c r="A248" s="9" t="s">
        <v>316</v>
      </c>
      <c r="E248" s="9">
        <f>AVERAGE(E218:E247)</f>
        <v>0.3</v>
      </c>
      <c r="I248" s="9" t="s">
        <v>316</v>
      </c>
      <c r="J248" s="9">
        <f>AVERAGE(J218:J247)</f>
        <v>0.46633333333333321</v>
      </c>
      <c r="M248" s="5"/>
      <c r="N248" s="5"/>
      <c r="O248" s="5"/>
      <c r="P248" s="5"/>
      <c r="Q248" s="5"/>
      <c r="R248" s="1"/>
      <c r="S248" s="9" t="s">
        <v>316</v>
      </c>
      <c r="W248" s="9">
        <f>AVERAGE(W218:W247)</f>
        <v>0.3</v>
      </c>
      <c r="AA248" s="9" t="s">
        <v>316</v>
      </c>
      <c r="AB248" s="9">
        <f>AVERAGE(AB218:AB247)</f>
        <v>0.49433333333333335</v>
      </c>
      <c r="AE248" s="5"/>
      <c r="AF248" s="5"/>
      <c r="AG248" s="5"/>
      <c r="AH248" s="5"/>
      <c r="AI248" s="5"/>
      <c r="AJ248" s="1"/>
      <c r="AK248" s="9" t="s">
        <v>316</v>
      </c>
      <c r="AO248" s="9">
        <f>AVERAGE(AO218:AO247)</f>
        <v>0.3</v>
      </c>
      <c r="AS248" s="9" t="s">
        <v>316</v>
      </c>
      <c r="AT248" s="9">
        <f>AVERAGE(AT218:AT247)</f>
        <v>0.52233333333333332</v>
      </c>
      <c r="AW248" s="5"/>
      <c r="AX248" s="5"/>
      <c r="AY248" s="5"/>
      <c r="AZ248" s="5"/>
      <c r="BA248" s="5"/>
      <c r="BB248" s="1"/>
      <c r="BC248" s="9" t="s">
        <v>316</v>
      </c>
      <c r="BG248" s="9">
        <f>AVERAGE(BG218:BG247)</f>
        <v>0.3</v>
      </c>
      <c r="BK248" s="9" t="s">
        <v>316</v>
      </c>
      <c r="BL248" s="9">
        <f>AVERAGE(BL218:BL247)</f>
        <v>0.43966666666666671</v>
      </c>
      <c r="BO248" s="5"/>
    </row>
    <row r="249" spans="1:71" x14ac:dyDescent="0.3">
      <c r="M249" s="5"/>
      <c r="N249" s="5"/>
      <c r="O249" s="5"/>
      <c r="P249" s="5"/>
      <c r="Q249" s="5"/>
      <c r="R249" s="1"/>
      <c r="AE249" s="5"/>
      <c r="AF249" s="5"/>
      <c r="AG249" s="5"/>
      <c r="AH249" s="5"/>
      <c r="AI249" s="5"/>
      <c r="AJ249" s="1"/>
      <c r="AW249" s="5"/>
      <c r="AX249" s="5"/>
      <c r="AY249" s="5"/>
      <c r="AZ249" s="5"/>
      <c r="BA249" s="5"/>
      <c r="BB249" s="1"/>
      <c r="BO249" s="5"/>
    </row>
    <row r="250" spans="1:71" x14ac:dyDescent="0.3">
      <c r="M250" s="5"/>
      <c r="N250" s="5"/>
      <c r="O250" s="5"/>
      <c r="P250" s="5"/>
      <c r="Q250" s="5"/>
      <c r="R250" s="1"/>
      <c r="AE250" s="5"/>
      <c r="AF250" s="5"/>
      <c r="AG250" s="5"/>
      <c r="AH250" s="5"/>
      <c r="AI250" s="5"/>
      <c r="AJ250" s="1"/>
      <c r="AW250" s="5"/>
      <c r="AX250" s="5"/>
      <c r="AY250" s="5"/>
      <c r="AZ250" s="5"/>
      <c r="BA250" s="5"/>
      <c r="BB250" s="1"/>
      <c r="BO250" s="5"/>
    </row>
    <row r="251" spans="1:71" x14ac:dyDescent="0.3">
      <c r="A251" s="19" t="s">
        <v>314</v>
      </c>
      <c r="B251" s="19"/>
      <c r="C251" s="19"/>
      <c r="D251" s="19"/>
      <c r="E251" s="19"/>
      <c r="F251" s="19"/>
      <c r="G251" s="19"/>
      <c r="I251" s="19" t="s">
        <v>315</v>
      </c>
      <c r="J251" s="19"/>
      <c r="K251" s="19"/>
      <c r="L251" s="19"/>
      <c r="M251" s="19"/>
      <c r="N251" s="11"/>
      <c r="O251" s="11"/>
      <c r="P251" s="11"/>
      <c r="Q251" s="11"/>
      <c r="R251" s="1"/>
      <c r="S251" s="19" t="s">
        <v>314</v>
      </c>
      <c r="T251" s="19"/>
      <c r="U251" s="19"/>
      <c r="V251" s="19"/>
      <c r="W251" s="19"/>
      <c r="X251" s="19"/>
      <c r="Y251" s="19"/>
      <c r="AA251" s="19" t="s">
        <v>315</v>
      </c>
      <c r="AB251" s="19"/>
      <c r="AC251" s="19"/>
      <c r="AD251" s="19"/>
      <c r="AE251" s="19"/>
      <c r="AF251" s="11"/>
      <c r="AG251" s="11"/>
      <c r="AH251" s="11"/>
      <c r="AI251" s="11"/>
      <c r="AJ251" s="1"/>
      <c r="AK251" s="19" t="s">
        <v>314</v>
      </c>
      <c r="AL251" s="19"/>
      <c r="AM251" s="19"/>
      <c r="AN251" s="19"/>
      <c r="AO251" s="19"/>
      <c r="AP251" s="19"/>
      <c r="AQ251" s="19"/>
      <c r="AS251" s="19" t="s">
        <v>315</v>
      </c>
      <c r="AT251" s="19"/>
      <c r="AU251" s="19"/>
      <c r="AV251" s="19"/>
      <c r="AW251" s="19"/>
      <c r="AX251" s="11"/>
      <c r="AY251" s="11"/>
      <c r="AZ251" s="11"/>
      <c r="BA251" s="11"/>
      <c r="BB251" s="1"/>
      <c r="BC251" s="19" t="s">
        <v>314</v>
      </c>
      <c r="BD251" s="19"/>
      <c r="BE251" s="19"/>
      <c r="BF251" s="19"/>
      <c r="BG251" s="19"/>
      <c r="BH251" s="19"/>
      <c r="BI251" s="19"/>
      <c r="BK251" s="19" t="s">
        <v>315</v>
      </c>
      <c r="BL251" s="19"/>
      <c r="BM251" s="19"/>
      <c r="BN251" s="19"/>
      <c r="BO251" s="19"/>
    </row>
    <row r="252" spans="1:71" x14ac:dyDescent="0.3">
      <c r="A252" s="20" t="s">
        <v>70</v>
      </c>
      <c r="B252" s="21"/>
      <c r="C252" s="21"/>
      <c r="D252" s="21"/>
      <c r="E252" s="21"/>
      <c r="F252" s="21"/>
      <c r="G252" s="22"/>
      <c r="I252" s="20" t="s">
        <v>70</v>
      </c>
      <c r="J252" s="21"/>
      <c r="K252" s="21"/>
      <c r="L252" s="21"/>
      <c r="M252" s="22"/>
      <c r="N252" s="11"/>
      <c r="O252" s="11"/>
      <c r="P252" s="11"/>
      <c r="Q252" s="11"/>
      <c r="R252" s="1"/>
      <c r="S252" s="3" t="s">
        <v>71</v>
      </c>
      <c r="T252" s="3"/>
      <c r="U252" s="3"/>
      <c r="V252" s="3"/>
      <c r="W252" s="3"/>
      <c r="X252" s="3"/>
      <c r="Y252" s="3"/>
      <c r="AA252" s="3" t="s">
        <v>71</v>
      </c>
      <c r="AB252" s="3"/>
      <c r="AC252" s="3"/>
      <c r="AD252" s="3"/>
      <c r="AE252" s="3"/>
      <c r="AF252" s="5"/>
      <c r="AG252" s="5"/>
      <c r="AH252" s="5"/>
      <c r="AI252" s="5"/>
      <c r="AJ252" s="1"/>
      <c r="AK252" s="3" t="s">
        <v>70</v>
      </c>
      <c r="AL252" s="3"/>
      <c r="AM252" s="3"/>
      <c r="AN252" s="3"/>
      <c r="AO252" s="3"/>
      <c r="AP252" s="3"/>
      <c r="AQ252" s="3"/>
      <c r="AS252" s="3" t="s">
        <v>70</v>
      </c>
      <c r="AT252" s="3"/>
      <c r="AU252" s="3"/>
      <c r="AV252" s="3"/>
      <c r="AW252" s="4"/>
      <c r="AX252" s="12"/>
      <c r="AY252" s="12"/>
      <c r="AZ252" s="12"/>
      <c r="BA252" s="12"/>
      <c r="BB252" s="1"/>
      <c r="BC252" s="3" t="s">
        <v>71</v>
      </c>
      <c r="BD252" s="3"/>
      <c r="BE252" s="3"/>
      <c r="BF252" s="3"/>
      <c r="BG252" s="3"/>
      <c r="BH252" s="3"/>
      <c r="BI252" s="3"/>
      <c r="BK252" s="3" t="s">
        <v>71</v>
      </c>
      <c r="BL252" s="3"/>
      <c r="BM252" s="3"/>
      <c r="BN252" s="3"/>
      <c r="BO252" s="3"/>
    </row>
    <row r="253" spans="1:71" x14ac:dyDescent="0.3">
      <c r="A253" s="3" t="s">
        <v>2</v>
      </c>
      <c r="B253" s="3" t="s">
        <v>3</v>
      </c>
      <c r="C253" s="3" t="s">
        <v>4</v>
      </c>
      <c r="D253" s="3" t="s">
        <v>5</v>
      </c>
      <c r="E253" s="3" t="s">
        <v>6</v>
      </c>
      <c r="F253" s="3" t="s">
        <v>7</v>
      </c>
      <c r="G253" s="3" t="s">
        <v>8</v>
      </c>
      <c r="I253" s="3" t="s">
        <v>2</v>
      </c>
      <c r="J253" s="3" t="s">
        <v>6</v>
      </c>
      <c r="K253" s="3" t="s">
        <v>7</v>
      </c>
      <c r="L253" s="3" t="s">
        <v>8</v>
      </c>
      <c r="M253" s="3" t="s">
        <v>9</v>
      </c>
      <c r="N253" s="3" t="s">
        <v>322</v>
      </c>
      <c r="O253" s="3" t="s">
        <v>323</v>
      </c>
      <c r="P253" s="3" t="s">
        <v>322</v>
      </c>
      <c r="Q253" s="3" t="s">
        <v>323</v>
      </c>
      <c r="R253" s="1"/>
      <c r="S253" s="3" t="s">
        <v>2</v>
      </c>
      <c r="T253" s="3" t="s">
        <v>3</v>
      </c>
      <c r="U253" s="3" t="s">
        <v>4</v>
      </c>
      <c r="V253" s="3" t="s">
        <v>5</v>
      </c>
      <c r="W253" s="3" t="s">
        <v>6</v>
      </c>
      <c r="X253" s="3" t="s">
        <v>7</v>
      </c>
      <c r="Y253" s="3" t="s">
        <v>8</v>
      </c>
      <c r="AA253" s="3" t="s">
        <v>2</v>
      </c>
      <c r="AB253" s="3" t="s">
        <v>6</v>
      </c>
      <c r="AC253" s="3" t="s">
        <v>7</v>
      </c>
      <c r="AD253" s="3" t="s">
        <v>8</v>
      </c>
      <c r="AE253" s="3" t="s">
        <v>9</v>
      </c>
      <c r="AF253" s="3" t="s">
        <v>322</v>
      </c>
      <c r="AG253" s="3" t="s">
        <v>323</v>
      </c>
      <c r="AH253" s="3" t="s">
        <v>322</v>
      </c>
      <c r="AI253" s="3" t="s">
        <v>323</v>
      </c>
      <c r="AJ253" s="1"/>
      <c r="AK253" s="3" t="s">
        <v>2</v>
      </c>
      <c r="AL253" s="3" t="s">
        <v>3</v>
      </c>
      <c r="AM253" s="3" t="s">
        <v>4</v>
      </c>
      <c r="AN253" s="3" t="s">
        <v>5</v>
      </c>
      <c r="AO253" s="3" t="s">
        <v>6</v>
      </c>
      <c r="AP253" s="3" t="s">
        <v>7</v>
      </c>
      <c r="AQ253" s="3" t="s">
        <v>8</v>
      </c>
      <c r="AS253" s="3" t="s">
        <v>2</v>
      </c>
      <c r="AT253" s="3" t="s">
        <v>6</v>
      </c>
      <c r="AU253" s="3" t="s">
        <v>7</v>
      </c>
      <c r="AV253" s="3" t="s">
        <v>8</v>
      </c>
      <c r="AW253" s="3" t="s">
        <v>9</v>
      </c>
      <c r="AX253" s="3" t="s">
        <v>322</v>
      </c>
      <c r="AY253" s="3" t="s">
        <v>323</v>
      </c>
      <c r="AZ253" s="3" t="s">
        <v>322</v>
      </c>
      <c r="BA253" s="3" t="s">
        <v>323</v>
      </c>
      <c r="BB253" s="1"/>
      <c r="BC253" s="3" t="s">
        <v>2</v>
      </c>
      <c r="BD253" s="3" t="s">
        <v>3</v>
      </c>
      <c r="BE253" s="3" t="s">
        <v>4</v>
      </c>
      <c r="BF253" s="3" t="s">
        <v>5</v>
      </c>
      <c r="BG253" s="3" t="s">
        <v>6</v>
      </c>
      <c r="BH253" s="3" t="s">
        <v>7</v>
      </c>
      <c r="BI253" s="3" t="s">
        <v>8</v>
      </c>
      <c r="BK253" s="3" t="s">
        <v>2</v>
      </c>
      <c r="BL253" s="3" t="s">
        <v>6</v>
      </c>
      <c r="BM253" s="3" t="s">
        <v>7</v>
      </c>
      <c r="BN253" s="3" t="s">
        <v>8</v>
      </c>
      <c r="BO253" s="3" t="s">
        <v>9</v>
      </c>
      <c r="BP253" s="3" t="s">
        <v>322</v>
      </c>
      <c r="BQ253" s="3" t="s">
        <v>323</v>
      </c>
      <c r="BR253" s="3" t="s">
        <v>322</v>
      </c>
      <c r="BS253" s="3" t="s">
        <v>323</v>
      </c>
    </row>
    <row r="254" spans="1:71" x14ac:dyDescent="0.3">
      <c r="A254" s="3" t="s">
        <v>134</v>
      </c>
      <c r="B254" s="3">
        <v>0.9</v>
      </c>
      <c r="C254" s="3">
        <v>0.5</v>
      </c>
      <c r="D254" s="3">
        <v>0.6</v>
      </c>
      <c r="E254" s="3">
        <v>0.3</v>
      </c>
      <c r="F254" s="7">
        <v>602.97082499999999</v>
      </c>
      <c r="G254" s="3">
        <v>1E-3</v>
      </c>
      <c r="I254" s="3" t="s">
        <v>134</v>
      </c>
      <c r="J254" s="3">
        <v>0.01</v>
      </c>
      <c r="K254" s="6">
        <v>595.509277</v>
      </c>
      <c r="L254" s="3">
        <v>1E-3</v>
      </c>
      <c r="M254" s="3">
        <f t="shared" ref="M254:M283" si="28">AVERAGE(E254,J254)</f>
        <v>0.155</v>
      </c>
      <c r="N254" s="4" t="s">
        <v>320</v>
      </c>
      <c r="O254" s="4" t="s">
        <v>320</v>
      </c>
      <c r="P254" s="4" t="s">
        <v>321</v>
      </c>
      <c r="Q254" s="4" t="s">
        <v>321</v>
      </c>
      <c r="R254" s="1"/>
      <c r="S254" s="3" t="s">
        <v>134</v>
      </c>
      <c r="T254" s="3">
        <v>0.9</v>
      </c>
      <c r="U254" s="3">
        <v>0.5</v>
      </c>
      <c r="V254" s="3">
        <v>0.6</v>
      </c>
      <c r="W254" s="3">
        <v>0.3</v>
      </c>
      <c r="X254" s="6">
        <v>571.72204599999998</v>
      </c>
      <c r="Y254" s="3">
        <v>2E-3</v>
      </c>
      <c r="AA254" s="3" t="s">
        <v>134</v>
      </c>
      <c r="AB254" s="3">
        <v>0.01</v>
      </c>
      <c r="AC254" s="7">
        <v>573.09020999999996</v>
      </c>
      <c r="AD254" s="3">
        <v>0</v>
      </c>
      <c r="AE254" s="3">
        <f t="shared" ref="AE254:AE283" si="29">AVERAGE(W254,AB254)</f>
        <v>0.155</v>
      </c>
      <c r="AF254" s="4" t="s">
        <v>320</v>
      </c>
      <c r="AG254" s="4" t="s">
        <v>320</v>
      </c>
      <c r="AH254" s="4" t="s">
        <v>321</v>
      </c>
      <c r="AI254" s="4" t="s">
        <v>321</v>
      </c>
      <c r="AJ254" s="1"/>
      <c r="AK254" s="3" t="s">
        <v>135</v>
      </c>
      <c r="AL254" s="3">
        <v>0.9</v>
      </c>
      <c r="AM254" s="3">
        <v>0.5</v>
      </c>
      <c r="AN254" s="3">
        <v>0.6</v>
      </c>
      <c r="AO254" s="3">
        <v>0.3</v>
      </c>
      <c r="AP254" s="7">
        <v>793.36767599999996</v>
      </c>
      <c r="AQ254" s="3">
        <v>7.0000000000000001E-3</v>
      </c>
      <c r="AS254" s="3" t="s">
        <v>135</v>
      </c>
      <c r="AT254" s="3">
        <v>0.01</v>
      </c>
      <c r="AU254" s="6">
        <v>715.47619599999996</v>
      </c>
      <c r="AV254" s="3">
        <v>1E-3</v>
      </c>
      <c r="AW254" s="3">
        <f t="shared" ref="AW254:AW283" si="30">AVERAGE(AO254,AT254)</f>
        <v>0.155</v>
      </c>
      <c r="AX254" s="4" t="s">
        <v>320</v>
      </c>
      <c r="AY254" s="4" t="s">
        <v>320</v>
      </c>
      <c r="AZ254" s="4" t="s">
        <v>321</v>
      </c>
      <c r="BA254" s="4" t="s">
        <v>321</v>
      </c>
      <c r="BB254" s="1"/>
      <c r="BC254" s="3" t="s">
        <v>135</v>
      </c>
      <c r="BD254" s="3">
        <v>0.9</v>
      </c>
      <c r="BE254" s="3">
        <v>0.5</v>
      </c>
      <c r="BF254" s="3">
        <v>0.6</v>
      </c>
      <c r="BG254" s="3">
        <v>0.3</v>
      </c>
      <c r="BH254" s="7">
        <v>747.21997099999999</v>
      </c>
      <c r="BI254" s="3">
        <v>5.0000000000000001E-3</v>
      </c>
      <c r="BK254" s="3" t="s">
        <v>135</v>
      </c>
      <c r="BL254" s="3">
        <v>0.01</v>
      </c>
      <c r="BM254" s="6">
        <v>675.18188499999997</v>
      </c>
      <c r="BN254" s="3">
        <v>1E-3</v>
      </c>
      <c r="BO254" s="3">
        <f t="shared" ref="BO254:BO283" si="31">AVERAGE(BG254,BL254)</f>
        <v>0.155</v>
      </c>
      <c r="BP254" s="4" t="s">
        <v>320</v>
      </c>
      <c r="BQ254" s="4" t="s">
        <v>320</v>
      </c>
      <c r="BR254" s="4" t="s">
        <v>321</v>
      </c>
      <c r="BS254" s="4" t="s">
        <v>321</v>
      </c>
    </row>
    <row r="255" spans="1:71" x14ac:dyDescent="0.3">
      <c r="A255" s="3" t="s">
        <v>136</v>
      </c>
      <c r="B255" s="3">
        <v>0.9</v>
      </c>
      <c r="C255" s="3">
        <v>0.5</v>
      </c>
      <c r="D255" s="3">
        <v>0.6</v>
      </c>
      <c r="E255" s="3">
        <v>0.3</v>
      </c>
      <c r="F255" s="7">
        <v>546.00903300000004</v>
      </c>
      <c r="G255" s="3">
        <v>1E-3</v>
      </c>
      <c r="I255" s="3" t="s">
        <v>136</v>
      </c>
      <c r="J255" s="3">
        <v>0.21</v>
      </c>
      <c r="K255" s="6">
        <v>525.92785600000002</v>
      </c>
      <c r="L255" s="3">
        <v>1E-3</v>
      </c>
      <c r="M255" s="3">
        <f t="shared" si="28"/>
        <v>0.255</v>
      </c>
      <c r="N255" s="3">
        <f>COUNT(F256:F260,F262:F263,F265:F269,F272:F273,F276,F279:F283)</f>
        <v>20</v>
      </c>
      <c r="O255" s="3">
        <f>30-N255</f>
        <v>10</v>
      </c>
      <c r="P255" s="3">
        <f>COUNT(K254:K255,K261,K264,K270:K271,K274:K275,K277:K278)</f>
        <v>10</v>
      </c>
      <c r="Q255" s="3">
        <f>30-P255</f>
        <v>20</v>
      </c>
      <c r="R255" s="1"/>
      <c r="S255" s="3" t="s">
        <v>136</v>
      </c>
      <c r="T255" s="3">
        <v>0.9</v>
      </c>
      <c r="U255" s="3">
        <v>0.5</v>
      </c>
      <c r="V255" s="3">
        <v>0.6</v>
      </c>
      <c r="W255" s="3">
        <v>0.3</v>
      </c>
      <c r="X255" s="6">
        <v>478.076843</v>
      </c>
      <c r="Y255" s="3">
        <v>2E-3</v>
      </c>
      <c r="AA255" s="3" t="s">
        <v>136</v>
      </c>
      <c r="AB255" s="3">
        <v>0.62</v>
      </c>
      <c r="AC255" s="7">
        <v>532.87188700000002</v>
      </c>
      <c r="AD255" s="3">
        <v>0</v>
      </c>
      <c r="AE255" s="3">
        <f t="shared" si="29"/>
        <v>0.45999999999999996</v>
      </c>
      <c r="AF255" s="3">
        <f>COUNT(X254:X256,X258:X265,X267:X269,X272:X277,X279,X282:X283)</f>
        <v>23</v>
      </c>
      <c r="AG255" s="3">
        <f>30-AF255</f>
        <v>7</v>
      </c>
      <c r="AH255" s="3">
        <f>COUNT(AC257:AC258,AC266,AC270:AC271,AC278,AC280:AC281)</f>
        <v>8</v>
      </c>
      <c r="AI255" s="3">
        <f>30-AH255</f>
        <v>22</v>
      </c>
      <c r="AJ255" s="1"/>
      <c r="AK255" s="3" t="s">
        <v>137</v>
      </c>
      <c r="AL255" s="3">
        <v>0.9</v>
      </c>
      <c r="AM255" s="3">
        <v>0.5</v>
      </c>
      <c r="AN255" s="3">
        <v>0.6</v>
      </c>
      <c r="AO255" s="3">
        <v>0.3</v>
      </c>
      <c r="AP255" s="6">
        <v>877.59381099999996</v>
      </c>
      <c r="AQ255" s="3">
        <v>6.0000000000000001E-3</v>
      </c>
      <c r="AS255" s="3" t="s">
        <v>137</v>
      </c>
      <c r="AT255" s="3">
        <v>0.61</v>
      </c>
      <c r="AU255" s="7">
        <v>969.53546100000005</v>
      </c>
      <c r="AV255" s="3">
        <v>1E-3</v>
      </c>
      <c r="AW255" s="3">
        <f t="shared" si="30"/>
        <v>0.45499999999999996</v>
      </c>
      <c r="AX255" s="3">
        <f>COUNT(AP255:AP257,AP259:AP260,AP265,AP267:AP268,AP270,AP272:AP276,AP278:AP281)</f>
        <v>18</v>
      </c>
      <c r="AY255" s="3">
        <f>30-AX255</f>
        <v>12</v>
      </c>
      <c r="AZ255" s="3">
        <f>COUNT(AU254,AU258,AU261:AU264,AU266,AU269,AU271,AU277,AU282:AU283)</f>
        <v>12</v>
      </c>
      <c r="BA255" s="3">
        <f>30-AZ255</f>
        <v>18</v>
      </c>
      <c r="BB255" s="1"/>
      <c r="BC255" s="3" t="s">
        <v>137</v>
      </c>
      <c r="BD255" s="3">
        <v>0.9</v>
      </c>
      <c r="BE255" s="3">
        <v>0.5</v>
      </c>
      <c r="BF255" s="3">
        <v>0.6</v>
      </c>
      <c r="BG255" s="3">
        <v>0.3</v>
      </c>
      <c r="BH255" s="6">
        <v>851.78186000000005</v>
      </c>
      <c r="BI255" s="3">
        <v>5.0000000000000001E-3</v>
      </c>
      <c r="BK255" s="3" t="s">
        <v>137</v>
      </c>
      <c r="BL255" s="3">
        <v>0.65</v>
      </c>
      <c r="BM255" s="7">
        <v>956.126892</v>
      </c>
      <c r="BN255" s="3">
        <v>0</v>
      </c>
      <c r="BO255" s="3">
        <f t="shared" si="31"/>
        <v>0.47499999999999998</v>
      </c>
      <c r="BP255" s="3">
        <f>COUNT(BH255,BH258:BH259,BH262:BH267,BH269:BH276,BH279:BH282)</f>
        <v>21</v>
      </c>
      <c r="BQ255" s="3">
        <f>30-BP255</f>
        <v>9</v>
      </c>
      <c r="BR255" s="3">
        <f>COUNT(BM254,BM256:BM257,BM260:BM261,BM268,BM277:BM278,BM283)</f>
        <v>9</v>
      </c>
      <c r="BS255" s="3">
        <f>30-BR255</f>
        <v>21</v>
      </c>
    </row>
    <row r="256" spans="1:71" x14ac:dyDescent="0.3">
      <c r="A256" s="3" t="s">
        <v>138</v>
      </c>
      <c r="B256" s="3">
        <v>0.9</v>
      </c>
      <c r="C256" s="3">
        <v>0.5</v>
      </c>
      <c r="D256" s="3">
        <v>0.6</v>
      </c>
      <c r="E256" s="3">
        <v>0.3</v>
      </c>
      <c r="F256" s="6">
        <v>610.01104699999996</v>
      </c>
      <c r="G256" s="3">
        <v>2E-3</v>
      </c>
      <c r="I256" s="3" t="s">
        <v>138</v>
      </c>
      <c r="J256" s="3">
        <v>0.51</v>
      </c>
      <c r="K256" s="7">
        <v>629.27789299999995</v>
      </c>
      <c r="L256" s="3">
        <v>0</v>
      </c>
      <c r="M256" s="3">
        <f t="shared" si="28"/>
        <v>0.40500000000000003</v>
      </c>
      <c r="N256" s="5"/>
      <c r="O256" s="5"/>
      <c r="P256" s="5"/>
      <c r="Q256" s="5"/>
      <c r="R256" s="1"/>
      <c r="S256" s="3" t="s">
        <v>138</v>
      </c>
      <c r="T256" s="3">
        <v>0.9</v>
      </c>
      <c r="U256" s="3">
        <v>0.5</v>
      </c>
      <c r="V256" s="3">
        <v>0.6</v>
      </c>
      <c r="W256" s="3">
        <v>0.3</v>
      </c>
      <c r="X256" s="6">
        <v>586.79846199999997</v>
      </c>
      <c r="Y256" s="3">
        <v>1E-3</v>
      </c>
      <c r="AA256" s="3" t="s">
        <v>138</v>
      </c>
      <c r="AB256" s="3">
        <v>0.77</v>
      </c>
      <c r="AC256" s="7">
        <v>639.68328899999995</v>
      </c>
      <c r="AD256" s="3">
        <v>0</v>
      </c>
      <c r="AE256" s="3">
        <f t="shared" si="29"/>
        <v>0.53500000000000003</v>
      </c>
      <c r="AF256" s="5"/>
      <c r="AG256" s="5"/>
      <c r="AH256" s="5"/>
      <c r="AI256" s="5"/>
      <c r="AJ256" s="1"/>
      <c r="AK256" s="3" t="s">
        <v>139</v>
      </c>
      <c r="AL256" s="3">
        <v>0.9</v>
      </c>
      <c r="AM256" s="3">
        <v>0.5</v>
      </c>
      <c r="AN256" s="3">
        <v>0.6</v>
      </c>
      <c r="AO256" s="3">
        <v>0.3</v>
      </c>
      <c r="AP256" s="6">
        <v>910.18713400000001</v>
      </c>
      <c r="AQ256" s="3">
        <v>7.0000000000000001E-3</v>
      </c>
      <c r="AS256" s="3" t="s">
        <v>139</v>
      </c>
      <c r="AT256" s="3">
        <v>0.66</v>
      </c>
      <c r="AU256" s="7">
        <v>1010.1060179999999</v>
      </c>
      <c r="AV256" s="3">
        <v>1E-3</v>
      </c>
      <c r="AW256" s="3">
        <f t="shared" si="30"/>
        <v>0.48</v>
      </c>
      <c r="AX256" s="5"/>
      <c r="AY256" s="5"/>
      <c r="AZ256" s="5"/>
      <c r="BA256" s="5"/>
      <c r="BB256" s="1"/>
      <c r="BC256" s="3" t="s">
        <v>139</v>
      </c>
      <c r="BD256" s="3">
        <v>0.9</v>
      </c>
      <c r="BE256" s="3">
        <v>0.5</v>
      </c>
      <c r="BF256" s="3">
        <v>0.6</v>
      </c>
      <c r="BG256" s="3">
        <v>0.3</v>
      </c>
      <c r="BH256" s="7">
        <v>874.46337900000003</v>
      </c>
      <c r="BI256" s="3">
        <v>5.0000000000000001E-3</v>
      </c>
      <c r="BK256" s="3" t="s">
        <v>139</v>
      </c>
      <c r="BL256" s="3">
        <v>0.03</v>
      </c>
      <c r="BM256" s="6">
        <v>737.42932099999996</v>
      </c>
      <c r="BN256" s="3">
        <v>1E-3</v>
      </c>
      <c r="BO256" s="3">
        <f t="shared" si="31"/>
        <v>0.16499999999999998</v>
      </c>
    </row>
    <row r="257" spans="1:67" x14ac:dyDescent="0.3">
      <c r="A257" s="3" t="s">
        <v>140</v>
      </c>
      <c r="B257" s="3">
        <v>0.9</v>
      </c>
      <c r="C257" s="3">
        <v>0.5</v>
      </c>
      <c r="D257" s="3">
        <v>0.6</v>
      </c>
      <c r="E257" s="3">
        <v>0.3</v>
      </c>
      <c r="F257" s="6">
        <v>598.04119900000001</v>
      </c>
      <c r="G257" s="3">
        <v>2E-3</v>
      </c>
      <c r="I257" s="3" t="s">
        <v>140</v>
      </c>
      <c r="J257" s="3">
        <v>0.38</v>
      </c>
      <c r="K257" s="7">
        <v>611.92987100000005</v>
      </c>
      <c r="L257" s="3">
        <v>0</v>
      </c>
      <c r="M257" s="3">
        <f t="shared" si="28"/>
        <v>0.33999999999999997</v>
      </c>
      <c r="N257" s="5"/>
      <c r="O257" s="5"/>
      <c r="P257" s="5"/>
      <c r="Q257" s="5"/>
      <c r="R257" s="1"/>
      <c r="S257" s="3" t="s">
        <v>140</v>
      </c>
      <c r="T257" s="3">
        <v>0.9</v>
      </c>
      <c r="U257" s="3">
        <v>0.5</v>
      </c>
      <c r="V257" s="3">
        <v>0.6</v>
      </c>
      <c r="W257" s="3">
        <v>0.3</v>
      </c>
      <c r="X257" s="7">
        <v>576.96972700000003</v>
      </c>
      <c r="Y257" s="3">
        <v>2E-3</v>
      </c>
      <c r="AA257" s="3" t="s">
        <v>140</v>
      </c>
      <c r="AB257" s="3">
        <v>0.3</v>
      </c>
      <c r="AC257" s="6">
        <v>571.70459000000005</v>
      </c>
      <c r="AD257" s="3">
        <v>0</v>
      </c>
      <c r="AE257" s="3">
        <f t="shared" si="29"/>
        <v>0.3</v>
      </c>
      <c r="AF257" s="5"/>
      <c r="AG257" s="5"/>
      <c r="AH257" s="5"/>
      <c r="AI257" s="5"/>
      <c r="AJ257" s="1"/>
      <c r="AK257" s="3" t="s">
        <v>141</v>
      </c>
      <c r="AL257" s="3">
        <v>0.9</v>
      </c>
      <c r="AM257" s="3">
        <v>0.5</v>
      </c>
      <c r="AN257" s="3">
        <v>0.6</v>
      </c>
      <c r="AO257" s="3">
        <v>0.3</v>
      </c>
      <c r="AP257" s="6">
        <v>925.49218800000006</v>
      </c>
      <c r="AQ257" s="3">
        <v>0.01</v>
      </c>
      <c r="AS257" s="3" t="s">
        <v>141</v>
      </c>
      <c r="AT257" s="3">
        <v>0.66</v>
      </c>
      <c r="AU257" s="7">
        <v>1042.2357179999999</v>
      </c>
      <c r="AV257" s="3">
        <v>1E-3</v>
      </c>
      <c r="AW257" s="3">
        <f t="shared" si="30"/>
        <v>0.48</v>
      </c>
      <c r="AX257" s="5"/>
      <c r="AY257" s="5"/>
      <c r="AZ257" s="5"/>
      <c r="BA257" s="5"/>
      <c r="BB257" s="1"/>
      <c r="BC257" s="3" t="s">
        <v>141</v>
      </c>
      <c r="BD257" s="3">
        <v>0.9</v>
      </c>
      <c r="BE257" s="3">
        <v>0.5</v>
      </c>
      <c r="BF257" s="3">
        <v>0.6</v>
      </c>
      <c r="BG257" s="3">
        <v>0.3</v>
      </c>
      <c r="BH257" s="7">
        <v>918.71032700000001</v>
      </c>
      <c r="BI257" s="3">
        <v>6.0000000000000001E-3</v>
      </c>
      <c r="BK257" s="3" t="s">
        <v>141</v>
      </c>
      <c r="BL257" s="3">
        <v>0.04</v>
      </c>
      <c r="BM257" s="6">
        <v>771.23333700000001</v>
      </c>
      <c r="BN257" s="3">
        <v>0</v>
      </c>
      <c r="BO257" s="3">
        <f t="shared" si="31"/>
        <v>0.16999999999999998</v>
      </c>
    </row>
    <row r="258" spans="1:67" x14ac:dyDescent="0.3">
      <c r="A258" s="3" t="s">
        <v>142</v>
      </c>
      <c r="B258" s="3">
        <v>0.9</v>
      </c>
      <c r="C258" s="3">
        <v>0.5</v>
      </c>
      <c r="D258" s="3">
        <v>0.6</v>
      </c>
      <c r="E258" s="3">
        <v>0.3</v>
      </c>
      <c r="F258" s="6">
        <v>507.656158</v>
      </c>
      <c r="G258" s="3">
        <v>1E-3</v>
      </c>
      <c r="I258" s="3" t="s">
        <v>142</v>
      </c>
      <c r="J258" s="3">
        <v>0.42</v>
      </c>
      <c r="K258" s="7">
        <v>529.17938200000003</v>
      </c>
      <c r="L258" s="3">
        <v>1E-3</v>
      </c>
      <c r="M258" s="3">
        <f t="shared" si="28"/>
        <v>0.36</v>
      </c>
      <c r="N258" s="5"/>
      <c r="O258" s="5"/>
      <c r="P258" s="5"/>
      <c r="Q258" s="5"/>
      <c r="R258" s="1"/>
      <c r="S258" s="3" t="s">
        <v>142</v>
      </c>
      <c r="T258" s="3">
        <v>0.9</v>
      </c>
      <c r="U258" s="3">
        <v>0.5</v>
      </c>
      <c r="V258" s="3">
        <v>0.6</v>
      </c>
      <c r="W258" s="3">
        <v>0.3</v>
      </c>
      <c r="X258" s="8">
        <v>463.92459100000002</v>
      </c>
      <c r="Y258" s="3">
        <v>2E-3</v>
      </c>
      <c r="AA258" s="3" t="s">
        <v>142</v>
      </c>
      <c r="AB258" s="3">
        <v>0.06</v>
      </c>
      <c r="AC258" s="6">
        <v>463.709137</v>
      </c>
      <c r="AD258" s="3">
        <v>0</v>
      </c>
      <c r="AE258" s="3">
        <f t="shared" si="29"/>
        <v>0.18</v>
      </c>
      <c r="AF258" s="5"/>
      <c r="AG258" s="5"/>
      <c r="AH258" s="5"/>
      <c r="AI258" s="5"/>
      <c r="AJ258" s="1"/>
      <c r="AK258" s="3" t="s">
        <v>143</v>
      </c>
      <c r="AL258" s="3">
        <v>0.9</v>
      </c>
      <c r="AM258" s="3">
        <v>0.5</v>
      </c>
      <c r="AN258" s="3">
        <v>0.6</v>
      </c>
      <c r="AO258" s="3">
        <v>0.3</v>
      </c>
      <c r="AP258" s="7">
        <v>893.12524399999995</v>
      </c>
      <c r="AQ258" s="3">
        <v>6.0000000000000001E-3</v>
      </c>
      <c r="AS258" s="3" t="s">
        <v>143</v>
      </c>
      <c r="AT258" s="3">
        <v>0.02</v>
      </c>
      <c r="AU258" s="6">
        <v>724.77337599999998</v>
      </c>
      <c r="AV258" s="3">
        <v>1E-3</v>
      </c>
      <c r="AW258" s="3">
        <f t="shared" si="30"/>
        <v>0.16</v>
      </c>
      <c r="AX258" s="5"/>
      <c r="AY258" s="5"/>
      <c r="AZ258" s="5"/>
      <c r="BA258" s="5"/>
      <c r="BB258" s="1"/>
      <c r="BC258" s="3" t="s">
        <v>143</v>
      </c>
      <c r="BD258" s="3">
        <v>0.9</v>
      </c>
      <c r="BE258" s="3">
        <v>0.5</v>
      </c>
      <c r="BF258" s="3">
        <v>0.6</v>
      </c>
      <c r="BG258" s="3">
        <v>0.3</v>
      </c>
      <c r="BH258" s="6">
        <v>858.74645999999996</v>
      </c>
      <c r="BI258" s="3">
        <v>5.0000000000000001E-3</v>
      </c>
      <c r="BK258" s="3" t="s">
        <v>143</v>
      </c>
      <c r="BL258" s="3">
        <v>0.38</v>
      </c>
      <c r="BM258" s="7">
        <v>891.54730199999995</v>
      </c>
      <c r="BN258" s="3">
        <v>1E-3</v>
      </c>
      <c r="BO258" s="3">
        <f t="shared" si="31"/>
        <v>0.33999999999999997</v>
      </c>
    </row>
    <row r="259" spans="1:67" x14ac:dyDescent="0.3">
      <c r="A259" s="3" t="s">
        <v>144</v>
      </c>
      <c r="B259" s="3">
        <v>0.9</v>
      </c>
      <c r="C259" s="3">
        <v>0.5</v>
      </c>
      <c r="D259" s="3">
        <v>0.6</v>
      </c>
      <c r="E259" s="3">
        <v>0.3</v>
      </c>
      <c r="F259" s="6">
        <v>619.31005900000002</v>
      </c>
      <c r="G259" s="3">
        <v>1E-3</v>
      </c>
      <c r="I259" s="3" t="s">
        <v>144</v>
      </c>
      <c r="J259" s="3">
        <v>0.01</v>
      </c>
      <c r="K259" s="7">
        <v>659.12725799999998</v>
      </c>
      <c r="L259" s="3">
        <v>0</v>
      </c>
      <c r="M259" s="3">
        <f t="shared" si="28"/>
        <v>0.155</v>
      </c>
      <c r="N259" s="5"/>
      <c r="O259" s="5"/>
      <c r="P259" s="5"/>
      <c r="Q259" s="5"/>
      <c r="R259" s="1"/>
      <c r="S259" s="3" t="s">
        <v>144</v>
      </c>
      <c r="T259" s="3">
        <v>0.9</v>
      </c>
      <c r="U259" s="3">
        <v>0.5</v>
      </c>
      <c r="V259" s="3">
        <v>0.6</v>
      </c>
      <c r="W259" s="3">
        <v>0.3</v>
      </c>
      <c r="X259" s="6">
        <v>592.99749799999995</v>
      </c>
      <c r="Y259" s="3">
        <v>2E-3</v>
      </c>
      <c r="AA259" s="3" t="s">
        <v>144</v>
      </c>
      <c r="AB259" s="3">
        <v>0.47</v>
      </c>
      <c r="AC259" s="7">
        <v>622.27874799999995</v>
      </c>
      <c r="AD259" s="3">
        <v>0</v>
      </c>
      <c r="AE259" s="3">
        <f t="shared" si="29"/>
        <v>0.38500000000000001</v>
      </c>
      <c r="AF259" s="5"/>
      <c r="AG259" s="5"/>
      <c r="AH259" s="5"/>
      <c r="AI259" s="5"/>
      <c r="AJ259" s="1"/>
      <c r="AK259" s="3" t="s">
        <v>145</v>
      </c>
      <c r="AL259" s="3">
        <v>0.9</v>
      </c>
      <c r="AM259" s="3">
        <v>0.5</v>
      </c>
      <c r="AN259" s="3">
        <v>0.6</v>
      </c>
      <c r="AO259" s="3">
        <v>0.3</v>
      </c>
      <c r="AP259" s="6">
        <v>903.25683600000002</v>
      </c>
      <c r="AQ259" s="3">
        <v>7.0000000000000001E-3</v>
      </c>
      <c r="AS259" s="3" t="s">
        <v>145</v>
      </c>
      <c r="AT259" s="3">
        <v>0.54</v>
      </c>
      <c r="AU259" s="7">
        <v>1003.848999</v>
      </c>
      <c r="AV259" s="3">
        <v>1E-3</v>
      </c>
      <c r="AW259" s="3">
        <f t="shared" si="30"/>
        <v>0.42000000000000004</v>
      </c>
      <c r="AX259" s="5"/>
      <c r="AY259" s="5"/>
      <c r="AZ259" s="5"/>
      <c r="BA259" s="5"/>
      <c r="BB259" s="1"/>
      <c r="BC259" s="3" t="s">
        <v>145</v>
      </c>
      <c r="BD259" s="3">
        <v>0.9</v>
      </c>
      <c r="BE259" s="3">
        <v>0.5</v>
      </c>
      <c r="BF259" s="3">
        <v>0.6</v>
      </c>
      <c r="BG259" s="3">
        <v>0.3</v>
      </c>
      <c r="BH259" s="6">
        <v>858.79730199999995</v>
      </c>
      <c r="BI259" s="3">
        <v>5.0000000000000001E-3</v>
      </c>
      <c r="BK259" s="3" t="s">
        <v>145</v>
      </c>
      <c r="BL259" s="3">
        <v>0.71</v>
      </c>
      <c r="BM259" s="7">
        <v>999.15118399999994</v>
      </c>
      <c r="BN259" s="3">
        <v>1E-3</v>
      </c>
      <c r="BO259" s="3">
        <f t="shared" si="31"/>
        <v>0.505</v>
      </c>
    </row>
    <row r="260" spans="1:67" x14ac:dyDescent="0.3">
      <c r="A260" s="3" t="s">
        <v>146</v>
      </c>
      <c r="B260" s="3">
        <v>0.9</v>
      </c>
      <c r="C260" s="3">
        <v>0.5</v>
      </c>
      <c r="D260" s="3">
        <v>0.6</v>
      </c>
      <c r="E260" s="3">
        <v>0.3</v>
      </c>
      <c r="F260" s="6">
        <v>541.67040999999995</v>
      </c>
      <c r="G260" s="3">
        <v>2E-3</v>
      </c>
      <c r="I260" s="3" t="s">
        <v>146</v>
      </c>
      <c r="J260" s="3">
        <v>0.85</v>
      </c>
      <c r="K260" s="7">
        <v>604.81133999999997</v>
      </c>
      <c r="L260" s="3">
        <v>0</v>
      </c>
      <c r="M260" s="3">
        <f t="shared" si="28"/>
        <v>0.57499999999999996</v>
      </c>
      <c r="N260" s="5"/>
      <c r="O260" s="5"/>
      <c r="P260" s="5"/>
      <c r="Q260" s="5"/>
      <c r="R260" s="1"/>
      <c r="S260" s="3" t="s">
        <v>146</v>
      </c>
      <c r="T260" s="3">
        <v>0.9</v>
      </c>
      <c r="U260" s="3">
        <v>0.5</v>
      </c>
      <c r="V260" s="3">
        <v>0.6</v>
      </c>
      <c r="W260" s="3">
        <v>0.3</v>
      </c>
      <c r="X260" s="6">
        <v>525.42230199999995</v>
      </c>
      <c r="Y260" s="3">
        <v>2E-3</v>
      </c>
      <c r="AA260" s="3" t="s">
        <v>146</v>
      </c>
      <c r="AB260" s="3">
        <v>0.9</v>
      </c>
      <c r="AC260" s="7">
        <v>582.46704099999999</v>
      </c>
      <c r="AD260" s="3">
        <v>0</v>
      </c>
      <c r="AE260" s="3">
        <f t="shared" si="29"/>
        <v>0.6</v>
      </c>
      <c r="AF260" s="5"/>
      <c r="AG260" s="5"/>
      <c r="AH260" s="5"/>
      <c r="AI260" s="5"/>
      <c r="AJ260" s="1"/>
      <c r="AK260" s="3" t="s">
        <v>147</v>
      </c>
      <c r="AL260" s="3">
        <v>0.9</v>
      </c>
      <c r="AM260" s="3">
        <v>0.5</v>
      </c>
      <c r="AN260" s="3">
        <v>0.6</v>
      </c>
      <c r="AO260" s="3">
        <v>0.3</v>
      </c>
      <c r="AP260" s="6">
        <v>861.83544900000004</v>
      </c>
      <c r="AQ260" s="3">
        <v>8.0000000000000002E-3</v>
      </c>
      <c r="AS260" s="3" t="s">
        <v>147</v>
      </c>
      <c r="AT260" s="3">
        <v>0.4</v>
      </c>
      <c r="AU260" s="7">
        <v>912.29418899999996</v>
      </c>
      <c r="AV260" s="3">
        <v>1E-3</v>
      </c>
      <c r="AW260" s="3">
        <f t="shared" si="30"/>
        <v>0.35</v>
      </c>
      <c r="AX260" s="5"/>
      <c r="AY260" s="5"/>
      <c r="AZ260" s="5"/>
      <c r="BA260" s="5"/>
      <c r="BB260" s="1"/>
      <c r="BC260" s="3" t="s">
        <v>147</v>
      </c>
      <c r="BD260" s="3">
        <v>0.9</v>
      </c>
      <c r="BE260" s="3">
        <v>0.5</v>
      </c>
      <c r="BF260" s="3">
        <v>0.6</v>
      </c>
      <c r="BG260" s="3">
        <v>0.3</v>
      </c>
      <c r="BH260" s="7">
        <v>830.99707000000001</v>
      </c>
      <c r="BI260" s="3">
        <v>5.0000000000000001E-3</v>
      </c>
      <c r="BK260" s="3" t="s">
        <v>147</v>
      </c>
      <c r="BL260" s="3">
        <v>0.27</v>
      </c>
      <c r="BM260" s="6">
        <v>806.87255900000002</v>
      </c>
      <c r="BN260" s="3">
        <v>1E-3</v>
      </c>
      <c r="BO260" s="3">
        <f t="shared" si="31"/>
        <v>0.28500000000000003</v>
      </c>
    </row>
    <row r="261" spans="1:67" x14ac:dyDescent="0.3">
      <c r="A261" s="3" t="s">
        <v>148</v>
      </c>
      <c r="B261" s="3">
        <v>0.9</v>
      </c>
      <c r="C261" s="3">
        <v>0.5</v>
      </c>
      <c r="D261" s="3">
        <v>0.6</v>
      </c>
      <c r="E261" s="3">
        <v>0.3</v>
      </c>
      <c r="F261" s="7">
        <v>597.55560300000002</v>
      </c>
      <c r="G261" s="3">
        <v>1E-3</v>
      </c>
      <c r="I261" s="3" t="s">
        <v>148</v>
      </c>
      <c r="J261" s="3">
        <v>0.22</v>
      </c>
      <c r="K261" s="6">
        <v>583.82665999999995</v>
      </c>
      <c r="L261" s="3">
        <v>1E-3</v>
      </c>
      <c r="M261" s="3">
        <f t="shared" si="28"/>
        <v>0.26</v>
      </c>
      <c r="N261" s="5"/>
      <c r="O261" s="5"/>
      <c r="P261" s="5"/>
      <c r="Q261" s="5"/>
      <c r="R261" s="1"/>
      <c r="S261" s="3" t="s">
        <v>148</v>
      </c>
      <c r="T261" s="3">
        <v>0.9</v>
      </c>
      <c r="U261" s="3">
        <v>0.5</v>
      </c>
      <c r="V261" s="3">
        <v>0.6</v>
      </c>
      <c r="W261" s="3">
        <v>0.3</v>
      </c>
      <c r="X261" s="6">
        <v>583.45239300000003</v>
      </c>
      <c r="Y261" s="3">
        <v>1E-3</v>
      </c>
      <c r="AA261" s="3" t="s">
        <v>148</v>
      </c>
      <c r="AB261" s="3">
        <v>0.83</v>
      </c>
      <c r="AC261" s="7">
        <v>627.75042699999995</v>
      </c>
      <c r="AD261" s="3">
        <v>0</v>
      </c>
      <c r="AE261" s="3">
        <f t="shared" si="29"/>
        <v>0.56499999999999995</v>
      </c>
      <c r="AF261" s="5"/>
      <c r="AG261" s="5"/>
      <c r="AH261" s="5"/>
      <c r="AI261" s="5"/>
      <c r="AJ261" s="1"/>
      <c r="AK261" s="3" t="s">
        <v>149</v>
      </c>
      <c r="AL261" s="3">
        <v>0.9</v>
      </c>
      <c r="AM261" s="3">
        <v>0.5</v>
      </c>
      <c r="AN261" s="3">
        <v>0.6</v>
      </c>
      <c r="AO261" s="3">
        <v>0.3</v>
      </c>
      <c r="AP261" s="7">
        <v>886.52050799999995</v>
      </c>
      <c r="AQ261" s="3">
        <v>8.0000000000000002E-3</v>
      </c>
      <c r="AS261" s="3" t="s">
        <v>149</v>
      </c>
      <c r="AT261" s="3">
        <v>0.18</v>
      </c>
      <c r="AU261" s="6">
        <v>788.67919900000004</v>
      </c>
      <c r="AV261" s="3">
        <v>1E-3</v>
      </c>
      <c r="AW261" s="3">
        <f t="shared" si="30"/>
        <v>0.24</v>
      </c>
      <c r="AX261" s="5"/>
      <c r="AY261" s="5"/>
      <c r="AZ261" s="5"/>
      <c r="BA261" s="5"/>
      <c r="BB261" s="1"/>
      <c r="BC261" s="3" t="s">
        <v>149</v>
      </c>
      <c r="BD261" s="3">
        <v>0.9</v>
      </c>
      <c r="BE261" s="3">
        <v>0.5</v>
      </c>
      <c r="BF261" s="3">
        <v>0.6</v>
      </c>
      <c r="BG261" s="3">
        <v>0.3</v>
      </c>
      <c r="BH261" s="7">
        <v>838.00146500000005</v>
      </c>
      <c r="BI261" s="3">
        <v>5.0000000000000001E-3</v>
      </c>
      <c r="BK261" s="3" t="s">
        <v>149</v>
      </c>
      <c r="BL261" s="3">
        <v>0.3</v>
      </c>
      <c r="BM261" s="6">
        <v>800.66619900000001</v>
      </c>
      <c r="BN261" s="3">
        <v>0</v>
      </c>
      <c r="BO261" s="3">
        <f t="shared" si="31"/>
        <v>0.3</v>
      </c>
    </row>
    <row r="262" spans="1:67" x14ac:dyDescent="0.3">
      <c r="A262" s="3" t="s">
        <v>150</v>
      </c>
      <c r="B262" s="3">
        <v>0.9</v>
      </c>
      <c r="C262" s="3">
        <v>0.5</v>
      </c>
      <c r="D262" s="3">
        <v>0.6</v>
      </c>
      <c r="E262" s="3">
        <v>0.3</v>
      </c>
      <c r="F262" s="6">
        <v>541.32183799999996</v>
      </c>
      <c r="G262" s="3">
        <v>2E-3</v>
      </c>
      <c r="I262" s="3" t="s">
        <v>150</v>
      </c>
      <c r="J262" s="3">
        <v>0.02</v>
      </c>
      <c r="K262" s="7">
        <v>574.35314900000003</v>
      </c>
      <c r="L262" s="3">
        <v>0</v>
      </c>
      <c r="M262" s="3">
        <f t="shared" si="28"/>
        <v>0.16</v>
      </c>
      <c r="N262" s="5"/>
      <c r="O262" s="5"/>
      <c r="P262" s="5"/>
      <c r="Q262" s="5"/>
      <c r="R262" s="1"/>
      <c r="S262" s="3" t="s">
        <v>150</v>
      </c>
      <c r="T262" s="3">
        <v>0.9</v>
      </c>
      <c r="U262" s="3">
        <v>0.5</v>
      </c>
      <c r="V262" s="3">
        <v>0.6</v>
      </c>
      <c r="W262" s="3">
        <v>0.3</v>
      </c>
      <c r="X262" s="6">
        <v>491.84719799999999</v>
      </c>
      <c r="Y262" s="3">
        <v>1E-3</v>
      </c>
      <c r="AA262" s="3" t="s">
        <v>150</v>
      </c>
      <c r="AB262" s="3">
        <v>0.96</v>
      </c>
      <c r="AC262" s="7">
        <v>586.078979</v>
      </c>
      <c r="AD262" s="3">
        <v>0</v>
      </c>
      <c r="AE262" s="3">
        <f t="shared" si="29"/>
        <v>0.63</v>
      </c>
      <c r="AF262" s="5"/>
      <c r="AG262" s="5"/>
      <c r="AH262" s="5"/>
      <c r="AI262" s="5"/>
      <c r="AJ262" s="1"/>
      <c r="AK262" s="3" t="s">
        <v>151</v>
      </c>
      <c r="AL262" s="3">
        <v>0.9</v>
      </c>
      <c r="AM262" s="3">
        <v>0.5</v>
      </c>
      <c r="AN262" s="3">
        <v>0.6</v>
      </c>
      <c r="AO262" s="3">
        <v>0.3</v>
      </c>
      <c r="AP262" s="7">
        <v>771.49218800000006</v>
      </c>
      <c r="AQ262" s="3">
        <v>6.0000000000000001E-3</v>
      </c>
      <c r="AS262" s="3" t="s">
        <v>151</v>
      </c>
      <c r="AT262" s="3">
        <v>0.04</v>
      </c>
      <c r="AU262" s="6">
        <v>694.89123500000005</v>
      </c>
      <c r="AV262" s="3">
        <v>0</v>
      </c>
      <c r="AW262" s="3">
        <f t="shared" si="30"/>
        <v>0.16999999999999998</v>
      </c>
      <c r="AX262" s="5"/>
      <c r="AY262" s="5"/>
      <c r="AZ262" s="5"/>
      <c r="BA262" s="5"/>
      <c r="BB262" s="1"/>
      <c r="BC262" s="3" t="s">
        <v>151</v>
      </c>
      <c r="BD262" s="3">
        <v>0.9</v>
      </c>
      <c r="BE262" s="3">
        <v>0.5</v>
      </c>
      <c r="BF262" s="3">
        <v>0.6</v>
      </c>
      <c r="BG262" s="3">
        <v>0.3</v>
      </c>
      <c r="BH262" s="6">
        <v>748.54431199999999</v>
      </c>
      <c r="BI262" s="3">
        <v>5.0000000000000001E-3</v>
      </c>
      <c r="BK262" s="3" t="s">
        <v>151</v>
      </c>
      <c r="BL262" s="3">
        <v>0.77</v>
      </c>
      <c r="BM262" s="7">
        <v>907.27502400000003</v>
      </c>
      <c r="BN262" s="3">
        <v>0</v>
      </c>
      <c r="BO262" s="3">
        <f t="shared" si="31"/>
        <v>0.53500000000000003</v>
      </c>
    </row>
    <row r="263" spans="1:67" x14ac:dyDescent="0.3">
      <c r="A263" s="3" t="s">
        <v>152</v>
      </c>
      <c r="B263" s="3">
        <v>0.9</v>
      </c>
      <c r="C263" s="3">
        <v>0.5</v>
      </c>
      <c r="D263" s="3">
        <v>0.6</v>
      </c>
      <c r="E263" s="3">
        <v>0.3</v>
      </c>
      <c r="F263" s="6">
        <v>581.62884499999996</v>
      </c>
      <c r="G263" s="3">
        <v>2E-3</v>
      </c>
      <c r="I263" s="3" t="s">
        <v>152</v>
      </c>
      <c r="J263" s="3">
        <v>0.95</v>
      </c>
      <c r="K263" s="7">
        <v>657.73638900000003</v>
      </c>
      <c r="L263" s="3">
        <v>0</v>
      </c>
      <c r="M263" s="3">
        <f t="shared" si="28"/>
        <v>0.625</v>
      </c>
      <c r="N263" s="5"/>
      <c r="O263" s="5"/>
      <c r="P263" s="5"/>
      <c r="Q263" s="5"/>
      <c r="R263" s="1"/>
      <c r="S263" s="3" t="s">
        <v>152</v>
      </c>
      <c r="T263" s="3">
        <v>0.9</v>
      </c>
      <c r="U263" s="3">
        <v>0.5</v>
      </c>
      <c r="V263" s="3">
        <v>0.6</v>
      </c>
      <c r="W263" s="3">
        <v>0.3</v>
      </c>
      <c r="X263" s="6">
        <v>572.40832499999999</v>
      </c>
      <c r="Y263" s="3">
        <v>1E-3</v>
      </c>
      <c r="AA263" s="3" t="s">
        <v>152</v>
      </c>
      <c r="AB263" s="3">
        <v>0.5</v>
      </c>
      <c r="AC263" s="7">
        <v>602.65112299999998</v>
      </c>
      <c r="AD263" s="3">
        <v>0</v>
      </c>
      <c r="AE263" s="3">
        <f t="shared" si="29"/>
        <v>0.4</v>
      </c>
      <c r="AF263" s="5"/>
      <c r="AG263" s="5"/>
      <c r="AH263" s="5"/>
      <c r="AI263" s="5"/>
      <c r="AJ263" s="1"/>
      <c r="AK263" s="3" t="s">
        <v>153</v>
      </c>
      <c r="AL263" s="3">
        <v>0.9</v>
      </c>
      <c r="AM263" s="3">
        <v>0.5</v>
      </c>
      <c r="AN263" s="3">
        <v>0.6</v>
      </c>
      <c r="AO263" s="3">
        <v>0.3</v>
      </c>
      <c r="AP263" s="7">
        <v>868.51220699999999</v>
      </c>
      <c r="AQ263" s="3">
        <v>6.0000000000000001E-3</v>
      </c>
      <c r="AS263" s="3" t="s">
        <v>153</v>
      </c>
      <c r="AT263" s="3">
        <v>0.05</v>
      </c>
      <c r="AU263" s="6">
        <v>743.45745799999997</v>
      </c>
      <c r="AV263" s="3">
        <v>1E-3</v>
      </c>
      <c r="AW263" s="3">
        <f t="shared" si="30"/>
        <v>0.17499999999999999</v>
      </c>
      <c r="AX263" s="5"/>
      <c r="AY263" s="5"/>
      <c r="AZ263" s="5"/>
      <c r="BA263" s="5"/>
      <c r="BB263" s="1"/>
      <c r="BC263" s="3" t="s">
        <v>153</v>
      </c>
      <c r="BD263" s="3">
        <v>0.9</v>
      </c>
      <c r="BE263" s="3">
        <v>0.5</v>
      </c>
      <c r="BF263" s="3">
        <v>0.6</v>
      </c>
      <c r="BG263" s="3">
        <v>0.3</v>
      </c>
      <c r="BH263" s="6">
        <v>832.55505400000004</v>
      </c>
      <c r="BI263" s="3">
        <v>5.0000000000000001E-3</v>
      </c>
      <c r="BK263" s="3" t="s">
        <v>153</v>
      </c>
      <c r="BL263" s="3">
        <v>0.49</v>
      </c>
      <c r="BM263" s="7">
        <v>919.58801300000005</v>
      </c>
      <c r="BN263" s="3">
        <v>1E-3</v>
      </c>
      <c r="BO263" s="3">
        <f t="shared" si="31"/>
        <v>0.39500000000000002</v>
      </c>
    </row>
    <row r="264" spans="1:67" x14ac:dyDescent="0.3">
      <c r="A264" s="3" t="s">
        <v>154</v>
      </c>
      <c r="B264" s="3">
        <v>0.9</v>
      </c>
      <c r="C264" s="3">
        <v>0.5</v>
      </c>
      <c r="D264" s="3">
        <v>0.6</v>
      </c>
      <c r="E264" s="3">
        <v>0.3</v>
      </c>
      <c r="F264" s="7">
        <v>606.32208300000002</v>
      </c>
      <c r="G264" s="3">
        <v>2E-3</v>
      </c>
      <c r="I264" s="3" t="s">
        <v>154</v>
      </c>
      <c r="J264" s="3">
        <v>0.12</v>
      </c>
      <c r="K264" s="6">
        <v>574.68493699999999</v>
      </c>
      <c r="L264" s="3">
        <v>0</v>
      </c>
      <c r="M264" s="3">
        <f t="shared" si="28"/>
        <v>0.21</v>
      </c>
      <c r="N264" s="5"/>
      <c r="O264" s="5"/>
      <c r="P264" s="5"/>
      <c r="Q264" s="5"/>
      <c r="R264" s="1"/>
      <c r="S264" s="3" t="s">
        <v>154</v>
      </c>
      <c r="T264" s="3">
        <v>0.9</v>
      </c>
      <c r="U264" s="3">
        <v>0.5</v>
      </c>
      <c r="V264" s="3">
        <v>0.6</v>
      </c>
      <c r="W264" s="3">
        <v>0.3</v>
      </c>
      <c r="X264" s="6">
        <v>596.30999799999995</v>
      </c>
      <c r="Y264" s="3">
        <v>2E-3</v>
      </c>
      <c r="AA264" s="3" t="s">
        <v>154</v>
      </c>
      <c r="AB264" s="3">
        <v>0.41</v>
      </c>
      <c r="AC264" s="7">
        <v>600.36187700000005</v>
      </c>
      <c r="AD264" s="3">
        <v>0</v>
      </c>
      <c r="AE264" s="3">
        <f t="shared" si="29"/>
        <v>0.35499999999999998</v>
      </c>
      <c r="AF264" s="5"/>
      <c r="AG264" s="5"/>
      <c r="AH264" s="5"/>
      <c r="AI264" s="5"/>
      <c r="AJ264" s="1"/>
      <c r="AK264" s="3" t="s">
        <v>155</v>
      </c>
      <c r="AL264" s="3">
        <v>0.9</v>
      </c>
      <c r="AM264" s="3">
        <v>0.5</v>
      </c>
      <c r="AN264" s="3">
        <v>0.6</v>
      </c>
      <c r="AO264" s="3">
        <v>0.3</v>
      </c>
      <c r="AP264" s="7">
        <v>1098.307861</v>
      </c>
      <c r="AQ264" s="3">
        <v>8.0000000000000002E-3</v>
      </c>
      <c r="AS264" s="3" t="s">
        <v>155</v>
      </c>
      <c r="AT264" s="3">
        <v>7.0000000000000007E-2</v>
      </c>
      <c r="AU264" s="6">
        <v>965.48724400000003</v>
      </c>
      <c r="AV264" s="3">
        <v>1E-3</v>
      </c>
      <c r="AW264" s="3">
        <f t="shared" si="30"/>
        <v>0.185</v>
      </c>
      <c r="AX264" s="5"/>
      <c r="AY264" s="5"/>
      <c r="AZ264" s="5"/>
      <c r="BA264" s="5"/>
      <c r="BB264" s="1"/>
      <c r="BC264" s="3" t="s">
        <v>155</v>
      </c>
      <c r="BD264" s="3">
        <v>0.9</v>
      </c>
      <c r="BE264" s="3">
        <v>0.5</v>
      </c>
      <c r="BF264" s="3">
        <v>0.6</v>
      </c>
      <c r="BG264" s="3">
        <v>0.3</v>
      </c>
      <c r="BH264" s="6">
        <v>1070.4027100000001</v>
      </c>
      <c r="BI264" s="3">
        <v>8.0000000000000002E-3</v>
      </c>
      <c r="BK264" s="3" t="s">
        <v>155</v>
      </c>
      <c r="BL264" s="3">
        <v>0.66</v>
      </c>
      <c r="BM264" s="7">
        <v>1244.180664</v>
      </c>
      <c r="BN264" s="3">
        <v>1E-3</v>
      </c>
      <c r="BO264" s="3">
        <f t="shared" si="31"/>
        <v>0.48</v>
      </c>
    </row>
    <row r="265" spans="1:67" x14ac:dyDescent="0.3">
      <c r="A265" s="3" t="s">
        <v>156</v>
      </c>
      <c r="B265" s="3">
        <v>0.9</v>
      </c>
      <c r="C265" s="3">
        <v>0.5</v>
      </c>
      <c r="D265" s="3">
        <v>0.6</v>
      </c>
      <c r="E265" s="3">
        <v>0.3</v>
      </c>
      <c r="F265" s="6">
        <v>661.11932400000001</v>
      </c>
      <c r="G265" s="3">
        <v>2E-3</v>
      </c>
      <c r="I265" s="3" t="s">
        <v>156</v>
      </c>
      <c r="J265" s="3">
        <v>0.54</v>
      </c>
      <c r="K265" s="7">
        <v>686.51763900000003</v>
      </c>
      <c r="L265" s="3">
        <v>1E-3</v>
      </c>
      <c r="M265" s="3">
        <f t="shared" si="28"/>
        <v>0.42000000000000004</v>
      </c>
      <c r="N265" s="5"/>
      <c r="O265" s="5"/>
      <c r="P265" s="5"/>
      <c r="Q265" s="5"/>
      <c r="R265" s="1"/>
      <c r="S265" s="3" t="s">
        <v>156</v>
      </c>
      <c r="T265" s="3">
        <v>0.9</v>
      </c>
      <c r="U265" s="3">
        <v>0.5</v>
      </c>
      <c r="V265" s="3">
        <v>0.6</v>
      </c>
      <c r="W265" s="3">
        <v>0.3</v>
      </c>
      <c r="X265" s="6">
        <v>651.50170900000001</v>
      </c>
      <c r="Y265" s="3">
        <v>2E-3</v>
      </c>
      <c r="AA265" s="3" t="s">
        <v>156</v>
      </c>
      <c r="AB265" s="3">
        <v>0.65</v>
      </c>
      <c r="AC265" s="7">
        <v>692.91400099999998</v>
      </c>
      <c r="AD265" s="3">
        <v>0</v>
      </c>
      <c r="AE265" s="3">
        <f t="shared" si="29"/>
        <v>0.47499999999999998</v>
      </c>
      <c r="AF265" s="5"/>
      <c r="AG265" s="5"/>
      <c r="AH265" s="5"/>
      <c r="AI265" s="5"/>
      <c r="AJ265" s="1"/>
      <c r="AK265" s="3" t="s">
        <v>157</v>
      </c>
      <c r="AL265" s="3">
        <v>0.9</v>
      </c>
      <c r="AM265" s="3">
        <v>0.5</v>
      </c>
      <c r="AN265" s="3">
        <v>0.6</v>
      </c>
      <c r="AO265" s="3">
        <v>0.3</v>
      </c>
      <c r="AP265" s="6">
        <v>1018.891174</v>
      </c>
      <c r="AQ265" s="3">
        <v>1.0999999999999999E-2</v>
      </c>
      <c r="AS265" s="3" t="s">
        <v>157</v>
      </c>
      <c r="AT265" s="3">
        <v>0.37</v>
      </c>
      <c r="AU265" s="7">
        <v>1076.2322999999999</v>
      </c>
      <c r="AV265" s="3">
        <v>2E-3</v>
      </c>
      <c r="AW265" s="3">
        <f t="shared" si="30"/>
        <v>0.33499999999999996</v>
      </c>
      <c r="AX265" s="5"/>
      <c r="AY265" s="5"/>
      <c r="AZ265" s="5"/>
      <c r="BA265" s="5"/>
      <c r="BB265" s="1"/>
      <c r="BC265" s="3" t="s">
        <v>157</v>
      </c>
      <c r="BD265" s="3">
        <v>0.9</v>
      </c>
      <c r="BE265" s="3">
        <v>0.5</v>
      </c>
      <c r="BF265" s="3">
        <v>0.6</v>
      </c>
      <c r="BG265" s="3">
        <v>0.3</v>
      </c>
      <c r="BH265" s="6">
        <v>1011.42395</v>
      </c>
      <c r="BI265" s="3">
        <v>6.0000000000000001E-3</v>
      </c>
      <c r="BK265" s="3" t="s">
        <v>157</v>
      </c>
      <c r="BL265" s="3">
        <v>0.71</v>
      </c>
      <c r="BM265" s="7">
        <v>1195.9948730000001</v>
      </c>
      <c r="BN265" s="3">
        <v>1E-3</v>
      </c>
      <c r="BO265" s="3">
        <f t="shared" si="31"/>
        <v>0.505</v>
      </c>
    </row>
    <row r="266" spans="1:67" x14ac:dyDescent="0.3">
      <c r="A266" s="3" t="s">
        <v>158</v>
      </c>
      <c r="B266" s="3">
        <v>0.9</v>
      </c>
      <c r="C266" s="3">
        <v>0.5</v>
      </c>
      <c r="D266" s="3">
        <v>0.6</v>
      </c>
      <c r="E266" s="3">
        <v>0.3</v>
      </c>
      <c r="F266" s="6">
        <v>656.95410200000003</v>
      </c>
      <c r="G266" s="3">
        <v>1E-3</v>
      </c>
      <c r="I266" s="3" t="s">
        <v>158</v>
      </c>
      <c r="J266" s="3">
        <v>0.75</v>
      </c>
      <c r="K266" s="7">
        <v>729.01513699999998</v>
      </c>
      <c r="L266" s="3">
        <v>0</v>
      </c>
      <c r="M266" s="3">
        <f t="shared" si="28"/>
        <v>0.52500000000000002</v>
      </c>
      <c r="N266" s="5"/>
      <c r="O266" s="5"/>
      <c r="P266" s="5"/>
      <c r="Q266" s="5"/>
      <c r="R266" s="1"/>
      <c r="S266" s="3" t="s">
        <v>158</v>
      </c>
      <c r="T266" s="3">
        <v>0.9</v>
      </c>
      <c r="U266" s="3">
        <v>0.5</v>
      </c>
      <c r="V266" s="3">
        <v>0.6</v>
      </c>
      <c r="W266" s="3">
        <v>0.3</v>
      </c>
      <c r="X266" s="7">
        <v>651.990723</v>
      </c>
      <c r="Y266" s="3">
        <v>3.0000000000000001E-3</v>
      </c>
      <c r="AA266" s="3" t="s">
        <v>158</v>
      </c>
      <c r="AB266" s="3">
        <v>0.26</v>
      </c>
      <c r="AC266" s="6">
        <v>636.18731700000001</v>
      </c>
      <c r="AD266" s="3">
        <v>0</v>
      </c>
      <c r="AE266" s="3">
        <f t="shared" si="29"/>
        <v>0.28000000000000003</v>
      </c>
      <c r="AF266" s="5"/>
      <c r="AG266" s="5"/>
      <c r="AH266" s="5"/>
      <c r="AI266" s="5"/>
      <c r="AJ266" s="1"/>
      <c r="AK266" s="3" t="s">
        <v>159</v>
      </c>
      <c r="AL266" s="3">
        <v>0.9</v>
      </c>
      <c r="AM266" s="3">
        <v>0.5</v>
      </c>
      <c r="AN266" s="3">
        <v>0.6</v>
      </c>
      <c r="AO266" s="3">
        <v>0.3</v>
      </c>
      <c r="AP266" s="7">
        <v>954.64923099999999</v>
      </c>
      <c r="AQ266" s="3">
        <v>7.0000000000000001E-3</v>
      </c>
      <c r="AS266" s="3" t="s">
        <v>159</v>
      </c>
      <c r="AT266" s="3">
        <v>0.25</v>
      </c>
      <c r="AU266" s="6">
        <v>925.68261700000005</v>
      </c>
      <c r="AV266" s="3">
        <v>1E-3</v>
      </c>
      <c r="AW266" s="3">
        <f t="shared" si="30"/>
        <v>0.27500000000000002</v>
      </c>
      <c r="AX266" s="5"/>
      <c r="AY266" s="5"/>
      <c r="AZ266" s="5"/>
      <c r="BA266" s="5"/>
      <c r="BB266" s="1"/>
      <c r="BC266" s="3" t="s">
        <v>159</v>
      </c>
      <c r="BD266" s="3">
        <v>0.9</v>
      </c>
      <c r="BE266" s="3">
        <v>0.5</v>
      </c>
      <c r="BF266" s="3">
        <v>0.6</v>
      </c>
      <c r="BG266" s="3">
        <v>0.3</v>
      </c>
      <c r="BH266" s="6">
        <v>953.14630099999999</v>
      </c>
      <c r="BI266" s="3">
        <v>6.0000000000000001E-3</v>
      </c>
      <c r="BK266" s="3" t="s">
        <v>159</v>
      </c>
      <c r="BL266" s="3">
        <v>0.79</v>
      </c>
      <c r="BM266" s="7">
        <v>1110.153442</v>
      </c>
      <c r="BN266" s="3">
        <v>1E-3</v>
      </c>
      <c r="BO266" s="3">
        <f t="shared" si="31"/>
        <v>0.54500000000000004</v>
      </c>
    </row>
    <row r="267" spans="1:67" x14ac:dyDescent="0.3">
      <c r="A267" s="3" t="s">
        <v>160</v>
      </c>
      <c r="B267" s="3">
        <v>0.9</v>
      </c>
      <c r="C267" s="3">
        <v>0.5</v>
      </c>
      <c r="D267" s="3">
        <v>0.6</v>
      </c>
      <c r="E267" s="3">
        <v>0.3</v>
      </c>
      <c r="F267" s="6">
        <v>601.38476600000001</v>
      </c>
      <c r="G267" s="3">
        <v>2E-3</v>
      </c>
      <c r="I267" s="3" t="s">
        <v>160</v>
      </c>
      <c r="J267" s="3">
        <v>0.72</v>
      </c>
      <c r="K267" s="7">
        <v>645.92291299999999</v>
      </c>
      <c r="L267" s="3">
        <v>0</v>
      </c>
      <c r="M267" s="3">
        <f t="shared" si="28"/>
        <v>0.51</v>
      </c>
      <c r="N267" s="5"/>
      <c r="O267" s="5"/>
      <c r="P267" s="5"/>
      <c r="Q267" s="5"/>
      <c r="R267" s="1"/>
      <c r="S267" s="3" t="s">
        <v>160</v>
      </c>
      <c r="T267" s="3">
        <v>0.9</v>
      </c>
      <c r="U267" s="3">
        <v>0.5</v>
      </c>
      <c r="V267" s="3">
        <v>0.6</v>
      </c>
      <c r="W267" s="3">
        <v>0.3</v>
      </c>
      <c r="X267" s="6">
        <v>565.66815199999996</v>
      </c>
      <c r="Y267" s="3">
        <v>2E-3</v>
      </c>
      <c r="AA267" s="3" t="s">
        <v>160</v>
      </c>
      <c r="AB267" s="3">
        <v>0.32</v>
      </c>
      <c r="AC267" s="7">
        <v>567.09008800000004</v>
      </c>
      <c r="AD267" s="3">
        <v>0</v>
      </c>
      <c r="AE267" s="3">
        <f t="shared" si="29"/>
        <v>0.31</v>
      </c>
      <c r="AF267" s="5"/>
      <c r="AG267" s="5"/>
      <c r="AH267" s="5"/>
      <c r="AI267" s="5"/>
      <c r="AJ267" s="1"/>
      <c r="AK267" s="3" t="s">
        <v>161</v>
      </c>
      <c r="AL267" s="3">
        <v>0.9</v>
      </c>
      <c r="AM267" s="3">
        <v>0.5</v>
      </c>
      <c r="AN267" s="3">
        <v>0.6</v>
      </c>
      <c r="AO267" s="3">
        <v>0.3</v>
      </c>
      <c r="AP267" s="6">
        <v>1031.9688719999999</v>
      </c>
      <c r="AQ267" s="3">
        <v>8.9999999999999993E-3</v>
      </c>
      <c r="AS267" s="3" t="s">
        <v>161</v>
      </c>
      <c r="AT267" s="3">
        <v>0.36</v>
      </c>
      <c r="AU267" s="7">
        <v>1060.5383300000001</v>
      </c>
      <c r="AV267" s="3">
        <v>1E-3</v>
      </c>
      <c r="AW267" s="3">
        <f t="shared" si="30"/>
        <v>0.32999999999999996</v>
      </c>
      <c r="AX267" s="5"/>
      <c r="AY267" s="5"/>
      <c r="AZ267" s="5"/>
      <c r="BA267" s="5"/>
      <c r="BB267" s="1"/>
      <c r="BC267" s="3" t="s">
        <v>161</v>
      </c>
      <c r="BD267" s="3">
        <v>0.9</v>
      </c>
      <c r="BE267" s="3">
        <v>0.5</v>
      </c>
      <c r="BF267" s="3">
        <v>0.6</v>
      </c>
      <c r="BG267" s="3">
        <v>0.3</v>
      </c>
      <c r="BH267" s="6">
        <v>1022.027161</v>
      </c>
      <c r="BI267" s="3">
        <v>7.0000000000000001E-3</v>
      </c>
      <c r="BK267" s="3" t="s">
        <v>161</v>
      </c>
      <c r="BL267" s="3">
        <v>0.51</v>
      </c>
      <c r="BM267" s="7">
        <v>1090.275635</v>
      </c>
      <c r="BN267" s="3">
        <v>1E-3</v>
      </c>
      <c r="BO267" s="3">
        <f t="shared" si="31"/>
        <v>0.40500000000000003</v>
      </c>
    </row>
    <row r="268" spans="1:67" x14ac:dyDescent="0.3">
      <c r="A268" s="3" t="s">
        <v>162</v>
      </c>
      <c r="B268" s="3">
        <v>0.9</v>
      </c>
      <c r="C268" s="3">
        <v>0.5</v>
      </c>
      <c r="D268" s="3">
        <v>0.6</v>
      </c>
      <c r="E268" s="3">
        <v>0.3</v>
      </c>
      <c r="F268" s="6">
        <v>610.64428699999996</v>
      </c>
      <c r="G268" s="3">
        <v>2E-3</v>
      </c>
      <c r="I268" s="3" t="s">
        <v>162</v>
      </c>
      <c r="J268" s="3">
        <v>0.62</v>
      </c>
      <c r="K268" s="7">
        <v>666.48217799999998</v>
      </c>
      <c r="L268" s="3">
        <v>0</v>
      </c>
      <c r="M268" s="3">
        <f t="shared" si="28"/>
        <v>0.45999999999999996</v>
      </c>
      <c r="N268" s="5"/>
      <c r="O268" s="5"/>
      <c r="P268" s="5"/>
      <c r="Q268" s="5"/>
      <c r="R268" s="1"/>
      <c r="S268" s="3" t="s">
        <v>162</v>
      </c>
      <c r="T268" s="3">
        <v>0.9</v>
      </c>
      <c r="U268" s="3">
        <v>0.5</v>
      </c>
      <c r="V268" s="3">
        <v>0.6</v>
      </c>
      <c r="W268" s="3">
        <v>0.3</v>
      </c>
      <c r="X268" s="6">
        <v>606.20794699999999</v>
      </c>
      <c r="Y268" s="3">
        <v>2E-3</v>
      </c>
      <c r="AA268" s="3" t="s">
        <v>162</v>
      </c>
      <c r="AB268" s="3">
        <v>0.62</v>
      </c>
      <c r="AC268" s="7">
        <v>670.14837599999998</v>
      </c>
      <c r="AD268" s="3">
        <v>0</v>
      </c>
      <c r="AE268" s="3">
        <f t="shared" si="29"/>
        <v>0.45999999999999996</v>
      </c>
      <c r="AF268" s="5"/>
      <c r="AG268" s="5"/>
      <c r="AH268" s="5"/>
      <c r="AI268" s="5"/>
      <c r="AJ268" s="1"/>
      <c r="AK268" s="3" t="s">
        <v>163</v>
      </c>
      <c r="AL268" s="3">
        <v>0.9</v>
      </c>
      <c r="AM268" s="3">
        <v>0.5</v>
      </c>
      <c r="AN268" s="3">
        <v>0.6</v>
      </c>
      <c r="AO268" s="3">
        <v>0.3</v>
      </c>
      <c r="AP268" s="6">
        <v>1022.341675</v>
      </c>
      <c r="AQ268" s="3">
        <v>0.01</v>
      </c>
      <c r="AS268" s="3" t="s">
        <v>163</v>
      </c>
      <c r="AT268" s="3">
        <v>0.64</v>
      </c>
      <c r="AU268" s="7">
        <v>1155.2802730000001</v>
      </c>
      <c r="AV268" s="3">
        <v>2E-3</v>
      </c>
      <c r="AW268" s="3">
        <f t="shared" si="30"/>
        <v>0.47</v>
      </c>
      <c r="AX268" s="5"/>
      <c r="AY268" s="5"/>
      <c r="AZ268" s="5"/>
      <c r="BA268" s="5"/>
      <c r="BB268" s="1"/>
      <c r="BC268" s="3" t="s">
        <v>163</v>
      </c>
      <c r="BD268" s="3">
        <v>0.9</v>
      </c>
      <c r="BE268" s="3">
        <v>0.5</v>
      </c>
      <c r="BF268" s="3">
        <v>0.6</v>
      </c>
      <c r="BG268" s="3">
        <v>0.3</v>
      </c>
      <c r="BH268" s="7">
        <v>1011.451416</v>
      </c>
      <c r="BI268" s="3">
        <v>8.0000000000000002E-3</v>
      </c>
      <c r="BK268" s="3" t="s">
        <v>163</v>
      </c>
      <c r="BL268" s="3">
        <v>0.27</v>
      </c>
      <c r="BM268" s="6">
        <v>972.80157499999996</v>
      </c>
      <c r="BN268" s="3">
        <v>1E-3</v>
      </c>
      <c r="BO268" s="3">
        <f t="shared" si="31"/>
        <v>0.28500000000000003</v>
      </c>
    </row>
    <row r="269" spans="1:67" x14ac:dyDescent="0.3">
      <c r="A269" s="3" t="s">
        <v>164</v>
      </c>
      <c r="B269" s="3">
        <v>0.9</v>
      </c>
      <c r="C269" s="3">
        <v>0.5</v>
      </c>
      <c r="D269" s="3">
        <v>0.6</v>
      </c>
      <c r="E269" s="3">
        <v>0.3</v>
      </c>
      <c r="F269" s="6">
        <v>548.58795199999997</v>
      </c>
      <c r="G269" s="3">
        <v>2E-3</v>
      </c>
      <c r="I269" s="3" t="s">
        <v>164</v>
      </c>
      <c r="J269" s="3">
        <v>0.94</v>
      </c>
      <c r="K269" s="7">
        <v>645.55230700000004</v>
      </c>
      <c r="L269" s="3">
        <v>0</v>
      </c>
      <c r="M269" s="3">
        <f t="shared" si="28"/>
        <v>0.62</v>
      </c>
      <c r="N269" s="5"/>
      <c r="O269" s="5"/>
      <c r="P269" s="5"/>
      <c r="Q269" s="5"/>
      <c r="R269" s="1"/>
      <c r="S269" s="3" t="s">
        <v>164</v>
      </c>
      <c r="T269" s="3">
        <v>0.9</v>
      </c>
      <c r="U269" s="3">
        <v>0.5</v>
      </c>
      <c r="V269" s="3">
        <v>0.6</v>
      </c>
      <c r="W269" s="3">
        <v>0.3</v>
      </c>
      <c r="X269" s="6">
        <v>509.26385499999998</v>
      </c>
      <c r="Y269" s="3">
        <v>2E-3</v>
      </c>
      <c r="AA269" s="3" t="s">
        <v>164</v>
      </c>
      <c r="AB269" s="3">
        <v>0.91</v>
      </c>
      <c r="AC269" s="7">
        <v>611.84625200000005</v>
      </c>
      <c r="AD269" s="3">
        <v>0</v>
      </c>
      <c r="AE269" s="3">
        <f t="shared" si="29"/>
        <v>0.60499999999999998</v>
      </c>
      <c r="AF269" s="5"/>
      <c r="AG269" s="5"/>
      <c r="AH269" s="5"/>
      <c r="AI269" s="5"/>
      <c r="AJ269" s="1"/>
      <c r="AK269" s="3" t="s">
        <v>165</v>
      </c>
      <c r="AL269" s="3">
        <v>0.9</v>
      </c>
      <c r="AM269" s="3">
        <v>0.5</v>
      </c>
      <c r="AN269" s="3">
        <v>0.6</v>
      </c>
      <c r="AO269" s="3">
        <v>0.3</v>
      </c>
      <c r="AP269" s="7">
        <v>951.10406499999999</v>
      </c>
      <c r="AQ269" s="3">
        <v>8.9999999999999993E-3</v>
      </c>
      <c r="AS269" s="3" t="s">
        <v>165</v>
      </c>
      <c r="AT269" s="3">
        <v>0.24</v>
      </c>
      <c r="AU269" s="6">
        <v>876.24603300000001</v>
      </c>
      <c r="AV269" s="3">
        <v>0</v>
      </c>
      <c r="AW269" s="3">
        <f t="shared" si="30"/>
        <v>0.27</v>
      </c>
      <c r="AX269" s="5"/>
      <c r="AY269" s="5"/>
      <c r="AZ269" s="5"/>
      <c r="BA269" s="5"/>
      <c r="BB269" s="1"/>
      <c r="BC269" s="3" t="s">
        <v>165</v>
      </c>
      <c r="BD269" s="3">
        <v>0.9</v>
      </c>
      <c r="BE269" s="3">
        <v>0.5</v>
      </c>
      <c r="BF269" s="3">
        <v>0.6</v>
      </c>
      <c r="BG269" s="3">
        <v>0.3</v>
      </c>
      <c r="BH269" s="6">
        <v>931.61773700000003</v>
      </c>
      <c r="BI269" s="3">
        <v>6.0000000000000001E-3</v>
      </c>
      <c r="BK269" s="3" t="s">
        <v>165</v>
      </c>
      <c r="BL269" s="3">
        <v>0.51</v>
      </c>
      <c r="BM269" s="7">
        <v>1018.787048</v>
      </c>
      <c r="BN269" s="3">
        <v>2E-3</v>
      </c>
      <c r="BO269" s="3">
        <f t="shared" si="31"/>
        <v>0.40500000000000003</v>
      </c>
    </row>
    <row r="270" spans="1:67" x14ac:dyDescent="0.3">
      <c r="A270" s="3" t="s">
        <v>166</v>
      </c>
      <c r="B270" s="3">
        <v>0.9</v>
      </c>
      <c r="C270" s="3">
        <v>0.5</v>
      </c>
      <c r="D270" s="3">
        <v>0.6</v>
      </c>
      <c r="E270" s="3">
        <v>0.3</v>
      </c>
      <c r="F270" s="7">
        <v>734.97833300000002</v>
      </c>
      <c r="G270" s="3">
        <v>2E-3</v>
      </c>
      <c r="I270" s="3" t="s">
        <v>166</v>
      </c>
      <c r="J270" s="3">
        <v>0.1</v>
      </c>
      <c r="K270" s="6">
        <v>687.05664100000001</v>
      </c>
      <c r="L270" s="3">
        <v>0</v>
      </c>
      <c r="M270" s="3">
        <f t="shared" si="28"/>
        <v>0.2</v>
      </c>
      <c r="N270" s="5"/>
      <c r="O270" s="5"/>
      <c r="P270" s="5"/>
      <c r="Q270" s="5"/>
      <c r="R270" s="1"/>
      <c r="S270" s="3" t="s">
        <v>166</v>
      </c>
      <c r="T270" s="3">
        <v>0.9</v>
      </c>
      <c r="U270" s="3">
        <v>0.5</v>
      </c>
      <c r="V270" s="3">
        <v>0.6</v>
      </c>
      <c r="W270" s="3">
        <v>0.3</v>
      </c>
      <c r="X270" s="7">
        <v>730.42553699999996</v>
      </c>
      <c r="Y270" s="3">
        <v>2E-3</v>
      </c>
      <c r="AA270" s="3" t="s">
        <v>166</v>
      </c>
      <c r="AB270" s="3">
        <v>0.05</v>
      </c>
      <c r="AC270" s="6">
        <v>678.09020999999996</v>
      </c>
      <c r="AD270" s="3">
        <v>0</v>
      </c>
      <c r="AE270" s="3">
        <f t="shared" si="29"/>
        <v>0.17499999999999999</v>
      </c>
      <c r="AF270" s="5"/>
      <c r="AG270" s="5"/>
      <c r="AH270" s="5"/>
      <c r="AI270" s="5"/>
      <c r="AJ270" s="1"/>
      <c r="AK270" s="3" t="s">
        <v>167</v>
      </c>
      <c r="AL270" s="3">
        <v>0.9</v>
      </c>
      <c r="AM270" s="3">
        <v>0.5</v>
      </c>
      <c r="AN270" s="3">
        <v>0.6</v>
      </c>
      <c r="AO270" s="3">
        <v>0.3</v>
      </c>
      <c r="AP270" s="6">
        <v>980.29046600000004</v>
      </c>
      <c r="AQ270" s="3">
        <v>7.0000000000000001E-3</v>
      </c>
      <c r="AS270" s="3" t="s">
        <v>167</v>
      </c>
      <c r="AT270" s="3">
        <v>0.69</v>
      </c>
      <c r="AU270" s="7">
        <v>1161.0271</v>
      </c>
      <c r="AV270" s="3">
        <v>1E-3</v>
      </c>
      <c r="AW270" s="3">
        <f t="shared" si="30"/>
        <v>0.495</v>
      </c>
      <c r="AX270" s="5"/>
      <c r="AY270" s="5"/>
      <c r="AZ270" s="5"/>
      <c r="BA270" s="5"/>
      <c r="BB270" s="1"/>
      <c r="BC270" s="3" t="s">
        <v>167</v>
      </c>
      <c r="BD270" s="3">
        <v>0.9</v>
      </c>
      <c r="BE270" s="3">
        <v>0.5</v>
      </c>
      <c r="BF270" s="3">
        <v>0.6</v>
      </c>
      <c r="BG270" s="3">
        <v>0.3</v>
      </c>
      <c r="BH270" s="6">
        <v>968.76995799999997</v>
      </c>
      <c r="BI270" s="3">
        <v>7.0000000000000001E-3</v>
      </c>
      <c r="BK270" s="3" t="s">
        <v>167</v>
      </c>
      <c r="BL270" s="3">
        <v>0.47</v>
      </c>
      <c r="BM270" s="7">
        <v>1060.2174070000001</v>
      </c>
      <c r="BN270" s="3">
        <v>0</v>
      </c>
      <c r="BO270" s="3">
        <f t="shared" si="31"/>
        <v>0.38500000000000001</v>
      </c>
    </row>
    <row r="271" spans="1:67" x14ac:dyDescent="0.3">
      <c r="A271" s="3" t="s">
        <v>168</v>
      </c>
      <c r="B271" s="3">
        <v>0.9</v>
      </c>
      <c r="C271" s="3">
        <v>0.5</v>
      </c>
      <c r="D271" s="3">
        <v>0.6</v>
      </c>
      <c r="E271" s="3">
        <v>0.3</v>
      </c>
      <c r="F271" s="7">
        <v>663.56536900000003</v>
      </c>
      <c r="G271" s="3">
        <v>2E-3</v>
      </c>
      <c r="I271" s="3" t="s">
        <v>168</v>
      </c>
      <c r="J271" s="3">
        <v>0.01</v>
      </c>
      <c r="K271" s="6">
        <v>662.32525599999997</v>
      </c>
      <c r="L271" s="3">
        <v>1E-3</v>
      </c>
      <c r="M271" s="3">
        <f t="shared" si="28"/>
        <v>0.155</v>
      </c>
      <c r="N271" s="5"/>
      <c r="O271" s="5"/>
      <c r="P271" s="5"/>
      <c r="Q271" s="5"/>
      <c r="R271" s="1"/>
      <c r="S271" s="3" t="s">
        <v>168</v>
      </c>
      <c r="T271" s="3">
        <v>0.9</v>
      </c>
      <c r="U271" s="3">
        <v>0.5</v>
      </c>
      <c r="V271" s="3">
        <v>0.6</v>
      </c>
      <c r="W271" s="3">
        <v>0.3</v>
      </c>
      <c r="X271" s="7">
        <v>657.15277100000003</v>
      </c>
      <c r="Y271" s="3">
        <v>2E-3</v>
      </c>
      <c r="AA271" s="3" t="s">
        <v>168</v>
      </c>
      <c r="AB271" s="3">
        <v>0.17</v>
      </c>
      <c r="AC271" s="6">
        <v>637.89855999999997</v>
      </c>
      <c r="AD271" s="3">
        <v>0</v>
      </c>
      <c r="AE271" s="3">
        <f t="shared" si="29"/>
        <v>0.23499999999999999</v>
      </c>
      <c r="AF271" s="5"/>
      <c r="AG271" s="5"/>
      <c r="AH271" s="5"/>
      <c r="AI271" s="5"/>
      <c r="AJ271" s="1"/>
      <c r="AK271" s="3" t="s">
        <v>169</v>
      </c>
      <c r="AL271" s="3">
        <v>0.9</v>
      </c>
      <c r="AM271" s="3">
        <v>0.5</v>
      </c>
      <c r="AN271" s="3">
        <v>0.6</v>
      </c>
      <c r="AO271" s="3">
        <v>0.3</v>
      </c>
      <c r="AP271" s="7">
        <v>1000.102356</v>
      </c>
      <c r="AQ271" s="3">
        <v>8.0000000000000002E-3</v>
      </c>
      <c r="AS271" s="3" t="s">
        <v>169</v>
      </c>
      <c r="AT271" s="3">
        <v>0.21</v>
      </c>
      <c r="AU271" s="6">
        <v>958.50897199999997</v>
      </c>
      <c r="AV271" s="3">
        <v>1E-3</v>
      </c>
      <c r="AW271" s="3">
        <f t="shared" si="30"/>
        <v>0.255</v>
      </c>
      <c r="AX271" s="5"/>
      <c r="AY271" s="5"/>
      <c r="AZ271" s="5"/>
      <c r="BA271" s="5"/>
      <c r="BB271" s="1"/>
      <c r="BC271" s="3" t="s">
        <v>169</v>
      </c>
      <c r="BD271" s="3">
        <v>0.9</v>
      </c>
      <c r="BE271" s="3">
        <v>0.5</v>
      </c>
      <c r="BF271" s="3">
        <v>0.6</v>
      </c>
      <c r="BG271" s="3">
        <v>0.3</v>
      </c>
      <c r="BH271" s="6">
        <v>989.870361</v>
      </c>
      <c r="BI271" s="3">
        <v>5.0000000000000001E-3</v>
      </c>
      <c r="BK271" s="3" t="s">
        <v>169</v>
      </c>
      <c r="BL271" s="3">
        <v>0.9</v>
      </c>
      <c r="BM271" s="7">
        <v>1119.4539789999999</v>
      </c>
      <c r="BN271" s="3">
        <v>1E-3</v>
      </c>
      <c r="BO271" s="3">
        <f t="shared" si="31"/>
        <v>0.6</v>
      </c>
    </row>
    <row r="272" spans="1:67" x14ac:dyDescent="0.3">
      <c r="A272" s="3" t="s">
        <v>170</v>
      </c>
      <c r="B272" s="3">
        <v>0.9</v>
      </c>
      <c r="C272" s="3">
        <v>0.5</v>
      </c>
      <c r="D272" s="3">
        <v>0.6</v>
      </c>
      <c r="E272" s="3">
        <v>0.3</v>
      </c>
      <c r="F272" s="6">
        <v>699.19152799999995</v>
      </c>
      <c r="G272" s="3">
        <v>3.0000000000000001E-3</v>
      </c>
      <c r="I272" s="3" t="s">
        <v>170</v>
      </c>
      <c r="J272" s="3">
        <v>0.99</v>
      </c>
      <c r="K272" s="7">
        <v>763.49792500000001</v>
      </c>
      <c r="L272" s="3">
        <v>0</v>
      </c>
      <c r="M272" s="3">
        <f t="shared" si="28"/>
        <v>0.64500000000000002</v>
      </c>
      <c r="N272" s="5"/>
      <c r="O272" s="5"/>
      <c r="P272" s="5"/>
      <c r="Q272" s="5"/>
      <c r="R272" s="1"/>
      <c r="S272" s="3" t="s">
        <v>170</v>
      </c>
      <c r="T272" s="3">
        <v>0.9</v>
      </c>
      <c r="U272" s="3">
        <v>0.5</v>
      </c>
      <c r="V272" s="3">
        <v>0.6</v>
      </c>
      <c r="W272" s="3">
        <v>0.3</v>
      </c>
      <c r="X272" s="6">
        <v>678.58715800000004</v>
      </c>
      <c r="Y272" s="3">
        <v>2E-3</v>
      </c>
      <c r="AA272" s="3" t="s">
        <v>170</v>
      </c>
      <c r="AB272" s="3">
        <v>0.48</v>
      </c>
      <c r="AC272" s="7">
        <v>696.62445100000002</v>
      </c>
      <c r="AD272" s="3">
        <v>0</v>
      </c>
      <c r="AE272" s="3">
        <f t="shared" si="29"/>
        <v>0.39</v>
      </c>
      <c r="AF272" s="5"/>
      <c r="AG272" s="5"/>
      <c r="AH272" s="5"/>
      <c r="AI272" s="5"/>
      <c r="AJ272" s="1"/>
      <c r="AK272" s="3" t="s">
        <v>171</v>
      </c>
      <c r="AL272" s="3">
        <v>0.9</v>
      </c>
      <c r="AM272" s="3">
        <v>0.5</v>
      </c>
      <c r="AN272" s="3">
        <v>0.6</v>
      </c>
      <c r="AO272" s="3">
        <v>0.3</v>
      </c>
      <c r="AP272" s="6">
        <v>935.05474900000002</v>
      </c>
      <c r="AQ272" s="3">
        <v>8.9999999999999993E-3</v>
      </c>
      <c r="AS272" s="3" t="s">
        <v>171</v>
      </c>
      <c r="AT272" s="3">
        <v>0.48</v>
      </c>
      <c r="AU272" s="7">
        <v>1016.984253</v>
      </c>
      <c r="AV272" s="3">
        <v>1E-3</v>
      </c>
      <c r="AW272" s="3">
        <f t="shared" si="30"/>
        <v>0.39</v>
      </c>
      <c r="AX272" s="5"/>
      <c r="AY272" s="5"/>
      <c r="AZ272" s="5"/>
      <c r="BA272" s="5"/>
      <c r="BB272" s="1"/>
      <c r="BC272" s="3" t="s">
        <v>171</v>
      </c>
      <c r="BD272" s="3">
        <v>0.9</v>
      </c>
      <c r="BE272" s="3">
        <v>0.5</v>
      </c>
      <c r="BF272" s="3">
        <v>0.6</v>
      </c>
      <c r="BG272" s="3">
        <v>0.3</v>
      </c>
      <c r="BH272" s="6">
        <v>882.70043899999996</v>
      </c>
      <c r="BI272" s="3">
        <v>5.0000000000000001E-3</v>
      </c>
      <c r="BK272" s="3" t="s">
        <v>171</v>
      </c>
      <c r="BL272" s="3">
        <v>0.6</v>
      </c>
      <c r="BM272" s="7">
        <v>1034.757568</v>
      </c>
      <c r="BN272" s="3">
        <v>1E-3</v>
      </c>
      <c r="BO272" s="3">
        <f t="shared" si="31"/>
        <v>0.44999999999999996</v>
      </c>
    </row>
    <row r="273" spans="1:67" x14ac:dyDescent="0.3">
      <c r="A273" s="3" t="s">
        <v>172</v>
      </c>
      <c r="B273" s="3">
        <v>0.9</v>
      </c>
      <c r="C273" s="3">
        <v>0.5</v>
      </c>
      <c r="D273" s="3">
        <v>0.6</v>
      </c>
      <c r="E273" s="3">
        <v>0.3</v>
      </c>
      <c r="F273" s="6">
        <v>672.48913600000003</v>
      </c>
      <c r="G273" s="3">
        <v>2E-3</v>
      </c>
      <c r="I273" s="3" t="s">
        <v>172</v>
      </c>
      <c r="J273" s="3">
        <v>0.53</v>
      </c>
      <c r="K273" s="7">
        <v>713.35730000000001</v>
      </c>
      <c r="L273" s="3">
        <v>0</v>
      </c>
      <c r="M273" s="3">
        <f t="shared" si="28"/>
        <v>0.41500000000000004</v>
      </c>
      <c r="N273" s="5"/>
      <c r="O273" s="5"/>
      <c r="P273" s="5"/>
      <c r="Q273" s="5"/>
      <c r="R273" s="1"/>
      <c r="S273" s="3" t="s">
        <v>172</v>
      </c>
      <c r="T273" s="3">
        <v>0.9</v>
      </c>
      <c r="U273" s="3">
        <v>0.5</v>
      </c>
      <c r="V273" s="3">
        <v>0.6</v>
      </c>
      <c r="W273" s="3">
        <v>0.3</v>
      </c>
      <c r="X273" s="6">
        <v>655.62994400000002</v>
      </c>
      <c r="Y273" s="3">
        <v>2E-3</v>
      </c>
      <c r="AA273" s="3" t="s">
        <v>172</v>
      </c>
      <c r="AB273" s="3">
        <v>0.7</v>
      </c>
      <c r="AC273" s="7">
        <v>717.37640399999998</v>
      </c>
      <c r="AD273" s="3">
        <v>0</v>
      </c>
      <c r="AE273" s="3">
        <f t="shared" si="29"/>
        <v>0.5</v>
      </c>
      <c r="AF273" s="5"/>
      <c r="AG273" s="5"/>
      <c r="AH273" s="5"/>
      <c r="AI273" s="5"/>
      <c r="AJ273" s="1"/>
      <c r="AK273" s="3" t="s">
        <v>173</v>
      </c>
      <c r="AL273" s="3">
        <v>0.9</v>
      </c>
      <c r="AM273" s="3">
        <v>0.5</v>
      </c>
      <c r="AN273" s="3">
        <v>0.6</v>
      </c>
      <c r="AO273" s="3">
        <v>0.3</v>
      </c>
      <c r="AP273" s="6">
        <v>980.75146500000005</v>
      </c>
      <c r="AQ273" s="3">
        <v>8.9999999999999993E-3</v>
      </c>
      <c r="AS273" s="3" t="s">
        <v>173</v>
      </c>
      <c r="AT273" s="3">
        <v>0.47</v>
      </c>
      <c r="AU273" s="7">
        <v>1096.134033</v>
      </c>
      <c r="AV273" s="3">
        <v>1E-3</v>
      </c>
      <c r="AW273" s="3">
        <f t="shared" si="30"/>
        <v>0.38500000000000001</v>
      </c>
      <c r="AX273" s="5"/>
      <c r="AY273" s="5"/>
      <c r="AZ273" s="5"/>
      <c r="BA273" s="5"/>
      <c r="BB273" s="1"/>
      <c r="BC273" s="3" t="s">
        <v>173</v>
      </c>
      <c r="BD273" s="3">
        <v>0.9</v>
      </c>
      <c r="BE273" s="3">
        <v>0.5</v>
      </c>
      <c r="BF273" s="3">
        <v>0.6</v>
      </c>
      <c r="BG273" s="3">
        <v>0.3</v>
      </c>
      <c r="BH273" s="6">
        <v>994.211365</v>
      </c>
      <c r="BI273" s="3">
        <v>7.0000000000000001E-3</v>
      </c>
      <c r="BK273" s="3" t="s">
        <v>173</v>
      </c>
      <c r="BL273" s="3">
        <v>0.8</v>
      </c>
      <c r="BM273" s="7">
        <v>1193.084961</v>
      </c>
      <c r="BN273" s="3">
        <v>1E-3</v>
      </c>
      <c r="BO273" s="3">
        <f t="shared" si="31"/>
        <v>0.55000000000000004</v>
      </c>
    </row>
    <row r="274" spans="1:67" x14ac:dyDescent="0.3">
      <c r="A274" s="3" t="s">
        <v>174</v>
      </c>
      <c r="B274" s="3">
        <v>0.9</v>
      </c>
      <c r="C274" s="3">
        <v>0.5</v>
      </c>
      <c r="D274" s="3">
        <v>0.6</v>
      </c>
      <c r="E274" s="3">
        <v>0.3</v>
      </c>
      <c r="F274" s="7">
        <v>670.67425500000002</v>
      </c>
      <c r="G274" s="3">
        <v>1E-3</v>
      </c>
      <c r="I274" s="3" t="s">
        <v>174</v>
      </c>
      <c r="J274" s="3">
        <v>0.2</v>
      </c>
      <c r="K274" s="6">
        <v>666.761169</v>
      </c>
      <c r="L274" s="3">
        <v>0</v>
      </c>
      <c r="M274" s="3">
        <f t="shared" si="28"/>
        <v>0.25</v>
      </c>
      <c r="N274" s="5"/>
      <c r="O274" s="5"/>
      <c r="P274" s="5"/>
      <c r="Q274" s="5"/>
      <c r="R274" s="1"/>
      <c r="S274" s="3" t="s">
        <v>174</v>
      </c>
      <c r="T274" s="3">
        <v>0.9</v>
      </c>
      <c r="U274" s="3">
        <v>0.5</v>
      </c>
      <c r="V274" s="3">
        <v>0.6</v>
      </c>
      <c r="W274" s="3">
        <v>0.3</v>
      </c>
      <c r="X274" s="6">
        <v>673.00030500000003</v>
      </c>
      <c r="Y274" s="3">
        <v>3.0000000000000001E-3</v>
      </c>
      <c r="AA274" s="3" t="s">
        <v>174</v>
      </c>
      <c r="AB274" s="3">
        <v>0.85</v>
      </c>
      <c r="AC274" s="7">
        <v>752.43420400000002</v>
      </c>
      <c r="AD274" s="3">
        <v>0</v>
      </c>
      <c r="AE274" s="3">
        <f t="shared" si="29"/>
        <v>0.57499999999999996</v>
      </c>
      <c r="AF274" s="5"/>
      <c r="AG274" s="5"/>
      <c r="AH274" s="5"/>
      <c r="AI274" s="5"/>
      <c r="AJ274" s="1"/>
      <c r="AK274" s="3" t="s">
        <v>175</v>
      </c>
      <c r="AL274" s="3">
        <v>0.9</v>
      </c>
      <c r="AM274" s="3">
        <v>0.5</v>
      </c>
      <c r="AN274" s="3">
        <v>0.6</v>
      </c>
      <c r="AO274" s="3">
        <v>0.3</v>
      </c>
      <c r="AP274" s="6">
        <v>985.865906</v>
      </c>
      <c r="AQ274" s="3">
        <v>8.0000000000000002E-3</v>
      </c>
      <c r="AS274" s="3" t="s">
        <v>175</v>
      </c>
      <c r="AT274" s="3">
        <v>0.86</v>
      </c>
      <c r="AU274" s="7">
        <v>1204.193115</v>
      </c>
      <c r="AV274" s="3">
        <v>1E-3</v>
      </c>
      <c r="AW274" s="3">
        <f t="shared" si="30"/>
        <v>0.57999999999999996</v>
      </c>
      <c r="AX274" s="5"/>
      <c r="AY274" s="5"/>
      <c r="AZ274" s="5"/>
      <c r="BA274" s="5"/>
      <c r="BB274" s="1"/>
      <c r="BC274" s="3" t="s">
        <v>175</v>
      </c>
      <c r="BD274" s="3">
        <v>0.9</v>
      </c>
      <c r="BE274" s="3">
        <v>0.5</v>
      </c>
      <c r="BF274" s="3">
        <v>0.6</v>
      </c>
      <c r="BG274" s="3">
        <v>0.3</v>
      </c>
      <c r="BH274" s="6">
        <v>968.78832999999997</v>
      </c>
      <c r="BI274" s="3">
        <v>8.0000000000000002E-3</v>
      </c>
      <c r="BK274" s="3" t="s">
        <v>175</v>
      </c>
      <c r="BL274" s="3">
        <v>0.87</v>
      </c>
      <c r="BM274" s="7">
        <v>1234.680664</v>
      </c>
      <c r="BN274" s="3">
        <v>2E-3</v>
      </c>
      <c r="BO274" s="3">
        <f t="shared" si="31"/>
        <v>0.58499999999999996</v>
      </c>
    </row>
    <row r="275" spans="1:67" x14ac:dyDescent="0.3">
      <c r="A275" s="3" t="s">
        <v>176</v>
      </c>
      <c r="B275" s="3">
        <v>0.9</v>
      </c>
      <c r="C275" s="3">
        <v>0.5</v>
      </c>
      <c r="D275" s="3">
        <v>0.6</v>
      </c>
      <c r="E275" s="3">
        <v>0.3</v>
      </c>
      <c r="F275" s="7">
        <v>695.13195800000005</v>
      </c>
      <c r="G275" s="3">
        <v>2E-3</v>
      </c>
      <c r="I275" s="3" t="s">
        <v>176</v>
      </c>
      <c r="J275" s="3">
        <v>0.24</v>
      </c>
      <c r="K275" s="6">
        <v>677.50622599999997</v>
      </c>
      <c r="L275" s="3">
        <v>1E-3</v>
      </c>
      <c r="M275" s="3">
        <f t="shared" si="28"/>
        <v>0.27</v>
      </c>
      <c r="N275" s="5"/>
      <c r="O275" s="5"/>
      <c r="P275" s="5"/>
      <c r="Q275" s="5"/>
      <c r="R275" s="1"/>
      <c r="S275" s="3" t="s">
        <v>176</v>
      </c>
      <c r="T275" s="3">
        <v>0.9</v>
      </c>
      <c r="U275" s="3">
        <v>0.5</v>
      </c>
      <c r="V275" s="3">
        <v>0.6</v>
      </c>
      <c r="W275" s="3">
        <v>0.3</v>
      </c>
      <c r="X275" s="6">
        <v>692.47045900000001</v>
      </c>
      <c r="Y275" s="3">
        <v>2E-3</v>
      </c>
      <c r="AA275" s="3" t="s">
        <v>176</v>
      </c>
      <c r="AB275" s="3">
        <v>0.71</v>
      </c>
      <c r="AC275" s="7">
        <v>768.14434800000004</v>
      </c>
      <c r="AD275" s="3">
        <v>1E-3</v>
      </c>
      <c r="AE275" s="3">
        <f t="shared" si="29"/>
        <v>0.505</v>
      </c>
      <c r="AF275" s="5"/>
      <c r="AG275" s="5"/>
      <c r="AH275" s="5"/>
      <c r="AI275" s="5"/>
      <c r="AJ275" s="1"/>
      <c r="AK275" s="3" t="s">
        <v>177</v>
      </c>
      <c r="AL275" s="3">
        <v>0.9</v>
      </c>
      <c r="AM275" s="3">
        <v>0.5</v>
      </c>
      <c r="AN275" s="3">
        <v>0.6</v>
      </c>
      <c r="AO275" s="3">
        <v>0.3</v>
      </c>
      <c r="AP275" s="6">
        <v>1085.953857</v>
      </c>
      <c r="AQ275" s="3">
        <v>8.9999999999999993E-3</v>
      </c>
      <c r="AS275" s="3" t="s">
        <v>177</v>
      </c>
      <c r="AT275" s="3">
        <v>0.93</v>
      </c>
      <c r="AU275" s="7">
        <v>1379.149414</v>
      </c>
      <c r="AV275" s="3">
        <v>1E-3</v>
      </c>
      <c r="AW275" s="3">
        <f t="shared" si="30"/>
        <v>0.61499999999999999</v>
      </c>
      <c r="AX275" s="5"/>
      <c r="AY275" s="5"/>
      <c r="AZ275" s="5"/>
      <c r="BA275" s="5"/>
      <c r="BB275" s="1"/>
      <c r="BC275" s="3" t="s">
        <v>177</v>
      </c>
      <c r="BD275" s="3">
        <v>0.9</v>
      </c>
      <c r="BE275" s="3">
        <v>0.5</v>
      </c>
      <c r="BF275" s="3">
        <v>0.6</v>
      </c>
      <c r="BG275" s="3">
        <v>0.3</v>
      </c>
      <c r="BH275" s="6">
        <v>1102.1328120000001</v>
      </c>
      <c r="BI275" s="3">
        <v>7.0000000000000001E-3</v>
      </c>
      <c r="BK275" s="3" t="s">
        <v>177</v>
      </c>
      <c r="BL275" s="3">
        <v>0.67</v>
      </c>
      <c r="BM275" s="7">
        <v>1291.6480710000001</v>
      </c>
      <c r="BN275" s="3">
        <v>1E-3</v>
      </c>
      <c r="BO275" s="3">
        <f t="shared" si="31"/>
        <v>0.48499999999999999</v>
      </c>
    </row>
    <row r="276" spans="1:67" x14ac:dyDescent="0.3">
      <c r="A276" s="3" t="s">
        <v>178</v>
      </c>
      <c r="B276" s="3">
        <v>0.9</v>
      </c>
      <c r="C276" s="3">
        <v>0.5</v>
      </c>
      <c r="D276" s="3">
        <v>0.6</v>
      </c>
      <c r="E276" s="3">
        <v>0.3</v>
      </c>
      <c r="F276" s="6">
        <v>679.95544400000006</v>
      </c>
      <c r="G276" s="3">
        <v>1E-3</v>
      </c>
      <c r="I276" s="3" t="s">
        <v>178</v>
      </c>
      <c r="J276" s="3">
        <v>0.66</v>
      </c>
      <c r="K276" s="7">
        <v>768.37493900000004</v>
      </c>
      <c r="L276" s="3">
        <v>0</v>
      </c>
      <c r="M276" s="3">
        <f t="shared" si="28"/>
        <v>0.48</v>
      </c>
      <c r="N276" s="5"/>
      <c r="O276" s="5"/>
      <c r="P276" s="5"/>
      <c r="Q276" s="5"/>
      <c r="R276" s="1"/>
      <c r="S276" s="3" t="s">
        <v>178</v>
      </c>
      <c r="T276" s="3">
        <v>0.9</v>
      </c>
      <c r="U276" s="3">
        <v>0.5</v>
      </c>
      <c r="V276" s="3">
        <v>0.6</v>
      </c>
      <c r="W276" s="3">
        <v>0.3</v>
      </c>
      <c r="X276" s="6">
        <v>673.79382299999997</v>
      </c>
      <c r="Y276" s="3">
        <v>2E-3</v>
      </c>
      <c r="AA276" s="3" t="s">
        <v>178</v>
      </c>
      <c r="AB276" s="3">
        <v>0.63</v>
      </c>
      <c r="AC276" s="7">
        <v>751.09350600000005</v>
      </c>
      <c r="AD276" s="3">
        <v>0</v>
      </c>
      <c r="AE276" s="3">
        <f t="shared" si="29"/>
        <v>0.46499999999999997</v>
      </c>
      <c r="AF276" s="5"/>
      <c r="AG276" s="5"/>
      <c r="AH276" s="5"/>
      <c r="AI276" s="5"/>
      <c r="AJ276" s="1"/>
      <c r="AK276" s="3" t="s">
        <v>179</v>
      </c>
      <c r="AL276" s="3">
        <v>0.9</v>
      </c>
      <c r="AM276" s="3">
        <v>0.5</v>
      </c>
      <c r="AN276" s="3">
        <v>0.6</v>
      </c>
      <c r="AO276" s="3">
        <v>0.3</v>
      </c>
      <c r="AP276" s="6">
        <v>1053.384888</v>
      </c>
      <c r="AQ276" s="3">
        <v>8.0000000000000002E-3</v>
      </c>
      <c r="AS276" s="3" t="s">
        <v>179</v>
      </c>
      <c r="AT276" s="3">
        <v>0.67</v>
      </c>
      <c r="AU276" s="7">
        <v>1223.657837</v>
      </c>
      <c r="AV276" s="3">
        <v>2E-3</v>
      </c>
      <c r="AW276" s="3">
        <f t="shared" si="30"/>
        <v>0.48499999999999999</v>
      </c>
      <c r="AX276" s="5"/>
      <c r="AY276" s="5"/>
      <c r="AZ276" s="5"/>
      <c r="BA276" s="5"/>
      <c r="BB276" s="1"/>
      <c r="BC276" s="3" t="s">
        <v>179</v>
      </c>
      <c r="BD276" s="3">
        <v>0.9</v>
      </c>
      <c r="BE276" s="3">
        <v>0.5</v>
      </c>
      <c r="BF276" s="3">
        <v>0.6</v>
      </c>
      <c r="BG276" s="3">
        <v>0.3</v>
      </c>
      <c r="BH276" s="6">
        <v>1040.7761230000001</v>
      </c>
      <c r="BI276" s="3">
        <v>7.0000000000000001E-3</v>
      </c>
      <c r="BK276" s="3" t="s">
        <v>179</v>
      </c>
      <c r="BL276" s="3">
        <v>0.48</v>
      </c>
      <c r="BM276" s="7">
        <v>1140.44165</v>
      </c>
      <c r="BN276" s="3">
        <v>1E-3</v>
      </c>
      <c r="BO276" s="3">
        <f t="shared" si="31"/>
        <v>0.39</v>
      </c>
    </row>
    <row r="277" spans="1:67" x14ac:dyDescent="0.3">
      <c r="A277" s="3" t="s">
        <v>180</v>
      </c>
      <c r="B277" s="3">
        <v>0.9</v>
      </c>
      <c r="C277" s="3">
        <v>0.5</v>
      </c>
      <c r="D277" s="3">
        <v>0.6</v>
      </c>
      <c r="E277" s="3">
        <v>0.3</v>
      </c>
      <c r="F277" s="7">
        <v>681.17511000000002</v>
      </c>
      <c r="G277" s="3">
        <v>2E-3</v>
      </c>
      <c r="I277" s="3" t="s">
        <v>180</v>
      </c>
      <c r="J277" s="3">
        <v>0.05</v>
      </c>
      <c r="K277" s="6">
        <v>649.26220699999999</v>
      </c>
      <c r="L277" s="3">
        <v>0</v>
      </c>
      <c r="M277" s="3">
        <f t="shared" si="28"/>
        <v>0.17499999999999999</v>
      </c>
      <c r="N277" s="5"/>
      <c r="O277" s="5"/>
      <c r="P277" s="5"/>
      <c r="Q277" s="5"/>
      <c r="R277" s="1"/>
      <c r="S277" s="3" t="s">
        <v>180</v>
      </c>
      <c r="T277" s="3">
        <v>0.9</v>
      </c>
      <c r="U277" s="3">
        <v>0.5</v>
      </c>
      <c r="V277" s="3">
        <v>0.6</v>
      </c>
      <c r="W277" s="3">
        <v>0.3</v>
      </c>
      <c r="X277" s="6">
        <v>676.91803000000004</v>
      </c>
      <c r="Y277" s="3">
        <v>2E-3</v>
      </c>
      <c r="AA277" s="3" t="s">
        <v>180</v>
      </c>
      <c r="AB277" s="3">
        <v>0.49</v>
      </c>
      <c r="AC277" s="7">
        <v>714.88970900000004</v>
      </c>
      <c r="AD277" s="3">
        <v>1E-3</v>
      </c>
      <c r="AE277" s="3">
        <f t="shared" si="29"/>
        <v>0.39500000000000002</v>
      </c>
      <c r="AF277" s="5"/>
      <c r="AG277" s="5"/>
      <c r="AH277" s="5"/>
      <c r="AI277" s="5"/>
      <c r="AJ277" s="1"/>
      <c r="AK277" s="3" t="s">
        <v>181</v>
      </c>
      <c r="AL277" s="3">
        <v>0.9</v>
      </c>
      <c r="AM277" s="3">
        <v>0.5</v>
      </c>
      <c r="AN277" s="3">
        <v>0.6</v>
      </c>
      <c r="AO277" s="3">
        <v>0.3</v>
      </c>
      <c r="AP277" s="7">
        <v>1065.596436</v>
      </c>
      <c r="AQ277" s="3">
        <v>7.0000000000000001E-3</v>
      </c>
      <c r="AS277" s="3" t="s">
        <v>181</v>
      </c>
      <c r="AT277" s="3">
        <v>0.02</v>
      </c>
      <c r="AU277" s="6">
        <v>829.44000200000005</v>
      </c>
      <c r="AV277" s="3">
        <v>0</v>
      </c>
      <c r="AW277" s="3">
        <f t="shared" si="30"/>
        <v>0.16</v>
      </c>
      <c r="AX277" s="5"/>
      <c r="AY277" s="5"/>
      <c r="AZ277" s="5"/>
      <c r="BA277" s="5"/>
      <c r="BB277" s="1"/>
      <c r="BC277" s="3" t="s">
        <v>181</v>
      </c>
      <c r="BD277" s="3">
        <v>0.9</v>
      </c>
      <c r="BE277" s="3">
        <v>0.5</v>
      </c>
      <c r="BF277" s="3">
        <v>0.6</v>
      </c>
      <c r="BG277" s="3">
        <v>0.3</v>
      </c>
      <c r="BH277" s="7">
        <v>1031.7326660000001</v>
      </c>
      <c r="BI277" s="3">
        <v>7.0000000000000001E-3</v>
      </c>
      <c r="BK277" s="3" t="s">
        <v>181</v>
      </c>
      <c r="BL277" s="3">
        <v>0.04</v>
      </c>
      <c r="BM277" s="6">
        <v>819.45245399999999</v>
      </c>
      <c r="BN277" s="3">
        <v>1E-3</v>
      </c>
      <c r="BO277" s="3">
        <f t="shared" si="31"/>
        <v>0.16999999999999998</v>
      </c>
    </row>
    <row r="278" spans="1:67" x14ac:dyDescent="0.3">
      <c r="A278" s="3" t="s">
        <v>182</v>
      </c>
      <c r="B278" s="3">
        <v>0.9</v>
      </c>
      <c r="C278" s="3">
        <v>0.5</v>
      </c>
      <c r="D278" s="3">
        <v>0.6</v>
      </c>
      <c r="E278" s="3">
        <v>0.3</v>
      </c>
      <c r="F278" s="7">
        <v>628.23889199999996</v>
      </c>
      <c r="G278" s="3">
        <v>2E-3</v>
      </c>
      <c r="I278" s="3" t="s">
        <v>182</v>
      </c>
      <c r="J278" s="3">
        <v>0.18</v>
      </c>
      <c r="K278" s="6">
        <v>613.44708300000002</v>
      </c>
      <c r="L278" s="3">
        <v>0</v>
      </c>
      <c r="M278" s="3">
        <f t="shared" si="28"/>
        <v>0.24</v>
      </c>
      <c r="N278" s="5"/>
      <c r="O278" s="5"/>
      <c r="P278" s="5"/>
      <c r="Q278" s="5"/>
      <c r="R278" s="1"/>
      <c r="S278" s="3" t="s">
        <v>182</v>
      </c>
      <c r="T278" s="3">
        <v>0.9</v>
      </c>
      <c r="U278" s="3">
        <v>0.5</v>
      </c>
      <c r="V278" s="3">
        <v>0.6</v>
      </c>
      <c r="W278" s="3">
        <v>0.3</v>
      </c>
      <c r="X278" s="7">
        <v>647.35906999999997</v>
      </c>
      <c r="Y278" s="3">
        <v>2E-3</v>
      </c>
      <c r="AA278" s="3" t="s">
        <v>182</v>
      </c>
      <c r="AB278" s="3">
        <v>0.2</v>
      </c>
      <c r="AC278" s="6">
        <v>605.72442599999999</v>
      </c>
      <c r="AD278" s="3">
        <v>0</v>
      </c>
      <c r="AE278" s="3">
        <f t="shared" si="29"/>
        <v>0.25</v>
      </c>
      <c r="AF278" s="5"/>
      <c r="AG278" s="5"/>
      <c r="AH278" s="5"/>
      <c r="AI278" s="5"/>
      <c r="AJ278" s="1"/>
      <c r="AK278" s="3" t="s">
        <v>183</v>
      </c>
      <c r="AL278" s="3">
        <v>0.9</v>
      </c>
      <c r="AM278" s="3">
        <v>0.5</v>
      </c>
      <c r="AN278" s="3">
        <v>0.6</v>
      </c>
      <c r="AO278" s="3">
        <v>0.3</v>
      </c>
      <c r="AP278" s="6">
        <v>1057.515625</v>
      </c>
      <c r="AQ278" s="3">
        <v>1.0999999999999999E-2</v>
      </c>
      <c r="AS278" s="3" t="s">
        <v>183</v>
      </c>
      <c r="AT278" s="3">
        <v>0.9</v>
      </c>
      <c r="AU278" s="7">
        <v>1243.6417240000001</v>
      </c>
      <c r="AV278" s="3">
        <v>1E-3</v>
      </c>
      <c r="AW278" s="3">
        <f t="shared" si="30"/>
        <v>0.6</v>
      </c>
      <c r="AX278" s="5"/>
      <c r="AY278" s="5"/>
      <c r="AZ278" s="5"/>
      <c r="BA278" s="5"/>
      <c r="BB278" s="1"/>
      <c r="BC278" s="3" t="s">
        <v>183</v>
      </c>
      <c r="BD278" s="3">
        <v>0.9</v>
      </c>
      <c r="BE278" s="3">
        <v>0.5</v>
      </c>
      <c r="BF278" s="3">
        <v>0.6</v>
      </c>
      <c r="BG278" s="3">
        <v>0.3</v>
      </c>
      <c r="BH278" s="7">
        <v>1067.8366699999999</v>
      </c>
      <c r="BI278" s="3">
        <v>7.0000000000000001E-3</v>
      </c>
      <c r="BK278" s="3" t="s">
        <v>183</v>
      </c>
      <c r="BL278" s="3">
        <v>0.12</v>
      </c>
      <c r="BM278" s="6">
        <v>972.30029300000001</v>
      </c>
      <c r="BN278" s="3">
        <v>1E-3</v>
      </c>
      <c r="BO278" s="3">
        <f t="shared" si="31"/>
        <v>0.21</v>
      </c>
    </row>
    <row r="279" spans="1:67" x14ac:dyDescent="0.3">
      <c r="A279" s="3" t="s">
        <v>184</v>
      </c>
      <c r="B279" s="3">
        <v>0.9</v>
      </c>
      <c r="C279" s="3">
        <v>0.5</v>
      </c>
      <c r="D279" s="3">
        <v>0.6</v>
      </c>
      <c r="E279" s="3">
        <v>0.3</v>
      </c>
      <c r="F279" s="6">
        <v>639.90045199999997</v>
      </c>
      <c r="G279" s="3">
        <v>2E-3</v>
      </c>
      <c r="I279" s="3" t="s">
        <v>184</v>
      </c>
      <c r="J279" s="3">
        <v>0.33</v>
      </c>
      <c r="K279" s="7">
        <v>651.03527799999995</v>
      </c>
      <c r="L279" s="3">
        <v>1E-3</v>
      </c>
      <c r="M279" s="3">
        <f t="shared" si="28"/>
        <v>0.315</v>
      </c>
      <c r="N279" s="5"/>
      <c r="O279" s="5"/>
      <c r="P279" s="5"/>
      <c r="Q279" s="5"/>
      <c r="R279" s="1"/>
      <c r="S279" s="3" t="s">
        <v>184</v>
      </c>
      <c r="T279" s="3">
        <v>0.9</v>
      </c>
      <c r="U279" s="3">
        <v>0.5</v>
      </c>
      <c r="V279" s="3">
        <v>0.6</v>
      </c>
      <c r="W279" s="3">
        <v>0.3</v>
      </c>
      <c r="X279" s="6">
        <v>644.26946999999996</v>
      </c>
      <c r="Y279" s="3">
        <v>2E-3</v>
      </c>
      <c r="AA279" s="3" t="s">
        <v>184</v>
      </c>
      <c r="AB279" s="3">
        <v>0.79</v>
      </c>
      <c r="AC279" s="7">
        <v>706.49169900000004</v>
      </c>
      <c r="AD279" s="3">
        <v>0</v>
      </c>
      <c r="AE279" s="3">
        <f t="shared" si="29"/>
        <v>0.54500000000000004</v>
      </c>
      <c r="AF279" s="5"/>
      <c r="AG279" s="5"/>
      <c r="AH279" s="5"/>
      <c r="AI279" s="5"/>
      <c r="AJ279" s="1"/>
      <c r="AK279" s="3" t="s">
        <v>185</v>
      </c>
      <c r="AL279" s="3">
        <v>0.9</v>
      </c>
      <c r="AM279" s="3">
        <v>0.5</v>
      </c>
      <c r="AN279" s="3">
        <v>0.6</v>
      </c>
      <c r="AO279" s="3">
        <v>0.3</v>
      </c>
      <c r="AP279" s="6">
        <v>1029.994751</v>
      </c>
      <c r="AQ279" s="3">
        <v>1.2999999999999999E-2</v>
      </c>
      <c r="AS279" s="3" t="s">
        <v>185</v>
      </c>
      <c r="AT279" s="3">
        <v>0.37</v>
      </c>
      <c r="AU279" s="7">
        <v>1079.009399</v>
      </c>
      <c r="AV279" s="3">
        <v>1E-3</v>
      </c>
      <c r="AW279" s="3">
        <f t="shared" si="30"/>
        <v>0.33499999999999996</v>
      </c>
      <c r="AX279" s="5"/>
      <c r="AY279" s="5"/>
      <c r="AZ279" s="5"/>
      <c r="BA279" s="5"/>
      <c r="BB279" s="1"/>
      <c r="BC279" s="3" t="s">
        <v>185</v>
      </c>
      <c r="BD279" s="3">
        <v>0.9</v>
      </c>
      <c r="BE279" s="3">
        <v>0.5</v>
      </c>
      <c r="BF279" s="3">
        <v>0.6</v>
      </c>
      <c r="BG279" s="3">
        <v>0.3</v>
      </c>
      <c r="BH279" s="6">
        <v>1023.047791</v>
      </c>
      <c r="BI279" s="3">
        <v>7.0000000000000001E-3</v>
      </c>
      <c r="BK279" s="3" t="s">
        <v>185</v>
      </c>
      <c r="BL279" s="3">
        <v>0.4</v>
      </c>
      <c r="BM279" s="7">
        <v>1073.0512699999999</v>
      </c>
      <c r="BN279" s="3">
        <v>1E-3</v>
      </c>
      <c r="BO279" s="3">
        <f t="shared" si="31"/>
        <v>0.35</v>
      </c>
    </row>
    <row r="280" spans="1:67" x14ac:dyDescent="0.3">
      <c r="A280" s="3" t="s">
        <v>186</v>
      </c>
      <c r="B280" s="3">
        <v>0.9</v>
      </c>
      <c r="C280" s="3">
        <v>0.5</v>
      </c>
      <c r="D280" s="3">
        <v>0.6</v>
      </c>
      <c r="E280" s="3">
        <v>0.3</v>
      </c>
      <c r="F280" s="6">
        <v>760.58868399999994</v>
      </c>
      <c r="G280" s="3">
        <v>2E-3</v>
      </c>
      <c r="I280" s="3" t="s">
        <v>186</v>
      </c>
      <c r="J280" s="3">
        <v>0.72</v>
      </c>
      <c r="K280" s="7">
        <v>888.006348</v>
      </c>
      <c r="L280" s="3">
        <v>0</v>
      </c>
      <c r="M280" s="3">
        <f t="shared" si="28"/>
        <v>0.51</v>
      </c>
      <c r="N280" s="5"/>
      <c r="O280" s="5"/>
      <c r="P280" s="5"/>
      <c r="Q280" s="5"/>
      <c r="R280" s="1"/>
      <c r="S280" s="3" t="s">
        <v>186</v>
      </c>
      <c r="T280" s="3">
        <v>0.9</v>
      </c>
      <c r="U280" s="3">
        <v>0.5</v>
      </c>
      <c r="V280" s="3">
        <v>0.6</v>
      </c>
      <c r="W280" s="3">
        <v>0.3</v>
      </c>
      <c r="X280" s="7">
        <v>758.42913799999997</v>
      </c>
      <c r="Y280" s="3">
        <v>2E-3</v>
      </c>
      <c r="AA280" s="3" t="s">
        <v>186</v>
      </c>
      <c r="AB280" s="3">
        <v>0.28000000000000003</v>
      </c>
      <c r="AC280" s="6">
        <v>731.89331100000004</v>
      </c>
      <c r="AD280" s="3">
        <v>0</v>
      </c>
      <c r="AE280" s="3">
        <f t="shared" si="29"/>
        <v>0.29000000000000004</v>
      </c>
      <c r="AF280" s="5"/>
      <c r="AG280" s="5"/>
      <c r="AH280" s="5"/>
      <c r="AI280" s="5"/>
      <c r="AJ280" s="1"/>
      <c r="AK280" s="3" t="s">
        <v>187</v>
      </c>
      <c r="AL280" s="3">
        <v>0.9</v>
      </c>
      <c r="AM280" s="3">
        <v>0.5</v>
      </c>
      <c r="AN280" s="3">
        <v>0.6</v>
      </c>
      <c r="AO280" s="3">
        <v>0.3</v>
      </c>
      <c r="AP280" s="6">
        <v>1133.8686520000001</v>
      </c>
      <c r="AQ280" s="3">
        <v>1.0999999999999999E-2</v>
      </c>
      <c r="AS280" s="3" t="s">
        <v>187</v>
      </c>
      <c r="AT280" s="3">
        <v>0.32</v>
      </c>
      <c r="AU280" s="7">
        <v>1169.0554199999999</v>
      </c>
      <c r="AV280" s="3">
        <v>1E-3</v>
      </c>
      <c r="AW280" s="3">
        <f t="shared" si="30"/>
        <v>0.31</v>
      </c>
      <c r="AX280" s="5"/>
      <c r="AY280" s="5"/>
      <c r="AZ280" s="5"/>
      <c r="BA280" s="5"/>
      <c r="BB280" s="1"/>
      <c r="BC280" s="3" t="s">
        <v>187</v>
      </c>
      <c r="BD280" s="3">
        <v>0.9</v>
      </c>
      <c r="BE280" s="3">
        <v>0.5</v>
      </c>
      <c r="BF280" s="3">
        <v>0.6</v>
      </c>
      <c r="BG280" s="3">
        <v>0.3</v>
      </c>
      <c r="BH280" s="6">
        <v>1149.111572</v>
      </c>
      <c r="BI280" s="3">
        <v>8.0000000000000002E-3</v>
      </c>
      <c r="BK280" s="3" t="s">
        <v>187</v>
      </c>
      <c r="BL280" s="3">
        <v>0.91</v>
      </c>
      <c r="BM280" s="7">
        <v>1436.6796879999999</v>
      </c>
      <c r="BN280" s="3">
        <v>1E-3</v>
      </c>
      <c r="BO280" s="3">
        <f t="shared" si="31"/>
        <v>0.60499999999999998</v>
      </c>
    </row>
    <row r="281" spans="1:67" x14ac:dyDescent="0.3">
      <c r="A281" s="3" t="s">
        <v>188</v>
      </c>
      <c r="B281" s="3">
        <v>0.9</v>
      </c>
      <c r="C281" s="3">
        <v>0.5</v>
      </c>
      <c r="D281" s="3">
        <v>0.6</v>
      </c>
      <c r="E281" s="3">
        <v>0.3</v>
      </c>
      <c r="F281" s="6">
        <v>695.56366000000003</v>
      </c>
      <c r="G281" s="3">
        <v>2E-3</v>
      </c>
      <c r="I281" s="3" t="s">
        <v>188</v>
      </c>
      <c r="J281" s="3">
        <v>0.88</v>
      </c>
      <c r="K281" s="7">
        <v>824.86614999999995</v>
      </c>
      <c r="L281" s="3">
        <v>0</v>
      </c>
      <c r="M281" s="3">
        <f t="shared" si="28"/>
        <v>0.59</v>
      </c>
      <c r="N281" s="5"/>
      <c r="O281" s="5"/>
      <c r="P281" s="5"/>
      <c r="Q281" s="5"/>
      <c r="R281" s="1"/>
      <c r="S281" s="3" t="s">
        <v>188</v>
      </c>
      <c r="T281" s="3">
        <v>0.9</v>
      </c>
      <c r="U281" s="3">
        <v>0.5</v>
      </c>
      <c r="V281" s="3">
        <v>0.6</v>
      </c>
      <c r="W281" s="3">
        <v>0.3</v>
      </c>
      <c r="X281" s="7">
        <v>674.33642599999996</v>
      </c>
      <c r="Y281" s="3">
        <v>2E-3</v>
      </c>
      <c r="AA281" s="3" t="s">
        <v>188</v>
      </c>
      <c r="AB281" s="3">
        <v>7.0000000000000007E-2</v>
      </c>
      <c r="AC281" s="6">
        <v>650.521118</v>
      </c>
      <c r="AD281" s="3">
        <v>0</v>
      </c>
      <c r="AE281" s="3">
        <f t="shared" si="29"/>
        <v>0.185</v>
      </c>
      <c r="AF281" s="5"/>
      <c r="AG281" s="5"/>
      <c r="AH281" s="5"/>
      <c r="AI281" s="5"/>
      <c r="AJ281" s="1"/>
      <c r="AK281" s="3" t="s">
        <v>189</v>
      </c>
      <c r="AL281" s="3">
        <v>0.9</v>
      </c>
      <c r="AM281" s="3">
        <v>0.5</v>
      </c>
      <c r="AN281" s="3">
        <v>0.6</v>
      </c>
      <c r="AO281" s="3">
        <v>0.3</v>
      </c>
      <c r="AP281" s="6">
        <v>1004.11145</v>
      </c>
      <c r="AQ281" s="3">
        <v>0.01</v>
      </c>
      <c r="AS281" s="3" t="s">
        <v>189</v>
      </c>
      <c r="AT281" s="3">
        <v>0.42</v>
      </c>
      <c r="AU281" s="7">
        <v>1078.397827</v>
      </c>
      <c r="AV281" s="3">
        <v>0</v>
      </c>
      <c r="AW281" s="3">
        <f t="shared" si="30"/>
        <v>0.36</v>
      </c>
      <c r="AX281" s="5"/>
      <c r="AY281" s="5"/>
      <c r="AZ281" s="5"/>
      <c r="BA281" s="5"/>
      <c r="BB281" s="1"/>
      <c r="BC281" s="3" t="s">
        <v>189</v>
      </c>
      <c r="BD281" s="3">
        <v>0.9</v>
      </c>
      <c r="BE281" s="3">
        <v>0.5</v>
      </c>
      <c r="BF281" s="3">
        <v>0.6</v>
      </c>
      <c r="BG281" s="3">
        <v>0.3</v>
      </c>
      <c r="BH281" s="6">
        <v>996.77612299999998</v>
      </c>
      <c r="BI281" s="3">
        <v>6.0000000000000001E-3</v>
      </c>
      <c r="BK281" s="3" t="s">
        <v>189</v>
      </c>
      <c r="BL281" s="3">
        <v>0.84</v>
      </c>
      <c r="BM281" s="7">
        <v>1223.6274410000001</v>
      </c>
      <c r="BN281" s="3">
        <v>1E-3</v>
      </c>
      <c r="BO281" s="3">
        <f t="shared" si="31"/>
        <v>0.56999999999999995</v>
      </c>
    </row>
    <row r="282" spans="1:67" x14ac:dyDescent="0.3">
      <c r="A282" s="3" t="s">
        <v>190</v>
      </c>
      <c r="B282" s="3">
        <v>0.9</v>
      </c>
      <c r="C282" s="3">
        <v>0.5</v>
      </c>
      <c r="D282" s="3">
        <v>0.6</v>
      </c>
      <c r="E282" s="3">
        <v>0.3</v>
      </c>
      <c r="F282" s="6">
        <v>667.17370600000004</v>
      </c>
      <c r="G282" s="3">
        <v>2E-3</v>
      </c>
      <c r="I282" s="3" t="s">
        <v>190</v>
      </c>
      <c r="J282" s="3">
        <v>0.51</v>
      </c>
      <c r="K282" s="7">
        <v>701.89959699999997</v>
      </c>
      <c r="L282" s="3">
        <v>0</v>
      </c>
      <c r="M282" s="3">
        <f t="shared" si="28"/>
        <v>0.40500000000000003</v>
      </c>
      <c r="N282" s="5"/>
      <c r="O282" s="5"/>
      <c r="P282" s="5"/>
      <c r="Q282" s="5"/>
      <c r="R282" s="1"/>
      <c r="S282" s="3" t="s">
        <v>190</v>
      </c>
      <c r="T282" s="3">
        <v>0.9</v>
      </c>
      <c r="U282" s="3">
        <v>0.5</v>
      </c>
      <c r="V282" s="3">
        <v>0.6</v>
      </c>
      <c r="W282" s="3">
        <v>0.3</v>
      </c>
      <c r="X282" s="6">
        <v>650.27075200000002</v>
      </c>
      <c r="Y282" s="3">
        <v>2E-3</v>
      </c>
      <c r="AA282" s="3" t="s">
        <v>190</v>
      </c>
      <c r="AB282" s="3">
        <v>0.81</v>
      </c>
      <c r="AC282" s="7">
        <v>751.46533199999999</v>
      </c>
      <c r="AD282" s="3">
        <v>1E-3</v>
      </c>
      <c r="AE282" s="3">
        <f t="shared" si="29"/>
        <v>0.55500000000000005</v>
      </c>
      <c r="AF282" s="5"/>
      <c r="AG282" s="5"/>
      <c r="AH282" s="5"/>
      <c r="AI282" s="5"/>
      <c r="AJ282" s="1"/>
      <c r="AK282" s="3" t="s">
        <v>191</v>
      </c>
      <c r="AL282" s="3">
        <v>0.9</v>
      </c>
      <c r="AM282" s="3">
        <v>0.5</v>
      </c>
      <c r="AN282" s="3">
        <v>0.6</v>
      </c>
      <c r="AO282" s="3">
        <v>0.3</v>
      </c>
      <c r="AP282" s="7">
        <v>1001.541687</v>
      </c>
      <c r="AQ282" s="3">
        <v>8.9999999999999993E-3</v>
      </c>
      <c r="AS282" s="3" t="s">
        <v>191</v>
      </c>
      <c r="AT282" s="3">
        <v>0.28000000000000003</v>
      </c>
      <c r="AU282" s="6">
        <v>970.73132299999997</v>
      </c>
      <c r="AV282" s="3">
        <v>0</v>
      </c>
      <c r="AW282" s="3">
        <f t="shared" si="30"/>
        <v>0.29000000000000004</v>
      </c>
      <c r="AX282" s="5"/>
      <c r="AY282" s="5"/>
      <c r="AZ282" s="5"/>
      <c r="BA282" s="5"/>
      <c r="BB282" s="1"/>
      <c r="BC282" s="3" t="s">
        <v>191</v>
      </c>
      <c r="BD282" s="3">
        <v>0.9</v>
      </c>
      <c r="BE282" s="3">
        <v>0.5</v>
      </c>
      <c r="BF282" s="3">
        <v>0.6</v>
      </c>
      <c r="BG282" s="3">
        <v>0.3</v>
      </c>
      <c r="BH282" s="6">
        <v>985.70343000000003</v>
      </c>
      <c r="BI282" s="3">
        <v>7.0000000000000001E-3</v>
      </c>
      <c r="BK282" s="3" t="s">
        <v>191</v>
      </c>
      <c r="BL282" s="3">
        <v>0.37</v>
      </c>
      <c r="BM282" s="7">
        <v>1017.349182</v>
      </c>
      <c r="BN282" s="3">
        <v>1E-3</v>
      </c>
      <c r="BO282" s="3">
        <f t="shared" si="31"/>
        <v>0.33499999999999996</v>
      </c>
    </row>
    <row r="283" spans="1:67" x14ac:dyDescent="0.3">
      <c r="A283" s="3" t="s">
        <v>192</v>
      </c>
      <c r="B283" s="3">
        <v>0.9</v>
      </c>
      <c r="C283" s="3">
        <v>0.5</v>
      </c>
      <c r="D283" s="3">
        <v>0.6</v>
      </c>
      <c r="E283" s="3">
        <v>0.3</v>
      </c>
      <c r="F283" s="6">
        <v>773.48443599999996</v>
      </c>
      <c r="G283" s="3">
        <v>3.0000000000000001E-3</v>
      </c>
      <c r="I283" s="3" t="s">
        <v>192</v>
      </c>
      <c r="J283" s="3">
        <v>0.68</v>
      </c>
      <c r="K283" s="7">
        <v>935.08538799999997</v>
      </c>
      <c r="L283" s="3">
        <v>0</v>
      </c>
      <c r="M283" s="3">
        <f t="shared" si="28"/>
        <v>0.49</v>
      </c>
      <c r="N283" s="5"/>
      <c r="O283" s="5"/>
      <c r="P283" s="5"/>
      <c r="Q283" s="5"/>
      <c r="R283" s="1"/>
      <c r="S283" s="3" t="s">
        <v>192</v>
      </c>
      <c r="T283" s="3">
        <v>0.9</v>
      </c>
      <c r="U283" s="3">
        <v>0.5</v>
      </c>
      <c r="V283" s="3">
        <v>0.6</v>
      </c>
      <c r="W283" s="3">
        <v>0.3</v>
      </c>
      <c r="X283" s="6">
        <v>777.46905500000003</v>
      </c>
      <c r="Y283" s="3">
        <v>2E-3</v>
      </c>
      <c r="AA283" s="3" t="s">
        <v>192</v>
      </c>
      <c r="AB283" s="3">
        <v>0.46</v>
      </c>
      <c r="AC283" s="7">
        <v>851.11676</v>
      </c>
      <c r="AD283" s="3">
        <v>0</v>
      </c>
      <c r="AE283" s="3">
        <f t="shared" si="29"/>
        <v>0.38</v>
      </c>
      <c r="AF283" s="5"/>
      <c r="AG283" s="5"/>
      <c r="AH283" s="5"/>
      <c r="AI283" s="5"/>
      <c r="AJ283" s="1"/>
      <c r="AK283" s="3" t="s">
        <v>193</v>
      </c>
      <c r="AL283" s="3">
        <v>0.9</v>
      </c>
      <c r="AM283" s="3">
        <v>0.5</v>
      </c>
      <c r="AN283" s="3">
        <v>0.6</v>
      </c>
      <c r="AO283" s="3">
        <v>0.3</v>
      </c>
      <c r="AP283" s="7">
        <v>1097.972534</v>
      </c>
      <c r="AQ283" s="3">
        <v>1.2E-2</v>
      </c>
      <c r="AS283" s="3" t="s">
        <v>193</v>
      </c>
      <c r="AT283" s="3">
        <v>0.06</v>
      </c>
      <c r="AU283" s="6">
        <v>912.77899200000002</v>
      </c>
      <c r="AV283" s="3">
        <v>1E-3</v>
      </c>
      <c r="AW283" s="3">
        <f t="shared" si="30"/>
        <v>0.18</v>
      </c>
      <c r="AX283" s="5"/>
      <c r="AY283" s="5"/>
      <c r="AZ283" s="5"/>
      <c r="BA283" s="5"/>
      <c r="BB283" s="1"/>
      <c r="BC283" s="3" t="s">
        <v>193</v>
      </c>
      <c r="BD283" s="3">
        <v>0.9</v>
      </c>
      <c r="BE283" s="3">
        <v>0.5</v>
      </c>
      <c r="BF283" s="3">
        <v>0.6</v>
      </c>
      <c r="BG283" s="3">
        <v>0.3</v>
      </c>
      <c r="BH283" s="7">
        <v>1086.8801269999999</v>
      </c>
      <c r="BI283" s="3">
        <v>7.0000000000000001E-3</v>
      </c>
      <c r="BK283" s="3" t="s">
        <v>193</v>
      </c>
      <c r="BL283" s="3">
        <v>0.28000000000000003</v>
      </c>
      <c r="BM283" s="6">
        <v>1078.2513429999999</v>
      </c>
      <c r="BN283" s="3">
        <v>2E-3</v>
      </c>
      <c r="BO283" s="3">
        <f t="shared" si="31"/>
        <v>0.29000000000000004</v>
      </c>
    </row>
    <row r="284" spans="1:67" x14ac:dyDescent="0.3">
      <c r="A284" s="9" t="s">
        <v>316</v>
      </c>
      <c r="E284" s="9">
        <f>AVERAGE(E254:E283)</f>
        <v>0.3</v>
      </c>
      <c r="I284" s="9" t="s">
        <v>316</v>
      </c>
      <c r="J284" s="9">
        <f>AVERAGE(J254:J283)</f>
        <v>0.44500000000000001</v>
      </c>
      <c r="M284" s="5"/>
      <c r="N284" s="5"/>
      <c r="O284" s="5"/>
      <c r="P284" s="5"/>
      <c r="Q284" s="5"/>
      <c r="R284" s="1"/>
      <c r="S284" s="9" t="s">
        <v>316</v>
      </c>
      <c r="W284" s="9">
        <f>AVERAGE(W254:W283)</f>
        <v>0.3</v>
      </c>
      <c r="AA284" s="9" t="s">
        <v>316</v>
      </c>
      <c r="AB284" s="9">
        <f>AVERAGE(AB254:AB283)</f>
        <v>0.50933333333333342</v>
      </c>
      <c r="AE284" s="5"/>
      <c r="AF284" s="5"/>
      <c r="AG284" s="5"/>
      <c r="AH284" s="5"/>
      <c r="AI284" s="5"/>
      <c r="AJ284" s="1"/>
      <c r="AK284" s="9" t="s">
        <v>316</v>
      </c>
      <c r="AO284" s="9">
        <f>AVERAGE(AO254:AO283)</f>
        <v>0.3</v>
      </c>
      <c r="AS284" s="9" t="s">
        <v>316</v>
      </c>
      <c r="AT284" s="9">
        <f>AVERAGE(AT254:AT283)</f>
        <v>0.39266666666666661</v>
      </c>
      <c r="AW284" s="5"/>
      <c r="AX284" s="5"/>
      <c r="AY284" s="5"/>
      <c r="AZ284" s="5"/>
      <c r="BA284" s="5"/>
      <c r="BB284" s="1"/>
      <c r="BC284" s="9" t="s">
        <v>316</v>
      </c>
      <c r="BG284" s="9">
        <f>AVERAGE(BG254:BG283)</f>
        <v>0.3</v>
      </c>
      <c r="BK284" s="9" t="s">
        <v>316</v>
      </c>
      <c r="BL284" s="9">
        <f>AVERAGE(BL254:BL283)</f>
        <v>0.49499999999999988</v>
      </c>
      <c r="BO284" s="5"/>
    </row>
    <row r="285" spans="1:67" x14ac:dyDescent="0.3">
      <c r="M285" s="5"/>
      <c r="N285" s="5"/>
      <c r="O285" s="5"/>
      <c r="P285" s="5"/>
      <c r="Q285" s="5"/>
      <c r="R285" s="1"/>
      <c r="AE285" s="5"/>
      <c r="AF285" s="5"/>
      <c r="AG285" s="5"/>
      <c r="AH285" s="5"/>
      <c r="AI285" s="5"/>
      <c r="AJ285" s="1"/>
      <c r="AW285" s="5"/>
      <c r="AX285" s="5"/>
      <c r="AY285" s="5"/>
      <c r="AZ285" s="5"/>
      <c r="BA285" s="5"/>
      <c r="BB285" s="1"/>
      <c r="BO285" s="5"/>
    </row>
    <row r="286" spans="1:67" x14ac:dyDescent="0.3">
      <c r="M286" s="5"/>
      <c r="N286" s="5"/>
      <c r="O286" s="5"/>
      <c r="P286" s="5"/>
      <c r="Q286" s="5"/>
      <c r="R286" s="1"/>
      <c r="AE286" s="5"/>
      <c r="AF286" s="5"/>
      <c r="AG286" s="5"/>
      <c r="AH286" s="5"/>
      <c r="AI286" s="5"/>
      <c r="AJ286" s="1"/>
      <c r="AW286" s="5"/>
      <c r="AX286" s="5"/>
      <c r="AY286" s="5"/>
      <c r="AZ286" s="5"/>
      <c r="BA286" s="5"/>
      <c r="BB286" s="1"/>
      <c r="BO286" s="5"/>
    </row>
    <row r="287" spans="1:67" x14ac:dyDescent="0.3">
      <c r="A287" s="19" t="s">
        <v>314</v>
      </c>
      <c r="B287" s="19"/>
      <c r="C287" s="19"/>
      <c r="D287" s="19"/>
      <c r="E287" s="19"/>
      <c r="F287" s="19"/>
      <c r="G287" s="19"/>
      <c r="I287" s="19" t="s">
        <v>315</v>
      </c>
      <c r="J287" s="19"/>
      <c r="K287" s="19"/>
      <c r="L287" s="19"/>
      <c r="M287" s="19"/>
      <c r="N287" s="11"/>
      <c r="O287" s="11"/>
      <c r="P287" s="11"/>
      <c r="Q287" s="11"/>
      <c r="R287" s="1"/>
      <c r="S287" s="19" t="s">
        <v>314</v>
      </c>
      <c r="T287" s="19"/>
      <c r="U287" s="19"/>
      <c r="V287" s="19"/>
      <c r="W287" s="19"/>
      <c r="X287" s="19"/>
      <c r="Y287" s="19"/>
      <c r="AA287" s="19" t="s">
        <v>315</v>
      </c>
      <c r="AB287" s="19"/>
      <c r="AC287" s="19"/>
      <c r="AD287" s="19"/>
      <c r="AE287" s="19"/>
      <c r="AF287" s="11"/>
      <c r="AG287" s="11"/>
      <c r="AH287" s="11"/>
      <c r="AI287" s="11"/>
      <c r="AJ287" s="1"/>
      <c r="AK287" s="19" t="s">
        <v>314</v>
      </c>
      <c r="AL287" s="19"/>
      <c r="AM287" s="19"/>
      <c r="AN287" s="19"/>
      <c r="AO287" s="19"/>
      <c r="AP287" s="19"/>
      <c r="AQ287" s="19"/>
      <c r="AS287" s="19" t="s">
        <v>315</v>
      </c>
      <c r="AT287" s="19"/>
      <c r="AU287" s="19"/>
      <c r="AV287" s="19"/>
      <c r="AW287" s="19"/>
      <c r="AX287" s="11"/>
      <c r="AY287" s="11"/>
      <c r="AZ287" s="11"/>
      <c r="BA287" s="11"/>
      <c r="BB287" s="1"/>
      <c r="BC287" s="19" t="s">
        <v>314</v>
      </c>
      <c r="BD287" s="19"/>
      <c r="BE287" s="19"/>
      <c r="BF287" s="19"/>
      <c r="BG287" s="19"/>
      <c r="BH287" s="19"/>
      <c r="BI287" s="19"/>
      <c r="BK287" s="19" t="s">
        <v>315</v>
      </c>
      <c r="BL287" s="19"/>
      <c r="BM287" s="19"/>
      <c r="BN287" s="19"/>
      <c r="BO287" s="19"/>
    </row>
    <row r="288" spans="1:67" x14ac:dyDescent="0.3">
      <c r="A288" s="20" t="s">
        <v>72</v>
      </c>
      <c r="B288" s="21"/>
      <c r="C288" s="21"/>
      <c r="D288" s="21"/>
      <c r="E288" s="21"/>
      <c r="F288" s="21"/>
      <c r="G288" s="22"/>
      <c r="I288" s="20" t="s">
        <v>72</v>
      </c>
      <c r="J288" s="21"/>
      <c r="K288" s="21"/>
      <c r="L288" s="21"/>
      <c r="M288" s="22"/>
      <c r="N288" s="11"/>
      <c r="O288" s="11"/>
      <c r="P288" s="11"/>
      <c r="Q288" s="11"/>
      <c r="R288" s="1"/>
      <c r="S288" s="3" t="s">
        <v>73</v>
      </c>
      <c r="T288" s="3"/>
      <c r="U288" s="3"/>
      <c r="V288" s="3"/>
      <c r="W288" s="3"/>
      <c r="X288" s="3"/>
      <c r="Y288" s="3"/>
      <c r="AA288" s="3" t="s">
        <v>73</v>
      </c>
      <c r="AB288" s="3"/>
      <c r="AC288" s="3"/>
      <c r="AD288" s="3"/>
      <c r="AE288" s="3"/>
      <c r="AF288" s="5"/>
      <c r="AG288" s="5"/>
      <c r="AH288" s="5"/>
      <c r="AI288" s="5"/>
      <c r="AJ288" s="1"/>
      <c r="AK288" s="3" t="s">
        <v>72</v>
      </c>
      <c r="AL288" s="3"/>
      <c r="AM288" s="3"/>
      <c r="AN288" s="3"/>
      <c r="AO288" s="3"/>
      <c r="AP288" s="3"/>
      <c r="AQ288" s="3"/>
      <c r="AS288" s="3" t="s">
        <v>72</v>
      </c>
      <c r="AT288" s="3"/>
      <c r="AU288" s="3"/>
      <c r="AV288" s="3"/>
      <c r="AW288" s="4"/>
      <c r="AX288" s="12"/>
      <c r="AY288" s="12"/>
      <c r="AZ288" s="12"/>
      <c r="BA288" s="12"/>
      <c r="BB288" s="1"/>
      <c r="BC288" s="3" t="s">
        <v>73</v>
      </c>
      <c r="BD288" s="3"/>
      <c r="BE288" s="3"/>
      <c r="BF288" s="3"/>
      <c r="BG288" s="3"/>
      <c r="BH288" s="3"/>
      <c r="BI288" s="3"/>
      <c r="BK288" s="3" t="s">
        <v>73</v>
      </c>
      <c r="BL288" s="3"/>
      <c r="BM288" s="3"/>
      <c r="BN288" s="3"/>
      <c r="BO288" s="3"/>
    </row>
    <row r="289" spans="1:71" x14ac:dyDescent="0.3">
      <c r="A289" s="3" t="s">
        <v>2</v>
      </c>
      <c r="B289" s="3" t="s">
        <v>3</v>
      </c>
      <c r="C289" s="3" t="s">
        <v>4</v>
      </c>
      <c r="D289" s="3" t="s">
        <v>5</v>
      </c>
      <c r="E289" s="3" t="s">
        <v>6</v>
      </c>
      <c r="F289" s="3" t="s">
        <v>7</v>
      </c>
      <c r="G289" s="3" t="s">
        <v>8</v>
      </c>
      <c r="I289" s="3" t="s">
        <v>2</v>
      </c>
      <c r="J289" s="3" t="s">
        <v>6</v>
      </c>
      <c r="K289" s="3" t="s">
        <v>7</v>
      </c>
      <c r="L289" s="3" t="s">
        <v>8</v>
      </c>
      <c r="M289" s="3" t="s">
        <v>9</v>
      </c>
      <c r="N289" s="3" t="s">
        <v>322</v>
      </c>
      <c r="O289" s="3" t="s">
        <v>323</v>
      </c>
      <c r="P289" s="3" t="s">
        <v>322</v>
      </c>
      <c r="Q289" s="3" t="s">
        <v>323</v>
      </c>
      <c r="R289" s="1"/>
      <c r="S289" s="3" t="s">
        <v>2</v>
      </c>
      <c r="T289" s="3" t="s">
        <v>3</v>
      </c>
      <c r="U289" s="3" t="s">
        <v>4</v>
      </c>
      <c r="V289" s="3" t="s">
        <v>5</v>
      </c>
      <c r="W289" s="3" t="s">
        <v>6</v>
      </c>
      <c r="X289" s="3" t="s">
        <v>7</v>
      </c>
      <c r="Y289" s="3" t="s">
        <v>8</v>
      </c>
      <c r="AA289" s="3" t="s">
        <v>2</v>
      </c>
      <c r="AB289" s="3" t="s">
        <v>6</v>
      </c>
      <c r="AC289" s="3" t="s">
        <v>7</v>
      </c>
      <c r="AD289" s="3" t="s">
        <v>8</v>
      </c>
      <c r="AE289" s="3" t="s">
        <v>9</v>
      </c>
      <c r="AF289" s="3" t="s">
        <v>322</v>
      </c>
      <c r="AG289" s="3" t="s">
        <v>323</v>
      </c>
      <c r="AH289" s="3" t="s">
        <v>322</v>
      </c>
      <c r="AI289" s="3" t="s">
        <v>323</v>
      </c>
      <c r="AJ289" s="1"/>
      <c r="AK289" s="3" t="s">
        <v>2</v>
      </c>
      <c r="AL289" s="3" t="s">
        <v>3</v>
      </c>
      <c r="AM289" s="3" t="s">
        <v>4</v>
      </c>
      <c r="AN289" s="3" t="s">
        <v>5</v>
      </c>
      <c r="AO289" s="3" t="s">
        <v>6</v>
      </c>
      <c r="AP289" s="3" t="s">
        <v>7</v>
      </c>
      <c r="AQ289" s="3" t="s">
        <v>8</v>
      </c>
      <c r="AS289" s="3" t="s">
        <v>2</v>
      </c>
      <c r="AT289" s="3" t="s">
        <v>6</v>
      </c>
      <c r="AU289" s="3" t="s">
        <v>7</v>
      </c>
      <c r="AV289" s="3" t="s">
        <v>8</v>
      </c>
      <c r="AW289" s="3" t="s">
        <v>9</v>
      </c>
      <c r="AX289" s="3" t="s">
        <v>322</v>
      </c>
      <c r="AY289" s="3" t="s">
        <v>323</v>
      </c>
      <c r="AZ289" s="3" t="s">
        <v>322</v>
      </c>
      <c r="BA289" s="3" t="s">
        <v>323</v>
      </c>
      <c r="BB289" s="1"/>
      <c r="BC289" s="3" t="s">
        <v>2</v>
      </c>
      <c r="BD289" s="3" t="s">
        <v>3</v>
      </c>
      <c r="BE289" s="3" t="s">
        <v>4</v>
      </c>
      <c r="BF289" s="3" t="s">
        <v>5</v>
      </c>
      <c r="BG289" s="3" t="s">
        <v>6</v>
      </c>
      <c r="BH289" s="3" t="s">
        <v>7</v>
      </c>
      <c r="BI289" s="3" t="s">
        <v>8</v>
      </c>
      <c r="BK289" s="3" t="s">
        <v>2</v>
      </c>
      <c r="BL289" s="3" t="s">
        <v>6</v>
      </c>
      <c r="BM289" s="3" t="s">
        <v>7</v>
      </c>
      <c r="BN289" s="3" t="s">
        <v>8</v>
      </c>
      <c r="BO289" s="3" t="s">
        <v>9</v>
      </c>
      <c r="BP289" s="3" t="s">
        <v>322</v>
      </c>
      <c r="BQ289" s="3" t="s">
        <v>323</v>
      </c>
      <c r="BR289" s="3" t="s">
        <v>322</v>
      </c>
      <c r="BS289" s="3" t="s">
        <v>323</v>
      </c>
    </row>
    <row r="290" spans="1:71" x14ac:dyDescent="0.3">
      <c r="A290" s="3" t="s">
        <v>134</v>
      </c>
      <c r="B290" s="3">
        <v>0.9</v>
      </c>
      <c r="C290" s="3">
        <v>0.5</v>
      </c>
      <c r="D290" s="3">
        <v>0.6</v>
      </c>
      <c r="E290" s="3">
        <v>0.3</v>
      </c>
      <c r="F290" s="7">
        <v>607.80249000000003</v>
      </c>
      <c r="G290" s="3">
        <v>1E-3</v>
      </c>
      <c r="I290" s="3" t="s">
        <v>134</v>
      </c>
      <c r="J290" s="3">
        <v>0.01</v>
      </c>
      <c r="K290" s="6">
        <v>599.87524399999995</v>
      </c>
      <c r="L290" s="3">
        <v>0</v>
      </c>
      <c r="M290" s="3">
        <f t="shared" ref="M290:M319" si="32">AVERAGE(E290,J290)</f>
        <v>0.155</v>
      </c>
      <c r="N290" s="4" t="s">
        <v>320</v>
      </c>
      <c r="O290" s="4" t="s">
        <v>320</v>
      </c>
      <c r="P290" s="4" t="s">
        <v>321</v>
      </c>
      <c r="Q290" s="4" t="s">
        <v>321</v>
      </c>
      <c r="R290" s="1"/>
      <c r="S290" s="3" t="s">
        <v>134</v>
      </c>
      <c r="T290" s="3">
        <v>0.9</v>
      </c>
      <c r="U290" s="3">
        <v>0.5</v>
      </c>
      <c r="V290" s="3">
        <v>0.6</v>
      </c>
      <c r="W290" s="3">
        <v>0.3</v>
      </c>
      <c r="X290" s="7">
        <v>591.97027600000001</v>
      </c>
      <c r="Y290" s="3">
        <v>2E-3</v>
      </c>
      <c r="AA290" s="3" t="s">
        <v>134</v>
      </c>
      <c r="AB290" s="3">
        <v>0.01</v>
      </c>
      <c r="AC290" s="6">
        <v>588.34466599999996</v>
      </c>
      <c r="AD290" s="3">
        <v>0</v>
      </c>
      <c r="AE290" s="3">
        <f t="shared" ref="AE290:AE319" si="33">AVERAGE(W290,AB290)</f>
        <v>0.155</v>
      </c>
      <c r="AF290" s="4" t="s">
        <v>320</v>
      </c>
      <c r="AG290" s="4" t="s">
        <v>320</v>
      </c>
      <c r="AH290" s="4" t="s">
        <v>321</v>
      </c>
      <c r="AI290" s="4" t="s">
        <v>321</v>
      </c>
      <c r="AJ290" s="1"/>
      <c r="AK290" s="3" t="s">
        <v>135</v>
      </c>
      <c r="AL290" s="3">
        <v>0.9</v>
      </c>
      <c r="AM290" s="3">
        <v>0.5</v>
      </c>
      <c r="AN290" s="3">
        <v>0.6</v>
      </c>
      <c r="AO290" s="3">
        <v>0.3</v>
      </c>
      <c r="AP290" s="7">
        <v>793.36767599999996</v>
      </c>
      <c r="AQ290" s="3">
        <v>7.0000000000000001E-3</v>
      </c>
      <c r="AS290" s="3" t="s">
        <v>135</v>
      </c>
      <c r="AT290" s="3">
        <v>0.01</v>
      </c>
      <c r="AU290" s="6">
        <v>716.35314900000003</v>
      </c>
      <c r="AV290" s="3">
        <v>1E-3</v>
      </c>
      <c r="AW290" s="3">
        <f t="shared" ref="AW290:AW319" si="34">AVERAGE(AO290,AT290)</f>
        <v>0.155</v>
      </c>
      <c r="AX290" s="4" t="s">
        <v>320</v>
      </c>
      <c r="AY290" s="4" t="s">
        <v>320</v>
      </c>
      <c r="AZ290" s="4" t="s">
        <v>321</v>
      </c>
      <c r="BA290" s="4" t="s">
        <v>321</v>
      </c>
      <c r="BB290" s="1"/>
      <c r="BC290" s="3" t="s">
        <v>135</v>
      </c>
      <c r="BD290" s="3">
        <v>0.9</v>
      </c>
      <c r="BE290" s="3">
        <v>0.5</v>
      </c>
      <c r="BF290" s="3">
        <v>0.6</v>
      </c>
      <c r="BG290" s="3">
        <v>0.3</v>
      </c>
      <c r="BH290" s="7">
        <v>776.23455799999999</v>
      </c>
      <c r="BI290" s="3">
        <v>8.0000000000000002E-3</v>
      </c>
      <c r="BK290" s="3" t="s">
        <v>135</v>
      </c>
      <c r="BL290" s="3">
        <v>0.01</v>
      </c>
      <c r="BM290" s="6">
        <v>703.35192900000004</v>
      </c>
      <c r="BN290" s="3">
        <v>1E-3</v>
      </c>
      <c r="BO290" s="3">
        <f t="shared" ref="BO290:BO319" si="35">AVERAGE(BG290,BL290)</f>
        <v>0.155</v>
      </c>
      <c r="BP290" s="4" t="s">
        <v>320</v>
      </c>
      <c r="BQ290" s="4" t="s">
        <v>320</v>
      </c>
      <c r="BR290" s="4" t="s">
        <v>321</v>
      </c>
      <c r="BS290" s="4" t="s">
        <v>321</v>
      </c>
    </row>
    <row r="291" spans="1:71" x14ac:dyDescent="0.3">
      <c r="A291" s="3" t="s">
        <v>136</v>
      </c>
      <c r="B291" s="3">
        <v>0.9</v>
      </c>
      <c r="C291" s="3">
        <v>0.5</v>
      </c>
      <c r="D291" s="3">
        <v>0.6</v>
      </c>
      <c r="E291" s="3">
        <v>0.3</v>
      </c>
      <c r="F291" s="6">
        <v>543.58019999999999</v>
      </c>
      <c r="G291" s="3">
        <v>1E-3</v>
      </c>
      <c r="I291" s="3" t="s">
        <v>136</v>
      </c>
      <c r="J291" s="3">
        <v>0.64</v>
      </c>
      <c r="K291" s="7">
        <v>570.91747999999995</v>
      </c>
      <c r="L291" s="3">
        <v>0</v>
      </c>
      <c r="M291" s="3">
        <f t="shared" si="32"/>
        <v>0.47</v>
      </c>
      <c r="N291" s="3">
        <f>COUNT(F291,F297,F299:F308,F311,F314,F317:F319)</f>
        <v>17</v>
      </c>
      <c r="O291" s="3">
        <f>30-N291</f>
        <v>13</v>
      </c>
      <c r="P291" s="3">
        <f>COUNT(K290,K292:K296,K298,K309:K310,K312:K313,K315:K316)</f>
        <v>13</v>
      </c>
      <c r="Q291" s="3">
        <f>30-P291</f>
        <v>17</v>
      </c>
      <c r="R291" s="1"/>
      <c r="S291" s="3" t="s">
        <v>136</v>
      </c>
      <c r="T291" s="3">
        <v>0.9</v>
      </c>
      <c r="U291" s="3">
        <v>0.5</v>
      </c>
      <c r="V291" s="3">
        <v>0.6</v>
      </c>
      <c r="W291" s="3">
        <v>0.3</v>
      </c>
      <c r="X291" s="7">
        <v>527.18621800000005</v>
      </c>
      <c r="Y291" s="3">
        <v>2E-3</v>
      </c>
      <c r="AA291" s="3" t="s">
        <v>136</v>
      </c>
      <c r="AB291" s="3">
        <v>0.1</v>
      </c>
      <c r="AC291" s="6">
        <v>490.93731700000001</v>
      </c>
      <c r="AD291" s="3">
        <v>0</v>
      </c>
      <c r="AE291" s="3">
        <f t="shared" si="33"/>
        <v>0.2</v>
      </c>
      <c r="AF291" s="3">
        <f>COUNT(X292,X295:X296,X298:X299,X301:X309,X311:X312,X316:X317,X319)</f>
        <v>19</v>
      </c>
      <c r="AG291" s="3">
        <f>30-AF291</f>
        <v>11</v>
      </c>
      <c r="AH291" s="3">
        <f>COUNT(AC290:AC291,AC293:AC294,AC297,AC300,AC310,AC313:AC315,AC318)</f>
        <v>11</v>
      </c>
      <c r="AI291" s="3">
        <f>30-AH291</f>
        <v>19</v>
      </c>
      <c r="AJ291" s="1"/>
      <c r="AK291" s="3" t="s">
        <v>137</v>
      </c>
      <c r="AL291" s="3">
        <v>0.9</v>
      </c>
      <c r="AM291" s="3">
        <v>0.5</v>
      </c>
      <c r="AN291" s="3">
        <v>0.6</v>
      </c>
      <c r="AO291" s="3">
        <v>0.3</v>
      </c>
      <c r="AP291" s="7">
        <v>865.50488299999995</v>
      </c>
      <c r="AQ291" s="3">
        <v>0.01</v>
      </c>
      <c r="AS291" s="3" t="s">
        <v>137</v>
      </c>
      <c r="AT291" s="3">
        <v>0.09</v>
      </c>
      <c r="AU291" s="6">
        <v>754.262878</v>
      </c>
      <c r="AV291" s="3">
        <v>1E-3</v>
      </c>
      <c r="AW291" s="3">
        <f t="shared" si="34"/>
        <v>0.19500000000000001</v>
      </c>
      <c r="AX291" s="3">
        <f>COUNT(AP293:AP295,AP297:AP312,AP314:AP319)</f>
        <v>25</v>
      </c>
      <c r="AY291" s="3">
        <f>30-AX291</f>
        <v>5</v>
      </c>
      <c r="AZ291" s="3">
        <f>COUNT(AU290:AU292,AU296,AU313)</f>
        <v>5</v>
      </c>
      <c r="BA291" s="3">
        <f>30-AZ291</f>
        <v>25</v>
      </c>
      <c r="BB291" s="1"/>
      <c r="BC291" s="3" t="s">
        <v>137</v>
      </c>
      <c r="BD291" s="3">
        <v>0.9</v>
      </c>
      <c r="BE291" s="3">
        <v>0.5</v>
      </c>
      <c r="BF291" s="3">
        <v>0.6</v>
      </c>
      <c r="BG291" s="3">
        <v>0.3</v>
      </c>
      <c r="BH291" s="7">
        <v>860.05987500000003</v>
      </c>
      <c r="BI291" s="3">
        <v>8.0000000000000002E-3</v>
      </c>
      <c r="BK291" s="3" t="s">
        <v>137</v>
      </c>
      <c r="BL291" s="3">
        <v>0.06</v>
      </c>
      <c r="BM291" s="6">
        <v>724.65606700000001</v>
      </c>
      <c r="BN291" s="3">
        <v>0</v>
      </c>
      <c r="BO291" s="3">
        <f t="shared" si="35"/>
        <v>0.18</v>
      </c>
      <c r="BP291" s="3">
        <f>COUNT(BH292:BH295,BH299:BH301,BH303,BH305:BH309,BH311,BH314:BH315,BH317,BH319)</f>
        <v>18</v>
      </c>
      <c r="BQ291" s="3">
        <f>30-BP291</f>
        <v>12</v>
      </c>
      <c r="BR291" s="3">
        <f>COUNT(BM290:BM291,BM296:BM298,BM302,BM304,BM310,BM312:BM313,BM316,BM318)</f>
        <v>12</v>
      </c>
      <c r="BS291" s="3">
        <f>30-BR291</f>
        <v>18</v>
      </c>
    </row>
    <row r="292" spans="1:71" x14ac:dyDescent="0.3">
      <c r="A292" s="3" t="s">
        <v>138</v>
      </c>
      <c r="B292" s="3">
        <v>0.9</v>
      </c>
      <c r="C292" s="3">
        <v>0.5</v>
      </c>
      <c r="D292" s="3">
        <v>0.6</v>
      </c>
      <c r="E292" s="3">
        <v>0.3</v>
      </c>
      <c r="F292" s="7">
        <v>609.14862100000005</v>
      </c>
      <c r="G292" s="3">
        <v>2E-3</v>
      </c>
      <c r="I292" s="3" t="s">
        <v>138</v>
      </c>
      <c r="J292" s="3">
        <v>0.16</v>
      </c>
      <c r="K292" s="6">
        <v>581.40502900000001</v>
      </c>
      <c r="L292" s="3">
        <v>0</v>
      </c>
      <c r="M292" s="3">
        <f t="shared" si="32"/>
        <v>0.22999999999999998</v>
      </c>
      <c r="N292" s="5"/>
      <c r="O292" s="5"/>
      <c r="P292" s="5"/>
      <c r="Q292" s="5"/>
      <c r="R292" s="1"/>
      <c r="S292" s="3" t="s">
        <v>138</v>
      </c>
      <c r="T292" s="3">
        <v>0.9</v>
      </c>
      <c r="U292" s="3">
        <v>0.5</v>
      </c>
      <c r="V292" s="3">
        <v>0.6</v>
      </c>
      <c r="W292" s="3">
        <v>0.3</v>
      </c>
      <c r="X292" s="6">
        <v>602.66760299999999</v>
      </c>
      <c r="Y292" s="3">
        <v>2E-3</v>
      </c>
      <c r="AA292" s="3" t="s">
        <v>138</v>
      </c>
      <c r="AB292" s="3">
        <v>0.82</v>
      </c>
      <c r="AC292" s="7">
        <v>635.75201400000003</v>
      </c>
      <c r="AD292" s="3">
        <v>1E-3</v>
      </c>
      <c r="AE292" s="3">
        <f t="shared" si="33"/>
        <v>0.55999999999999994</v>
      </c>
      <c r="AF292" s="5"/>
      <c r="AG292" s="5"/>
      <c r="AH292" s="5"/>
      <c r="AI292" s="5"/>
      <c r="AJ292" s="1"/>
      <c r="AK292" s="3" t="s">
        <v>139</v>
      </c>
      <c r="AL292" s="3">
        <v>0.9</v>
      </c>
      <c r="AM292" s="3">
        <v>0.5</v>
      </c>
      <c r="AN292" s="3">
        <v>0.6</v>
      </c>
      <c r="AO292" s="3">
        <v>0.3</v>
      </c>
      <c r="AP292" s="7">
        <v>897.87896699999999</v>
      </c>
      <c r="AQ292" s="3">
        <v>8.9999999999999993E-3</v>
      </c>
      <c r="AS292" s="3" t="s">
        <v>139</v>
      </c>
      <c r="AT292" s="3">
        <v>0.18</v>
      </c>
      <c r="AU292" s="6">
        <v>828.12957800000004</v>
      </c>
      <c r="AV292" s="3">
        <v>0</v>
      </c>
      <c r="AW292" s="3">
        <f t="shared" si="34"/>
        <v>0.24</v>
      </c>
      <c r="AX292" s="5"/>
      <c r="AY292" s="5"/>
      <c r="AZ292" s="5"/>
      <c r="BA292" s="5"/>
      <c r="BB292" s="1"/>
      <c r="BC292" s="3" t="s">
        <v>139</v>
      </c>
      <c r="BD292" s="3">
        <v>0.9</v>
      </c>
      <c r="BE292" s="3">
        <v>0.5</v>
      </c>
      <c r="BF292" s="3">
        <v>0.6</v>
      </c>
      <c r="BG292" s="3">
        <v>0.3</v>
      </c>
      <c r="BH292" s="6">
        <v>899.84265100000005</v>
      </c>
      <c r="BI292" s="3">
        <v>6.0000000000000001E-3</v>
      </c>
      <c r="BK292" s="3" t="s">
        <v>139</v>
      </c>
      <c r="BL292" s="3">
        <v>0.39</v>
      </c>
      <c r="BM292" s="7">
        <v>909.742615</v>
      </c>
      <c r="BN292" s="3">
        <v>0</v>
      </c>
      <c r="BO292" s="3">
        <f t="shared" si="35"/>
        <v>0.34499999999999997</v>
      </c>
    </row>
    <row r="293" spans="1:71" x14ac:dyDescent="0.3">
      <c r="A293" s="3" t="s">
        <v>140</v>
      </c>
      <c r="B293" s="3">
        <v>0.9</v>
      </c>
      <c r="C293" s="3">
        <v>0.5</v>
      </c>
      <c r="D293" s="3">
        <v>0.6</v>
      </c>
      <c r="E293" s="3">
        <v>0.3</v>
      </c>
      <c r="F293" s="7">
        <v>596.95281999999997</v>
      </c>
      <c r="G293" s="3">
        <v>1E-3</v>
      </c>
      <c r="I293" s="3" t="s">
        <v>140</v>
      </c>
      <c r="J293" s="3">
        <v>0.2</v>
      </c>
      <c r="K293" s="6">
        <v>588.31213400000001</v>
      </c>
      <c r="L293" s="3">
        <v>0</v>
      </c>
      <c r="M293" s="3">
        <f t="shared" si="32"/>
        <v>0.25</v>
      </c>
      <c r="N293" s="5"/>
      <c r="O293" s="5"/>
      <c r="P293" s="5"/>
      <c r="Q293" s="5"/>
      <c r="R293" s="1"/>
      <c r="S293" s="3" t="s">
        <v>140</v>
      </c>
      <c r="T293" s="3">
        <v>0.9</v>
      </c>
      <c r="U293" s="3">
        <v>0.5</v>
      </c>
      <c r="V293" s="3">
        <v>0.6</v>
      </c>
      <c r="W293" s="3">
        <v>0.3</v>
      </c>
      <c r="X293" s="7">
        <v>588.49896200000001</v>
      </c>
      <c r="Y293" s="3">
        <v>1.0999999999999999E-2</v>
      </c>
      <c r="AA293" s="3" t="s">
        <v>140</v>
      </c>
      <c r="AB293" s="3">
        <v>0.1</v>
      </c>
      <c r="AC293" s="6">
        <v>570.24438499999997</v>
      </c>
      <c r="AD293" s="3">
        <v>1E-3</v>
      </c>
      <c r="AE293" s="3">
        <f t="shared" si="33"/>
        <v>0.2</v>
      </c>
      <c r="AF293" s="5"/>
      <c r="AG293" s="5"/>
      <c r="AH293" s="5"/>
      <c r="AI293" s="5"/>
      <c r="AJ293" s="1"/>
      <c r="AK293" s="3" t="s">
        <v>141</v>
      </c>
      <c r="AL293" s="3">
        <v>0.9</v>
      </c>
      <c r="AM293" s="3">
        <v>0.5</v>
      </c>
      <c r="AN293" s="3">
        <v>0.6</v>
      </c>
      <c r="AO293" s="3">
        <v>0.3</v>
      </c>
      <c r="AP293" s="6">
        <v>952.30480999999997</v>
      </c>
      <c r="AQ293" s="3">
        <v>6.0000000000000001E-3</v>
      </c>
      <c r="AS293" s="3" t="s">
        <v>141</v>
      </c>
      <c r="AT293" s="3">
        <v>0.57999999999999996</v>
      </c>
      <c r="AU293" s="7">
        <v>1012.300598</v>
      </c>
      <c r="AV293" s="3">
        <v>1E-3</v>
      </c>
      <c r="AW293" s="3">
        <f t="shared" si="34"/>
        <v>0.43999999999999995</v>
      </c>
      <c r="AX293" s="5"/>
      <c r="AY293" s="5"/>
      <c r="AZ293" s="5"/>
      <c r="BA293" s="5"/>
      <c r="BB293" s="1"/>
      <c r="BC293" s="3" t="s">
        <v>141</v>
      </c>
      <c r="BD293" s="3">
        <v>0.9</v>
      </c>
      <c r="BE293" s="3">
        <v>0.5</v>
      </c>
      <c r="BF293" s="3">
        <v>0.6</v>
      </c>
      <c r="BG293" s="3">
        <v>0.3</v>
      </c>
      <c r="BH293" s="6">
        <v>942.00305200000003</v>
      </c>
      <c r="BI293" s="3">
        <v>8.9999999999999993E-3</v>
      </c>
      <c r="BK293" s="3" t="s">
        <v>141</v>
      </c>
      <c r="BL293" s="3">
        <v>0.72</v>
      </c>
      <c r="BM293" s="7">
        <v>1055.7626949999999</v>
      </c>
      <c r="BN293" s="3">
        <v>1E-3</v>
      </c>
      <c r="BO293" s="3">
        <f t="shared" si="35"/>
        <v>0.51</v>
      </c>
    </row>
    <row r="294" spans="1:71" x14ac:dyDescent="0.3">
      <c r="A294" s="3" t="s">
        <v>142</v>
      </c>
      <c r="B294" s="3">
        <v>0.9</v>
      </c>
      <c r="C294" s="3">
        <v>0.5</v>
      </c>
      <c r="D294" s="3">
        <v>0.6</v>
      </c>
      <c r="E294" s="3">
        <v>0.3</v>
      </c>
      <c r="F294" s="7">
        <v>533.50683600000002</v>
      </c>
      <c r="G294" s="3">
        <v>1E-3</v>
      </c>
      <c r="I294" s="3" t="s">
        <v>142</v>
      </c>
      <c r="J294" s="3">
        <v>0.35</v>
      </c>
      <c r="K294" s="6">
        <v>530.64392099999998</v>
      </c>
      <c r="L294" s="3">
        <v>0</v>
      </c>
      <c r="M294" s="3">
        <f t="shared" si="32"/>
        <v>0.32499999999999996</v>
      </c>
      <c r="N294" s="5"/>
      <c r="O294" s="5"/>
      <c r="P294" s="5"/>
      <c r="Q294" s="5"/>
      <c r="R294" s="1"/>
      <c r="S294" s="3" t="s">
        <v>142</v>
      </c>
      <c r="T294" s="3">
        <v>0.9</v>
      </c>
      <c r="U294" s="3">
        <v>0.5</v>
      </c>
      <c r="V294" s="3">
        <v>0.6</v>
      </c>
      <c r="W294" s="3">
        <v>0.3</v>
      </c>
      <c r="X294" s="7">
        <v>495.536224</v>
      </c>
      <c r="Y294" s="3">
        <v>1E-3</v>
      </c>
      <c r="AA294" s="3" t="s">
        <v>142</v>
      </c>
      <c r="AB294" s="3">
        <v>0.24</v>
      </c>
      <c r="AC294" s="6">
        <v>482.76947000000001</v>
      </c>
      <c r="AD294" s="3">
        <v>0</v>
      </c>
      <c r="AE294" s="3">
        <f t="shared" si="33"/>
        <v>0.27</v>
      </c>
      <c r="AF294" s="5"/>
      <c r="AG294" s="5"/>
      <c r="AH294" s="5"/>
      <c r="AI294" s="5"/>
      <c r="AJ294" s="1"/>
      <c r="AK294" s="3" t="s">
        <v>143</v>
      </c>
      <c r="AL294" s="3">
        <v>0.9</v>
      </c>
      <c r="AM294" s="3">
        <v>0.5</v>
      </c>
      <c r="AN294" s="3">
        <v>0.6</v>
      </c>
      <c r="AO294" s="3">
        <v>0.3</v>
      </c>
      <c r="AP294" s="6">
        <v>894.67608600000005</v>
      </c>
      <c r="AQ294" s="3">
        <v>7.0000000000000001E-3</v>
      </c>
      <c r="AS294" s="3" t="s">
        <v>143</v>
      </c>
      <c r="AT294" s="3">
        <v>0.67</v>
      </c>
      <c r="AU294" s="7">
        <v>980.89050299999997</v>
      </c>
      <c r="AV294" s="3">
        <v>0</v>
      </c>
      <c r="AW294" s="3">
        <f t="shared" si="34"/>
        <v>0.48499999999999999</v>
      </c>
      <c r="AX294" s="5"/>
      <c r="AY294" s="5"/>
      <c r="AZ294" s="5"/>
      <c r="BA294" s="5"/>
      <c r="BB294" s="1"/>
      <c r="BC294" s="3" t="s">
        <v>143</v>
      </c>
      <c r="BD294" s="3">
        <v>0.9</v>
      </c>
      <c r="BE294" s="3">
        <v>0.5</v>
      </c>
      <c r="BF294" s="3">
        <v>0.6</v>
      </c>
      <c r="BG294" s="3">
        <v>0.3</v>
      </c>
      <c r="BH294" s="6">
        <v>867.90679899999998</v>
      </c>
      <c r="BI294" s="3">
        <v>6.0000000000000001E-3</v>
      </c>
      <c r="BK294" s="3" t="s">
        <v>143</v>
      </c>
      <c r="BL294" s="3">
        <v>0.32</v>
      </c>
      <c r="BM294" s="7">
        <v>884.14019800000005</v>
      </c>
      <c r="BN294" s="3">
        <v>1E-3</v>
      </c>
      <c r="BO294" s="3">
        <f t="shared" si="35"/>
        <v>0.31</v>
      </c>
    </row>
    <row r="295" spans="1:71" x14ac:dyDescent="0.3">
      <c r="A295" s="3" t="s">
        <v>144</v>
      </c>
      <c r="B295" s="3">
        <v>0.9</v>
      </c>
      <c r="C295" s="3">
        <v>0.5</v>
      </c>
      <c r="D295" s="3">
        <v>0.6</v>
      </c>
      <c r="E295" s="3">
        <v>0.3</v>
      </c>
      <c r="F295" s="7">
        <v>621.29754600000001</v>
      </c>
      <c r="G295" s="3">
        <v>1E-3</v>
      </c>
      <c r="I295" s="3" t="s">
        <v>144</v>
      </c>
      <c r="J295" s="3">
        <v>7.0000000000000007E-2</v>
      </c>
      <c r="K295" s="6">
        <v>604.83587599999998</v>
      </c>
      <c r="L295" s="3">
        <v>1E-3</v>
      </c>
      <c r="M295" s="3">
        <f t="shared" si="32"/>
        <v>0.185</v>
      </c>
      <c r="N295" s="5"/>
      <c r="O295" s="5"/>
      <c r="P295" s="5"/>
      <c r="Q295" s="5"/>
      <c r="R295" s="1"/>
      <c r="S295" s="3" t="s">
        <v>144</v>
      </c>
      <c r="T295" s="3">
        <v>0.9</v>
      </c>
      <c r="U295" s="3">
        <v>0.5</v>
      </c>
      <c r="V295" s="3">
        <v>0.6</v>
      </c>
      <c r="W295" s="3">
        <v>0.3</v>
      </c>
      <c r="X295" s="6">
        <v>609.12786900000003</v>
      </c>
      <c r="Y295" s="3">
        <v>1E-3</v>
      </c>
      <c r="AA295" s="3" t="s">
        <v>144</v>
      </c>
      <c r="AB295" s="3">
        <v>0.92</v>
      </c>
      <c r="AC295" s="7">
        <v>652.01733400000001</v>
      </c>
      <c r="AD295" s="3">
        <v>0</v>
      </c>
      <c r="AE295" s="3">
        <f t="shared" si="33"/>
        <v>0.61</v>
      </c>
      <c r="AF295" s="5"/>
      <c r="AG295" s="5"/>
      <c r="AH295" s="5"/>
      <c r="AI295" s="5"/>
      <c r="AJ295" s="1"/>
      <c r="AK295" s="3" t="s">
        <v>145</v>
      </c>
      <c r="AL295" s="3">
        <v>0.9</v>
      </c>
      <c r="AM295" s="3">
        <v>0.5</v>
      </c>
      <c r="AN295" s="3">
        <v>0.6</v>
      </c>
      <c r="AO295" s="3">
        <v>0.3</v>
      </c>
      <c r="AP295" s="6">
        <v>888.05981399999996</v>
      </c>
      <c r="AQ295" s="3">
        <v>6.0000000000000001E-3</v>
      </c>
      <c r="AS295" s="3" t="s">
        <v>145</v>
      </c>
      <c r="AT295" s="3">
        <v>0.32</v>
      </c>
      <c r="AU295" s="7">
        <v>900.65228300000001</v>
      </c>
      <c r="AV295" s="3">
        <v>1E-3</v>
      </c>
      <c r="AW295" s="3">
        <f t="shared" si="34"/>
        <v>0.31</v>
      </c>
      <c r="AX295" s="5"/>
      <c r="AY295" s="5"/>
      <c r="AZ295" s="5"/>
      <c r="BA295" s="5"/>
      <c r="BB295" s="1"/>
      <c r="BC295" s="3" t="s">
        <v>145</v>
      </c>
      <c r="BD295" s="3">
        <v>0.9</v>
      </c>
      <c r="BE295" s="3">
        <v>0.5</v>
      </c>
      <c r="BF295" s="3">
        <v>0.6</v>
      </c>
      <c r="BG295" s="3">
        <v>0.3</v>
      </c>
      <c r="BH295" s="6">
        <v>874.24951199999998</v>
      </c>
      <c r="BI295" s="3">
        <v>8.0000000000000002E-3</v>
      </c>
      <c r="BK295" s="3" t="s">
        <v>145</v>
      </c>
      <c r="BL295" s="3">
        <v>0.34</v>
      </c>
      <c r="BM295" s="7">
        <v>902.69305399999996</v>
      </c>
      <c r="BN295" s="3">
        <v>0</v>
      </c>
      <c r="BO295" s="3">
        <f t="shared" si="35"/>
        <v>0.32</v>
      </c>
    </row>
    <row r="296" spans="1:71" x14ac:dyDescent="0.3">
      <c r="A296" s="3" t="s">
        <v>146</v>
      </c>
      <c r="B296" s="3">
        <v>0.9</v>
      </c>
      <c r="C296" s="3">
        <v>0.5</v>
      </c>
      <c r="D296" s="3">
        <v>0.6</v>
      </c>
      <c r="E296" s="3">
        <v>0.3</v>
      </c>
      <c r="F296" s="7">
        <v>550.74993900000004</v>
      </c>
      <c r="G296" s="3">
        <v>1E-3</v>
      </c>
      <c r="I296" s="3" t="s">
        <v>146</v>
      </c>
      <c r="J296" s="3">
        <v>0.21</v>
      </c>
      <c r="K296" s="6">
        <v>543.24408000000005</v>
      </c>
      <c r="L296" s="3">
        <v>1E-3</v>
      </c>
      <c r="M296" s="3">
        <f t="shared" si="32"/>
        <v>0.255</v>
      </c>
      <c r="N296" s="5"/>
      <c r="O296" s="5"/>
      <c r="P296" s="5"/>
      <c r="Q296" s="5"/>
      <c r="R296" s="1"/>
      <c r="S296" s="3" t="s">
        <v>146</v>
      </c>
      <c r="T296" s="3">
        <v>0.9</v>
      </c>
      <c r="U296" s="3">
        <v>0.5</v>
      </c>
      <c r="V296" s="3">
        <v>0.6</v>
      </c>
      <c r="W296" s="3">
        <v>0.3</v>
      </c>
      <c r="X296" s="6">
        <v>538.41711399999997</v>
      </c>
      <c r="Y296" s="3">
        <v>2E-3</v>
      </c>
      <c r="AA296" s="3" t="s">
        <v>146</v>
      </c>
      <c r="AB296" s="3">
        <v>0.65</v>
      </c>
      <c r="AC296" s="7">
        <v>590.69793700000002</v>
      </c>
      <c r="AD296" s="3">
        <v>0</v>
      </c>
      <c r="AE296" s="3">
        <f t="shared" si="33"/>
        <v>0.47499999999999998</v>
      </c>
      <c r="AF296" s="5"/>
      <c r="AG296" s="5"/>
      <c r="AH296" s="5"/>
      <c r="AI296" s="5"/>
      <c r="AJ296" s="1"/>
      <c r="AK296" s="3" t="s">
        <v>147</v>
      </c>
      <c r="AL296" s="3">
        <v>0.9</v>
      </c>
      <c r="AM296" s="3">
        <v>0.5</v>
      </c>
      <c r="AN296" s="3">
        <v>0.6</v>
      </c>
      <c r="AO296" s="3">
        <v>0.3</v>
      </c>
      <c r="AP296" s="7">
        <v>865.25726299999997</v>
      </c>
      <c r="AQ296" s="3">
        <v>0.01</v>
      </c>
      <c r="AS296" s="3" t="s">
        <v>147</v>
      </c>
      <c r="AT296" s="3">
        <v>0.02</v>
      </c>
      <c r="AU296" s="6">
        <v>723.69177200000001</v>
      </c>
      <c r="AV296" s="3">
        <v>1E-3</v>
      </c>
      <c r="AW296" s="3">
        <f t="shared" si="34"/>
        <v>0.16</v>
      </c>
      <c r="AX296" s="5"/>
      <c r="AY296" s="5"/>
      <c r="AZ296" s="5"/>
      <c r="BA296" s="5"/>
      <c r="BB296" s="1"/>
      <c r="BC296" s="3" t="s">
        <v>147</v>
      </c>
      <c r="BD296" s="3">
        <v>0.9</v>
      </c>
      <c r="BE296" s="3">
        <v>0.5</v>
      </c>
      <c r="BF296" s="3">
        <v>0.6</v>
      </c>
      <c r="BG296" s="3">
        <v>0.3</v>
      </c>
      <c r="BH296" s="7">
        <v>844.38079800000003</v>
      </c>
      <c r="BI296" s="3">
        <v>6.0000000000000001E-3</v>
      </c>
      <c r="BK296" s="3" t="s">
        <v>147</v>
      </c>
      <c r="BL296" s="3">
        <v>0.04</v>
      </c>
      <c r="BM296" s="6">
        <v>715.07312000000002</v>
      </c>
      <c r="BN296" s="3">
        <v>0</v>
      </c>
      <c r="BO296" s="3">
        <f t="shared" si="35"/>
        <v>0.16999999999999998</v>
      </c>
    </row>
    <row r="297" spans="1:71" x14ac:dyDescent="0.3">
      <c r="A297" s="3" t="s">
        <v>148</v>
      </c>
      <c r="B297" s="3">
        <v>0.9</v>
      </c>
      <c r="C297" s="3">
        <v>0.5</v>
      </c>
      <c r="D297" s="3">
        <v>0.6</v>
      </c>
      <c r="E297" s="3">
        <v>0.3</v>
      </c>
      <c r="F297" s="6">
        <v>596.07830799999999</v>
      </c>
      <c r="G297" s="3">
        <v>1E-3</v>
      </c>
      <c r="I297" s="3" t="s">
        <v>148</v>
      </c>
      <c r="J297" s="3">
        <v>0.48</v>
      </c>
      <c r="K297" s="7">
        <v>632.27447500000005</v>
      </c>
      <c r="L297" s="3">
        <v>0</v>
      </c>
      <c r="M297" s="3">
        <f t="shared" si="32"/>
        <v>0.39</v>
      </c>
      <c r="N297" s="5"/>
      <c r="O297" s="5"/>
      <c r="P297" s="5"/>
      <c r="Q297" s="5"/>
      <c r="R297" s="1"/>
      <c r="S297" s="3" t="s">
        <v>148</v>
      </c>
      <c r="T297" s="3">
        <v>0.9</v>
      </c>
      <c r="U297" s="3">
        <v>0.5</v>
      </c>
      <c r="V297" s="3">
        <v>0.6</v>
      </c>
      <c r="W297" s="3">
        <v>0.3</v>
      </c>
      <c r="X297" s="7">
        <v>602.31835899999999</v>
      </c>
      <c r="Y297" s="3">
        <v>1E-3</v>
      </c>
      <c r="AA297" s="3" t="s">
        <v>148</v>
      </c>
      <c r="AB297" s="3">
        <v>0.15</v>
      </c>
      <c r="AC297" s="6">
        <v>562.808044</v>
      </c>
      <c r="AD297" s="3">
        <v>1E-3</v>
      </c>
      <c r="AE297" s="3">
        <f t="shared" si="33"/>
        <v>0.22499999999999998</v>
      </c>
      <c r="AF297" s="5"/>
      <c r="AG297" s="5"/>
      <c r="AH297" s="5"/>
      <c r="AI297" s="5"/>
      <c r="AJ297" s="1"/>
      <c r="AK297" s="3" t="s">
        <v>149</v>
      </c>
      <c r="AL297" s="3">
        <v>0.9</v>
      </c>
      <c r="AM297" s="3">
        <v>0.5</v>
      </c>
      <c r="AN297" s="3">
        <v>0.6</v>
      </c>
      <c r="AO297" s="3">
        <v>0.3</v>
      </c>
      <c r="AP297" s="6">
        <v>874.792236</v>
      </c>
      <c r="AQ297" s="3">
        <v>7.0000000000000001E-3</v>
      </c>
      <c r="AS297" s="3" t="s">
        <v>149</v>
      </c>
      <c r="AT297" s="3">
        <v>0.79</v>
      </c>
      <c r="AU297" s="7">
        <v>981.12622099999999</v>
      </c>
      <c r="AV297" s="3">
        <v>0</v>
      </c>
      <c r="AW297" s="3">
        <f t="shared" si="34"/>
        <v>0.54500000000000004</v>
      </c>
      <c r="AX297" s="5"/>
      <c r="AY297" s="5"/>
      <c r="AZ297" s="5"/>
      <c r="BA297" s="5"/>
      <c r="BB297" s="1"/>
      <c r="BC297" s="3" t="s">
        <v>149</v>
      </c>
      <c r="BD297" s="3">
        <v>0.9</v>
      </c>
      <c r="BE297" s="3">
        <v>0.5</v>
      </c>
      <c r="BF297" s="3">
        <v>0.6</v>
      </c>
      <c r="BG297" s="3">
        <v>0.3</v>
      </c>
      <c r="BH297" s="7">
        <v>857.71936000000005</v>
      </c>
      <c r="BI297" s="3">
        <v>5.0000000000000001E-3</v>
      </c>
      <c r="BK297" s="3" t="s">
        <v>149</v>
      </c>
      <c r="BL297" s="3">
        <v>0.02</v>
      </c>
      <c r="BM297" s="6">
        <v>719.68707300000005</v>
      </c>
      <c r="BN297" s="3">
        <v>0</v>
      </c>
      <c r="BO297" s="3">
        <f t="shared" si="35"/>
        <v>0.16</v>
      </c>
    </row>
    <row r="298" spans="1:71" x14ac:dyDescent="0.3">
      <c r="A298" s="3" t="s">
        <v>150</v>
      </c>
      <c r="B298" s="3">
        <v>0.9</v>
      </c>
      <c r="C298" s="3">
        <v>0.5</v>
      </c>
      <c r="D298" s="3">
        <v>0.6</v>
      </c>
      <c r="E298" s="3">
        <v>0.3</v>
      </c>
      <c r="F298" s="7">
        <v>541.16216999999995</v>
      </c>
      <c r="G298" s="3">
        <v>1E-3</v>
      </c>
      <c r="I298" s="3" t="s">
        <v>150</v>
      </c>
      <c r="J298" s="3">
        <v>0.27</v>
      </c>
      <c r="K298" s="6">
        <v>532.36523399999999</v>
      </c>
      <c r="L298" s="3">
        <v>0</v>
      </c>
      <c r="M298" s="3">
        <f t="shared" si="32"/>
        <v>0.28500000000000003</v>
      </c>
      <c r="N298" s="5"/>
      <c r="O298" s="5"/>
      <c r="P298" s="5"/>
      <c r="Q298" s="5"/>
      <c r="R298" s="1"/>
      <c r="S298" s="3" t="s">
        <v>150</v>
      </c>
      <c r="T298" s="3">
        <v>0.9</v>
      </c>
      <c r="U298" s="3">
        <v>0.5</v>
      </c>
      <c r="V298" s="3">
        <v>0.6</v>
      </c>
      <c r="W298" s="3">
        <v>0.3</v>
      </c>
      <c r="X298" s="6">
        <v>521.92016599999999</v>
      </c>
      <c r="Y298" s="3">
        <v>1E-3</v>
      </c>
      <c r="AA298" s="3" t="s">
        <v>150</v>
      </c>
      <c r="AB298" s="3">
        <v>0.67</v>
      </c>
      <c r="AC298" s="7">
        <v>577.68188499999997</v>
      </c>
      <c r="AD298" s="3">
        <v>0</v>
      </c>
      <c r="AE298" s="3">
        <f t="shared" si="33"/>
        <v>0.48499999999999999</v>
      </c>
      <c r="AF298" s="5"/>
      <c r="AG298" s="5"/>
      <c r="AH298" s="5"/>
      <c r="AI298" s="5"/>
      <c r="AJ298" s="1"/>
      <c r="AK298" s="3" t="s">
        <v>151</v>
      </c>
      <c r="AL298" s="3">
        <v>0.9</v>
      </c>
      <c r="AM298" s="3">
        <v>0.5</v>
      </c>
      <c r="AN298" s="3">
        <v>0.6</v>
      </c>
      <c r="AO298" s="3">
        <v>0.3</v>
      </c>
      <c r="AP298" s="6">
        <v>789.73742700000003</v>
      </c>
      <c r="AQ298" s="3">
        <v>5.0000000000000001E-3</v>
      </c>
      <c r="AS298" s="3" t="s">
        <v>151</v>
      </c>
      <c r="AT298" s="3">
        <v>0.36</v>
      </c>
      <c r="AU298" s="7">
        <v>818.81207300000005</v>
      </c>
      <c r="AV298" s="3">
        <v>1E-3</v>
      </c>
      <c r="AW298" s="3">
        <f t="shared" si="34"/>
        <v>0.32999999999999996</v>
      </c>
      <c r="AX298" s="5"/>
      <c r="AY298" s="5"/>
      <c r="AZ298" s="5"/>
      <c r="BA298" s="5"/>
      <c r="BB298" s="1"/>
      <c r="BC298" s="3" t="s">
        <v>151</v>
      </c>
      <c r="BD298" s="3">
        <v>0.9</v>
      </c>
      <c r="BE298" s="3">
        <v>0.5</v>
      </c>
      <c r="BF298" s="3">
        <v>0.6</v>
      </c>
      <c r="BG298" s="3">
        <v>0.3</v>
      </c>
      <c r="BH298" s="7">
        <v>770.75048800000002</v>
      </c>
      <c r="BI298" s="3">
        <v>7.0000000000000001E-3</v>
      </c>
      <c r="BK298" s="3" t="s">
        <v>151</v>
      </c>
      <c r="BL298" s="3">
        <v>0.15</v>
      </c>
      <c r="BM298" s="6">
        <v>716.73205600000006</v>
      </c>
      <c r="BN298" s="3">
        <v>0</v>
      </c>
      <c r="BO298" s="3">
        <f t="shared" si="35"/>
        <v>0.22499999999999998</v>
      </c>
    </row>
    <row r="299" spans="1:71" x14ac:dyDescent="0.3">
      <c r="A299" s="3" t="s">
        <v>152</v>
      </c>
      <c r="B299" s="3">
        <v>0.9</v>
      </c>
      <c r="C299" s="3">
        <v>0.5</v>
      </c>
      <c r="D299" s="3">
        <v>0.6</v>
      </c>
      <c r="E299" s="3">
        <v>0.3</v>
      </c>
      <c r="F299" s="6">
        <v>598.81457499999999</v>
      </c>
      <c r="G299" s="3">
        <v>1E-3</v>
      </c>
      <c r="I299" s="3" t="s">
        <v>152</v>
      </c>
      <c r="J299" s="3">
        <v>0.54</v>
      </c>
      <c r="K299" s="7">
        <v>620.36187700000005</v>
      </c>
      <c r="L299" s="3">
        <v>0</v>
      </c>
      <c r="M299" s="3">
        <f t="shared" si="32"/>
        <v>0.42000000000000004</v>
      </c>
      <c r="N299" s="5"/>
      <c r="O299" s="5"/>
      <c r="P299" s="5"/>
      <c r="Q299" s="5"/>
      <c r="R299" s="1"/>
      <c r="S299" s="3" t="s">
        <v>152</v>
      </c>
      <c r="T299" s="3">
        <v>0.9</v>
      </c>
      <c r="U299" s="3">
        <v>0.5</v>
      </c>
      <c r="V299" s="3">
        <v>0.6</v>
      </c>
      <c r="W299" s="3">
        <v>0.3</v>
      </c>
      <c r="X299" s="6">
        <v>581.80120799999997</v>
      </c>
      <c r="Y299" s="3">
        <v>2E-3</v>
      </c>
      <c r="AA299" s="3" t="s">
        <v>152</v>
      </c>
      <c r="AB299" s="3">
        <v>0.88</v>
      </c>
      <c r="AC299" s="7">
        <v>645.38983199999996</v>
      </c>
      <c r="AD299" s="3">
        <v>0</v>
      </c>
      <c r="AE299" s="3">
        <f t="shared" si="33"/>
        <v>0.59</v>
      </c>
      <c r="AF299" s="5"/>
      <c r="AG299" s="5"/>
      <c r="AH299" s="5"/>
      <c r="AI299" s="5"/>
      <c r="AJ299" s="1"/>
      <c r="AK299" s="3" t="s">
        <v>153</v>
      </c>
      <c r="AL299" s="3">
        <v>0.9</v>
      </c>
      <c r="AM299" s="3">
        <v>0.5</v>
      </c>
      <c r="AN299" s="3">
        <v>0.6</v>
      </c>
      <c r="AO299" s="3">
        <v>0.3</v>
      </c>
      <c r="AP299" s="6">
        <v>873.22882100000004</v>
      </c>
      <c r="AQ299" s="3">
        <v>8.0000000000000002E-3</v>
      </c>
      <c r="AS299" s="3" t="s">
        <v>153</v>
      </c>
      <c r="AT299" s="3">
        <v>0.65</v>
      </c>
      <c r="AU299" s="7">
        <v>985.54321300000004</v>
      </c>
      <c r="AV299" s="3">
        <v>1E-3</v>
      </c>
      <c r="AW299" s="3">
        <f t="shared" si="34"/>
        <v>0.47499999999999998</v>
      </c>
      <c r="AX299" s="5"/>
      <c r="AY299" s="5"/>
      <c r="AZ299" s="5"/>
      <c r="BA299" s="5"/>
      <c r="BB299" s="1"/>
      <c r="BC299" s="3" t="s">
        <v>153</v>
      </c>
      <c r="BD299" s="3">
        <v>0.9</v>
      </c>
      <c r="BE299" s="3">
        <v>0.5</v>
      </c>
      <c r="BF299" s="3">
        <v>0.6</v>
      </c>
      <c r="BG299" s="3">
        <v>0.3</v>
      </c>
      <c r="BH299" s="6">
        <v>847.91674799999998</v>
      </c>
      <c r="BI299" s="3">
        <v>6.0000000000000001E-3</v>
      </c>
      <c r="BK299" s="3" t="s">
        <v>153</v>
      </c>
      <c r="BL299" s="3">
        <v>0.57999999999999996</v>
      </c>
      <c r="BM299" s="7">
        <v>961.96838400000001</v>
      </c>
      <c r="BN299" s="3">
        <v>0</v>
      </c>
      <c r="BO299" s="3">
        <f t="shared" si="35"/>
        <v>0.43999999999999995</v>
      </c>
    </row>
    <row r="300" spans="1:71" x14ac:dyDescent="0.3">
      <c r="A300" s="3" t="s">
        <v>154</v>
      </c>
      <c r="B300" s="3">
        <v>0.9</v>
      </c>
      <c r="C300" s="3">
        <v>0.5</v>
      </c>
      <c r="D300" s="3">
        <v>0.6</v>
      </c>
      <c r="E300" s="3">
        <v>0.3</v>
      </c>
      <c r="F300" s="6">
        <v>606.855774</v>
      </c>
      <c r="G300" s="3">
        <v>1E-3</v>
      </c>
      <c r="I300" s="3" t="s">
        <v>154</v>
      </c>
      <c r="J300" s="3">
        <v>0.89</v>
      </c>
      <c r="K300" s="7">
        <v>691.201233</v>
      </c>
      <c r="L300" s="3">
        <v>0</v>
      </c>
      <c r="M300" s="3">
        <f t="shared" si="32"/>
        <v>0.59499999999999997</v>
      </c>
      <c r="N300" s="5"/>
      <c r="O300" s="5"/>
      <c r="P300" s="5"/>
      <c r="Q300" s="5"/>
      <c r="R300" s="1"/>
      <c r="S300" s="3" t="s">
        <v>154</v>
      </c>
      <c r="T300" s="3">
        <v>0.9</v>
      </c>
      <c r="U300" s="3">
        <v>0.5</v>
      </c>
      <c r="V300" s="3">
        <v>0.6</v>
      </c>
      <c r="W300" s="3">
        <v>0.3</v>
      </c>
      <c r="X300" s="7">
        <v>603.57415800000001</v>
      </c>
      <c r="Y300" s="3">
        <v>3.0000000000000001E-3</v>
      </c>
      <c r="AA300" s="3" t="s">
        <v>154</v>
      </c>
      <c r="AB300" s="3">
        <v>0.08</v>
      </c>
      <c r="AC300" s="6">
        <v>561.41479500000003</v>
      </c>
      <c r="AD300" s="3">
        <v>0</v>
      </c>
      <c r="AE300" s="3">
        <f t="shared" si="33"/>
        <v>0.19</v>
      </c>
      <c r="AF300" s="5"/>
      <c r="AG300" s="5"/>
      <c r="AH300" s="5"/>
      <c r="AI300" s="5"/>
      <c r="AJ300" s="1"/>
      <c r="AK300" s="3" t="s">
        <v>155</v>
      </c>
      <c r="AL300" s="3">
        <v>0.9</v>
      </c>
      <c r="AM300" s="3">
        <v>0.5</v>
      </c>
      <c r="AN300" s="3">
        <v>0.6</v>
      </c>
      <c r="AO300" s="3">
        <v>0.3</v>
      </c>
      <c r="AP300" s="6">
        <v>1103.6235349999999</v>
      </c>
      <c r="AQ300" s="3">
        <v>8.9999999999999993E-3</v>
      </c>
      <c r="AS300" s="3" t="s">
        <v>155</v>
      </c>
      <c r="AT300" s="3">
        <v>0.81</v>
      </c>
      <c r="AU300" s="7">
        <v>1299.397461</v>
      </c>
      <c r="AV300" s="3">
        <v>1E-3</v>
      </c>
      <c r="AW300" s="3">
        <f t="shared" si="34"/>
        <v>0.55500000000000005</v>
      </c>
      <c r="AX300" s="5"/>
      <c r="AY300" s="5"/>
      <c r="AZ300" s="5"/>
      <c r="BA300" s="5"/>
      <c r="BB300" s="1"/>
      <c r="BC300" s="3" t="s">
        <v>155</v>
      </c>
      <c r="BD300" s="3">
        <v>0.9</v>
      </c>
      <c r="BE300" s="3">
        <v>0.5</v>
      </c>
      <c r="BF300" s="3">
        <v>0.6</v>
      </c>
      <c r="BG300" s="3">
        <v>0.3</v>
      </c>
      <c r="BH300" s="6">
        <v>1099.0969239999999</v>
      </c>
      <c r="BI300" s="3">
        <v>8.0000000000000002E-3</v>
      </c>
      <c r="BK300" s="3" t="s">
        <v>155</v>
      </c>
      <c r="BL300" s="3">
        <v>0.42</v>
      </c>
      <c r="BM300" s="7">
        <v>1156.4822999999999</v>
      </c>
      <c r="BN300" s="3">
        <v>1E-3</v>
      </c>
      <c r="BO300" s="3">
        <f t="shared" si="35"/>
        <v>0.36</v>
      </c>
    </row>
    <row r="301" spans="1:71" x14ac:dyDescent="0.3">
      <c r="A301" s="3" t="s">
        <v>156</v>
      </c>
      <c r="B301" s="3">
        <v>0.9</v>
      </c>
      <c r="C301" s="3">
        <v>0.5</v>
      </c>
      <c r="D301" s="3">
        <v>0.6</v>
      </c>
      <c r="E301" s="3">
        <v>0.3</v>
      </c>
      <c r="F301" s="6">
        <v>662.14514199999996</v>
      </c>
      <c r="G301" s="3">
        <v>1E-3</v>
      </c>
      <c r="I301" s="3" t="s">
        <v>156</v>
      </c>
      <c r="J301" s="3">
        <v>0.84</v>
      </c>
      <c r="K301" s="7">
        <v>713.50994900000001</v>
      </c>
      <c r="L301" s="3">
        <v>0</v>
      </c>
      <c r="M301" s="3">
        <f t="shared" si="32"/>
        <v>0.56999999999999995</v>
      </c>
      <c r="N301" s="5"/>
      <c r="O301" s="5"/>
      <c r="P301" s="5"/>
      <c r="Q301" s="5"/>
      <c r="R301" s="1"/>
      <c r="S301" s="3" t="s">
        <v>156</v>
      </c>
      <c r="T301" s="3">
        <v>0.9</v>
      </c>
      <c r="U301" s="3">
        <v>0.5</v>
      </c>
      <c r="V301" s="3">
        <v>0.6</v>
      </c>
      <c r="W301" s="3">
        <v>0.3</v>
      </c>
      <c r="X301" s="6">
        <v>648.69305399999996</v>
      </c>
      <c r="Y301" s="3">
        <v>1E-3</v>
      </c>
      <c r="AA301" s="3" t="s">
        <v>156</v>
      </c>
      <c r="AB301" s="3">
        <v>0.49</v>
      </c>
      <c r="AC301" s="7">
        <v>691.43280000000004</v>
      </c>
      <c r="AD301" s="3">
        <v>1E-3</v>
      </c>
      <c r="AE301" s="3">
        <f t="shared" si="33"/>
        <v>0.39500000000000002</v>
      </c>
      <c r="AF301" s="5"/>
      <c r="AG301" s="5"/>
      <c r="AH301" s="5"/>
      <c r="AI301" s="5"/>
      <c r="AJ301" s="1"/>
      <c r="AK301" s="3" t="s">
        <v>157</v>
      </c>
      <c r="AL301" s="3">
        <v>0.9</v>
      </c>
      <c r="AM301" s="3">
        <v>0.5</v>
      </c>
      <c r="AN301" s="3">
        <v>0.6</v>
      </c>
      <c r="AO301" s="3">
        <v>0.3</v>
      </c>
      <c r="AP301" s="6">
        <v>1041.415283</v>
      </c>
      <c r="AQ301" s="3">
        <v>0.01</v>
      </c>
      <c r="AS301" s="3" t="s">
        <v>157</v>
      </c>
      <c r="AT301" s="3">
        <v>0.79</v>
      </c>
      <c r="AU301" s="7">
        <v>1244.770996</v>
      </c>
      <c r="AV301" s="3">
        <v>1E-3</v>
      </c>
      <c r="AW301" s="3">
        <f t="shared" si="34"/>
        <v>0.54500000000000004</v>
      </c>
      <c r="AX301" s="5"/>
      <c r="AY301" s="5"/>
      <c r="AZ301" s="5"/>
      <c r="BA301" s="5"/>
      <c r="BB301" s="1"/>
      <c r="BC301" s="3" t="s">
        <v>157</v>
      </c>
      <c r="BD301" s="3">
        <v>0.9</v>
      </c>
      <c r="BE301" s="3">
        <v>0.5</v>
      </c>
      <c r="BF301" s="3">
        <v>0.6</v>
      </c>
      <c r="BG301" s="3">
        <v>0.3</v>
      </c>
      <c r="BH301" s="6">
        <v>1031.7647710000001</v>
      </c>
      <c r="BI301" s="3">
        <v>8.0000000000000002E-3</v>
      </c>
      <c r="BK301" s="3" t="s">
        <v>157</v>
      </c>
      <c r="BL301" s="3">
        <v>0.79</v>
      </c>
      <c r="BM301" s="7">
        <v>1241.822754</v>
      </c>
      <c r="BN301" s="3">
        <v>1E-3</v>
      </c>
      <c r="BO301" s="3">
        <f t="shared" si="35"/>
        <v>0.54500000000000004</v>
      </c>
    </row>
    <row r="302" spans="1:71" x14ac:dyDescent="0.3">
      <c r="A302" s="3" t="s">
        <v>158</v>
      </c>
      <c r="B302" s="3">
        <v>0.9</v>
      </c>
      <c r="C302" s="3">
        <v>0.5</v>
      </c>
      <c r="D302" s="3">
        <v>0.6</v>
      </c>
      <c r="E302" s="3">
        <v>0.3</v>
      </c>
      <c r="F302" s="6">
        <v>662.15148899999997</v>
      </c>
      <c r="G302" s="3">
        <v>2E-3</v>
      </c>
      <c r="I302" s="3" t="s">
        <v>158</v>
      </c>
      <c r="J302" s="3">
        <v>0.7</v>
      </c>
      <c r="K302" s="7">
        <v>716.16894500000001</v>
      </c>
      <c r="L302" s="3">
        <v>0</v>
      </c>
      <c r="M302" s="3">
        <f t="shared" si="32"/>
        <v>0.5</v>
      </c>
      <c r="N302" s="5"/>
      <c r="O302" s="5"/>
      <c r="P302" s="5"/>
      <c r="Q302" s="5"/>
      <c r="R302" s="1"/>
      <c r="S302" s="3" t="s">
        <v>158</v>
      </c>
      <c r="T302" s="3">
        <v>0.9</v>
      </c>
      <c r="U302" s="3">
        <v>0.5</v>
      </c>
      <c r="V302" s="3">
        <v>0.6</v>
      </c>
      <c r="W302" s="3">
        <v>0.3</v>
      </c>
      <c r="X302" s="6">
        <v>663.27984600000002</v>
      </c>
      <c r="Y302" s="3">
        <v>2E-3</v>
      </c>
      <c r="AA302" s="3" t="s">
        <v>158</v>
      </c>
      <c r="AB302" s="3">
        <v>0.41</v>
      </c>
      <c r="AC302" s="7">
        <v>689.636841</v>
      </c>
      <c r="AD302" s="3">
        <v>0</v>
      </c>
      <c r="AE302" s="3">
        <f t="shared" si="33"/>
        <v>0.35499999999999998</v>
      </c>
      <c r="AF302" s="5"/>
      <c r="AG302" s="5"/>
      <c r="AH302" s="5"/>
      <c r="AI302" s="5"/>
      <c r="AJ302" s="1"/>
      <c r="AK302" s="3" t="s">
        <v>159</v>
      </c>
      <c r="AL302" s="3">
        <v>0.9</v>
      </c>
      <c r="AM302" s="3">
        <v>0.5</v>
      </c>
      <c r="AN302" s="3">
        <v>0.6</v>
      </c>
      <c r="AO302" s="3">
        <v>0.3</v>
      </c>
      <c r="AP302" s="6">
        <v>969.98309300000005</v>
      </c>
      <c r="AQ302" s="3">
        <v>8.0000000000000002E-3</v>
      </c>
      <c r="AS302" s="3" t="s">
        <v>159</v>
      </c>
      <c r="AT302" s="3">
        <v>0.76</v>
      </c>
      <c r="AU302" s="7">
        <v>1145.2414550000001</v>
      </c>
      <c r="AV302" s="3">
        <v>1E-3</v>
      </c>
      <c r="AW302" s="3">
        <f t="shared" si="34"/>
        <v>0.53</v>
      </c>
      <c r="AX302" s="5"/>
      <c r="AY302" s="5"/>
      <c r="AZ302" s="5"/>
      <c r="BA302" s="5"/>
      <c r="BB302" s="1"/>
      <c r="BC302" s="3" t="s">
        <v>159</v>
      </c>
      <c r="BD302" s="3">
        <v>0.9</v>
      </c>
      <c r="BE302" s="3">
        <v>0.5</v>
      </c>
      <c r="BF302" s="3">
        <v>0.6</v>
      </c>
      <c r="BG302" s="3">
        <v>0.3</v>
      </c>
      <c r="BH302" s="7">
        <v>963.83734100000004</v>
      </c>
      <c r="BI302" s="3">
        <v>7.0000000000000001E-3</v>
      </c>
      <c r="BK302" s="3" t="s">
        <v>159</v>
      </c>
      <c r="BL302" s="3">
        <v>0.3</v>
      </c>
      <c r="BM302" s="6">
        <v>962.91674799999998</v>
      </c>
      <c r="BN302" s="3">
        <v>0</v>
      </c>
      <c r="BO302" s="3">
        <f t="shared" si="35"/>
        <v>0.3</v>
      </c>
    </row>
    <row r="303" spans="1:71" x14ac:dyDescent="0.3">
      <c r="A303" s="3" t="s">
        <v>160</v>
      </c>
      <c r="B303" s="3">
        <v>0.9</v>
      </c>
      <c r="C303" s="3">
        <v>0.5</v>
      </c>
      <c r="D303" s="3">
        <v>0.6</v>
      </c>
      <c r="E303" s="3">
        <v>0.3</v>
      </c>
      <c r="F303" s="6">
        <v>600.62872300000004</v>
      </c>
      <c r="G303" s="3">
        <v>1E-3</v>
      </c>
      <c r="I303" s="3" t="s">
        <v>160</v>
      </c>
      <c r="J303" s="3">
        <v>0.9</v>
      </c>
      <c r="K303" s="7">
        <v>669.06390399999998</v>
      </c>
      <c r="L303" s="3">
        <v>0</v>
      </c>
      <c r="M303" s="3">
        <f t="shared" si="32"/>
        <v>0.6</v>
      </c>
      <c r="N303" s="5"/>
      <c r="O303" s="5"/>
      <c r="P303" s="5"/>
      <c r="Q303" s="5"/>
      <c r="R303" s="1"/>
      <c r="S303" s="3" t="s">
        <v>160</v>
      </c>
      <c r="T303" s="3">
        <v>0.9</v>
      </c>
      <c r="U303" s="3">
        <v>0.5</v>
      </c>
      <c r="V303" s="3">
        <v>0.6</v>
      </c>
      <c r="W303" s="3">
        <v>0.3</v>
      </c>
      <c r="X303" s="6">
        <v>591.32275400000003</v>
      </c>
      <c r="Y303" s="3">
        <v>2E-3</v>
      </c>
      <c r="AA303" s="3" t="s">
        <v>160</v>
      </c>
      <c r="AB303" s="3">
        <v>0.76</v>
      </c>
      <c r="AC303" s="7">
        <v>654.21997099999999</v>
      </c>
      <c r="AD303" s="3">
        <v>0</v>
      </c>
      <c r="AE303" s="3">
        <f t="shared" si="33"/>
        <v>0.53</v>
      </c>
      <c r="AF303" s="5"/>
      <c r="AG303" s="5"/>
      <c r="AH303" s="5"/>
      <c r="AI303" s="5"/>
      <c r="AJ303" s="1"/>
      <c r="AK303" s="3" t="s">
        <v>161</v>
      </c>
      <c r="AL303" s="3">
        <v>0.9</v>
      </c>
      <c r="AM303" s="3">
        <v>0.5</v>
      </c>
      <c r="AN303" s="3">
        <v>0.6</v>
      </c>
      <c r="AO303" s="3">
        <v>0.3</v>
      </c>
      <c r="AP303" s="6">
        <v>1060.4702150000001</v>
      </c>
      <c r="AQ303" s="3">
        <v>0.01</v>
      </c>
      <c r="AS303" s="3" t="s">
        <v>161</v>
      </c>
      <c r="AT303" s="3">
        <v>0.39</v>
      </c>
      <c r="AU303" s="7">
        <v>1079.974976</v>
      </c>
      <c r="AV303" s="3">
        <v>1E-3</v>
      </c>
      <c r="AW303" s="3">
        <f t="shared" si="34"/>
        <v>0.34499999999999997</v>
      </c>
      <c r="AX303" s="5"/>
      <c r="AY303" s="5"/>
      <c r="AZ303" s="5"/>
      <c r="BA303" s="5"/>
      <c r="BB303" s="1"/>
      <c r="BC303" s="3" t="s">
        <v>161</v>
      </c>
      <c r="BD303" s="3">
        <v>0.9</v>
      </c>
      <c r="BE303" s="3">
        <v>0.5</v>
      </c>
      <c r="BF303" s="3">
        <v>0.6</v>
      </c>
      <c r="BG303" s="3">
        <v>0.3</v>
      </c>
      <c r="BH303" s="6">
        <v>1029.383423</v>
      </c>
      <c r="BI303" s="3">
        <v>7.0000000000000001E-3</v>
      </c>
      <c r="BK303" s="3" t="s">
        <v>161</v>
      </c>
      <c r="BL303" s="3">
        <v>0.31</v>
      </c>
      <c r="BM303" s="7">
        <v>1037.2695309999999</v>
      </c>
      <c r="BN303" s="3">
        <v>1E-3</v>
      </c>
      <c r="BO303" s="3">
        <f t="shared" si="35"/>
        <v>0.30499999999999999</v>
      </c>
    </row>
    <row r="304" spans="1:71" x14ac:dyDescent="0.3">
      <c r="A304" s="3" t="s">
        <v>162</v>
      </c>
      <c r="B304" s="3">
        <v>0.9</v>
      </c>
      <c r="C304" s="3">
        <v>0.5</v>
      </c>
      <c r="D304" s="3">
        <v>0.6</v>
      </c>
      <c r="E304" s="3">
        <v>0.3</v>
      </c>
      <c r="F304" s="6">
        <v>600.643372</v>
      </c>
      <c r="G304" s="3">
        <v>2E-3</v>
      </c>
      <c r="I304" s="3" t="s">
        <v>162</v>
      </c>
      <c r="J304" s="3">
        <v>0.38</v>
      </c>
      <c r="K304" s="7">
        <v>633.16699200000005</v>
      </c>
      <c r="L304" s="3">
        <v>0</v>
      </c>
      <c r="M304" s="3">
        <f t="shared" si="32"/>
        <v>0.33999999999999997</v>
      </c>
      <c r="N304" s="5"/>
      <c r="O304" s="5"/>
      <c r="P304" s="5"/>
      <c r="Q304" s="5"/>
      <c r="R304" s="1"/>
      <c r="S304" s="3" t="s">
        <v>162</v>
      </c>
      <c r="T304" s="3">
        <v>0.9</v>
      </c>
      <c r="U304" s="3">
        <v>0.5</v>
      </c>
      <c r="V304" s="3">
        <v>0.6</v>
      </c>
      <c r="W304" s="3">
        <v>0.3</v>
      </c>
      <c r="X304" s="6">
        <v>615.48120100000006</v>
      </c>
      <c r="Y304" s="3">
        <v>4.0000000000000001E-3</v>
      </c>
      <c r="AA304" s="3" t="s">
        <v>162</v>
      </c>
      <c r="AB304" s="3">
        <v>0.85</v>
      </c>
      <c r="AC304" s="7">
        <v>707.64941399999998</v>
      </c>
      <c r="AD304" s="3">
        <v>0</v>
      </c>
      <c r="AE304" s="3">
        <f t="shared" si="33"/>
        <v>0.57499999999999996</v>
      </c>
      <c r="AF304" s="5"/>
      <c r="AG304" s="5"/>
      <c r="AH304" s="5"/>
      <c r="AI304" s="5"/>
      <c r="AJ304" s="1"/>
      <c r="AK304" s="3" t="s">
        <v>163</v>
      </c>
      <c r="AL304" s="3">
        <v>0.9</v>
      </c>
      <c r="AM304" s="3">
        <v>0.5</v>
      </c>
      <c r="AN304" s="3">
        <v>0.6</v>
      </c>
      <c r="AO304" s="3">
        <v>0.3</v>
      </c>
      <c r="AP304" s="6">
        <v>1019.076416</v>
      </c>
      <c r="AQ304" s="3">
        <v>1.0999999999999999E-2</v>
      </c>
      <c r="AS304" s="3" t="s">
        <v>163</v>
      </c>
      <c r="AT304" s="3">
        <v>0.96</v>
      </c>
      <c r="AU304" s="7">
        <v>1266.3679199999999</v>
      </c>
      <c r="AV304" s="3">
        <v>1E-3</v>
      </c>
      <c r="AW304" s="3">
        <f t="shared" si="34"/>
        <v>0.63</v>
      </c>
      <c r="AX304" s="5"/>
      <c r="AY304" s="5"/>
      <c r="AZ304" s="5"/>
      <c r="BA304" s="5"/>
      <c r="BB304" s="1"/>
      <c r="BC304" s="3" t="s">
        <v>163</v>
      </c>
      <c r="BD304" s="3">
        <v>0.9</v>
      </c>
      <c r="BE304" s="3">
        <v>0.5</v>
      </c>
      <c r="BF304" s="3">
        <v>0.6</v>
      </c>
      <c r="BG304" s="3">
        <v>0.3</v>
      </c>
      <c r="BH304" s="7">
        <v>1018.272827</v>
      </c>
      <c r="BI304" s="3">
        <v>7.0000000000000001E-3</v>
      </c>
      <c r="BK304" s="3" t="s">
        <v>163</v>
      </c>
      <c r="BL304" s="3">
        <v>0.14000000000000001</v>
      </c>
      <c r="BM304" s="6">
        <v>901.46508800000004</v>
      </c>
      <c r="BN304" s="3">
        <v>1E-3</v>
      </c>
      <c r="BO304" s="3">
        <f t="shared" si="35"/>
        <v>0.22</v>
      </c>
    </row>
    <row r="305" spans="1:67" x14ac:dyDescent="0.3">
      <c r="A305" s="3" t="s">
        <v>164</v>
      </c>
      <c r="B305" s="3">
        <v>0.9</v>
      </c>
      <c r="C305" s="3">
        <v>0.5</v>
      </c>
      <c r="D305" s="3">
        <v>0.6</v>
      </c>
      <c r="E305" s="3">
        <v>0.3</v>
      </c>
      <c r="F305" s="6">
        <v>546.13262899999995</v>
      </c>
      <c r="G305" s="3">
        <v>2E-3</v>
      </c>
      <c r="I305" s="3" t="s">
        <v>164</v>
      </c>
      <c r="J305" s="3">
        <v>0.34</v>
      </c>
      <c r="K305" s="7">
        <v>548.45214799999997</v>
      </c>
      <c r="L305" s="3">
        <v>0</v>
      </c>
      <c r="M305" s="3">
        <f t="shared" si="32"/>
        <v>0.32</v>
      </c>
      <c r="N305" s="5"/>
      <c r="O305" s="5"/>
      <c r="P305" s="5"/>
      <c r="Q305" s="5"/>
      <c r="R305" s="1"/>
      <c r="S305" s="3" t="s">
        <v>164</v>
      </c>
      <c r="T305" s="3">
        <v>0.9</v>
      </c>
      <c r="U305" s="3">
        <v>0.5</v>
      </c>
      <c r="V305" s="3">
        <v>0.6</v>
      </c>
      <c r="W305" s="3">
        <v>0.3</v>
      </c>
      <c r="X305" s="6">
        <v>535.23461899999995</v>
      </c>
      <c r="Y305" s="3">
        <v>2E-3</v>
      </c>
      <c r="AA305" s="3" t="s">
        <v>164</v>
      </c>
      <c r="AB305" s="3">
        <v>0.72</v>
      </c>
      <c r="AC305" s="7">
        <v>607.10913100000005</v>
      </c>
      <c r="AD305" s="3">
        <v>0</v>
      </c>
      <c r="AE305" s="3">
        <f t="shared" si="33"/>
        <v>0.51</v>
      </c>
      <c r="AF305" s="5"/>
      <c r="AG305" s="5"/>
      <c r="AH305" s="5"/>
      <c r="AI305" s="5"/>
      <c r="AJ305" s="1"/>
      <c r="AK305" s="3" t="s">
        <v>165</v>
      </c>
      <c r="AL305" s="3">
        <v>0.9</v>
      </c>
      <c r="AM305" s="3">
        <v>0.5</v>
      </c>
      <c r="AN305" s="3">
        <v>0.6</v>
      </c>
      <c r="AO305" s="3">
        <v>0.3</v>
      </c>
      <c r="AP305" s="6">
        <v>959.12274200000002</v>
      </c>
      <c r="AQ305" s="3">
        <v>8.9999999999999993E-3</v>
      </c>
      <c r="AS305" s="3" t="s">
        <v>165</v>
      </c>
      <c r="AT305" s="3">
        <v>0.76</v>
      </c>
      <c r="AU305" s="7">
        <v>1122.8012699999999</v>
      </c>
      <c r="AV305" s="3">
        <v>1E-3</v>
      </c>
      <c r="AW305" s="3">
        <f t="shared" si="34"/>
        <v>0.53</v>
      </c>
      <c r="AX305" s="5"/>
      <c r="AY305" s="5"/>
      <c r="AZ305" s="5"/>
      <c r="BA305" s="5"/>
      <c r="BB305" s="1"/>
      <c r="BC305" s="3" t="s">
        <v>165</v>
      </c>
      <c r="BD305" s="3">
        <v>0.9</v>
      </c>
      <c r="BE305" s="3">
        <v>0.5</v>
      </c>
      <c r="BF305" s="3">
        <v>0.6</v>
      </c>
      <c r="BG305" s="3">
        <v>0.3</v>
      </c>
      <c r="BH305" s="6">
        <v>946.27728300000001</v>
      </c>
      <c r="BI305" s="3">
        <v>7.0000000000000001E-3</v>
      </c>
      <c r="BK305" s="3" t="s">
        <v>165</v>
      </c>
      <c r="BL305" s="3">
        <v>0.63</v>
      </c>
      <c r="BM305" s="7">
        <v>1075.0111079999999</v>
      </c>
      <c r="BN305" s="3">
        <v>0</v>
      </c>
      <c r="BO305" s="3">
        <f t="shared" si="35"/>
        <v>0.46499999999999997</v>
      </c>
    </row>
    <row r="306" spans="1:67" x14ac:dyDescent="0.3">
      <c r="A306" s="3" t="s">
        <v>166</v>
      </c>
      <c r="B306" s="3">
        <v>0.9</v>
      </c>
      <c r="C306" s="3">
        <v>0.5</v>
      </c>
      <c r="D306" s="3">
        <v>0.6</v>
      </c>
      <c r="E306" s="3">
        <v>0.3</v>
      </c>
      <c r="F306" s="6">
        <v>740.06402600000001</v>
      </c>
      <c r="G306" s="3">
        <v>2E-3</v>
      </c>
      <c r="I306" s="3" t="s">
        <v>166</v>
      </c>
      <c r="J306" s="3">
        <v>0.91</v>
      </c>
      <c r="K306" s="7">
        <v>843.16156000000001</v>
      </c>
      <c r="L306" s="3">
        <v>0</v>
      </c>
      <c r="M306" s="3">
        <f t="shared" si="32"/>
        <v>0.60499999999999998</v>
      </c>
      <c r="N306" s="5"/>
      <c r="O306" s="5"/>
      <c r="P306" s="5"/>
      <c r="Q306" s="5"/>
      <c r="R306" s="1"/>
      <c r="S306" s="3" t="s">
        <v>166</v>
      </c>
      <c r="T306" s="3">
        <v>0.9</v>
      </c>
      <c r="U306" s="3">
        <v>0.5</v>
      </c>
      <c r="V306" s="3">
        <v>0.6</v>
      </c>
      <c r="W306" s="3">
        <v>0.3</v>
      </c>
      <c r="X306" s="6">
        <v>733.37536599999999</v>
      </c>
      <c r="Y306" s="3">
        <v>2E-3</v>
      </c>
      <c r="AA306" s="3" t="s">
        <v>166</v>
      </c>
      <c r="AB306" s="3">
        <v>0.52</v>
      </c>
      <c r="AC306" s="7">
        <v>799.65698199999997</v>
      </c>
      <c r="AD306" s="3">
        <v>0</v>
      </c>
      <c r="AE306" s="3">
        <f t="shared" si="33"/>
        <v>0.41000000000000003</v>
      </c>
      <c r="AF306" s="5"/>
      <c r="AG306" s="5"/>
      <c r="AH306" s="5"/>
      <c r="AI306" s="5"/>
      <c r="AJ306" s="1"/>
      <c r="AK306" s="3" t="s">
        <v>167</v>
      </c>
      <c r="AL306" s="3">
        <v>0.9</v>
      </c>
      <c r="AM306" s="3">
        <v>0.5</v>
      </c>
      <c r="AN306" s="3">
        <v>0.6</v>
      </c>
      <c r="AO306" s="3">
        <v>0.3</v>
      </c>
      <c r="AP306" s="6">
        <v>970.05682400000001</v>
      </c>
      <c r="AQ306" s="3">
        <v>8.0000000000000002E-3</v>
      </c>
      <c r="AS306" s="3" t="s">
        <v>167</v>
      </c>
      <c r="AT306" s="3">
        <v>0.6</v>
      </c>
      <c r="AU306" s="7">
        <v>1131.224121</v>
      </c>
      <c r="AV306" s="3">
        <v>1E-3</v>
      </c>
      <c r="AW306" s="3">
        <f t="shared" si="34"/>
        <v>0.44999999999999996</v>
      </c>
      <c r="AX306" s="5"/>
      <c r="AY306" s="5"/>
      <c r="AZ306" s="5"/>
      <c r="BA306" s="5"/>
      <c r="BB306" s="1"/>
      <c r="BC306" s="3" t="s">
        <v>167</v>
      </c>
      <c r="BD306" s="3">
        <v>0.9</v>
      </c>
      <c r="BE306" s="3">
        <v>0.5</v>
      </c>
      <c r="BF306" s="3">
        <v>0.6</v>
      </c>
      <c r="BG306" s="3">
        <v>0.3</v>
      </c>
      <c r="BH306" s="6">
        <v>991.74468999999999</v>
      </c>
      <c r="BI306" s="3">
        <v>0.01</v>
      </c>
      <c r="BK306" s="3" t="s">
        <v>167</v>
      </c>
      <c r="BL306" s="3">
        <v>0.6</v>
      </c>
      <c r="BM306" s="7">
        <v>1129.695923</v>
      </c>
      <c r="BN306" s="3">
        <v>1E-3</v>
      </c>
      <c r="BO306" s="3">
        <f t="shared" si="35"/>
        <v>0.44999999999999996</v>
      </c>
    </row>
    <row r="307" spans="1:67" x14ac:dyDescent="0.3">
      <c r="A307" s="3" t="s">
        <v>168</v>
      </c>
      <c r="B307" s="3">
        <v>0.9</v>
      </c>
      <c r="C307" s="3">
        <v>0.5</v>
      </c>
      <c r="D307" s="3">
        <v>0.6</v>
      </c>
      <c r="E307" s="3">
        <v>0.3</v>
      </c>
      <c r="F307" s="6">
        <v>658.28814699999998</v>
      </c>
      <c r="G307" s="3">
        <v>1E-3</v>
      </c>
      <c r="I307" s="3" t="s">
        <v>168</v>
      </c>
      <c r="J307" s="3">
        <v>0.45</v>
      </c>
      <c r="K307" s="7">
        <v>667.93218999999999</v>
      </c>
      <c r="L307" s="3">
        <v>0</v>
      </c>
      <c r="M307" s="3">
        <f t="shared" si="32"/>
        <v>0.375</v>
      </c>
      <c r="N307" s="5"/>
      <c r="O307" s="5"/>
      <c r="P307" s="5"/>
      <c r="Q307" s="5"/>
      <c r="R307" s="1"/>
      <c r="S307" s="3" t="s">
        <v>168</v>
      </c>
      <c r="T307" s="3">
        <v>0.9</v>
      </c>
      <c r="U307" s="3">
        <v>0.5</v>
      </c>
      <c r="V307" s="3">
        <v>0.6</v>
      </c>
      <c r="W307" s="3">
        <v>0.3</v>
      </c>
      <c r="X307" s="6">
        <v>667.80120799999997</v>
      </c>
      <c r="Y307" s="3">
        <v>3.0000000000000001E-3</v>
      </c>
      <c r="AA307" s="3" t="s">
        <v>168</v>
      </c>
      <c r="AB307" s="3">
        <v>0.94</v>
      </c>
      <c r="AC307" s="7">
        <v>729.49456799999996</v>
      </c>
      <c r="AD307" s="3">
        <v>0</v>
      </c>
      <c r="AE307" s="3">
        <f t="shared" si="33"/>
        <v>0.62</v>
      </c>
      <c r="AF307" s="5"/>
      <c r="AG307" s="5"/>
      <c r="AH307" s="5"/>
      <c r="AI307" s="5"/>
      <c r="AJ307" s="1"/>
      <c r="AK307" s="3" t="s">
        <v>169</v>
      </c>
      <c r="AL307" s="3">
        <v>0.9</v>
      </c>
      <c r="AM307" s="3">
        <v>0.5</v>
      </c>
      <c r="AN307" s="3">
        <v>0.6</v>
      </c>
      <c r="AO307" s="3">
        <v>0.3</v>
      </c>
      <c r="AP307" s="6">
        <v>1015.312683</v>
      </c>
      <c r="AQ307" s="3">
        <v>7.0000000000000001E-3</v>
      </c>
      <c r="AS307" s="3" t="s">
        <v>169</v>
      </c>
      <c r="AT307" s="3">
        <v>0.96</v>
      </c>
      <c r="AU307" s="7">
        <v>1134.2661129999999</v>
      </c>
      <c r="AV307" s="3">
        <v>1E-3</v>
      </c>
      <c r="AW307" s="3">
        <f t="shared" si="34"/>
        <v>0.63</v>
      </c>
      <c r="AX307" s="5"/>
      <c r="AY307" s="5"/>
      <c r="AZ307" s="5"/>
      <c r="BA307" s="5"/>
      <c r="BB307" s="1"/>
      <c r="BC307" s="3" t="s">
        <v>169</v>
      </c>
      <c r="BD307" s="3">
        <v>0.9</v>
      </c>
      <c r="BE307" s="3">
        <v>0.5</v>
      </c>
      <c r="BF307" s="3">
        <v>0.6</v>
      </c>
      <c r="BG307" s="3">
        <v>0.3</v>
      </c>
      <c r="BH307" s="6">
        <v>1011.398071</v>
      </c>
      <c r="BI307" s="3">
        <v>6.0000000000000001E-3</v>
      </c>
      <c r="BK307" s="3" t="s">
        <v>169</v>
      </c>
      <c r="BL307" s="3">
        <v>0.67</v>
      </c>
      <c r="BM307" s="7">
        <v>1104.5023189999999</v>
      </c>
      <c r="BN307" s="3">
        <v>1E-3</v>
      </c>
      <c r="BO307" s="3">
        <f t="shared" si="35"/>
        <v>0.48499999999999999</v>
      </c>
    </row>
    <row r="308" spans="1:67" x14ac:dyDescent="0.3">
      <c r="A308" s="3" t="s">
        <v>170</v>
      </c>
      <c r="B308" s="3">
        <v>0.9</v>
      </c>
      <c r="C308" s="3">
        <v>0.5</v>
      </c>
      <c r="D308" s="3">
        <v>0.6</v>
      </c>
      <c r="E308" s="3">
        <v>0.3</v>
      </c>
      <c r="F308" s="6">
        <v>701.655396</v>
      </c>
      <c r="G308" s="3">
        <v>1E-3</v>
      </c>
      <c r="I308" s="3" t="s">
        <v>170</v>
      </c>
      <c r="J308" s="3">
        <v>0.01</v>
      </c>
      <c r="K308" s="7">
        <v>731.34381099999996</v>
      </c>
      <c r="L308" s="3">
        <v>0</v>
      </c>
      <c r="M308" s="3">
        <f t="shared" si="32"/>
        <v>0.155</v>
      </c>
      <c r="N308" s="5"/>
      <c r="O308" s="5"/>
      <c r="P308" s="5"/>
      <c r="Q308" s="5"/>
      <c r="R308" s="1"/>
      <c r="S308" s="3" t="s">
        <v>170</v>
      </c>
      <c r="T308" s="3">
        <v>0.9</v>
      </c>
      <c r="U308" s="3">
        <v>0.5</v>
      </c>
      <c r="V308" s="3">
        <v>0.6</v>
      </c>
      <c r="W308" s="3">
        <v>0.3</v>
      </c>
      <c r="X308" s="6">
        <v>691.20379600000001</v>
      </c>
      <c r="Y308" s="3">
        <v>2E-3</v>
      </c>
      <c r="AA308" s="3" t="s">
        <v>170</v>
      </c>
      <c r="AB308" s="3">
        <v>0.8</v>
      </c>
      <c r="AC308" s="7">
        <v>731.99352999999996</v>
      </c>
      <c r="AD308" s="3">
        <v>0</v>
      </c>
      <c r="AE308" s="3">
        <f t="shared" si="33"/>
        <v>0.55000000000000004</v>
      </c>
      <c r="AF308" s="5"/>
      <c r="AG308" s="5"/>
      <c r="AH308" s="5"/>
      <c r="AI308" s="5"/>
      <c r="AJ308" s="1"/>
      <c r="AK308" s="3" t="s">
        <v>171</v>
      </c>
      <c r="AL308" s="3">
        <v>0.9</v>
      </c>
      <c r="AM308" s="3">
        <v>0.5</v>
      </c>
      <c r="AN308" s="3">
        <v>0.6</v>
      </c>
      <c r="AO308" s="3">
        <v>0.3</v>
      </c>
      <c r="AP308" s="6">
        <v>899.73120100000006</v>
      </c>
      <c r="AQ308" s="3">
        <v>6.0000000000000001E-3</v>
      </c>
      <c r="AS308" s="3" t="s">
        <v>171</v>
      </c>
      <c r="AT308" s="3">
        <v>0.55000000000000004</v>
      </c>
      <c r="AU308" s="7">
        <v>1038.9952390000001</v>
      </c>
      <c r="AV308" s="3">
        <v>1E-3</v>
      </c>
      <c r="AW308" s="3">
        <f t="shared" si="34"/>
        <v>0.42500000000000004</v>
      </c>
      <c r="AX308" s="5"/>
      <c r="AY308" s="5"/>
      <c r="AZ308" s="5"/>
      <c r="BA308" s="5"/>
      <c r="BB308" s="1"/>
      <c r="BC308" s="3" t="s">
        <v>171</v>
      </c>
      <c r="BD308" s="3">
        <v>0.9</v>
      </c>
      <c r="BE308" s="3">
        <v>0.5</v>
      </c>
      <c r="BF308" s="3">
        <v>0.6</v>
      </c>
      <c r="BG308" s="3">
        <v>0.3</v>
      </c>
      <c r="BH308" s="6">
        <v>913.94464100000005</v>
      </c>
      <c r="BI308" s="3">
        <v>7.0000000000000001E-3</v>
      </c>
      <c r="BK308" s="3" t="s">
        <v>171</v>
      </c>
      <c r="BL308" s="3">
        <v>0.72</v>
      </c>
      <c r="BM308" s="7">
        <v>1071.6136469999999</v>
      </c>
      <c r="BN308" s="3">
        <v>1E-3</v>
      </c>
      <c r="BO308" s="3">
        <f t="shared" si="35"/>
        <v>0.51</v>
      </c>
    </row>
    <row r="309" spans="1:67" x14ac:dyDescent="0.3">
      <c r="A309" s="3" t="s">
        <v>172</v>
      </c>
      <c r="B309" s="3">
        <v>0.9</v>
      </c>
      <c r="C309" s="3">
        <v>0.5</v>
      </c>
      <c r="D309" s="3">
        <v>0.6</v>
      </c>
      <c r="E309" s="3">
        <v>0.3</v>
      </c>
      <c r="F309" s="7">
        <v>682.14819299999999</v>
      </c>
      <c r="G309" s="3">
        <v>2E-3</v>
      </c>
      <c r="I309" s="3" t="s">
        <v>172</v>
      </c>
      <c r="J309" s="3">
        <v>0.06</v>
      </c>
      <c r="K309" s="6">
        <v>653.43786599999999</v>
      </c>
      <c r="L309" s="3">
        <v>0</v>
      </c>
      <c r="M309" s="3">
        <f t="shared" si="32"/>
        <v>0.18</v>
      </c>
      <c r="N309" s="5"/>
      <c r="O309" s="5"/>
      <c r="P309" s="5"/>
      <c r="Q309" s="5"/>
      <c r="R309" s="1"/>
      <c r="S309" s="3" t="s">
        <v>172</v>
      </c>
      <c r="T309" s="3">
        <v>0.9</v>
      </c>
      <c r="U309" s="3">
        <v>0.5</v>
      </c>
      <c r="V309" s="3">
        <v>0.6</v>
      </c>
      <c r="W309" s="3">
        <v>0.3</v>
      </c>
      <c r="X309" s="6">
        <v>677.95031700000004</v>
      </c>
      <c r="Y309" s="3">
        <v>2E-3</v>
      </c>
      <c r="AA309" s="3" t="s">
        <v>172</v>
      </c>
      <c r="AB309" s="3">
        <v>0.5</v>
      </c>
      <c r="AC309" s="7">
        <v>716.20086700000002</v>
      </c>
      <c r="AD309" s="3">
        <v>0</v>
      </c>
      <c r="AE309" s="3">
        <f t="shared" si="33"/>
        <v>0.4</v>
      </c>
      <c r="AF309" s="5"/>
      <c r="AG309" s="5"/>
      <c r="AH309" s="5"/>
      <c r="AI309" s="5"/>
      <c r="AJ309" s="1"/>
      <c r="AK309" s="3" t="s">
        <v>173</v>
      </c>
      <c r="AL309" s="3">
        <v>0.9</v>
      </c>
      <c r="AM309" s="3">
        <v>0.5</v>
      </c>
      <c r="AN309" s="3">
        <v>0.6</v>
      </c>
      <c r="AO309" s="3">
        <v>0.3</v>
      </c>
      <c r="AP309" s="6">
        <v>1001.416016</v>
      </c>
      <c r="AQ309" s="3">
        <v>1.2E-2</v>
      </c>
      <c r="AS309" s="3" t="s">
        <v>173</v>
      </c>
      <c r="AT309" s="3">
        <v>0.93</v>
      </c>
      <c r="AU309" s="7">
        <v>1279.0766599999999</v>
      </c>
      <c r="AV309" s="3">
        <v>1E-3</v>
      </c>
      <c r="AW309" s="3">
        <f t="shared" si="34"/>
        <v>0.61499999999999999</v>
      </c>
      <c r="AX309" s="5"/>
      <c r="AY309" s="5"/>
      <c r="AZ309" s="5"/>
      <c r="BA309" s="5"/>
      <c r="BB309" s="1"/>
      <c r="BC309" s="3" t="s">
        <v>173</v>
      </c>
      <c r="BD309" s="3">
        <v>0.9</v>
      </c>
      <c r="BE309" s="3">
        <v>0.5</v>
      </c>
      <c r="BF309" s="3">
        <v>0.6</v>
      </c>
      <c r="BG309" s="3">
        <v>0.3</v>
      </c>
      <c r="BH309" s="6">
        <v>988.808044</v>
      </c>
      <c r="BI309" s="3">
        <v>1.0999999999999999E-2</v>
      </c>
      <c r="BK309" s="3" t="s">
        <v>173</v>
      </c>
      <c r="BL309" s="3">
        <v>0.63</v>
      </c>
      <c r="BM309" s="7">
        <v>1153.951172</v>
      </c>
      <c r="BN309" s="3">
        <v>1E-3</v>
      </c>
      <c r="BO309" s="3">
        <f t="shared" si="35"/>
        <v>0.46499999999999997</v>
      </c>
    </row>
    <row r="310" spans="1:67" x14ac:dyDescent="0.3">
      <c r="A310" s="3" t="s">
        <v>174</v>
      </c>
      <c r="B310" s="3">
        <v>0.9</v>
      </c>
      <c r="C310" s="3">
        <v>0.5</v>
      </c>
      <c r="D310" s="3">
        <v>0.6</v>
      </c>
      <c r="E310" s="3">
        <v>0.3</v>
      </c>
      <c r="F310" s="7">
        <v>679.55279499999995</v>
      </c>
      <c r="G310" s="3">
        <v>1E-3</v>
      </c>
      <c r="I310" s="3" t="s">
        <v>174</v>
      </c>
      <c r="J310" s="3">
        <v>0.06</v>
      </c>
      <c r="K310" s="6">
        <v>659.37109399999997</v>
      </c>
      <c r="L310" s="3">
        <v>0</v>
      </c>
      <c r="M310" s="3">
        <f t="shared" si="32"/>
        <v>0.18</v>
      </c>
      <c r="N310" s="5"/>
      <c r="O310" s="5"/>
      <c r="P310" s="5"/>
      <c r="Q310" s="5"/>
      <c r="R310" s="1"/>
      <c r="S310" s="3" t="s">
        <v>174</v>
      </c>
      <c r="T310" s="3">
        <v>0.9</v>
      </c>
      <c r="U310" s="3">
        <v>0.5</v>
      </c>
      <c r="V310" s="3">
        <v>0.6</v>
      </c>
      <c r="W310" s="3">
        <v>0.3</v>
      </c>
      <c r="X310" s="7">
        <v>679.08923300000004</v>
      </c>
      <c r="Y310" s="3">
        <v>2E-3</v>
      </c>
      <c r="AA310" s="3" t="s">
        <v>174</v>
      </c>
      <c r="AB310" s="3">
        <v>0.1</v>
      </c>
      <c r="AC310" s="6">
        <v>654.29864499999996</v>
      </c>
      <c r="AD310" s="3">
        <v>0</v>
      </c>
      <c r="AE310" s="3">
        <f t="shared" si="33"/>
        <v>0.2</v>
      </c>
      <c r="AF310" s="5"/>
      <c r="AG310" s="5"/>
      <c r="AH310" s="5"/>
      <c r="AI310" s="5"/>
      <c r="AJ310" s="1"/>
      <c r="AK310" s="3" t="s">
        <v>175</v>
      </c>
      <c r="AL310" s="3">
        <v>0.9</v>
      </c>
      <c r="AM310" s="3">
        <v>0.5</v>
      </c>
      <c r="AN310" s="3">
        <v>0.6</v>
      </c>
      <c r="AO310" s="3">
        <v>0.3</v>
      </c>
      <c r="AP310" s="6">
        <v>994.76025400000003</v>
      </c>
      <c r="AQ310" s="3">
        <v>8.0000000000000002E-3</v>
      </c>
      <c r="AS310" s="3" t="s">
        <v>175</v>
      </c>
      <c r="AT310" s="3">
        <v>0.77</v>
      </c>
      <c r="AU310" s="7">
        <v>1193.8930660000001</v>
      </c>
      <c r="AV310" s="3">
        <v>1E-3</v>
      </c>
      <c r="AW310" s="3">
        <f t="shared" si="34"/>
        <v>0.53500000000000003</v>
      </c>
      <c r="AX310" s="5"/>
      <c r="AY310" s="5"/>
      <c r="AZ310" s="5"/>
      <c r="BA310" s="5"/>
      <c r="BB310" s="1"/>
      <c r="BC310" s="3" t="s">
        <v>175</v>
      </c>
      <c r="BD310" s="3">
        <v>0.9</v>
      </c>
      <c r="BE310" s="3">
        <v>0.5</v>
      </c>
      <c r="BF310" s="3">
        <v>0.6</v>
      </c>
      <c r="BG310" s="3">
        <v>0.3</v>
      </c>
      <c r="BH310" s="7">
        <v>986.171021</v>
      </c>
      <c r="BI310" s="3">
        <v>8.0000000000000002E-3</v>
      </c>
      <c r="BK310" s="3" t="s">
        <v>175</v>
      </c>
      <c r="BL310" s="3">
        <v>0.04</v>
      </c>
      <c r="BM310" s="6">
        <v>793.525757</v>
      </c>
      <c r="BN310" s="3">
        <v>1E-3</v>
      </c>
      <c r="BO310" s="3">
        <f t="shared" si="35"/>
        <v>0.16999999999999998</v>
      </c>
    </row>
    <row r="311" spans="1:67" x14ac:dyDescent="0.3">
      <c r="A311" s="3" t="s">
        <v>176</v>
      </c>
      <c r="B311" s="3">
        <v>0.9</v>
      </c>
      <c r="C311" s="3">
        <v>0.5</v>
      </c>
      <c r="D311" s="3">
        <v>0.6</v>
      </c>
      <c r="E311" s="3">
        <v>0.3</v>
      </c>
      <c r="F311" s="6">
        <v>711.51544200000001</v>
      </c>
      <c r="G311" s="3">
        <v>2E-3</v>
      </c>
      <c r="I311" s="3" t="s">
        <v>176</v>
      </c>
      <c r="J311" s="3">
        <v>0.63</v>
      </c>
      <c r="K311" s="7">
        <v>767.38891599999999</v>
      </c>
      <c r="L311" s="3">
        <v>0</v>
      </c>
      <c r="M311" s="3">
        <f t="shared" si="32"/>
        <v>0.46499999999999997</v>
      </c>
      <c r="N311" s="5"/>
      <c r="O311" s="5"/>
      <c r="P311" s="5"/>
      <c r="Q311" s="5"/>
      <c r="R311" s="1"/>
      <c r="S311" s="3" t="s">
        <v>176</v>
      </c>
      <c r="T311" s="3">
        <v>0.9</v>
      </c>
      <c r="U311" s="3">
        <v>0.5</v>
      </c>
      <c r="V311" s="3">
        <v>0.6</v>
      </c>
      <c r="W311" s="3">
        <v>0.3</v>
      </c>
      <c r="X311" s="6">
        <v>704.65795900000001</v>
      </c>
      <c r="Y311" s="3">
        <v>3.0000000000000001E-3</v>
      </c>
      <c r="AA311" s="3" t="s">
        <v>176</v>
      </c>
      <c r="AB311" s="3">
        <v>0.78</v>
      </c>
      <c r="AC311" s="7">
        <v>800.93444799999997</v>
      </c>
      <c r="AD311" s="3">
        <v>1E-3</v>
      </c>
      <c r="AE311" s="3">
        <f t="shared" si="33"/>
        <v>0.54</v>
      </c>
      <c r="AF311" s="5"/>
      <c r="AG311" s="5"/>
      <c r="AH311" s="5"/>
      <c r="AI311" s="5"/>
      <c r="AJ311" s="1"/>
      <c r="AK311" s="3" t="s">
        <v>177</v>
      </c>
      <c r="AL311" s="3">
        <v>0.9</v>
      </c>
      <c r="AM311" s="3">
        <v>0.5</v>
      </c>
      <c r="AN311" s="3">
        <v>0.6</v>
      </c>
      <c r="AO311" s="3">
        <v>0.3</v>
      </c>
      <c r="AP311" s="6">
        <v>1094.015625</v>
      </c>
      <c r="AQ311" s="3">
        <v>1.0999999999999999E-2</v>
      </c>
      <c r="AS311" s="3" t="s">
        <v>177</v>
      </c>
      <c r="AT311" s="3">
        <v>0.76</v>
      </c>
      <c r="AU311" s="7">
        <v>1358.0844729999999</v>
      </c>
      <c r="AV311" s="3">
        <v>1E-3</v>
      </c>
      <c r="AW311" s="3">
        <f t="shared" si="34"/>
        <v>0.53</v>
      </c>
      <c r="AX311" s="5"/>
      <c r="AY311" s="5"/>
      <c r="AZ311" s="5"/>
      <c r="BA311" s="5"/>
      <c r="BB311" s="1"/>
      <c r="BC311" s="3" t="s">
        <v>177</v>
      </c>
      <c r="BD311" s="3">
        <v>0.9</v>
      </c>
      <c r="BE311" s="3">
        <v>0.5</v>
      </c>
      <c r="BF311" s="3">
        <v>0.6</v>
      </c>
      <c r="BG311" s="3">
        <v>0.3</v>
      </c>
      <c r="BH311" s="6">
        <v>1096.2398679999999</v>
      </c>
      <c r="BI311" s="3">
        <v>0.01</v>
      </c>
      <c r="BK311" s="3" t="s">
        <v>177</v>
      </c>
      <c r="BL311" s="3">
        <v>0.84</v>
      </c>
      <c r="BM311" s="7">
        <v>1372.3198239999999</v>
      </c>
      <c r="BN311" s="3">
        <v>1E-3</v>
      </c>
      <c r="BO311" s="3">
        <f t="shared" si="35"/>
        <v>0.56999999999999995</v>
      </c>
    </row>
    <row r="312" spans="1:67" x14ac:dyDescent="0.3">
      <c r="A312" s="3" t="s">
        <v>178</v>
      </c>
      <c r="B312" s="3">
        <v>0.9</v>
      </c>
      <c r="C312" s="3">
        <v>0.5</v>
      </c>
      <c r="D312" s="3">
        <v>0.6</v>
      </c>
      <c r="E312" s="3">
        <v>0.3</v>
      </c>
      <c r="F312" s="7">
        <v>681.59948699999995</v>
      </c>
      <c r="G312" s="3">
        <v>2E-3</v>
      </c>
      <c r="I312" s="3" t="s">
        <v>178</v>
      </c>
      <c r="J312" s="3">
        <v>0.31</v>
      </c>
      <c r="K312" s="6">
        <v>679.28082300000005</v>
      </c>
      <c r="L312" s="3">
        <v>0</v>
      </c>
      <c r="M312" s="3">
        <f t="shared" si="32"/>
        <v>0.30499999999999999</v>
      </c>
      <c r="N312" s="5"/>
      <c r="O312" s="5"/>
      <c r="P312" s="5"/>
      <c r="Q312" s="5"/>
      <c r="R312" s="1"/>
      <c r="S312" s="3" t="s">
        <v>178</v>
      </c>
      <c r="T312" s="3">
        <v>0.9</v>
      </c>
      <c r="U312" s="3">
        <v>0.5</v>
      </c>
      <c r="V312" s="3">
        <v>0.6</v>
      </c>
      <c r="W312" s="3">
        <v>0.3</v>
      </c>
      <c r="X312" s="6">
        <v>663.02569600000004</v>
      </c>
      <c r="Y312" s="3">
        <v>3.0000000000000001E-3</v>
      </c>
      <c r="AA312" s="3" t="s">
        <v>178</v>
      </c>
      <c r="AB312" s="3">
        <v>0.94</v>
      </c>
      <c r="AC312" s="7">
        <v>824.495544</v>
      </c>
      <c r="AD312" s="3">
        <v>0</v>
      </c>
      <c r="AE312" s="3">
        <f t="shared" si="33"/>
        <v>0.62</v>
      </c>
      <c r="AF312" s="5"/>
      <c r="AG312" s="5"/>
      <c r="AH312" s="5"/>
      <c r="AI312" s="5"/>
      <c r="AJ312" s="1"/>
      <c r="AK312" s="3" t="s">
        <v>179</v>
      </c>
      <c r="AL312" s="3">
        <v>0.9</v>
      </c>
      <c r="AM312" s="3">
        <v>0.5</v>
      </c>
      <c r="AN312" s="3">
        <v>0.6</v>
      </c>
      <c r="AO312" s="3">
        <v>0.3</v>
      </c>
      <c r="AP312" s="6">
        <v>1064.6329350000001</v>
      </c>
      <c r="AQ312" s="3">
        <v>8.9999999999999993E-3</v>
      </c>
      <c r="AS312" s="3" t="s">
        <v>179</v>
      </c>
      <c r="AT312" s="3">
        <v>0.62</v>
      </c>
      <c r="AU312" s="7">
        <v>1200.630005</v>
      </c>
      <c r="AV312" s="3">
        <v>0</v>
      </c>
      <c r="AW312" s="3">
        <f t="shared" si="34"/>
        <v>0.45999999999999996</v>
      </c>
      <c r="AX312" s="5"/>
      <c r="AY312" s="5"/>
      <c r="AZ312" s="5"/>
      <c r="BA312" s="5"/>
      <c r="BB312" s="1"/>
      <c r="BC312" s="3" t="s">
        <v>179</v>
      </c>
      <c r="BD312" s="3">
        <v>0.9</v>
      </c>
      <c r="BE312" s="3">
        <v>0.5</v>
      </c>
      <c r="BF312" s="3">
        <v>0.6</v>
      </c>
      <c r="BG312" s="3">
        <v>0.3</v>
      </c>
      <c r="BH312" s="7">
        <v>1032.007202</v>
      </c>
      <c r="BI312" s="3">
        <v>7.0000000000000001E-3</v>
      </c>
      <c r="BK312" s="3" t="s">
        <v>179</v>
      </c>
      <c r="BL312" s="3">
        <v>0.26</v>
      </c>
      <c r="BM312" s="6">
        <v>985.04467799999998</v>
      </c>
      <c r="BN312" s="3">
        <v>1E-3</v>
      </c>
      <c r="BO312" s="3">
        <f t="shared" si="35"/>
        <v>0.28000000000000003</v>
      </c>
    </row>
    <row r="313" spans="1:67" x14ac:dyDescent="0.3">
      <c r="A313" s="3" t="s">
        <v>180</v>
      </c>
      <c r="B313" s="3">
        <v>0.9</v>
      </c>
      <c r="C313" s="3">
        <v>0.5</v>
      </c>
      <c r="D313" s="3">
        <v>0.6</v>
      </c>
      <c r="E313" s="3">
        <v>0.3</v>
      </c>
      <c r="F313" s="7">
        <v>679.16375700000003</v>
      </c>
      <c r="G313" s="3">
        <v>2E-3</v>
      </c>
      <c r="I313" s="3" t="s">
        <v>180</v>
      </c>
      <c r="J313" s="3">
        <v>7.0000000000000007E-2</v>
      </c>
      <c r="K313" s="6">
        <v>653.48101799999995</v>
      </c>
      <c r="L313" s="3">
        <v>0</v>
      </c>
      <c r="M313" s="3">
        <f t="shared" si="32"/>
        <v>0.185</v>
      </c>
      <c r="N313" s="5"/>
      <c r="O313" s="5"/>
      <c r="P313" s="5"/>
      <c r="Q313" s="5"/>
      <c r="R313" s="1"/>
      <c r="S313" s="3" t="s">
        <v>180</v>
      </c>
      <c r="T313" s="3">
        <v>0.9</v>
      </c>
      <c r="U313" s="3">
        <v>0.5</v>
      </c>
      <c r="V313" s="3">
        <v>0.6</v>
      </c>
      <c r="W313" s="3">
        <v>0.3</v>
      </c>
      <c r="X313" s="7">
        <v>679.68573000000004</v>
      </c>
      <c r="Y313" s="3">
        <v>2E-3</v>
      </c>
      <c r="AA313" s="3" t="s">
        <v>180</v>
      </c>
      <c r="AB313" s="3">
        <v>0.18</v>
      </c>
      <c r="AC313" s="6">
        <v>653.51660200000003</v>
      </c>
      <c r="AD313" s="3">
        <v>1E-3</v>
      </c>
      <c r="AE313" s="3">
        <f t="shared" si="33"/>
        <v>0.24</v>
      </c>
      <c r="AF313" s="5"/>
      <c r="AG313" s="5"/>
      <c r="AH313" s="5"/>
      <c r="AI313" s="5"/>
      <c r="AJ313" s="1"/>
      <c r="AK313" s="3" t="s">
        <v>181</v>
      </c>
      <c r="AL313" s="3">
        <v>0.9</v>
      </c>
      <c r="AM313" s="3">
        <v>0.5</v>
      </c>
      <c r="AN313" s="3">
        <v>0.6</v>
      </c>
      <c r="AO313" s="3">
        <v>0.3</v>
      </c>
      <c r="AP313" s="7">
        <v>1077.0948490000001</v>
      </c>
      <c r="AQ313" s="3">
        <v>1.2E-2</v>
      </c>
      <c r="AS313" s="3" t="s">
        <v>181</v>
      </c>
      <c r="AT313" s="3">
        <v>0.23</v>
      </c>
      <c r="AU313" s="6">
        <v>962.83837900000003</v>
      </c>
      <c r="AV313" s="3">
        <v>1E-3</v>
      </c>
      <c r="AW313" s="3">
        <f t="shared" si="34"/>
        <v>0.26500000000000001</v>
      </c>
      <c r="AX313" s="5"/>
      <c r="AY313" s="5"/>
      <c r="AZ313" s="5"/>
      <c r="BA313" s="5"/>
      <c r="BB313" s="1"/>
      <c r="BC313" s="3" t="s">
        <v>181</v>
      </c>
      <c r="BD313" s="3">
        <v>0.9</v>
      </c>
      <c r="BE313" s="3">
        <v>0.5</v>
      </c>
      <c r="BF313" s="3">
        <v>0.6</v>
      </c>
      <c r="BG313" s="3">
        <v>0.3</v>
      </c>
      <c r="BH313" s="7">
        <v>1059.1956789999999</v>
      </c>
      <c r="BI313" s="3">
        <v>0.01</v>
      </c>
      <c r="BK313" s="3" t="s">
        <v>181</v>
      </c>
      <c r="BL313" s="3">
        <v>0.32</v>
      </c>
      <c r="BM313" s="6">
        <v>1052.202759</v>
      </c>
      <c r="BN313" s="3">
        <v>1E-3</v>
      </c>
      <c r="BO313" s="3">
        <f t="shared" si="35"/>
        <v>0.31</v>
      </c>
    </row>
    <row r="314" spans="1:67" x14ac:dyDescent="0.3">
      <c r="A314" s="3" t="s">
        <v>182</v>
      </c>
      <c r="B314" s="3">
        <v>0.9</v>
      </c>
      <c r="C314" s="3">
        <v>0.5</v>
      </c>
      <c r="D314" s="3">
        <v>0.6</v>
      </c>
      <c r="E314" s="3">
        <v>0.3</v>
      </c>
      <c r="F314" s="6">
        <v>646.34417699999995</v>
      </c>
      <c r="G314" s="3">
        <v>1E-3</v>
      </c>
      <c r="I314" s="3" t="s">
        <v>182</v>
      </c>
      <c r="J314" s="3">
        <v>0.84</v>
      </c>
      <c r="K314" s="7">
        <v>760.89758300000005</v>
      </c>
      <c r="L314" s="3">
        <v>1E-3</v>
      </c>
      <c r="M314" s="3">
        <f t="shared" si="32"/>
        <v>0.56999999999999995</v>
      </c>
      <c r="N314" s="5"/>
      <c r="O314" s="5"/>
      <c r="P314" s="5"/>
      <c r="Q314" s="5"/>
      <c r="R314" s="1"/>
      <c r="S314" s="3" t="s">
        <v>182</v>
      </c>
      <c r="T314" s="3">
        <v>0.9</v>
      </c>
      <c r="U314" s="3">
        <v>0.5</v>
      </c>
      <c r="V314" s="3">
        <v>0.6</v>
      </c>
      <c r="W314" s="3">
        <v>0.3</v>
      </c>
      <c r="X314" s="7">
        <v>642.31994599999996</v>
      </c>
      <c r="Y314" s="3">
        <v>2E-3</v>
      </c>
      <c r="AA314" s="3" t="s">
        <v>182</v>
      </c>
      <c r="AB314" s="3">
        <v>0.08</v>
      </c>
      <c r="AC314" s="6">
        <v>607.74310300000002</v>
      </c>
      <c r="AD314" s="3">
        <v>0</v>
      </c>
      <c r="AE314" s="3">
        <f t="shared" si="33"/>
        <v>0.19</v>
      </c>
      <c r="AF314" s="5"/>
      <c r="AG314" s="5"/>
      <c r="AH314" s="5"/>
      <c r="AI314" s="5"/>
      <c r="AJ314" s="1"/>
      <c r="AK314" s="3" t="s">
        <v>183</v>
      </c>
      <c r="AL314" s="3">
        <v>0.9</v>
      </c>
      <c r="AM314" s="3">
        <v>0.5</v>
      </c>
      <c r="AN314" s="3">
        <v>0.6</v>
      </c>
      <c r="AO314" s="3">
        <v>0.3</v>
      </c>
      <c r="AP314" s="6">
        <v>1066.544312</v>
      </c>
      <c r="AQ314" s="3">
        <v>8.9999999999999993E-3</v>
      </c>
      <c r="AS314" s="3" t="s">
        <v>183</v>
      </c>
      <c r="AT314" s="3">
        <v>0.35</v>
      </c>
      <c r="AU314" s="7">
        <v>1095.041138</v>
      </c>
      <c r="AV314" s="3">
        <v>1E-3</v>
      </c>
      <c r="AW314" s="3">
        <f t="shared" si="34"/>
        <v>0.32499999999999996</v>
      </c>
      <c r="AX314" s="5"/>
      <c r="AY314" s="5"/>
      <c r="AZ314" s="5"/>
      <c r="BA314" s="5"/>
      <c r="BB314" s="1"/>
      <c r="BC314" s="3" t="s">
        <v>183</v>
      </c>
      <c r="BD314" s="3">
        <v>0.9</v>
      </c>
      <c r="BE314" s="3">
        <v>0.5</v>
      </c>
      <c r="BF314" s="3">
        <v>0.6</v>
      </c>
      <c r="BG314" s="3">
        <v>0.3</v>
      </c>
      <c r="BH314" s="6">
        <v>1040.484375</v>
      </c>
      <c r="BI314" s="3">
        <v>1.2E-2</v>
      </c>
      <c r="BK314" s="3" t="s">
        <v>183</v>
      </c>
      <c r="BL314" s="3">
        <v>0.26</v>
      </c>
      <c r="BM314" s="7">
        <v>1061.840698</v>
      </c>
      <c r="BN314" s="3">
        <v>1E-3</v>
      </c>
      <c r="BO314" s="3">
        <f t="shared" si="35"/>
        <v>0.28000000000000003</v>
      </c>
    </row>
    <row r="315" spans="1:67" x14ac:dyDescent="0.3">
      <c r="A315" s="3" t="s">
        <v>184</v>
      </c>
      <c r="B315" s="3">
        <v>0.9</v>
      </c>
      <c r="C315" s="3">
        <v>0.5</v>
      </c>
      <c r="D315" s="3">
        <v>0.6</v>
      </c>
      <c r="E315" s="3">
        <v>0.3</v>
      </c>
      <c r="F315" s="7">
        <v>649.77593999999999</v>
      </c>
      <c r="G315" s="3">
        <v>2E-3</v>
      </c>
      <c r="I315" s="3" t="s">
        <v>184</v>
      </c>
      <c r="J315" s="3">
        <v>0.11</v>
      </c>
      <c r="K315" s="6">
        <v>630.49694799999997</v>
      </c>
      <c r="L315" s="3">
        <v>0</v>
      </c>
      <c r="M315" s="3">
        <f t="shared" si="32"/>
        <v>0.20499999999999999</v>
      </c>
      <c r="N315" s="5"/>
      <c r="O315" s="5"/>
      <c r="P315" s="5"/>
      <c r="Q315" s="5"/>
      <c r="R315" s="1"/>
      <c r="S315" s="3" t="s">
        <v>184</v>
      </c>
      <c r="T315" s="3">
        <v>0.9</v>
      </c>
      <c r="U315" s="3">
        <v>0.5</v>
      </c>
      <c r="V315" s="3">
        <v>0.6</v>
      </c>
      <c r="W315" s="3">
        <v>0.3</v>
      </c>
      <c r="X315" s="7">
        <v>644.09020999999996</v>
      </c>
      <c r="Y315" s="3">
        <v>2E-3</v>
      </c>
      <c r="AA315" s="3" t="s">
        <v>184</v>
      </c>
      <c r="AB315" s="3">
        <v>0.24</v>
      </c>
      <c r="AC315" s="6">
        <v>633.30273399999999</v>
      </c>
      <c r="AD315" s="3">
        <v>0</v>
      </c>
      <c r="AE315" s="3">
        <f t="shared" si="33"/>
        <v>0.27</v>
      </c>
      <c r="AF315" s="5"/>
      <c r="AG315" s="5"/>
      <c r="AH315" s="5"/>
      <c r="AI315" s="5"/>
      <c r="AJ315" s="1"/>
      <c r="AK315" s="3" t="s">
        <v>185</v>
      </c>
      <c r="AL315" s="3">
        <v>0.9</v>
      </c>
      <c r="AM315" s="3">
        <v>0.5</v>
      </c>
      <c r="AN315" s="3">
        <v>0.6</v>
      </c>
      <c r="AO315" s="3">
        <v>0.3</v>
      </c>
      <c r="AP315" s="6">
        <v>1033.1480710000001</v>
      </c>
      <c r="AQ315" s="3">
        <v>1.0999999999999999E-2</v>
      </c>
      <c r="AS315" s="3" t="s">
        <v>185</v>
      </c>
      <c r="AT315" s="3">
        <v>0.34</v>
      </c>
      <c r="AU315" s="7">
        <v>1071.158936</v>
      </c>
      <c r="AV315" s="3">
        <v>1E-3</v>
      </c>
      <c r="AW315" s="3">
        <f t="shared" si="34"/>
        <v>0.32</v>
      </c>
      <c r="AX315" s="5"/>
      <c r="AY315" s="5"/>
      <c r="AZ315" s="5"/>
      <c r="BA315" s="5"/>
      <c r="BB315" s="1"/>
      <c r="BC315" s="3" t="s">
        <v>185</v>
      </c>
      <c r="BD315" s="3">
        <v>0.9</v>
      </c>
      <c r="BE315" s="3">
        <v>0.5</v>
      </c>
      <c r="BF315" s="3">
        <v>0.6</v>
      </c>
      <c r="BG315" s="3">
        <v>0.3</v>
      </c>
      <c r="BH315" s="6">
        <v>1045.4296879999999</v>
      </c>
      <c r="BI315" s="3">
        <v>1.0999999999999999E-2</v>
      </c>
      <c r="BK315" s="3" t="s">
        <v>185</v>
      </c>
      <c r="BL315" s="3">
        <v>0.77</v>
      </c>
      <c r="BM315" s="7">
        <v>1276.8526609999999</v>
      </c>
      <c r="BN315" s="3">
        <v>1E-3</v>
      </c>
      <c r="BO315" s="3">
        <f t="shared" si="35"/>
        <v>0.53500000000000003</v>
      </c>
    </row>
    <row r="316" spans="1:67" x14ac:dyDescent="0.3">
      <c r="A316" s="3" t="s">
        <v>186</v>
      </c>
      <c r="B316" s="3">
        <v>0.9</v>
      </c>
      <c r="C316" s="3">
        <v>0.5</v>
      </c>
      <c r="D316" s="3">
        <v>0.6</v>
      </c>
      <c r="E316" s="3">
        <v>0.3</v>
      </c>
      <c r="F316" s="7">
        <v>753.48980700000004</v>
      </c>
      <c r="G316" s="3">
        <v>2E-3</v>
      </c>
      <c r="I316" s="3" t="s">
        <v>186</v>
      </c>
      <c r="J316" s="3">
        <v>0.1</v>
      </c>
      <c r="K316" s="6">
        <v>719.37383999999997</v>
      </c>
      <c r="L316" s="3">
        <v>0</v>
      </c>
      <c r="M316" s="3">
        <f t="shared" si="32"/>
        <v>0.2</v>
      </c>
      <c r="N316" s="5"/>
      <c r="O316" s="5"/>
      <c r="P316" s="5"/>
      <c r="Q316" s="5"/>
      <c r="R316" s="1"/>
      <c r="S316" s="3" t="s">
        <v>186</v>
      </c>
      <c r="T316" s="3">
        <v>0.9</v>
      </c>
      <c r="U316" s="3">
        <v>0.5</v>
      </c>
      <c r="V316" s="3">
        <v>0.6</v>
      </c>
      <c r="W316" s="3">
        <v>0.3</v>
      </c>
      <c r="X316" s="6">
        <v>768.12579300000004</v>
      </c>
      <c r="Y316" s="3">
        <v>4.0000000000000001E-3</v>
      </c>
      <c r="AA316" s="3" t="s">
        <v>186</v>
      </c>
      <c r="AB316" s="3">
        <v>0.98</v>
      </c>
      <c r="AC316" s="7">
        <v>913.66479500000003</v>
      </c>
      <c r="AD316" s="3">
        <v>0</v>
      </c>
      <c r="AE316" s="3">
        <f t="shared" si="33"/>
        <v>0.64</v>
      </c>
      <c r="AF316" s="5"/>
      <c r="AG316" s="5"/>
      <c r="AH316" s="5"/>
      <c r="AI316" s="5"/>
      <c r="AJ316" s="1"/>
      <c r="AK316" s="3" t="s">
        <v>187</v>
      </c>
      <c r="AL316" s="3">
        <v>0.9</v>
      </c>
      <c r="AM316" s="3">
        <v>0.5</v>
      </c>
      <c r="AN316" s="3">
        <v>0.6</v>
      </c>
      <c r="AO316" s="3">
        <v>0.3</v>
      </c>
      <c r="AP316" s="6">
        <v>1149.893311</v>
      </c>
      <c r="AQ316" s="3">
        <v>8.0000000000000002E-3</v>
      </c>
      <c r="AS316" s="3" t="s">
        <v>187</v>
      </c>
      <c r="AT316" s="3">
        <v>0.53</v>
      </c>
      <c r="AU316" s="7">
        <v>1274.7601320000001</v>
      </c>
      <c r="AV316" s="3">
        <v>1E-3</v>
      </c>
      <c r="AW316" s="3">
        <f t="shared" si="34"/>
        <v>0.41500000000000004</v>
      </c>
      <c r="AX316" s="5"/>
      <c r="AY316" s="5"/>
      <c r="AZ316" s="5"/>
      <c r="BA316" s="5"/>
      <c r="BB316" s="1"/>
      <c r="BC316" s="3" t="s">
        <v>187</v>
      </c>
      <c r="BD316" s="3">
        <v>0.9</v>
      </c>
      <c r="BE316" s="3">
        <v>0.5</v>
      </c>
      <c r="BF316" s="3">
        <v>0.6</v>
      </c>
      <c r="BG316" s="3">
        <v>0.3</v>
      </c>
      <c r="BH316" s="7">
        <v>1156.548462</v>
      </c>
      <c r="BI316" s="3">
        <v>1.2999999999999999E-2</v>
      </c>
      <c r="BK316" s="3" t="s">
        <v>187</v>
      </c>
      <c r="BL316" s="3">
        <v>0.18</v>
      </c>
      <c r="BM316" s="6">
        <v>1063.1605219999999</v>
      </c>
      <c r="BN316" s="3">
        <v>1E-3</v>
      </c>
      <c r="BO316" s="3">
        <f t="shared" si="35"/>
        <v>0.24</v>
      </c>
    </row>
    <row r="317" spans="1:67" x14ac:dyDescent="0.3">
      <c r="A317" s="3" t="s">
        <v>188</v>
      </c>
      <c r="B317" s="3">
        <v>0.9</v>
      </c>
      <c r="C317" s="3">
        <v>0.5</v>
      </c>
      <c r="D317" s="3">
        <v>0.6</v>
      </c>
      <c r="E317" s="3">
        <v>0.3</v>
      </c>
      <c r="F317" s="6">
        <v>689.41198699999995</v>
      </c>
      <c r="G317" s="3">
        <v>2E-3</v>
      </c>
      <c r="I317" s="3" t="s">
        <v>188</v>
      </c>
      <c r="J317" s="3">
        <v>0.65</v>
      </c>
      <c r="K317" s="7">
        <v>767.228027</v>
      </c>
      <c r="L317" s="3">
        <v>0</v>
      </c>
      <c r="M317" s="3">
        <f t="shared" si="32"/>
        <v>0.47499999999999998</v>
      </c>
      <c r="N317" s="5"/>
      <c r="O317" s="5"/>
      <c r="P317" s="5"/>
      <c r="Q317" s="5"/>
      <c r="R317" s="1"/>
      <c r="S317" s="3" t="s">
        <v>188</v>
      </c>
      <c r="T317" s="3">
        <v>0.9</v>
      </c>
      <c r="U317" s="3">
        <v>0.5</v>
      </c>
      <c r="V317" s="3">
        <v>0.6</v>
      </c>
      <c r="W317" s="3">
        <v>0.3</v>
      </c>
      <c r="X317" s="6">
        <v>688.69348100000002</v>
      </c>
      <c r="Y317" s="3">
        <v>2E-3</v>
      </c>
      <c r="AA317" s="3" t="s">
        <v>188</v>
      </c>
      <c r="AB317" s="3">
        <v>0.56000000000000005</v>
      </c>
      <c r="AC317" s="7">
        <v>764.08062700000005</v>
      </c>
      <c r="AD317" s="3">
        <v>0</v>
      </c>
      <c r="AE317" s="3">
        <f t="shared" si="33"/>
        <v>0.43000000000000005</v>
      </c>
      <c r="AF317" s="5"/>
      <c r="AG317" s="5"/>
      <c r="AH317" s="5"/>
      <c r="AI317" s="5"/>
      <c r="AJ317" s="1"/>
      <c r="AK317" s="3" t="s">
        <v>189</v>
      </c>
      <c r="AL317" s="3">
        <v>0.9</v>
      </c>
      <c r="AM317" s="3">
        <v>0.5</v>
      </c>
      <c r="AN317" s="3">
        <v>0.6</v>
      </c>
      <c r="AO317" s="3">
        <v>0.3</v>
      </c>
      <c r="AP317" s="6">
        <v>1010.663086</v>
      </c>
      <c r="AQ317" s="3">
        <v>1.0999999999999999E-2</v>
      </c>
      <c r="AS317" s="3" t="s">
        <v>189</v>
      </c>
      <c r="AT317" s="3">
        <v>0.74</v>
      </c>
      <c r="AU317" s="7">
        <v>1225.098999</v>
      </c>
      <c r="AV317" s="3">
        <v>1E-3</v>
      </c>
      <c r="AW317" s="3">
        <f t="shared" si="34"/>
        <v>0.52</v>
      </c>
      <c r="AX317" s="5"/>
      <c r="AY317" s="5"/>
      <c r="AZ317" s="5"/>
      <c r="BA317" s="5"/>
      <c r="BB317" s="1"/>
      <c r="BC317" s="3" t="s">
        <v>189</v>
      </c>
      <c r="BD317" s="3">
        <v>0.9</v>
      </c>
      <c r="BE317" s="3">
        <v>0.5</v>
      </c>
      <c r="BF317" s="3">
        <v>0.6</v>
      </c>
      <c r="BG317" s="3">
        <v>0.3</v>
      </c>
      <c r="BH317" s="6">
        <v>999.27160600000002</v>
      </c>
      <c r="BI317" s="3">
        <v>7.0000000000000001E-3</v>
      </c>
      <c r="BK317" s="3" t="s">
        <v>189</v>
      </c>
      <c r="BL317" s="3">
        <v>0.39</v>
      </c>
      <c r="BM317" s="7">
        <v>1070.5271</v>
      </c>
      <c r="BN317" s="3">
        <v>1E-3</v>
      </c>
      <c r="BO317" s="3">
        <f t="shared" si="35"/>
        <v>0.34499999999999997</v>
      </c>
    </row>
    <row r="318" spans="1:67" x14ac:dyDescent="0.3">
      <c r="A318" s="3" t="s">
        <v>190</v>
      </c>
      <c r="B318" s="3">
        <v>0.9</v>
      </c>
      <c r="C318" s="3">
        <v>0.5</v>
      </c>
      <c r="D318" s="3">
        <v>0.6</v>
      </c>
      <c r="E318" s="3">
        <v>0.3</v>
      </c>
      <c r="F318" s="6">
        <v>655.55908199999999</v>
      </c>
      <c r="G318" s="3">
        <v>2E-3</v>
      </c>
      <c r="I318" s="3" t="s">
        <v>190</v>
      </c>
      <c r="J318" s="3">
        <v>0.91</v>
      </c>
      <c r="K318" s="7">
        <v>776.60058600000002</v>
      </c>
      <c r="L318" s="3">
        <v>1E-3</v>
      </c>
      <c r="M318" s="3">
        <f t="shared" si="32"/>
        <v>0.60499999999999998</v>
      </c>
      <c r="N318" s="5"/>
      <c r="O318" s="5"/>
      <c r="P318" s="5"/>
      <c r="Q318" s="5"/>
      <c r="R318" s="1"/>
      <c r="S318" s="3" t="s">
        <v>190</v>
      </c>
      <c r="T318" s="3">
        <v>0.9</v>
      </c>
      <c r="U318" s="3">
        <v>0.5</v>
      </c>
      <c r="V318" s="3">
        <v>0.6</v>
      </c>
      <c r="W318" s="3">
        <v>0.3</v>
      </c>
      <c r="X318" s="7">
        <v>656.23266599999999</v>
      </c>
      <c r="Y318" s="3">
        <v>3.0000000000000001E-3</v>
      </c>
      <c r="AA318" s="3" t="s">
        <v>190</v>
      </c>
      <c r="AB318" s="3">
        <v>0.12</v>
      </c>
      <c r="AC318" s="6">
        <v>640.362122</v>
      </c>
      <c r="AD318" s="3">
        <v>0</v>
      </c>
      <c r="AE318" s="3">
        <f t="shared" si="33"/>
        <v>0.21</v>
      </c>
      <c r="AF318" s="5"/>
      <c r="AG318" s="5"/>
      <c r="AH318" s="5"/>
      <c r="AI318" s="5"/>
      <c r="AJ318" s="1"/>
      <c r="AK318" s="3" t="s">
        <v>191</v>
      </c>
      <c r="AL318" s="3">
        <v>0.9</v>
      </c>
      <c r="AM318" s="3">
        <v>0.5</v>
      </c>
      <c r="AN318" s="3">
        <v>0.6</v>
      </c>
      <c r="AO318" s="3">
        <v>0.3</v>
      </c>
      <c r="AP318" s="6">
        <v>1002.039673</v>
      </c>
      <c r="AQ318" s="3">
        <v>7.0000000000000001E-3</v>
      </c>
      <c r="AS318" s="3" t="s">
        <v>191</v>
      </c>
      <c r="AT318" s="3">
        <v>0.81</v>
      </c>
      <c r="AU318" s="7">
        <v>1195.0230710000001</v>
      </c>
      <c r="AV318" s="3">
        <v>1E-3</v>
      </c>
      <c r="AW318" s="3">
        <f t="shared" si="34"/>
        <v>0.55500000000000005</v>
      </c>
      <c r="AX318" s="5"/>
      <c r="AY318" s="5"/>
      <c r="AZ318" s="5"/>
      <c r="BA318" s="5"/>
      <c r="BB318" s="1"/>
      <c r="BC318" s="3" t="s">
        <v>191</v>
      </c>
      <c r="BD318" s="3">
        <v>0.9</v>
      </c>
      <c r="BE318" s="3">
        <v>0.5</v>
      </c>
      <c r="BF318" s="3">
        <v>0.6</v>
      </c>
      <c r="BG318" s="3">
        <v>0.3</v>
      </c>
      <c r="BH318" s="7">
        <v>990.06018100000006</v>
      </c>
      <c r="BI318" s="3">
        <v>8.0000000000000002E-3</v>
      </c>
      <c r="BK318" s="3" t="s">
        <v>191</v>
      </c>
      <c r="BL318" s="3">
        <v>0.1</v>
      </c>
      <c r="BM318" s="6">
        <v>835.21301300000005</v>
      </c>
      <c r="BN318" s="3">
        <v>1E-3</v>
      </c>
      <c r="BO318" s="3">
        <f t="shared" si="35"/>
        <v>0.2</v>
      </c>
    </row>
    <row r="319" spans="1:67" x14ac:dyDescent="0.3">
      <c r="A319" s="3" t="s">
        <v>192</v>
      </c>
      <c r="B319" s="3">
        <v>0.9</v>
      </c>
      <c r="C319" s="3">
        <v>0.5</v>
      </c>
      <c r="D319" s="3">
        <v>0.6</v>
      </c>
      <c r="E319" s="3">
        <v>0.3</v>
      </c>
      <c r="F319" s="6">
        <v>790.22961399999997</v>
      </c>
      <c r="G319" s="3">
        <v>2E-3</v>
      </c>
      <c r="I319" s="3" t="s">
        <v>192</v>
      </c>
      <c r="J319" s="3">
        <v>0.8</v>
      </c>
      <c r="K319" s="7">
        <v>944.71032700000001</v>
      </c>
      <c r="L319" s="3">
        <v>0</v>
      </c>
      <c r="M319" s="3">
        <f t="shared" si="32"/>
        <v>0.55000000000000004</v>
      </c>
      <c r="N319" s="5"/>
      <c r="O319" s="5"/>
      <c r="P319" s="5"/>
      <c r="Q319" s="5"/>
      <c r="R319" s="1"/>
      <c r="S319" s="3" t="s">
        <v>192</v>
      </c>
      <c r="T319" s="3">
        <v>0.9</v>
      </c>
      <c r="U319" s="3">
        <v>0.5</v>
      </c>
      <c r="V319" s="3">
        <v>0.6</v>
      </c>
      <c r="W319" s="3">
        <v>0.3</v>
      </c>
      <c r="X319" s="6">
        <v>772.13433799999996</v>
      </c>
      <c r="Y319" s="3">
        <v>4.0000000000000001E-3</v>
      </c>
      <c r="AA319" s="3" t="s">
        <v>192</v>
      </c>
      <c r="AB319" s="3">
        <v>0.56000000000000005</v>
      </c>
      <c r="AC319" s="7">
        <v>873.51000999999997</v>
      </c>
      <c r="AD319" s="3">
        <v>0</v>
      </c>
      <c r="AE319" s="3">
        <f t="shared" si="33"/>
        <v>0.43000000000000005</v>
      </c>
      <c r="AF319" s="5"/>
      <c r="AG319" s="5"/>
      <c r="AH319" s="5"/>
      <c r="AI319" s="5"/>
      <c r="AJ319" s="1"/>
      <c r="AK319" s="3" t="s">
        <v>193</v>
      </c>
      <c r="AL319" s="3">
        <v>0.9</v>
      </c>
      <c r="AM319" s="3">
        <v>0.5</v>
      </c>
      <c r="AN319" s="3">
        <v>0.6</v>
      </c>
      <c r="AO319" s="3">
        <v>0.3</v>
      </c>
      <c r="AP319" s="6">
        <v>1109.337158</v>
      </c>
      <c r="AQ319" s="3">
        <v>8.9999999999999993E-3</v>
      </c>
      <c r="AS319" s="3" t="s">
        <v>193</v>
      </c>
      <c r="AT319" s="3">
        <v>0.44</v>
      </c>
      <c r="AU319" s="7">
        <v>1111.3447269999999</v>
      </c>
      <c r="AV319" s="3">
        <v>1E-3</v>
      </c>
      <c r="AW319" s="3">
        <f t="shared" si="34"/>
        <v>0.37</v>
      </c>
      <c r="AX319" s="5"/>
      <c r="AY319" s="5"/>
      <c r="AZ319" s="5"/>
      <c r="BA319" s="5"/>
      <c r="BB319" s="1"/>
      <c r="BC319" s="3" t="s">
        <v>193</v>
      </c>
      <c r="BD319" s="3">
        <v>0.9</v>
      </c>
      <c r="BE319" s="3">
        <v>0.5</v>
      </c>
      <c r="BF319" s="3">
        <v>0.6</v>
      </c>
      <c r="BG319" s="3">
        <v>0.3</v>
      </c>
      <c r="BH319" s="6">
        <v>1101.0153809999999</v>
      </c>
      <c r="BI319" s="3">
        <v>7.0000000000000001E-3</v>
      </c>
      <c r="BK319" s="3" t="s">
        <v>193</v>
      </c>
      <c r="BL319" s="3">
        <v>0.35</v>
      </c>
      <c r="BM319" s="7">
        <v>1113.6195070000001</v>
      </c>
      <c r="BN319" s="3">
        <v>1E-3</v>
      </c>
      <c r="BO319" s="3">
        <f t="shared" si="35"/>
        <v>0.32499999999999996</v>
      </c>
    </row>
    <row r="320" spans="1:67" x14ac:dyDescent="0.3">
      <c r="A320" s="9" t="s">
        <v>316</v>
      </c>
      <c r="E320" s="9">
        <f>AVERAGE(E290:E319)</f>
        <v>0.3</v>
      </c>
      <c r="I320" s="9" t="s">
        <v>316</v>
      </c>
      <c r="J320" s="9">
        <f>AVERAGE(J290:J319)</f>
        <v>0.42966666666666675</v>
      </c>
      <c r="R320" s="1"/>
      <c r="S320" s="9" t="s">
        <v>316</v>
      </c>
      <c r="W320" s="9">
        <f>AVERAGE(W290:W319)</f>
        <v>0.3</v>
      </c>
      <c r="AA320" s="9" t="s">
        <v>316</v>
      </c>
      <c r="AB320" s="9">
        <f>AVERAGE(AB290:AB319)</f>
        <v>0.505</v>
      </c>
      <c r="AJ320" s="1"/>
      <c r="AK320" s="9" t="s">
        <v>316</v>
      </c>
      <c r="AO320" s="9">
        <f>AVERAGE(AO290:AO319)</f>
        <v>0.3</v>
      </c>
      <c r="AS320" s="9" t="s">
        <v>316</v>
      </c>
      <c r="AT320" s="9">
        <f>AVERAGE(AT290:AT319)</f>
        <v>0.55899999999999994</v>
      </c>
      <c r="AW320" s="2"/>
      <c r="AX320" s="2"/>
      <c r="AY320" s="2"/>
      <c r="AZ320" s="2"/>
      <c r="BA320" s="2"/>
      <c r="BB320" s="1"/>
      <c r="BC320" s="9" t="s">
        <v>316</v>
      </c>
      <c r="BG320" s="9">
        <f>AVERAGE(BG290:BG319)</f>
        <v>0.3</v>
      </c>
      <c r="BK320" s="9" t="s">
        <v>316</v>
      </c>
      <c r="BL320" s="9">
        <f>AVERAGE(BL290:BL319)</f>
        <v>0.37833333333333324</v>
      </c>
    </row>
    <row r="321" spans="1:7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row>
    <row r="322" spans="1:71" x14ac:dyDescent="0.3">
      <c r="A322" s="19" t="s">
        <v>314</v>
      </c>
      <c r="B322" s="19"/>
      <c r="C322" s="19"/>
      <c r="D322" s="19"/>
      <c r="E322" s="19"/>
      <c r="F322" s="19"/>
      <c r="G322" s="19"/>
      <c r="I322" s="19" t="s">
        <v>315</v>
      </c>
      <c r="J322" s="19"/>
      <c r="K322" s="19"/>
      <c r="L322" s="19"/>
      <c r="M322" s="19"/>
      <c r="N322" s="11"/>
      <c r="O322" s="11"/>
      <c r="P322" s="11"/>
      <c r="Q322" s="11"/>
      <c r="R322" s="1"/>
      <c r="S322" s="19" t="s">
        <v>314</v>
      </c>
      <c r="T322" s="19"/>
      <c r="U322" s="19"/>
      <c r="V322" s="19"/>
      <c r="W322" s="19"/>
      <c r="X322" s="19"/>
      <c r="Y322" s="19"/>
      <c r="AA322" s="19" t="s">
        <v>315</v>
      </c>
      <c r="AB322" s="19"/>
      <c r="AC322" s="19"/>
      <c r="AD322" s="19"/>
      <c r="AE322" s="19"/>
      <c r="AF322" s="11"/>
      <c r="AG322" s="11"/>
      <c r="AH322" s="11"/>
      <c r="AI322" s="11"/>
      <c r="AJ322" s="1"/>
      <c r="AK322" s="19" t="s">
        <v>314</v>
      </c>
      <c r="AL322" s="19"/>
      <c r="AM322" s="19"/>
      <c r="AN322" s="19"/>
      <c r="AO322" s="19"/>
      <c r="AP322" s="19"/>
      <c r="AQ322" s="19"/>
      <c r="AS322" s="19" t="s">
        <v>315</v>
      </c>
      <c r="AT322" s="19"/>
      <c r="AU322" s="19"/>
      <c r="AV322" s="19"/>
      <c r="AW322" s="19"/>
      <c r="AX322" s="11"/>
      <c r="AY322" s="11"/>
      <c r="AZ322" s="11"/>
      <c r="BA322" s="11"/>
      <c r="BB322" s="1"/>
      <c r="BC322" s="19" t="s">
        <v>314</v>
      </c>
      <c r="BD322" s="19"/>
      <c r="BE322" s="19"/>
      <c r="BF322" s="19"/>
      <c r="BG322" s="19"/>
      <c r="BH322" s="19"/>
      <c r="BI322" s="19"/>
      <c r="BK322" s="19" t="s">
        <v>315</v>
      </c>
      <c r="BL322" s="19"/>
      <c r="BM322" s="19"/>
      <c r="BN322" s="19"/>
      <c r="BO322" s="19"/>
    </row>
    <row r="323" spans="1:71" x14ac:dyDescent="0.3">
      <c r="A323" s="3" t="s">
        <v>0</v>
      </c>
      <c r="B323" s="3"/>
      <c r="C323" s="3"/>
      <c r="D323" s="3"/>
      <c r="E323" s="3"/>
      <c r="F323" s="3"/>
      <c r="G323" s="3"/>
      <c r="I323" s="3" t="s">
        <v>0</v>
      </c>
      <c r="J323" s="3"/>
      <c r="K323" s="3"/>
      <c r="L323" s="3"/>
      <c r="M323" s="3"/>
      <c r="N323" s="5"/>
      <c r="O323" s="5"/>
      <c r="P323" s="5"/>
      <c r="Q323" s="5"/>
      <c r="R323" s="1"/>
      <c r="S323" s="3" t="s">
        <v>1</v>
      </c>
      <c r="T323" s="3"/>
      <c r="U323" s="3"/>
      <c r="V323" s="3"/>
      <c r="W323" s="3"/>
      <c r="X323" s="3"/>
      <c r="Y323" s="3"/>
      <c r="AA323" s="3" t="s">
        <v>1</v>
      </c>
      <c r="AB323" s="3"/>
      <c r="AC323" s="3"/>
      <c r="AD323" s="3"/>
      <c r="AE323" s="3"/>
      <c r="AF323" s="5"/>
      <c r="AG323" s="5"/>
      <c r="AH323" s="5"/>
      <c r="AI323" s="5"/>
      <c r="AJ323" s="1"/>
      <c r="AK323" s="3" t="s">
        <v>0</v>
      </c>
      <c r="AL323" s="3"/>
      <c r="AM323" s="3"/>
      <c r="AN323" s="3"/>
      <c r="AO323" s="3"/>
      <c r="AP323" s="3"/>
      <c r="AQ323" s="3"/>
      <c r="AS323" s="3" t="s">
        <v>0</v>
      </c>
      <c r="AT323" s="3"/>
      <c r="AU323" s="3"/>
      <c r="AV323" s="3"/>
      <c r="AW323" s="4"/>
      <c r="AX323" s="12"/>
      <c r="AY323" s="12"/>
      <c r="AZ323" s="12"/>
      <c r="BA323" s="12"/>
      <c r="BB323" s="1"/>
      <c r="BC323" s="3" t="s">
        <v>1</v>
      </c>
      <c r="BD323" s="3"/>
      <c r="BE323" s="3"/>
      <c r="BF323" s="3"/>
      <c r="BG323" s="3"/>
      <c r="BH323" s="3"/>
      <c r="BI323" s="3"/>
      <c r="BK323" s="3" t="s">
        <v>1</v>
      </c>
      <c r="BL323" s="3"/>
      <c r="BM323" s="3"/>
      <c r="BN323" s="3"/>
      <c r="BO323" s="3"/>
    </row>
    <row r="324" spans="1:71" x14ac:dyDescent="0.3">
      <c r="A324" s="4" t="s">
        <v>2</v>
      </c>
      <c r="B324" s="4" t="s">
        <v>3</v>
      </c>
      <c r="C324" s="4" t="s">
        <v>4</v>
      </c>
      <c r="D324" s="4" t="s">
        <v>5</v>
      </c>
      <c r="E324" s="4" t="s">
        <v>6</v>
      </c>
      <c r="F324" s="4" t="s">
        <v>7</v>
      </c>
      <c r="G324" s="4" t="s">
        <v>8</v>
      </c>
      <c r="H324" s="2"/>
      <c r="I324" s="4" t="s">
        <v>2</v>
      </c>
      <c r="J324" s="4" t="s">
        <v>6</v>
      </c>
      <c r="K324" s="4" t="s">
        <v>7</v>
      </c>
      <c r="L324" s="4" t="s">
        <v>8</v>
      </c>
      <c r="M324" s="4" t="s">
        <v>9</v>
      </c>
      <c r="N324" s="3" t="s">
        <v>322</v>
      </c>
      <c r="O324" s="3" t="s">
        <v>323</v>
      </c>
      <c r="P324" s="3" t="s">
        <v>322</v>
      </c>
      <c r="Q324" s="3" t="s">
        <v>323</v>
      </c>
      <c r="R324" s="1"/>
      <c r="S324" s="4" t="s">
        <v>2</v>
      </c>
      <c r="T324" s="4" t="s">
        <v>3</v>
      </c>
      <c r="U324" s="4" t="s">
        <v>4</v>
      </c>
      <c r="V324" s="4" t="s">
        <v>5</v>
      </c>
      <c r="W324" s="4" t="s">
        <v>6</v>
      </c>
      <c r="X324" s="4" t="s">
        <v>7</v>
      </c>
      <c r="Y324" s="4" t="s">
        <v>8</v>
      </c>
      <c r="Z324" s="2"/>
      <c r="AA324" s="4" t="s">
        <v>2</v>
      </c>
      <c r="AB324" s="4" t="s">
        <v>6</v>
      </c>
      <c r="AC324" s="4" t="s">
        <v>7</v>
      </c>
      <c r="AD324" s="4" t="s">
        <v>8</v>
      </c>
      <c r="AE324" s="4" t="s">
        <v>9</v>
      </c>
      <c r="AF324" s="3" t="s">
        <v>322</v>
      </c>
      <c r="AG324" s="3" t="s">
        <v>323</v>
      </c>
      <c r="AH324" s="3" t="s">
        <v>322</v>
      </c>
      <c r="AI324" s="3" t="s">
        <v>323</v>
      </c>
      <c r="AJ324" s="1"/>
      <c r="AK324" s="3" t="s">
        <v>2</v>
      </c>
      <c r="AL324" s="3" t="s">
        <v>3</v>
      </c>
      <c r="AM324" s="3" t="s">
        <v>4</v>
      </c>
      <c r="AN324" s="3" t="s">
        <v>5</v>
      </c>
      <c r="AO324" s="3" t="s">
        <v>6</v>
      </c>
      <c r="AP324" s="3" t="s">
        <v>7</v>
      </c>
      <c r="AQ324" s="3" t="s">
        <v>8</v>
      </c>
      <c r="AR324" s="2"/>
      <c r="AS324" s="3" t="s">
        <v>2</v>
      </c>
      <c r="AT324" s="3" t="s">
        <v>6</v>
      </c>
      <c r="AU324" s="3" t="s">
        <v>7</v>
      </c>
      <c r="AV324" s="3" t="s">
        <v>8</v>
      </c>
      <c r="AW324" s="3" t="s">
        <v>9</v>
      </c>
      <c r="AX324" s="3" t="s">
        <v>322</v>
      </c>
      <c r="AY324" s="3" t="s">
        <v>323</v>
      </c>
      <c r="AZ324" s="3" t="s">
        <v>322</v>
      </c>
      <c r="BA324" s="3" t="s">
        <v>323</v>
      </c>
      <c r="BB324" s="1"/>
      <c r="BC324" s="3" t="s">
        <v>2</v>
      </c>
      <c r="BD324" s="3" t="s">
        <v>3</v>
      </c>
      <c r="BE324" s="3" t="s">
        <v>4</v>
      </c>
      <c r="BF324" s="3" t="s">
        <v>5</v>
      </c>
      <c r="BG324" s="3" t="s">
        <v>6</v>
      </c>
      <c r="BH324" s="3" t="s">
        <v>7</v>
      </c>
      <c r="BI324" s="3" t="s">
        <v>8</v>
      </c>
      <c r="BJ324" s="2"/>
      <c r="BK324" s="3" t="s">
        <v>2</v>
      </c>
      <c r="BL324" s="3" t="s">
        <v>6</v>
      </c>
      <c r="BM324" s="3" t="s">
        <v>7</v>
      </c>
      <c r="BN324" s="3" t="s">
        <v>8</v>
      </c>
      <c r="BO324" s="3" t="s">
        <v>9</v>
      </c>
      <c r="BP324" s="3" t="s">
        <v>322</v>
      </c>
      <c r="BQ324" s="3" t="s">
        <v>323</v>
      </c>
      <c r="BR324" s="3" t="s">
        <v>322</v>
      </c>
      <c r="BS324" s="3" t="s">
        <v>323</v>
      </c>
    </row>
    <row r="325" spans="1:71" x14ac:dyDescent="0.3">
      <c r="A325" s="3" t="s">
        <v>194</v>
      </c>
      <c r="B325" s="3">
        <v>0.9</v>
      </c>
      <c r="C325" s="3">
        <v>0.5</v>
      </c>
      <c r="D325" s="3">
        <v>0.6</v>
      </c>
      <c r="E325" s="3">
        <v>0.3</v>
      </c>
      <c r="F325" s="7">
        <v>665.81909199999996</v>
      </c>
      <c r="G325" s="3">
        <v>2E-3</v>
      </c>
      <c r="I325" s="3" t="s">
        <v>194</v>
      </c>
      <c r="J325" s="3">
        <v>0.01</v>
      </c>
      <c r="K325" s="6">
        <v>660.891479</v>
      </c>
      <c r="L325" s="3">
        <v>0</v>
      </c>
      <c r="M325" s="3">
        <f t="shared" ref="M325:M354" si="36">AVERAGE(E325,J325)</f>
        <v>0.155</v>
      </c>
      <c r="N325" s="4" t="s">
        <v>320</v>
      </c>
      <c r="O325" s="4" t="s">
        <v>320</v>
      </c>
      <c r="P325" s="4" t="s">
        <v>321</v>
      </c>
      <c r="Q325" s="4" t="s">
        <v>321</v>
      </c>
      <c r="R325" s="1"/>
      <c r="S325" s="3" t="s">
        <v>194</v>
      </c>
      <c r="T325" s="3">
        <v>0.9</v>
      </c>
      <c r="U325" s="3">
        <v>0.5</v>
      </c>
      <c r="V325" s="3">
        <v>0.6</v>
      </c>
      <c r="W325" s="3">
        <v>0.3</v>
      </c>
      <c r="X325" s="6">
        <v>640.28265399999998</v>
      </c>
      <c r="Y325" s="3">
        <v>2E-3</v>
      </c>
      <c r="AA325" s="3" t="s">
        <v>194</v>
      </c>
      <c r="AB325" s="3">
        <v>0.01</v>
      </c>
      <c r="AC325" s="7">
        <v>641.78924600000005</v>
      </c>
      <c r="AD325" s="3">
        <v>0</v>
      </c>
      <c r="AE325" s="3">
        <f t="shared" ref="AE325:AE354" si="37">AVERAGE(W325,AB325)</f>
        <v>0.155</v>
      </c>
      <c r="AF325" s="4" t="s">
        <v>320</v>
      </c>
      <c r="AG325" s="4" t="s">
        <v>320</v>
      </c>
      <c r="AH325" s="4" t="s">
        <v>321</v>
      </c>
      <c r="AI325" s="4" t="s">
        <v>321</v>
      </c>
      <c r="AJ325" s="1"/>
      <c r="AK325" s="3" t="s">
        <v>195</v>
      </c>
      <c r="AL325" s="3">
        <v>0.9</v>
      </c>
      <c r="AM325" s="3">
        <v>0.5</v>
      </c>
      <c r="AN325" s="3">
        <v>0.6</v>
      </c>
      <c r="AO325" s="3">
        <v>0.3</v>
      </c>
      <c r="AP325" s="7">
        <v>984.61639400000001</v>
      </c>
      <c r="AQ325" s="3">
        <v>8.0000000000000002E-3</v>
      </c>
      <c r="AS325" s="3" t="s">
        <v>195</v>
      </c>
      <c r="AT325" s="3">
        <v>0.01</v>
      </c>
      <c r="AU325" s="6">
        <v>823.99890100000005</v>
      </c>
      <c r="AV325" s="3">
        <v>1E-3</v>
      </c>
      <c r="AW325" s="3">
        <f t="shared" ref="AW325:AW354" si="38">AVERAGE(AO325,AT325)</f>
        <v>0.155</v>
      </c>
      <c r="AX325" s="4" t="s">
        <v>320</v>
      </c>
      <c r="AY325" s="4" t="s">
        <v>320</v>
      </c>
      <c r="AZ325" s="4" t="s">
        <v>321</v>
      </c>
      <c r="BA325" s="4" t="s">
        <v>321</v>
      </c>
      <c r="BB325" s="1"/>
      <c r="BC325" s="3" t="s">
        <v>195</v>
      </c>
      <c r="BD325" s="3">
        <v>0.9</v>
      </c>
      <c r="BE325" s="3">
        <v>0.5</v>
      </c>
      <c r="BF325" s="3">
        <v>0.6</v>
      </c>
      <c r="BG325" s="3">
        <v>0.3</v>
      </c>
      <c r="BH325" s="7">
        <v>904.89178500000003</v>
      </c>
      <c r="BI325" s="3">
        <v>7.0000000000000001E-3</v>
      </c>
      <c r="BK325" s="3" t="s">
        <v>195</v>
      </c>
      <c r="BL325" s="3">
        <v>0.01</v>
      </c>
      <c r="BM325" s="6">
        <v>759.81085199999995</v>
      </c>
      <c r="BN325" s="3">
        <v>1E-3</v>
      </c>
      <c r="BO325" s="3">
        <f t="shared" ref="BO325:BO354" si="39">AVERAGE(BG325,BL325)</f>
        <v>0.155</v>
      </c>
      <c r="BP325" s="4" t="s">
        <v>320</v>
      </c>
      <c r="BQ325" s="4" t="s">
        <v>320</v>
      </c>
      <c r="BR325" s="4" t="s">
        <v>321</v>
      </c>
      <c r="BS325" s="4" t="s">
        <v>321</v>
      </c>
    </row>
    <row r="326" spans="1:71" x14ac:dyDescent="0.3">
      <c r="A326" s="3" t="s">
        <v>196</v>
      </c>
      <c r="B326" s="3">
        <v>0.9</v>
      </c>
      <c r="C326" s="3">
        <v>0.5</v>
      </c>
      <c r="D326" s="3">
        <v>0.6</v>
      </c>
      <c r="E326" s="3">
        <v>0.3</v>
      </c>
      <c r="F326" s="7">
        <v>640.26318400000002</v>
      </c>
      <c r="G326" s="3">
        <v>3.0000000000000001E-3</v>
      </c>
      <c r="I326" s="3" t="s">
        <v>196</v>
      </c>
      <c r="J326" s="3">
        <v>0.26</v>
      </c>
      <c r="K326" s="6">
        <v>619.48065199999996</v>
      </c>
      <c r="L326" s="3">
        <v>0</v>
      </c>
      <c r="M326" s="3">
        <f t="shared" si="36"/>
        <v>0.28000000000000003</v>
      </c>
      <c r="N326" s="3">
        <f>COUNT(F327:F330,F332:F342,F344:F345,F347:F349,F351,F353:F354)</f>
        <v>23</v>
      </c>
      <c r="O326" s="3">
        <f>30-N326</f>
        <v>7</v>
      </c>
      <c r="P326" s="3">
        <f>COUNT(K325:K326,K331,K343,K346,K350,K352)</f>
        <v>7</v>
      </c>
      <c r="Q326" s="3">
        <f>30-P326</f>
        <v>23</v>
      </c>
      <c r="R326" s="1"/>
      <c r="S326" s="3" t="s">
        <v>196</v>
      </c>
      <c r="T326" s="3">
        <v>0.9</v>
      </c>
      <c r="U326" s="3">
        <v>0.5</v>
      </c>
      <c r="V326" s="3">
        <v>0.6</v>
      </c>
      <c r="W326" s="3">
        <v>0.3</v>
      </c>
      <c r="X326" s="7">
        <v>606.60955799999999</v>
      </c>
      <c r="Y326" s="3">
        <v>2E-3</v>
      </c>
      <c r="AA326" s="3" t="s">
        <v>196</v>
      </c>
      <c r="AB326" s="3">
        <v>0.18</v>
      </c>
      <c r="AC326" s="6">
        <v>572.63226299999997</v>
      </c>
      <c r="AD326" s="3">
        <v>0</v>
      </c>
      <c r="AE326" s="3">
        <f t="shared" si="37"/>
        <v>0.24</v>
      </c>
      <c r="AF326" s="3">
        <f>COUNT(X325,X327:X331,X333:X339,X342,X344:X345,X348:X352,X354)</f>
        <v>22</v>
      </c>
      <c r="AG326" s="3">
        <f>30-AF326</f>
        <v>8</v>
      </c>
      <c r="AH326" s="3">
        <f>COUNT(AC326,AC332,AC340:AC341,AC343,AC346:AC347,AC353)</f>
        <v>8</v>
      </c>
      <c r="AI326" s="3">
        <f>30-AH326</f>
        <v>22</v>
      </c>
      <c r="AJ326" s="1"/>
      <c r="AK326" s="3" t="s">
        <v>197</v>
      </c>
      <c r="AL326" s="3">
        <v>0.9</v>
      </c>
      <c r="AM326" s="3">
        <v>0.5</v>
      </c>
      <c r="AN326" s="3">
        <v>0.6</v>
      </c>
      <c r="AO326" s="3">
        <v>0.3</v>
      </c>
      <c r="AP326" s="6">
        <v>905.06854199999998</v>
      </c>
      <c r="AQ326" s="3">
        <v>7.0000000000000001E-3</v>
      </c>
      <c r="AS326" s="3" t="s">
        <v>197</v>
      </c>
      <c r="AT326" s="3">
        <v>0.71</v>
      </c>
      <c r="AU326" s="7">
        <v>1017.136475</v>
      </c>
      <c r="AV326" s="3">
        <v>0</v>
      </c>
      <c r="AW326" s="3">
        <f t="shared" si="38"/>
        <v>0.505</v>
      </c>
      <c r="AX326" s="3">
        <f>COUNT(AP326:AP331,AP333,AP336:AP339,AP343:AP345,AP348,AP350:AP354)</f>
        <v>20</v>
      </c>
      <c r="AY326" s="3">
        <f>30-AX326</f>
        <v>10</v>
      </c>
      <c r="AZ326" s="3">
        <f>COUNT(AU325,AU332,AU334:AU335,AU340:AU342,AU346:AU347,AU349)</f>
        <v>10</v>
      </c>
      <c r="BA326" s="3">
        <f>30-AZ326</f>
        <v>20</v>
      </c>
      <c r="BB326" s="1"/>
      <c r="BC326" s="3" t="s">
        <v>197</v>
      </c>
      <c r="BD326" s="3">
        <v>0.9</v>
      </c>
      <c r="BE326" s="3">
        <v>0.5</v>
      </c>
      <c r="BF326" s="3">
        <v>0.6</v>
      </c>
      <c r="BG326" s="3">
        <v>0.3</v>
      </c>
      <c r="BH326" s="7">
        <v>862.50341800000001</v>
      </c>
      <c r="BI326" s="3">
        <v>6.0000000000000001E-3</v>
      </c>
      <c r="BK326" s="3" t="s">
        <v>197</v>
      </c>
      <c r="BL326" s="3">
        <v>0.27</v>
      </c>
      <c r="BM326" s="6">
        <v>849.84716800000001</v>
      </c>
      <c r="BN326" s="3">
        <v>1E-3</v>
      </c>
      <c r="BO326" s="3">
        <f t="shared" si="39"/>
        <v>0.28500000000000003</v>
      </c>
      <c r="BP326" s="3">
        <f>COUNT(BH327:BH331,BH335:BH338,BH340:BH343,BH345:BH350,BH353:BH354)</f>
        <v>21</v>
      </c>
      <c r="BQ326" s="3">
        <f>30-BP326</f>
        <v>9</v>
      </c>
      <c r="BR326" s="3">
        <f>COUNT(BM325:BM326,BM332:BM334,BM339,BM344,BM351:BM352)</f>
        <v>9</v>
      </c>
      <c r="BS326" s="3">
        <f>30-BR326</f>
        <v>21</v>
      </c>
    </row>
    <row r="327" spans="1:71" x14ac:dyDescent="0.3">
      <c r="A327" s="3" t="s">
        <v>198</v>
      </c>
      <c r="B327" s="3">
        <v>0.9</v>
      </c>
      <c r="C327" s="3">
        <v>0.5</v>
      </c>
      <c r="D327" s="3">
        <v>0.6</v>
      </c>
      <c r="E327" s="3">
        <v>0.3</v>
      </c>
      <c r="F327" s="6">
        <v>621.59417699999995</v>
      </c>
      <c r="G327" s="3">
        <v>2E-3</v>
      </c>
      <c r="I327" s="3" t="s">
        <v>198</v>
      </c>
      <c r="J327" s="3">
        <v>0.85</v>
      </c>
      <c r="K327" s="7">
        <v>694.13232400000004</v>
      </c>
      <c r="L327" s="3">
        <v>0</v>
      </c>
      <c r="M327" s="3">
        <f t="shared" si="36"/>
        <v>0.57499999999999996</v>
      </c>
      <c r="N327" s="5"/>
      <c r="O327" s="5"/>
      <c r="P327" s="5"/>
      <c r="Q327" s="5"/>
      <c r="R327" s="1"/>
      <c r="S327" s="3" t="s">
        <v>198</v>
      </c>
      <c r="T327" s="3">
        <v>0.9</v>
      </c>
      <c r="U327" s="3">
        <v>0.5</v>
      </c>
      <c r="V327" s="3">
        <v>0.6</v>
      </c>
      <c r="W327" s="3">
        <v>0.3</v>
      </c>
      <c r="X327" s="6">
        <v>588.62487799999997</v>
      </c>
      <c r="Y327" s="3">
        <v>2E-3</v>
      </c>
      <c r="AA327" s="3" t="s">
        <v>198</v>
      </c>
      <c r="AB327" s="3">
        <v>0.83</v>
      </c>
      <c r="AC327" s="7">
        <v>658.60082999999997</v>
      </c>
      <c r="AD327" s="3">
        <v>0</v>
      </c>
      <c r="AE327" s="3">
        <f t="shared" si="37"/>
        <v>0.56499999999999995</v>
      </c>
      <c r="AF327" s="5"/>
      <c r="AG327" s="5"/>
      <c r="AH327" s="5"/>
      <c r="AI327" s="5"/>
      <c r="AJ327" s="1"/>
      <c r="AK327" s="3" t="s">
        <v>199</v>
      </c>
      <c r="AL327" s="3">
        <v>0.9</v>
      </c>
      <c r="AM327" s="3">
        <v>0.5</v>
      </c>
      <c r="AN327" s="3">
        <v>0.6</v>
      </c>
      <c r="AO327" s="3">
        <v>0.3</v>
      </c>
      <c r="AP327" s="6">
        <v>919.47515899999996</v>
      </c>
      <c r="AQ327" s="3">
        <v>7.0000000000000001E-3</v>
      </c>
      <c r="AS327" s="3" t="s">
        <v>199</v>
      </c>
      <c r="AT327" s="3">
        <v>0.45</v>
      </c>
      <c r="AU327" s="7">
        <v>1002.052063</v>
      </c>
      <c r="AV327" s="3">
        <v>0</v>
      </c>
      <c r="AW327" s="3">
        <f t="shared" si="38"/>
        <v>0.375</v>
      </c>
      <c r="AX327" s="5"/>
      <c r="AY327" s="5"/>
      <c r="AZ327" s="5"/>
      <c r="BA327" s="5"/>
      <c r="BB327" s="1"/>
      <c r="BC327" s="3" t="s">
        <v>199</v>
      </c>
      <c r="BD327" s="3">
        <v>0.9</v>
      </c>
      <c r="BE327" s="3">
        <v>0.5</v>
      </c>
      <c r="BF327" s="3">
        <v>0.6</v>
      </c>
      <c r="BG327" s="3">
        <v>0.3</v>
      </c>
      <c r="BH327" s="6">
        <v>876.94537400000002</v>
      </c>
      <c r="BI327" s="3">
        <v>7.0000000000000001E-3</v>
      </c>
      <c r="BK327" s="3" t="s">
        <v>199</v>
      </c>
      <c r="BL327" s="3">
        <v>0.56999999999999995</v>
      </c>
      <c r="BM327" s="7">
        <v>994.93206799999996</v>
      </c>
      <c r="BN327" s="3">
        <v>1E-3</v>
      </c>
      <c r="BO327" s="3">
        <f t="shared" si="39"/>
        <v>0.43499999999999994</v>
      </c>
    </row>
    <row r="328" spans="1:71" x14ac:dyDescent="0.3">
      <c r="A328" s="3" t="s">
        <v>200</v>
      </c>
      <c r="B328" s="3">
        <v>0.9</v>
      </c>
      <c r="C328" s="3">
        <v>0.5</v>
      </c>
      <c r="D328" s="3">
        <v>0.6</v>
      </c>
      <c r="E328" s="3">
        <v>0.3</v>
      </c>
      <c r="F328" s="6">
        <v>584.62457300000005</v>
      </c>
      <c r="G328" s="3">
        <v>2E-3</v>
      </c>
      <c r="I328" s="3" t="s">
        <v>200</v>
      </c>
      <c r="J328" s="3">
        <v>0.68</v>
      </c>
      <c r="K328" s="7">
        <v>638.23016399999995</v>
      </c>
      <c r="L328" s="3">
        <v>1E-3</v>
      </c>
      <c r="M328" s="3">
        <f t="shared" si="36"/>
        <v>0.49</v>
      </c>
      <c r="N328" s="5"/>
      <c r="O328" s="5"/>
      <c r="P328" s="5"/>
      <c r="Q328" s="5"/>
      <c r="R328" s="1"/>
      <c r="S328" s="3" t="s">
        <v>200</v>
      </c>
      <c r="T328" s="3">
        <v>0.9</v>
      </c>
      <c r="U328" s="3">
        <v>0.5</v>
      </c>
      <c r="V328" s="3">
        <v>0.6</v>
      </c>
      <c r="W328" s="3">
        <v>0.3</v>
      </c>
      <c r="X328" s="6">
        <v>512.32098399999995</v>
      </c>
      <c r="Y328" s="3">
        <v>2E-3</v>
      </c>
      <c r="AA328" s="3" t="s">
        <v>200</v>
      </c>
      <c r="AB328" s="3">
        <v>0.4</v>
      </c>
      <c r="AC328" s="7">
        <v>518.50994900000001</v>
      </c>
      <c r="AD328" s="3">
        <v>0</v>
      </c>
      <c r="AE328" s="3">
        <f t="shared" si="37"/>
        <v>0.35</v>
      </c>
      <c r="AF328" s="5"/>
      <c r="AG328" s="5"/>
      <c r="AH328" s="5"/>
      <c r="AI328" s="5"/>
      <c r="AJ328" s="1"/>
      <c r="AK328" s="3" t="s">
        <v>201</v>
      </c>
      <c r="AL328" s="3">
        <v>0.9</v>
      </c>
      <c r="AM328" s="3">
        <v>0.5</v>
      </c>
      <c r="AN328" s="3">
        <v>0.6</v>
      </c>
      <c r="AO328" s="3">
        <v>0.3</v>
      </c>
      <c r="AP328" s="6">
        <v>996.49212599999998</v>
      </c>
      <c r="AQ328" s="3">
        <v>7.0000000000000001E-3</v>
      </c>
      <c r="AS328" s="3" t="s">
        <v>201</v>
      </c>
      <c r="AT328" s="3">
        <v>0.34</v>
      </c>
      <c r="AU328" s="7">
        <v>1000.8486329999999</v>
      </c>
      <c r="AV328" s="3">
        <v>1E-3</v>
      </c>
      <c r="AW328" s="3">
        <f t="shared" si="38"/>
        <v>0.32</v>
      </c>
      <c r="AX328" s="5"/>
      <c r="AY328" s="5"/>
      <c r="AZ328" s="5"/>
      <c r="BA328" s="5"/>
      <c r="BB328" s="1"/>
      <c r="BC328" s="3" t="s">
        <v>201</v>
      </c>
      <c r="BD328" s="3">
        <v>0.9</v>
      </c>
      <c r="BE328" s="3">
        <v>0.5</v>
      </c>
      <c r="BF328" s="3">
        <v>0.6</v>
      </c>
      <c r="BG328" s="3">
        <v>0.3</v>
      </c>
      <c r="BH328" s="6">
        <v>939.31604000000004</v>
      </c>
      <c r="BI328" s="3">
        <v>7.0000000000000001E-3</v>
      </c>
      <c r="BK328" s="3" t="s">
        <v>201</v>
      </c>
      <c r="BL328" s="3">
        <v>0.9</v>
      </c>
      <c r="BM328" s="7">
        <v>1117.6805420000001</v>
      </c>
      <c r="BN328" s="3">
        <v>1E-3</v>
      </c>
      <c r="BO328" s="3">
        <f t="shared" si="39"/>
        <v>0.6</v>
      </c>
    </row>
    <row r="329" spans="1:71" x14ac:dyDescent="0.3">
      <c r="A329" s="3" t="s">
        <v>202</v>
      </c>
      <c r="B329" s="3">
        <v>0.9</v>
      </c>
      <c r="C329" s="3">
        <v>0.5</v>
      </c>
      <c r="D329" s="3">
        <v>0.6</v>
      </c>
      <c r="E329" s="3">
        <v>0.3</v>
      </c>
      <c r="F329" s="6">
        <v>581.249146</v>
      </c>
      <c r="G329" s="3">
        <v>2E-3</v>
      </c>
      <c r="I329" s="3" t="s">
        <v>202</v>
      </c>
      <c r="J329" s="3">
        <v>0.53</v>
      </c>
      <c r="K329" s="7">
        <v>631.37060499999995</v>
      </c>
      <c r="L329" s="3">
        <v>0</v>
      </c>
      <c r="M329" s="3">
        <f t="shared" si="36"/>
        <v>0.41500000000000004</v>
      </c>
      <c r="N329" s="5"/>
      <c r="O329" s="5"/>
      <c r="P329" s="5"/>
      <c r="Q329" s="5"/>
      <c r="R329" s="1"/>
      <c r="S329" s="3" t="s">
        <v>202</v>
      </c>
      <c r="T329" s="3">
        <v>0.9</v>
      </c>
      <c r="U329" s="3">
        <v>0.5</v>
      </c>
      <c r="V329" s="3">
        <v>0.6</v>
      </c>
      <c r="W329" s="3">
        <v>0.3</v>
      </c>
      <c r="X329" s="6">
        <v>519.90783699999997</v>
      </c>
      <c r="Y329" s="3">
        <v>1E-3</v>
      </c>
      <c r="AA329" s="3" t="s">
        <v>202</v>
      </c>
      <c r="AB329" s="3">
        <v>0.96</v>
      </c>
      <c r="AC329" s="7">
        <v>641.96295199999997</v>
      </c>
      <c r="AD329" s="3">
        <v>0</v>
      </c>
      <c r="AE329" s="3">
        <f t="shared" si="37"/>
        <v>0.63</v>
      </c>
      <c r="AF329" s="5"/>
      <c r="AG329" s="5"/>
      <c r="AH329" s="5"/>
      <c r="AI329" s="5"/>
      <c r="AJ329" s="1"/>
      <c r="AK329" s="3" t="s">
        <v>203</v>
      </c>
      <c r="AL329" s="3">
        <v>0.9</v>
      </c>
      <c r="AM329" s="3">
        <v>0.5</v>
      </c>
      <c r="AN329" s="3">
        <v>0.6</v>
      </c>
      <c r="AO329" s="3">
        <v>0.3</v>
      </c>
      <c r="AP329" s="6">
        <v>952.42340100000001</v>
      </c>
      <c r="AQ329" s="3">
        <v>6.0000000000000001E-3</v>
      </c>
      <c r="AS329" s="3" t="s">
        <v>203</v>
      </c>
      <c r="AT329" s="3">
        <v>0.54</v>
      </c>
      <c r="AU329" s="7">
        <v>1000.366028</v>
      </c>
      <c r="AV329" s="3">
        <v>1E-3</v>
      </c>
      <c r="AW329" s="3">
        <f t="shared" si="38"/>
        <v>0.42000000000000004</v>
      </c>
      <c r="AX329" s="5"/>
      <c r="AY329" s="5"/>
      <c r="AZ329" s="5"/>
      <c r="BA329" s="5"/>
      <c r="BB329" s="1"/>
      <c r="BC329" s="3" t="s">
        <v>203</v>
      </c>
      <c r="BD329" s="3">
        <v>0.9</v>
      </c>
      <c r="BE329" s="3">
        <v>0.5</v>
      </c>
      <c r="BF329" s="3">
        <v>0.6</v>
      </c>
      <c r="BG329" s="3">
        <v>0.3</v>
      </c>
      <c r="BH329" s="6">
        <v>894.94897500000002</v>
      </c>
      <c r="BI329" s="3">
        <v>6.0000000000000001E-3</v>
      </c>
      <c r="BK329" s="3" t="s">
        <v>203</v>
      </c>
      <c r="BL329" s="3">
        <v>0.74</v>
      </c>
      <c r="BM329" s="7">
        <v>997.08599900000002</v>
      </c>
      <c r="BN329" s="3">
        <v>0</v>
      </c>
      <c r="BO329" s="3">
        <f t="shared" si="39"/>
        <v>0.52</v>
      </c>
    </row>
    <row r="330" spans="1:71" x14ac:dyDescent="0.3">
      <c r="A330" s="3" t="s">
        <v>204</v>
      </c>
      <c r="B330" s="3">
        <v>0.9</v>
      </c>
      <c r="C330" s="3">
        <v>0.5</v>
      </c>
      <c r="D330" s="3">
        <v>0.6</v>
      </c>
      <c r="E330" s="3">
        <v>0.3</v>
      </c>
      <c r="F330" s="6">
        <v>623.68798800000002</v>
      </c>
      <c r="G330" s="3">
        <v>3.0000000000000001E-3</v>
      </c>
      <c r="I330" s="3" t="s">
        <v>204</v>
      </c>
      <c r="J330" s="3">
        <v>0.35</v>
      </c>
      <c r="K330" s="7">
        <v>637.42578100000003</v>
      </c>
      <c r="L330" s="3">
        <v>0</v>
      </c>
      <c r="M330" s="3">
        <f t="shared" si="36"/>
        <v>0.32499999999999996</v>
      </c>
      <c r="N330" s="5"/>
      <c r="O330" s="5"/>
      <c r="P330" s="5"/>
      <c r="Q330" s="5"/>
      <c r="R330" s="1"/>
      <c r="S330" s="3" t="s">
        <v>204</v>
      </c>
      <c r="T330" s="3">
        <v>0.9</v>
      </c>
      <c r="U330" s="3">
        <v>0.5</v>
      </c>
      <c r="V330" s="3">
        <v>0.6</v>
      </c>
      <c r="W330" s="3">
        <v>0.3</v>
      </c>
      <c r="X330" s="6">
        <v>604.13671899999997</v>
      </c>
      <c r="Y330" s="3">
        <v>2E-3</v>
      </c>
      <c r="AA330" s="3" t="s">
        <v>204</v>
      </c>
      <c r="AB330" s="3">
        <v>0.65</v>
      </c>
      <c r="AC330" s="7">
        <v>662.05206299999998</v>
      </c>
      <c r="AD330" s="3">
        <v>0</v>
      </c>
      <c r="AE330" s="3">
        <f t="shared" si="37"/>
        <v>0.47499999999999998</v>
      </c>
      <c r="AF330" s="5"/>
      <c r="AG330" s="5"/>
      <c r="AH330" s="5"/>
      <c r="AI330" s="5"/>
      <c r="AJ330" s="1"/>
      <c r="AK330" s="3" t="s">
        <v>205</v>
      </c>
      <c r="AL330" s="3">
        <v>0.9</v>
      </c>
      <c r="AM330" s="3">
        <v>0.5</v>
      </c>
      <c r="AN330" s="3">
        <v>0.6</v>
      </c>
      <c r="AO330" s="3">
        <v>0.3</v>
      </c>
      <c r="AP330" s="6">
        <v>966.86163299999998</v>
      </c>
      <c r="AQ330" s="3">
        <v>7.0000000000000001E-3</v>
      </c>
      <c r="AS330" s="3" t="s">
        <v>205</v>
      </c>
      <c r="AT330" s="3">
        <v>0.84</v>
      </c>
      <c r="AU330" s="7">
        <v>1075.280029</v>
      </c>
      <c r="AV330" s="3">
        <v>0</v>
      </c>
      <c r="AW330" s="3">
        <f t="shared" si="38"/>
        <v>0.56999999999999995</v>
      </c>
      <c r="AX330" s="5"/>
      <c r="AY330" s="5"/>
      <c r="AZ330" s="5"/>
      <c r="BA330" s="5"/>
      <c r="BB330" s="1"/>
      <c r="BC330" s="3" t="s">
        <v>205</v>
      </c>
      <c r="BD330" s="3">
        <v>0.9</v>
      </c>
      <c r="BE330" s="3">
        <v>0.5</v>
      </c>
      <c r="BF330" s="3">
        <v>0.6</v>
      </c>
      <c r="BG330" s="3">
        <v>0.3</v>
      </c>
      <c r="BH330" s="6">
        <v>906.92327899999998</v>
      </c>
      <c r="BI330" s="3">
        <v>7.0000000000000001E-3</v>
      </c>
      <c r="BK330" s="3" t="s">
        <v>205</v>
      </c>
      <c r="BL330" s="3">
        <v>0.28999999999999998</v>
      </c>
      <c r="BM330" s="7">
        <v>909.63000499999998</v>
      </c>
      <c r="BN330" s="3">
        <v>2E-3</v>
      </c>
      <c r="BO330" s="3">
        <f t="shared" si="39"/>
        <v>0.29499999999999998</v>
      </c>
    </row>
    <row r="331" spans="1:71" x14ac:dyDescent="0.3">
      <c r="A331" s="3" t="s">
        <v>206</v>
      </c>
      <c r="B331" s="3">
        <v>0.9</v>
      </c>
      <c r="C331" s="3">
        <v>0.5</v>
      </c>
      <c r="D331" s="3">
        <v>0.6</v>
      </c>
      <c r="E331" s="3">
        <v>0.3</v>
      </c>
      <c r="F331" s="7">
        <v>650.65106200000002</v>
      </c>
      <c r="G331" s="3">
        <v>2E-3</v>
      </c>
      <c r="I331" s="3" t="s">
        <v>206</v>
      </c>
      <c r="J331" s="3">
        <v>0.26</v>
      </c>
      <c r="K331" s="6">
        <v>643.40191700000003</v>
      </c>
      <c r="L331" s="3">
        <v>0</v>
      </c>
      <c r="M331" s="3">
        <f t="shared" si="36"/>
        <v>0.28000000000000003</v>
      </c>
      <c r="N331" s="5"/>
      <c r="O331" s="5"/>
      <c r="P331" s="5"/>
      <c r="Q331" s="5"/>
      <c r="R331" s="1"/>
      <c r="S331" s="3" t="s">
        <v>206</v>
      </c>
      <c r="T331" s="3">
        <v>0.9</v>
      </c>
      <c r="U331" s="3">
        <v>0.5</v>
      </c>
      <c r="V331" s="3">
        <v>0.6</v>
      </c>
      <c r="W331" s="3">
        <v>0.3</v>
      </c>
      <c r="X331" s="6">
        <v>608.07702600000005</v>
      </c>
      <c r="Y331" s="3">
        <v>2E-3</v>
      </c>
      <c r="AA331" s="3" t="s">
        <v>206</v>
      </c>
      <c r="AB331" s="3">
        <v>0.59</v>
      </c>
      <c r="AC331" s="7">
        <v>645.93823199999997</v>
      </c>
      <c r="AD331" s="3">
        <v>0</v>
      </c>
      <c r="AE331" s="3">
        <f t="shared" si="37"/>
        <v>0.44499999999999995</v>
      </c>
      <c r="AF331" s="5"/>
      <c r="AG331" s="5"/>
      <c r="AH331" s="5"/>
      <c r="AI331" s="5"/>
      <c r="AJ331" s="1"/>
      <c r="AK331" s="3" t="s">
        <v>207</v>
      </c>
      <c r="AL331" s="3">
        <v>0.9</v>
      </c>
      <c r="AM331" s="3">
        <v>0.5</v>
      </c>
      <c r="AN331" s="3">
        <v>0.6</v>
      </c>
      <c r="AO331" s="3">
        <v>0.3</v>
      </c>
      <c r="AP331" s="6">
        <v>892.67394999999999</v>
      </c>
      <c r="AQ331" s="3">
        <v>6.0000000000000001E-3</v>
      </c>
      <c r="AS331" s="3" t="s">
        <v>207</v>
      </c>
      <c r="AT331" s="3">
        <v>0.47</v>
      </c>
      <c r="AU331" s="7">
        <v>947.70959500000004</v>
      </c>
      <c r="AV331" s="3">
        <v>1E-3</v>
      </c>
      <c r="AW331" s="3">
        <f t="shared" si="38"/>
        <v>0.38500000000000001</v>
      </c>
      <c r="AX331" s="5"/>
      <c r="AY331" s="5"/>
      <c r="AZ331" s="5"/>
      <c r="BA331" s="5"/>
      <c r="BB331" s="1"/>
      <c r="BC331" s="3" t="s">
        <v>207</v>
      </c>
      <c r="BD331" s="3">
        <v>0.9</v>
      </c>
      <c r="BE331" s="3">
        <v>0.5</v>
      </c>
      <c r="BF331" s="3">
        <v>0.6</v>
      </c>
      <c r="BG331" s="3">
        <v>0.3</v>
      </c>
      <c r="BH331" s="6">
        <v>823.70959500000004</v>
      </c>
      <c r="BI331" s="3">
        <v>5.0000000000000001E-3</v>
      </c>
      <c r="BK331" s="3" t="s">
        <v>207</v>
      </c>
      <c r="BL331" s="3">
        <v>0.45</v>
      </c>
      <c r="BM331" s="7">
        <v>879.45306400000004</v>
      </c>
      <c r="BN331" s="3">
        <v>0</v>
      </c>
      <c r="BO331" s="3">
        <f t="shared" si="39"/>
        <v>0.375</v>
      </c>
    </row>
    <row r="332" spans="1:71" x14ac:dyDescent="0.3">
      <c r="A332" s="3" t="s">
        <v>208</v>
      </c>
      <c r="B332" s="3">
        <v>0.9</v>
      </c>
      <c r="C332" s="3">
        <v>0.5</v>
      </c>
      <c r="D332" s="3">
        <v>0.6</v>
      </c>
      <c r="E332" s="3">
        <v>0.3</v>
      </c>
      <c r="F332" s="6">
        <v>618.52227800000003</v>
      </c>
      <c r="G332" s="3">
        <v>2E-3</v>
      </c>
      <c r="I332" s="3" t="s">
        <v>208</v>
      </c>
      <c r="J332" s="3">
        <v>0.8</v>
      </c>
      <c r="K332" s="7">
        <v>684.53753700000004</v>
      </c>
      <c r="L332" s="3">
        <v>0</v>
      </c>
      <c r="M332" s="3">
        <f t="shared" si="36"/>
        <v>0.55000000000000004</v>
      </c>
      <c r="N332" s="5"/>
      <c r="O332" s="5"/>
      <c r="P332" s="5"/>
      <c r="Q332" s="5"/>
      <c r="R332" s="1"/>
      <c r="S332" s="3" t="s">
        <v>208</v>
      </c>
      <c r="T332" s="3">
        <v>0.9</v>
      </c>
      <c r="U332" s="3">
        <v>0.5</v>
      </c>
      <c r="V332" s="3">
        <v>0.6</v>
      </c>
      <c r="W332" s="3">
        <v>0.3</v>
      </c>
      <c r="X332" s="7">
        <v>556.91619900000001</v>
      </c>
      <c r="Y332" s="3">
        <v>2E-3</v>
      </c>
      <c r="AA332" s="3" t="s">
        <v>208</v>
      </c>
      <c r="AB332" s="3">
        <v>0.05</v>
      </c>
      <c r="AC332" s="6">
        <v>487.93109099999998</v>
      </c>
      <c r="AD332" s="3">
        <v>0</v>
      </c>
      <c r="AE332" s="3">
        <f t="shared" si="37"/>
        <v>0.17499999999999999</v>
      </c>
      <c r="AF332" s="5"/>
      <c r="AG332" s="5"/>
      <c r="AH332" s="5"/>
      <c r="AI332" s="5"/>
      <c r="AJ332" s="1"/>
      <c r="AK332" s="3" t="s">
        <v>209</v>
      </c>
      <c r="AL332" s="3">
        <v>0.9</v>
      </c>
      <c r="AM332" s="3">
        <v>0.5</v>
      </c>
      <c r="AN332" s="3">
        <v>0.6</v>
      </c>
      <c r="AO332" s="3">
        <v>0.3</v>
      </c>
      <c r="AP332" s="7">
        <v>879.33618200000001</v>
      </c>
      <c r="AQ332" s="3">
        <v>6.0000000000000001E-3</v>
      </c>
      <c r="AS332" s="3" t="s">
        <v>209</v>
      </c>
      <c r="AT332" s="3">
        <v>0.02</v>
      </c>
      <c r="AU332" s="6">
        <v>743.90649399999995</v>
      </c>
      <c r="AV332" s="3">
        <v>0</v>
      </c>
      <c r="AW332" s="3">
        <f t="shared" si="38"/>
        <v>0.16</v>
      </c>
      <c r="AX332" s="5"/>
      <c r="AY332" s="5"/>
      <c r="AZ332" s="5"/>
      <c r="BA332" s="5"/>
      <c r="BB332" s="1"/>
      <c r="BC332" s="3" t="s">
        <v>209</v>
      </c>
      <c r="BD332" s="3">
        <v>0.9</v>
      </c>
      <c r="BE332" s="3">
        <v>0.5</v>
      </c>
      <c r="BF332" s="3">
        <v>0.6</v>
      </c>
      <c r="BG332" s="3">
        <v>0.3</v>
      </c>
      <c r="BH332" s="7">
        <v>802.61377000000005</v>
      </c>
      <c r="BI332" s="3">
        <v>6.0000000000000001E-3</v>
      </c>
      <c r="BK332" s="3" t="s">
        <v>209</v>
      </c>
      <c r="BL332" s="3">
        <v>0.04</v>
      </c>
      <c r="BM332" s="6">
        <v>685.73101799999995</v>
      </c>
      <c r="BN332" s="3">
        <v>1E-3</v>
      </c>
      <c r="BO332" s="3">
        <f t="shared" si="39"/>
        <v>0.16999999999999998</v>
      </c>
    </row>
    <row r="333" spans="1:71" x14ac:dyDescent="0.3">
      <c r="A333" s="3" t="s">
        <v>210</v>
      </c>
      <c r="B333" s="3">
        <v>0.9</v>
      </c>
      <c r="C333" s="3">
        <v>0.5</v>
      </c>
      <c r="D333" s="3">
        <v>0.6</v>
      </c>
      <c r="E333" s="3">
        <v>0.3</v>
      </c>
      <c r="F333" s="6">
        <v>601.227844</v>
      </c>
      <c r="G333" s="3">
        <v>2E-3</v>
      </c>
      <c r="I333" s="3" t="s">
        <v>210</v>
      </c>
      <c r="J333" s="3">
        <v>0.74</v>
      </c>
      <c r="K333" s="7">
        <v>672.24133300000005</v>
      </c>
      <c r="L333" s="3">
        <v>0</v>
      </c>
      <c r="M333" s="3">
        <f t="shared" si="36"/>
        <v>0.52</v>
      </c>
      <c r="N333" s="5"/>
      <c r="O333" s="5"/>
      <c r="P333" s="5"/>
      <c r="Q333" s="5"/>
      <c r="R333" s="1"/>
      <c r="S333" s="3" t="s">
        <v>210</v>
      </c>
      <c r="T333" s="3">
        <v>0.9</v>
      </c>
      <c r="U333" s="3">
        <v>0.5</v>
      </c>
      <c r="V333" s="3">
        <v>0.6</v>
      </c>
      <c r="W333" s="3">
        <v>0.3</v>
      </c>
      <c r="X333" s="6">
        <v>560.67224099999999</v>
      </c>
      <c r="Y333" s="3">
        <v>2E-3</v>
      </c>
      <c r="AA333" s="3" t="s">
        <v>210</v>
      </c>
      <c r="AB333" s="3">
        <v>0.43</v>
      </c>
      <c r="AC333" s="7">
        <v>602.09338400000001</v>
      </c>
      <c r="AD333" s="3">
        <v>0</v>
      </c>
      <c r="AE333" s="3">
        <f t="shared" si="37"/>
        <v>0.36499999999999999</v>
      </c>
      <c r="AF333" s="5"/>
      <c r="AG333" s="5"/>
      <c r="AH333" s="5"/>
      <c r="AI333" s="5"/>
      <c r="AJ333" s="1"/>
      <c r="AK333" s="3" t="s">
        <v>211</v>
      </c>
      <c r="AL333" s="3">
        <v>0.9</v>
      </c>
      <c r="AM333" s="3">
        <v>0.5</v>
      </c>
      <c r="AN333" s="3">
        <v>0.6</v>
      </c>
      <c r="AO333" s="3">
        <v>0.3</v>
      </c>
      <c r="AP333" s="6">
        <v>923.92132600000002</v>
      </c>
      <c r="AQ333" s="3">
        <v>6.0000000000000001E-3</v>
      </c>
      <c r="AS333" s="3" t="s">
        <v>211</v>
      </c>
      <c r="AT333" s="3">
        <v>0.61</v>
      </c>
      <c r="AU333" s="7">
        <v>996.03735400000005</v>
      </c>
      <c r="AV333" s="3">
        <v>1E-3</v>
      </c>
      <c r="AW333" s="3">
        <f t="shared" si="38"/>
        <v>0.45499999999999996</v>
      </c>
      <c r="AX333" s="5"/>
      <c r="AY333" s="5"/>
      <c r="AZ333" s="5"/>
      <c r="BA333" s="5"/>
      <c r="BB333" s="1"/>
      <c r="BC333" s="3" t="s">
        <v>211</v>
      </c>
      <c r="BD333" s="3">
        <v>0.9</v>
      </c>
      <c r="BE333" s="3">
        <v>0.5</v>
      </c>
      <c r="BF333" s="3">
        <v>0.6</v>
      </c>
      <c r="BG333" s="3">
        <v>0.3</v>
      </c>
      <c r="BH333" s="7">
        <v>864.67895499999997</v>
      </c>
      <c r="BI333" s="3">
        <v>5.0000000000000001E-3</v>
      </c>
      <c r="BK333" s="3" t="s">
        <v>211</v>
      </c>
      <c r="BL333" s="3">
        <v>0.18</v>
      </c>
      <c r="BM333" s="6">
        <v>789.24456799999996</v>
      </c>
      <c r="BN333" s="3">
        <v>0</v>
      </c>
      <c r="BO333" s="3">
        <f t="shared" si="39"/>
        <v>0.24</v>
      </c>
    </row>
    <row r="334" spans="1:71" x14ac:dyDescent="0.3">
      <c r="A334" s="3" t="s">
        <v>212</v>
      </c>
      <c r="B334" s="3">
        <v>0.9</v>
      </c>
      <c r="C334" s="3">
        <v>0.5</v>
      </c>
      <c r="D334" s="3">
        <v>0.6</v>
      </c>
      <c r="E334" s="3">
        <v>0.3</v>
      </c>
      <c r="F334" s="6">
        <v>632.23492399999998</v>
      </c>
      <c r="G334" s="3">
        <v>2E-3</v>
      </c>
      <c r="I334" s="3" t="s">
        <v>212</v>
      </c>
      <c r="J334" s="3">
        <v>0.63</v>
      </c>
      <c r="K334" s="7">
        <v>681.98242200000004</v>
      </c>
      <c r="L334" s="3">
        <v>0</v>
      </c>
      <c r="M334" s="3">
        <f t="shared" si="36"/>
        <v>0.46499999999999997</v>
      </c>
      <c r="N334" s="5"/>
      <c r="O334" s="5"/>
      <c r="P334" s="5"/>
      <c r="Q334" s="5"/>
      <c r="R334" s="1"/>
      <c r="S334" s="3" t="s">
        <v>212</v>
      </c>
      <c r="T334" s="3">
        <v>0.9</v>
      </c>
      <c r="U334" s="3">
        <v>0.5</v>
      </c>
      <c r="V334" s="3">
        <v>0.6</v>
      </c>
      <c r="W334" s="3">
        <v>0.3</v>
      </c>
      <c r="X334" s="6">
        <v>600.80981399999996</v>
      </c>
      <c r="Y334" s="3">
        <v>1E-3</v>
      </c>
      <c r="AA334" s="3" t="s">
        <v>212</v>
      </c>
      <c r="AB334" s="3">
        <v>0.77</v>
      </c>
      <c r="AC334" s="7">
        <v>640.44903599999998</v>
      </c>
      <c r="AD334" s="3">
        <v>1E-3</v>
      </c>
      <c r="AE334" s="3">
        <f t="shared" si="37"/>
        <v>0.53500000000000003</v>
      </c>
      <c r="AF334" s="5"/>
      <c r="AG334" s="5"/>
      <c r="AH334" s="5"/>
      <c r="AI334" s="5"/>
      <c r="AJ334" s="1"/>
      <c r="AK334" s="3" t="s">
        <v>213</v>
      </c>
      <c r="AL334" s="3">
        <v>0.9</v>
      </c>
      <c r="AM334" s="3">
        <v>0.5</v>
      </c>
      <c r="AN334" s="3">
        <v>0.6</v>
      </c>
      <c r="AO334" s="3">
        <v>0.3</v>
      </c>
      <c r="AP334" s="7">
        <v>916.23138400000005</v>
      </c>
      <c r="AQ334" s="3">
        <v>6.0000000000000001E-3</v>
      </c>
      <c r="AS334" s="3" t="s">
        <v>213</v>
      </c>
      <c r="AT334" s="3">
        <v>0.17</v>
      </c>
      <c r="AU334" s="6">
        <v>835.36084000000005</v>
      </c>
      <c r="AV334" s="3">
        <v>1E-3</v>
      </c>
      <c r="AW334" s="3">
        <f t="shared" si="38"/>
        <v>0.23499999999999999</v>
      </c>
      <c r="AX334" s="5"/>
      <c r="AY334" s="5"/>
      <c r="AZ334" s="5"/>
      <c r="BA334" s="5"/>
      <c r="BB334" s="1"/>
      <c r="BC334" s="3" t="s">
        <v>213</v>
      </c>
      <c r="BD334" s="3">
        <v>0.9</v>
      </c>
      <c r="BE334" s="3">
        <v>0.5</v>
      </c>
      <c r="BF334" s="3">
        <v>0.6</v>
      </c>
      <c r="BG334" s="3">
        <v>0.3</v>
      </c>
      <c r="BH334" s="7">
        <v>896.51104699999996</v>
      </c>
      <c r="BI334" s="3">
        <v>7.0000000000000001E-3</v>
      </c>
      <c r="BK334" s="3" t="s">
        <v>213</v>
      </c>
      <c r="BL334" s="3">
        <v>0.02</v>
      </c>
      <c r="BM334" s="6">
        <v>728.229736</v>
      </c>
      <c r="BN334" s="3">
        <v>1E-3</v>
      </c>
      <c r="BO334" s="3">
        <f t="shared" si="39"/>
        <v>0.16</v>
      </c>
    </row>
    <row r="335" spans="1:71" x14ac:dyDescent="0.3">
      <c r="A335" s="3" t="s">
        <v>214</v>
      </c>
      <c r="B335" s="3">
        <v>0.9</v>
      </c>
      <c r="C335" s="3">
        <v>0.5</v>
      </c>
      <c r="D335" s="3">
        <v>0.6</v>
      </c>
      <c r="E335" s="3">
        <v>0.3</v>
      </c>
      <c r="F335" s="6">
        <v>648.76824999999997</v>
      </c>
      <c r="G335" s="3">
        <v>2E-3</v>
      </c>
      <c r="I335" s="3" t="s">
        <v>214</v>
      </c>
      <c r="J335" s="3">
        <v>0.42</v>
      </c>
      <c r="K335" s="7">
        <v>671.75061000000005</v>
      </c>
      <c r="L335" s="3">
        <v>0</v>
      </c>
      <c r="M335" s="3">
        <f t="shared" si="36"/>
        <v>0.36</v>
      </c>
      <c r="N335" s="5"/>
      <c r="O335" s="5"/>
      <c r="P335" s="5"/>
      <c r="Q335" s="5"/>
      <c r="R335" s="1"/>
      <c r="S335" s="3" t="s">
        <v>214</v>
      </c>
      <c r="T335" s="3">
        <v>0.9</v>
      </c>
      <c r="U335" s="3">
        <v>0.5</v>
      </c>
      <c r="V335" s="3">
        <v>0.6</v>
      </c>
      <c r="W335" s="3">
        <v>0.3</v>
      </c>
      <c r="X335" s="6">
        <v>616.80480999999997</v>
      </c>
      <c r="Y335" s="3">
        <v>2E-3</v>
      </c>
      <c r="AA335" s="3" t="s">
        <v>214</v>
      </c>
      <c r="AB335" s="3">
        <v>0.88</v>
      </c>
      <c r="AC335" s="7">
        <v>694.62396200000001</v>
      </c>
      <c r="AD335" s="3">
        <v>1E-3</v>
      </c>
      <c r="AE335" s="3">
        <f t="shared" si="37"/>
        <v>0.59</v>
      </c>
      <c r="AF335" s="5"/>
      <c r="AG335" s="5"/>
      <c r="AH335" s="5"/>
      <c r="AI335" s="5"/>
      <c r="AJ335" s="1"/>
      <c r="AK335" s="3" t="s">
        <v>215</v>
      </c>
      <c r="AL335" s="3">
        <v>0.9</v>
      </c>
      <c r="AM335" s="3">
        <v>0.5</v>
      </c>
      <c r="AN335" s="3">
        <v>0.6</v>
      </c>
      <c r="AO335" s="3">
        <v>0.3</v>
      </c>
      <c r="AP335" s="7">
        <v>1014.385681</v>
      </c>
      <c r="AQ335" s="3">
        <v>8.0000000000000002E-3</v>
      </c>
      <c r="AS335" s="3" t="s">
        <v>215</v>
      </c>
      <c r="AT335" s="3">
        <v>0.19</v>
      </c>
      <c r="AU335" s="6">
        <v>928.05456500000003</v>
      </c>
      <c r="AV335" s="3">
        <v>2E-3</v>
      </c>
      <c r="AW335" s="3">
        <f t="shared" si="38"/>
        <v>0.245</v>
      </c>
      <c r="AX335" s="5"/>
      <c r="AY335" s="5"/>
      <c r="AZ335" s="5"/>
      <c r="BA335" s="5"/>
      <c r="BB335" s="1"/>
      <c r="BC335" s="3" t="s">
        <v>215</v>
      </c>
      <c r="BD335" s="3">
        <v>0.9</v>
      </c>
      <c r="BE335" s="3">
        <v>0.5</v>
      </c>
      <c r="BF335" s="3">
        <v>0.6</v>
      </c>
      <c r="BG335" s="3">
        <v>0.3</v>
      </c>
      <c r="BH335" s="6">
        <v>980.00140399999998</v>
      </c>
      <c r="BI335" s="3">
        <v>8.0000000000000002E-3</v>
      </c>
      <c r="BK335" s="3" t="s">
        <v>215</v>
      </c>
      <c r="BL335" s="3">
        <v>0.63</v>
      </c>
      <c r="BM335" s="7">
        <v>1154.9323730000001</v>
      </c>
      <c r="BN335" s="3">
        <v>2E-3</v>
      </c>
      <c r="BO335" s="3">
        <f t="shared" si="39"/>
        <v>0.46499999999999997</v>
      </c>
    </row>
    <row r="336" spans="1:71" x14ac:dyDescent="0.3">
      <c r="A336" s="3" t="s">
        <v>216</v>
      </c>
      <c r="B336" s="3">
        <v>0.9</v>
      </c>
      <c r="C336" s="3">
        <v>0.5</v>
      </c>
      <c r="D336" s="3">
        <v>0.6</v>
      </c>
      <c r="E336" s="3">
        <v>0.3</v>
      </c>
      <c r="F336" s="6">
        <v>601.20922900000005</v>
      </c>
      <c r="G336" s="3">
        <v>1E-3</v>
      </c>
      <c r="I336" s="3" t="s">
        <v>216</v>
      </c>
      <c r="J336" s="3">
        <v>0.74</v>
      </c>
      <c r="K336" s="7">
        <v>693.50244099999998</v>
      </c>
      <c r="L336" s="3">
        <v>0</v>
      </c>
      <c r="M336" s="3">
        <f t="shared" si="36"/>
        <v>0.52</v>
      </c>
      <c r="N336" s="5"/>
      <c r="O336" s="5"/>
      <c r="P336" s="5"/>
      <c r="Q336" s="5"/>
      <c r="R336" s="1"/>
      <c r="S336" s="3" t="s">
        <v>216</v>
      </c>
      <c r="T336" s="3">
        <v>0.9</v>
      </c>
      <c r="U336" s="3">
        <v>0.5</v>
      </c>
      <c r="V336" s="3">
        <v>0.6</v>
      </c>
      <c r="W336" s="3">
        <v>0.3</v>
      </c>
      <c r="X336" s="6">
        <v>559.15551800000003</v>
      </c>
      <c r="Y336" s="3">
        <v>1E-3</v>
      </c>
      <c r="AA336" s="3" t="s">
        <v>216</v>
      </c>
      <c r="AB336" s="3">
        <v>0.47</v>
      </c>
      <c r="AC336" s="7">
        <v>573.52984600000002</v>
      </c>
      <c r="AD336" s="3">
        <v>0</v>
      </c>
      <c r="AE336" s="3">
        <f t="shared" si="37"/>
        <v>0.38500000000000001</v>
      </c>
      <c r="AF336" s="5"/>
      <c r="AG336" s="5"/>
      <c r="AH336" s="5"/>
      <c r="AI336" s="5"/>
      <c r="AJ336" s="1"/>
      <c r="AK336" s="3" t="s">
        <v>217</v>
      </c>
      <c r="AL336" s="3">
        <v>0.9</v>
      </c>
      <c r="AM336" s="3">
        <v>0.5</v>
      </c>
      <c r="AN336" s="3">
        <v>0.6</v>
      </c>
      <c r="AO336" s="3">
        <v>0.3</v>
      </c>
      <c r="AP336" s="6">
        <v>1031.9259030000001</v>
      </c>
      <c r="AQ336" s="3">
        <v>8.0000000000000002E-3</v>
      </c>
      <c r="AS336" s="3" t="s">
        <v>217</v>
      </c>
      <c r="AT336" s="3">
        <v>0.39</v>
      </c>
      <c r="AU336" s="7">
        <v>1081.674438</v>
      </c>
      <c r="AV336" s="3">
        <v>1E-3</v>
      </c>
      <c r="AW336" s="3">
        <f t="shared" si="38"/>
        <v>0.34499999999999997</v>
      </c>
      <c r="AX336" s="5"/>
      <c r="AY336" s="5"/>
      <c r="AZ336" s="5"/>
      <c r="BA336" s="5"/>
      <c r="BB336" s="1"/>
      <c r="BC336" s="3" t="s">
        <v>217</v>
      </c>
      <c r="BD336" s="3">
        <v>0.9</v>
      </c>
      <c r="BE336" s="3">
        <v>0.5</v>
      </c>
      <c r="BF336" s="3">
        <v>0.6</v>
      </c>
      <c r="BG336" s="3">
        <v>0.3</v>
      </c>
      <c r="BH336" s="6">
        <v>1004.4351810000001</v>
      </c>
      <c r="BI336" s="3">
        <v>8.0000000000000002E-3</v>
      </c>
      <c r="BK336" s="3" t="s">
        <v>217</v>
      </c>
      <c r="BL336" s="3">
        <v>0.78</v>
      </c>
      <c r="BM336" s="7">
        <v>1223.4361570000001</v>
      </c>
      <c r="BN336" s="3">
        <v>1E-3</v>
      </c>
      <c r="BO336" s="3">
        <f t="shared" si="39"/>
        <v>0.54</v>
      </c>
    </row>
    <row r="337" spans="1:67" x14ac:dyDescent="0.3">
      <c r="A337" s="3" t="s">
        <v>218</v>
      </c>
      <c r="B337" s="3">
        <v>0.9</v>
      </c>
      <c r="C337" s="3">
        <v>0.5</v>
      </c>
      <c r="D337" s="3">
        <v>0.6</v>
      </c>
      <c r="E337" s="3">
        <v>0.3</v>
      </c>
      <c r="F337" s="6">
        <v>650.98706100000004</v>
      </c>
      <c r="G337" s="3">
        <v>2E-3</v>
      </c>
      <c r="I337" s="3" t="s">
        <v>218</v>
      </c>
      <c r="J337" s="3">
        <v>0.45</v>
      </c>
      <c r="K337" s="7">
        <v>693.60595699999999</v>
      </c>
      <c r="L337" s="3">
        <v>0</v>
      </c>
      <c r="M337" s="3">
        <f t="shared" si="36"/>
        <v>0.375</v>
      </c>
      <c r="N337" s="5"/>
      <c r="O337" s="5"/>
      <c r="P337" s="5"/>
      <c r="Q337" s="5"/>
      <c r="R337" s="1"/>
      <c r="S337" s="3" t="s">
        <v>218</v>
      </c>
      <c r="T337" s="3">
        <v>0.9</v>
      </c>
      <c r="U337" s="3">
        <v>0.5</v>
      </c>
      <c r="V337" s="3">
        <v>0.6</v>
      </c>
      <c r="W337" s="3">
        <v>0.3</v>
      </c>
      <c r="X337" s="6">
        <v>646.25183100000004</v>
      </c>
      <c r="Y337" s="3">
        <v>2E-3</v>
      </c>
      <c r="AA337" s="3" t="s">
        <v>218</v>
      </c>
      <c r="AB337" s="3">
        <v>0.44</v>
      </c>
      <c r="AC337" s="7">
        <v>664.301331</v>
      </c>
      <c r="AD337" s="3">
        <v>0</v>
      </c>
      <c r="AE337" s="3">
        <f t="shared" si="37"/>
        <v>0.37</v>
      </c>
      <c r="AF337" s="5"/>
      <c r="AG337" s="5"/>
      <c r="AH337" s="5"/>
      <c r="AI337" s="5"/>
      <c r="AJ337" s="1"/>
      <c r="AK337" s="3" t="s">
        <v>219</v>
      </c>
      <c r="AL337" s="3">
        <v>0.9</v>
      </c>
      <c r="AM337" s="3">
        <v>0.5</v>
      </c>
      <c r="AN337" s="3">
        <v>0.6</v>
      </c>
      <c r="AO337" s="3">
        <v>0.3</v>
      </c>
      <c r="AP337" s="6">
        <v>1037.631836</v>
      </c>
      <c r="AQ337" s="3">
        <v>8.0000000000000002E-3</v>
      </c>
      <c r="AS337" s="3" t="s">
        <v>219</v>
      </c>
      <c r="AT337" s="3">
        <v>0.68</v>
      </c>
      <c r="AU337" s="7">
        <v>1205.9377440000001</v>
      </c>
      <c r="AV337" s="3">
        <v>1E-3</v>
      </c>
      <c r="AW337" s="3">
        <f t="shared" si="38"/>
        <v>0.49</v>
      </c>
      <c r="AX337" s="5"/>
      <c r="AY337" s="5"/>
      <c r="AZ337" s="5"/>
      <c r="BA337" s="5"/>
      <c r="BB337" s="1"/>
      <c r="BC337" s="3" t="s">
        <v>219</v>
      </c>
      <c r="BD337" s="3">
        <v>0.9</v>
      </c>
      <c r="BE337" s="3">
        <v>0.5</v>
      </c>
      <c r="BF337" s="3">
        <v>0.6</v>
      </c>
      <c r="BG337" s="3">
        <v>0.3</v>
      </c>
      <c r="BH337" s="6">
        <v>1019.759094</v>
      </c>
      <c r="BI337" s="3">
        <v>8.9999999999999993E-3</v>
      </c>
      <c r="BK337" s="3" t="s">
        <v>219</v>
      </c>
      <c r="BL337" s="3">
        <v>0.66</v>
      </c>
      <c r="BM337" s="7">
        <v>1168.930664</v>
      </c>
      <c r="BN337" s="3">
        <v>1E-3</v>
      </c>
      <c r="BO337" s="3">
        <f t="shared" si="39"/>
        <v>0.48</v>
      </c>
    </row>
    <row r="338" spans="1:67" x14ac:dyDescent="0.3">
      <c r="A338" s="3" t="s">
        <v>220</v>
      </c>
      <c r="B338" s="3">
        <v>0.9</v>
      </c>
      <c r="C338" s="3">
        <v>0.5</v>
      </c>
      <c r="D338" s="3">
        <v>0.6</v>
      </c>
      <c r="E338" s="3">
        <v>0.3</v>
      </c>
      <c r="F338" s="6">
        <v>675.104919</v>
      </c>
      <c r="G338" s="3">
        <v>2E-3</v>
      </c>
      <c r="I338" s="3" t="s">
        <v>220</v>
      </c>
      <c r="J338" s="3">
        <v>0.68</v>
      </c>
      <c r="K338" s="7">
        <v>778.41644299999996</v>
      </c>
      <c r="L338" s="3">
        <v>1E-3</v>
      </c>
      <c r="M338" s="3">
        <f t="shared" si="36"/>
        <v>0.49</v>
      </c>
      <c r="N338" s="5"/>
      <c r="O338" s="5"/>
      <c r="P338" s="5"/>
      <c r="Q338" s="5"/>
      <c r="R338" s="1"/>
      <c r="S338" s="3" t="s">
        <v>220</v>
      </c>
      <c r="T338" s="3">
        <v>0.9</v>
      </c>
      <c r="U338" s="3">
        <v>0.5</v>
      </c>
      <c r="V338" s="3">
        <v>0.6</v>
      </c>
      <c r="W338" s="3">
        <v>0.3</v>
      </c>
      <c r="X338" s="6">
        <v>652.27722200000005</v>
      </c>
      <c r="Y338" s="3">
        <v>2E-3</v>
      </c>
      <c r="AA338" s="3" t="s">
        <v>220</v>
      </c>
      <c r="AB338" s="3">
        <v>0.55000000000000004</v>
      </c>
      <c r="AC338" s="7">
        <v>735.64617899999996</v>
      </c>
      <c r="AD338" s="3">
        <v>0</v>
      </c>
      <c r="AE338" s="3">
        <f t="shared" si="37"/>
        <v>0.42500000000000004</v>
      </c>
      <c r="AF338" s="5"/>
      <c r="AG338" s="5"/>
      <c r="AH338" s="5"/>
      <c r="AI338" s="5"/>
      <c r="AJ338" s="1"/>
      <c r="AK338" s="3" t="s">
        <v>221</v>
      </c>
      <c r="AL338" s="3">
        <v>0.9</v>
      </c>
      <c r="AM338" s="3">
        <v>0.5</v>
      </c>
      <c r="AN338" s="3">
        <v>0.6</v>
      </c>
      <c r="AO338" s="3">
        <v>0.3</v>
      </c>
      <c r="AP338" s="6">
        <v>982.07775900000001</v>
      </c>
      <c r="AQ338" s="3">
        <v>7.0000000000000001E-3</v>
      </c>
      <c r="AS338" s="3" t="s">
        <v>221</v>
      </c>
      <c r="AT338" s="3">
        <v>0.74</v>
      </c>
      <c r="AU338" s="7">
        <v>1122.0457759999999</v>
      </c>
      <c r="AV338" s="3">
        <v>1E-3</v>
      </c>
      <c r="AW338" s="3">
        <f t="shared" si="38"/>
        <v>0.52</v>
      </c>
      <c r="AX338" s="5"/>
      <c r="AY338" s="5"/>
      <c r="AZ338" s="5"/>
      <c r="BA338" s="5"/>
      <c r="BB338" s="1"/>
      <c r="BC338" s="3" t="s">
        <v>221</v>
      </c>
      <c r="BD338" s="3">
        <v>0.9</v>
      </c>
      <c r="BE338" s="3">
        <v>0.5</v>
      </c>
      <c r="BF338" s="3">
        <v>0.6</v>
      </c>
      <c r="BG338" s="3">
        <v>0.3</v>
      </c>
      <c r="BH338" s="6">
        <v>925.73260500000004</v>
      </c>
      <c r="BI338" s="3">
        <v>7.0000000000000001E-3</v>
      </c>
      <c r="BK338" s="3" t="s">
        <v>221</v>
      </c>
      <c r="BL338" s="3">
        <v>0.7</v>
      </c>
      <c r="BM338" s="7">
        <v>1064.3460689999999</v>
      </c>
      <c r="BN338" s="3">
        <v>1E-3</v>
      </c>
      <c r="BO338" s="3">
        <f t="shared" si="39"/>
        <v>0.5</v>
      </c>
    </row>
    <row r="339" spans="1:67" x14ac:dyDescent="0.3">
      <c r="A339" s="3" t="s">
        <v>222</v>
      </c>
      <c r="B339" s="3">
        <v>0.9</v>
      </c>
      <c r="C339" s="3">
        <v>0.5</v>
      </c>
      <c r="D339" s="3">
        <v>0.6</v>
      </c>
      <c r="E339" s="3">
        <v>0.3</v>
      </c>
      <c r="F339" s="6">
        <v>685.50866699999995</v>
      </c>
      <c r="G339" s="3">
        <v>3.0000000000000001E-3</v>
      </c>
      <c r="I339" s="3" t="s">
        <v>222</v>
      </c>
      <c r="J339" s="3">
        <v>0.71</v>
      </c>
      <c r="K339" s="7">
        <v>774.47357199999999</v>
      </c>
      <c r="L339" s="3">
        <v>0</v>
      </c>
      <c r="M339" s="3">
        <f t="shared" si="36"/>
        <v>0.505</v>
      </c>
      <c r="N339" s="5"/>
      <c r="O339" s="5"/>
      <c r="P339" s="5"/>
      <c r="Q339" s="5"/>
      <c r="R339" s="1"/>
      <c r="S339" s="3" t="s">
        <v>222</v>
      </c>
      <c r="T339" s="3">
        <v>0.9</v>
      </c>
      <c r="U339" s="3">
        <v>0.5</v>
      </c>
      <c r="V339" s="3">
        <v>0.6</v>
      </c>
      <c r="W339" s="3">
        <v>0.3</v>
      </c>
      <c r="X339" s="6">
        <v>661.85058600000002</v>
      </c>
      <c r="Y339" s="3">
        <v>2E-3</v>
      </c>
      <c r="AA339" s="3" t="s">
        <v>222</v>
      </c>
      <c r="AB339" s="3">
        <v>0.39</v>
      </c>
      <c r="AC339" s="7">
        <v>683.47833300000002</v>
      </c>
      <c r="AD339" s="3">
        <v>0</v>
      </c>
      <c r="AE339" s="3">
        <f t="shared" si="37"/>
        <v>0.34499999999999997</v>
      </c>
      <c r="AF339" s="5"/>
      <c r="AG339" s="5"/>
      <c r="AH339" s="5"/>
      <c r="AI339" s="5"/>
      <c r="AJ339" s="1"/>
      <c r="AK339" s="3" t="s">
        <v>223</v>
      </c>
      <c r="AL339" s="3">
        <v>0.9</v>
      </c>
      <c r="AM339" s="3">
        <v>0.5</v>
      </c>
      <c r="AN339" s="3">
        <v>0.6</v>
      </c>
      <c r="AO339" s="3">
        <v>0.3</v>
      </c>
      <c r="AP339" s="6">
        <v>1078.3679199999999</v>
      </c>
      <c r="AQ339" s="3">
        <v>8.0000000000000002E-3</v>
      </c>
      <c r="AS339" s="3" t="s">
        <v>223</v>
      </c>
      <c r="AT339" s="3">
        <v>0.51</v>
      </c>
      <c r="AU339" s="7">
        <v>1153.4157709999999</v>
      </c>
      <c r="AV339" s="3">
        <v>1E-3</v>
      </c>
      <c r="AW339" s="3">
        <f t="shared" si="38"/>
        <v>0.40500000000000003</v>
      </c>
      <c r="AX339" s="5"/>
      <c r="AY339" s="5"/>
      <c r="AZ339" s="5"/>
      <c r="BA339" s="5"/>
      <c r="BB339" s="1"/>
      <c r="BC339" s="3" t="s">
        <v>223</v>
      </c>
      <c r="BD339" s="3">
        <v>0.9</v>
      </c>
      <c r="BE339" s="3">
        <v>0.5</v>
      </c>
      <c r="BF339" s="3">
        <v>0.6</v>
      </c>
      <c r="BG339" s="3">
        <v>0.3</v>
      </c>
      <c r="BH339" s="7">
        <v>1042.91687</v>
      </c>
      <c r="BI339" s="3">
        <v>7.0000000000000001E-3</v>
      </c>
      <c r="BK339" s="3" t="s">
        <v>223</v>
      </c>
      <c r="BL339" s="3">
        <v>0.03</v>
      </c>
      <c r="BM339" s="6">
        <v>837.43402100000003</v>
      </c>
      <c r="BN339" s="3">
        <v>0</v>
      </c>
      <c r="BO339" s="3">
        <f t="shared" si="39"/>
        <v>0.16499999999999998</v>
      </c>
    </row>
    <row r="340" spans="1:67" x14ac:dyDescent="0.3">
      <c r="A340" s="3" t="s">
        <v>224</v>
      </c>
      <c r="B340" s="3">
        <v>0.9</v>
      </c>
      <c r="C340" s="3">
        <v>0.5</v>
      </c>
      <c r="D340" s="3">
        <v>0.6</v>
      </c>
      <c r="E340" s="3">
        <v>0.3</v>
      </c>
      <c r="F340" s="6">
        <v>708.69818099999998</v>
      </c>
      <c r="G340" s="3">
        <v>2E-3</v>
      </c>
      <c r="I340" s="3" t="s">
        <v>224</v>
      </c>
      <c r="J340" s="3">
        <v>0.19</v>
      </c>
      <c r="K340" s="7">
        <v>711.44262700000002</v>
      </c>
      <c r="L340" s="3">
        <v>1E-3</v>
      </c>
      <c r="M340" s="3">
        <f t="shared" si="36"/>
        <v>0.245</v>
      </c>
      <c r="N340" s="5"/>
      <c r="O340" s="5"/>
      <c r="P340" s="5"/>
      <c r="Q340" s="5"/>
      <c r="R340" s="1"/>
      <c r="S340" s="3" t="s">
        <v>224</v>
      </c>
      <c r="T340" s="3">
        <v>0.9</v>
      </c>
      <c r="U340" s="3">
        <v>0.5</v>
      </c>
      <c r="V340" s="3">
        <v>0.6</v>
      </c>
      <c r="W340" s="3">
        <v>0.3</v>
      </c>
      <c r="X340" s="7">
        <v>731.49499500000002</v>
      </c>
      <c r="Y340" s="3">
        <v>2E-3</v>
      </c>
      <c r="AA340" s="3" t="s">
        <v>224</v>
      </c>
      <c r="AB340" s="3">
        <v>0.12</v>
      </c>
      <c r="AC340" s="6">
        <v>656.22735599999999</v>
      </c>
      <c r="AD340" s="3">
        <v>0</v>
      </c>
      <c r="AE340" s="3">
        <f t="shared" si="37"/>
        <v>0.21</v>
      </c>
      <c r="AF340" s="5"/>
      <c r="AG340" s="5"/>
      <c r="AH340" s="5"/>
      <c r="AI340" s="5"/>
      <c r="AJ340" s="1"/>
      <c r="AK340" s="3" t="s">
        <v>225</v>
      </c>
      <c r="AL340" s="3">
        <v>0.9</v>
      </c>
      <c r="AM340" s="3">
        <v>0.5</v>
      </c>
      <c r="AN340" s="3">
        <v>0.6</v>
      </c>
      <c r="AO340" s="3">
        <v>0.3</v>
      </c>
      <c r="AP340" s="7">
        <v>994.72357199999999</v>
      </c>
      <c r="AQ340" s="3">
        <v>7.0000000000000001E-3</v>
      </c>
      <c r="AS340" s="3" t="s">
        <v>225</v>
      </c>
      <c r="AT340" s="3">
        <v>0.16</v>
      </c>
      <c r="AU340" s="6">
        <v>899.81207300000005</v>
      </c>
      <c r="AV340" s="3">
        <v>1E-3</v>
      </c>
      <c r="AW340" s="3">
        <f t="shared" si="38"/>
        <v>0.22999999999999998</v>
      </c>
      <c r="AX340" s="5"/>
      <c r="AY340" s="5"/>
      <c r="AZ340" s="5"/>
      <c r="BA340" s="5"/>
      <c r="BB340" s="1"/>
      <c r="BC340" s="3" t="s">
        <v>225</v>
      </c>
      <c r="BD340" s="3">
        <v>0.9</v>
      </c>
      <c r="BE340" s="3">
        <v>0.5</v>
      </c>
      <c r="BF340" s="3">
        <v>0.6</v>
      </c>
      <c r="BG340" s="3">
        <v>0.3</v>
      </c>
      <c r="BH340" s="6">
        <v>966.62097200000005</v>
      </c>
      <c r="BI340" s="3">
        <v>7.0000000000000001E-3</v>
      </c>
      <c r="BK340" s="3" t="s">
        <v>225</v>
      </c>
      <c r="BL340" s="3">
        <v>0.89</v>
      </c>
      <c r="BM340" s="7">
        <v>1184.6914059999999</v>
      </c>
      <c r="BN340" s="3">
        <v>1E-3</v>
      </c>
      <c r="BO340" s="3">
        <f t="shared" si="39"/>
        <v>0.59499999999999997</v>
      </c>
    </row>
    <row r="341" spans="1:67" x14ac:dyDescent="0.3">
      <c r="A341" s="3" t="s">
        <v>226</v>
      </c>
      <c r="B341" s="3">
        <v>0.9</v>
      </c>
      <c r="C341" s="3">
        <v>0.5</v>
      </c>
      <c r="D341" s="3">
        <v>0.6</v>
      </c>
      <c r="E341" s="3">
        <v>0.3</v>
      </c>
      <c r="F341" s="6">
        <v>734.53149399999995</v>
      </c>
      <c r="G341" s="3">
        <v>2E-3</v>
      </c>
      <c r="I341" s="3" t="s">
        <v>226</v>
      </c>
      <c r="J341" s="3">
        <v>0.54</v>
      </c>
      <c r="K341" s="7">
        <v>813.26965299999995</v>
      </c>
      <c r="L341" s="3">
        <v>0</v>
      </c>
      <c r="M341" s="3">
        <f t="shared" si="36"/>
        <v>0.42000000000000004</v>
      </c>
      <c r="N341" s="5"/>
      <c r="O341" s="5"/>
      <c r="P341" s="5"/>
      <c r="Q341" s="5"/>
      <c r="R341" s="1"/>
      <c r="S341" s="3" t="s">
        <v>226</v>
      </c>
      <c r="T341" s="3">
        <v>0.9</v>
      </c>
      <c r="U341" s="3">
        <v>0.5</v>
      </c>
      <c r="V341" s="3">
        <v>0.6</v>
      </c>
      <c r="W341" s="3">
        <v>0.3</v>
      </c>
      <c r="X341" s="7">
        <v>700.42407200000002</v>
      </c>
      <c r="Y341" s="3">
        <v>2E-3</v>
      </c>
      <c r="AA341" s="3" t="s">
        <v>226</v>
      </c>
      <c r="AB341" s="3">
        <v>0.27</v>
      </c>
      <c r="AC341" s="6">
        <v>689.90405299999998</v>
      </c>
      <c r="AD341" s="3">
        <v>0</v>
      </c>
      <c r="AE341" s="3">
        <f t="shared" si="37"/>
        <v>0.28500000000000003</v>
      </c>
      <c r="AF341" s="5"/>
      <c r="AG341" s="5"/>
      <c r="AH341" s="5"/>
      <c r="AI341" s="5"/>
      <c r="AJ341" s="1"/>
      <c r="AK341" s="3" t="s">
        <v>227</v>
      </c>
      <c r="AL341" s="3">
        <v>0.9</v>
      </c>
      <c r="AM341" s="3">
        <v>0.5</v>
      </c>
      <c r="AN341" s="3">
        <v>0.6</v>
      </c>
      <c r="AO341" s="3">
        <v>0.3</v>
      </c>
      <c r="AP341" s="7">
        <v>996.33300799999995</v>
      </c>
      <c r="AQ341" s="3">
        <v>7.0000000000000001E-3</v>
      </c>
      <c r="AS341" s="3" t="s">
        <v>227</v>
      </c>
      <c r="AT341" s="3">
        <v>0.24</v>
      </c>
      <c r="AU341" s="6">
        <v>938.00878899999998</v>
      </c>
      <c r="AV341" s="3">
        <v>1E-3</v>
      </c>
      <c r="AW341" s="3">
        <f t="shared" si="38"/>
        <v>0.27</v>
      </c>
      <c r="AX341" s="5"/>
      <c r="AY341" s="5"/>
      <c r="AZ341" s="5"/>
      <c r="BA341" s="5"/>
      <c r="BB341" s="1"/>
      <c r="BC341" s="3" t="s">
        <v>227</v>
      </c>
      <c r="BD341" s="3">
        <v>0.9</v>
      </c>
      <c r="BE341" s="3">
        <v>0.5</v>
      </c>
      <c r="BF341" s="3">
        <v>0.6</v>
      </c>
      <c r="BG341" s="3">
        <v>0.3</v>
      </c>
      <c r="BH341" s="6">
        <v>952.65362500000003</v>
      </c>
      <c r="BI341" s="3">
        <v>7.0000000000000001E-3</v>
      </c>
      <c r="BK341" s="3" t="s">
        <v>227</v>
      </c>
      <c r="BL341" s="3">
        <v>0.71</v>
      </c>
      <c r="BM341" s="7">
        <v>1078.2969969999999</v>
      </c>
      <c r="BN341" s="3">
        <v>2E-3</v>
      </c>
      <c r="BO341" s="3">
        <f t="shared" si="39"/>
        <v>0.505</v>
      </c>
    </row>
    <row r="342" spans="1:67" x14ac:dyDescent="0.3">
      <c r="A342" s="3" t="s">
        <v>228</v>
      </c>
      <c r="B342" s="3">
        <v>0.9</v>
      </c>
      <c r="C342" s="3">
        <v>0.5</v>
      </c>
      <c r="D342" s="3">
        <v>0.6</v>
      </c>
      <c r="E342" s="3">
        <v>0.3</v>
      </c>
      <c r="F342" s="6">
        <v>626.37707499999999</v>
      </c>
      <c r="G342" s="3">
        <v>2E-3</v>
      </c>
      <c r="I342" s="3" t="s">
        <v>228</v>
      </c>
      <c r="J342" s="3">
        <v>0.44</v>
      </c>
      <c r="K342" s="7">
        <v>660.22869900000001</v>
      </c>
      <c r="L342" s="3">
        <v>0</v>
      </c>
      <c r="M342" s="3">
        <f t="shared" si="36"/>
        <v>0.37</v>
      </c>
      <c r="N342" s="5"/>
      <c r="O342" s="5"/>
      <c r="P342" s="5"/>
      <c r="Q342" s="5"/>
      <c r="R342" s="1"/>
      <c r="S342" s="3" t="s">
        <v>228</v>
      </c>
      <c r="T342" s="3">
        <v>0.9</v>
      </c>
      <c r="U342" s="3">
        <v>0.5</v>
      </c>
      <c r="V342" s="3">
        <v>0.6</v>
      </c>
      <c r="W342" s="3">
        <v>0.3</v>
      </c>
      <c r="X342" s="6">
        <v>614.99603300000001</v>
      </c>
      <c r="Y342" s="3">
        <v>2E-3</v>
      </c>
      <c r="AA342" s="3" t="s">
        <v>228</v>
      </c>
      <c r="AB342" s="3">
        <v>0.89</v>
      </c>
      <c r="AC342" s="7">
        <v>758.24285899999995</v>
      </c>
      <c r="AD342" s="3">
        <v>0</v>
      </c>
      <c r="AE342" s="3">
        <f t="shared" si="37"/>
        <v>0.59499999999999997</v>
      </c>
      <c r="AF342" s="5"/>
      <c r="AG342" s="5"/>
      <c r="AH342" s="5"/>
      <c r="AI342" s="5"/>
      <c r="AJ342" s="1"/>
      <c r="AK342" s="3" t="s">
        <v>229</v>
      </c>
      <c r="AL342" s="3">
        <v>0.9</v>
      </c>
      <c r="AM342" s="3">
        <v>0.5</v>
      </c>
      <c r="AN342" s="3">
        <v>0.6</v>
      </c>
      <c r="AO342" s="3">
        <v>0.3</v>
      </c>
      <c r="AP342" s="7">
        <v>1077.3245850000001</v>
      </c>
      <c r="AQ342" s="3">
        <v>8.0000000000000002E-3</v>
      </c>
      <c r="AS342" s="3" t="s">
        <v>229</v>
      </c>
      <c r="AT342" s="3">
        <v>0.03</v>
      </c>
      <c r="AU342" s="6">
        <v>864.15283199999999</v>
      </c>
      <c r="AV342" s="3">
        <v>1E-3</v>
      </c>
      <c r="AW342" s="3">
        <f t="shared" si="38"/>
        <v>0.16499999999999998</v>
      </c>
      <c r="AX342" s="5"/>
      <c r="AY342" s="5"/>
      <c r="AZ342" s="5"/>
      <c r="BA342" s="5"/>
      <c r="BB342" s="1"/>
      <c r="BC342" s="3" t="s">
        <v>229</v>
      </c>
      <c r="BD342" s="3">
        <v>0.9</v>
      </c>
      <c r="BE342" s="3">
        <v>0.5</v>
      </c>
      <c r="BF342" s="3">
        <v>0.6</v>
      </c>
      <c r="BG342" s="3">
        <v>0.3</v>
      </c>
      <c r="BH342" s="6">
        <v>1031.559082</v>
      </c>
      <c r="BI342" s="3">
        <v>8.0000000000000002E-3</v>
      </c>
      <c r="BK342" s="3" t="s">
        <v>229</v>
      </c>
      <c r="BL342" s="3">
        <v>0.88</v>
      </c>
      <c r="BM342" s="7">
        <v>1189.073975</v>
      </c>
      <c r="BN342" s="3">
        <v>3.0000000000000001E-3</v>
      </c>
      <c r="BO342" s="3">
        <f t="shared" si="39"/>
        <v>0.59</v>
      </c>
    </row>
    <row r="343" spans="1:67" x14ac:dyDescent="0.3">
      <c r="A343" s="3" t="s">
        <v>230</v>
      </c>
      <c r="B343" s="3">
        <v>0.9</v>
      </c>
      <c r="C343" s="3">
        <v>0.5</v>
      </c>
      <c r="D343" s="3">
        <v>0.6</v>
      </c>
      <c r="E343" s="3">
        <v>0.3</v>
      </c>
      <c r="F343" s="7">
        <v>723.94006300000001</v>
      </c>
      <c r="G343" s="3">
        <v>2E-3</v>
      </c>
      <c r="I343" s="3" t="s">
        <v>230</v>
      </c>
      <c r="J343" s="3">
        <v>0.02</v>
      </c>
      <c r="K343" s="6">
        <v>701.08581500000003</v>
      </c>
      <c r="L343" s="3">
        <v>0</v>
      </c>
      <c r="M343" s="3">
        <f t="shared" si="36"/>
        <v>0.16</v>
      </c>
      <c r="N343" s="5"/>
      <c r="O343" s="5"/>
      <c r="P343" s="5"/>
      <c r="Q343" s="5"/>
      <c r="R343" s="1"/>
      <c r="S343" s="3" t="s">
        <v>230</v>
      </c>
      <c r="T343" s="3">
        <v>0.9</v>
      </c>
      <c r="U343" s="3">
        <v>0.5</v>
      </c>
      <c r="V343" s="3">
        <v>0.6</v>
      </c>
      <c r="W343" s="3">
        <v>0.3</v>
      </c>
      <c r="X343" s="7">
        <v>718.56689500000005</v>
      </c>
      <c r="Y343" s="3">
        <v>3.0000000000000001E-3</v>
      </c>
      <c r="AA343" s="3" t="s">
        <v>230</v>
      </c>
      <c r="AB343" s="3">
        <v>0.13</v>
      </c>
      <c r="AC343" s="6">
        <v>658.71734600000002</v>
      </c>
      <c r="AD343" s="3">
        <v>0</v>
      </c>
      <c r="AE343" s="3">
        <f t="shared" si="37"/>
        <v>0.215</v>
      </c>
      <c r="AF343" s="5"/>
      <c r="AG343" s="5"/>
      <c r="AH343" s="5"/>
      <c r="AI343" s="5"/>
      <c r="AJ343" s="1"/>
      <c r="AK343" s="3" t="s">
        <v>231</v>
      </c>
      <c r="AL343" s="3">
        <v>0.9</v>
      </c>
      <c r="AM343" s="3">
        <v>0.5</v>
      </c>
      <c r="AN343" s="3">
        <v>0.6</v>
      </c>
      <c r="AO343" s="3">
        <v>0.3</v>
      </c>
      <c r="AP343" s="6">
        <v>939.11566200000004</v>
      </c>
      <c r="AQ343" s="3">
        <v>7.0000000000000001E-3</v>
      </c>
      <c r="AS343" s="3" t="s">
        <v>231</v>
      </c>
      <c r="AT343" s="3">
        <v>0.86</v>
      </c>
      <c r="AU343" s="7">
        <v>1157.1058350000001</v>
      </c>
      <c r="AV343" s="3">
        <v>1E-3</v>
      </c>
      <c r="AW343" s="3">
        <f t="shared" si="38"/>
        <v>0.57999999999999996</v>
      </c>
      <c r="AX343" s="5"/>
      <c r="AY343" s="5"/>
      <c r="AZ343" s="5"/>
      <c r="BA343" s="5"/>
      <c r="BB343" s="1"/>
      <c r="BC343" s="3" t="s">
        <v>231</v>
      </c>
      <c r="BD343" s="3">
        <v>0.9</v>
      </c>
      <c r="BE343" s="3">
        <v>0.5</v>
      </c>
      <c r="BF343" s="3">
        <v>0.6</v>
      </c>
      <c r="BG343" s="3">
        <v>0.3</v>
      </c>
      <c r="BH343" s="6">
        <v>937.78308100000004</v>
      </c>
      <c r="BI343" s="3">
        <v>7.0000000000000001E-3</v>
      </c>
      <c r="BK343" s="3" t="s">
        <v>231</v>
      </c>
      <c r="BL343" s="3">
        <v>0.56999999999999995</v>
      </c>
      <c r="BM343" s="7">
        <v>1057.1866460000001</v>
      </c>
      <c r="BN343" s="3">
        <v>1E-3</v>
      </c>
      <c r="BO343" s="3">
        <f t="shared" si="39"/>
        <v>0.43499999999999994</v>
      </c>
    </row>
    <row r="344" spans="1:67" x14ac:dyDescent="0.3">
      <c r="A344" s="3" t="s">
        <v>232</v>
      </c>
      <c r="B344" s="3">
        <v>0.9</v>
      </c>
      <c r="C344" s="3">
        <v>0.5</v>
      </c>
      <c r="D344" s="3">
        <v>0.6</v>
      </c>
      <c r="E344" s="3">
        <v>0.3</v>
      </c>
      <c r="F344" s="6">
        <v>777.87933299999997</v>
      </c>
      <c r="G344" s="3">
        <v>2E-3</v>
      </c>
      <c r="I344" s="3" t="s">
        <v>232</v>
      </c>
      <c r="J344" s="3">
        <v>0.88</v>
      </c>
      <c r="K344" s="7">
        <v>873.71539299999995</v>
      </c>
      <c r="L344" s="3">
        <v>0</v>
      </c>
      <c r="M344" s="3">
        <f t="shared" si="36"/>
        <v>0.59</v>
      </c>
      <c r="N344" s="5"/>
      <c r="O344" s="5"/>
      <c r="P344" s="5"/>
      <c r="Q344" s="5"/>
      <c r="R344" s="1"/>
      <c r="S344" s="3" t="s">
        <v>232</v>
      </c>
      <c r="T344" s="3">
        <v>0.9</v>
      </c>
      <c r="U344" s="3">
        <v>0.5</v>
      </c>
      <c r="V344" s="3">
        <v>0.6</v>
      </c>
      <c r="W344" s="3">
        <v>0.3</v>
      </c>
      <c r="X344" s="6">
        <v>749.48809800000004</v>
      </c>
      <c r="Y344" s="3">
        <v>3.0000000000000001E-3</v>
      </c>
      <c r="AA344" s="3" t="s">
        <v>232</v>
      </c>
      <c r="AB344" s="3">
        <v>0.66</v>
      </c>
      <c r="AC344" s="7">
        <v>842.13519299999996</v>
      </c>
      <c r="AD344" s="3">
        <v>0</v>
      </c>
      <c r="AE344" s="3">
        <f t="shared" si="37"/>
        <v>0.48</v>
      </c>
      <c r="AF344" s="5"/>
      <c r="AG344" s="5"/>
      <c r="AH344" s="5"/>
      <c r="AI344" s="5"/>
      <c r="AJ344" s="1"/>
      <c r="AK344" s="3" t="s">
        <v>233</v>
      </c>
      <c r="AL344" s="3">
        <v>0.9</v>
      </c>
      <c r="AM344" s="3">
        <v>0.5</v>
      </c>
      <c r="AN344" s="3">
        <v>0.6</v>
      </c>
      <c r="AO344" s="3">
        <v>0.3</v>
      </c>
      <c r="AP344" s="6">
        <v>1024.7148440000001</v>
      </c>
      <c r="AQ344" s="3">
        <v>8.0000000000000002E-3</v>
      </c>
      <c r="AS344" s="3" t="s">
        <v>233</v>
      </c>
      <c r="AT344" s="3">
        <v>0.63</v>
      </c>
      <c r="AU344" s="7">
        <v>1196.2741699999999</v>
      </c>
      <c r="AV344" s="3">
        <v>2E-3</v>
      </c>
      <c r="AW344" s="3">
        <f t="shared" si="38"/>
        <v>0.46499999999999997</v>
      </c>
      <c r="AX344" s="5"/>
      <c r="AY344" s="5"/>
      <c r="AZ344" s="5"/>
      <c r="BA344" s="5"/>
      <c r="BB344" s="1"/>
      <c r="BC344" s="3" t="s">
        <v>233</v>
      </c>
      <c r="BD344" s="3">
        <v>0.9</v>
      </c>
      <c r="BE344" s="3">
        <v>0.5</v>
      </c>
      <c r="BF344" s="3">
        <v>0.6</v>
      </c>
      <c r="BG344" s="3">
        <v>0.3</v>
      </c>
      <c r="BH344" s="7">
        <v>988.91381799999999</v>
      </c>
      <c r="BI344" s="3">
        <v>8.0000000000000002E-3</v>
      </c>
      <c r="BK344" s="3" t="s">
        <v>233</v>
      </c>
      <c r="BL344" s="3">
        <v>0.21</v>
      </c>
      <c r="BM344" s="6">
        <v>906.97058100000004</v>
      </c>
      <c r="BN344" s="3">
        <v>0</v>
      </c>
      <c r="BO344" s="3">
        <f t="shared" si="39"/>
        <v>0.255</v>
      </c>
    </row>
    <row r="345" spans="1:67" x14ac:dyDescent="0.3">
      <c r="A345" s="3" t="s">
        <v>234</v>
      </c>
      <c r="B345" s="3">
        <v>0.9</v>
      </c>
      <c r="C345" s="3">
        <v>0.5</v>
      </c>
      <c r="D345" s="3">
        <v>0.6</v>
      </c>
      <c r="E345" s="3">
        <v>0.3</v>
      </c>
      <c r="F345" s="6">
        <v>698.61218299999996</v>
      </c>
      <c r="G345" s="3">
        <v>2E-3</v>
      </c>
      <c r="I345" s="3" t="s">
        <v>234</v>
      </c>
      <c r="J345" s="3">
        <v>0.79</v>
      </c>
      <c r="K345" s="7">
        <v>912.96154799999999</v>
      </c>
      <c r="L345" s="3">
        <v>1E-3</v>
      </c>
      <c r="M345" s="3">
        <f t="shared" si="36"/>
        <v>0.54500000000000004</v>
      </c>
      <c r="N345" s="5"/>
      <c r="O345" s="5"/>
      <c r="P345" s="5"/>
      <c r="Q345" s="5"/>
      <c r="R345" s="1"/>
      <c r="S345" s="3" t="s">
        <v>234</v>
      </c>
      <c r="T345" s="3">
        <v>0.9</v>
      </c>
      <c r="U345" s="3">
        <v>0.5</v>
      </c>
      <c r="V345" s="3">
        <v>0.6</v>
      </c>
      <c r="W345" s="3">
        <v>0.3</v>
      </c>
      <c r="X345" s="6">
        <v>707.502747</v>
      </c>
      <c r="Y345" s="3">
        <v>3.0000000000000001E-3</v>
      </c>
      <c r="AA345" s="3" t="s">
        <v>234</v>
      </c>
      <c r="AB345" s="3">
        <v>0.62</v>
      </c>
      <c r="AC345" s="7">
        <v>826.07336399999997</v>
      </c>
      <c r="AD345" s="3">
        <v>0</v>
      </c>
      <c r="AE345" s="3">
        <f t="shared" si="37"/>
        <v>0.45999999999999996</v>
      </c>
      <c r="AF345" s="5"/>
      <c r="AG345" s="5"/>
      <c r="AH345" s="5"/>
      <c r="AI345" s="5"/>
      <c r="AJ345" s="1"/>
      <c r="AK345" s="3" t="s">
        <v>235</v>
      </c>
      <c r="AL345" s="3">
        <v>0.9</v>
      </c>
      <c r="AM345" s="3">
        <v>0.5</v>
      </c>
      <c r="AN345" s="3">
        <v>0.6</v>
      </c>
      <c r="AO345" s="3">
        <v>0.3</v>
      </c>
      <c r="AP345" s="6">
        <v>1031.9842530000001</v>
      </c>
      <c r="AQ345" s="3">
        <v>8.0000000000000002E-3</v>
      </c>
      <c r="AS345" s="3" t="s">
        <v>235</v>
      </c>
      <c r="AT345" s="3">
        <v>0.8</v>
      </c>
      <c r="AU345" s="7">
        <v>1288.5067140000001</v>
      </c>
      <c r="AV345" s="3">
        <v>1E-3</v>
      </c>
      <c r="AW345" s="3">
        <f t="shared" si="38"/>
        <v>0.55000000000000004</v>
      </c>
      <c r="AX345" s="5"/>
      <c r="AY345" s="5"/>
      <c r="AZ345" s="5"/>
      <c r="BA345" s="5"/>
      <c r="BB345" s="1"/>
      <c r="BC345" s="3" t="s">
        <v>235</v>
      </c>
      <c r="BD345" s="3">
        <v>0.9</v>
      </c>
      <c r="BE345" s="3">
        <v>0.5</v>
      </c>
      <c r="BF345" s="3">
        <v>0.6</v>
      </c>
      <c r="BG345" s="3">
        <v>0.3</v>
      </c>
      <c r="BH345" s="6">
        <v>1032.2100829999999</v>
      </c>
      <c r="BI345" s="3">
        <v>8.0000000000000002E-3</v>
      </c>
      <c r="BK345" s="3" t="s">
        <v>235</v>
      </c>
      <c r="BL345" s="3">
        <v>0.8</v>
      </c>
      <c r="BM345" s="7">
        <v>1308.415039</v>
      </c>
      <c r="BN345" s="3">
        <v>2E-3</v>
      </c>
      <c r="BO345" s="3">
        <f t="shared" si="39"/>
        <v>0.55000000000000004</v>
      </c>
    </row>
    <row r="346" spans="1:67" x14ac:dyDescent="0.3">
      <c r="A346" s="3" t="s">
        <v>236</v>
      </c>
      <c r="B346" s="3">
        <v>0.9</v>
      </c>
      <c r="C346" s="3">
        <v>0.5</v>
      </c>
      <c r="D346" s="3">
        <v>0.6</v>
      </c>
      <c r="E346" s="3">
        <v>0.3</v>
      </c>
      <c r="F346" s="7">
        <v>745.65997300000004</v>
      </c>
      <c r="G346" s="3">
        <v>2E-3</v>
      </c>
      <c r="I346" s="3" t="s">
        <v>236</v>
      </c>
      <c r="J346" s="3">
        <v>0.11</v>
      </c>
      <c r="K346" s="6">
        <v>677.78747599999997</v>
      </c>
      <c r="L346" s="3">
        <v>1E-3</v>
      </c>
      <c r="M346" s="3">
        <f t="shared" si="36"/>
        <v>0.20499999999999999</v>
      </c>
      <c r="N346" s="5"/>
      <c r="O346" s="5"/>
      <c r="P346" s="5"/>
      <c r="Q346" s="5"/>
      <c r="R346" s="1"/>
      <c r="S346" s="3" t="s">
        <v>236</v>
      </c>
      <c r="T346" s="3">
        <v>0.9</v>
      </c>
      <c r="U346" s="3">
        <v>0.5</v>
      </c>
      <c r="V346" s="3">
        <v>0.6</v>
      </c>
      <c r="W346" s="3">
        <v>0.3</v>
      </c>
      <c r="X346" s="7">
        <v>740.31555200000003</v>
      </c>
      <c r="Y346" s="3">
        <v>2E-3</v>
      </c>
      <c r="AA346" s="3" t="s">
        <v>236</v>
      </c>
      <c r="AB346" s="3">
        <v>0.14000000000000001</v>
      </c>
      <c r="AC346" s="6">
        <v>684.89764400000001</v>
      </c>
      <c r="AD346" s="3">
        <v>0</v>
      </c>
      <c r="AE346" s="3">
        <f t="shared" si="37"/>
        <v>0.22</v>
      </c>
      <c r="AF346" s="5"/>
      <c r="AG346" s="5"/>
      <c r="AH346" s="5"/>
      <c r="AI346" s="5"/>
      <c r="AJ346" s="1"/>
      <c r="AK346" s="3" t="s">
        <v>237</v>
      </c>
      <c r="AL346" s="3">
        <v>0.9</v>
      </c>
      <c r="AM346" s="3">
        <v>0.5</v>
      </c>
      <c r="AN346" s="3">
        <v>0.6</v>
      </c>
      <c r="AO346" s="3">
        <v>0.3</v>
      </c>
      <c r="AP346" s="7">
        <v>1076.0958250000001</v>
      </c>
      <c r="AQ346" s="3">
        <v>8.0000000000000002E-3</v>
      </c>
      <c r="AS346" s="3" t="s">
        <v>237</v>
      </c>
      <c r="AT346" s="3">
        <v>0.02</v>
      </c>
      <c r="AU346" s="6">
        <v>888.72827099999995</v>
      </c>
      <c r="AV346" s="3">
        <v>1E-3</v>
      </c>
      <c r="AW346" s="3">
        <f t="shared" si="38"/>
        <v>0.16</v>
      </c>
      <c r="AX346" s="5"/>
      <c r="AY346" s="5"/>
      <c r="AZ346" s="5"/>
      <c r="BA346" s="5"/>
      <c r="BB346" s="1"/>
      <c r="BC346" s="3" t="s">
        <v>237</v>
      </c>
      <c r="BD346" s="3">
        <v>0.9</v>
      </c>
      <c r="BE346" s="3">
        <v>0.5</v>
      </c>
      <c r="BF346" s="3">
        <v>0.6</v>
      </c>
      <c r="BG346" s="3">
        <v>0.3</v>
      </c>
      <c r="BH346" s="6">
        <v>1072.9780270000001</v>
      </c>
      <c r="BI346" s="3">
        <v>8.0000000000000002E-3</v>
      </c>
      <c r="BK346" s="3" t="s">
        <v>237</v>
      </c>
      <c r="BL346" s="3">
        <v>0.76</v>
      </c>
      <c r="BM346" s="7">
        <v>1285.1137699999999</v>
      </c>
      <c r="BN346" s="3">
        <v>1E-3</v>
      </c>
      <c r="BO346" s="3">
        <f t="shared" si="39"/>
        <v>0.53</v>
      </c>
    </row>
    <row r="347" spans="1:67" x14ac:dyDescent="0.3">
      <c r="A347" s="3" t="s">
        <v>238</v>
      </c>
      <c r="B347" s="3">
        <v>0.9</v>
      </c>
      <c r="C347" s="3">
        <v>0.5</v>
      </c>
      <c r="D347" s="3">
        <v>0.6</v>
      </c>
      <c r="E347" s="3">
        <v>0.3</v>
      </c>
      <c r="F347" s="6">
        <v>735.08056599999998</v>
      </c>
      <c r="G347" s="3">
        <v>2E-3</v>
      </c>
      <c r="I347" s="3" t="s">
        <v>238</v>
      </c>
      <c r="J347" s="3">
        <v>0.72</v>
      </c>
      <c r="K347" s="7">
        <v>899.537598</v>
      </c>
      <c r="L347" s="3">
        <v>1E-3</v>
      </c>
      <c r="M347" s="3">
        <f t="shared" si="36"/>
        <v>0.51</v>
      </c>
      <c r="N347" s="5"/>
      <c r="O347" s="5"/>
      <c r="P347" s="5"/>
      <c r="Q347" s="5"/>
      <c r="R347" s="1"/>
      <c r="S347" s="3" t="s">
        <v>238</v>
      </c>
      <c r="T347" s="3">
        <v>0.9</v>
      </c>
      <c r="U347" s="3">
        <v>0.5</v>
      </c>
      <c r="V347" s="3">
        <v>0.6</v>
      </c>
      <c r="W347" s="3">
        <v>0.3</v>
      </c>
      <c r="X347" s="7">
        <v>722.87670900000001</v>
      </c>
      <c r="Y347" s="3">
        <v>3.0000000000000001E-3</v>
      </c>
      <c r="AA347" s="3" t="s">
        <v>238</v>
      </c>
      <c r="AB347" s="3">
        <v>0.24</v>
      </c>
      <c r="AC347" s="6">
        <v>697.728882</v>
      </c>
      <c r="AD347" s="3">
        <v>1E-3</v>
      </c>
      <c r="AE347" s="3">
        <f t="shared" si="37"/>
        <v>0.27</v>
      </c>
      <c r="AF347" s="5"/>
      <c r="AG347" s="5"/>
      <c r="AH347" s="5"/>
      <c r="AI347" s="5"/>
      <c r="AJ347" s="1"/>
      <c r="AK347" s="3" t="s">
        <v>239</v>
      </c>
      <c r="AL347" s="3">
        <v>0.9</v>
      </c>
      <c r="AM347" s="3">
        <v>0.5</v>
      </c>
      <c r="AN347" s="3">
        <v>0.6</v>
      </c>
      <c r="AO347" s="3">
        <v>0.3</v>
      </c>
      <c r="AP347" s="7">
        <v>1121.3854980000001</v>
      </c>
      <c r="AQ347" s="3">
        <v>8.9999999999999993E-3</v>
      </c>
      <c r="AS347" s="3" t="s">
        <v>239</v>
      </c>
      <c r="AT347" s="3">
        <v>0.02</v>
      </c>
      <c r="AU347" s="6">
        <v>892.90289299999995</v>
      </c>
      <c r="AV347" s="3">
        <v>1E-3</v>
      </c>
      <c r="AW347" s="3">
        <f t="shared" si="38"/>
        <v>0.16</v>
      </c>
      <c r="AX347" s="5"/>
      <c r="AY347" s="5"/>
      <c r="AZ347" s="5"/>
      <c r="BA347" s="5"/>
      <c r="BB347" s="1"/>
      <c r="BC347" s="3" t="s">
        <v>239</v>
      </c>
      <c r="BD347" s="3">
        <v>0.9</v>
      </c>
      <c r="BE347" s="3">
        <v>0.5</v>
      </c>
      <c r="BF347" s="3">
        <v>0.6</v>
      </c>
      <c r="BG347" s="3">
        <v>0.3</v>
      </c>
      <c r="BH347" s="6">
        <v>1081.10376</v>
      </c>
      <c r="BI347" s="3">
        <v>8.9999999999999993E-3</v>
      </c>
      <c r="BK347" s="3" t="s">
        <v>239</v>
      </c>
      <c r="BL347" s="3">
        <v>0.73</v>
      </c>
      <c r="BM347" s="7">
        <v>1399.987061</v>
      </c>
      <c r="BN347" s="3">
        <v>1E-3</v>
      </c>
      <c r="BO347" s="3">
        <f t="shared" si="39"/>
        <v>0.51500000000000001</v>
      </c>
    </row>
    <row r="348" spans="1:67" x14ac:dyDescent="0.3">
      <c r="A348" s="3" t="s">
        <v>240</v>
      </c>
      <c r="B348" s="3">
        <v>0.9</v>
      </c>
      <c r="C348" s="3">
        <v>0.5</v>
      </c>
      <c r="D348" s="3">
        <v>0.6</v>
      </c>
      <c r="E348" s="3">
        <v>0.3</v>
      </c>
      <c r="F348" s="6">
        <v>681.07525599999997</v>
      </c>
      <c r="G348" s="3">
        <v>2E-3</v>
      </c>
      <c r="I348" s="3" t="s">
        <v>240</v>
      </c>
      <c r="J348" s="3">
        <v>0.87</v>
      </c>
      <c r="K348" s="7">
        <v>878.22216800000001</v>
      </c>
      <c r="L348" s="3">
        <v>0</v>
      </c>
      <c r="M348" s="3">
        <f t="shared" si="36"/>
        <v>0.58499999999999996</v>
      </c>
      <c r="N348" s="5"/>
      <c r="O348" s="5"/>
      <c r="P348" s="5"/>
      <c r="Q348" s="5"/>
      <c r="R348" s="1"/>
      <c r="S348" s="3" t="s">
        <v>240</v>
      </c>
      <c r="T348" s="3">
        <v>0.9</v>
      </c>
      <c r="U348" s="3">
        <v>0.5</v>
      </c>
      <c r="V348" s="3">
        <v>0.6</v>
      </c>
      <c r="W348" s="3">
        <v>0.3</v>
      </c>
      <c r="X348" s="6">
        <v>702.74102800000003</v>
      </c>
      <c r="Y348" s="3">
        <v>2E-3</v>
      </c>
      <c r="AA348" s="3" t="s">
        <v>240</v>
      </c>
      <c r="AB348" s="3">
        <v>0.66</v>
      </c>
      <c r="AC348" s="7">
        <v>835.04095500000005</v>
      </c>
      <c r="AD348" s="3">
        <v>0</v>
      </c>
      <c r="AE348" s="3">
        <f t="shared" si="37"/>
        <v>0.48</v>
      </c>
      <c r="AF348" s="5"/>
      <c r="AG348" s="5"/>
      <c r="AH348" s="5"/>
      <c r="AI348" s="5"/>
      <c r="AJ348" s="1"/>
      <c r="AK348" s="3" t="s">
        <v>241</v>
      </c>
      <c r="AL348" s="3">
        <v>0.9</v>
      </c>
      <c r="AM348" s="3">
        <v>0.5</v>
      </c>
      <c r="AN348" s="3">
        <v>0.6</v>
      </c>
      <c r="AO348" s="3">
        <v>0.3</v>
      </c>
      <c r="AP348" s="6">
        <v>1064.5008539999999</v>
      </c>
      <c r="AQ348" s="3">
        <v>8.0000000000000002E-3</v>
      </c>
      <c r="AS348" s="3" t="s">
        <v>241</v>
      </c>
      <c r="AT348" s="3">
        <v>0.45</v>
      </c>
      <c r="AU348" s="7">
        <v>1159.0649410000001</v>
      </c>
      <c r="AV348" s="3">
        <v>2E-3</v>
      </c>
      <c r="AW348" s="3">
        <f t="shared" si="38"/>
        <v>0.375</v>
      </c>
      <c r="AX348" s="5"/>
      <c r="AY348" s="5"/>
      <c r="AZ348" s="5"/>
      <c r="BA348" s="5"/>
      <c r="BB348" s="1"/>
      <c r="BC348" s="3" t="s">
        <v>241</v>
      </c>
      <c r="BD348" s="3">
        <v>0.9</v>
      </c>
      <c r="BE348" s="3">
        <v>0.5</v>
      </c>
      <c r="BF348" s="3">
        <v>0.6</v>
      </c>
      <c r="BG348" s="3">
        <v>0.3</v>
      </c>
      <c r="BH348" s="6">
        <v>1039.0943600000001</v>
      </c>
      <c r="BI348" s="3">
        <v>8.0000000000000002E-3</v>
      </c>
      <c r="BK348" s="3" t="s">
        <v>241</v>
      </c>
      <c r="BL348" s="3">
        <v>0.96</v>
      </c>
      <c r="BM348" s="7">
        <v>1279.8013920000001</v>
      </c>
      <c r="BN348" s="3">
        <v>1E-3</v>
      </c>
      <c r="BO348" s="3">
        <f t="shared" si="39"/>
        <v>0.63</v>
      </c>
    </row>
    <row r="349" spans="1:67" x14ac:dyDescent="0.3">
      <c r="A349" s="3" t="s">
        <v>242</v>
      </c>
      <c r="B349" s="3">
        <v>0.9</v>
      </c>
      <c r="C349" s="3">
        <v>0.5</v>
      </c>
      <c r="D349" s="3">
        <v>0.6</v>
      </c>
      <c r="E349" s="3">
        <v>0.3</v>
      </c>
      <c r="F349" s="6">
        <v>694.27105700000004</v>
      </c>
      <c r="G349" s="3">
        <v>2E-3</v>
      </c>
      <c r="I349" s="3" t="s">
        <v>242</v>
      </c>
      <c r="J349" s="3">
        <v>0.85</v>
      </c>
      <c r="K349" s="7">
        <v>907.040344</v>
      </c>
      <c r="L349" s="3">
        <v>1E-3</v>
      </c>
      <c r="M349" s="3">
        <f t="shared" si="36"/>
        <v>0.57499999999999996</v>
      </c>
      <c r="N349" s="5"/>
      <c r="O349" s="5"/>
      <c r="P349" s="5"/>
      <c r="Q349" s="5"/>
      <c r="R349" s="1"/>
      <c r="S349" s="3" t="s">
        <v>242</v>
      </c>
      <c r="T349" s="3">
        <v>0.9</v>
      </c>
      <c r="U349" s="3">
        <v>0.5</v>
      </c>
      <c r="V349" s="3">
        <v>0.6</v>
      </c>
      <c r="W349" s="3">
        <v>0.3</v>
      </c>
      <c r="X349" s="6">
        <v>709.65295400000002</v>
      </c>
      <c r="Y349" s="3">
        <v>3.0000000000000001E-3</v>
      </c>
      <c r="AA349" s="3" t="s">
        <v>242</v>
      </c>
      <c r="AB349" s="3">
        <v>0.67</v>
      </c>
      <c r="AC349" s="7">
        <v>814.52349900000002</v>
      </c>
      <c r="AD349" s="3">
        <v>0</v>
      </c>
      <c r="AE349" s="3">
        <f t="shared" si="37"/>
        <v>0.48499999999999999</v>
      </c>
      <c r="AF349" s="5"/>
      <c r="AG349" s="5"/>
      <c r="AH349" s="5"/>
      <c r="AI349" s="5"/>
      <c r="AJ349" s="1"/>
      <c r="AK349" s="3" t="s">
        <v>243</v>
      </c>
      <c r="AL349" s="3">
        <v>0.9</v>
      </c>
      <c r="AM349" s="3">
        <v>0.5</v>
      </c>
      <c r="AN349" s="3">
        <v>0.6</v>
      </c>
      <c r="AO349" s="3">
        <v>0.3</v>
      </c>
      <c r="AP349" s="7">
        <v>1133.727173</v>
      </c>
      <c r="AQ349" s="3">
        <v>8.9999999999999993E-3</v>
      </c>
      <c r="AS349" s="3" t="s">
        <v>243</v>
      </c>
      <c r="AT349" s="3">
        <v>0.11</v>
      </c>
      <c r="AU349" s="6">
        <v>1010.072693</v>
      </c>
      <c r="AV349" s="3">
        <v>1E-3</v>
      </c>
      <c r="AW349" s="3">
        <f t="shared" si="38"/>
        <v>0.20499999999999999</v>
      </c>
      <c r="AX349" s="5"/>
      <c r="AY349" s="5"/>
      <c r="AZ349" s="5"/>
      <c r="BA349" s="5"/>
      <c r="BB349" s="1"/>
      <c r="BC349" s="3" t="s">
        <v>243</v>
      </c>
      <c r="BD349" s="3">
        <v>0.9</v>
      </c>
      <c r="BE349" s="3">
        <v>0.5</v>
      </c>
      <c r="BF349" s="3">
        <v>0.6</v>
      </c>
      <c r="BG349" s="3">
        <v>0.3</v>
      </c>
      <c r="BH349" s="6">
        <v>1148.880371</v>
      </c>
      <c r="BI349" s="3">
        <v>8.9999999999999993E-3</v>
      </c>
      <c r="BK349" s="3" t="s">
        <v>243</v>
      </c>
      <c r="BL349" s="3">
        <v>0.34</v>
      </c>
      <c r="BM349" s="7">
        <v>1196.534668</v>
      </c>
      <c r="BN349" s="3">
        <v>2E-3</v>
      </c>
      <c r="BO349" s="3">
        <f t="shared" si="39"/>
        <v>0.32</v>
      </c>
    </row>
    <row r="350" spans="1:67" x14ac:dyDescent="0.3">
      <c r="A350" s="3" t="s">
        <v>244</v>
      </c>
      <c r="B350" s="3">
        <v>0.9</v>
      </c>
      <c r="C350" s="3">
        <v>0.5</v>
      </c>
      <c r="D350" s="3">
        <v>0.6</v>
      </c>
      <c r="E350" s="3">
        <v>0.3</v>
      </c>
      <c r="F350" s="7">
        <v>717.97674600000005</v>
      </c>
      <c r="G350" s="3">
        <v>3.0000000000000001E-3</v>
      </c>
      <c r="I350" s="3" t="s">
        <v>244</v>
      </c>
      <c r="J350" s="3">
        <v>0.16</v>
      </c>
      <c r="K350" s="6">
        <v>668.09307899999999</v>
      </c>
      <c r="L350" s="3">
        <v>1E-3</v>
      </c>
      <c r="M350" s="3">
        <f t="shared" si="36"/>
        <v>0.22999999999999998</v>
      </c>
      <c r="N350" s="5"/>
      <c r="O350" s="5"/>
      <c r="P350" s="5"/>
      <c r="Q350" s="5"/>
      <c r="R350" s="1"/>
      <c r="S350" s="3" t="s">
        <v>244</v>
      </c>
      <c r="T350" s="3">
        <v>0.9</v>
      </c>
      <c r="U350" s="3">
        <v>0.5</v>
      </c>
      <c r="V350" s="3">
        <v>0.6</v>
      </c>
      <c r="W350" s="3">
        <v>0.3</v>
      </c>
      <c r="X350" s="6">
        <v>680.64819299999999</v>
      </c>
      <c r="Y350" s="3">
        <v>2E-3</v>
      </c>
      <c r="AA350" s="3" t="s">
        <v>244</v>
      </c>
      <c r="AB350" s="3">
        <v>0.81</v>
      </c>
      <c r="AC350" s="7">
        <v>849.56195100000002</v>
      </c>
      <c r="AD350" s="3">
        <v>0</v>
      </c>
      <c r="AE350" s="3">
        <f t="shared" si="37"/>
        <v>0.55500000000000005</v>
      </c>
      <c r="AF350" s="5"/>
      <c r="AG350" s="5"/>
      <c r="AH350" s="5"/>
      <c r="AI350" s="5"/>
      <c r="AJ350" s="1"/>
      <c r="AK350" s="3" t="s">
        <v>245</v>
      </c>
      <c r="AL350" s="3">
        <v>0.9</v>
      </c>
      <c r="AM350" s="3">
        <v>0.5</v>
      </c>
      <c r="AN350" s="3">
        <v>0.6</v>
      </c>
      <c r="AO350" s="3">
        <v>0.3</v>
      </c>
      <c r="AP350" s="6">
        <v>1170.4904790000001</v>
      </c>
      <c r="AQ350" s="3">
        <v>8.9999999999999993E-3</v>
      </c>
      <c r="AS350" s="3" t="s">
        <v>245</v>
      </c>
      <c r="AT350" s="3">
        <v>0.59</v>
      </c>
      <c r="AU350" s="7">
        <v>1382.552612</v>
      </c>
      <c r="AV350" s="3">
        <v>2E-3</v>
      </c>
      <c r="AW350" s="3">
        <f t="shared" si="38"/>
        <v>0.44499999999999995</v>
      </c>
      <c r="AX350" s="5"/>
      <c r="AY350" s="5"/>
      <c r="AZ350" s="5"/>
      <c r="BA350" s="5"/>
      <c r="BB350" s="1"/>
      <c r="BC350" s="3" t="s">
        <v>245</v>
      </c>
      <c r="BD350" s="3">
        <v>0.9</v>
      </c>
      <c r="BE350" s="3">
        <v>0.5</v>
      </c>
      <c r="BF350" s="3">
        <v>0.6</v>
      </c>
      <c r="BG350" s="3">
        <v>0.3</v>
      </c>
      <c r="BH350" s="6">
        <v>1138.998169</v>
      </c>
      <c r="BI350" s="3">
        <v>8.0000000000000002E-3</v>
      </c>
      <c r="BK350" s="3" t="s">
        <v>245</v>
      </c>
      <c r="BL350" s="3">
        <v>0.3</v>
      </c>
      <c r="BM350" s="7">
        <v>1145.087524</v>
      </c>
      <c r="BN350" s="3">
        <v>1E-3</v>
      </c>
      <c r="BO350" s="3">
        <f t="shared" si="39"/>
        <v>0.3</v>
      </c>
    </row>
    <row r="351" spans="1:67" x14ac:dyDescent="0.3">
      <c r="A351" s="3" t="s">
        <v>246</v>
      </c>
      <c r="B351" s="3">
        <v>0.9</v>
      </c>
      <c r="C351" s="3">
        <v>0.5</v>
      </c>
      <c r="D351" s="3">
        <v>0.6</v>
      </c>
      <c r="E351" s="3">
        <v>0.3</v>
      </c>
      <c r="F351" s="6">
        <v>690.23468000000003</v>
      </c>
      <c r="G351" s="3">
        <v>2E-3</v>
      </c>
      <c r="I351" s="3" t="s">
        <v>246</v>
      </c>
      <c r="J351" s="3">
        <v>0.45</v>
      </c>
      <c r="K351" s="7">
        <v>757.45703100000003</v>
      </c>
      <c r="L351" s="3">
        <v>1E-3</v>
      </c>
      <c r="M351" s="3">
        <f t="shared" si="36"/>
        <v>0.375</v>
      </c>
      <c r="N351" s="5"/>
      <c r="O351" s="5"/>
      <c r="P351" s="5"/>
      <c r="Q351" s="5"/>
      <c r="R351" s="1"/>
      <c r="S351" s="3" t="s">
        <v>246</v>
      </c>
      <c r="T351" s="3">
        <v>0.9</v>
      </c>
      <c r="U351" s="3">
        <v>0.5</v>
      </c>
      <c r="V351" s="3">
        <v>0.6</v>
      </c>
      <c r="W351" s="3">
        <v>0.3</v>
      </c>
      <c r="X351" s="6">
        <v>702.84143100000006</v>
      </c>
      <c r="Y351" s="3">
        <v>3.0000000000000001E-3</v>
      </c>
      <c r="AA351" s="3" t="s">
        <v>246</v>
      </c>
      <c r="AB351" s="3">
        <v>0.34</v>
      </c>
      <c r="AC351" s="7">
        <v>708.05694600000004</v>
      </c>
      <c r="AD351" s="3">
        <v>0</v>
      </c>
      <c r="AE351" s="3">
        <f t="shared" si="37"/>
        <v>0.32</v>
      </c>
      <c r="AF351" s="5"/>
      <c r="AG351" s="5"/>
      <c r="AH351" s="5"/>
      <c r="AI351" s="5"/>
      <c r="AJ351" s="1"/>
      <c r="AK351" s="3" t="s">
        <v>247</v>
      </c>
      <c r="AL351" s="3">
        <v>0.9</v>
      </c>
      <c r="AM351" s="3">
        <v>0.5</v>
      </c>
      <c r="AN351" s="3">
        <v>0.6</v>
      </c>
      <c r="AO351" s="3">
        <v>0.3</v>
      </c>
      <c r="AP351" s="6">
        <v>1022.055908</v>
      </c>
      <c r="AQ351" s="3">
        <v>7.0000000000000001E-3</v>
      </c>
      <c r="AS351" s="3" t="s">
        <v>247</v>
      </c>
      <c r="AT351" s="3">
        <v>0.57999999999999996</v>
      </c>
      <c r="AU351" s="7">
        <v>1188.103394</v>
      </c>
      <c r="AV351" s="3">
        <v>1E-3</v>
      </c>
      <c r="AW351" s="3">
        <f t="shared" si="38"/>
        <v>0.43999999999999995</v>
      </c>
      <c r="AX351" s="5"/>
      <c r="AY351" s="5"/>
      <c r="AZ351" s="5"/>
      <c r="BA351" s="5"/>
      <c r="BB351" s="1"/>
      <c r="BC351" s="3" t="s">
        <v>247</v>
      </c>
      <c r="BD351" s="3">
        <v>0.9</v>
      </c>
      <c r="BE351" s="3">
        <v>0.5</v>
      </c>
      <c r="BF351" s="3">
        <v>0.6</v>
      </c>
      <c r="BG351" s="3">
        <v>0.3</v>
      </c>
      <c r="BH351" s="7">
        <v>993.74890100000005</v>
      </c>
      <c r="BI351" s="3">
        <v>1.0999999999999999E-2</v>
      </c>
      <c r="BK351" s="3" t="s">
        <v>247</v>
      </c>
      <c r="BL351" s="3">
        <v>0.12</v>
      </c>
      <c r="BM351" s="6">
        <v>874.676331</v>
      </c>
      <c r="BN351" s="3">
        <v>1E-3</v>
      </c>
      <c r="BO351" s="3">
        <f t="shared" si="39"/>
        <v>0.21</v>
      </c>
    </row>
    <row r="352" spans="1:67" x14ac:dyDescent="0.3">
      <c r="A352" s="3" t="s">
        <v>248</v>
      </c>
      <c r="B352" s="3">
        <v>0.9</v>
      </c>
      <c r="C352" s="3">
        <v>0.5</v>
      </c>
      <c r="D352" s="3">
        <v>0.6</v>
      </c>
      <c r="E352" s="3">
        <v>0.3</v>
      </c>
      <c r="F352" s="7">
        <v>755.01165800000001</v>
      </c>
      <c r="G352" s="3">
        <v>3.0000000000000001E-3</v>
      </c>
      <c r="I352" s="3" t="s">
        <v>248</v>
      </c>
      <c r="J352" s="3">
        <v>0.33</v>
      </c>
      <c r="K352" s="6">
        <v>744.48388699999998</v>
      </c>
      <c r="L352" s="3">
        <v>0</v>
      </c>
      <c r="M352" s="3">
        <f t="shared" si="36"/>
        <v>0.315</v>
      </c>
      <c r="N352" s="5"/>
      <c r="O352" s="5"/>
      <c r="P352" s="5"/>
      <c r="Q352" s="5"/>
      <c r="R352" s="1"/>
      <c r="S352" s="3" t="s">
        <v>248</v>
      </c>
      <c r="T352" s="3">
        <v>0.9</v>
      </c>
      <c r="U352" s="3">
        <v>0.5</v>
      </c>
      <c r="V352" s="3">
        <v>0.6</v>
      </c>
      <c r="W352" s="3">
        <v>0.3</v>
      </c>
      <c r="X352" s="6">
        <v>724.80450399999995</v>
      </c>
      <c r="Y352" s="3">
        <v>2E-3</v>
      </c>
      <c r="AA352" s="3" t="s">
        <v>248</v>
      </c>
      <c r="AB352" s="3">
        <v>0.98</v>
      </c>
      <c r="AC352" s="7">
        <v>926.39892599999996</v>
      </c>
      <c r="AD352" s="3">
        <v>1E-3</v>
      </c>
      <c r="AE352" s="3">
        <f t="shared" si="37"/>
        <v>0.64</v>
      </c>
      <c r="AF352" s="5"/>
      <c r="AG352" s="5"/>
      <c r="AH352" s="5"/>
      <c r="AI352" s="5"/>
      <c r="AJ352" s="1"/>
      <c r="AK352" s="3" t="s">
        <v>249</v>
      </c>
      <c r="AL352" s="3">
        <v>0.9</v>
      </c>
      <c r="AM352" s="3">
        <v>0.5</v>
      </c>
      <c r="AN352" s="3">
        <v>0.6</v>
      </c>
      <c r="AO352" s="3">
        <v>0.3</v>
      </c>
      <c r="AP352" s="6">
        <v>1115.928345</v>
      </c>
      <c r="AQ352" s="3">
        <v>8.0000000000000002E-3</v>
      </c>
      <c r="AS352" s="3" t="s">
        <v>249</v>
      </c>
      <c r="AT352" s="3">
        <v>0.83</v>
      </c>
      <c r="AU352" s="7">
        <v>1420.141357</v>
      </c>
      <c r="AV352" s="3">
        <v>1E-3</v>
      </c>
      <c r="AW352" s="3">
        <f t="shared" si="38"/>
        <v>0.56499999999999995</v>
      </c>
      <c r="AX352" s="5"/>
      <c r="AY352" s="5"/>
      <c r="AZ352" s="5"/>
      <c r="BA352" s="5"/>
      <c r="BB352" s="1"/>
      <c r="BC352" s="3" t="s">
        <v>249</v>
      </c>
      <c r="BD352" s="3">
        <v>0.9</v>
      </c>
      <c r="BE352" s="3">
        <v>0.5</v>
      </c>
      <c r="BF352" s="3">
        <v>0.6</v>
      </c>
      <c r="BG352" s="3">
        <v>0.3</v>
      </c>
      <c r="BH352" s="7">
        <v>1106.5699460000001</v>
      </c>
      <c r="BI352" s="3">
        <v>8.0000000000000002E-3</v>
      </c>
      <c r="BK352" s="3" t="s">
        <v>249</v>
      </c>
      <c r="BL352" s="3">
        <v>0.19</v>
      </c>
      <c r="BM352" s="6">
        <v>1009.533386</v>
      </c>
      <c r="BN352" s="3">
        <v>2E-3</v>
      </c>
      <c r="BO352" s="3">
        <f t="shared" si="39"/>
        <v>0.245</v>
      </c>
    </row>
    <row r="353" spans="1:71" x14ac:dyDescent="0.3">
      <c r="A353" s="3" t="s">
        <v>250</v>
      </c>
      <c r="B353" s="3">
        <v>0.9</v>
      </c>
      <c r="C353" s="3">
        <v>0.5</v>
      </c>
      <c r="D353" s="3">
        <v>0.6</v>
      </c>
      <c r="E353" s="3">
        <v>0.3</v>
      </c>
      <c r="F353" s="6">
        <v>752.99292000000003</v>
      </c>
      <c r="G353" s="3">
        <v>2E-3</v>
      </c>
      <c r="I353" s="3" t="s">
        <v>250</v>
      </c>
      <c r="J353" s="3">
        <v>0.91</v>
      </c>
      <c r="K353" s="7">
        <v>911.67297399999995</v>
      </c>
      <c r="L353" s="3">
        <v>0</v>
      </c>
      <c r="M353" s="3">
        <f t="shared" si="36"/>
        <v>0.60499999999999998</v>
      </c>
      <c r="N353" s="5"/>
      <c r="O353" s="5"/>
      <c r="P353" s="5"/>
      <c r="Q353" s="5"/>
      <c r="R353" s="1"/>
      <c r="S353" s="3" t="s">
        <v>250</v>
      </c>
      <c r="T353" s="3">
        <v>0.9</v>
      </c>
      <c r="U353" s="3">
        <v>0.5</v>
      </c>
      <c r="V353" s="3">
        <v>0.6</v>
      </c>
      <c r="W353" s="3">
        <v>0.3</v>
      </c>
      <c r="X353" s="7">
        <v>717.00689699999998</v>
      </c>
      <c r="Y353" s="3">
        <v>2E-3</v>
      </c>
      <c r="AA353" s="3" t="s">
        <v>250</v>
      </c>
      <c r="AB353" s="3">
        <v>0.24</v>
      </c>
      <c r="AC353" s="6">
        <v>709.51269500000001</v>
      </c>
      <c r="AD353" s="3">
        <v>1E-3</v>
      </c>
      <c r="AE353" s="3">
        <f t="shared" si="37"/>
        <v>0.27</v>
      </c>
      <c r="AF353" s="5"/>
      <c r="AG353" s="5"/>
      <c r="AH353" s="5"/>
      <c r="AI353" s="5"/>
      <c r="AJ353" s="1"/>
      <c r="AK353" s="3" t="s">
        <v>251</v>
      </c>
      <c r="AL353" s="3">
        <v>0.9</v>
      </c>
      <c r="AM353" s="3">
        <v>0.5</v>
      </c>
      <c r="AN353" s="3">
        <v>0.6</v>
      </c>
      <c r="AO353" s="3">
        <v>0.3</v>
      </c>
      <c r="AP353" s="6">
        <v>1123.8942870000001</v>
      </c>
      <c r="AQ353" s="3">
        <v>8.0000000000000002E-3</v>
      </c>
      <c r="AS353" s="3" t="s">
        <v>251</v>
      </c>
      <c r="AT353" s="3">
        <v>0.44</v>
      </c>
      <c r="AU353" s="7">
        <v>1204.3895259999999</v>
      </c>
      <c r="AV353" s="3">
        <v>1E-3</v>
      </c>
      <c r="AW353" s="3">
        <f t="shared" si="38"/>
        <v>0.37</v>
      </c>
      <c r="AX353" s="5"/>
      <c r="AY353" s="5"/>
      <c r="AZ353" s="5"/>
      <c r="BA353" s="5"/>
      <c r="BB353" s="1"/>
      <c r="BC353" s="3" t="s">
        <v>251</v>
      </c>
      <c r="BD353" s="3">
        <v>0.9</v>
      </c>
      <c r="BE353" s="3">
        <v>0.5</v>
      </c>
      <c r="BF353" s="3">
        <v>0.6</v>
      </c>
      <c r="BG353" s="3">
        <v>0.3</v>
      </c>
      <c r="BH353" s="6">
        <v>1060.976318</v>
      </c>
      <c r="BI353" s="3">
        <v>7.0000000000000001E-3</v>
      </c>
      <c r="BK353" s="3" t="s">
        <v>251</v>
      </c>
      <c r="BL353" s="3">
        <v>0.57999999999999996</v>
      </c>
      <c r="BM353" s="7">
        <v>1229.1667480000001</v>
      </c>
      <c r="BN353" s="3">
        <v>2E-3</v>
      </c>
      <c r="BO353" s="3">
        <f t="shared" si="39"/>
        <v>0.43999999999999995</v>
      </c>
    </row>
    <row r="354" spans="1:71" x14ac:dyDescent="0.3">
      <c r="A354" s="3" t="s">
        <v>252</v>
      </c>
      <c r="B354" s="3">
        <v>0.9</v>
      </c>
      <c r="C354" s="3">
        <v>0.5</v>
      </c>
      <c r="D354" s="3">
        <v>0.6</v>
      </c>
      <c r="E354" s="3">
        <v>0.3</v>
      </c>
      <c r="F354" s="6">
        <v>765.98925799999995</v>
      </c>
      <c r="G354" s="3">
        <v>2E-3</v>
      </c>
      <c r="I354" s="3" t="s">
        <v>252</v>
      </c>
      <c r="J354" s="3">
        <v>0.46</v>
      </c>
      <c r="K354" s="7">
        <v>869.89923099999999</v>
      </c>
      <c r="L354" s="3">
        <v>0</v>
      </c>
      <c r="M354" s="3">
        <f t="shared" si="36"/>
        <v>0.38</v>
      </c>
      <c r="N354" s="5"/>
      <c r="O354" s="5"/>
      <c r="P354" s="5"/>
      <c r="Q354" s="5"/>
      <c r="R354" s="1"/>
      <c r="S354" s="3" t="s">
        <v>252</v>
      </c>
      <c r="T354" s="3">
        <v>0.9</v>
      </c>
      <c r="U354" s="3">
        <v>0.5</v>
      </c>
      <c r="V354" s="3">
        <v>0.6</v>
      </c>
      <c r="W354" s="3">
        <v>0.3</v>
      </c>
      <c r="X354" s="6">
        <v>772.81329300000004</v>
      </c>
      <c r="Y354" s="3">
        <v>2E-3</v>
      </c>
      <c r="AA354" s="3" t="s">
        <v>252</v>
      </c>
      <c r="AB354" s="3">
        <v>0.52</v>
      </c>
      <c r="AC354" s="7">
        <v>869.668091</v>
      </c>
      <c r="AD354" s="3">
        <v>1E-3</v>
      </c>
      <c r="AE354" s="3">
        <f t="shared" si="37"/>
        <v>0.41000000000000003</v>
      </c>
      <c r="AF354" s="5"/>
      <c r="AG354" s="5"/>
      <c r="AH354" s="5"/>
      <c r="AI354" s="5"/>
      <c r="AJ354" s="1"/>
      <c r="AK354" s="3" t="s">
        <v>253</v>
      </c>
      <c r="AL354" s="3">
        <v>0.9</v>
      </c>
      <c r="AM354" s="3">
        <v>0.5</v>
      </c>
      <c r="AN354" s="3">
        <v>0.6</v>
      </c>
      <c r="AO354" s="3">
        <v>0.3</v>
      </c>
      <c r="AP354" s="6">
        <v>1145.8729249999999</v>
      </c>
      <c r="AQ354" s="3">
        <v>0.01</v>
      </c>
      <c r="AS354" s="3" t="s">
        <v>253</v>
      </c>
      <c r="AT354" s="3">
        <v>0.61</v>
      </c>
      <c r="AU354" s="7">
        <v>1400.1793210000001</v>
      </c>
      <c r="AV354" s="3">
        <v>2E-3</v>
      </c>
      <c r="AW354" s="3">
        <f t="shared" si="38"/>
        <v>0.45499999999999996</v>
      </c>
      <c r="AX354" s="5"/>
      <c r="AY354" s="5"/>
      <c r="AZ354" s="5"/>
      <c r="BA354" s="5"/>
      <c r="BB354" s="1"/>
      <c r="BC354" s="3" t="s">
        <v>253</v>
      </c>
      <c r="BD354" s="3">
        <v>0.9</v>
      </c>
      <c r="BE354" s="3">
        <v>0.5</v>
      </c>
      <c r="BF354" s="3">
        <v>0.6</v>
      </c>
      <c r="BG354" s="3">
        <v>0.3</v>
      </c>
      <c r="BH354" s="6">
        <v>1133.9616699999999</v>
      </c>
      <c r="BI354" s="3">
        <v>8.9999999999999993E-3</v>
      </c>
      <c r="BK354" s="3" t="s">
        <v>253</v>
      </c>
      <c r="BL354" s="3">
        <v>0.94</v>
      </c>
      <c r="BM354" s="7">
        <v>1581.9533690000001</v>
      </c>
      <c r="BN354" s="3">
        <v>1E-3</v>
      </c>
      <c r="BO354" s="3">
        <f t="shared" si="39"/>
        <v>0.62</v>
      </c>
    </row>
    <row r="355" spans="1:71" x14ac:dyDescent="0.3">
      <c r="A355" s="9" t="s">
        <v>316</v>
      </c>
      <c r="E355" s="9">
        <f>AVERAGE(E325:E354)</f>
        <v>0.3</v>
      </c>
      <c r="I355" s="9" t="s">
        <v>316</v>
      </c>
      <c r="J355" s="9">
        <f>AVERAGE(J325:J354)</f>
        <v>0.52766666666666662</v>
      </c>
      <c r="M355" s="5"/>
      <c r="N355" s="5"/>
      <c r="O355" s="5"/>
      <c r="P355" s="5"/>
      <c r="Q355" s="5"/>
      <c r="R355" s="1"/>
      <c r="S355" s="9" t="s">
        <v>316</v>
      </c>
      <c r="W355" s="9">
        <f>AVERAGE(W325:W354)</f>
        <v>0.3</v>
      </c>
      <c r="AA355" s="9" t="s">
        <v>316</v>
      </c>
      <c r="AB355" s="9">
        <f>AVERAGE(AB325:AB354)</f>
        <v>0.49633333333333335</v>
      </c>
      <c r="AE355" s="5"/>
      <c r="AF355" s="5"/>
      <c r="AG355" s="5"/>
      <c r="AH355" s="5"/>
      <c r="AI355" s="5"/>
      <c r="AJ355" s="1"/>
      <c r="AK355" s="9" t="s">
        <v>316</v>
      </c>
      <c r="AO355" s="9">
        <f>AVERAGE(AO325:AO354)</f>
        <v>0.3</v>
      </c>
      <c r="AS355" s="9" t="s">
        <v>316</v>
      </c>
      <c r="AT355" s="9">
        <f>AVERAGE(AT325:AT354)</f>
        <v>0.43466666666666659</v>
      </c>
      <c r="AW355" s="5"/>
      <c r="AX355" s="5"/>
      <c r="AY355" s="5"/>
      <c r="AZ355" s="5"/>
      <c r="BA355" s="5"/>
      <c r="BB355" s="1"/>
      <c r="BC355" s="9" t="s">
        <v>316</v>
      </c>
      <c r="BG355" s="9">
        <f>AVERAGE(BG325:BG354)</f>
        <v>0.3</v>
      </c>
      <c r="BK355" s="9" t="s">
        <v>316</v>
      </c>
      <c r="BL355" s="9">
        <f>AVERAGE(BL325:BL354)</f>
        <v>0.50833333333333341</v>
      </c>
      <c r="BO355" s="5"/>
    </row>
    <row r="356" spans="1:71" x14ac:dyDescent="0.3">
      <c r="M356" s="5"/>
      <c r="N356" s="5"/>
      <c r="O356" s="5"/>
      <c r="P356" s="5"/>
      <c r="Q356" s="5"/>
      <c r="R356" s="1"/>
      <c r="AE356" s="5"/>
      <c r="AF356" s="5"/>
      <c r="AG356" s="5"/>
      <c r="AH356" s="5"/>
      <c r="AI356" s="5"/>
      <c r="AJ356" s="1"/>
      <c r="AW356" s="5"/>
      <c r="AX356" s="5"/>
      <c r="AY356" s="5"/>
      <c r="AZ356" s="5"/>
      <c r="BA356" s="5"/>
      <c r="BB356" s="1"/>
      <c r="BO356" s="5"/>
    </row>
    <row r="357" spans="1:71" x14ac:dyDescent="0.3">
      <c r="M357" s="5"/>
      <c r="N357" s="5"/>
      <c r="O357" s="5"/>
      <c r="P357" s="5"/>
      <c r="Q357" s="5"/>
      <c r="R357" s="1"/>
      <c r="AE357" s="5"/>
      <c r="AF357" s="5"/>
      <c r="AG357" s="5"/>
      <c r="AH357" s="5"/>
      <c r="AI357" s="5"/>
      <c r="AJ357" s="1"/>
      <c r="AW357" s="5"/>
      <c r="AX357" s="5"/>
      <c r="AY357" s="5"/>
      <c r="AZ357" s="5"/>
      <c r="BA357" s="5"/>
      <c r="BB357" s="1"/>
      <c r="BO357" s="5"/>
    </row>
    <row r="358" spans="1:71" x14ac:dyDescent="0.3">
      <c r="A358" s="19" t="s">
        <v>314</v>
      </c>
      <c r="B358" s="19"/>
      <c r="C358" s="19"/>
      <c r="D358" s="19"/>
      <c r="E358" s="19"/>
      <c r="F358" s="19"/>
      <c r="G358" s="19"/>
      <c r="I358" s="19" t="s">
        <v>315</v>
      </c>
      <c r="J358" s="19"/>
      <c r="K358" s="19"/>
      <c r="L358" s="19"/>
      <c r="M358" s="19"/>
      <c r="N358" s="11"/>
      <c r="O358" s="11"/>
      <c r="P358" s="11"/>
      <c r="Q358" s="11"/>
      <c r="R358" s="1"/>
      <c r="S358" s="19" t="s">
        <v>314</v>
      </c>
      <c r="T358" s="19"/>
      <c r="U358" s="19"/>
      <c r="V358" s="19"/>
      <c r="W358" s="19"/>
      <c r="X358" s="19"/>
      <c r="Y358" s="19"/>
      <c r="AA358" s="19" t="s">
        <v>315</v>
      </c>
      <c r="AB358" s="19"/>
      <c r="AC358" s="19"/>
      <c r="AD358" s="19"/>
      <c r="AE358" s="19"/>
      <c r="AF358" s="11"/>
      <c r="AG358" s="11"/>
      <c r="AH358" s="11"/>
      <c r="AI358" s="11"/>
      <c r="AJ358" s="1"/>
      <c r="AK358" s="19" t="s">
        <v>314</v>
      </c>
      <c r="AL358" s="19"/>
      <c r="AM358" s="19"/>
      <c r="AN358" s="19"/>
      <c r="AO358" s="19"/>
      <c r="AP358" s="19"/>
      <c r="AQ358" s="19"/>
      <c r="AS358" s="19" t="s">
        <v>315</v>
      </c>
      <c r="AT358" s="19"/>
      <c r="AU358" s="19"/>
      <c r="AV358" s="19"/>
      <c r="AW358" s="19"/>
      <c r="AX358" s="11"/>
      <c r="AY358" s="11"/>
      <c r="AZ358" s="11"/>
      <c r="BA358" s="11"/>
      <c r="BB358" s="1"/>
      <c r="BC358" s="19" t="s">
        <v>314</v>
      </c>
      <c r="BD358" s="19"/>
      <c r="BE358" s="19"/>
      <c r="BF358" s="19"/>
      <c r="BG358" s="19"/>
      <c r="BH358" s="19"/>
      <c r="BI358" s="19"/>
      <c r="BK358" s="19" t="s">
        <v>315</v>
      </c>
      <c r="BL358" s="19"/>
      <c r="BM358" s="19"/>
      <c r="BN358" s="19"/>
      <c r="BO358" s="19"/>
    </row>
    <row r="359" spans="1:71" x14ac:dyDescent="0.3">
      <c r="A359" s="3" t="s">
        <v>70</v>
      </c>
      <c r="B359" s="3"/>
      <c r="C359" s="3"/>
      <c r="D359" s="3"/>
      <c r="E359" s="3"/>
      <c r="F359" s="3"/>
      <c r="G359" s="3"/>
      <c r="I359" s="3" t="s">
        <v>70</v>
      </c>
      <c r="J359" s="3"/>
      <c r="K359" s="3"/>
      <c r="L359" s="3"/>
      <c r="M359" s="3"/>
      <c r="N359" s="5"/>
      <c r="O359" s="5"/>
      <c r="P359" s="5"/>
      <c r="Q359" s="5"/>
      <c r="R359" s="1"/>
      <c r="S359" s="3" t="s">
        <v>71</v>
      </c>
      <c r="T359" s="3"/>
      <c r="U359" s="3"/>
      <c r="V359" s="3"/>
      <c r="W359" s="3"/>
      <c r="X359" s="3"/>
      <c r="Y359" s="3"/>
      <c r="AA359" s="3" t="s">
        <v>71</v>
      </c>
      <c r="AB359" s="3"/>
      <c r="AC359" s="3"/>
      <c r="AD359" s="3"/>
      <c r="AE359" s="3"/>
      <c r="AF359" s="5"/>
      <c r="AG359" s="5"/>
      <c r="AH359" s="5"/>
      <c r="AI359" s="5"/>
      <c r="AJ359" s="1"/>
      <c r="AK359" s="3" t="s">
        <v>70</v>
      </c>
      <c r="AL359" s="3"/>
      <c r="AM359" s="3"/>
      <c r="AN359" s="3"/>
      <c r="AO359" s="3"/>
      <c r="AP359" s="3"/>
      <c r="AQ359" s="3"/>
      <c r="AS359" s="3" t="s">
        <v>70</v>
      </c>
      <c r="AT359" s="3"/>
      <c r="AU359" s="3"/>
      <c r="AV359" s="3"/>
      <c r="AW359" s="4"/>
      <c r="AX359" s="12"/>
      <c r="AY359" s="12"/>
      <c r="AZ359" s="12"/>
      <c r="BA359" s="12"/>
      <c r="BB359" s="1"/>
      <c r="BC359" s="3" t="s">
        <v>71</v>
      </c>
      <c r="BD359" s="3"/>
      <c r="BE359" s="3"/>
      <c r="BF359" s="3"/>
      <c r="BG359" s="3"/>
      <c r="BH359" s="3"/>
      <c r="BI359" s="3"/>
      <c r="BK359" s="3" t="s">
        <v>71</v>
      </c>
      <c r="BL359" s="3"/>
      <c r="BM359" s="3"/>
      <c r="BN359" s="3"/>
      <c r="BO359" s="3"/>
    </row>
    <row r="360" spans="1:71" x14ac:dyDescent="0.3">
      <c r="A360" s="3" t="s">
        <v>2</v>
      </c>
      <c r="B360" s="3" t="s">
        <v>3</v>
      </c>
      <c r="C360" s="3" t="s">
        <v>4</v>
      </c>
      <c r="D360" s="3" t="s">
        <v>5</v>
      </c>
      <c r="E360" s="3" t="s">
        <v>6</v>
      </c>
      <c r="F360" s="3" t="s">
        <v>7</v>
      </c>
      <c r="G360" s="3" t="s">
        <v>8</v>
      </c>
      <c r="I360" s="3" t="s">
        <v>2</v>
      </c>
      <c r="J360" s="3" t="s">
        <v>6</v>
      </c>
      <c r="K360" s="3" t="s">
        <v>7</v>
      </c>
      <c r="L360" s="3" t="s">
        <v>8</v>
      </c>
      <c r="M360" s="3" t="s">
        <v>9</v>
      </c>
      <c r="N360" s="3" t="s">
        <v>322</v>
      </c>
      <c r="O360" s="3" t="s">
        <v>323</v>
      </c>
      <c r="P360" s="3" t="s">
        <v>322</v>
      </c>
      <c r="Q360" s="3" t="s">
        <v>323</v>
      </c>
      <c r="R360" s="1"/>
      <c r="S360" s="3" t="s">
        <v>2</v>
      </c>
      <c r="T360" s="3" t="s">
        <v>3</v>
      </c>
      <c r="U360" s="3" t="s">
        <v>4</v>
      </c>
      <c r="V360" s="3" t="s">
        <v>5</v>
      </c>
      <c r="W360" s="3" t="s">
        <v>6</v>
      </c>
      <c r="X360" s="3" t="s">
        <v>7</v>
      </c>
      <c r="Y360" s="3" t="s">
        <v>8</v>
      </c>
      <c r="AA360" s="3" t="s">
        <v>2</v>
      </c>
      <c r="AB360" s="3" t="s">
        <v>6</v>
      </c>
      <c r="AC360" s="3" t="s">
        <v>7</v>
      </c>
      <c r="AD360" s="3" t="s">
        <v>8</v>
      </c>
      <c r="AE360" s="3" t="s">
        <v>9</v>
      </c>
      <c r="AF360" s="3" t="s">
        <v>322</v>
      </c>
      <c r="AG360" s="3" t="s">
        <v>323</v>
      </c>
      <c r="AH360" s="3" t="s">
        <v>322</v>
      </c>
      <c r="AI360" s="3" t="s">
        <v>323</v>
      </c>
      <c r="AJ360" s="1"/>
      <c r="AK360" s="3" t="s">
        <v>2</v>
      </c>
      <c r="AL360" s="3" t="s">
        <v>3</v>
      </c>
      <c r="AM360" s="3" t="s">
        <v>4</v>
      </c>
      <c r="AN360" s="3" t="s">
        <v>5</v>
      </c>
      <c r="AO360" s="3" t="s">
        <v>6</v>
      </c>
      <c r="AP360" s="3" t="s">
        <v>7</v>
      </c>
      <c r="AQ360" s="3" t="s">
        <v>8</v>
      </c>
      <c r="AS360" s="3" t="s">
        <v>2</v>
      </c>
      <c r="AT360" s="3" t="s">
        <v>6</v>
      </c>
      <c r="AU360" s="3" t="s">
        <v>7</v>
      </c>
      <c r="AV360" s="3" t="s">
        <v>8</v>
      </c>
      <c r="AW360" s="3" t="s">
        <v>9</v>
      </c>
      <c r="AX360" s="3" t="s">
        <v>322</v>
      </c>
      <c r="AY360" s="3" t="s">
        <v>323</v>
      </c>
      <c r="AZ360" s="3" t="s">
        <v>322</v>
      </c>
      <c r="BA360" s="3" t="s">
        <v>323</v>
      </c>
      <c r="BB360" s="1"/>
      <c r="BC360" s="3" t="s">
        <v>2</v>
      </c>
      <c r="BD360" s="3" t="s">
        <v>3</v>
      </c>
      <c r="BE360" s="3" t="s">
        <v>4</v>
      </c>
      <c r="BF360" s="3" t="s">
        <v>5</v>
      </c>
      <c r="BG360" s="3" t="s">
        <v>6</v>
      </c>
      <c r="BH360" s="3" t="s">
        <v>7</v>
      </c>
      <c r="BI360" s="3" t="s">
        <v>8</v>
      </c>
      <c r="BK360" s="3" t="s">
        <v>2</v>
      </c>
      <c r="BL360" s="3" t="s">
        <v>6</v>
      </c>
      <c r="BM360" s="3" t="s">
        <v>7</v>
      </c>
      <c r="BN360" s="3" t="s">
        <v>8</v>
      </c>
      <c r="BO360" s="3" t="s">
        <v>9</v>
      </c>
      <c r="BP360" s="3" t="s">
        <v>322</v>
      </c>
      <c r="BQ360" s="3" t="s">
        <v>323</v>
      </c>
      <c r="BR360" s="3" t="s">
        <v>322</v>
      </c>
      <c r="BS360" s="3" t="s">
        <v>323</v>
      </c>
    </row>
    <row r="361" spans="1:71" x14ac:dyDescent="0.3">
      <c r="A361" s="3" t="s">
        <v>194</v>
      </c>
      <c r="B361" s="3">
        <v>0.9</v>
      </c>
      <c r="C361" s="3">
        <v>0.5</v>
      </c>
      <c r="D361" s="3">
        <v>0.6</v>
      </c>
      <c r="E361" s="3">
        <v>0.3</v>
      </c>
      <c r="F361" s="7">
        <v>667.43408199999999</v>
      </c>
      <c r="G361" s="3">
        <v>2E-3</v>
      </c>
      <c r="I361" s="3" t="s">
        <v>194</v>
      </c>
      <c r="J361" s="3">
        <v>0.01</v>
      </c>
      <c r="K361" s="6">
        <v>662.51580799999999</v>
      </c>
      <c r="L361" s="3">
        <v>0</v>
      </c>
      <c r="M361" s="3">
        <f t="shared" ref="M361:M390" si="40">AVERAGE(E361,J361)</f>
        <v>0.155</v>
      </c>
      <c r="N361" s="4" t="s">
        <v>320</v>
      </c>
      <c r="O361" s="4" t="s">
        <v>320</v>
      </c>
      <c r="P361" s="4" t="s">
        <v>321</v>
      </c>
      <c r="Q361" s="4" t="s">
        <v>321</v>
      </c>
      <c r="R361" s="1"/>
      <c r="S361" s="3" t="s">
        <v>194</v>
      </c>
      <c r="T361" s="3">
        <v>0.9</v>
      </c>
      <c r="U361" s="3">
        <v>0.5</v>
      </c>
      <c r="V361" s="3">
        <v>0.6</v>
      </c>
      <c r="W361" s="3">
        <v>0.3</v>
      </c>
      <c r="X361" s="7">
        <v>655.00640899999996</v>
      </c>
      <c r="Y361" s="3">
        <v>2E-3</v>
      </c>
      <c r="AA361" s="3" t="s">
        <v>194</v>
      </c>
      <c r="AB361" s="3">
        <v>0.01</v>
      </c>
      <c r="AC361" s="6">
        <v>650.76556400000004</v>
      </c>
      <c r="AD361" s="3">
        <v>0</v>
      </c>
      <c r="AE361" s="3">
        <f t="shared" ref="AE361:AE390" si="41">AVERAGE(W361,AB361)</f>
        <v>0.155</v>
      </c>
      <c r="AF361" s="4" t="s">
        <v>320</v>
      </c>
      <c r="AG361" s="4" t="s">
        <v>320</v>
      </c>
      <c r="AH361" s="4" t="s">
        <v>321</v>
      </c>
      <c r="AI361" s="4" t="s">
        <v>321</v>
      </c>
      <c r="AJ361" s="1"/>
      <c r="AK361" s="3" t="s">
        <v>195</v>
      </c>
      <c r="AL361" s="3">
        <v>0.9</v>
      </c>
      <c r="AM361" s="3">
        <v>0.5</v>
      </c>
      <c r="AN361" s="3">
        <v>0.6</v>
      </c>
      <c r="AO361" s="3">
        <v>0.3</v>
      </c>
      <c r="AP361" s="7">
        <v>986.91784700000005</v>
      </c>
      <c r="AQ361" s="3">
        <v>8.9999999999999993E-3</v>
      </c>
      <c r="AS361" s="3" t="s">
        <v>195</v>
      </c>
      <c r="AT361" s="3">
        <v>0.01</v>
      </c>
      <c r="AU361" s="6">
        <v>836.50109899999995</v>
      </c>
      <c r="AV361" s="3">
        <v>1E-3</v>
      </c>
      <c r="AW361" s="3">
        <f t="shared" ref="AW361:AW390" si="42">AVERAGE(AO361,AT361)</f>
        <v>0.155</v>
      </c>
      <c r="AX361" s="4" t="s">
        <v>320</v>
      </c>
      <c r="AY361" s="4" t="s">
        <v>320</v>
      </c>
      <c r="AZ361" s="4" t="s">
        <v>321</v>
      </c>
      <c r="BA361" s="4" t="s">
        <v>321</v>
      </c>
      <c r="BB361" s="1"/>
      <c r="BC361" s="3" t="s">
        <v>195</v>
      </c>
      <c r="BD361" s="3">
        <v>0.9</v>
      </c>
      <c r="BE361" s="3">
        <v>0.5</v>
      </c>
      <c r="BF361" s="3">
        <v>0.6</v>
      </c>
      <c r="BG361" s="3">
        <v>0.3</v>
      </c>
      <c r="BH361" s="7">
        <v>967.10290499999996</v>
      </c>
      <c r="BI361" s="3">
        <v>1.2999999999999999E-2</v>
      </c>
      <c r="BK361" s="3" t="s">
        <v>195</v>
      </c>
      <c r="BL361" s="3">
        <v>0.01</v>
      </c>
      <c r="BM361" s="6">
        <v>779.10699499999998</v>
      </c>
      <c r="BN361" s="3">
        <v>0</v>
      </c>
      <c r="BO361" s="3">
        <f t="shared" ref="BO361:BO390" si="43">AVERAGE(BG361,BL361)</f>
        <v>0.155</v>
      </c>
      <c r="BP361" s="4" t="s">
        <v>320</v>
      </c>
      <c r="BQ361" s="4" t="s">
        <v>320</v>
      </c>
      <c r="BR361" s="4" t="s">
        <v>321</v>
      </c>
      <c r="BS361" s="4" t="s">
        <v>321</v>
      </c>
    </row>
    <row r="362" spans="1:71" x14ac:dyDescent="0.3">
      <c r="A362" s="3" t="s">
        <v>196</v>
      </c>
      <c r="B362" s="3">
        <v>0.9</v>
      </c>
      <c r="C362" s="3">
        <v>0.5</v>
      </c>
      <c r="D362" s="3">
        <v>0.6</v>
      </c>
      <c r="E362" s="3">
        <v>0.3</v>
      </c>
      <c r="F362" s="6">
        <v>640.12219200000004</v>
      </c>
      <c r="G362" s="3">
        <v>2E-3</v>
      </c>
      <c r="I362" s="3" t="s">
        <v>196</v>
      </c>
      <c r="J362" s="3">
        <v>0.33</v>
      </c>
      <c r="K362" s="7">
        <v>644.38738999999998</v>
      </c>
      <c r="L362" s="3">
        <v>0</v>
      </c>
      <c r="M362" s="3">
        <f t="shared" si="40"/>
        <v>0.315</v>
      </c>
      <c r="N362" s="3">
        <f>COUNT(F362,F364,F366,F370,F372:F374,F376:F377,F379:F382,F384:F390)</f>
        <v>20</v>
      </c>
      <c r="O362" s="3">
        <f>30-N362</f>
        <v>10</v>
      </c>
      <c r="P362" s="3">
        <f>COUNT(K361,K363,K365,K367:K369,K371,K375,K378,K383)</f>
        <v>10</v>
      </c>
      <c r="Q362" s="3">
        <f>30-P362</f>
        <v>20</v>
      </c>
      <c r="R362" s="1"/>
      <c r="S362" s="3" t="s">
        <v>196</v>
      </c>
      <c r="T362" s="3">
        <v>0.9</v>
      </c>
      <c r="U362" s="3">
        <v>0.5</v>
      </c>
      <c r="V362" s="3">
        <v>0.6</v>
      </c>
      <c r="W362" s="3">
        <v>0.3</v>
      </c>
      <c r="X362" s="6">
        <v>625.43231200000002</v>
      </c>
      <c r="Y362" s="3">
        <v>2E-3</v>
      </c>
      <c r="AA362" s="3" t="s">
        <v>196</v>
      </c>
      <c r="AB362" s="3">
        <v>0.54</v>
      </c>
      <c r="AC362" s="7">
        <v>671.45159899999999</v>
      </c>
      <c r="AD362" s="3">
        <v>1E-3</v>
      </c>
      <c r="AE362" s="3">
        <f t="shared" si="41"/>
        <v>0.42000000000000004</v>
      </c>
      <c r="AF362" s="3">
        <f>COUNT(X362:X372,X374:X378,X381:X382,X384:X385,X387:X389)</f>
        <v>23</v>
      </c>
      <c r="AG362" s="3">
        <f>30-AF362</f>
        <v>7</v>
      </c>
      <c r="AH362" s="3">
        <f>COUNT(AC361,AC373:AC374,AC379:AC380,AC383,AC386,AC390)</f>
        <v>8</v>
      </c>
      <c r="AI362" s="3">
        <f>30-AH362</f>
        <v>22</v>
      </c>
      <c r="AJ362" s="1"/>
      <c r="AK362" s="3" t="s">
        <v>197</v>
      </c>
      <c r="AL362" s="3">
        <v>0.9</v>
      </c>
      <c r="AM362" s="3">
        <v>0.5</v>
      </c>
      <c r="AN362" s="3">
        <v>0.6</v>
      </c>
      <c r="AO362" s="3">
        <v>0.3</v>
      </c>
      <c r="AP362" s="6">
        <v>916.41046100000005</v>
      </c>
      <c r="AQ362" s="3">
        <v>7.0000000000000001E-3</v>
      </c>
      <c r="AS362" s="3" t="s">
        <v>197</v>
      </c>
      <c r="AT362" s="3">
        <v>0.31</v>
      </c>
      <c r="AU362" s="7">
        <v>930.473389</v>
      </c>
      <c r="AV362" s="3">
        <v>1E-3</v>
      </c>
      <c r="AW362" s="3">
        <f t="shared" si="42"/>
        <v>0.30499999999999999</v>
      </c>
      <c r="AX362" s="3">
        <f>COUNT(AP362:AP363,AP365:AP368,AP370:AP372,AP374:AP377,AP380,AP382:AP385,AP387:AP388)</f>
        <v>20</v>
      </c>
      <c r="AY362" s="3">
        <f>30-AX362</f>
        <v>10</v>
      </c>
      <c r="AZ362" s="3">
        <f>COUNT(AU361,AU364,AU369,AU373,AU378,AU380:AU381,AU386,AU389:AU390)</f>
        <v>10</v>
      </c>
      <c r="BA362" s="3">
        <f>30-AZ362</f>
        <v>20</v>
      </c>
      <c r="BB362" s="1"/>
      <c r="BC362" s="3" t="s">
        <v>197</v>
      </c>
      <c r="BD362" s="3">
        <v>0.9</v>
      </c>
      <c r="BE362" s="3">
        <v>0.5</v>
      </c>
      <c r="BF362" s="3">
        <v>0.6</v>
      </c>
      <c r="BG362" s="3">
        <v>0.3</v>
      </c>
      <c r="BH362" s="6">
        <v>894.31420900000001</v>
      </c>
      <c r="BI362" s="3">
        <v>1.2E-2</v>
      </c>
      <c r="BK362" s="3" t="s">
        <v>197</v>
      </c>
      <c r="BL362" s="3">
        <v>0.84</v>
      </c>
      <c r="BM362" s="7">
        <v>1011.520935</v>
      </c>
      <c r="BN362" s="3">
        <v>0</v>
      </c>
      <c r="BO362" s="3">
        <f t="shared" si="43"/>
        <v>0.56999999999999995</v>
      </c>
      <c r="BP362" s="3">
        <f>COUNT(BH362:BH366,BH368:BH370,BH372:BH374,BH376,BH379:BH384,BH386:BH390)</f>
        <v>23</v>
      </c>
      <c r="BQ362" s="3">
        <f>30-BP362</f>
        <v>7</v>
      </c>
      <c r="BR362" s="3">
        <f>COUNT(BM361,BM367,BM371,BM375,BM377:BM378,BM385)</f>
        <v>7</v>
      </c>
      <c r="BS362" s="3">
        <f>30-BR362</f>
        <v>23</v>
      </c>
    </row>
    <row r="363" spans="1:71" x14ac:dyDescent="0.3">
      <c r="A363" s="3" t="s">
        <v>198</v>
      </c>
      <c r="B363" s="3">
        <v>0.9</v>
      </c>
      <c r="C363" s="3">
        <v>0.5</v>
      </c>
      <c r="D363" s="3">
        <v>0.6</v>
      </c>
      <c r="E363" s="3">
        <v>0.3</v>
      </c>
      <c r="F363" s="7">
        <v>628.67797900000005</v>
      </c>
      <c r="G363" s="3">
        <v>2E-3</v>
      </c>
      <c r="I363" s="3" t="s">
        <v>198</v>
      </c>
      <c r="J363" s="3">
        <v>0.06</v>
      </c>
      <c r="K363" s="6">
        <v>569.05096400000002</v>
      </c>
      <c r="L363" s="3">
        <v>1E-3</v>
      </c>
      <c r="M363" s="3">
        <f t="shared" si="40"/>
        <v>0.18</v>
      </c>
      <c r="N363" s="5"/>
      <c r="O363" s="5"/>
      <c r="P363" s="5"/>
      <c r="Q363" s="5"/>
      <c r="R363" s="1"/>
      <c r="S363" s="3" t="s">
        <v>198</v>
      </c>
      <c r="T363" s="3">
        <v>0.9</v>
      </c>
      <c r="U363" s="3">
        <v>0.5</v>
      </c>
      <c r="V363" s="3">
        <v>0.6</v>
      </c>
      <c r="W363" s="3">
        <v>0.3</v>
      </c>
      <c r="X363" s="6">
        <v>601.25146500000005</v>
      </c>
      <c r="Y363" s="3">
        <v>3.0000000000000001E-3</v>
      </c>
      <c r="AA363" s="3" t="s">
        <v>198</v>
      </c>
      <c r="AB363" s="3">
        <v>0.84</v>
      </c>
      <c r="AC363" s="7">
        <v>659.451233</v>
      </c>
      <c r="AD363" s="3">
        <v>0</v>
      </c>
      <c r="AE363" s="3">
        <f t="shared" si="41"/>
        <v>0.56999999999999995</v>
      </c>
      <c r="AF363" s="5"/>
      <c r="AG363" s="5"/>
      <c r="AH363" s="5"/>
      <c r="AI363" s="5"/>
      <c r="AJ363" s="1"/>
      <c r="AK363" s="3" t="s">
        <v>199</v>
      </c>
      <c r="AL363" s="3">
        <v>0.9</v>
      </c>
      <c r="AM363" s="3">
        <v>0.5</v>
      </c>
      <c r="AN363" s="3">
        <v>0.6</v>
      </c>
      <c r="AO363" s="3">
        <v>0.3</v>
      </c>
      <c r="AP363" s="6">
        <v>904.87780799999996</v>
      </c>
      <c r="AQ363" s="3">
        <v>8.0000000000000002E-3</v>
      </c>
      <c r="AS363" s="3" t="s">
        <v>199</v>
      </c>
      <c r="AT363" s="3">
        <v>0.28999999999999998</v>
      </c>
      <c r="AU363" s="7">
        <v>913.67767300000003</v>
      </c>
      <c r="AV363" s="3">
        <v>1E-3</v>
      </c>
      <c r="AW363" s="3">
        <f t="shared" si="42"/>
        <v>0.29499999999999998</v>
      </c>
      <c r="AX363" s="5"/>
      <c r="AY363" s="5"/>
      <c r="AZ363" s="5"/>
      <c r="BA363" s="5"/>
      <c r="BB363" s="1"/>
      <c r="BC363" s="3" t="s">
        <v>199</v>
      </c>
      <c r="BD363" s="3">
        <v>0.9</v>
      </c>
      <c r="BE363" s="3">
        <v>0.5</v>
      </c>
      <c r="BF363" s="3">
        <v>0.6</v>
      </c>
      <c r="BG363" s="3">
        <v>0.3</v>
      </c>
      <c r="BH363" s="6">
        <v>924.524902</v>
      </c>
      <c r="BI363" s="3">
        <v>0.01</v>
      </c>
      <c r="BK363" s="3" t="s">
        <v>199</v>
      </c>
      <c r="BL363" s="3">
        <v>0.65</v>
      </c>
      <c r="BM363" s="7">
        <v>1056.281616</v>
      </c>
      <c r="BN363" s="3">
        <v>1E-3</v>
      </c>
      <c r="BO363" s="3">
        <f t="shared" si="43"/>
        <v>0.47499999999999998</v>
      </c>
    </row>
    <row r="364" spans="1:71" x14ac:dyDescent="0.3">
      <c r="A364" s="3" t="s">
        <v>200</v>
      </c>
      <c r="B364" s="3">
        <v>0.9</v>
      </c>
      <c r="C364" s="3">
        <v>0.5</v>
      </c>
      <c r="D364" s="3">
        <v>0.6</v>
      </c>
      <c r="E364" s="3">
        <v>0.3</v>
      </c>
      <c r="F364" s="6">
        <v>583.72283900000002</v>
      </c>
      <c r="G364" s="3">
        <v>2E-3</v>
      </c>
      <c r="I364" s="3" t="s">
        <v>200</v>
      </c>
      <c r="J364" s="3">
        <v>0.56999999999999995</v>
      </c>
      <c r="K364" s="7">
        <v>631.25439500000005</v>
      </c>
      <c r="L364" s="3">
        <v>0</v>
      </c>
      <c r="M364" s="3">
        <f t="shared" si="40"/>
        <v>0.43499999999999994</v>
      </c>
      <c r="N364" s="5"/>
      <c r="O364" s="5"/>
      <c r="P364" s="5"/>
      <c r="Q364" s="5"/>
      <c r="R364" s="1"/>
      <c r="S364" s="3" t="s">
        <v>200</v>
      </c>
      <c r="T364" s="3">
        <v>0.9</v>
      </c>
      <c r="U364" s="3">
        <v>0.5</v>
      </c>
      <c r="V364" s="3">
        <v>0.6</v>
      </c>
      <c r="W364" s="3">
        <v>0.3</v>
      </c>
      <c r="X364" s="6">
        <v>545.19604500000003</v>
      </c>
      <c r="Y364" s="3">
        <v>3.0000000000000001E-3</v>
      </c>
      <c r="AA364" s="3" t="s">
        <v>200</v>
      </c>
      <c r="AB364" s="3">
        <v>0.56000000000000005</v>
      </c>
      <c r="AC364" s="7">
        <v>581.30926499999998</v>
      </c>
      <c r="AD364" s="3">
        <v>1E-3</v>
      </c>
      <c r="AE364" s="3">
        <f t="shared" si="41"/>
        <v>0.43000000000000005</v>
      </c>
      <c r="AF364" s="5"/>
      <c r="AG364" s="5"/>
      <c r="AH364" s="5"/>
      <c r="AI364" s="5"/>
      <c r="AJ364" s="1"/>
      <c r="AK364" s="3" t="s">
        <v>201</v>
      </c>
      <c r="AL364" s="3">
        <v>0.9</v>
      </c>
      <c r="AM364" s="3">
        <v>0.5</v>
      </c>
      <c r="AN364" s="3">
        <v>0.6</v>
      </c>
      <c r="AO364" s="3">
        <v>0.3</v>
      </c>
      <c r="AP364" s="7">
        <v>1008.607422</v>
      </c>
      <c r="AQ364" s="3">
        <v>8.0000000000000002E-3</v>
      </c>
      <c r="AS364" s="3" t="s">
        <v>201</v>
      </c>
      <c r="AT364" s="3">
        <v>0.31</v>
      </c>
      <c r="AU364" s="6">
        <v>1000.110962</v>
      </c>
      <c r="AV364" s="3">
        <v>1E-3</v>
      </c>
      <c r="AW364" s="3">
        <f t="shared" si="42"/>
        <v>0.30499999999999999</v>
      </c>
      <c r="AX364" s="5"/>
      <c r="AY364" s="5"/>
      <c r="AZ364" s="5"/>
      <c r="BA364" s="5"/>
      <c r="BB364" s="1"/>
      <c r="BC364" s="3" t="s">
        <v>201</v>
      </c>
      <c r="BD364" s="3">
        <v>0.9</v>
      </c>
      <c r="BE364" s="3">
        <v>0.5</v>
      </c>
      <c r="BF364" s="3">
        <v>0.6</v>
      </c>
      <c r="BG364" s="3">
        <v>0.3</v>
      </c>
      <c r="BH364" s="6">
        <v>973.05737299999998</v>
      </c>
      <c r="BI364" s="3">
        <v>1.0999999999999999E-2</v>
      </c>
      <c r="BK364" s="3" t="s">
        <v>201</v>
      </c>
      <c r="BL364" s="3">
        <v>0.91</v>
      </c>
      <c r="BM364" s="7">
        <v>1141.537842</v>
      </c>
      <c r="BN364" s="3">
        <v>1E-3</v>
      </c>
      <c r="BO364" s="3">
        <f t="shared" si="43"/>
        <v>0.60499999999999998</v>
      </c>
    </row>
    <row r="365" spans="1:71" x14ac:dyDescent="0.3">
      <c r="A365" s="3" t="s">
        <v>202</v>
      </c>
      <c r="B365" s="3">
        <v>0.9</v>
      </c>
      <c r="C365" s="3">
        <v>0.5</v>
      </c>
      <c r="D365" s="3">
        <v>0.6</v>
      </c>
      <c r="E365" s="3">
        <v>0.3</v>
      </c>
      <c r="F365" s="7">
        <v>583.55474900000002</v>
      </c>
      <c r="G365" s="3">
        <v>2E-3</v>
      </c>
      <c r="I365" s="3" t="s">
        <v>202</v>
      </c>
      <c r="J365" s="3">
        <v>0.03</v>
      </c>
      <c r="K365" s="6">
        <v>559.10467500000004</v>
      </c>
      <c r="L365" s="3">
        <v>1E-3</v>
      </c>
      <c r="M365" s="3">
        <f t="shared" si="40"/>
        <v>0.16499999999999998</v>
      </c>
      <c r="N365" s="5"/>
      <c r="O365" s="5"/>
      <c r="P365" s="5"/>
      <c r="Q365" s="5"/>
      <c r="R365" s="1"/>
      <c r="S365" s="3" t="s">
        <v>202</v>
      </c>
      <c r="T365" s="3">
        <v>0.9</v>
      </c>
      <c r="U365" s="3">
        <v>0.5</v>
      </c>
      <c r="V365" s="3">
        <v>0.6</v>
      </c>
      <c r="W365" s="3">
        <v>0.3</v>
      </c>
      <c r="X365" s="6">
        <v>553.40844700000002</v>
      </c>
      <c r="Y365" s="3">
        <v>3.0000000000000001E-3</v>
      </c>
      <c r="AA365" s="3" t="s">
        <v>202</v>
      </c>
      <c r="AB365" s="3">
        <v>0.59</v>
      </c>
      <c r="AC365" s="7">
        <v>601.54553199999998</v>
      </c>
      <c r="AD365" s="3">
        <v>0</v>
      </c>
      <c r="AE365" s="3">
        <f t="shared" si="41"/>
        <v>0.44499999999999995</v>
      </c>
      <c r="AF365" s="5"/>
      <c r="AG365" s="5"/>
      <c r="AH365" s="5"/>
      <c r="AI365" s="5"/>
      <c r="AJ365" s="1"/>
      <c r="AK365" s="3" t="s">
        <v>203</v>
      </c>
      <c r="AL365" s="3">
        <v>0.9</v>
      </c>
      <c r="AM365" s="3">
        <v>0.5</v>
      </c>
      <c r="AN365" s="3">
        <v>0.6</v>
      </c>
      <c r="AO365" s="3">
        <v>0.3</v>
      </c>
      <c r="AP365" s="6">
        <v>953.05639599999995</v>
      </c>
      <c r="AQ365" s="3">
        <v>1.7999999999999999E-2</v>
      </c>
      <c r="AS365" s="3" t="s">
        <v>203</v>
      </c>
      <c r="AT365" s="3">
        <v>0.73</v>
      </c>
      <c r="AU365" s="7">
        <v>1034.0688479999999</v>
      </c>
      <c r="AV365" s="3">
        <v>1E-3</v>
      </c>
      <c r="AW365" s="3">
        <f t="shared" si="42"/>
        <v>0.51500000000000001</v>
      </c>
      <c r="AX365" s="5"/>
      <c r="AY365" s="5"/>
      <c r="AZ365" s="5"/>
      <c r="BA365" s="5"/>
      <c r="BB365" s="1"/>
      <c r="BC365" s="3" t="s">
        <v>203</v>
      </c>
      <c r="BD365" s="3">
        <v>0.9</v>
      </c>
      <c r="BE365" s="3">
        <v>0.5</v>
      </c>
      <c r="BF365" s="3">
        <v>0.6</v>
      </c>
      <c r="BG365" s="3">
        <v>0.3</v>
      </c>
      <c r="BH365" s="6">
        <v>913.91119400000002</v>
      </c>
      <c r="BI365" s="3">
        <v>8.0000000000000002E-3</v>
      </c>
      <c r="BK365" s="3" t="s">
        <v>203</v>
      </c>
      <c r="BL365" s="3">
        <v>0.42</v>
      </c>
      <c r="BM365" s="7">
        <v>957.33306900000002</v>
      </c>
      <c r="BN365" s="3">
        <v>1E-3</v>
      </c>
      <c r="BO365" s="3">
        <f t="shared" si="43"/>
        <v>0.36</v>
      </c>
    </row>
    <row r="366" spans="1:71" x14ac:dyDescent="0.3">
      <c r="A366" s="3" t="s">
        <v>204</v>
      </c>
      <c r="B366" s="3">
        <v>0.9</v>
      </c>
      <c r="C366" s="3">
        <v>0.5</v>
      </c>
      <c r="D366" s="3">
        <v>0.6</v>
      </c>
      <c r="E366" s="3">
        <v>0.3</v>
      </c>
      <c r="F366" s="6">
        <v>631.30499299999997</v>
      </c>
      <c r="G366" s="3">
        <v>1E-3</v>
      </c>
      <c r="I366" s="3" t="s">
        <v>204</v>
      </c>
      <c r="J366" s="3">
        <v>0.39</v>
      </c>
      <c r="K366" s="7">
        <v>650.64831500000003</v>
      </c>
      <c r="L366" s="3">
        <v>0</v>
      </c>
      <c r="M366" s="3">
        <f t="shared" si="40"/>
        <v>0.34499999999999997</v>
      </c>
      <c r="N366" s="5"/>
      <c r="O366" s="5"/>
      <c r="P366" s="5"/>
      <c r="Q366" s="5"/>
      <c r="R366" s="1"/>
      <c r="S366" s="3" t="s">
        <v>204</v>
      </c>
      <c r="T366" s="3">
        <v>0.9</v>
      </c>
      <c r="U366" s="3">
        <v>0.5</v>
      </c>
      <c r="V366" s="3">
        <v>0.6</v>
      </c>
      <c r="W366" s="3">
        <v>0.3</v>
      </c>
      <c r="X366" s="6">
        <v>609.98449700000003</v>
      </c>
      <c r="Y366" s="3">
        <v>4.0000000000000001E-3</v>
      </c>
      <c r="AA366" s="3" t="s">
        <v>204</v>
      </c>
      <c r="AB366" s="3">
        <v>0.83</v>
      </c>
      <c r="AC366" s="7">
        <v>675.26672399999995</v>
      </c>
      <c r="AD366" s="3">
        <v>0</v>
      </c>
      <c r="AE366" s="3">
        <f t="shared" si="41"/>
        <v>0.56499999999999995</v>
      </c>
      <c r="AF366" s="5"/>
      <c r="AG366" s="5"/>
      <c r="AH366" s="5"/>
      <c r="AI366" s="5"/>
      <c r="AJ366" s="1"/>
      <c r="AK366" s="3" t="s">
        <v>205</v>
      </c>
      <c r="AL366" s="3">
        <v>0.9</v>
      </c>
      <c r="AM366" s="3">
        <v>0.5</v>
      </c>
      <c r="AN366" s="3">
        <v>0.6</v>
      </c>
      <c r="AO366" s="3">
        <v>0.3</v>
      </c>
      <c r="AP366" s="6">
        <v>974.09295699999996</v>
      </c>
      <c r="AQ366" s="3">
        <v>8.0000000000000002E-3</v>
      </c>
      <c r="AS366" s="3" t="s">
        <v>205</v>
      </c>
      <c r="AT366" s="3">
        <v>0.44</v>
      </c>
      <c r="AU366" s="7">
        <v>1018.241211</v>
      </c>
      <c r="AV366" s="3">
        <v>1E-3</v>
      </c>
      <c r="AW366" s="3">
        <f t="shared" si="42"/>
        <v>0.37</v>
      </c>
      <c r="AX366" s="5"/>
      <c r="AY366" s="5"/>
      <c r="AZ366" s="5"/>
      <c r="BA366" s="5"/>
      <c r="BB366" s="1"/>
      <c r="BC366" s="3" t="s">
        <v>205</v>
      </c>
      <c r="BD366" s="3">
        <v>0.9</v>
      </c>
      <c r="BE366" s="3">
        <v>0.5</v>
      </c>
      <c r="BF366" s="3">
        <v>0.6</v>
      </c>
      <c r="BG366" s="3">
        <v>0.3</v>
      </c>
      <c r="BH366" s="6">
        <v>942.10369900000001</v>
      </c>
      <c r="BI366" s="3">
        <v>0.01</v>
      </c>
      <c r="BK366" s="3" t="s">
        <v>205</v>
      </c>
      <c r="BL366" s="3">
        <v>0.84</v>
      </c>
      <c r="BM366" s="7">
        <v>1086.919189</v>
      </c>
      <c r="BN366" s="3">
        <v>1E-3</v>
      </c>
      <c r="BO366" s="3">
        <f t="shared" si="43"/>
        <v>0.56999999999999995</v>
      </c>
    </row>
    <row r="367" spans="1:71" x14ac:dyDescent="0.3">
      <c r="A367" s="3" t="s">
        <v>206</v>
      </c>
      <c r="B367" s="3">
        <v>0.9</v>
      </c>
      <c r="C367" s="3">
        <v>0.5</v>
      </c>
      <c r="D367" s="3">
        <v>0.6</v>
      </c>
      <c r="E367" s="3">
        <v>0.3</v>
      </c>
      <c r="F367" s="7">
        <v>654.57299799999998</v>
      </c>
      <c r="G367" s="3">
        <v>3.0000000000000001E-3</v>
      </c>
      <c r="I367" s="3" t="s">
        <v>206</v>
      </c>
      <c r="J367" s="3">
        <v>0.32</v>
      </c>
      <c r="K367" s="6">
        <v>638.65301499999998</v>
      </c>
      <c r="L367" s="3">
        <v>0</v>
      </c>
      <c r="M367" s="3">
        <f t="shared" si="40"/>
        <v>0.31</v>
      </c>
      <c r="N367" s="5"/>
      <c r="O367" s="5"/>
      <c r="P367" s="5"/>
      <c r="Q367" s="5"/>
      <c r="R367" s="1"/>
      <c r="S367" s="3" t="s">
        <v>206</v>
      </c>
      <c r="T367" s="3">
        <v>0.9</v>
      </c>
      <c r="U367" s="3">
        <v>0.5</v>
      </c>
      <c r="V367" s="3">
        <v>0.6</v>
      </c>
      <c r="W367" s="3">
        <v>0.3</v>
      </c>
      <c r="X367" s="6">
        <v>626.39178500000003</v>
      </c>
      <c r="Y367" s="3">
        <v>3.0000000000000001E-3</v>
      </c>
      <c r="AA367" s="3" t="s">
        <v>206</v>
      </c>
      <c r="AB367" s="3">
        <v>0.35</v>
      </c>
      <c r="AC367" s="7">
        <v>639.32086200000003</v>
      </c>
      <c r="AD367" s="3">
        <v>0</v>
      </c>
      <c r="AE367" s="3">
        <f t="shared" si="41"/>
        <v>0.32499999999999996</v>
      </c>
      <c r="AF367" s="5"/>
      <c r="AG367" s="5"/>
      <c r="AH367" s="5"/>
      <c r="AI367" s="5"/>
      <c r="AJ367" s="1"/>
      <c r="AK367" s="3" t="s">
        <v>207</v>
      </c>
      <c r="AL367" s="3">
        <v>0.9</v>
      </c>
      <c r="AM367" s="3">
        <v>0.5</v>
      </c>
      <c r="AN367" s="3">
        <v>0.6</v>
      </c>
      <c r="AO367" s="3">
        <v>0.3</v>
      </c>
      <c r="AP367" s="6">
        <v>873.34606900000006</v>
      </c>
      <c r="AQ367" s="3">
        <v>6.0000000000000001E-3</v>
      </c>
      <c r="AS367" s="3" t="s">
        <v>207</v>
      </c>
      <c r="AT367" s="3">
        <v>0.5</v>
      </c>
      <c r="AU367" s="7">
        <v>938.59204099999999</v>
      </c>
      <c r="AV367" s="3">
        <v>1E-3</v>
      </c>
      <c r="AW367" s="3">
        <f t="shared" si="42"/>
        <v>0.4</v>
      </c>
      <c r="AX367" s="5"/>
      <c r="AY367" s="5"/>
      <c r="AZ367" s="5"/>
      <c r="BA367" s="5"/>
      <c r="BB367" s="1"/>
      <c r="BC367" s="3" t="s">
        <v>207</v>
      </c>
      <c r="BD367" s="3">
        <v>0.9</v>
      </c>
      <c r="BE367" s="3">
        <v>0.5</v>
      </c>
      <c r="BF367" s="3">
        <v>0.6</v>
      </c>
      <c r="BG367" s="3">
        <v>0.3</v>
      </c>
      <c r="BH367" s="7">
        <v>849.70019500000001</v>
      </c>
      <c r="BI367" s="3">
        <v>8.0000000000000002E-3</v>
      </c>
      <c r="BK367" s="3" t="s">
        <v>207</v>
      </c>
      <c r="BL367" s="3">
        <v>0.13</v>
      </c>
      <c r="BM367" s="6">
        <v>747.33575399999995</v>
      </c>
      <c r="BN367" s="3">
        <v>1E-3</v>
      </c>
      <c r="BO367" s="3">
        <f t="shared" si="43"/>
        <v>0.215</v>
      </c>
    </row>
    <row r="368" spans="1:71" x14ac:dyDescent="0.3">
      <c r="A368" s="3" t="s">
        <v>208</v>
      </c>
      <c r="B368" s="3">
        <v>0.9</v>
      </c>
      <c r="C368" s="3">
        <v>0.5</v>
      </c>
      <c r="D368" s="3">
        <v>0.6</v>
      </c>
      <c r="E368" s="3">
        <v>0.3</v>
      </c>
      <c r="F368" s="7">
        <v>604.713257</v>
      </c>
      <c r="G368" s="3">
        <v>2E-3</v>
      </c>
      <c r="I368" s="3" t="s">
        <v>208</v>
      </c>
      <c r="J368" s="3">
        <v>0.09</v>
      </c>
      <c r="K368" s="6">
        <v>571.19006300000001</v>
      </c>
      <c r="L368" s="3">
        <v>0</v>
      </c>
      <c r="M368" s="3">
        <f t="shared" si="40"/>
        <v>0.19500000000000001</v>
      </c>
      <c r="N368" s="5"/>
      <c r="O368" s="5"/>
      <c r="P368" s="5"/>
      <c r="Q368" s="5"/>
      <c r="R368" s="1"/>
      <c r="S368" s="3" t="s">
        <v>208</v>
      </c>
      <c r="T368" s="3">
        <v>0.9</v>
      </c>
      <c r="U368" s="3">
        <v>0.5</v>
      </c>
      <c r="V368" s="3">
        <v>0.6</v>
      </c>
      <c r="W368" s="3">
        <v>0.3</v>
      </c>
      <c r="X368" s="6">
        <v>590.78656000000001</v>
      </c>
      <c r="Y368" s="3">
        <v>2E-3</v>
      </c>
      <c r="AA368" s="3" t="s">
        <v>208</v>
      </c>
      <c r="AB368" s="3">
        <v>0.75</v>
      </c>
      <c r="AC368" s="7">
        <v>652.31976299999997</v>
      </c>
      <c r="AD368" s="3">
        <v>0</v>
      </c>
      <c r="AE368" s="3">
        <f t="shared" si="41"/>
        <v>0.52500000000000002</v>
      </c>
      <c r="AF368" s="5"/>
      <c r="AG368" s="5"/>
      <c r="AH368" s="5"/>
      <c r="AI368" s="5"/>
      <c r="AJ368" s="1"/>
      <c r="AK368" s="3" t="s">
        <v>209</v>
      </c>
      <c r="AL368" s="3">
        <v>0.9</v>
      </c>
      <c r="AM368" s="3">
        <v>0.5</v>
      </c>
      <c r="AN368" s="3">
        <v>0.6</v>
      </c>
      <c r="AO368" s="3">
        <v>0.3</v>
      </c>
      <c r="AP368" s="6">
        <v>872.98541299999999</v>
      </c>
      <c r="AQ368" s="3">
        <v>7.0000000000000001E-3</v>
      </c>
      <c r="AS368" s="3" t="s">
        <v>209</v>
      </c>
      <c r="AT368" s="3">
        <v>0.83</v>
      </c>
      <c r="AU368" s="7">
        <v>1027.2955320000001</v>
      </c>
      <c r="AV368" s="3">
        <v>1E-3</v>
      </c>
      <c r="AW368" s="3">
        <f t="shared" si="42"/>
        <v>0.56499999999999995</v>
      </c>
      <c r="AX368" s="5"/>
      <c r="AY368" s="5"/>
      <c r="AZ368" s="5"/>
      <c r="BA368" s="5"/>
      <c r="BB368" s="1"/>
      <c r="BC368" s="3" t="s">
        <v>209</v>
      </c>
      <c r="BD368" s="3">
        <v>0.9</v>
      </c>
      <c r="BE368" s="3">
        <v>0.5</v>
      </c>
      <c r="BF368" s="3">
        <v>0.6</v>
      </c>
      <c r="BG368" s="3">
        <v>0.3</v>
      </c>
      <c r="BH368" s="6">
        <v>863.71014400000001</v>
      </c>
      <c r="BI368" s="3">
        <v>8.9999999999999993E-3</v>
      </c>
      <c r="BK368" s="3" t="s">
        <v>209</v>
      </c>
      <c r="BL368" s="3">
        <v>0.44</v>
      </c>
      <c r="BM368" s="7">
        <v>910.11419699999999</v>
      </c>
      <c r="BN368" s="3">
        <v>1E-3</v>
      </c>
      <c r="BO368" s="3">
        <f t="shared" si="43"/>
        <v>0.37</v>
      </c>
    </row>
    <row r="369" spans="1:67" x14ac:dyDescent="0.3">
      <c r="A369" s="3" t="s">
        <v>210</v>
      </c>
      <c r="B369" s="3">
        <v>0.9</v>
      </c>
      <c r="C369" s="3">
        <v>0.5</v>
      </c>
      <c r="D369" s="3">
        <v>0.6</v>
      </c>
      <c r="E369" s="3">
        <v>0.3</v>
      </c>
      <c r="F369" s="7">
        <v>617.13720699999999</v>
      </c>
      <c r="G369" s="3">
        <v>1E-3</v>
      </c>
      <c r="I369" s="3" t="s">
        <v>210</v>
      </c>
      <c r="J369" s="3">
        <v>0.09</v>
      </c>
      <c r="K369" s="6">
        <v>583.60192900000004</v>
      </c>
      <c r="L369" s="3">
        <v>0</v>
      </c>
      <c r="M369" s="3">
        <f t="shared" si="40"/>
        <v>0.19500000000000001</v>
      </c>
      <c r="N369" s="5"/>
      <c r="O369" s="5"/>
      <c r="P369" s="5"/>
      <c r="Q369" s="5"/>
      <c r="R369" s="1"/>
      <c r="S369" s="3" t="s">
        <v>210</v>
      </c>
      <c r="T369" s="3">
        <v>0.9</v>
      </c>
      <c r="U369" s="3">
        <v>0.5</v>
      </c>
      <c r="V369" s="3">
        <v>0.6</v>
      </c>
      <c r="W369" s="3">
        <v>0.3</v>
      </c>
      <c r="X369" s="6">
        <v>591.90429700000004</v>
      </c>
      <c r="Y369" s="3">
        <v>4.0000000000000001E-3</v>
      </c>
      <c r="AA369" s="3" t="s">
        <v>210</v>
      </c>
      <c r="AB369" s="3">
        <v>0.66</v>
      </c>
      <c r="AC369" s="7">
        <v>656.45593299999996</v>
      </c>
      <c r="AD369" s="3">
        <v>1E-3</v>
      </c>
      <c r="AE369" s="3">
        <f t="shared" si="41"/>
        <v>0.48</v>
      </c>
      <c r="AF369" s="5"/>
      <c r="AG369" s="5"/>
      <c r="AH369" s="5"/>
      <c r="AI369" s="5"/>
      <c r="AJ369" s="1"/>
      <c r="AK369" s="3" t="s">
        <v>211</v>
      </c>
      <c r="AL369" s="3">
        <v>0.9</v>
      </c>
      <c r="AM369" s="3">
        <v>0.5</v>
      </c>
      <c r="AN369" s="3">
        <v>0.6</v>
      </c>
      <c r="AO369" s="3">
        <v>0.3</v>
      </c>
      <c r="AP369" s="7">
        <v>907.98956299999998</v>
      </c>
      <c r="AQ369" s="3">
        <v>8.9999999999999993E-3</v>
      </c>
      <c r="AS369" s="3" t="s">
        <v>211</v>
      </c>
      <c r="AT369" s="3">
        <v>0.06</v>
      </c>
      <c r="AU369" s="6">
        <v>779.90490699999998</v>
      </c>
      <c r="AV369" s="3">
        <v>1E-3</v>
      </c>
      <c r="AW369" s="3">
        <f t="shared" si="42"/>
        <v>0.18</v>
      </c>
      <c r="AX369" s="5"/>
      <c r="AY369" s="5"/>
      <c r="AZ369" s="5"/>
      <c r="BA369" s="5"/>
      <c r="BB369" s="1"/>
      <c r="BC369" s="3" t="s">
        <v>211</v>
      </c>
      <c r="BD369" s="3">
        <v>0.9</v>
      </c>
      <c r="BE369" s="3">
        <v>0.5</v>
      </c>
      <c r="BF369" s="3">
        <v>0.6</v>
      </c>
      <c r="BG369" s="3">
        <v>0.3</v>
      </c>
      <c r="BH369" s="6">
        <v>889.89453100000003</v>
      </c>
      <c r="BI369" s="3">
        <v>8.9999999999999993E-3</v>
      </c>
      <c r="BK369" s="3" t="s">
        <v>211</v>
      </c>
      <c r="BL369" s="3">
        <v>0.34</v>
      </c>
      <c r="BM369" s="7">
        <v>898.44042999999999</v>
      </c>
      <c r="BN369" s="3">
        <v>1E-3</v>
      </c>
      <c r="BO369" s="3">
        <f t="shared" si="43"/>
        <v>0.32</v>
      </c>
    </row>
    <row r="370" spans="1:67" x14ac:dyDescent="0.3">
      <c r="A370" s="3" t="s">
        <v>212</v>
      </c>
      <c r="B370" s="3">
        <v>0.9</v>
      </c>
      <c r="C370" s="3">
        <v>0.5</v>
      </c>
      <c r="D370" s="3">
        <v>0.6</v>
      </c>
      <c r="E370" s="3">
        <v>0.3</v>
      </c>
      <c r="F370" s="6">
        <v>622.45550500000002</v>
      </c>
      <c r="G370" s="3">
        <v>2E-3</v>
      </c>
      <c r="I370" s="3" t="s">
        <v>212</v>
      </c>
      <c r="J370" s="3">
        <v>0.7</v>
      </c>
      <c r="K370" s="7">
        <v>689.67260699999997</v>
      </c>
      <c r="L370" s="3">
        <v>0</v>
      </c>
      <c r="M370" s="3">
        <f t="shared" si="40"/>
        <v>0.5</v>
      </c>
      <c r="N370" s="5"/>
      <c r="O370" s="5"/>
      <c r="P370" s="5"/>
      <c r="Q370" s="5"/>
      <c r="R370" s="1"/>
      <c r="S370" s="3" t="s">
        <v>212</v>
      </c>
      <c r="T370" s="3">
        <v>0.9</v>
      </c>
      <c r="U370" s="3">
        <v>0.5</v>
      </c>
      <c r="V370" s="3">
        <v>0.6</v>
      </c>
      <c r="W370" s="3">
        <v>0.3</v>
      </c>
      <c r="X370" s="6">
        <v>610.40472399999999</v>
      </c>
      <c r="Y370" s="3">
        <v>2E-3</v>
      </c>
      <c r="AA370" s="3" t="s">
        <v>212</v>
      </c>
      <c r="AB370" s="3">
        <v>0.59</v>
      </c>
      <c r="AC370" s="7">
        <v>650.40069600000004</v>
      </c>
      <c r="AD370" s="3">
        <v>0</v>
      </c>
      <c r="AE370" s="3">
        <f t="shared" si="41"/>
        <v>0.44499999999999995</v>
      </c>
      <c r="AF370" s="5"/>
      <c r="AG370" s="5"/>
      <c r="AH370" s="5"/>
      <c r="AI370" s="5"/>
      <c r="AJ370" s="1"/>
      <c r="AK370" s="3" t="s">
        <v>213</v>
      </c>
      <c r="AL370" s="3">
        <v>0.9</v>
      </c>
      <c r="AM370" s="3">
        <v>0.5</v>
      </c>
      <c r="AN370" s="3">
        <v>0.6</v>
      </c>
      <c r="AO370" s="3">
        <v>0.3</v>
      </c>
      <c r="AP370" s="6">
        <v>945.67816200000004</v>
      </c>
      <c r="AQ370" s="3">
        <v>8.0000000000000002E-3</v>
      </c>
      <c r="AS370" s="3" t="s">
        <v>213</v>
      </c>
      <c r="AT370" s="3">
        <v>0.76</v>
      </c>
      <c r="AU370" s="7">
        <v>1095.106567</v>
      </c>
      <c r="AV370" s="3">
        <v>1E-3</v>
      </c>
      <c r="AW370" s="3">
        <f t="shared" si="42"/>
        <v>0.53</v>
      </c>
      <c r="AX370" s="5"/>
      <c r="AY370" s="5"/>
      <c r="AZ370" s="5"/>
      <c r="BA370" s="5"/>
      <c r="BB370" s="1"/>
      <c r="BC370" s="3" t="s">
        <v>213</v>
      </c>
      <c r="BD370" s="3">
        <v>0.9</v>
      </c>
      <c r="BE370" s="3">
        <v>0.5</v>
      </c>
      <c r="BF370" s="3">
        <v>0.6</v>
      </c>
      <c r="BG370" s="3">
        <v>0.3</v>
      </c>
      <c r="BH370" s="6">
        <v>925.47296100000005</v>
      </c>
      <c r="BI370" s="3">
        <v>0.01</v>
      </c>
      <c r="BK370" s="3" t="s">
        <v>213</v>
      </c>
      <c r="BL370" s="3">
        <v>0.84</v>
      </c>
      <c r="BM370" s="7">
        <v>1074.4864500000001</v>
      </c>
      <c r="BN370" s="3">
        <v>1E-3</v>
      </c>
      <c r="BO370" s="3">
        <f t="shared" si="43"/>
        <v>0.56999999999999995</v>
      </c>
    </row>
    <row r="371" spans="1:67" x14ac:dyDescent="0.3">
      <c r="A371" s="3" t="s">
        <v>214</v>
      </c>
      <c r="B371" s="3">
        <v>0.9</v>
      </c>
      <c r="C371" s="3">
        <v>0.5</v>
      </c>
      <c r="D371" s="3">
        <v>0.6</v>
      </c>
      <c r="E371" s="3">
        <v>0.3</v>
      </c>
      <c r="F371" s="7">
        <v>646.69726600000001</v>
      </c>
      <c r="G371" s="3">
        <v>2E-3</v>
      </c>
      <c r="I371" s="3" t="s">
        <v>214</v>
      </c>
      <c r="J371" s="3">
        <v>0.26</v>
      </c>
      <c r="K371" s="6">
        <v>638.99194299999999</v>
      </c>
      <c r="L371" s="3">
        <v>0</v>
      </c>
      <c r="M371" s="3">
        <f t="shared" si="40"/>
        <v>0.28000000000000003</v>
      </c>
      <c r="N371" s="5"/>
      <c r="O371" s="5"/>
      <c r="P371" s="5"/>
      <c r="Q371" s="5"/>
      <c r="R371" s="1"/>
      <c r="S371" s="3" t="s">
        <v>214</v>
      </c>
      <c r="T371" s="3">
        <v>0.9</v>
      </c>
      <c r="U371" s="3">
        <v>0.5</v>
      </c>
      <c r="V371" s="3">
        <v>0.6</v>
      </c>
      <c r="W371" s="3">
        <v>0.3</v>
      </c>
      <c r="X371" s="6">
        <v>606.00457800000004</v>
      </c>
      <c r="Y371" s="3">
        <v>3.0000000000000001E-3</v>
      </c>
      <c r="AA371" s="3" t="s">
        <v>214</v>
      </c>
      <c r="AB371" s="3">
        <v>0</v>
      </c>
      <c r="AC371" s="7">
        <v>628.10565199999996</v>
      </c>
      <c r="AD371" s="3">
        <v>0</v>
      </c>
      <c r="AE371" s="3">
        <f t="shared" si="41"/>
        <v>0.15</v>
      </c>
      <c r="AF371" s="5"/>
      <c r="AG371" s="5"/>
      <c r="AH371" s="5"/>
      <c r="AI371" s="5"/>
      <c r="AJ371" s="1"/>
      <c r="AK371" s="3" t="s">
        <v>215</v>
      </c>
      <c r="AL371" s="3">
        <v>0.9</v>
      </c>
      <c r="AM371" s="3">
        <v>0.5</v>
      </c>
      <c r="AN371" s="3">
        <v>0.6</v>
      </c>
      <c r="AO371" s="3">
        <v>0.3</v>
      </c>
      <c r="AP371" s="6">
        <v>1019.388977</v>
      </c>
      <c r="AQ371" s="3">
        <v>1.0999999999999999E-2</v>
      </c>
      <c r="AS371" s="3" t="s">
        <v>215</v>
      </c>
      <c r="AT371" s="3">
        <v>0.49</v>
      </c>
      <c r="AU371" s="7">
        <v>1123.449341</v>
      </c>
      <c r="AV371" s="3">
        <v>1E-3</v>
      </c>
      <c r="AW371" s="3">
        <f t="shared" si="42"/>
        <v>0.39500000000000002</v>
      </c>
      <c r="AX371" s="5"/>
      <c r="AY371" s="5"/>
      <c r="AZ371" s="5"/>
      <c r="BA371" s="5"/>
      <c r="BB371" s="1"/>
      <c r="BC371" s="3" t="s">
        <v>215</v>
      </c>
      <c r="BD371" s="3">
        <v>0.9</v>
      </c>
      <c r="BE371" s="3">
        <v>0.5</v>
      </c>
      <c r="BF371" s="3">
        <v>0.6</v>
      </c>
      <c r="BG371" s="3">
        <v>0.3</v>
      </c>
      <c r="BH371" s="7">
        <v>997.26342799999998</v>
      </c>
      <c r="BI371" s="3">
        <v>1.2E-2</v>
      </c>
      <c r="BK371" s="3" t="s">
        <v>215</v>
      </c>
      <c r="BL371" s="3">
        <v>0.15</v>
      </c>
      <c r="BM371" s="6">
        <v>903.35723900000005</v>
      </c>
      <c r="BN371" s="3">
        <v>1E-3</v>
      </c>
      <c r="BO371" s="3">
        <f t="shared" si="43"/>
        <v>0.22499999999999998</v>
      </c>
    </row>
    <row r="372" spans="1:67" x14ac:dyDescent="0.3">
      <c r="A372" s="3" t="s">
        <v>216</v>
      </c>
      <c r="B372" s="3">
        <v>0.9</v>
      </c>
      <c r="C372" s="3">
        <v>0.5</v>
      </c>
      <c r="D372" s="3">
        <v>0.6</v>
      </c>
      <c r="E372" s="3">
        <v>0.3</v>
      </c>
      <c r="F372" s="6">
        <v>604.108521</v>
      </c>
      <c r="G372" s="3">
        <v>2E-3</v>
      </c>
      <c r="I372" s="3" t="s">
        <v>216</v>
      </c>
      <c r="J372" s="3">
        <v>0.88</v>
      </c>
      <c r="K372" s="7">
        <v>712.64404300000001</v>
      </c>
      <c r="L372" s="3">
        <v>1E-3</v>
      </c>
      <c r="M372" s="3">
        <f t="shared" si="40"/>
        <v>0.59</v>
      </c>
      <c r="N372" s="5"/>
      <c r="O372" s="5"/>
      <c r="P372" s="5"/>
      <c r="Q372" s="5"/>
      <c r="R372" s="1"/>
      <c r="S372" s="3" t="s">
        <v>216</v>
      </c>
      <c r="T372" s="3">
        <v>0.9</v>
      </c>
      <c r="U372" s="3">
        <v>0.5</v>
      </c>
      <c r="V372" s="3">
        <v>0.6</v>
      </c>
      <c r="W372" s="3">
        <v>0.3</v>
      </c>
      <c r="X372" s="6">
        <v>589.09912099999997</v>
      </c>
      <c r="Y372" s="3">
        <v>3.0000000000000001E-3</v>
      </c>
      <c r="AA372" s="3" t="s">
        <v>216</v>
      </c>
      <c r="AB372" s="3">
        <v>0.51</v>
      </c>
      <c r="AC372" s="7">
        <v>629.92425500000002</v>
      </c>
      <c r="AD372" s="3">
        <v>0</v>
      </c>
      <c r="AE372" s="3">
        <f t="shared" si="41"/>
        <v>0.40500000000000003</v>
      </c>
      <c r="AF372" s="5"/>
      <c r="AG372" s="5"/>
      <c r="AH372" s="5"/>
      <c r="AI372" s="5"/>
      <c r="AJ372" s="1"/>
      <c r="AK372" s="3" t="s">
        <v>217</v>
      </c>
      <c r="AL372" s="3">
        <v>0.9</v>
      </c>
      <c r="AM372" s="3">
        <v>0.5</v>
      </c>
      <c r="AN372" s="3">
        <v>0.6</v>
      </c>
      <c r="AO372" s="3">
        <v>0.3</v>
      </c>
      <c r="AP372" s="6">
        <v>1055.928467</v>
      </c>
      <c r="AQ372" s="3">
        <v>0.01</v>
      </c>
      <c r="AS372" s="3" t="s">
        <v>217</v>
      </c>
      <c r="AT372" s="3">
        <v>0.52</v>
      </c>
      <c r="AU372" s="7">
        <v>1155.3133539999999</v>
      </c>
      <c r="AV372" s="3">
        <v>2E-3</v>
      </c>
      <c r="AW372" s="3">
        <f t="shared" si="42"/>
        <v>0.41000000000000003</v>
      </c>
      <c r="AX372" s="5"/>
      <c r="AY372" s="5"/>
      <c r="AZ372" s="5"/>
      <c r="BA372" s="5"/>
      <c r="BB372" s="1"/>
      <c r="BC372" s="3" t="s">
        <v>217</v>
      </c>
      <c r="BD372" s="3">
        <v>0.9</v>
      </c>
      <c r="BE372" s="3">
        <v>0.5</v>
      </c>
      <c r="BF372" s="3">
        <v>0.6</v>
      </c>
      <c r="BG372" s="3">
        <v>0.3</v>
      </c>
      <c r="BH372" s="6">
        <v>1030.3835449999999</v>
      </c>
      <c r="BI372" s="3">
        <v>1.7000000000000001E-2</v>
      </c>
      <c r="BK372" s="3" t="s">
        <v>217</v>
      </c>
      <c r="BL372" s="3">
        <v>0.42</v>
      </c>
      <c r="BM372" s="7">
        <v>1100.2547609999999</v>
      </c>
      <c r="BN372" s="3">
        <v>1E-3</v>
      </c>
      <c r="BO372" s="3">
        <f t="shared" si="43"/>
        <v>0.36</v>
      </c>
    </row>
    <row r="373" spans="1:67" x14ac:dyDescent="0.3">
      <c r="A373" s="3" t="s">
        <v>218</v>
      </c>
      <c r="B373" s="3">
        <v>0.9</v>
      </c>
      <c r="C373" s="3">
        <v>0.5</v>
      </c>
      <c r="D373" s="3">
        <v>0.6</v>
      </c>
      <c r="E373" s="3">
        <v>0.3</v>
      </c>
      <c r="F373" s="6">
        <v>665.62249799999995</v>
      </c>
      <c r="G373" s="3">
        <v>3.0000000000000001E-3</v>
      </c>
      <c r="I373" s="3" t="s">
        <v>218</v>
      </c>
      <c r="J373" s="3">
        <v>0.39</v>
      </c>
      <c r="K373" s="7">
        <v>671.99945100000002</v>
      </c>
      <c r="L373" s="3">
        <v>0</v>
      </c>
      <c r="M373" s="3">
        <f t="shared" si="40"/>
        <v>0.34499999999999997</v>
      </c>
      <c r="N373" s="5"/>
      <c r="O373" s="5"/>
      <c r="P373" s="5"/>
      <c r="Q373" s="5"/>
      <c r="R373" s="1"/>
      <c r="S373" s="3" t="s">
        <v>218</v>
      </c>
      <c r="T373" s="3">
        <v>0.9</v>
      </c>
      <c r="U373" s="3">
        <v>0.5</v>
      </c>
      <c r="V373" s="3">
        <v>0.6</v>
      </c>
      <c r="W373" s="3">
        <v>0.3</v>
      </c>
      <c r="X373" s="7">
        <v>655.576233</v>
      </c>
      <c r="Y373" s="3">
        <v>2E-3</v>
      </c>
      <c r="AA373" s="3" t="s">
        <v>218</v>
      </c>
      <c r="AB373" s="3">
        <v>0.3</v>
      </c>
      <c r="AC373" s="6">
        <v>654.49279799999999</v>
      </c>
      <c r="AD373" s="3">
        <v>0</v>
      </c>
      <c r="AE373" s="3">
        <f t="shared" si="41"/>
        <v>0.3</v>
      </c>
      <c r="AF373" s="5"/>
      <c r="AG373" s="5"/>
      <c r="AH373" s="5"/>
      <c r="AI373" s="5"/>
      <c r="AJ373" s="1"/>
      <c r="AK373" s="3" t="s">
        <v>219</v>
      </c>
      <c r="AL373" s="3">
        <v>0.9</v>
      </c>
      <c r="AM373" s="3">
        <v>0.5</v>
      </c>
      <c r="AN373" s="3">
        <v>0.6</v>
      </c>
      <c r="AO373" s="3">
        <v>0.3</v>
      </c>
      <c r="AP373" s="7">
        <v>1048.2973629999999</v>
      </c>
      <c r="AQ373" s="3">
        <v>8.9999999999999993E-3</v>
      </c>
      <c r="AS373" s="3" t="s">
        <v>219</v>
      </c>
      <c r="AT373" s="3">
        <v>0.08</v>
      </c>
      <c r="AU373" s="6">
        <v>873.43322799999999</v>
      </c>
      <c r="AV373" s="3">
        <v>0</v>
      </c>
      <c r="AW373" s="3">
        <f t="shared" si="42"/>
        <v>0.19</v>
      </c>
      <c r="AX373" s="5"/>
      <c r="AY373" s="5"/>
      <c r="AZ373" s="5"/>
      <c r="BA373" s="5"/>
      <c r="BB373" s="1"/>
      <c r="BC373" s="3" t="s">
        <v>219</v>
      </c>
      <c r="BD373" s="3">
        <v>0.9</v>
      </c>
      <c r="BE373" s="3">
        <v>0.5</v>
      </c>
      <c r="BF373" s="3">
        <v>0.6</v>
      </c>
      <c r="BG373" s="3">
        <v>0.3</v>
      </c>
      <c r="BH373" s="6">
        <v>1044.0557859999999</v>
      </c>
      <c r="BI373" s="3">
        <v>1.2999999999999999E-2</v>
      </c>
      <c r="BK373" s="3" t="s">
        <v>219</v>
      </c>
      <c r="BL373" s="3">
        <v>0.98</v>
      </c>
      <c r="BM373" s="7">
        <v>1261.570923</v>
      </c>
      <c r="BN373" s="3">
        <v>1E-3</v>
      </c>
      <c r="BO373" s="3">
        <f t="shared" si="43"/>
        <v>0.64</v>
      </c>
    </row>
    <row r="374" spans="1:67" x14ac:dyDescent="0.3">
      <c r="A374" s="3" t="s">
        <v>220</v>
      </c>
      <c r="B374" s="3">
        <v>0.9</v>
      </c>
      <c r="C374" s="3">
        <v>0.5</v>
      </c>
      <c r="D374" s="3">
        <v>0.6</v>
      </c>
      <c r="E374" s="3">
        <v>0.3</v>
      </c>
      <c r="F374" s="6">
        <v>685.40863000000002</v>
      </c>
      <c r="G374" s="3">
        <v>3.0000000000000001E-3</v>
      </c>
      <c r="I374" s="3" t="s">
        <v>220</v>
      </c>
      <c r="J374" s="3">
        <v>0.5</v>
      </c>
      <c r="K374" s="7">
        <v>733.41876200000002</v>
      </c>
      <c r="L374" s="3">
        <v>1E-3</v>
      </c>
      <c r="M374" s="3">
        <f t="shared" si="40"/>
        <v>0.4</v>
      </c>
      <c r="N374" s="5"/>
      <c r="O374" s="5"/>
      <c r="P374" s="5"/>
      <c r="Q374" s="5"/>
      <c r="R374" s="1"/>
      <c r="S374" s="3" t="s">
        <v>220</v>
      </c>
      <c r="T374" s="3">
        <v>0.9</v>
      </c>
      <c r="U374" s="3">
        <v>0.5</v>
      </c>
      <c r="V374" s="3">
        <v>0.6</v>
      </c>
      <c r="W374" s="3">
        <v>0.3</v>
      </c>
      <c r="X374" s="8">
        <v>667.96423300000004</v>
      </c>
      <c r="Y374" s="3">
        <v>4.0000000000000001E-3</v>
      </c>
      <c r="AA374" s="3" t="s">
        <v>220</v>
      </c>
      <c r="AB374" s="3">
        <v>0.31</v>
      </c>
      <c r="AC374" s="6">
        <v>667.79815699999995</v>
      </c>
      <c r="AD374" s="3">
        <v>1E-3</v>
      </c>
      <c r="AE374" s="3">
        <f t="shared" si="41"/>
        <v>0.30499999999999999</v>
      </c>
      <c r="AF374" s="5"/>
      <c r="AG374" s="5"/>
      <c r="AH374" s="5"/>
      <c r="AI374" s="5"/>
      <c r="AJ374" s="1"/>
      <c r="AK374" s="3" t="s">
        <v>221</v>
      </c>
      <c r="AL374" s="3">
        <v>0.9</v>
      </c>
      <c r="AM374" s="3">
        <v>0.5</v>
      </c>
      <c r="AN374" s="3">
        <v>0.6</v>
      </c>
      <c r="AO374" s="3">
        <v>0.3</v>
      </c>
      <c r="AP374" s="6">
        <v>994.970642</v>
      </c>
      <c r="AQ374" s="3">
        <v>8.9999999999999993E-3</v>
      </c>
      <c r="AS374" s="3" t="s">
        <v>221</v>
      </c>
      <c r="AT374" s="3">
        <v>0.72</v>
      </c>
      <c r="AU374" s="7">
        <v>1124.283936</v>
      </c>
      <c r="AV374" s="3">
        <v>1E-3</v>
      </c>
      <c r="AW374" s="3">
        <f t="shared" si="42"/>
        <v>0.51</v>
      </c>
      <c r="AX374" s="5"/>
      <c r="AY374" s="5"/>
      <c r="AZ374" s="5"/>
      <c r="BA374" s="5"/>
      <c r="BB374" s="1"/>
      <c r="BC374" s="3" t="s">
        <v>221</v>
      </c>
      <c r="BD374" s="3">
        <v>0.9</v>
      </c>
      <c r="BE374" s="3">
        <v>0.5</v>
      </c>
      <c r="BF374" s="3">
        <v>0.6</v>
      </c>
      <c r="BG374" s="3">
        <v>0.3</v>
      </c>
      <c r="BH374" s="6">
        <v>974.99578899999995</v>
      </c>
      <c r="BI374" s="3">
        <v>1.0999999999999999E-2</v>
      </c>
      <c r="BK374" s="3" t="s">
        <v>221</v>
      </c>
      <c r="BL374" s="3">
        <v>0.97</v>
      </c>
      <c r="BM374" s="7">
        <v>1138.4023440000001</v>
      </c>
      <c r="BN374" s="3">
        <v>1E-3</v>
      </c>
      <c r="BO374" s="3">
        <f t="shared" si="43"/>
        <v>0.63500000000000001</v>
      </c>
    </row>
    <row r="375" spans="1:67" x14ac:dyDescent="0.3">
      <c r="A375" s="3" t="s">
        <v>222</v>
      </c>
      <c r="B375" s="3">
        <v>0.9</v>
      </c>
      <c r="C375" s="3">
        <v>0.5</v>
      </c>
      <c r="D375" s="3">
        <v>0.6</v>
      </c>
      <c r="E375" s="3">
        <v>0.3</v>
      </c>
      <c r="F375" s="7">
        <v>687.29913299999998</v>
      </c>
      <c r="G375" s="3">
        <v>3.0000000000000001E-3</v>
      </c>
      <c r="I375" s="3" t="s">
        <v>222</v>
      </c>
      <c r="J375" s="3">
        <v>0.1</v>
      </c>
      <c r="K375" s="6">
        <v>635.99383499999999</v>
      </c>
      <c r="L375" s="3">
        <v>0</v>
      </c>
      <c r="M375" s="3">
        <f t="shared" si="40"/>
        <v>0.2</v>
      </c>
      <c r="N375" s="5"/>
      <c r="O375" s="5"/>
      <c r="P375" s="5"/>
      <c r="Q375" s="5"/>
      <c r="R375" s="1"/>
      <c r="S375" s="3" t="s">
        <v>222</v>
      </c>
      <c r="T375" s="3">
        <v>0.9</v>
      </c>
      <c r="U375" s="3">
        <v>0.5</v>
      </c>
      <c r="V375" s="3">
        <v>0.6</v>
      </c>
      <c r="W375" s="3">
        <v>0.3</v>
      </c>
      <c r="X375" s="6">
        <v>685.38366699999995</v>
      </c>
      <c r="Y375" s="3">
        <v>5.0000000000000001E-3</v>
      </c>
      <c r="AA375" s="3" t="s">
        <v>222</v>
      </c>
      <c r="AB375" s="3">
        <v>0.99</v>
      </c>
      <c r="AC375" s="7">
        <v>814.71649200000002</v>
      </c>
      <c r="AD375" s="3">
        <v>0</v>
      </c>
      <c r="AE375" s="3">
        <f t="shared" si="41"/>
        <v>0.64500000000000002</v>
      </c>
      <c r="AF375" s="5"/>
      <c r="AG375" s="5"/>
      <c r="AH375" s="5"/>
      <c r="AI375" s="5"/>
      <c r="AJ375" s="1"/>
      <c r="AK375" s="3" t="s">
        <v>223</v>
      </c>
      <c r="AL375" s="3">
        <v>0.9</v>
      </c>
      <c r="AM375" s="3">
        <v>0.5</v>
      </c>
      <c r="AN375" s="3">
        <v>0.6</v>
      </c>
      <c r="AO375" s="3">
        <v>0.3</v>
      </c>
      <c r="AP375" s="6">
        <v>1091.0042719999999</v>
      </c>
      <c r="AQ375" s="3">
        <v>1.2999999999999999E-2</v>
      </c>
      <c r="AS375" s="3" t="s">
        <v>223</v>
      </c>
      <c r="AT375" s="3">
        <v>0.62</v>
      </c>
      <c r="AU375" s="7">
        <v>1218.0836179999999</v>
      </c>
      <c r="AV375" s="3">
        <v>0</v>
      </c>
      <c r="AW375" s="3">
        <f t="shared" si="42"/>
        <v>0.45999999999999996</v>
      </c>
      <c r="AX375" s="5"/>
      <c r="AY375" s="5"/>
      <c r="AZ375" s="5"/>
      <c r="BA375" s="5"/>
      <c r="BB375" s="1"/>
      <c r="BC375" s="3" t="s">
        <v>223</v>
      </c>
      <c r="BD375" s="3">
        <v>0.9</v>
      </c>
      <c r="BE375" s="3">
        <v>0.5</v>
      </c>
      <c r="BF375" s="3">
        <v>0.6</v>
      </c>
      <c r="BG375" s="3">
        <v>0.3</v>
      </c>
      <c r="BH375" s="7">
        <v>1078.3093260000001</v>
      </c>
      <c r="BI375" s="3">
        <v>2.5999999999999999E-2</v>
      </c>
      <c r="BK375" s="3" t="s">
        <v>223</v>
      </c>
      <c r="BL375" s="3">
        <v>0.12</v>
      </c>
      <c r="BM375" s="6">
        <v>917.07647699999995</v>
      </c>
      <c r="BN375" s="3">
        <v>1E-3</v>
      </c>
      <c r="BO375" s="3">
        <f t="shared" si="43"/>
        <v>0.21</v>
      </c>
    </row>
    <row r="376" spans="1:67" x14ac:dyDescent="0.3">
      <c r="A376" s="3" t="s">
        <v>224</v>
      </c>
      <c r="B376" s="3">
        <v>0.9</v>
      </c>
      <c r="C376" s="3">
        <v>0.5</v>
      </c>
      <c r="D376" s="3">
        <v>0.6</v>
      </c>
      <c r="E376" s="3">
        <v>0.3</v>
      </c>
      <c r="F376" s="6">
        <v>728.85180700000001</v>
      </c>
      <c r="G376" s="3">
        <v>3.0000000000000001E-3</v>
      </c>
      <c r="I376" s="3" t="s">
        <v>224</v>
      </c>
      <c r="J376" s="3">
        <v>0.39</v>
      </c>
      <c r="K376" s="7">
        <v>784.15014599999995</v>
      </c>
      <c r="L376" s="3">
        <v>0</v>
      </c>
      <c r="M376" s="3">
        <f t="shared" si="40"/>
        <v>0.34499999999999997</v>
      </c>
      <c r="N376" s="5"/>
      <c r="O376" s="5"/>
      <c r="P376" s="5"/>
      <c r="Q376" s="5"/>
      <c r="R376" s="1"/>
      <c r="S376" s="3" t="s">
        <v>224</v>
      </c>
      <c r="T376" s="3">
        <v>0.9</v>
      </c>
      <c r="U376" s="3">
        <v>0.5</v>
      </c>
      <c r="V376" s="3">
        <v>0.6</v>
      </c>
      <c r="W376" s="3">
        <v>0.3</v>
      </c>
      <c r="X376" s="6">
        <v>736.25665300000003</v>
      </c>
      <c r="Y376" s="3">
        <v>5.0000000000000001E-3</v>
      </c>
      <c r="AA376" s="3" t="s">
        <v>224</v>
      </c>
      <c r="AB376" s="3">
        <v>0.82</v>
      </c>
      <c r="AC376" s="7">
        <v>806.04461700000002</v>
      </c>
      <c r="AD376" s="3">
        <v>0</v>
      </c>
      <c r="AE376" s="3">
        <f t="shared" si="41"/>
        <v>0.55999999999999994</v>
      </c>
      <c r="AF376" s="5"/>
      <c r="AG376" s="5"/>
      <c r="AH376" s="5"/>
      <c r="AI376" s="5"/>
      <c r="AJ376" s="1"/>
      <c r="AK376" s="3" t="s">
        <v>225</v>
      </c>
      <c r="AL376" s="3">
        <v>0.9</v>
      </c>
      <c r="AM376" s="3">
        <v>0.5</v>
      </c>
      <c r="AN376" s="3">
        <v>0.6</v>
      </c>
      <c r="AO376" s="3">
        <v>0.3</v>
      </c>
      <c r="AP376" s="6">
        <v>1011.3331910000001</v>
      </c>
      <c r="AQ376" s="3">
        <v>1.0999999999999999E-2</v>
      </c>
      <c r="AS376" s="3" t="s">
        <v>225</v>
      </c>
      <c r="AT376" s="3">
        <v>0.54</v>
      </c>
      <c r="AU376" s="7">
        <v>1111.677856</v>
      </c>
      <c r="AV376" s="3">
        <v>1E-3</v>
      </c>
      <c r="AW376" s="3">
        <f t="shared" si="42"/>
        <v>0.42000000000000004</v>
      </c>
      <c r="AX376" s="5"/>
      <c r="AY376" s="5"/>
      <c r="AZ376" s="5"/>
      <c r="BA376" s="5"/>
      <c r="BB376" s="1"/>
      <c r="BC376" s="3" t="s">
        <v>225</v>
      </c>
      <c r="BD376" s="3">
        <v>0.9</v>
      </c>
      <c r="BE376" s="3">
        <v>0.5</v>
      </c>
      <c r="BF376" s="3">
        <v>0.6</v>
      </c>
      <c r="BG376" s="3">
        <v>0.3</v>
      </c>
      <c r="BH376" s="6">
        <v>981.44872999999995</v>
      </c>
      <c r="BI376" s="3">
        <v>1.0999999999999999E-2</v>
      </c>
      <c r="BK376" s="3" t="s">
        <v>225</v>
      </c>
      <c r="BL376" s="3">
        <v>0.32</v>
      </c>
      <c r="BM376" s="7">
        <v>1004.9518430000001</v>
      </c>
      <c r="BN376" s="3">
        <v>1E-3</v>
      </c>
      <c r="BO376" s="3">
        <f t="shared" si="43"/>
        <v>0.31</v>
      </c>
    </row>
    <row r="377" spans="1:67" x14ac:dyDescent="0.3">
      <c r="A377" s="3" t="s">
        <v>226</v>
      </c>
      <c r="B377" s="3">
        <v>0.9</v>
      </c>
      <c r="C377" s="3">
        <v>0.5</v>
      </c>
      <c r="D377" s="3">
        <v>0.6</v>
      </c>
      <c r="E377" s="3">
        <v>0.3</v>
      </c>
      <c r="F377" s="6">
        <v>744.40441899999996</v>
      </c>
      <c r="G377" s="3">
        <v>3.0000000000000001E-3</v>
      </c>
      <c r="I377" s="3" t="s">
        <v>226</v>
      </c>
      <c r="J377" s="3">
        <v>0.46</v>
      </c>
      <c r="K377" s="7">
        <v>774.31262200000003</v>
      </c>
      <c r="L377" s="3">
        <v>1E-3</v>
      </c>
      <c r="M377" s="3">
        <f t="shared" si="40"/>
        <v>0.38</v>
      </c>
      <c r="N377" s="5"/>
      <c r="O377" s="5"/>
      <c r="P377" s="5"/>
      <c r="Q377" s="5"/>
      <c r="R377" s="1"/>
      <c r="S377" s="3" t="s">
        <v>226</v>
      </c>
      <c r="T377" s="3">
        <v>0.9</v>
      </c>
      <c r="U377" s="3">
        <v>0.5</v>
      </c>
      <c r="V377" s="3">
        <v>0.6</v>
      </c>
      <c r="W377" s="3">
        <v>0.3</v>
      </c>
      <c r="X377" s="6">
        <v>714.59729000000004</v>
      </c>
      <c r="Y377" s="3">
        <v>3.0000000000000001E-3</v>
      </c>
      <c r="AA377" s="3" t="s">
        <v>226</v>
      </c>
      <c r="AB377" s="3">
        <v>0.64</v>
      </c>
      <c r="AC377" s="7">
        <v>783.98498500000005</v>
      </c>
      <c r="AD377" s="3">
        <v>0</v>
      </c>
      <c r="AE377" s="3">
        <f t="shared" si="41"/>
        <v>0.47</v>
      </c>
      <c r="AF377" s="5"/>
      <c r="AG377" s="5"/>
      <c r="AH377" s="5"/>
      <c r="AI377" s="5"/>
      <c r="AJ377" s="1"/>
      <c r="AK377" s="3" t="s">
        <v>227</v>
      </c>
      <c r="AL377" s="3">
        <v>0.9</v>
      </c>
      <c r="AM377" s="3">
        <v>0.5</v>
      </c>
      <c r="AN377" s="3">
        <v>0.6</v>
      </c>
      <c r="AO377" s="3">
        <v>0.3</v>
      </c>
      <c r="AP377" s="6">
        <v>974.12176499999998</v>
      </c>
      <c r="AQ377" s="3">
        <v>8.9999999999999993E-3</v>
      </c>
      <c r="AS377" s="3" t="s">
        <v>227</v>
      </c>
      <c r="AT377" s="3">
        <v>0.35</v>
      </c>
      <c r="AU377" s="7">
        <v>1004.797241</v>
      </c>
      <c r="AV377" s="3">
        <v>0</v>
      </c>
      <c r="AW377" s="3">
        <f t="shared" si="42"/>
        <v>0.32499999999999996</v>
      </c>
      <c r="AX377" s="5"/>
      <c r="AY377" s="5"/>
      <c r="AZ377" s="5"/>
      <c r="BA377" s="5"/>
      <c r="BB377" s="1"/>
      <c r="BC377" s="3" t="s">
        <v>227</v>
      </c>
      <c r="BD377" s="3">
        <v>0.9</v>
      </c>
      <c r="BE377" s="3">
        <v>0.5</v>
      </c>
      <c r="BF377" s="3">
        <v>0.6</v>
      </c>
      <c r="BG377" s="3">
        <v>0.3</v>
      </c>
      <c r="BH377" s="7">
        <v>964.27978499999995</v>
      </c>
      <c r="BI377" s="3">
        <v>2.1999999999999999E-2</v>
      </c>
      <c r="BK377" s="3" t="s">
        <v>227</v>
      </c>
      <c r="BL377" s="3">
        <v>0.28999999999999998</v>
      </c>
      <c r="BM377" s="6">
        <v>942.80096400000002</v>
      </c>
      <c r="BN377" s="3">
        <v>1E-3</v>
      </c>
      <c r="BO377" s="3">
        <f t="shared" si="43"/>
        <v>0.29499999999999998</v>
      </c>
    </row>
    <row r="378" spans="1:67" x14ac:dyDescent="0.3">
      <c r="A378" s="3" t="s">
        <v>228</v>
      </c>
      <c r="B378" s="3">
        <v>0.9</v>
      </c>
      <c r="C378" s="3">
        <v>0.5</v>
      </c>
      <c r="D378" s="3">
        <v>0.6</v>
      </c>
      <c r="E378" s="3">
        <v>0.3</v>
      </c>
      <c r="F378" s="7">
        <v>642.85540800000001</v>
      </c>
      <c r="G378" s="3">
        <v>3.0000000000000001E-3</v>
      </c>
      <c r="I378" s="3" t="s">
        <v>228</v>
      </c>
      <c r="J378" s="3">
        <v>0.38</v>
      </c>
      <c r="K378" s="6">
        <v>639.80071999999996</v>
      </c>
      <c r="L378" s="3">
        <v>1E-3</v>
      </c>
      <c r="M378" s="3">
        <f t="shared" si="40"/>
        <v>0.33999999999999997</v>
      </c>
      <c r="N378" s="5"/>
      <c r="O378" s="5"/>
      <c r="P378" s="5"/>
      <c r="Q378" s="5"/>
      <c r="R378" s="1"/>
      <c r="S378" s="3" t="s">
        <v>228</v>
      </c>
      <c r="T378" s="3">
        <v>0.9</v>
      </c>
      <c r="U378" s="3">
        <v>0.5</v>
      </c>
      <c r="V378" s="3">
        <v>0.6</v>
      </c>
      <c r="W378" s="3">
        <v>0.3</v>
      </c>
      <c r="X378" s="6">
        <v>626.67498799999998</v>
      </c>
      <c r="Y378" s="3">
        <v>3.0000000000000001E-3</v>
      </c>
      <c r="AA378" s="3" t="s">
        <v>228</v>
      </c>
      <c r="AB378" s="3">
        <v>0.74</v>
      </c>
      <c r="AC378" s="7">
        <v>700.02758800000004</v>
      </c>
      <c r="AD378" s="3">
        <v>0</v>
      </c>
      <c r="AE378" s="3">
        <f t="shared" si="41"/>
        <v>0.52</v>
      </c>
      <c r="AF378" s="5"/>
      <c r="AG378" s="5"/>
      <c r="AH378" s="5"/>
      <c r="AI378" s="5"/>
      <c r="AJ378" s="1"/>
      <c r="AK378" s="3" t="s">
        <v>229</v>
      </c>
      <c r="AL378" s="3">
        <v>0.9</v>
      </c>
      <c r="AM378" s="3">
        <v>0.5</v>
      </c>
      <c r="AN378" s="3">
        <v>0.6</v>
      </c>
      <c r="AO378" s="3">
        <v>0.3</v>
      </c>
      <c r="AP378" s="7">
        <v>1094.27063</v>
      </c>
      <c r="AQ378" s="3">
        <v>1.0999999999999999E-2</v>
      </c>
      <c r="AS378" s="3" t="s">
        <v>229</v>
      </c>
      <c r="AT378" s="3">
        <v>0.4</v>
      </c>
      <c r="AU378" s="6">
        <v>1049.172607</v>
      </c>
      <c r="AV378" s="3">
        <v>1E-3</v>
      </c>
      <c r="AW378" s="3">
        <f t="shared" si="42"/>
        <v>0.35</v>
      </c>
      <c r="AX378" s="5"/>
      <c r="AY378" s="5"/>
      <c r="AZ378" s="5"/>
      <c r="BA378" s="5"/>
      <c r="BB378" s="1"/>
      <c r="BC378" s="3" t="s">
        <v>229</v>
      </c>
      <c r="BD378" s="3">
        <v>0.9</v>
      </c>
      <c r="BE378" s="3">
        <v>0.5</v>
      </c>
      <c r="BF378" s="3">
        <v>0.6</v>
      </c>
      <c r="BG378" s="3">
        <v>0.3</v>
      </c>
      <c r="BH378" s="7">
        <v>1051.4392089999999</v>
      </c>
      <c r="BI378" s="3">
        <v>8.0000000000000002E-3</v>
      </c>
      <c r="BK378" s="3" t="s">
        <v>229</v>
      </c>
      <c r="BL378" s="3">
        <v>0.01</v>
      </c>
      <c r="BM378" s="6">
        <v>846.65295400000002</v>
      </c>
      <c r="BN378" s="3">
        <v>1E-3</v>
      </c>
      <c r="BO378" s="3">
        <f t="shared" si="43"/>
        <v>0.155</v>
      </c>
    </row>
    <row r="379" spans="1:67" x14ac:dyDescent="0.3">
      <c r="A379" s="3" t="s">
        <v>230</v>
      </c>
      <c r="B379" s="3">
        <v>0.9</v>
      </c>
      <c r="C379" s="3">
        <v>0.5</v>
      </c>
      <c r="D379" s="3">
        <v>0.6</v>
      </c>
      <c r="E379" s="3">
        <v>0.3</v>
      </c>
      <c r="F379" s="6">
        <v>719.83123799999998</v>
      </c>
      <c r="G379" s="3">
        <v>2E-3</v>
      </c>
      <c r="I379" s="3" t="s">
        <v>230</v>
      </c>
      <c r="J379" s="3">
        <v>0.56999999999999995</v>
      </c>
      <c r="K379" s="7">
        <v>784.59912099999997</v>
      </c>
      <c r="L379" s="3">
        <v>1E-3</v>
      </c>
      <c r="M379" s="3">
        <f t="shared" si="40"/>
        <v>0.43499999999999994</v>
      </c>
      <c r="N379" s="5"/>
      <c r="O379" s="5"/>
      <c r="P379" s="5"/>
      <c r="Q379" s="5"/>
      <c r="R379" s="1"/>
      <c r="S379" s="3" t="s">
        <v>230</v>
      </c>
      <c r="T379" s="3">
        <v>0.9</v>
      </c>
      <c r="U379" s="3">
        <v>0.5</v>
      </c>
      <c r="V379" s="3">
        <v>0.6</v>
      </c>
      <c r="W379" s="3">
        <v>0.3</v>
      </c>
      <c r="X379" s="7">
        <v>724.73187299999995</v>
      </c>
      <c r="Y379" s="3">
        <v>4.0000000000000001E-3</v>
      </c>
      <c r="AA379" s="3" t="s">
        <v>230</v>
      </c>
      <c r="AB379" s="3">
        <v>0.25</v>
      </c>
      <c r="AC379" s="6">
        <v>715.25018299999999</v>
      </c>
      <c r="AD379" s="3">
        <v>0</v>
      </c>
      <c r="AE379" s="3">
        <f t="shared" si="41"/>
        <v>0.27500000000000002</v>
      </c>
      <c r="AF379" s="5"/>
      <c r="AG379" s="5"/>
      <c r="AH379" s="5"/>
      <c r="AI379" s="5"/>
      <c r="AJ379" s="1"/>
      <c r="AK379" s="3" t="s">
        <v>231</v>
      </c>
      <c r="AL379" s="3">
        <v>0.9</v>
      </c>
      <c r="AM379" s="3">
        <v>0.5</v>
      </c>
      <c r="AN379" s="3">
        <v>0.6</v>
      </c>
      <c r="AO379" s="3">
        <v>0.3</v>
      </c>
      <c r="AP379" s="7">
        <v>968.31634499999996</v>
      </c>
      <c r="AQ379" s="3">
        <v>8.0000000000000002E-3</v>
      </c>
      <c r="AS379" s="3" t="s">
        <v>231</v>
      </c>
      <c r="AT379" s="3">
        <v>0.76</v>
      </c>
      <c r="AU379" s="7">
        <v>1157.730591</v>
      </c>
      <c r="AV379" s="3">
        <v>1E-3</v>
      </c>
      <c r="AW379" s="3">
        <f t="shared" si="42"/>
        <v>0.53</v>
      </c>
      <c r="AX379" s="5"/>
      <c r="AY379" s="5"/>
      <c r="AZ379" s="5"/>
      <c r="BA379" s="5"/>
      <c r="BB379" s="1"/>
      <c r="BC379" s="3" t="s">
        <v>231</v>
      </c>
      <c r="BD379" s="3">
        <v>0.9</v>
      </c>
      <c r="BE379" s="3">
        <v>0.5</v>
      </c>
      <c r="BF379" s="3">
        <v>0.6</v>
      </c>
      <c r="BG379" s="3">
        <v>0.3</v>
      </c>
      <c r="BH379" s="6">
        <v>946.57067900000004</v>
      </c>
      <c r="BI379" s="3">
        <v>8.0000000000000002E-3</v>
      </c>
      <c r="BK379" s="3" t="s">
        <v>231</v>
      </c>
      <c r="BL379" s="3">
        <v>0.44</v>
      </c>
      <c r="BM379" s="7">
        <v>1031.529419</v>
      </c>
      <c r="BN379" s="3">
        <v>2E-3</v>
      </c>
      <c r="BO379" s="3">
        <f t="shared" si="43"/>
        <v>0.37</v>
      </c>
    </row>
    <row r="380" spans="1:67" x14ac:dyDescent="0.3">
      <c r="A380" s="3" t="s">
        <v>232</v>
      </c>
      <c r="B380" s="3">
        <v>0.9</v>
      </c>
      <c r="C380" s="3">
        <v>0.5</v>
      </c>
      <c r="D380" s="3">
        <v>0.6</v>
      </c>
      <c r="E380" s="3">
        <v>0.3</v>
      </c>
      <c r="F380" s="6">
        <v>779.52960199999995</v>
      </c>
      <c r="G380" s="3">
        <v>3.0000000000000001E-3</v>
      </c>
      <c r="I380" s="3" t="s">
        <v>232</v>
      </c>
      <c r="J380" s="3">
        <v>0.37</v>
      </c>
      <c r="K380" s="7">
        <v>812.40679899999998</v>
      </c>
      <c r="L380" s="3">
        <v>1E-3</v>
      </c>
      <c r="M380" s="3">
        <f t="shared" si="40"/>
        <v>0.33499999999999996</v>
      </c>
      <c r="N380" s="5"/>
      <c r="O380" s="5"/>
      <c r="P380" s="5"/>
      <c r="Q380" s="5"/>
      <c r="R380" s="1"/>
      <c r="S380" s="3" t="s">
        <v>232</v>
      </c>
      <c r="T380" s="3">
        <v>0.9</v>
      </c>
      <c r="U380" s="3">
        <v>0.5</v>
      </c>
      <c r="V380" s="3">
        <v>0.6</v>
      </c>
      <c r="W380" s="3">
        <v>0.3</v>
      </c>
      <c r="X380" s="7">
        <v>765.20343000000003</v>
      </c>
      <c r="Y380" s="3">
        <v>3.0000000000000001E-3</v>
      </c>
      <c r="AA380" s="3" t="s">
        <v>232</v>
      </c>
      <c r="AB380" s="3">
        <v>0.19</v>
      </c>
      <c r="AC380" s="6">
        <v>727.39141800000004</v>
      </c>
      <c r="AD380" s="3">
        <v>0</v>
      </c>
      <c r="AE380" s="3">
        <f t="shared" si="41"/>
        <v>0.245</v>
      </c>
      <c r="AF380" s="5"/>
      <c r="AG380" s="5"/>
      <c r="AH380" s="5"/>
      <c r="AI380" s="5"/>
      <c r="AJ380" s="1"/>
      <c r="AK380" s="3" t="s">
        <v>233</v>
      </c>
      <c r="AL380" s="3">
        <v>0.9</v>
      </c>
      <c r="AM380" s="3">
        <v>0.5</v>
      </c>
      <c r="AN380" s="3">
        <v>0.6</v>
      </c>
      <c r="AO380" s="3">
        <v>0.3</v>
      </c>
      <c r="AP380" s="6">
        <v>1038.423096</v>
      </c>
      <c r="AQ380" s="3">
        <v>1.2E-2</v>
      </c>
      <c r="AS380" s="3" t="s">
        <v>233</v>
      </c>
      <c r="AT380" s="3">
        <v>0.26</v>
      </c>
      <c r="AU380" s="6">
        <v>998.30456500000003</v>
      </c>
      <c r="AV380" s="3">
        <v>1E-3</v>
      </c>
      <c r="AW380" s="3">
        <f t="shared" si="42"/>
        <v>0.28000000000000003</v>
      </c>
      <c r="AX380" s="5"/>
      <c r="AY380" s="5"/>
      <c r="AZ380" s="5"/>
      <c r="BA380" s="5"/>
      <c r="BB380" s="1"/>
      <c r="BC380" s="3" t="s">
        <v>233</v>
      </c>
      <c r="BD380" s="3">
        <v>0.9</v>
      </c>
      <c r="BE380" s="3">
        <v>0.5</v>
      </c>
      <c r="BF380" s="3">
        <v>0.6</v>
      </c>
      <c r="BG380" s="3">
        <v>0.3</v>
      </c>
      <c r="BH380" s="6">
        <v>988.76812700000005</v>
      </c>
      <c r="BI380" s="3">
        <v>8.0000000000000002E-3</v>
      </c>
      <c r="BK380" s="3" t="s">
        <v>233</v>
      </c>
      <c r="BL380" s="3">
        <v>0.72</v>
      </c>
      <c r="BM380" s="7">
        <v>1187.2895510000001</v>
      </c>
      <c r="BN380" s="3">
        <v>1E-3</v>
      </c>
      <c r="BO380" s="3">
        <f t="shared" si="43"/>
        <v>0.51</v>
      </c>
    </row>
    <row r="381" spans="1:67" x14ac:dyDescent="0.3">
      <c r="A381" s="3" t="s">
        <v>234</v>
      </c>
      <c r="B381" s="3">
        <v>0.9</v>
      </c>
      <c r="C381" s="3">
        <v>0.5</v>
      </c>
      <c r="D381" s="3">
        <v>0.6</v>
      </c>
      <c r="E381" s="3">
        <v>0.3</v>
      </c>
      <c r="F381" s="6">
        <v>731.55694600000004</v>
      </c>
      <c r="G381" s="3">
        <v>3.0000000000000001E-3</v>
      </c>
      <c r="I381" s="3" t="s">
        <v>234</v>
      </c>
      <c r="J381" s="3">
        <v>0.43</v>
      </c>
      <c r="K381" s="7">
        <v>782.68048099999999</v>
      </c>
      <c r="L381" s="3">
        <v>0</v>
      </c>
      <c r="M381" s="3">
        <f t="shared" si="40"/>
        <v>0.36499999999999999</v>
      </c>
      <c r="N381" s="5"/>
      <c r="O381" s="5"/>
      <c r="P381" s="5"/>
      <c r="Q381" s="5"/>
      <c r="R381" s="1"/>
      <c r="S381" s="3" t="s">
        <v>234</v>
      </c>
      <c r="T381" s="3">
        <v>0.9</v>
      </c>
      <c r="U381" s="3">
        <v>0.5</v>
      </c>
      <c r="V381" s="3">
        <v>0.6</v>
      </c>
      <c r="W381" s="3">
        <v>0.3</v>
      </c>
      <c r="X381" s="6">
        <v>726.13848900000005</v>
      </c>
      <c r="Y381" s="3">
        <v>3.0000000000000001E-3</v>
      </c>
      <c r="AA381" s="3" t="s">
        <v>234</v>
      </c>
      <c r="AB381" s="3">
        <v>0.41</v>
      </c>
      <c r="AC381" s="7">
        <v>757.92901600000005</v>
      </c>
      <c r="AD381" s="3">
        <v>1E-3</v>
      </c>
      <c r="AE381" s="3">
        <f t="shared" si="41"/>
        <v>0.35499999999999998</v>
      </c>
      <c r="AF381" s="5"/>
      <c r="AG381" s="5"/>
      <c r="AH381" s="5"/>
      <c r="AI381" s="5"/>
      <c r="AJ381" s="1"/>
      <c r="AK381" s="3" t="s">
        <v>235</v>
      </c>
      <c r="AL381" s="3">
        <v>0.9</v>
      </c>
      <c r="AM381" s="3">
        <v>0.5</v>
      </c>
      <c r="AN381" s="3">
        <v>0.6</v>
      </c>
      <c r="AO381" s="3">
        <v>0.3</v>
      </c>
      <c r="AP381" s="7">
        <v>1082.5665280000001</v>
      </c>
      <c r="AQ381" s="3">
        <v>1.4E-2</v>
      </c>
      <c r="AS381" s="3" t="s">
        <v>235</v>
      </c>
      <c r="AT381" s="3">
        <v>0.25</v>
      </c>
      <c r="AU381" s="6">
        <v>1050.084351</v>
      </c>
      <c r="AV381" s="3">
        <v>1E-3</v>
      </c>
      <c r="AW381" s="3">
        <f t="shared" si="42"/>
        <v>0.27500000000000002</v>
      </c>
      <c r="AX381" s="5"/>
      <c r="AY381" s="5"/>
      <c r="AZ381" s="5"/>
      <c r="BA381" s="5"/>
      <c r="BB381" s="1"/>
      <c r="BC381" s="3" t="s">
        <v>235</v>
      </c>
      <c r="BD381" s="3">
        <v>0.9</v>
      </c>
      <c r="BE381" s="3">
        <v>0.5</v>
      </c>
      <c r="BF381" s="3">
        <v>0.6</v>
      </c>
      <c r="BG381" s="3">
        <v>0.3</v>
      </c>
      <c r="BH381" s="6">
        <v>1070.9417719999999</v>
      </c>
      <c r="BI381" s="3">
        <v>1.4E-2</v>
      </c>
      <c r="BK381" s="3" t="s">
        <v>235</v>
      </c>
      <c r="BL381" s="3">
        <v>0.44</v>
      </c>
      <c r="BM381" s="7">
        <v>1157.3955080000001</v>
      </c>
      <c r="BN381" s="3">
        <v>1E-3</v>
      </c>
      <c r="BO381" s="3">
        <f t="shared" si="43"/>
        <v>0.37</v>
      </c>
    </row>
    <row r="382" spans="1:67" x14ac:dyDescent="0.3">
      <c r="A382" s="3" t="s">
        <v>236</v>
      </c>
      <c r="B382" s="3">
        <v>0.9</v>
      </c>
      <c r="C382" s="3">
        <v>0.5</v>
      </c>
      <c r="D382" s="3">
        <v>0.6</v>
      </c>
      <c r="E382" s="3">
        <v>0.3</v>
      </c>
      <c r="F382" s="6">
        <v>753.32720900000004</v>
      </c>
      <c r="G382" s="3">
        <v>4.0000000000000001E-3</v>
      </c>
      <c r="I382" s="3" t="s">
        <v>236</v>
      </c>
      <c r="J382" s="3">
        <v>0.33</v>
      </c>
      <c r="K382" s="7">
        <v>755.92913799999997</v>
      </c>
      <c r="L382" s="3">
        <v>0</v>
      </c>
      <c r="M382" s="3">
        <f t="shared" si="40"/>
        <v>0.315</v>
      </c>
      <c r="N382" s="5"/>
      <c r="O382" s="5"/>
      <c r="P382" s="5"/>
      <c r="Q382" s="5"/>
      <c r="R382" s="1"/>
      <c r="S382" s="3" t="s">
        <v>236</v>
      </c>
      <c r="T382" s="3">
        <v>0.9</v>
      </c>
      <c r="U382" s="3">
        <v>0.5</v>
      </c>
      <c r="V382" s="3">
        <v>0.6</v>
      </c>
      <c r="W382" s="3">
        <v>0.3</v>
      </c>
      <c r="X382" s="6">
        <v>736.35382100000004</v>
      </c>
      <c r="Y382" s="3">
        <v>3.0000000000000001E-3</v>
      </c>
      <c r="AA382" s="3" t="s">
        <v>236</v>
      </c>
      <c r="AB382" s="3">
        <v>0.86</v>
      </c>
      <c r="AC382" s="7">
        <v>954.22772199999997</v>
      </c>
      <c r="AD382" s="3">
        <v>1E-3</v>
      </c>
      <c r="AE382" s="3">
        <f t="shared" si="41"/>
        <v>0.57999999999999996</v>
      </c>
      <c r="AF382" s="5"/>
      <c r="AG382" s="5"/>
      <c r="AH382" s="5"/>
      <c r="AI382" s="5"/>
      <c r="AJ382" s="1"/>
      <c r="AK382" s="3" t="s">
        <v>237</v>
      </c>
      <c r="AL382" s="3">
        <v>0.9</v>
      </c>
      <c r="AM382" s="3">
        <v>0.5</v>
      </c>
      <c r="AN382" s="3">
        <v>0.6</v>
      </c>
      <c r="AO382" s="3">
        <v>0.3</v>
      </c>
      <c r="AP382" s="6">
        <v>1092.003784</v>
      </c>
      <c r="AQ382" s="3">
        <v>1.2E-2</v>
      </c>
      <c r="AS382" s="3" t="s">
        <v>237</v>
      </c>
      <c r="AT382" s="3">
        <v>0.67</v>
      </c>
      <c r="AU382" s="7">
        <v>1270.3781739999999</v>
      </c>
      <c r="AV382" s="3">
        <v>1E-3</v>
      </c>
      <c r="AW382" s="3">
        <f t="shared" si="42"/>
        <v>0.48499999999999999</v>
      </c>
      <c r="AX382" s="5"/>
      <c r="AY382" s="5"/>
      <c r="AZ382" s="5"/>
      <c r="BA382" s="5"/>
      <c r="BB382" s="1"/>
      <c r="BC382" s="3" t="s">
        <v>237</v>
      </c>
      <c r="BD382" s="3">
        <v>0.9</v>
      </c>
      <c r="BE382" s="3">
        <v>0.5</v>
      </c>
      <c r="BF382" s="3">
        <v>0.6</v>
      </c>
      <c r="BG382" s="3">
        <v>0.3</v>
      </c>
      <c r="BH382" s="6">
        <v>1089.5878909999999</v>
      </c>
      <c r="BI382" s="3">
        <v>1.9E-2</v>
      </c>
      <c r="BK382" s="3" t="s">
        <v>237</v>
      </c>
      <c r="BL382" s="3">
        <v>0.91</v>
      </c>
      <c r="BM382" s="7">
        <v>1354.997437</v>
      </c>
      <c r="BN382" s="3">
        <v>2E-3</v>
      </c>
      <c r="BO382" s="3">
        <f t="shared" si="43"/>
        <v>0.60499999999999998</v>
      </c>
    </row>
    <row r="383" spans="1:67" x14ac:dyDescent="0.3">
      <c r="A383" s="3" t="s">
        <v>238</v>
      </c>
      <c r="B383" s="3">
        <v>0.9</v>
      </c>
      <c r="C383" s="3">
        <v>0.5</v>
      </c>
      <c r="D383" s="3">
        <v>0.6</v>
      </c>
      <c r="E383" s="3">
        <v>0.3</v>
      </c>
      <c r="F383" s="7">
        <v>738.862976</v>
      </c>
      <c r="G383" s="3">
        <v>4.0000000000000001E-3</v>
      </c>
      <c r="I383" s="3" t="s">
        <v>238</v>
      </c>
      <c r="J383" s="3">
        <v>0.05</v>
      </c>
      <c r="K383" s="6">
        <v>672.63800000000003</v>
      </c>
      <c r="L383" s="3">
        <v>0</v>
      </c>
      <c r="M383" s="3">
        <f t="shared" si="40"/>
        <v>0.17499999999999999</v>
      </c>
      <c r="N383" s="5"/>
      <c r="O383" s="5"/>
      <c r="P383" s="5"/>
      <c r="Q383" s="5"/>
      <c r="R383" s="1"/>
      <c r="S383" s="3" t="s">
        <v>238</v>
      </c>
      <c r="T383" s="3">
        <v>0.9</v>
      </c>
      <c r="U383" s="3">
        <v>0.5</v>
      </c>
      <c r="V383" s="3">
        <v>0.6</v>
      </c>
      <c r="W383" s="3">
        <v>0.3</v>
      </c>
      <c r="X383" s="7">
        <v>723.82745399999999</v>
      </c>
      <c r="Y383" s="3">
        <v>4.0000000000000001E-3</v>
      </c>
      <c r="AA383" s="3" t="s">
        <v>238</v>
      </c>
      <c r="AB383" s="3">
        <v>0</v>
      </c>
      <c r="AC383" s="6">
        <v>704.00164800000005</v>
      </c>
      <c r="AD383" s="3">
        <v>0</v>
      </c>
      <c r="AE383" s="3">
        <f t="shared" si="41"/>
        <v>0.15</v>
      </c>
      <c r="AF383" s="5"/>
      <c r="AG383" s="5"/>
      <c r="AH383" s="5"/>
      <c r="AI383" s="5"/>
      <c r="AJ383" s="1"/>
      <c r="AK383" s="3" t="s">
        <v>239</v>
      </c>
      <c r="AL383" s="3">
        <v>0.9</v>
      </c>
      <c r="AM383" s="3">
        <v>0.5</v>
      </c>
      <c r="AN383" s="3">
        <v>0.6</v>
      </c>
      <c r="AO383" s="3">
        <v>0.3</v>
      </c>
      <c r="AP383" s="6">
        <v>1138.068481</v>
      </c>
      <c r="AQ383" s="3">
        <v>1.4999999999999999E-2</v>
      </c>
      <c r="AS383" s="3" t="s">
        <v>239</v>
      </c>
      <c r="AT383" s="3">
        <v>0.85</v>
      </c>
      <c r="AU383" s="7">
        <v>1453.205811</v>
      </c>
      <c r="AV383" s="3">
        <v>1E-3</v>
      </c>
      <c r="AW383" s="3">
        <f t="shared" si="42"/>
        <v>0.57499999999999996</v>
      </c>
      <c r="AX383" s="5"/>
      <c r="AY383" s="5"/>
      <c r="AZ383" s="5"/>
      <c r="BA383" s="5"/>
      <c r="BB383" s="1"/>
      <c r="BC383" s="3" t="s">
        <v>239</v>
      </c>
      <c r="BD383" s="3">
        <v>0.9</v>
      </c>
      <c r="BE383" s="3">
        <v>0.5</v>
      </c>
      <c r="BF383" s="3">
        <v>0.6</v>
      </c>
      <c r="BG383" s="3">
        <v>0.3</v>
      </c>
      <c r="BH383" s="6">
        <v>1136.320068</v>
      </c>
      <c r="BI383" s="3">
        <v>1.0999999999999999E-2</v>
      </c>
      <c r="BK383" s="3" t="s">
        <v>239</v>
      </c>
      <c r="BL383" s="3">
        <v>0.32</v>
      </c>
      <c r="BM383" s="7">
        <v>1122.9951169999999</v>
      </c>
      <c r="BN383" s="3">
        <v>4.0000000000000001E-3</v>
      </c>
      <c r="BO383" s="3">
        <f t="shared" si="43"/>
        <v>0.31</v>
      </c>
    </row>
    <row r="384" spans="1:67" x14ac:dyDescent="0.3">
      <c r="A384" s="3" t="s">
        <v>240</v>
      </c>
      <c r="B384" s="3">
        <v>0.9</v>
      </c>
      <c r="C384" s="3">
        <v>0.5</v>
      </c>
      <c r="D384" s="3">
        <v>0.6</v>
      </c>
      <c r="E384" s="3">
        <v>0.3</v>
      </c>
      <c r="F384" s="6">
        <v>709.969604</v>
      </c>
      <c r="G384" s="3">
        <v>3.0000000000000001E-3</v>
      </c>
      <c r="I384" s="3" t="s">
        <v>240</v>
      </c>
      <c r="J384" s="3">
        <v>0.5</v>
      </c>
      <c r="K384" s="7">
        <v>784.80578600000001</v>
      </c>
      <c r="L384" s="3">
        <v>0</v>
      </c>
      <c r="M384" s="3">
        <f t="shared" si="40"/>
        <v>0.4</v>
      </c>
      <c r="N384" s="5"/>
      <c r="O384" s="5"/>
      <c r="P384" s="5"/>
      <c r="Q384" s="5"/>
      <c r="R384" s="1"/>
      <c r="S384" s="3" t="s">
        <v>240</v>
      </c>
      <c r="T384" s="3">
        <v>0.9</v>
      </c>
      <c r="U384" s="3">
        <v>0.5</v>
      </c>
      <c r="V384" s="3">
        <v>0.6</v>
      </c>
      <c r="W384" s="3">
        <v>0.3</v>
      </c>
      <c r="X384" s="6">
        <v>709.32336399999997</v>
      </c>
      <c r="Y384" s="3">
        <v>4.0000000000000001E-3</v>
      </c>
      <c r="AA384" s="3" t="s">
        <v>240</v>
      </c>
      <c r="AB384" s="3">
        <v>0.95</v>
      </c>
      <c r="AC384" s="7">
        <v>893.42596400000002</v>
      </c>
      <c r="AD384" s="3">
        <v>1E-3</v>
      </c>
      <c r="AE384" s="3">
        <f t="shared" si="41"/>
        <v>0.625</v>
      </c>
      <c r="AF384" s="5"/>
      <c r="AG384" s="5"/>
      <c r="AH384" s="5"/>
      <c r="AI384" s="5"/>
      <c r="AJ384" s="1"/>
      <c r="AK384" s="3" t="s">
        <v>241</v>
      </c>
      <c r="AL384" s="3">
        <v>0.9</v>
      </c>
      <c r="AM384" s="3">
        <v>0.5</v>
      </c>
      <c r="AN384" s="3">
        <v>0.6</v>
      </c>
      <c r="AO384" s="3">
        <v>0.3</v>
      </c>
      <c r="AP384" s="6">
        <v>1078.2054439999999</v>
      </c>
      <c r="AQ384" s="3">
        <v>8.9999999999999993E-3</v>
      </c>
      <c r="AS384" s="3" t="s">
        <v>241</v>
      </c>
      <c r="AT384" s="3">
        <v>0.56999999999999995</v>
      </c>
      <c r="AU384" s="7">
        <v>1205.821533</v>
      </c>
      <c r="AV384" s="3">
        <v>1E-3</v>
      </c>
      <c r="AW384" s="3">
        <f t="shared" si="42"/>
        <v>0.43499999999999994</v>
      </c>
      <c r="AX384" s="5"/>
      <c r="AY384" s="5"/>
      <c r="AZ384" s="5"/>
      <c r="BA384" s="5"/>
      <c r="BB384" s="1"/>
      <c r="BC384" s="3" t="s">
        <v>241</v>
      </c>
      <c r="BD384" s="3">
        <v>0.9</v>
      </c>
      <c r="BE384" s="3">
        <v>0.5</v>
      </c>
      <c r="BF384" s="3">
        <v>0.6</v>
      </c>
      <c r="BG384" s="3">
        <v>0.3</v>
      </c>
      <c r="BH384" s="6">
        <v>1055.713379</v>
      </c>
      <c r="BI384" s="3">
        <v>8.9999999999999993E-3</v>
      </c>
      <c r="BK384" s="3" t="s">
        <v>241</v>
      </c>
      <c r="BL384" s="3">
        <v>0.79</v>
      </c>
      <c r="BM384" s="7">
        <v>1283.784058</v>
      </c>
      <c r="BN384" s="3">
        <v>2E-3</v>
      </c>
      <c r="BO384" s="3">
        <f t="shared" si="43"/>
        <v>0.54500000000000004</v>
      </c>
    </row>
    <row r="385" spans="1:71" x14ac:dyDescent="0.3">
      <c r="A385" s="3" t="s">
        <v>242</v>
      </c>
      <c r="B385" s="3">
        <v>0.9</v>
      </c>
      <c r="C385" s="3">
        <v>0.5</v>
      </c>
      <c r="D385" s="3">
        <v>0.6</v>
      </c>
      <c r="E385" s="3">
        <v>0.3</v>
      </c>
      <c r="F385" s="6">
        <v>716.10992399999998</v>
      </c>
      <c r="G385" s="3">
        <v>3.0000000000000001E-3</v>
      </c>
      <c r="I385" s="3" t="s">
        <v>242</v>
      </c>
      <c r="J385" s="3">
        <v>0.74</v>
      </c>
      <c r="K385" s="7">
        <v>895.13879399999996</v>
      </c>
      <c r="L385" s="3">
        <v>1E-3</v>
      </c>
      <c r="M385" s="3">
        <f t="shared" si="40"/>
        <v>0.52</v>
      </c>
      <c r="N385" s="5"/>
      <c r="O385" s="5"/>
      <c r="P385" s="5"/>
      <c r="Q385" s="5"/>
      <c r="R385" s="1"/>
      <c r="S385" s="3" t="s">
        <v>242</v>
      </c>
      <c r="T385" s="3">
        <v>0.9</v>
      </c>
      <c r="U385" s="3">
        <v>0.5</v>
      </c>
      <c r="V385" s="3">
        <v>0.6</v>
      </c>
      <c r="W385" s="3">
        <v>0.3</v>
      </c>
      <c r="X385" s="6">
        <v>705.05310099999997</v>
      </c>
      <c r="Y385" s="3">
        <v>2E-3</v>
      </c>
      <c r="AA385" s="3" t="s">
        <v>242</v>
      </c>
      <c r="AB385" s="3">
        <v>0.48</v>
      </c>
      <c r="AC385" s="7">
        <v>749.59295699999996</v>
      </c>
      <c r="AD385" s="3">
        <v>0</v>
      </c>
      <c r="AE385" s="3">
        <f t="shared" si="41"/>
        <v>0.39</v>
      </c>
      <c r="AF385" s="5"/>
      <c r="AG385" s="5"/>
      <c r="AH385" s="5"/>
      <c r="AI385" s="5"/>
      <c r="AJ385" s="1"/>
      <c r="AK385" s="3" t="s">
        <v>243</v>
      </c>
      <c r="AL385" s="3">
        <v>0.9</v>
      </c>
      <c r="AM385" s="3">
        <v>0.5</v>
      </c>
      <c r="AN385" s="3">
        <v>0.6</v>
      </c>
      <c r="AO385" s="3">
        <v>0.3</v>
      </c>
      <c r="AP385" s="6">
        <v>1183.1057129999999</v>
      </c>
      <c r="AQ385" s="3">
        <v>2.3E-2</v>
      </c>
      <c r="AS385" s="3" t="s">
        <v>243</v>
      </c>
      <c r="AT385" s="3">
        <v>0.54</v>
      </c>
      <c r="AU385" s="7">
        <v>1368.169312</v>
      </c>
      <c r="AV385" s="3">
        <v>1E-3</v>
      </c>
      <c r="AW385" s="3">
        <f t="shared" si="42"/>
        <v>0.42000000000000004</v>
      </c>
      <c r="AX385" s="5"/>
      <c r="AY385" s="5"/>
      <c r="AZ385" s="5"/>
      <c r="BA385" s="5"/>
      <c r="BB385" s="1"/>
      <c r="BC385" s="3" t="s">
        <v>243</v>
      </c>
      <c r="BD385" s="3">
        <v>0.9</v>
      </c>
      <c r="BE385" s="3">
        <v>0.5</v>
      </c>
      <c r="BF385" s="3">
        <v>0.6</v>
      </c>
      <c r="BG385" s="3">
        <v>0.3</v>
      </c>
      <c r="BH385" s="7">
        <v>1166.8808590000001</v>
      </c>
      <c r="BI385" s="3">
        <v>1.0999999999999999E-2</v>
      </c>
      <c r="BK385" s="3" t="s">
        <v>243</v>
      </c>
      <c r="BL385" s="3">
        <v>0.26</v>
      </c>
      <c r="BM385" s="6">
        <v>1118.256226</v>
      </c>
      <c r="BN385" s="3">
        <v>2E-3</v>
      </c>
      <c r="BO385" s="3">
        <f t="shared" si="43"/>
        <v>0.28000000000000003</v>
      </c>
    </row>
    <row r="386" spans="1:71" x14ac:dyDescent="0.3">
      <c r="A386" s="3" t="s">
        <v>244</v>
      </c>
      <c r="B386" s="3">
        <v>0.9</v>
      </c>
      <c r="C386" s="3">
        <v>0.5</v>
      </c>
      <c r="D386" s="3">
        <v>0.6</v>
      </c>
      <c r="E386" s="3">
        <v>0.3</v>
      </c>
      <c r="F386" s="6">
        <v>708.62890600000003</v>
      </c>
      <c r="G386" s="3">
        <v>3.0000000000000001E-3</v>
      </c>
      <c r="I386" s="3" t="s">
        <v>244</v>
      </c>
      <c r="J386" s="3">
        <v>0.83</v>
      </c>
      <c r="K386" s="7">
        <v>862.22906499999999</v>
      </c>
      <c r="L386" s="3">
        <v>0</v>
      </c>
      <c r="M386" s="3">
        <f t="shared" si="40"/>
        <v>0.56499999999999995</v>
      </c>
      <c r="N386" s="5"/>
      <c r="O386" s="5"/>
      <c r="P386" s="5"/>
      <c r="Q386" s="5"/>
      <c r="R386" s="1"/>
      <c r="S386" s="3" t="s">
        <v>244</v>
      </c>
      <c r="T386" s="3">
        <v>0.9</v>
      </c>
      <c r="U386" s="3">
        <v>0.5</v>
      </c>
      <c r="V386" s="3">
        <v>0.6</v>
      </c>
      <c r="W386" s="3">
        <v>0.3</v>
      </c>
      <c r="X386" s="7">
        <v>718.08758499999999</v>
      </c>
      <c r="Y386" s="3">
        <v>4.0000000000000001E-3</v>
      </c>
      <c r="AA386" s="3" t="s">
        <v>244</v>
      </c>
      <c r="AB386" s="3">
        <v>0.19</v>
      </c>
      <c r="AC386" s="6">
        <v>675.15490699999998</v>
      </c>
      <c r="AD386" s="3">
        <v>0</v>
      </c>
      <c r="AE386" s="3">
        <f t="shared" si="41"/>
        <v>0.245</v>
      </c>
      <c r="AF386" s="5"/>
      <c r="AG386" s="5"/>
      <c r="AH386" s="5"/>
      <c r="AI386" s="5"/>
      <c r="AJ386" s="1"/>
      <c r="AK386" s="3" t="s">
        <v>245</v>
      </c>
      <c r="AL386" s="3">
        <v>0.9</v>
      </c>
      <c r="AM386" s="3">
        <v>0.5</v>
      </c>
      <c r="AN386" s="3">
        <v>0.6</v>
      </c>
      <c r="AO386" s="3">
        <v>0.3</v>
      </c>
      <c r="AP386" s="7">
        <v>1160.4848629999999</v>
      </c>
      <c r="AQ386" s="3">
        <v>1.4E-2</v>
      </c>
      <c r="AS386" s="3" t="s">
        <v>245</v>
      </c>
      <c r="AT386" s="3">
        <v>0.01</v>
      </c>
      <c r="AU386" s="6">
        <v>954.63903800000003</v>
      </c>
      <c r="AV386" s="3">
        <v>1E-3</v>
      </c>
      <c r="AW386" s="3">
        <f t="shared" si="42"/>
        <v>0.155</v>
      </c>
      <c r="AX386" s="5"/>
      <c r="AY386" s="5"/>
      <c r="AZ386" s="5"/>
      <c r="BA386" s="5"/>
      <c r="BB386" s="1"/>
      <c r="BC386" s="3" t="s">
        <v>245</v>
      </c>
      <c r="BD386" s="3">
        <v>0.9</v>
      </c>
      <c r="BE386" s="3">
        <v>0.5</v>
      </c>
      <c r="BF386" s="3">
        <v>0.6</v>
      </c>
      <c r="BG386" s="3">
        <v>0.3</v>
      </c>
      <c r="BH386" s="6">
        <v>1161.6685789999999</v>
      </c>
      <c r="BI386" s="3">
        <v>1.2E-2</v>
      </c>
      <c r="BK386" s="3" t="s">
        <v>245</v>
      </c>
      <c r="BL386" s="3">
        <v>0.62</v>
      </c>
      <c r="BM386" s="7">
        <v>1380.044678</v>
      </c>
      <c r="BN386" s="3">
        <v>1E-3</v>
      </c>
      <c r="BO386" s="3">
        <f t="shared" si="43"/>
        <v>0.45999999999999996</v>
      </c>
    </row>
    <row r="387" spans="1:71" x14ac:dyDescent="0.3">
      <c r="A387" s="3" t="s">
        <v>246</v>
      </c>
      <c r="B387" s="3">
        <v>0.9</v>
      </c>
      <c r="C387" s="3">
        <v>0.5</v>
      </c>
      <c r="D387" s="3">
        <v>0.6</v>
      </c>
      <c r="E387" s="3">
        <v>0.3</v>
      </c>
      <c r="F387" s="6">
        <v>710.27606200000002</v>
      </c>
      <c r="G387" s="3">
        <v>3.0000000000000001E-3</v>
      </c>
      <c r="I387" s="3" t="s">
        <v>246</v>
      </c>
      <c r="J387" s="3">
        <v>0.77</v>
      </c>
      <c r="K387" s="7">
        <v>906.68627900000001</v>
      </c>
      <c r="L387" s="3">
        <v>1E-3</v>
      </c>
      <c r="M387" s="3">
        <f t="shared" si="40"/>
        <v>0.53500000000000003</v>
      </c>
      <c r="N387" s="5"/>
      <c r="O387" s="5"/>
      <c r="P387" s="5"/>
      <c r="Q387" s="5"/>
      <c r="R387" s="1"/>
      <c r="S387" s="3" t="s">
        <v>246</v>
      </c>
      <c r="T387" s="3">
        <v>0.9</v>
      </c>
      <c r="U387" s="3">
        <v>0.5</v>
      </c>
      <c r="V387" s="3">
        <v>0.6</v>
      </c>
      <c r="W387" s="3">
        <v>0.3</v>
      </c>
      <c r="X387" s="6">
        <v>710.20068400000002</v>
      </c>
      <c r="Y387" s="3">
        <v>3.0000000000000001E-3</v>
      </c>
      <c r="AA387" s="3" t="s">
        <v>246</v>
      </c>
      <c r="AB387" s="3">
        <v>0.37</v>
      </c>
      <c r="AC387" s="7">
        <v>726.20636000000002</v>
      </c>
      <c r="AD387" s="3">
        <v>1E-3</v>
      </c>
      <c r="AE387" s="3">
        <f t="shared" si="41"/>
        <v>0.33499999999999996</v>
      </c>
      <c r="AF387" s="5"/>
      <c r="AG387" s="5"/>
      <c r="AH387" s="5"/>
      <c r="AI387" s="5"/>
      <c r="AJ387" s="1"/>
      <c r="AK387" s="3" t="s">
        <v>247</v>
      </c>
      <c r="AL387" s="3">
        <v>0.9</v>
      </c>
      <c r="AM387" s="3">
        <v>0.5</v>
      </c>
      <c r="AN387" s="3">
        <v>0.6</v>
      </c>
      <c r="AO387" s="3">
        <v>0.3</v>
      </c>
      <c r="AP387" s="6">
        <v>1037.850952</v>
      </c>
      <c r="AQ387" s="3">
        <v>0.01</v>
      </c>
      <c r="AS387" s="3" t="s">
        <v>247</v>
      </c>
      <c r="AT387" s="3">
        <v>0.45</v>
      </c>
      <c r="AU387" s="7">
        <v>1125.1008300000001</v>
      </c>
      <c r="AV387" s="3">
        <v>1E-3</v>
      </c>
      <c r="AW387" s="3">
        <f t="shared" si="42"/>
        <v>0.375</v>
      </c>
      <c r="AX387" s="5"/>
      <c r="AY387" s="5"/>
      <c r="AZ387" s="5"/>
      <c r="BA387" s="5"/>
      <c r="BB387" s="1"/>
      <c r="BC387" s="3" t="s">
        <v>247</v>
      </c>
      <c r="BD387" s="3">
        <v>0.9</v>
      </c>
      <c r="BE387" s="3">
        <v>0.5</v>
      </c>
      <c r="BF387" s="3">
        <v>0.6</v>
      </c>
      <c r="BG387" s="3">
        <v>0.3</v>
      </c>
      <c r="BH387" s="6">
        <v>1025.4229740000001</v>
      </c>
      <c r="BI387" s="3">
        <v>8.0000000000000002E-3</v>
      </c>
      <c r="BK387" s="3" t="s">
        <v>247</v>
      </c>
      <c r="BL387" s="3">
        <v>0.55000000000000004</v>
      </c>
      <c r="BM387" s="7">
        <v>1150.139404</v>
      </c>
      <c r="BN387" s="3">
        <v>1E-3</v>
      </c>
      <c r="BO387" s="3">
        <f t="shared" si="43"/>
        <v>0.42500000000000004</v>
      </c>
    </row>
    <row r="388" spans="1:71" x14ac:dyDescent="0.3">
      <c r="A388" s="3" t="s">
        <v>248</v>
      </c>
      <c r="B388" s="3">
        <v>0.9</v>
      </c>
      <c r="C388" s="3">
        <v>0.5</v>
      </c>
      <c r="D388" s="3">
        <v>0.6</v>
      </c>
      <c r="E388" s="3">
        <v>0.3</v>
      </c>
      <c r="F388" s="6">
        <v>748.12725799999998</v>
      </c>
      <c r="G388" s="3">
        <v>3.0000000000000001E-3</v>
      </c>
      <c r="I388" s="3" t="s">
        <v>248</v>
      </c>
      <c r="J388" s="3">
        <v>0.84</v>
      </c>
      <c r="K388" s="7">
        <v>937.14868200000001</v>
      </c>
      <c r="L388" s="3">
        <v>1E-3</v>
      </c>
      <c r="M388" s="3">
        <f t="shared" si="40"/>
        <v>0.56999999999999995</v>
      </c>
      <c r="N388" s="5"/>
      <c r="O388" s="5"/>
      <c r="P388" s="5"/>
      <c r="Q388" s="5"/>
      <c r="R388" s="1"/>
      <c r="S388" s="3" t="s">
        <v>248</v>
      </c>
      <c r="T388" s="3">
        <v>0.9</v>
      </c>
      <c r="U388" s="3">
        <v>0.5</v>
      </c>
      <c r="V388" s="3">
        <v>0.6</v>
      </c>
      <c r="W388" s="3">
        <v>0.3</v>
      </c>
      <c r="X388" s="6">
        <v>749.39605700000004</v>
      </c>
      <c r="Y388" s="3">
        <v>4.0000000000000001E-3</v>
      </c>
      <c r="AA388" s="3" t="s">
        <v>248</v>
      </c>
      <c r="AB388" s="3">
        <v>0.83</v>
      </c>
      <c r="AC388" s="7">
        <v>931.55377199999998</v>
      </c>
      <c r="AD388" s="3">
        <v>1E-3</v>
      </c>
      <c r="AE388" s="3">
        <f t="shared" si="41"/>
        <v>0.56499999999999995</v>
      </c>
      <c r="AF388" s="5"/>
      <c r="AG388" s="5"/>
      <c r="AH388" s="5"/>
      <c r="AI388" s="5"/>
      <c r="AJ388" s="1"/>
      <c r="AK388" s="3" t="s">
        <v>249</v>
      </c>
      <c r="AL388" s="3">
        <v>0.9</v>
      </c>
      <c r="AM388" s="3">
        <v>0.5</v>
      </c>
      <c r="AN388" s="3">
        <v>0.6</v>
      </c>
      <c r="AO388" s="3">
        <v>0.3</v>
      </c>
      <c r="AP388" s="6">
        <v>1125.3458250000001</v>
      </c>
      <c r="AQ388" s="3">
        <v>1.2999999999999999E-2</v>
      </c>
      <c r="AS388" s="3" t="s">
        <v>249</v>
      </c>
      <c r="AT388" s="3">
        <v>0.93</v>
      </c>
      <c r="AU388" s="7">
        <v>1455.365112</v>
      </c>
      <c r="AV388" s="3">
        <v>1E-3</v>
      </c>
      <c r="AW388" s="3">
        <f t="shared" si="42"/>
        <v>0.61499999999999999</v>
      </c>
      <c r="AX388" s="5"/>
      <c r="AY388" s="5"/>
      <c r="AZ388" s="5"/>
      <c r="BA388" s="5"/>
      <c r="BB388" s="1"/>
      <c r="BC388" s="3" t="s">
        <v>249</v>
      </c>
      <c r="BD388" s="3">
        <v>0.9</v>
      </c>
      <c r="BE388" s="3">
        <v>0.5</v>
      </c>
      <c r="BF388" s="3">
        <v>0.6</v>
      </c>
      <c r="BG388" s="3">
        <v>0.3</v>
      </c>
      <c r="BH388" s="6">
        <v>1109.891357</v>
      </c>
      <c r="BI388" s="3">
        <v>0.01</v>
      </c>
      <c r="BK388" s="3" t="s">
        <v>249</v>
      </c>
      <c r="BL388" s="3">
        <v>0.69</v>
      </c>
      <c r="BM388" s="7">
        <v>1311.1252440000001</v>
      </c>
      <c r="BN388" s="3">
        <v>1E-3</v>
      </c>
      <c r="BO388" s="3">
        <f t="shared" si="43"/>
        <v>0.495</v>
      </c>
    </row>
    <row r="389" spans="1:71" x14ac:dyDescent="0.3">
      <c r="A389" s="3" t="s">
        <v>250</v>
      </c>
      <c r="B389" s="3">
        <v>0.9</v>
      </c>
      <c r="C389" s="3">
        <v>0.5</v>
      </c>
      <c r="D389" s="3">
        <v>0.6</v>
      </c>
      <c r="E389" s="3">
        <v>0.3</v>
      </c>
      <c r="F389" s="6">
        <v>757.387024</v>
      </c>
      <c r="G389" s="3">
        <v>3.0000000000000001E-3</v>
      </c>
      <c r="I389" s="3" t="s">
        <v>250</v>
      </c>
      <c r="J389" s="3">
        <v>0.99</v>
      </c>
      <c r="K389" s="7">
        <v>912.73205600000006</v>
      </c>
      <c r="L389" s="3">
        <v>1E-3</v>
      </c>
      <c r="M389" s="3">
        <f t="shared" si="40"/>
        <v>0.64500000000000002</v>
      </c>
      <c r="N389" s="5"/>
      <c r="O389" s="5"/>
      <c r="P389" s="5"/>
      <c r="Q389" s="5"/>
      <c r="R389" s="1"/>
      <c r="S389" s="3" t="s">
        <v>250</v>
      </c>
      <c r="T389" s="3">
        <v>0.9</v>
      </c>
      <c r="U389" s="3">
        <v>0.5</v>
      </c>
      <c r="V389" s="3">
        <v>0.6</v>
      </c>
      <c r="W389" s="3">
        <v>0.3</v>
      </c>
      <c r="X389" s="6">
        <v>738.92260699999997</v>
      </c>
      <c r="Y389" s="3">
        <v>3.0000000000000001E-3</v>
      </c>
      <c r="AA389" s="3" t="s">
        <v>250</v>
      </c>
      <c r="AB389" s="3">
        <v>0.01</v>
      </c>
      <c r="AC389" s="7">
        <v>765.13482699999997</v>
      </c>
      <c r="AD389" s="3">
        <v>0</v>
      </c>
      <c r="AE389" s="3">
        <f t="shared" si="41"/>
        <v>0.155</v>
      </c>
      <c r="AF389" s="5"/>
      <c r="AG389" s="5"/>
      <c r="AH389" s="5"/>
      <c r="AI389" s="5"/>
      <c r="AJ389" s="1"/>
      <c r="AK389" s="3" t="s">
        <v>251</v>
      </c>
      <c r="AL389" s="3">
        <v>0.9</v>
      </c>
      <c r="AM389" s="3">
        <v>0.5</v>
      </c>
      <c r="AN389" s="3">
        <v>0.6</v>
      </c>
      <c r="AO389" s="3">
        <v>0.3</v>
      </c>
      <c r="AP389" s="7">
        <v>1135.869751</v>
      </c>
      <c r="AQ389" s="3">
        <v>0.01</v>
      </c>
      <c r="AS389" s="3" t="s">
        <v>251</v>
      </c>
      <c r="AT389" s="3">
        <v>7.0000000000000007E-2</v>
      </c>
      <c r="AU389" s="6">
        <v>970.21093800000006</v>
      </c>
      <c r="AV389" s="3">
        <v>0</v>
      </c>
      <c r="AW389" s="3">
        <f t="shared" si="42"/>
        <v>0.185</v>
      </c>
      <c r="AX389" s="5"/>
      <c r="AY389" s="5"/>
      <c r="AZ389" s="5"/>
      <c r="BA389" s="5"/>
      <c r="BB389" s="1"/>
      <c r="BC389" s="3" t="s">
        <v>251</v>
      </c>
      <c r="BD389" s="3">
        <v>0.9</v>
      </c>
      <c r="BE389" s="3">
        <v>0.5</v>
      </c>
      <c r="BF389" s="3">
        <v>0.6</v>
      </c>
      <c r="BG389" s="3">
        <v>0.3</v>
      </c>
      <c r="BH389" s="6">
        <v>1092.8017580000001</v>
      </c>
      <c r="BI389" s="3">
        <v>8.9999999999999993E-3</v>
      </c>
      <c r="BK389" s="3" t="s">
        <v>251</v>
      </c>
      <c r="BL389" s="3">
        <v>0.34</v>
      </c>
      <c r="BM389" s="7">
        <v>1095.521362</v>
      </c>
      <c r="BN389" s="3">
        <v>0</v>
      </c>
      <c r="BO389" s="3">
        <f t="shared" si="43"/>
        <v>0.32</v>
      </c>
    </row>
    <row r="390" spans="1:71" x14ac:dyDescent="0.3">
      <c r="A390" s="3" t="s">
        <v>252</v>
      </c>
      <c r="B390" s="3">
        <v>0.9</v>
      </c>
      <c r="C390" s="3">
        <v>0.5</v>
      </c>
      <c r="D390" s="3">
        <v>0.6</v>
      </c>
      <c r="E390" s="3">
        <v>0.3</v>
      </c>
      <c r="F390" s="6">
        <v>805.36737100000005</v>
      </c>
      <c r="G390" s="3">
        <v>4.0000000000000001E-3</v>
      </c>
      <c r="I390" s="3" t="s">
        <v>252</v>
      </c>
      <c r="J390" s="3">
        <v>0.73</v>
      </c>
      <c r="K390" s="7">
        <v>962.25347899999997</v>
      </c>
      <c r="L390" s="3">
        <v>0</v>
      </c>
      <c r="M390" s="3">
        <f t="shared" si="40"/>
        <v>0.51500000000000001</v>
      </c>
      <c r="N390" s="5"/>
      <c r="O390" s="5"/>
      <c r="P390" s="5"/>
      <c r="Q390" s="5"/>
      <c r="R390" s="1"/>
      <c r="S390" s="3" t="s">
        <v>252</v>
      </c>
      <c r="T390" s="3">
        <v>0.9</v>
      </c>
      <c r="U390" s="3">
        <v>0.5</v>
      </c>
      <c r="V390" s="3">
        <v>0.6</v>
      </c>
      <c r="W390" s="3">
        <v>0.3</v>
      </c>
      <c r="X390" s="7">
        <v>788.23150599999997</v>
      </c>
      <c r="Y390" s="3">
        <v>4.0000000000000001E-3</v>
      </c>
      <c r="AA390" s="3" t="s">
        <v>252</v>
      </c>
      <c r="AB390" s="3">
        <v>0.17</v>
      </c>
      <c r="AC390" s="6">
        <v>704.32446300000004</v>
      </c>
      <c r="AD390" s="3">
        <v>0</v>
      </c>
      <c r="AE390" s="3">
        <f t="shared" si="41"/>
        <v>0.23499999999999999</v>
      </c>
      <c r="AF390" s="5"/>
      <c r="AG390" s="5"/>
      <c r="AH390" s="5"/>
      <c r="AI390" s="5"/>
      <c r="AJ390" s="1"/>
      <c r="AK390" s="3" t="s">
        <v>253</v>
      </c>
      <c r="AL390" s="3">
        <v>0.9</v>
      </c>
      <c r="AM390" s="3">
        <v>0.5</v>
      </c>
      <c r="AN390" s="3">
        <v>0.6</v>
      </c>
      <c r="AO390" s="3">
        <v>0.3</v>
      </c>
      <c r="AP390" s="7">
        <v>1134.625</v>
      </c>
      <c r="AQ390" s="3">
        <v>8.9999999999999993E-3</v>
      </c>
      <c r="AS390" s="3" t="s">
        <v>253</v>
      </c>
      <c r="AT390" s="3">
        <v>0.04</v>
      </c>
      <c r="AU390" s="6">
        <v>924.42303500000003</v>
      </c>
      <c r="AV390" s="3">
        <v>1E-3</v>
      </c>
      <c r="AW390" s="3">
        <f t="shared" si="42"/>
        <v>0.16999999999999998</v>
      </c>
      <c r="AX390" s="5"/>
      <c r="AY390" s="5"/>
      <c r="AZ390" s="5"/>
      <c r="BA390" s="5"/>
      <c r="BB390" s="1"/>
      <c r="BC390" s="3" t="s">
        <v>253</v>
      </c>
      <c r="BD390" s="3">
        <v>0.9</v>
      </c>
      <c r="BE390" s="3">
        <v>0.5</v>
      </c>
      <c r="BF390" s="3">
        <v>0.6</v>
      </c>
      <c r="BG390" s="3">
        <v>0.3</v>
      </c>
      <c r="BH390" s="6">
        <v>1150.7495120000001</v>
      </c>
      <c r="BI390" s="3">
        <v>8.9999999999999993E-3</v>
      </c>
      <c r="BK390" s="3" t="s">
        <v>253</v>
      </c>
      <c r="BL390" s="3">
        <v>0.83</v>
      </c>
      <c r="BM390" s="7">
        <v>1496.682251</v>
      </c>
      <c r="BN390" s="3">
        <v>1E-3</v>
      </c>
      <c r="BO390" s="3">
        <f t="shared" si="43"/>
        <v>0.56499999999999995</v>
      </c>
    </row>
    <row r="391" spans="1:71" x14ac:dyDescent="0.3">
      <c r="A391" s="9" t="s">
        <v>316</v>
      </c>
      <c r="E391" s="9">
        <f>AVERAGE(E361:E390)</f>
        <v>0.3</v>
      </c>
      <c r="I391" s="9" t="s">
        <v>316</v>
      </c>
      <c r="J391" s="9">
        <f>AVERAGE(J361:J390)</f>
        <v>0.43666666666666665</v>
      </c>
      <c r="M391" s="5"/>
      <c r="N391" s="5"/>
      <c r="O391" s="5"/>
      <c r="P391" s="5"/>
      <c r="Q391" s="5"/>
      <c r="R391" s="1"/>
      <c r="S391" s="9" t="s">
        <v>316</v>
      </c>
      <c r="W391" s="9">
        <f>AVERAGE(W361:W390)</f>
        <v>0.3</v>
      </c>
      <c r="AA391" s="9" t="s">
        <v>316</v>
      </c>
      <c r="AB391" s="9">
        <f>AVERAGE(AB361:AB390)</f>
        <v>0.49133333333333329</v>
      </c>
      <c r="AE391" s="5"/>
      <c r="AF391" s="5"/>
      <c r="AG391" s="5"/>
      <c r="AH391" s="5"/>
      <c r="AI391" s="5"/>
      <c r="AJ391" s="1"/>
      <c r="AK391" s="9" t="s">
        <v>316</v>
      </c>
      <c r="AO391" s="9">
        <f>AVERAGE(AO361:AO390)</f>
        <v>0.3</v>
      </c>
      <c r="AS391" s="9" t="s">
        <v>316</v>
      </c>
      <c r="AT391" s="9">
        <f>AVERAGE(AT361:AT390)</f>
        <v>0.44533333333333325</v>
      </c>
      <c r="AW391" s="5"/>
      <c r="AX391" s="5"/>
      <c r="AY391" s="5"/>
      <c r="AZ391" s="5"/>
      <c r="BA391" s="5"/>
      <c r="BB391" s="1"/>
      <c r="BC391" s="9" t="s">
        <v>316</v>
      </c>
      <c r="BG391" s="9">
        <f>AVERAGE(BG361:BG390)</f>
        <v>0.3</v>
      </c>
      <c r="BK391" s="9" t="s">
        <v>316</v>
      </c>
      <c r="BL391" s="9">
        <f>AVERAGE(BL361:BL390)</f>
        <v>0.51966666666666661</v>
      </c>
      <c r="BO391" s="5"/>
    </row>
    <row r="392" spans="1:71" x14ac:dyDescent="0.3">
      <c r="M392" s="5"/>
      <c r="N392" s="5"/>
      <c r="O392" s="5"/>
      <c r="P392" s="5"/>
      <c r="Q392" s="5"/>
      <c r="R392" s="1"/>
      <c r="AE392" s="5"/>
      <c r="AF392" s="5"/>
      <c r="AG392" s="5"/>
      <c r="AH392" s="5"/>
      <c r="AI392" s="5"/>
      <c r="AJ392" s="1"/>
      <c r="AW392" s="5"/>
      <c r="AX392" s="5"/>
      <c r="AY392" s="5"/>
      <c r="AZ392" s="5"/>
      <c r="BA392" s="5"/>
      <c r="BB392" s="1"/>
      <c r="BO392" s="5"/>
    </row>
    <row r="393" spans="1:71" x14ac:dyDescent="0.3">
      <c r="M393" s="5"/>
      <c r="N393" s="5"/>
      <c r="O393" s="5"/>
      <c r="P393" s="5"/>
      <c r="Q393" s="5"/>
      <c r="R393" s="1"/>
      <c r="AE393" s="5"/>
      <c r="AF393" s="5"/>
      <c r="AG393" s="5"/>
      <c r="AH393" s="5"/>
      <c r="AI393" s="5"/>
      <c r="AJ393" s="1"/>
      <c r="AW393" s="5"/>
      <c r="AX393" s="5"/>
      <c r="AY393" s="5"/>
      <c r="AZ393" s="5"/>
      <c r="BA393" s="5"/>
      <c r="BB393" s="1"/>
      <c r="BO393" s="5"/>
    </row>
    <row r="394" spans="1:71" x14ac:dyDescent="0.3">
      <c r="A394" s="19" t="s">
        <v>314</v>
      </c>
      <c r="B394" s="19"/>
      <c r="C394" s="19"/>
      <c r="D394" s="19"/>
      <c r="E394" s="19"/>
      <c r="F394" s="19"/>
      <c r="G394" s="19"/>
      <c r="I394" s="19" t="s">
        <v>315</v>
      </c>
      <c r="J394" s="19"/>
      <c r="K394" s="19"/>
      <c r="L394" s="19"/>
      <c r="M394" s="19"/>
      <c r="N394" s="11"/>
      <c r="O394" s="11"/>
      <c r="P394" s="11"/>
      <c r="Q394" s="11"/>
      <c r="R394" s="1"/>
      <c r="S394" s="19" t="s">
        <v>314</v>
      </c>
      <c r="T394" s="19"/>
      <c r="U394" s="19"/>
      <c r="V394" s="19"/>
      <c r="W394" s="19"/>
      <c r="X394" s="19"/>
      <c r="Y394" s="19"/>
      <c r="AA394" s="19" t="s">
        <v>315</v>
      </c>
      <c r="AB394" s="19"/>
      <c r="AC394" s="19"/>
      <c r="AD394" s="19"/>
      <c r="AE394" s="19"/>
      <c r="AF394" s="11"/>
      <c r="AG394" s="11"/>
      <c r="AH394" s="11"/>
      <c r="AI394" s="11"/>
      <c r="AJ394" s="1"/>
      <c r="AK394" s="19" t="s">
        <v>314</v>
      </c>
      <c r="AL394" s="19"/>
      <c r="AM394" s="19"/>
      <c r="AN394" s="19"/>
      <c r="AO394" s="19"/>
      <c r="AP394" s="19"/>
      <c r="AQ394" s="19"/>
      <c r="AS394" s="19" t="s">
        <v>315</v>
      </c>
      <c r="AT394" s="19"/>
      <c r="AU394" s="19"/>
      <c r="AV394" s="19"/>
      <c r="AW394" s="19"/>
      <c r="AX394" s="11"/>
      <c r="AY394" s="11"/>
      <c r="AZ394" s="11"/>
      <c r="BA394" s="11"/>
      <c r="BB394" s="1"/>
      <c r="BC394" s="19" t="s">
        <v>314</v>
      </c>
      <c r="BD394" s="19"/>
      <c r="BE394" s="19"/>
      <c r="BF394" s="19"/>
      <c r="BG394" s="19"/>
      <c r="BH394" s="19"/>
      <c r="BI394" s="19"/>
      <c r="BK394" s="19" t="s">
        <v>315</v>
      </c>
      <c r="BL394" s="19"/>
      <c r="BM394" s="19"/>
      <c r="BN394" s="19"/>
      <c r="BO394" s="19"/>
    </row>
    <row r="395" spans="1:71" x14ac:dyDescent="0.3">
      <c r="A395" s="3" t="s">
        <v>72</v>
      </c>
      <c r="B395" s="3"/>
      <c r="C395" s="3"/>
      <c r="D395" s="3"/>
      <c r="E395" s="3"/>
      <c r="F395" s="3"/>
      <c r="G395" s="3"/>
      <c r="I395" s="3" t="s">
        <v>72</v>
      </c>
      <c r="J395" s="3"/>
      <c r="K395" s="3"/>
      <c r="L395" s="3"/>
      <c r="M395" s="3"/>
      <c r="N395" s="5"/>
      <c r="O395" s="5"/>
      <c r="P395" s="5"/>
      <c r="Q395" s="5"/>
      <c r="R395" s="1"/>
      <c r="S395" s="3" t="s">
        <v>73</v>
      </c>
      <c r="T395" s="3"/>
      <c r="U395" s="3"/>
      <c r="V395" s="3"/>
      <c r="W395" s="3"/>
      <c r="X395" s="3"/>
      <c r="Y395" s="3"/>
      <c r="AA395" s="3" t="s">
        <v>73</v>
      </c>
      <c r="AB395" s="3"/>
      <c r="AC395" s="3"/>
      <c r="AD395" s="3"/>
      <c r="AE395" s="3"/>
      <c r="AF395" s="5"/>
      <c r="AG395" s="5"/>
      <c r="AH395" s="5"/>
      <c r="AI395" s="5"/>
      <c r="AJ395" s="1"/>
      <c r="AK395" s="3" t="s">
        <v>72</v>
      </c>
      <c r="AL395" s="3"/>
      <c r="AM395" s="3"/>
      <c r="AN395" s="3"/>
      <c r="AO395" s="3"/>
      <c r="AP395" s="3"/>
      <c r="AQ395" s="3"/>
      <c r="AS395" s="3" t="s">
        <v>72</v>
      </c>
      <c r="AT395" s="3"/>
      <c r="AU395" s="3"/>
      <c r="AV395" s="3"/>
      <c r="AW395" s="4"/>
      <c r="AX395" s="12"/>
      <c r="AY395" s="12"/>
      <c r="AZ395" s="12"/>
      <c r="BA395" s="12"/>
      <c r="BB395" s="1"/>
      <c r="BC395" s="3" t="s">
        <v>73</v>
      </c>
      <c r="BD395" s="3"/>
      <c r="BE395" s="3"/>
      <c r="BF395" s="3"/>
      <c r="BG395" s="3"/>
      <c r="BH395" s="3"/>
      <c r="BI395" s="3"/>
      <c r="BK395" s="3" t="s">
        <v>73</v>
      </c>
      <c r="BL395" s="3"/>
      <c r="BM395" s="3"/>
      <c r="BN395" s="3"/>
      <c r="BO395" s="3"/>
    </row>
    <row r="396" spans="1:71" x14ac:dyDescent="0.3">
      <c r="A396" s="3" t="s">
        <v>2</v>
      </c>
      <c r="B396" s="3" t="s">
        <v>3</v>
      </c>
      <c r="C396" s="3" t="s">
        <v>4</v>
      </c>
      <c r="D396" s="3" t="s">
        <v>5</v>
      </c>
      <c r="E396" s="3" t="s">
        <v>6</v>
      </c>
      <c r="F396" s="3" t="s">
        <v>7</v>
      </c>
      <c r="G396" s="3" t="s">
        <v>8</v>
      </c>
      <c r="I396" s="3" t="s">
        <v>2</v>
      </c>
      <c r="J396" s="3" t="s">
        <v>6</v>
      </c>
      <c r="K396" s="3" t="s">
        <v>7</v>
      </c>
      <c r="L396" s="3" t="s">
        <v>8</v>
      </c>
      <c r="M396" s="3" t="s">
        <v>9</v>
      </c>
      <c r="N396" s="3" t="s">
        <v>322</v>
      </c>
      <c r="O396" s="3" t="s">
        <v>323</v>
      </c>
      <c r="P396" s="3" t="s">
        <v>322</v>
      </c>
      <c r="Q396" s="3" t="s">
        <v>323</v>
      </c>
      <c r="R396" s="1"/>
      <c r="S396" s="3" t="s">
        <v>2</v>
      </c>
      <c r="T396" s="3" t="s">
        <v>3</v>
      </c>
      <c r="U396" s="3" t="s">
        <v>4</v>
      </c>
      <c r="V396" s="3" t="s">
        <v>5</v>
      </c>
      <c r="W396" s="3" t="s">
        <v>6</v>
      </c>
      <c r="X396" s="3" t="s">
        <v>7</v>
      </c>
      <c r="Y396" s="3" t="s">
        <v>8</v>
      </c>
      <c r="AA396" s="3" t="s">
        <v>2</v>
      </c>
      <c r="AB396" s="3" t="s">
        <v>6</v>
      </c>
      <c r="AC396" s="3" t="s">
        <v>7</v>
      </c>
      <c r="AD396" s="3" t="s">
        <v>8</v>
      </c>
      <c r="AE396" s="3" t="s">
        <v>9</v>
      </c>
      <c r="AF396" s="3" t="s">
        <v>322</v>
      </c>
      <c r="AG396" s="3" t="s">
        <v>323</v>
      </c>
      <c r="AH396" s="3" t="s">
        <v>322</v>
      </c>
      <c r="AI396" s="3" t="s">
        <v>323</v>
      </c>
      <c r="AJ396" s="1"/>
      <c r="AK396" s="3" t="s">
        <v>2</v>
      </c>
      <c r="AL396" s="3" t="s">
        <v>3</v>
      </c>
      <c r="AM396" s="3" t="s">
        <v>4</v>
      </c>
      <c r="AN396" s="3" t="s">
        <v>5</v>
      </c>
      <c r="AO396" s="3" t="s">
        <v>6</v>
      </c>
      <c r="AP396" s="3" t="s">
        <v>7</v>
      </c>
      <c r="AQ396" s="3" t="s">
        <v>8</v>
      </c>
      <c r="AS396" s="3" t="s">
        <v>2</v>
      </c>
      <c r="AT396" s="3" t="s">
        <v>6</v>
      </c>
      <c r="AU396" s="3" t="s">
        <v>7</v>
      </c>
      <c r="AV396" s="3" t="s">
        <v>8</v>
      </c>
      <c r="AW396" s="3" t="s">
        <v>9</v>
      </c>
      <c r="AX396" s="3" t="s">
        <v>322</v>
      </c>
      <c r="AY396" s="3" t="s">
        <v>323</v>
      </c>
      <c r="AZ396" s="3" t="s">
        <v>322</v>
      </c>
      <c r="BA396" s="3" t="s">
        <v>323</v>
      </c>
      <c r="BB396" s="1"/>
      <c r="BC396" s="3" t="s">
        <v>2</v>
      </c>
      <c r="BD396" s="3" t="s">
        <v>3</v>
      </c>
      <c r="BE396" s="3" t="s">
        <v>4</v>
      </c>
      <c r="BF396" s="3" t="s">
        <v>5</v>
      </c>
      <c r="BG396" s="3" t="s">
        <v>6</v>
      </c>
      <c r="BH396" s="3" t="s">
        <v>7</v>
      </c>
      <c r="BI396" s="3" t="s">
        <v>8</v>
      </c>
      <c r="BK396" s="3" t="s">
        <v>2</v>
      </c>
      <c r="BL396" s="3" t="s">
        <v>6</v>
      </c>
      <c r="BM396" s="3" t="s">
        <v>7</v>
      </c>
      <c r="BN396" s="3" t="s">
        <v>8</v>
      </c>
      <c r="BO396" s="3" t="s">
        <v>9</v>
      </c>
      <c r="BP396" s="3" t="s">
        <v>322</v>
      </c>
      <c r="BQ396" s="3" t="s">
        <v>323</v>
      </c>
      <c r="BR396" s="3" t="s">
        <v>322</v>
      </c>
      <c r="BS396" s="3" t="s">
        <v>323</v>
      </c>
    </row>
    <row r="397" spans="1:71" x14ac:dyDescent="0.3">
      <c r="A397" s="3" t="s">
        <v>194</v>
      </c>
      <c r="B397" s="3">
        <v>0.9</v>
      </c>
      <c r="C397" s="3">
        <v>0.5</v>
      </c>
      <c r="D397" s="3">
        <v>0.6</v>
      </c>
      <c r="E397" s="3">
        <v>0.3</v>
      </c>
      <c r="F397" s="7">
        <v>677.85790999999995</v>
      </c>
      <c r="G397" s="3">
        <v>3.0000000000000001E-3</v>
      </c>
      <c r="I397" s="3" t="s">
        <v>194</v>
      </c>
      <c r="J397" s="3">
        <v>0.01</v>
      </c>
      <c r="K397" s="6">
        <v>664.71227999999996</v>
      </c>
      <c r="L397" s="3">
        <v>0</v>
      </c>
      <c r="M397" s="3">
        <f t="shared" ref="M397:M426" si="44">AVERAGE(E397,J397)</f>
        <v>0.155</v>
      </c>
      <c r="N397" s="4" t="s">
        <v>320</v>
      </c>
      <c r="O397" s="4" t="s">
        <v>320</v>
      </c>
      <c r="P397" s="4" t="s">
        <v>321</v>
      </c>
      <c r="Q397" s="4" t="s">
        <v>321</v>
      </c>
      <c r="R397" s="1"/>
      <c r="S397" s="3" t="s">
        <v>194</v>
      </c>
      <c r="T397" s="3">
        <v>0.9</v>
      </c>
      <c r="U397" s="3">
        <v>0.5</v>
      </c>
      <c r="V397" s="3">
        <v>0.6</v>
      </c>
      <c r="W397" s="3">
        <v>0.3</v>
      </c>
      <c r="X397" s="7">
        <v>671.59240699999998</v>
      </c>
      <c r="Y397" s="3">
        <v>2E-3</v>
      </c>
      <c r="AA397" s="3" t="s">
        <v>194</v>
      </c>
      <c r="AB397" s="3">
        <v>0.01</v>
      </c>
      <c r="AC397" s="6">
        <v>658.79663100000005</v>
      </c>
      <c r="AD397" s="3">
        <v>0</v>
      </c>
      <c r="AE397" s="3">
        <f t="shared" ref="AE397:AE426" si="45">AVERAGE(W397,AB397)</f>
        <v>0.155</v>
      </c>
      <c r="AF397" s="4" t="s">
        <v>320</v>
      </c>
      <c r="AG397" s="4" t="s">
        <v>320</v>
      </c>
      <c r="AH397" s="4" t="s">
        <v>321</v>
      </c>
      <c r="AI397" s="4" t="s">
        <v>321</v>
      </c>
      <c r="AJ397" s="1"/>
      <c r="AK397" s="3" t="s">
        <v>195</v>
      </c>
      <c r="AL397" s="3">
        <v>0.9</v>
      </c>
      <c r="AM397" s="3">
        <v>0.5</v>
      </c>
      <c r="AN397" s="3">
        <v>0.6</v>
      </c>
      <c r="AO397" s="3">
        <v>0.3</v>
      </c>
      <c r="AP397" s="7">
        <v>989.65808100000004</v>
      </c>
      <c r="AQ397" s="3">
        <v>1.2E-2</v>
      </c>
      <c r="AS397" s="3" t="s">
        <v>195</v>
      </c>
      <c r="AT397" s="3">
        <v>0.01</v>
      </c>
      <c r="AU397" s="6">
        <v>838.95837400000005</v>
      </c>
      <c r="AV397" s="3">
        <v>1E-3</v>
      </c>
      <c r="AW397" s="3">
        <f t="shared" ref="AW397:AW426" si="46">AVERAGE(AO397,AT397)</f>
        <v>0.155</v>
      </c>
      <c r="AX397" s="4" t="s">
        <v>320</v>
      </c>
      <c r="AY397" s="4" t="s">
        <v>320</v>
      </c>
      <c r="AZ397" s="4" t="s">
        <v>321</v>
      </c>
      <c r="BA397" s="4" t="s">
        <v>321</v>
      </c>
      <c r="BB397" s="1"/>
      <c r="BC397" s="3" t="s">
        <v>195</v>
      </c>
      <c r="BD397" s="3">
        <v>0.9</v>
      </c>
      <c r="BE397" s="3">
        <v>0.5</v>
      </c>
      <c r="BF397" s="3">
        <v>0.6</v>
      </c>
      <c r="BG397" s="3">
        <v>0.3</v>
      </c>
      <c r="BH397" s="7">
        <v>974.86596699999996</v>
      </c>
      <c r="BI397" s="3">
        <v>0.01</v>
      </c>
      <c r="BK397" s="3" t="s">
        <v>195</v>
      </c>
      <c r="BL397" s="3">
        <v>0.01</v>
      </c>
      <c r="BM397" s="6">
        <v>820.66265899999996</v>
      </c>
      <c r="BN397" s="3">
        <v>1E-3</v>
      </c>
      <c r="BO397" s="3">
        <f t="shared" ref="BO397:BO426" si="47">AVERAGE(BG397,BL397)</f>
        <v>0.155</v>
      </c>
      <c r="BP397" s="4" t="s">
        <v>320</v>
      </c>
      <c r="BQ397" s="4" t="s">
        <v>320</v>
      </c>
      <c r="BR397" s="4" t="s">
        <v>321</v>
      </c>
      <c r="BS397" s="4" t="s">
        <v>321</v>
      </c>
    </row>
    <row r="398" spans="1:71" x14ac:dyDescent="0.3">
      <c r="A398" s="3" t="s">
        <v>196</v>
      </c>
      <c r="B398" s="3">
        <v>0.9</v>
      </c>
      <c r="C398" s="3">
        <v>0.5</v>
      </c>
      <c r="D398" s="3">
        <v>0.6</v>
      </c>
      <c r="E398" s="3">
        <v>0.3</v>
      </c>
      <c r="F398" s="7">
        <v>653.50573699999995</v>
      </c>
      <c r="G398" s="3">
        <v>3.0000000000000001E-3</v>
      </c>
      <c r="I398" s="3" t="s">
        <v>196</v>
      </c>
      <c r="J398" s="3">
        <v>0.99</v>
      </c>
      <c r="K398" s="6">
        <v>744.221497</v>
      </c>
      <c r="L398" s="3">
        <v>0</v>
      </c>
      <c r="M398" s="3">
        <f t="shared" si="44"/>
        <v>0.64500000000000002</v>
      </c>
      <c r="N398" s="3">
        <f>COUNT(F401,F404,F406:F412,F414:F415,F418:F422,F424)</f>
        <v>17</v>
      </c>
      <c r="O398" s="3">
        <f>30-N398</f>
        <v>13</v>
      </c>
      <c r="P398" s="3">
        <f>COUNT(K397:K400,K402:K403,K405,K413,K416:K417,K423,K425:K426)</f>
        <v>13</v>
      </c>
      <c r="Q398" s="3">
        <f>30-P398</f>
        <v>17</v>
      </c>
      <c r="R398" s="1"/>
      <c r="S398" s="3" t="s">
        <v>196</v>
      </c>
      <c r="T398" s="3">
        <v>0.9</v>
      </c>
      <c r="U398" s="3">
        <v>0.5</v>
      </c>
      <c r="V398" s="3">
        <v>0.6</v>
      </c>
      <c r="W398" s="3">
        <v>0.3</v>
      </c>
      <c r="X398" s="6">
        <v>624.62707499999999</v>
      </c>
      <c r="Y398" s="3">
        <v>2E-3</v>
      </c>
      <c r="AA398" s="3" t="s">
        <v>196</v>
      </c>
      <c r="AB398" s="3">
        <v>0.57999999999999996</v>
      </c>
      <c r="AC398" s="7">
        <v>687.11352499999998</v>
      </c>
      <c r="AD398" s="3">
        <v>0</v>
      </c>
      <c r="AE398" s="3">
        <f t="shared" si="45"/>
        <v>0.43999999999999995</v>
      </c>
      <c r="AF398" s="3">
        <f>COUNT(X398:X401,X403:X413,X415:X416,X418:X420,X423,X425)</f>
        <v>22</v>
      </c>
      <c r="AG398" s="3">
        <f>30-AF398</f>
        <v>8</v>
      </c>
      <c r="AH398" s="3">
        <f>COUNT(AC397,AC402,AC414,AC417,AC421:AC422,AC424,AC426)</f>
        <v>8</v>
      </c>
      <c r="AI398" s="3">
        <f>30-AH398</f>
        <v>22</v>
      </c>
      <c r="AJ398" s="1"/>
      <c r="AK398" s="3" t="s">
        <v>197</v>
      </c>
      <c r="AL398" s="3">
        <v>0.9</v>
      </c>
      <c r="AM398" s="3">
        <v>0.5</v>
      </c>
      <c r="AN398" s="3">
        <v>0.6</v>
      </c>
      <c r="AO398" s="3">
        <v>0.3</v>
      </c>
      <c r="AP398" s="6">
        <v>903.62652600000001</v>
      </c>
      <c r="AQ398" s="3">
        <v>7.0000000000000001E-3</v>
      </c>
      <c r="AS398" s="3" t="s">
        <v>197</v>
      </c>
      <c r="AT398" s="3">
        <v>0.76</v>
      </c>
      <c r="AU398" s="7">
        <v>1020.307678</v>
      </c>
      <c r="AV398" s="3">
        <v>1E-3</v>
      </c>
      <c r="AW398" s="3">
        <f t="shared" si="46"/>
        <v>0.53</v>
      </c>
      <c r="AX398" s="3">
        <f>COUNT(AP398,AP400:AP409,AP411,AP413,AP415:AP418,AP420:AP421,AP423:AP425)</f>
        <v>22</v>
      </c>
      <c r="AY398" s="3">
        <f>30-AX398</f>
        <v>8</v>
      </c>
      <c r="AZ398" s="3">
        <f>COUNT(AU397,AU399,AU410,AU412,AU414,AU419,AU422,AU426)</f>
        <v>8</v>
      </c>
      <c r="BA398" s="3">
        <f>30-AZ398</f>
        <v>22</v>
      </c>
      <c r="BB398" s="1"/>
      <c r="BC398" s="3" t="s">
        <v>197</v>
      </c>
      <c r="BD398" s="3">
        <v>0.9</v>
      </c>
      <c r="BE398" s="3">
        <v>0.5</v>
      </c>
      <c r="BF398" s="3">
        <v>0.6</v>
      </c>
      <c r="BG398" s="3">
        <v>0.3</v>
      </c>
      <c r="BH398" s="7">
        <v>902.38568099999998</v>
      </c>
      <c r="BI398" s="3">
        <v>8.0000000000000002E-3</v>
      </c>
      <c r="BK398" s="3" t="s">
        <v>197</v>
      </c>
      <c r="BL398" s="3">
        <v>0.15</v>
      </c>
      <c r="BM398" s="6">
        <v>830.42120399999999</v>
      </c>
      <c r="BN398" s="3">
        <v>1E-3</v>
      </c>
      <c r="BO398" s="3">
        <f t="shared" si="47"/>
        <v>0.22499999999999998</v>
      </c>
      <c r="BP398" s="3">
        <f>COUNT(BH399:BH402,BH406:BH407,BH411:BH413,BH416,BH418:BH420,BH422,BH424:BH425)</f>
        <v>16</v>
      </c>
      <c r="BQ398" s="3">
        <f>30-BP398</f>
        <v>14</v>
      </c>
      <c r="BR398" s="3">
        <f>COUNT(BM397:BM398,BM403:BM405,BM408,BM410,BM414:BM415,BM417,BM421,BM423,BM426)</f>
        <v>13</v>
      </c>
      <c r="BS398" s="3">
        <f>30-BR398</f>
        <v>17</v>
      </c>
    </row>
    <row r="399" spans="1:71" x14ac:dyDescent="0.3">
      <c r="A399" s="3" t="s">
        <v>198</v>
      </c>
      <c r="B399" s="3">
        <v>0.9</v>
      </c>
      <c r="C399" s="3">
        <v>0.5</v>
      </c>
      <c r="D399" s="3">
        <v>0.6</v>
      </c>
      <c r="E399" s="3">
        <v>0.3</v>
      </c>
      <c r="F399" s="7">
        <v>630.331726</v>
      </c>
      <c r="G399" s="3">
        <v>4.0000000000000001E-3</v>
      </c>
      <c r="I399" s="3" t="s">
        <v>198</v>
      </c>
      <c r="J399" s="3">
        <v>0.01</v>
      </c>
      <c r="K399" s="6">
        <v>594.97857699999997</v>
      </c>
      <c r="L399" s="3">
        <v>0</v>
      </c>
      <c r="M399" s="3">
        <f t="shared" si="44"/>
        <v>0.155</v>
      </c>
      <c r="N399" s="5"/>
      <c r="O399" s="5"/>
      <c r="P399" s="5"/>
      <c r="Q399" s="5"/>
      <c r="R399" s="1"/>
      <c r="S399" s="3" t="s">
        <v>198</v>
      </c>
      <c r="T399" s="3">
        <v>0.9</v>
      </c>
      <c r="U399" s="3">
        <v>0.5</v>
      </c>
      <c r="V399" s="3">
        <v>0.6</v>
      </c>
      <c r="W399" s="3">
        <v>0.3</v>
      </c>
      <c r="X399" s="6">
        <v>623.92511000000002</v>
      </c>
      <c r="Y399" s="3">
        <v>2E-3</v>
      </c>
      <c r="AA399" s="3" t="s">
        <v>198</v>
      </c>
      <c r="AB399" s="3">
        <v>0.66</v>
      </c>
      <c r="AC399" s="7">
        <v>681.05773899999997</v>
      </c>
      <c r="AD399" s="3">
        <v>1E-3</v>
      </c>
      <c r="AE399" s="3">
        <f t="shared" si="45"/>
        <v>0.48</v>
      </c>
      <c r="AF399" s="5"/>
      <c r="AG399" s="5"/>
      <c r="AH399" s="5"/>
      <c r="AI399" s="5"/>
      <c r="AJ399" s="1"/>
      <c r="AK399" s="3" t="s">
        <v>199</v>
      </c>
      <c r="AL399" s="3">
        <v>0.9</v>
      </c>
      <c r="AM399" s="3">
        <v>0.5</v>
      </c>
      <c r="AN399" s="3">
        <v>0.6</v>
      </c>
      <c r="AO399" s="3">
        <v>0.3</v>
      </c>
      <c r="AP399" s="7">
        <v>953.35882600000002</v>
      </c>
      <c r="AQ399" s="3">
        <v>1.4E-2</v>
      </c>
      <c r="AS399" s="3" t="s">
        <v>199</v>
      </c>
      <c r="AT399" s="3">
        <v>0.3</v>
      </c>
      <c r="AU399" s="6">
        <v>943.42761199999995</v>
      </c>
      <c r="AV399" s="3">
        <v>1E-3</v>
      </c>
      <c r="AW399" s="3">
        <f t="shared" si="46"/>
        <v>0.3</v>
      </c>
      <c r="AX399" s="5"/>
      <c r="AY399" s="5"/>
      <c r="AZ399" s="5"/>
      <c r="BA399" s="5"/>
      <c r="BB399" s="1"/>
      <c r="BC399" s="3" t="s">
        <v>199</v>
      </c>
      <c r="BD399" s="3">
        <v>0.9</v>
      </c>
      <c r="BE399" s="3">
        <v>0.5</v>
      </c>
      <c r="BF399" s="3">
        <v>0.6</v>
      </c>
      <c r="BG399" s="3">
        <v>0.3</v>
      </c>
      <c r="BH399" s="6">
        <v>938.87085000000002</v>
      </c>
      <c r="BI399" s="3">
        <v>1.2E-2</v>
      </c>
      <c r="BK399" s="3" t="s">
        <v>199</v>
      </c>
      <c r="BL399" s="3">
        <v>0.95</v>
      </c>
      <c r="BM399" s="7">
        <v>1124.9837649999999</v>
      </c>
      <c r="BN399" s="3">
        <v>1E-3</v>
      </c>
      <c r="BO399" s="3">
        <f t="shared" si="47"/>
        <v>0.625</v>
      </c>
    </row>
    <row r="400" spans="1:71" x14ac:dyDescent="0.3">
      <c r="A400" s="3" t="s">
        <v>200</v>
      </c>
      <c r="B400" s="3">
        <v>0.9</v>
      </c>
      <c r="C400" s="3">
        <v>0.5</v>
      </c>
      <c r="D400" s="3">
        <v>0.6</v>
      </c>
      <c r="E400" s="3">
        <v>0.3</v>
      </c>
      <c r="F400" s="7">
        <v>598.18573000000004</v>
      </c>
      <c r="G400" s="3">
        <v>3.0000000000000001E-3</v>
      </c>
      <c r="I400" s="3" t="s">
        <v>200</v>
      </c>
      <c r="J400" s="3">
        <v>0.12</v>
      </c>
      <c r="K400" s="6">
        <v>540.47894299999996</v>
      </c>
      <c r="L400" s="3">
        <v>0</v>
      </c>
      <c r="M400" s="3">
        <f t="shared" si="44"/>
        <v>0.21</v>
      </c>
      <c r="N400" s="5"/>
      <c r="O400" s="5"/>
      <c r="P400" s="5"/>
      <c r="Q400" s="5"/>
      <c r="R400" s="1"/>
      <c r="S400" s="3" t="s">
        <v>200</v>
      </c>
      <c r="T400" s="3">
        <v>0.9</v>
      </c>
      <c r="U400" s="3">
        <v>0.5</v>
      </c>
      <c r="V400" s="3">
        <v>0.6</v>
      </c>
      <c r="W400" s="3">
        <v>0.3</v>
      </c>
      <c r="X400" s="6">
        <v>573.83697500000005</v>
      </c>
      <c r="Y400" s="3">
        <v>2E-3</v>
      </c>
      <c r="AA400" s="3" t="s">
        <v>200</v>
      </c>
      <c r="AB400" s="3">
        <v>0.94</v>
      </c>
      <c r="AC400" s="7">
        <v>656.44824200000005</v>
      </c>
      <c r="AD400" s="3">
        <v>0</v>
      </c>
      <c r="AE400" s="3">
        <f t="shared" si="45"/>
        <v>0.62</v>
      </c>
      <c r="AF400" s="5"/>
      <c r="AG400" s="5"/>
      <c r="AH400" s="5"/>
      <c r="AI400" s="5"/>
      <c r="AJ400" s="1"/>
      <c r="AK400" s="3" t="s">
        <v>201</v>
      </c>
      <c r="AL400" s="3">
        <v>0.9</v>
      </c>
      <c r="AM400" s="3">
        <v>0.5</v>
      </c>
      <c r="AN400" s="3">
        <v>0.6</v>
      </c>
      <c r="AO400" s="3">
        <v>0.3</v>
      </c>
      <c r="AP400" s="6">
        <v>993.21319600000004</v>
      </c>
      <c r="AQ400" s="3">
        <v>7.0000000000000001E-3</v>
      </c>
      <c r="AS400" s="3" t="s">
        <v>201</v>
      </c>
      <c r="AT400" s="3">
        <v>0.37</v>
      </c>
      <c r="AU400" s="7">
        <v>1000.4784550000001</v>
      </c>
      <c r="AV400" s="3">
        <v>1E-3</v>
      </c>
      <c r="AW400" s="3">
        <f t="shared" si="46"/>
        <v>0.33499999999999996</v>
      </c>
      <c r="AX400" s="5"/>
      <c r="AY400" s="5"/>
      <c r="AZ400" s="5"/>
      <c r="BA400" s="5"/>
      <c r="BB400" s="1"/>
      <c r="BC400" s="3" t="s">
        <v>201</v>
      </c>
      <c r="BD400" s="3">
        <v>0.9</v>
      </c>
      <c r="BE400" s="3">
        <v>0.5</v>
      </c>
      <c r="BF400" s="3">
        <v>0.6</v>
      </c>
      <c r="BG400" s="3">
        <v>0.3</v>
      </c>
      <c r="BH400" s="6">
        <v>998.41039999999998</v>
      </c>
      <c r="BI400" s="3">
        <v>8.0000000000000002E-3</v>
      </c>
      <c r="BK400" s="3" t="s">
        <v>201</v>
      </c>
      <c r="BL400" s="3">
        <v>0.85</v>
      </c>
      <c r="BM400" s="7">
        <v>1136.4884030000001</v>
      </c>
      <c r="BN400" s="3">
        <v>1E-3</v>
      </c>
      <c r="BO400" s="3">
        <f t="shared" si="47"/>
        <v>0.57499999999999996</v>
      </c>
    </row>
    <row r="401" spans="1:67" x14ac:dyDescent="0.3">
      <c r="A401" s="3" t="s">
        <v>202</v>
      </c>
      <c r="B401" s="3">
        <v>0.9</v>
      </c>
      <c r="C401" s="3">
        <v>0.5</v>
      </c>
      <c r="D401" s="3">
        <v>0.6</v>
      </c>
      <c r="E401" s="3">
        <v>0.3</v>
      </c>
      <c r="F401" s="6">
        <v>590.22479199999998</v>
      </c>
      <c r="G401" s="3">
        <v>2E-3</v>
      </c>
      <c r="I401" s="3" t="s">
        <v>202</v>
      </c>
      <c r="J401" s="3">
        <v>0.52</v>
      </c>
      <c r="K401" s="7">
        <v>637.10760500000004</v>
      </c>
      <c r="L401" s="3">
        <v>0</v>
      </c>
      <c r="M401" s="3">
        <f t="shared" si="44"/>
        <v>0.41000000000000003</v>
      </c>
      <c r="N401" s="5"/>
      <c r="O401" s="5"/>
      <c r="P401" s="5"/>
      <c r="Q401" s="5"/>
      <c r="R401" s="1"/>
      <c r="S401" s="3" t="s">
        <v>202</v>
      </c>
      <c r="T401" s="3">
        <v>0.9</v>
      </c>
      <c r="U401" s="3">
        <v>0.5</v>
      </c>
      <c r="V401" s="3">
        <v>0.6</v>
      </c>
      <c r="W401" s="3">
        <v>0.3</v>
      </c>
      <c r="X401" s="6">
        <v>578.03008999999997</v>
      </c>
      <c r="Y401" s="3">
        <v>2E-3</v>
      </c>
      <c r="AA401" s="3" t="s">
        <v>202</v>
      </c>
      <c r="AB401" s="3">
        <v>0.63</v>
      </c>
      <c r="AC401" s="7">
        <v>639.18719499999997</v>
      </c>
      <c r="AD401" s="3">
        <v>0</v>
      </c>
      <c r="AE401" s="3">
        <f t="shared" si="45"/>
        <v>0.46499999999999997</v>
      </c>
      <c r="AF401" s="5"/>
      <c r="AG401" s="5"/>
      <c r="AH401" s="5"/>
      <c r="AI401" s="5"/>
      <c r="AJ401" s="1"/>
      <c r="AK401" s="3" t="s">
        <v>203</v>
      </c>
      <c r="AL401" s="3">
        <v>0.9</v>
      </c>
      <c r="AM401" s="3">
        <v>0.5</v>
      </c>
      <c r="AN401" s="3">
        <v>0.6</v>
      </c>
      <c r="AO401" s="3">
        <v>0.3</v>
      </c>
      <c r="AP401" s="6">
        <v>961.06109600000002</v>
      </c>
      <c r="AQ401" s="3">
        <v>8.0000000000000002E-3</v>
      </c>
      <c r="AS401" s="3" t="s">
        <v>203</v>
      </c>
      <c r="AT401" s="3">
        <v>0.55000000000000004</v>
      </c>
      <c r="AU401" s="7">
        <v>1026.660034</v>
      </c>
      <c r="AV401" s="3">
        <v>1E-3</v>
      </c>
      <c r="AW401" s="3">
        <f t="shared" si="46"/>
        <v>0.42500000000000004</v>
      </c>
      <c r="AX401" s="5"/>
      <c r="AY401" s="5"/>
      <c r="AZ401" s="5"/>
      <c r="BA401" s="5"/>
      <c r="BB401" s="1"/>
      <c r="BC401" s="3" t="s">
        <v>203</v>
      </c>
      <c r="BD401" s="3">
        <v>0.9</v>
      </c>
      <c r="BE401" s="3">
        <v>0.5</v>
      </c>
      <c r="BF401" s="3">
        <v>0.6</v>
      </c>
      <c r="BG401" s="3">
        <v>0.3</v>
      </c>
      <c r="BH401" s="6">
        <v>935.21215800000004</v>
      </c>
      <c r="BI401" s="3">
        <v>1.4E-2</v>
      </c>
      <c r="BK401" s="3" t="s">
        <v>203</v>
      </c>
      <c r="BL401" s="3">
        <v>0.77</v>
      </c>
      <c r="BM401" s="7">
        <v>1058.737061</v>
      </c>
      <c r="BN401" s="3">
        <v>1E-3</v>
      </c>
      <c r="BO401" s="3">
        <f t="shared" si="47"/>
        <v>0.53500000000000003</v>
      </c>
    </row>
    <row r="402" spans="1:67" x14ac:dyDescent="0.3">
      <c r="A402" s="3" t="s">
        <v>204</v>
      </c>
      <c r="B402" s="3">
        <v>0.9</v>
      </c>
      <c r="C402" s="3">
        <v>0.5</v>
      </c>
      <c r="D402" s="3">
        <v>0.6</v>
      </c>
      <c r="E402" s="3">
        <v>0.3</v>
      </c>
      <c r="F402" s="7">
        <v>641.32995600000004</v>
      </c>
      <c r="G402" s="3">
        <v>3.0000000000000001E-3</v>
      </c>
      <c r="I402" s="3" t="s">
        <v>204</v>
      </c>
      <c r="J402" s="3">
        <v>0.18</v>
      </c>
      <c r="K402" s="6">
        <v>606.35278300000004</v>
      </c>
      <c r="L402" s="3">
        <v>0</v>
      </c>
      <c r="M402" s="3">
        <f t="shared" si="44"/>
        <v>0.24</v>
      </c>
      <c r="N402" s="5"/>
      <c r="O402" s="5"/>
      <c r="P402" s="5"/>
      <c r="Q402" s="5"/>
      <c r="R402" s="1"/>
      <c r="S402" s="3" t="s">
        <v>204</v>
      </c>
      <c r="T402" s="3">
        <v>0.9</v>
      </c>
      <c r="U402" s="3">
        <v>0.5</v>
      </c>
      <c r="V402" s="3">
        <v>0.6</v>
      </c>
      <c r="W402" s="3">
        <v>0.3</v>
      </c>
      <c r="X402" s="7">
        <v>631.43969700000002</v>
      </c>
      <c r="Y402" s="3">
        <v>2E-3</v>
      </c>
      <c r="AA402" s="3" t="s">
        <v>204</v>
      </c>
      <c r="AB402" s="3">
        <v>0.21</v>
      </c>
      <c r="AC402" s="6">
        <v>601.01251200000002</v>
      </c>
      <c r="AD402" s="3">
        <v>0</v>
      </c>
      <c r="AE402" s="3">
        <f t="shared" si="45"/>
        <v>0.255</v>
      </c>
      <c r="AF402" s="5"/>
      <c r="AG402" s="5"/>
      <c r="AH402" s="5"/>
      <c r="AI402" s="5"/>
      <c r="AJ402" s="1"/>
      <c r="AK402" s="3" t="s">
        <v>205</v>
      </c>
      <c r="AL402" s="3">
        <v>0.9</v>
      </c>
      <c r="AM402" s="3">
        <v>0.5</v>
      </c>
      <c r="AN402" s="3">
        <v>0.6</v>
      </c>
      <c r="AO402" s="3">
        <v>0.3</v>
      </c>
      <c r="AP402" s="6">
        <v>977.34466599999996</v>
      </c>
      <c r="AQ402" s="3">
        <v>1.2E-2</v>
      </c>
      <c r="AS402" s="3" t="s">
        <v>205</v>
      </c>
      <c r="AT402" s="3">
        <v>0.82</v>
      </c>
      <c r="AU402" s="7">
        <v>1090.6389160000001</v>
      </c>
      <c r="AV402" s="3">
        <v>1E-3</v>
      </c>
      <c r="AW402" s="3">
        <f t="shared" si="46"/>
        <v>0.55999999999999994</v>
      </c>
      <c r="AX402" s="5"/>
      <c r="AY402" s="5"/>
      <c r="AZ402" s="5"/>
      <c r="BA402" s="5"/>
      <c r="BB402" s="1"/>
      <c r="BC402" s="3" t="s">
        <v>205</v>
      </c>
      <c r="BD402" s="3">
        <v>0.9</v>
      </c>
      <c r="BE402" s="3">
        <v>0.5</v>
      </c>
      <c r="BF402" s="3">
        <v>0.6</v>
      </c>
      <c r="BG402" s="3">
        <v>0.3</v>
      </c>
      <c r="BH402" s="6">
        <v>964.56774900000005</v>
      </c>
      <c r="BI402" s="3">
        <v>0.01</v>
      </c>
      <c r="BK402" s="3" t="s">
        <v>205</v>
      </c>
      <c r="BL402" s="3">
        <v>0.61</v>
      </c>
      <c r="BM402" s="7">
        <v>1035.8474120000001</v>
      </c>
      <c r="BN402" s="3">
        <v>1E-3</v>
      </c>
      <c r="BO402" s="3">
        <f t="shared" si="47"/>
        <v>0.45499999999999996</v>
      </c>
    </row>
    <row r="403" spans="1:67" x14ac:dyDescent="0.3">
      <c r="A403" s="3" t="s">
        <v>206</v>
      </c>
      <c r="B403" s="3">
        <v>0.9</v>
      </c>
      <c r="C403" s="3">
        <v>0.5</v>
      </c>
      <c r="D403" s="3">
        <v>0.6</v>
      </c>
      <c r="E403" s="3">
        <v>0.3</v>
      </c>
      <c r="F403" s="7">
        <v>656.63104199999998</v>
      </c>
      <c r="G403" s="3">
        <v>2E-3</v>
      </c>
      <c r="I403" s="3" t="s">
        <v>206</v>
      </c>
      <c r="J403" s="3">
        <v>7.0000000000000007E-2</v>
      </c>
      <c r="K403" s="6">
        <v>617.41851799999995</v>
      </c>
      <c r="L403" s="3">
        <v>0</v>
      </c>
      <c r="M403" s="3">
        <f t="shared" si="44"/>
        <v>0.185</v>
      </c>
      <c r="N403" s="5"/>
      <c r="O403" s="5"/>
      <c r="P403" s="5"/>
      <c r="Q403" s="5"/>
      <c r="R403" s="1"/>
      <c r="S403" s="3" t="s">
        <v>206</v>
      </c>
      <c r="T403" s="3">
        <v>0.9</v>
      </c>
      <c r="U403" s="3">
        <v>0.5</v>
      </c>
      <c r="V403" s="3">
        <v>0.6</v>
      </c>
      <c r="W403" s="3">
        <v>0.3</v>
      </c>
      <c r="X403" s="6">
        <v>648.38720699999999</v>
      </c>
      <c r="Y403" s="3">
        <v>2E-3</v>
      </c>
      <c r="AA403" s="3" t="s">
        <v>206</v>
      </c>
      <c r="AB403" s="3">
        <v>0.49</v>
      </c>
      <c r="AC403" s="7">
        <v>667.96984899999995</v>
      </c>
      <c r="AD403" s="3">
        <v>0</v>
      </c>
      <c r="AE403" s="3">
        <f t="shared" si="45"/>
        <v>0.39500000000000002</v>
      </c>
      <c r="AF403" s="5"/>
      <c r="AG403" s="5"/>
      <c r="AH403" s="5"/>
      <c r="AI403" s="5"/>
      <c r="AJ403" s="1"/>
      <c r="AK403" s="3" t="s">
        <v>207</v>
      </c>
      <c r="AL403" s="3">
        <v>0.9</v>
      </c>
      <c r="AM403" s="3">
        <v>0.5</v>
      </c>
      <c r="AN403" s="3">
        <v>0.6</v>
      </c>
      <c r="AO403" s="3">
        <v>0.3</v>
      </c>
      <c r="AP403" s="6">
        <v>875.20654300000001</v>
      </c>
      <c r="AQ403" s="3">
        <v>7.0000000000000001E-3</v>
      </c>
      <c r="AS403" s="3" t="s">
        <v>207</v>
      </c>
      <c r="AT403" s="3">
        <v>0.53</v>
      </c>
      <c r="AU403" s="7">
        <v>946.69958499999996</v>
      </c>
      <c r="AV403" s="3">
        <v>0</v>
      </c>
      <c r="AW403" s="3">
        <f t="shared" si="46"/>
        <v>0.41500000000000004</v>
      </c>
      <c r="AX403" s="5"/>
      <c r="AY403" s="5"/>
      <c r="AZ403" s="5"/>
      <c r="BA403" s="5"/>
      <c r="BB403" s="1"/>
      <c r="BC403" s="3" t="s">
        <v>207</v>
      </c>
      <c r="BD403" s="3">
        <v>0.9</v>
      </c>
      <c r="BE403" s="3">
        <v>0.5</v>
      </c>
      <c r="BF403" s="3">
        <v>0.6</v>
      </c>
      <c r="BG403" s="3">
        <v>0.3</v>
      </c>
      <c r="BH403" s="7">
        <v>852.660889</v>
      </c>
      <c r="BI403" s="3">
        <v>7.0000000000000001E-3</v>
      </c>
      <c r="BK403" s="3" t="s">
        <v>207</v>
      </c>
      <c r="BL403" s="3">
        <v>0.02</v>
      </c>
      <c r="BM403" s="6">
        <v>722.87622099999999</v>
      </c>
      <c r="BN403" s="3">
        <v>1E-3</v>
      </c>
      <c r="BO403" s="3">
        <f t="shared" si="47"/>
        <v>0.16</v>
      </c>
    </row>
    <row r="404" spans="1:67" x14ac:dyDescent="0.3">
      <c r="A404" s="3" t="s">
        <v>208</v>
      </c>
      <c r="B404" s="3">
        <v>0.9</v>
      </c>
      <c r="C404" s="3">
        <v>0.5</v>
      </c>
      <c r="D404" s="3">
        <v>0.6</v>
      </c>
      <c r="E404" s="3">
        <v>0.3</v>
      </c>
      <c r="F404" s="6">
        <v>616.14959699999997</v>
      </c>
      <c r="G404" s="3">
        <v>2E-3</v>
      </c>
      <c r="I404" s="3" t="s">
        <v>208</v>
      </c>
      <c r="J404" s="3">
        <v>0.54</v>
      </c>
      <c r="K404" s="7">
        <v>642.73516800000004</v>
      </c>
      <c r="L404" s="3">
        <v>0</v>
      </c>
      <c r="M404" s="3">
        <f t="shared" si="44"/>
        <v>0.42000000000000004</v>
      </c>
      <c r="N404" s="5"/>
      <c r="O404" s="5"/>
      <c r="P404" s="5"/>
      <c r="Q404" s="5"/>
      <c r="R404" s="1"/>
      <c r="S404" s="3" t="s">
        <v>208</v>
      </c>
      <c r="T404" s="3">
        <v>0.9</v>
      </c>
      <c r="U404" s="3">
        <v>0.5</v>
      </c>
      <c r="V404" s="3">
        <v>0.6</v>
      </c>
      <c r="W404" s="3">
        <v>0.3</v>
      </c>
      <c r="X404" s="6">
        <v>604.82757600000002</v>
      </c>
      <c r="Y404" s="3">
        <v>2E-3</v>
      </c>
      <c r="AA404" s="3" t="s">
        <v>208</v>
      </c>
      <c r="AB404" s="3">
        <v>0.45</v>
      </c>
      <c r="AC404" s="7">
        <v>625.19781499999999</v>
      </c>
      <c r="AD404" s="3">
        <v>0</v>
      </c>
      <c r="AE404" s="3">
        <f t="shared" si="45"/>
        <v>0.375</v>
      </c>
      <c r="AF404" s="5"/>
      <c r="AG404" s="5"/>
      <c r="AH404" s="5"/>
      <c r="AI404" s="5"/>
      <c r="AJ404" s="1"/>
      <c r="AK404" s="3" t="s">
        <v>209</v>
      </c>
      <c r="AL404" s="3">
        <v>0.9</v>
      </c>
      <c r="AM404" s="3">
        <v>0.5</v>
      </c>
      <c r="AN404" s="3">
        <v>0.6</v>
      </c>
      <c r="AO404" s="3">
        <v>0.3</v>
      </c>
      <c r="AP404" s="6">
        <v>877.23193400000002</v>
      </c>
      <c r="AQ404" s="3">
        <v>7.0000000000000001E-3</v>
      </c>
      <c r="AS404" s="3" t="s">
        <v>209</v>
      </c>
      <c r="AT404" s="3">
        <v>0.87</v>
      </c>
      <c r="AU404" s="7">
        <v>1033.6892089999999</v>
      </c>
      <c r="AV404" s="3">
        <v>0</v>
      </c>
      <c r="AW404" s="3">
        <f t="shared" si="46"/>
        <v>0.58499999999999996</v>
      </c>
      <c r="AX404" s="5"/>
      <c r="AY404" s="5"/>
      <c r="AZ404" s="5"/>
      <c r="BA404" s="5"/>
      <c r="BB404" s="1"/>
      <c r="BC404" s="3" t="s">
        <v>209</v>
      </c>
      <c r="BD404" s="3">
        <v>0.9</v>
      </c>
      <c r="BE404" s="3">
        <v>0.5</v>
      </c>
      <c r="BF404" s="3">
        <v>0.6</v>
      </c>
      <c r="BG404" s="3">
        <v>0.3</v>
      </c>
      <c r="BH404" s="7">
        <v>849.09204099999999</v>
      </c>
      <c r="BI404" s="3">
        <v>8.9999999999999993E-3</v>
      </c>
      <c r="BK404" s="3" t="s">
        <v>209</v>
      </c>
      <c r="BL404" s="3">
        <v>0.11</v>
      </c>
      <c r="BM404" s="6">
        <v>752.99682600000006</v>
      </c>
      <c r="BN404" s="3">
        <v>0</v>
      </c>
      <c r="BO404" s="3">
        <f t="shared" si="47"/>
        <v>0.20499999999999999</v>
      </c>
    </row>
    <row r="405" spans="1:67" x14ac:dyDescent="0.3">
      <c r="A405" s="3" t="s">
        <v>210</v>
      </c>
      <c r="B405" s="3">
        <v>0.9</v>
      </c>
      <c r="C405" s="3">
        <v>0.5</v>
      </c>
      <c r="D405" s="3">
        <v>0.6</v>
      </c>
      <c r="E405" s="3">
        <v>0.3</v>
      </c>
      <c r="F405" s="7">
        <v>620.622253</v>
      </c>
      <c r="G405" s="3">
        <v>2E-3</v>
      </c>
      <c r="I405" s="3" t="s">
        <v>210</v>
      </c>
      <c r="J405" s="3">
        <v>0.21</v>
      </c>
      <c r="K405" s="6">
        <v>600.93335000000002</v>
      </c>
      <c r="L405" s="3">
        <v>0</v>
      </c>
      <c r="M405" s="3">
        <f t="shared" si="44"/>
        <v>0.255</v>
      </c>
      <c r="N405" s="5"/>
      <c r="O405" s="5"/>
      <c r="P405" s="5"/>
      <c r="Q405" s="5"/>
      <c r="R405" s="1"/>
      <c r="S405" s="3" t="s">
        <v>210</v>
      </c>
      <c r="T405" s="3">
        <v>0.9</v>
      </c>
      <c r="U405" s="3">
        <v>0.5</v>
      </c>
      <c r="V405" s="3">
        <v>0.6</v>
      </c>
      <c r="W405" s="3">
        <v>0.3</v>
      </c>
      <c r="X405" s="6">
        <v>608.55609100000004</v>
      </c>
      <c r="Y405" s="3">
        <v>3.0000000000000001E-3</v>
      </c>
      <c r="AA405" s="3" t="s">
        <v>210</v>
      </c>
      <c r="AB405" s="3">
        <v>0.93</v>
      </c>
      <c r="AC405" s="7">
        <v>689.92761199999995</v>
      </c>
      <c r="AD405" s="3">
        <v>0</v>
      </c>
      <c r="AE405" s="3">
        <f t="shared" si="45"/>
        <v>0.61499999999999999</v>
      </c>
      <c r="AF405" s="5"/>
      <c r="AG405" s="5"/>
      <c r="AH405" s="5"/>
      <c r="AI405" s="5"/>
      <c r="AJ405" s="1"/>
      <c r="AK405" s="3" t="s">
        <v>211</v>
      </c>
      <c r="AL405" s="3">
        <v>0.9</v>
      </c>
      <c r="AM405" s="3">
        <v>0.5</v>
      </c>
      <c r="AN405" s="3">
        <v>0.6</v>
      </c>
      <c r="AO405" s="3">
        <v>0.3</v>
      </c>
      <c r="AP405" s="6">
        <v>914.02734399999997</v>
      </c>
      <c r="AQ405" s="3">
        <v>7.0000000000000001E-3</v>
      </c>
      <c r="AS405" s="3" t="s">
        <v>211</v>
      </c>
      <c r="AT405" s="3">
        <v>0.97</v>
      </c>
      <c r="AU405" s="7">
        <v>1044.6723629999999</v>
      </c>
      <c r="AV405" s="3">
        <v>1E-3</v>
      </c>
      <c r="AW405" s="3">
        <f t="shared" si="46"/>
        <v>0.63500000000000001</v>
      </c>
      <c r="AX405" s="5"/>
      <c r="AY405" s="5"/>
      <c r="AZ405" s="5"/>
      <c r="BA405" s="5"/>
      <c r="BB405" s="1"/>
      <c r="BC405" s="3" t="s">
        <v>211</v>
      </c>
      <c r="BD405" s="3">
        <v>0.9</v>
      </c>
      <c r="BE405" s="3">
        <v>0.5</v>
      </c>
      <c r="BF405" s="3">
        <v>0.6</v>
      </c>
      <c r="BG405" s="3">
        <v>0.3</v>
      </c>
      <c r="BH405" s="7">
        <v>898.07720900000004</v>
      </c>
      <c r="BI405" s="3">
        <v>7.0000000000000001E-3</v>
      </c>
      <c r="BK405" s="3" t="s">
        <v>211</v>
      </c>
      <c r="BL405" s="3">
        <v>0.2</v>
      </c>
      <c r="BM405" s="6">
        <v>844.69189500000005</v>
      </c>
      <c r="BN405" s="3">
        <v>1E-3</v>
      </c>
      <c r="BO405" s="3">
        <f t="shared" si="47"/>
        <v>0.25</v>
      </c>
    </row>
    <row r="406" spans="1:67" x14ac:dyDescent="0.3">
      <c r="A406" s="3" t="s">
        <v>212</v>
      </c>
      <c r="B406" s="3">
        <v>0.9</v>
      </c>
      <c r="C406" s="3">
        <v>0.5</v>
      </c>
      <c r="D406" s="3">
        <v>0.6</v>
      </c>
      <c r="E406" s="3">
        <v>0.3</v>
      </c>
      <c r="F406" s="6">
        <v>636.93353300000001</v>
      </c>
      <c r="G406" s="3">
        <v>2E-3</v>
      </c>
      <c r="I406" s="3" t="s">
        <v>212</v>
      </c>
      <c r="J406" s="3">
        <v>0.75</v>
      </c>
      <c r="K406" s="7">
        <v>691.64489700000001</v>
      </c>
      <c r="L406" s="3">
        <v>0</v>
      </c>
      <c r="M406" s="3">
        <f t="shared" si="44"/>
        <v>0.52500000000000002</v>
      </c>
      <c r="N406" s="5"/>
      <c r="O406" s="5"/>
      <c r="P406" s="5"/>
      <c r="Q406" s="5"/>
      <c r="R406" s="1"/>
      <c r="S406" s="3" t="s">
        <v>212</v>
      </c>
      <c r="T406" s="3">
        <v>0.9</v>
      </c>
      <c r="U406" s="3">
        <v>0.5</v>
      </c>
      <c r="V406" s="3">
        <v>0.6</v>
      </c>
      <c r="W406" s="3">
        <v>0.3</v>
      </c>
      <c r="X406" s="6">
        <v>620.18176300000005</v>
      </c>
      <c r="Y406" s="3">
        <v>2E-3</v>
      </c>
      <c r="AA406" s="3" t="s">
        <v>212</v>
      </c>
      <c r="AB406" s="3">
        <v>0.52</v>
      </c>
      <c r="AC406" s="7">
        <v>660.02893100000006</v>
      </c>
      <c r="AD406" s="3">
        <v>0</v>
      </c>
      <c r="AE406" s="3">
        <f t="shared" si="45"/>
        <v>0.41000000000000003</v>
      </c>
      <c r="AF406" s="5"/>
      <c r="AG406" s="5"/>
      <c r="AH406" s="5"/>
      <c r="AI406" s="5"/>
      <c r="AJ406" s="1"/>
      <c r="AK406" s="3" t="s">
        <v>213</v>
      </c>
      <c r="AL406" s="3">
        <v>0.9</v>
      </c>
      <c r="AM406" s="3">
        <v>0.5</v>
      </c>
      <c r="AN406" s="3">
        <v>0.6</v>
      </c>
      <c r="AO406" s="3">
        <v>0.3</v>
      </c>
      <c r="AP406" s="6">
        <v>956.25885000000005</v>
      </c>
      <c r="AQ406" s="3">
        <v>0.01</v>
      </c>
      <c r="AS406" s="3" t="s">
        <v>213</v>
      </c>
      <c r="AT406" s="3">
        <v>0.96</v>
      </c>
      <c r="AU406" s="7">
        <v>1110.9133300000001</v>
      </c>
      <c r="AV406" s="3">
        <v>1E-3</v>
      </c>
      <c r="AW406" s="3">
        <f t="shared" si="46"/>
        <v>0.63</v>
      </c>
      <c r="AX406" s="5"/>
      <c r="AY406" s="5"/>
      <c r="AZ406" s="5"/>
      <c r="BA406" s="5"/>
      <c r="BB406" s="1"/>
      <c r="BC406" s="3" t="s">
        <v>213</v>
      </c>
      <c r="BD406" s="3">
        <v>0.9</v>
      </c>
      <c r="BE406" s="3">
        <v>0.5</v>
      </c>
      <c r="BF406" s="3">
        <v>0.6</v>
      </c>
      <c r="BG406" s="3">
        <v>0.3</v>
      </c>
      <c r="BH406" s="6">
        <v>951.216003</v>
      </c>
      <c r="BI406" s="3">
        <v>7.0000000000000001E-3</v>
      </c>
      <c r="BK406" s="3" t="s">
        <v>213</v>
      </c>
      <c r="BL406" s="3">
        <v>0.33</v>
      </c>
      <c r="BM406" s="7">
        <v>954.67657499999996</v>
      </c>
      <c r="BN406" s="3">
        <v>0</v>
      </c>
      <c r="BO406" s="3">
        <f t="shared" si="47"/>
        <v>0.315</v>
      </c>
    </row>
    <row r="407" spans="1:67" x14ac:dyDescent="0.3">
      <c r="A407" s="3" t="s">
        <v>214</v>
      </c>
      <c r="B407" s="3">
        <v>0.9</v>
      </c>
      <c r="C407" s="3">
        <v>0.5</v>
      </c>
      <c r="D407" s="3">
        <v>0.6</v>
      </c>
      <c r="E407" s="3">
        <v>0.3</v>
      </c>
      <c r="F407" s="6">
        <v>642.42156999999997</v>
      </c>
      <c r="G407" s="3">
        <v>2E-3</v>
      </c>
      <c r="I407" s="3" t="s">
        <v>214</v>
      </c>
      <c r="J407" s="3">
        <v>0.96</v>
      </c>
      <c r="K407" s="7">
        <v>748.16857900000002</v>
      </c>
      <c r="L407" s="3">
        <v>0</v>
      </c>
      <c r="M407" s="3">
        <f t="shared" si="44"/>
        <v>0.63</v>
      </c>
      <c r="N407" s="5"/>
      <c r="O407" s="5"/>
      <c r="P407" s="5"/>
      <c r="Q407" s="5"/>
      <c r="R407" s="1"/>
      <c r="S407" s="3" t="s">
        <v>214</v>
      </c>
      <c r="T407" s="3">
        <v>0.9</v>
      </c>
      <c r="U407" s="3">
        <v>0.5</v>
      </c>
      <c r="V407" s="3">
        <v>0.6</v>
      </c>
      <c r="W407" s="3">
        <v>0.3</v>
      </c>
      <c r="X407" s="6">
        <v>646.97271699999999</v>
      </c>
      <c r="Y407" s="3">
        <v>3.0000000000000001E-3</v>
      </c>
      <c r="AA407" s="3" t="s">
        <v>214</v>
      </c>
      <c r="AB407" s="3">
        <v>0.47</v>
      </c>
      <c r="AC407" s="7">
        <v>670.247253</v>
      </c>
      <c r="AD407" s="3">
        <v>0</v>
      </c>
      <c r="AE407" s="3">
        <f t="shared" si="45"/>
        <v>0.38500000000000001</v>
      </c>
      <c r="AF407" s="5"/>
      <c r="AG407" s="5"/>
      <c r="AH407" s="5"/>
      <c r="AI407" s="5"/>
      <c r="AJ407" s="1"/>
      <c r="AK407" s="3" t="s">
        <v>215</v>
      </c>
      <c r="AL407" s="3">
        <v>0.9</v>
      </c>
      <c r="AM407" s="3">
        <v>0.5</v>
      </c>
      <c r="AN407" s="3">
        <v>0.6</v>
      </c>
      <c r="AO407" s="3">
        <v>0.3</v>
      </c>
      <c r="AP407" s="6">
        <v>1023.178894</v>
      </c>
      <c r="AQ407" s="3">
        <v>1.6E-2</v>
      </c>
      <c r="AS407" s="3" t="s">
        <v>215</v>
      </c>
      <c r="AT407" s="3">
        <v>0.63</v>
      </c>
      <c r="AU407" s="7">
        <v>1184.72937</v>
      </c>
      <c r="AV407" s="3">
        <v>1E-3</v>
      </c>
      <c r="AW407" s="3">
        <f t="shared" si="46"/>
        <v>0.46499999999999997</v>
      </c>
      <c r="AX407" s="5"/>
      <c r="AY407" s="5"/>
      <c r="AZ407" s="5"/>
      <c r="BA407" s="5"/>
      <c r="BB407" s="1"/>
      <c r="BC407" s="3" t="s">
        <v>215</v>
      </c>
      <c r="BD407" s="3">
        <v>0.9</v>
      </c>
      <c r="BE407" s="3">
        <v>0.5</v>
      </c>
      <c r="BF407" s="3">
        <v>0.6</v>
      </c>
      <c r="BG407" s="3">
        <v>0.3</v>
      </c>
      <c r="BH407" s="6">
        <v>1023.651672</v>
      </c>
      <c r="BI407" s="3">
        <v>1.2E-2</v>
      </c>
      <c r="BK407" s="3" t="s">
        <v>215</v>
      </c>
      <c r="BL407" s="3">
        <v>0.77</v>
      </c>
      <c r="BM407" s="7">
        <v>1234.6621090000001</v>
      </c>
      <c r="BN407" s="3">
        <v>1E-3</v>
      </c>
      <c r="BO407" s="3">
        <f t="shared" si="47"/>
        <v>0.53500000000000003</v>
      </c>
    </row>
    <row r="408" spans="1:67" x14ac:dyDescent="0.3">
      <c r="A408" s="3" t="s">
        <v>216</v>
      </c>
      <c r="B408" s="3">
        <v>0.9</v>
      </c>
      <c r="C408" s="3">
        <v>0.5</v>
      </c>
      <c r="D408" s="3">
        <v>0.6</v>
      </c>
      <c r="E408" s="3">
        <v>0.3</v>
      </c>
      <c r="F408" s="6">
        <v>615.52948000000004</v>
      </c>
      <c r="G408" s="3">
        <v>2E-3</v>
      </c>
      <c r="I408" s="3" t="s">
        <v>216</v>
      </c>
      <c r="J408" s="3">
        <v>0.81</v>
      </c>
      <c r="K408" s="7">
        <v>709.41931199999999</v>
      </c>
      <c r="L408" s="3">
        <v>1E-3</v>
      </c>
      <c r="M408" s="3">
        <f t="shared" si="44"/>
        <v>0.55500000000000005</v>
      </c>
      <c r="N408" s="5"/>
      <c r="O408" s="5"/>
      <c r="P408" s="5"/>
      <c r="Q408" s="5"/>
      <c r="R408" s="1"/>
      <c r="S408" s="3" t="s">
        <v>216</v>
      </c>
      <c r="T408" s="3">
        <v>0.9</v>
      </c>
      <c r="U408" s="3">
        <v>0.5</v>
      </c>
      <c r="V408" s="3">
        <v>0.6</v>
      </c>
      <c r="W408" s="3">
        <v>0.3</v>
      </c>
      <c r="X408" s="6">
        <v>591.88995399999999</v>
      </c>
      <c r="Y408" s="3">
        <v>2E-3</v>
      </c>
      <c r="AA408" s="3" t="s">
        <v>216</v>
      </c>
      <c r="AB408" s="3">
        <v>0.73</v>
      </c>
      <c r="AC408" s="7">
        <v>687.40362500000003</v>
      </c>
      <c r="AD408" s="3">
        <v>1E-3</v>
      </c>
      <c r="AE408" s="3">
        <f t="shared" si="45"/>
        <v>0.51500000000000001</v>
      </c>
      <c r="AF408" s="5"/>
      <c r="AG408" s="5"/>
      <c r="AH408" s="5"/>
      <c r="AI408" s="5"/>
      <c r="AJ408" s="1"/>
      <c r="AK408" s="3" t="s">
        <v>217</v>
      </c>
      <c r="AL408" s="3">
        <v>0.9</v>
      </c>
      <c r="AM408" s="3">
        <v>0.5</v>
      </c>
      <c r="AN408" s="3">
        <v>0.6</v>
      </c>
      <c r="AO408" s="3">
        <v>0.3</v>
      </c>
      <c r="AP408" s="6">
        <v>1031.7460940000001</v>
      </c>
      <c r="AQ408" s="3">
        <v>1.0999999999999999E-2</v>
      </c>
      <c r="AS408" s="3" t="s">
        <v>217</v>
      </c>
      <c r="AT408" s="3">
        <v>0.96</v>
      </c>
      <c r="AU408" s="7">
        <v>1291.7653809999999</v>
      </c>
      <c r="AV408" s="3">
        <v>1E-3</v>
      </c>
      <c r="AW408" s="3">
        <f t="shared" si="46"/>
        <v>0.63</v>
      </c>
      <c r="AX408" s="5"/>
      <c r="AY408" s="5"/>
      <c r="AZ408" s="5"/>
      <c r="BA408" s="5"/>
      <c r="BB408" s="1"/>
      <c r="BC408" s="3" t="s">
        <v>217</v>
      </c>
      <c r="BD408" s="3">
        <v>0.9</v>
      </c>
      <c r="BE408" s="3">
        <v>0.5</v>
      </c>
      <c r="BF408" s="3">
        <v>0.6</v>
      </c>
      <c r="BG408" s="3">
        <v>0.3</v>
      </c>
      <c r="BH408" s="7">
        <v>1056.4921879999999</v>
      </c>
      <c r="BI408" s="3">
        <v>8.9999999999999993E-3</v>
      </c>
      <c r="BK408" s="3" t="s">
        <v>217</v>
      </c>
      <c r="BL408" s="3">
        <v>0.11</v>
      </c>
      <c r="BM408" s="6">
        <v>948.43542500000001</v>
      </c>
      <c r="BN408" s="3">
        <v>1E-3</v>
      </c>
      <c r="BO408" s="3">
        <f t="shared" si="47"/>
        <v>0.20499999999999999</v>
      </c>
    </row>
    <row r="409" spans="1:67" x14ac:dyDescent="0.3">
      <c r="A409" s="3" t="s">
        <v>218</v>
      </c>
      <c r="B409" s="3">
        <v>0.9</v>
      </c>
      <c r="C409" s="3">
        <v>0.5</v>
      </c>
      <c r="D409" s="3">
        <v>0.6</v>
      </c>
      <c r="E409" s="3">
        <v>0.3</v>
      </c>
      <c r="F409" s="6">
        <v>673.25628700000004</v>
      </c>
      <c r="G409" s="3">
        <v>2E-3</v>
      </c>
      <c r="I409" s="3" t="s">
        <v>218</v>
      </c>
      <c r="J409" s="3">
        <v>0.53</v>
      </c>
      <c r="K409" s="7">
        <v>717.59814500000005</v>
      </c>
      <c r="L409" s="3">
        <v>0</v>
      </c>
      <c r="M409" s="3">
        <f t="shared" si="44"/>
        <v>0.41500000000000004</v>
      </c>
      <c r="N409" s="5"/>
      <c r="O409" s="5"/>
      <c r="P409" s="5"/>
      <c r="Q409" s="5"/>
      <c r="R409" s="1"/>
      <c r="S409" s="3" t="s">
        <v>218</v>
      </c>
      <c r="T409" s="3">
        <v>0.9</v>
      </c>
      <c r="U409" s="3">
        <v>0.5</v>
      </c>
      <c r="V409" s="3">
        <v>0.6</v>
      </c>
      <c r="W409" s="3">
        <v>0.3</v>
      </c>
      <c r="X409" s="6">
        <v>643.56225600000005</v>
      </c>
      <c r="Y409" s="3">
        <v>2E-3</v>
      </c>
      <c r="AA409" s="3" t="s">
        <v>218</v>
      </c>
      <c r="AB409" s="3">
        <v>0.47</v>
      </c>
      <c r="AC409" s="7">
        <v>681.55822799999999</v>
      </c>
      <c r="AD409" s="3">
        <v>1E-3</v>
      </c>
      <c r="AE409" s="3">
        <f t="shared" si="45"/>
        <v>0.38500000000000001</v>
      </c>
      <c r="AF409" s="5"/>
      <c r="AG409" s="5"/>
      <c r="AH409" s="5"/>
      <c r="AI409" s="5"/>
      <c r="AJ409" s="1"/>
      <c r="AK409" s="3" t="s">
        <v>219</v>
      </c>
      <c r="AL409" s="3">
        <v>0.9</v>
      </c>
      <c r="AM409" s="3">
        <v>0.5</v>
      </c>
      <c r="AN409" s="3">
        <v>0.6</v>
      </c>
      <c r="AO409" s="3">
        <v>0.3</v>
      </c>
      <c r="AP409" s="6">
        <v>1067.198975</v>
      </c>
      <c r="AQ409" s="3">
        <v>0.01</v>
      </c>
      <c r="AS409" s="3" t="s">
        <v>219</v>
      </c>
      <c r="AT409" s="3">
        <v>0.89</v>
      </c>
      <c r="AU409" s="7">
        <v>1286.9379879999999</v>
      </c>
      <c r="AV409" s="3">
        <v>1E-3</v>
      </c>
      <c r="AW409" s="3">
        <f t="shared" si="46"/>
        <v>0.59499999999999997</v>
      </c>
      <c r="AX409" s="5"/>
      <c r="AY409" s="5"/>
      <c r="AZ409" s="5"/>
      <c r="BA409" s="5"/>
      <c r="BB409" s="1"/>
      <c r="BC409" s="3" t="s">
        <v>219</v>
      </c>
      <c r="BD409" s="3">
        <v>0.9</v>
      </c>
      <c r="BE409" s="3">
        <v>0.5</v>
      </c>
      <c r="BF409" s="3">
        <v>0.6</v>
      </c>
      <c r="BG409" s="3">
        <v>0.3</v>
      </c>
      <c r="BH409" s="6">
        <v>1065.800659</v>
      </c>
      <c r="BI409" s="3">
        <v>8.9999999999999993E-3</v>
      </c>
      <c r="BK409" s="3" t="s">
        <v>219</v>
      </c>
      <c r="BL409" s="3">
        <v>0.63</v>
      </c>
      <c r="BM409" s="7">
        <v>1198.552612</v>
      </c>
      <c r="BN409" s="3">
        <v>1E-3</v>
      </c>
      <c r="BO409" s="3">
        <f t="shared" si="47"/>
        <v>0.46499999999999997</v>
      </c>
    </row>
    <row r="410" spans="1:67" x14ac:dyDescent="0.3">
      <c r="A410" s="3" t="s">
        <v>220</v>
      </c>
      <c r="B410" s="3">
        <v>0.9</v>
      </c>
      <c r="C410" s="3">
        <v>0.5</v>
      </c>
      <c r="D410" s="3">
        <v>0.6</v>
      </c>
      <c r="E410" s="3">
        <v>0.3</v>
      </c>
      <c r="F410" s="6">
        <v>678.98358199999996</v>
      </c>
      <c r="G410" s="3">
        <v>2E-3</v>
      </c>
      <c r="I410" s="3" t="s">
        <v>220</v>
      </c>
      <c r="J410" s="3">
        <v>0.64</v>
      </c>
      <c r="K410" s="7">
        <v>774.71105999999997</v>
      </c>
      <c r="L410" s="3">
        <v>0</v>
      </c>
      <c r="M410" s="3">
        <f t="shared" si="44"/>
        <v>0.47</v>
      </c>
      <c r="N410" s="5"/>
      <c r="O410" s="5"/>
      <c r="P410" s="5"/>
      <c r="Q410" s="5"/>
      <c r="R410" s="1"/>
      <c r="S410" s="3" t="s">
        <v>220</v>
      </c>
      <c r="T410" s="3">
        <v>0.9</v>
      </c>
      <c r="U410" s="3">
        <v>0.5</v>
      </c>
      <c r="V410" s="3">
        <v>0.6</v>
      </c>
      <c r="W410" s="3">
        <v>0.3</v>
      </c>
      <c r="X410" s="6">
        <v>686.17370600000004</v>
      </c>
      <c r="Y410" s="3">
        <v>4.0000000000000001E-3</v>
      </c>
      <c r="AA410" s="3" t="s">
        <v>220</v>
      </c>
      <c r="AB410" s="3">
        <v>0.72</v>
      </c>
      <c r="AC410" s="7">
        <v>814.95330799999999</v>
      </c>
      <c r="AD410" s="3">
        <v>0</v>
      </c>
      <c r="AE410" s="3">
        <f t="shared" si="45"/>
        <v>0.51</v>
      </c>
      <c r="AF410" s="5"/>
      <c r="AG410" s="5"/>
      <c r="AH410" s="5"/>
      <c r="AI410" s="5"/>
      <c r="AJ410" s="1"/>
      <c r="AK410" s="3" t="s">
        <v>221</v>
      </c>
      <c r="AL410" s="3">
        <v>0.9</v>
      </c>
      <c r="AM410" s="3">
        <v>0.5</v>
      </c>
      <c r="AN410" s="3">
        <v>0.6</v>
      </c>
      <c r="AO410" s="3">
        <v>0.3</v>
      </c>
      <c r="AP410" s="7">
        <v>984.73730499999999</v>
      </c>
      <c r="AQ410" s="3">
        <v>7.0000000000000001E-3</v>
      </c>
      <c r="AS410" s="3" t="s">
        <v>221</v>
      </c>
      <c r="AT410" s="3">
        <v>0.25</v>
      </c>
      <c r="AU410" s="6">
        <v>955.18963599999995</v>
      </c>
      <c r="AV410" s="3">
        <v>1E-3</v>
      </c>
      <c r="AW410" s="3">
        <f t="shared" si="46"/>
        <v>0.27500000000000002</v>
      </c>
      <c r="AX410" s="5"/>
      <c r="AY410" s="5"/>
      <c r="AZ410" s="5"/>
      <c r="BA410" s="5"/>
      <c r="BB410" s="1"/>
      <c r="BC410" s="3" t="s">
        <v>221</v>
      </c>
      <c r="BD410" s="3">
        <v>0.9</v>
      </c>
      <c r="BE410" s="3">
        <v>0.5</v>
      </c>
      <c r="BF410" s="3">
        <v>0.6</v>
      </c>
      <c r="BG410" s="3">
        <v>0.3</v>
      </c>
      <c r="BH410" s="7">
        <v>977.16546600000004</v>
      </c>
      <c r="BI410" s="3">
        <v>8.0000000000000002E-3</v>
      </c>
      <c r="BK410" s="3" t="s">
        <v>221</v>
      </c>
      <c r="BL410" s="3">
        <v>0.27</v>
      </c>
      <c r="BM410" s="6">
        <v>943.89093000000003</v>
      </c>
      <c r="BN410" s="3">
        <v>1E-3</v>
      </c>
      <c r="BO410" s="3">
        <f t="shared" si="47"/>
        <v>0.28500000000000003</v>
      </c>
    </row>
    <row r="411" spans="1:67" x14ac:dyDescent="0.3">
      <c r="A411" s="3" t="s">
        <v>222</v>
      </c>
      <c r="B411" s="3">
        <v>0.9</v>
      </c>
      <c r="C411" s="3">
        <v>0.5</v>
      </c>
      <c r="D411" s="3">
        <v>0.6</v>
      </c>
      <c r="E411" s="3">
        <v>0.3</v>
      </c>
      <c r="F411" s="6">
        <v>700.60656700000004</v>
      </c>
      <c r="G411" s="3">
        <v>3.0000000000000001E-3</v>
      </c>
      <c r="I411" s="3" t="s">
        <v>222</v>
      </c>
      <c r="J411" s="3">
        <v>0.55000000000000004</v>
      </c>
      <c r="K411" s="7">
        <v>747.31823699999995</v>
      </c>
      <c r="L411" s="3">
        <v>1E-3</v>
      </c>
      <c r="M411" s="3">
        <f t="shared" si="44"/>
        <v>0.42500000000000004</v>
      </c>
      <c r="N411" s="5"/>
      <c r="O411" s="5"/>
      <c r="P411" s="5"/>
      <c r="Q411" s="5"/>
      <c r="R411" s="1"/>
      <c r="S411" s="3" t="s">
        <v>222</v>
      </c>
      <c r="T411" s="3">
        <v>0.9</v>
      </c>
      <c r="U411" s="3">
        <v>0.5</v>
      </c>
      <c r="V411" s="3">
        <v>0.6</v>
      </c>
      <c r="W411" s="3">
        <v>0.3</v>
      </c>
      <c r="X411" s="6">
        <v>678.02447500000005</v>
      </c>
      <c r="Y411" s="3">
        <v>3.0000000000000001E-3</v>
      </c>
      <c r="AA411" s="3" t="s">
        <v>222</v>
      </c>
      <c r="AB411" s="3">
        <v>0.69</v>
      </c>
      <c r="AC411" s="7">
        <v>774.82690400000001</v>
      </c>
      <c r="AD411" s="3">
        <v>1E-3</v>
      </c>
      <c r="AE411" s="3">
        <f t="shared" si="45"/>
        <v>0.495</v>
      </c>
      <c r="AF411" s="5"/>
      <c r="AG411" s="5"/>
      <c r="AH411" s="5"/>
      <c r="AI411" s="5"/>
      <c r="AJ411" s="1"/>
      <c r="AK411" s="3" t="s">
        <v>223</v>
      </c>
      <c r="AL411" s="3">
        <v>0.9</v>
      </c>
      <c r="AM411" s="3">
        <v>0.5</v>
      </c>
      <c r="AN411" s="3">
        <v>0.6</v>
      </c>
      <c r="AO411" s="3">
        <v>0.3</v>
      </c>
      <c r="AP411" s="6">
        <v>1087.6243899999999</v>
      </c>
      <c r="AQ411" s="3">
        <v>8.0000000000000002E-3</v>
      </c>
      <c r="AS411" s="3" t="s">
        <v>223</v>
      </c>
      <c r="AT411" s="3">
        <v>0.66</v>
      </c>
      <c r="AU411" s="7">
        <v>1207.778687</v>
      </c>
      <c r="AV411" s="3">
        <v>1E-3</v>
      </c>
      <c r="AW411" s="3">
        <f t="shared" si="46"/>
        <v>0.48</v>
      </c>
      <c r="AX411" s="5"/>
      <c r="AY411" s="5"/>
      <c r="AZ411" s="5"/>
      <c r="BA411" s="5"/>
      <c r="BB411" s="1"/>
      <c r="BC411" s="3" t="s">
        <v>223</v>
      </c>
      <c r="BD411" s="3">
        <v>0.9</v>
      </c>
      <c r="BE411" s="3">
        <v>0.5</v>
      </c>
      <c r="BF411" s="3">
        <v>0.6</v>
      </c>
      <c r="BG411" s="3">
        <v>0.3</v>
      </c>
      <c r="BH411" s="6">
        <v>1093.0775149999999</v>
      </c>
      <c r="BI411" s="3">
        <v>1.2999999999999999E-2</v>
      </c>
      <c r="BK411" s="3" t="s">
        <v>223</v>
      </c>
      <c r="BL411" s="3">
        <v>0.82</v>
      </c>
      <c r="BM411" s="7">
        <v>1236.5471190000001</v>
      </c>
      <c r="BN411" s="3">
        <v>1E-3</v>
      </c>
      <c r="BO411" s="3">
        <f t="shared" si="47"/>
        <v>0.55999999999999994</v>
      </c>
    </row>
    <row r="412" spans="1:67" x14ac:dyDescent="0.3">
      <c r="A412" s="3" t="s">
        <v>224</v>
      </c>
      <c r="B412" s="3">
        <v>0.9</v>
      </c>
      <c r="C412" s="3">
        <v>0.5</v>
      </c>
      <c r="D412" s="3">
        <v>0.6</v>
      </c>
      <c r="E412" s="3">
        <v>0.3</v>
      </c>
      <c r="F412" s="6">
        <v>753.13653599999998</v>
      </c>
      <c r="G412" s="3">
        <v>2E-3</v>
      </c>
      <c r="I412" s="3" t="s">
        <v>224</v>
      </c>
      <c r="J412" s="3">
        <v>0.63</v>
      </c>
      <c r="K412" s="7">
        <v>830.49029499999995</v>
      </c>
      <c r="L412" s="3">
        <v>0</v>
      </c>
      <c r="M412" s="3">
        <f t="shared" si="44"/>
        <v>0.46499999999999997</v>
      </c>
      <c r="N412" s="5"/>
      <c r="O412" s="5"/>
      <c r="P412" s="5"/>
      <c r="Q412" s="5"/>
      <c r="R412" s="1"/>
      <c r="S412" s="3" t="s">
        <v>224</v>
      </c>
      <c r="T412" s="3">
        <v>0.9</v>
      </c>
      <c r="U412" s="3">
        <v>0.5</v>
      </c>
      <c r="V412" s="3">
        <v>0.6</v>
      </c>
      <c r="W412" s="3">
        <v>0.3</v>
      </c>
      <c r="X412" s="6">
        <v>766.90704300000004</v>
      </c>
      <c r="Y412" s="3">
        <v>3.0000000000000001E-3</v>
      </c>
      <c r="AA412" s="3" t="s">
        <v>224</v>
      </c>
      <c r="AB412" s="3">
        <v>0.41</v>
      </c>
      <c r="AC412" s="7">
        <v>775.87188700000002</v>
      </c>
      <c r="AD412" s="3">
        <v>1E-3</v>
      </c>
      <c r="AE412" s="3">
        <f t="shared" si="45"/>
        <v>0.35499999999999998</v>
      </c>
      <c r="AF412" s="5"/>
      <c r="AG412" s="5"/>
      <c r="AH412" s="5"/>
      <c r="AI412" s="5"/>
      <c r="AJ412" s="1"/>
      <c r="AK412" s="3" t="s">
        <v>225</v>
      </c>
      <c r="AL412" s="3">
        <v>0.9</v>
      </c>
      <c r="AM412" s="3">
        <v>0.5</v>
      </c>
      <c r="AN412" s="3">
        <v>0.6</v>
      </c>
      <c r="AO412" s="3">
        <v>0.3</v>
      </c>
      <c r="AP412" s="7">
        <v>1000.747192</v>
      </c>
      <c r="AQ412" s="3">
        <v>8.0000000000000002E-3</v>
      </c>
      <c r="AS412" s="3" t="s">
        <v>225</v>
      </c>
      <c r="AT412" s="3">
        <v>0.16</v>
      </c>
      <c r="AU412" s="6">
        <v>919.74194299999999</v>
      </c>
      <c r="AV412" s="3">
        <v>1E-3</v>
      </c>
      <c r="AW412" s="3">
        <f t="shared" si="46"/>
        <v>0.22999999999999998</v>
      </c>
      <c r="AX412" s="5"/>
      <c r="AY412" s="5"/>
      <c r="AZ412" s="5"/>
      <c r="BA412" s="5"/>
      <c r="BB412" s="1"/>
      <c r="BC412" s="3" t="s">
        <v>225</v>
      </c>
      <c r="BD412" s="3">
        <v>0.9</v>
      </c>
      <c r="BE412" s="3">
        <v>0.5</v>
      </c>
      <c r="BF412" s="3">
        <v>0.6</v>
      </c>
      <c r="BG412" s="3">
        <v>0.3</v>
      </c>
      <c r="BH412" s="6">
        <v>1002.990967</v>
      </c>
      <c r="BI412" s="3">
        <v>8.9999999999999993E-3</v>
      </c>
      <c r="BK412" s="3" t="s">
        <v>225</v>
      </c>
      <c r="BL412" s="3">
        <v>0.91</v>
      </c>
      <c r="BM412" s="7">
        <v>1208.0179439999999</v>
      </c>
      <c r="BN412" s="3">
        <v>0</v>
      </c>
      <c r="BO412" s="3">
        <f t="shared" si="47"/>
        <v>0.60499999999999998</v>
      </c>
    </row>
    <row r="413" spans="1:67" x14ac:dyDescent="0.3">
      <c r="A413" s="3" t="s">
        <v>226</v>
      </c>
      <c r="B413" s="3">
        <v>0.9</v>
      </c>
      <c r="C413" s="3">
        <v>0.5</v>
      </c>
      <c r="D413" s="3">
        <v>0.6</v>
      </c>
      <c r="E413" s="3">
        <v>0.3</v>
      </c>
      <c r="F413" s="7">
        <v>730.86334199999999</v>
      </c>
      <c r="G413" s="3">
        <v>2E-3</v>
      </c>
      <c r="I413" s="3" t="s">
        <v>226</v>
      </c>
      <c r="J413" s="3">
        <v>0.2</v>
      </c>
      <c r="K413" s="6">
        <v>707.97375499999998</v>
      </c>
      <c r="L413" s="3">
        <v>0</v>
      </c>
      <c r="M413" s="3">
        <f t="shared" si="44"/>
        <v>0.25</v>
      </c>
      <c r="N413" s="5"/>
      <c r="O413" s="5"/>
      <c r="P413" s="5"/>
      <c r="Q413" s="5"/>
      <c r="R413" s="1"/>
      <c r="S413" s="3" t="s">
        <v>226</v>
      </c>
      <c r="T413" s="3">
        <v>0.9</v>
      </c>
      <c r="U413" s="3">
        <v>0.5</v>
      </c>
      <c r="V413" s="3">
        <v>0.6</v>
      </c>
      <c r="W413" s="3">
        <v>0.3</v>
      </c>
      <c r="X413" s="6">
        <v>732.142517</v>
      </c>
      <c r="Y413" s="3">
        <v>3.0000000000000001E-3</v>
      </c>
      <c r="AA413" s="3" t="s">
        <v>226</v>
      </c>
      <c r="AB413" s="3">
        <v>0.93</v>
      </c>
      <c r="AC413" s="7">
        <v>837.535706</v>
      </c>
      <c r="AD413" s="3">
        <v>1E-3</v>
      </c>
      <c r="AE413" s="3">
        <f t="shared" si="45"/>
        <v>0.61499999999999999</v>
      </c>
      <c r="AF413" s="5"/>
      <c r="AG413" s="5"/>
      <c r="AH413" s="5"/>
      <c r="AI413" s="5"/>
      <c r="AJ413" s="1"/>
      <c r="AK413" s="3" t="s">
        <v>227</v>
      </c>
      <c r="AL413" s="3">
        <v>0.9</v>
      </c>
      <c r="AM413" s="3">
        <v>0.5</v>
      </c>
      <c r="AN413" s="3">
        <v>0.6</v>
      </c>
      <c r="AO413" s="3">
        <v>0.3</v>
      </c>
      <c r="AP413" s="6">
        <v>999.87982199999999</v>
      </c>
      <c r="AQ413" s="3">
        <v>7.0000000000000001E-3</v>
      </c>
      <c r="AS413" s="3" t="s">
        <v>227</v>
      </c>
      <c r="AT413" s="3">
        <v>0.91</v>
      </c>
      <c r="AU413" s="7">
        <v>1170.8743899999999</v>
      </c>
      <c r="AV413" s="3">
        <v>1E-3</v>
      </c>
      <c r="AW413" s="3">
        <f t="shared" si="46"/>
        <v>0.60499999999999998</v>
      </c>
      <c r="AX413" s="5"/>
      <c r="AY413" s="5"/>
      <c r="AZ413" s="5"/>
      <c r="BA413" s="5"/>
      <c r="BB413" s="1"/>
      <c r="BC413" s="3" t="s">
        <v>227</v>
      </c>
      <c r="BD413" s="3">
        <v>0.9</v>
      </c>
      <c r="BE413" s="3">
        <v>0.5</v>
      </c>
      <c r="BF413" s="3">
        <v>0.6</v>
      </c>
      <c r="BG413" s="3">
        <v>0.3</v>
      </c>
      <c r="BH413" s="6">
        <v>995.50878899999998</v>
      </c>
      <c r="BI413" s="3">
        <v>1.7999999999999999E-2</v>
      </c>
      <c r="BK413" s="3" t="s">
        <v>227</v>
      </c>
      <c r="BL413" s="3">
        <v>0.84</v>
      </c>
      <c r="BM413" s="7">
        <v>1146.063232</v>
      </c>
      <c r="BN413" s="3">
        <v>1E-3</v>
      </c>
      <c r="BO413" s="3">
        <f t="shared" si="47"/>
        <v>0.56999999999999995</v>
      </c>
    </row>
    <row r="414" spans="1:67" x14ac:dyDescent="0.3">
      <c r="A414" s="3" t="s">
        <v>228</v>
      </c>
      <c r="B414" s="3">
        <v>0.9</v>
      </c>
      <c r="C414" s="3">
        <v>0.5</v>
      </c>
      <c r="D414" s="3">
        <v>0.6</v>
      </c>
      <c r="E414" s="3">
        <v>0.3</v>
      </c>
      <c r="F414" s="6">
        <v>649.32195999999999</v>
      </c>
      <c r="G414" s="3">
        <v>2E-3</v>
      </c>
      <c r="I414" s="3" t="s">
        <v>228</v>
      </c>
      <c r="J414" s="3">
        <v>0.75</v>
      </c>
      <c r="K414" s="7">
        <v>742.76666299999999</v>
      </c>
      <c r="L414" s="3">
        <v>0</v>
      </c>
      <c r="M414" s="3">
        <f t="shared" si="44"/>
        <v>0.52500000000000002</v>
      </c>
      <c r="N414" s="5"/>
      <c r="O414" s="5"/>
      <c r="P414" s="5"/>
      <c r="Q414" s="5"/>
      <c r="R414" s="1"/>
      <c r="S414" s="3" t="s">
        <v>228</v>
      </c>
      <c r="T414" s="3">
        <v>0.9</v>
      </c>
      <c r="U414" s="3">
        <v>0.5</v>
      </c>
      <c r="V414" s="3">
        <v>0.6</v>
      </c>
      <c r="W414" s="3">
        <v>0.3</v>
      </c>
      <c r="X414" s="7">
        <v>649.49273700000003</v>
      </c>
      <c r="Y414" s="3">
        <v>2E-3</v>
      </c>
      <c r="AA414" s="3" t="s">
        <v>228</v>
      </c>
      <c r="AB414" s="3">
        <v>0.18</v>
      </c>
      <c r="AC414" s="6">
        <v>586.22650099999998</v>
      </c>
      <c r="AD414" s="3">
        <v>0</v>
      </c>
      <c r="AE414" s="3">
        <f t="shared" si="45"/>
        <v>0.24</v>
      </c>
      <c r="AF414" s="5"/>
      <c r="AG414" s="5"/>
      <c r="AH414" s="5"/>
      <c r="AI414" s="5"/>
      <c r="AJ414" s="1"/>
      <c r="AK414" s="3" t="s">
        <v>229</v>
      </c>
      <c r="AL414" s="3">
        <v>0.9</v>
      </c>
      <c r="AM414" s="3">
        <v>0.5</v>
      </c>
      <c r="AN414" s="3">
        <v>0.6</v>
      </c>
      <c r="AO414" s="3">
        <v>0.3</v>
      </c>
      <c r="AP414" s="7">
        <v>1095.786255</v>
      </c>
      <c r="AQ414" s="3">
        <v>7.0000000000000001E-3</v>
      </c>
      <c r="AS414" s="3" t="s">
        <v>229</v>
      </c>
      <c r="AT414" s="3">
        <v>0.41</v>
      </c>
      <c r="AU414" s="6">
        <v>1069.7060550000001</v>
      </c>
      <c r="AV414" s="3">
        <v>1E-3</v>
      </c>
      <c r="AW414" s="3">
        <f t="shared" si="46"/>
        <v>0.35499999999999998</v>
      </c>
      <c r="AX414" s="5"/>
      <c r="AY414" s="5"/>
      <c r="AZ414" s="5"/>
      <c r="BA414" s="5"/>
      <c r="BB414" s="1"/>
      <c r="BC414" s="3" t="s">
        <v>229</v>
      </c>
      <c r="BD414" s="3">
        <v>0.9</v>
      </c>
      <c r="BE414" s="3">
        <v>0.5</v>
      </c>
      <c r="BF414" s="3">
        <v>0.6</v>
      </c>
      <c r="BG414" s="3">
        <v>0.3</v>
      </c>
      <c r="BH414" s="7">
        <v>1092.967163</v>
      </c>
      <c r="BI414" s="3">
        <v>2.5000000000000001E-2</v>
      </c>
      <c r="BK414" s="3" t="s">
        <v>229</v>
      </c>
      <c r="BL414" s="3">
        <v>0.1</v>
      </c>
      <c r="BM414" s="6">
        <v>920.12542699999995</v>
      </c>
      <c r="BN414" s="3">
        <v>0</v>
      </c>
      <c r="BO414" s="3">
        <f t="shared" si="47"/>
        <v>0.2</v>
      </c>
    </row>
    <row r="415" spans="1:67" x14ac:dyDescent="0.3">
      <c r="A415" s="3" t="s">
        <v>230</v>
      </c>
      <c r="B415" s="3">
        <v>0.9</v>
      </c>
      <c r="C415" s="3">
        <v>0.5</v>
      </c>
      <c r="D415" s="3">
        <v>0.6</v>
      </c>
      <c r="E415" s="3">
        <v>0.3</v>
      </c>
      <c r="F415" s="6">
        <v>733.19274900000005</v>
      </c>
      <c r="G415" s="3">
        <v>2E-3</v>
      </c>
      <c r="I415" s="3" t="s">
        <v>230</v>
      </c>
      <c r="J415" s="3">
        <v>0.48</v>
      </c>
      <c r="K415" s="7">
        <v>782.28723100000002</v>
      </c>
      <c r="L415" s="3">
        <v>1E-3</v>
      </c>
      <c r="M415" s="3">
        <f t="shared" si="44"/>
        <v>0.39</v>
      </c>
      <c r="N415" s="5"/>
      <c r="O415" s="5"/>
      <c r="P415" s="5"/>
      <c r="Q415" s="5"/>
      <c r="R415" s="1"/>
      <c r="S415" s="3" t="s">
        <v>230</v>
      </c>
      <c r="T415" s="3">
        <v>0.9</v>
      </c>
      <c r="U415" s="3">
        <v>0.5</v>
      </c>
      <c r="V415" s="3">
        <v>0.6</v>
      </c>
      <c r="W415" s="3">
        <v>0.3</v>
      </c>
      <c r="X415" s="6">
        <v>732.14910899999995</v>
      </c>
      <c r="Y415" s="3">
        <v>3.0000000000000001E-3</v>
      </c>
      <c r="AA415" s="3" t="s">
        <v>230</v>
      </c>
      <c r="AB415" s="3">
        <v>0.93</v>
      </c>
      <c r="AC415" s="7">
        <v>918.759277</v>
      </c>
      <c r="AD415" s="3">
        <v>0</v>
      </c>
      <c r="AE415" s="3">
        <f t="shared" si="45"/>
        <v>0.61499999999999999</v>
      </c>
      <c r="AF415" s="5"/>
      <c r="AG415" s="5"/>
      <c r="AH415" s="5"/>
      <c r="AI415" s="5"/>
      <c r="AJ415" s="1"/>
      <c r="AK415" s="3" t="s">
        <v>231</v>
      </c>
      <c r="AL415" s="3">
        <v>0.9</v>
      </c>
      <c r="AM415" s="3">
        <v>0.5</v>
      </c>
      <c r="AN415" s="3">
        <v>0.6</v>
      </c>
      <c r="AO415" s="3">
        <v>0.3</v>
      </c>
      <c r="AP415" s="6">
        <v>969.95196499999997</v>
      </c>
      <c r="AQ415" s="3">
        <v>7.0000000000000001E-3</v>
      </c>
      <c r="AS415" s="3" t="s">
        <v>231</v>
      </c>
      <c r="AT415" s="3">
        <v>0.56000000000000005</v>
      </c>
      <c r="AU415" s="7">
        <v>1081.6754149999999</v>
      </c>
      <c r="AV415" s="3">
        <v>1E-3</v>
      </c>
      <c r="AW415" s="3">
        <f t="shared" si="46"/>
        <v>0.43000000000000005</v>
      </c>
      <c r="AX415" s="5"/>
      <c r="AY415" s="5"/>
      <c r="AZ415" s="5"/>
      <c r="BA415" s="5"/>
      <c r="BB415" s="1"/>
      <c r="BC415" s="3" t="s">
        <v>231</v>
      </c>
      <c r="BD415" s="3">
        <v>0.9</v>
      </c>
      <c r="BE415" s="3">
        <v>0.5</v>
      </c>
      <c r="BF415" s="3">
        <v>0.6</v>
      </c>
      <c r="BG415" s="3">
        <v>0.3</v>
      </c>
      <c r="BH415" s="7">
        <v>966.69476299999997</v>
      </c>
      <c r="BI415" s="3">
        <v>0.01</v>
      </c>
      <c r="BK415" s="3" t="s">
        <v>231</v>
      </c>
      <c r="BL415" s="3">
        <v>0.09</v>
      </c>
      <c r="BM415" s="6">
        <v>769.63226299999997</v>
      </c>
      <c r="BN415" s="3">
        <v>1E-3</v>
      </c>
      <c r="BO415" s="3">
        <f t="shared" si="47"/>
        <v>0.19500000000000001</v>
      </c>
    </row>
    <row r="416" spans="1:67" x14ac:dyDescent="0.3">
      <c r="A416" s="3" t="s">
        <v>232</v>
      </c>
      <c r="B416" s="3">
        <v>0.9</v>
      </c>
      <c r="C416" s="3">
        <v>0.5</v>
      </c>
      <c r="D416" s="3">
        <v>0.6</v>
      </c>
      <c r="E416" s="3">
        <v>0.3</v>
      </c>
      <c r="F416" s="7">
        <v>776.92352300000005</v>
      </c>
      <c r="G416" s="3">
        <v>3.0000000000000001E-3</v>
      </c>
      <c r="I416" s="3" t="s">
        <v>232</v>
      </c>
      <c r="J416" s="3">
        <v>0.31</v>
      </c>
      <c r="K416" s="6">
        <v>764.87939500000005</v>
      </c>
      <c r="L416" s="3">
        <v>0</v>
      </c>
      <c r="M416" s="3">
        <f t="shared" si="44"/>
        <v>0.30499999999999999</v>
      </c>
      <c r="N416" s="5"/>
      <c r="O416" s="5"/>
      <c r="P416" s="5"/>
      <c r="Q416" s="5"/>
      <c r="R416" s="1"/>
      <c r="S416" s="3" t="s">
        <v>232</v>
      </c>
      <c r="T416" s="3">
        <v>0.9</v>
      </c>
      <c r="U416" s="3">
        <v>0.5</v>
      </c>
      <c r="V416" s="3">
        <v>0.6</v>
      </c>
      <c r="W416" s="3">
        <v>0.3</v>
      </c>
      <c r="X416" s="6">
        <v>766.44445800000005</v>
      </c>
      <c r="Y416" s="3">
        <v>2E-3</v>
      </c>
      <c r="AA416" s="3" t="s">
        <v>232</v>
      </c>
      <c r="AB416" s="3">
        <v>0.57999999999999996</v>
      </c>
      <c r="AC416" s="7">
        <v>843.394226</v>
      </c>
      <c r="AD416" s="3">
        <v>1E-3</v>
      </c>
      <c r="AE416" s="3">
        <f t="shared" si="45"/>
        <v>0.43999999999999995</v>
      </c>
      <c r="AF416" s="5"/>
      <c r="AG416" s="5"/>
      <c r="AH416" s="5"/>
      <c r="AI416" s="5"/>
      <c r="AJ416" s="1"/>
      <c r="AK416" s="3" t="s">
        <v>233</v>
      </c>
      <c r="AL416" s="3">
        <v>0.9</v>
      </c>
      <c r="AM416" s="3">
        <v>0.5</v>
      </c>
      <c r="AN416" s="3">
        <v>0.6</v>
      </c>
      <c r="AO416" s="3">
        <v>0.3</v>
      </c>
      <c r="AP416" s="6">
        <v>1028.3670649999999</v>
      </c>
      <c r="AQ416" s="3">
        <v>7.0000000000000001E-3</v>
      </c>
      <c r="AS416" s="3" t="s">
        <v>233</v>
      </c>
      <c r="AT416" s="3">
        <v>0.72</v>
      </c>
      <c r="AU416" s="7">
        <v>1205.269775</v>
      </c>
      <c r="AV416" s="3">
        <v>1E-3</v>
      </c>
      <c r="AW416" s="3">
        <f t="shared" si="46"/>
        <v>0.51</v>
      </c>
      <c r="AX416" s="5"/>
      <c r="AY416" s="5"/>
      <c r="AZ416" s="5"/>
      <c r="BA416" s="5"/>
      <c r="BB416" s="1"/>
      <c r="BC416" s="3" t="s">
        <v>233</v>
      </c>
      <c r="BD416" s="3">
        <v>0.9</v>
      </c>
      <c r="BE416" s="3">
        <v>0.5</v>
      </c>
      <c r="BF416" s="3">
        <v>0.6</v>
      </c>
      <c r="BG416" s="3">
        <v>0.3</v>
      </c>
      <c r="BH416" s="6">
        <v>1045.015259</v>
      </c>
      <c r="BI416" s="3">
        <v>1.4999999999999999E-2</v>
      </c>
      <c r="BK416" s="3" t="s">
        <v>233</v>
      </c>
      <c r="BL416" s="3">
        <v>0.4</v>
      </c>
      <c r="BM416" s="7">
        <v>1067.218018</v>
      </c>
      <c r="BN416" s="3">
        <v>1E-3</v>
      </c>
      <c r="BO416" s="3">
        <f t="shared" si="47"/>
        <v>0.35</v>
      </c>
    </row>
    <row r="417" spans="1:71" x14ac:dyDescent="0.3">
      <c r="A417" s="3" t="s">
        <v>234</v>
      </c>
      <c r="B417" s="3">
        <v>0.9</v>
      </c>
      <c r="C417" s="3">
        <v>0.5</v>
      </c>
      <c r="D417" s="3">
        <v>0.6</v>
      </c>
      <c r="E417" s="3">
        <v>0.3</v>
      </c>
      <c r="F417" s="7">
        <v>733.75695800000005</v>
      </c>
      <c r="G417" s="3">
        <v>3.0000000000000001E-3</v>
      </c>
      <c r="I417" s="3" t="s">
        <v>234</v>
      </c>
      <c r="J417" s="3">
        <v>0.28999999999999998</v>
      </c>
      <c r="K417" s="6">
        <v>727.45574999999997</v>
      </c>
      <c r="L417" s="3">
        <v>0</v>
      </c>
      <c r="M417" s="3">
        <f t="shared" si="44"/>
        <v>0.29499999999999998</v>
      </c>
      <c r="N417" s="5"/>
      <c r="O417" s="5"/>
      <c r="P417" s="5"/>
      <c r="Q417" s="5"/>
      <c r="R417" s="1"/>
      <c r="S417" s="3" t="s">
        <v>234</v>
      </c>
      <c r="T417" s="3">
        <v>0.9</v>
      </c>
      <c r="U417" s="3">
        <v>0.5</v>
      </c>
      <c r="V417" s="3">
        <v>0.6</v>
      </c>
      <c r="W417" s="3">
        <v>0.3</v>
      </c>
      <c r="X417" s="7">
        <v>721.20867899999996</v>
      </c>
      <c r="Y417" s="3">
        <v>3.0000000000000001E-3</v>
      </c>
      <c r="AA417" s="3" t="s">
        <v>234</v>
      </c>
      <c r="AB417" s="3">
        <v>0.11</v>
      </c>
      <c r="AC417" s="6">
        <v>681.71734600000002</v>
      </c>
      <c r="AD417" s="3">
        <v>0</v>
      </c>
      <c r="AE417" s="3">
        <f t="shared" si="45"/>
        <v>0.20499999999999999</v>
      </c>
      <c r="AF417" s="5"/>
      <c r="AG417" s="5"/>
      <c r="AH417" s="5"/>
      <c r="AI417" s="5"/>
      <c r="AJ417" s="1"/>
      <c r="AK417" s="3" t="s">
        <v>235</v>
      </c>
      <c r="AL417" s="3">
        <v>0.9</v>
      </c>
      <c r="AM417" s="3">
        <v>0.5</v>
      </c>
      <c r="AN417" s="3">
        <v>0.6</v>
      </c>
      <c r="AO417" s="3">
        <v>0.3</v>
      </c>
      <c r="AP417" s="6">
        <v>1095.1175539999999</v>
      </c>
      <c r="AQ417" s="3">
        <v>8.0000000000000002E-3</v>
      </c>
      <c r="AS417" s="3" t="s">
        <v>235</v>
      </c>
      <c r="AT417" s="3">
        <v>0.63</v>
      </c>
      <c r="AU417" s="7">
        <v>1295.572144</v>
      </c>
      <c r="AV417" s="3">
        <v>1E-3</v>
      </c>
      <c r="AW417" s="3">
        <f t="shared" si="46"/>
        <v>0.46499999999999997</v>
      </c>
      <c r="AX417" s="5"/>
      <c r="AY417" s="5"/>
      <c r="AZ417" s="5"/>
      <c r="BA417" s="5"/>
      <c r="BB417" s="1"/>
      <c r="BC417" s="3" t="s">
        <v>235</v>
      </c>
      <c r="BD417" s="3">
        <v>0.9</v>
      </c>
      <c r="BE417" s="3">
        <v>0.5</v>
      </c>
      <c r="BF417" s="3">
        <v>0.6</v>
      </c>
      <c r="BG417" s="3">
        <v>0.3</v>
      </c>
      <c r="BH417" s="7">
        <v>1083.4185789999999</v>
      </c>
      <c r="BI417" s="3">
        <v>1.6E-2</v>
      </c>
      <c r="BK417" s="3" t="s">
        <v>235</v>
      </c>
      <c r="BL417" s="3">
        <v>0.12</v>
      </c>
      <c r="BM417" s="6">
        <v>952.26824999999997</v>
      </c>
      <c r="BN417" s="3">
        <v>1E-3</v>
      </c>
      <c r="BO417" s="3">
        <f t="shared" si="47"/>
        <v>0.21</v>
      </c>
    </row>
    <row r="418" spans="1:71" x14ac:dyDescent="0.3">
      <c r="A418" s="3" t="s">
        <v>236</v>
      </c>
      <c r="B418" s="3">
        <v>0.9</v>
      </c>
      <c r="C418" s="3">
        <v>0.5</v>
      </c>
      <c r="D418" s="3">
        <v>0.6</v>
      </c>
      <c r="E418" s="3">
        <v>0.3</v>
      </c>
      <c r="F418" s="6">
        <v>751.06451400000003</v>
      </c>
      <c r="G418" s="3">
        <v>2E-3</v>
      </c>
      <c r="I418" s="3" t="s">
        <v>236</v>
      </c>
      <c r="J418" s="3">
        <v>0.72</v>
      </c>
      <c r="K418" s="7">
        <v>936.64593500000001</v>
      </c>
      <c r="L418" s="3">
        <v>1E-3</v>
      </c>
      <c r="M418" s="3">
        <f t="shared" si="44"/>
        <v>0.51</v>
      </c>
      <c r="N418" s="5"/>
      <c r="O418" s="5"/>
      <c r="P418" s="5"/>
      <c r="Q418" s="5"/>
      <c r="R418" s="1"/>
      <c r="S418" s="3" t="s">
        <v>236</v>
      </c>
      <c r="T418" s="3">
        <v>0.9</v>
      </c>
      <c r="U418" s="3">
        <v>0.5</v>
      </c>
      <c r="V418" s="3">
        <v>0.6</v>
      </c>
      <c r="W418" s="3">
        <v>0.3</v>
      </c>
      <c r="X418" s="6">
        <v>761.99194299999999</v>
      </c>
      <c r="Y418" s="3">
        <v>4.0000000000000001E-3</v>
      </c>
      <c r="AA418" s="3" t="s">
        <v>236</v>
      </c>
      <c r="AB418" s="3">
        <v>0.62</v>
      </c>
      <c r="AC418" s="7">
        <v>893.87097200000005</v>
      </c>
      <c r="AD418" s="3">
        <v>0</v>
      </c>
      <c r="AE418" s="3">
        <f t="shared" si="45"/>
        <v>0.45999999999999996</v>
      </c>
      <c r="AF418" s="5"/>
      <c r="AG418" s="5"/>
      <c r="AH418" s="5"/>
      <c r="AI418" s="5"/>
      <c r="AJ418" s="1"/>
      <c r="AK418" s="3" t="s">
        <v>237</v>
      </c>
      <c r="AL418" s="3">
        <v>0.9</v>
      </c>
      <c r="AM418" s="3">
        <v>0.5</v>
      </c>
      <c r="AN418" s="3">
        <v>0.6</v>
      </c>
      <c r="AO418" s="3">
        <v>0.3</v>
      </c>
      <c r="AP418" s="6">
        <v>1099.5776370000001</v>
      </c>
      <c r="AQ418" s="3">
        <v>8.0000000000000002E-3</v>
      </c>
      <c r="AS418" s="3" t="s">
        <v>237</v>
      </c>
      <c r="AT418" s="3">
        <v>0.51</v>
      </c>
      <c r="AU418" s="7">
        <v>1228.5263669999999</v>
      </c>
      <c r="AV418" s="3">
        <v>1E-3</v>
      </c>
      <c r="AW418" s="3">
        <f t="shared" si="46"/>
        <v>0.40500000000000003</v>
      </c>
      <c r="AX418" s="5"/>
      <c r="AY418" s="5"/>
      <c r="AZ418" s="5"/>
      <c r="BA418" s="5"/>
      <c r="BB418" s="1"/>
      <c r="BC418" s="3" t="s">
        <v>237</v>
      </c>
      <c r="BD418" s="3">
        <v>0.9</v>
      </c>
      <c r="BE418" s="3">
        <v>0.5</v>
      </c>
      <c r="BF418" s="3">
        <v>0.6</v>
      </c>
      <c r="BG418" s="3">
        <v>0.3</v>
      </c>
      <c r="BH418" s="6">
        <v>1103.6365969999999</v>
      </c>
      <c r="BI418" s="3">
        <v>1.0999999999999999E-2</v>
      </c>
      <c r="BK418" s="3" t="s">
        <v>237</v>
      </c>
      <c r="BL418" s="3">
        <v>0.59</v>
      </c>
      <c r="BM418" s="7">
        <v>1295.7114260000001</v>
      </c>
      <c r="BN418" s="3">
        <v>1E-3</v>
      </c>
      <c r="BO418" s="3">
        <f t="shared" si="47"/>
        <v>0.44499999999999995</v>
      </c>
    </row>
    <row r="419" spans="1:71" x14ac:dyDescent="0.3">
      <c r="A419" s="3" t="s">
        <v>238</v>
      </c>
      <c r="B419" s="3">
        <v>0.9</v>
      </c>
      <c r="C419" s="3">
        <v>0.5</v>
      </c>
      <c r="D419" s="3">
        <v>0.6</v>
      </c>
      <c r="E419" s="3">
        <v>0.3</v>
      </c>
      <c r="F419" s="6">
        <v>726.26593000000003</v>
      </c>
      <c r="G419" s="3">
        <v>2E-3</v>
      </c>
      <c r="I419" s="3" t="s">
        <v>238</v>
      </c>
      <c r="J419" s="3">
        <v>0.44</v>
      </c>
      <c r="K419" s="7">
        <v>762.29663100000005</v>
      </c>
      <c r="L419" s="3">
        <v>0</v>
      </c>
      <c r="M419" s="3">
        <f t="shared" si="44"/>
        <v>0.37</v>
      </c>
      <c r="N419" s="5"/>
      <c r="O419" s="5"/>
      <c r="P419" s="5"/>
      <c r="Q419" s="5"/>
      <c r="R419" s="1"/>
      <c r="S419" s="3" t="s">
        <v>238</v>
      </c>
      <c r="T419" s="3">
        <v>0.9</v>
      </c>
      <c r="U419" s="3">
        <v>0.5</v>
      </c>
      <c r="V419" s="3">
        <v>0.6</v>
      </c>
      <c r="W419" s="3">
        <v>0.3</v>
      </c>
      <c r="X419" s="6">
        <v>739.92211899999995</v>
      </c>
      <c r="Y419" s="3">
        <v>3.0000000000000001E-3</v>
      </c>
      <c r="AA419" s="3" t="s">
        <v>238</v>
      </c>
      <c r="AB419" s="3">
        <v>0.98</v>
      </c>
      <c r="AC419" s="7">
        <v>984.53228799999999</v>
      </c>
      <c r="AD419" s="3">
        <v>0</v>
      </c>
      <c r="AE419" s="3">
        <f t="shared" si="45"/>
        <v>0.64</v>
      </c>
      <c r="AF419" s="5"/>
      <c r="AG419" s="5"/>
      <c r="AH419" s="5"/>
      <c r="AI419" s="5"/>
      <c r="AJ419" s="1"/>
      <c r="AK419" s="3" t="s">
        <v>239</v>
      </c>
      <c r="AL419" s="3">
        <v>0.9</v>
      </c>
      <c r="AM419" s="3">
        <v>0.5</v>
      </c>
      <c r="AN419" s="3">
        <v>0.6</v>
      </c>
      <c r="AO419" s="3">
        <v>0.3</v>
      </c>
      <c r="AP419" s="7">
        <v>1138.590332</v>
      </c>
      <c r="AQ419" s="3">
        <v>8.9999999999999993E-3</v>
      </c>
      <c r="AS419" s="3" t="s">
        <v>239</v>
      </c>
      <c r="AT419" s="3">
        <v>0.05</v>
      </c>
      <c r="AU419" s="6">
        <v>912.28454599999998</v>
      </c>
      <c r="AV419" s="3">
        <v>1E-3</v>
      </c>
      <c r="AW419" s="3">
        <f t="shared" si="46"/>
        <v>0.17499999999999999</v>
      </c>
      <c r="AX419" s="5"/>
      <c r="AY419" s="5"/>
      <c r="AZ419" s="5"/>
      <c r="BA419" s="5"/>
      <c r="BB419" s="1"/>
      <c r="BC419" s="3" t="s">
        <v>239</v>
      </c>
      <c r="BD419" s="3">
        <v>0.9</v>
      </c>
      <c r="BE419" s="3">
        <v>0.5</v>
      </c>
      <c r="BF419" s="3">
        <v>0.6</v>
      </c>
      <c r="BG419" s="3">
        <v>0.3</v>
      </c>
      <c r="BH419" s="6">
        <v>1141.830078</v>
      </c>
      <c r="BI419" s="3">
        <v>0.02</v>
      </c>
      <c r="BK419" s="3" t="s">
        <v>239</v>
      </c>
      <c r="BL419" s="3">
        <v>0.82</v>
      </c>
      <c r="BM419" s="7">
        <v>1497.497192</v>
      </c>
      <c r="BN419" s="3">
        <v>2E-3</v>
      </c>
      <c r="BO419" s="3">
        <f t="shared" si="47"/>
        <v>0.55999999999999994</v>
      </c>
    </row>
    <row r="420" spans="1:71" x14ac:dyDescent="0.3">
      <c r="A420" s="3" t="s">
        <v>240</v>
      </c>
      <c r="B420" s="3">
        <v>0.9</v>
      </c>
      <c r="C420" s="3">
        <v>0.5</v>
      </c>
      <c r="D420" s="3">
        <v>0.6</v>
      </c>
      <c r="E420" s="3">
        <v>0.3</v>
      </c>
      <c r="F420" s="6">
        <v>711.07861300000002</v>
      </c>
      <c r="G420" s="3">
        <v>2E-3</v>
      </c>
      <c r="I420" s="3" t="s">
        <v>240</v>
      </c>
      <c r="J420" s="3">
        <v>0.82</v>
      </c>
      <c r="K420" s="7">
        <v>877.995544</v>
      </c>
      <c r="L420" s="3">
        <v>0</v>
      </c>
      <c r="M420" s="3">
        <f t="shared" si="44"/>
        <v>0.55999999999999994</v>
      </c>
      <c r="N420" s="5"/>
      <c r="O420" s="5"/>
      <c r="P420" s="5"/>
      <c r="Q420" s="5"/>
      <c r="R420" s="1"/>
      <c r="S420" s="3" t="s">
        <v>240</v>
      </c>
      <c r="T420" s="3">
        <v>0.9</v>
      </c>
      <c r="U420" s="3">
        <v>0.5</v>
      </c>
      <c r="V420" s="3">
        <v>0.6</v>
      </c>
      <c r="W420" s="3">
        <v>0.3</v>
      </c>
      <c r="X420" s="6">
        <v>717.62426800000003</v>
      </c>
      <c r="Y420" s="3">
        <v>3.0000000000000001E-3</v>
      </c>
      <c r="AA420" s="3" t="s">
        <v>240</v>
      </c>
      <c r="AB420" s="3">
        <v>0.93</v>
      </c>
      <c r="AC420" s="7">
        <v>923.37249799999995</v>
      </c>
      <c r="AD420" s="3">
        <v>0</v>
      </c>
      <c r="AE420" s="3">
        <f t="shared" si="45"/>
        <v>0.61499999999999999</v>
      </c>
      <c r="AF420" s="5"/>
      <c r="AG420" s="5"/>
      <c r="AH420" s="5"/>
      <c r="AI420" s="5"/>
      <c r="AJ420" s="1"/>
      <c r="AK420" s="3" t="s">
        <v>241</v>
      </c>
      <c r="AL420" s="3">
        <v>0.9</v>
      </c>
      <c r="AM420" s="3">
        <v>0.5</v>
      </c>
      <c r="AN420" s="3">
        <v>0.6</v>
      </c>
      <c r="AO420" s="3">
        <v>0.3</v>
      </c>
      <c r="AP420" s="6">
        <v>1074.911499</v>
      </c>
      <c r="AQ420" s="3">
        <v>8.0000000000000002E-3</v>
      </c>
      <c r="AS420" s="3" t="s">
        <v>241</v>
      </c>
      <c r="AT420" s="3">
        <v>0.87</v>
      </c>
      <c r="AU420" s="7">
        <v>1343.9964600000001</v>
      </c>
      <c r="AV420" s="3">
        <v>1E-3</v>
      </c>
      <c r="AW420" s="3">
        <f t="shared" si="46"/>
        <v>0.58499999999999996</v>
      </c>
      <c r="AX420" s="5"/>
      <c r="AY420" s="5"/>
      <c r="AZ420" s="5"/>
      <c r="BA420" s="5"/>
      <c r="BB420" s="1"/>
      <c r="BC420" s="3" t="s">
        <v>241</v>
      </c>
      <c r="BD420" s="3">
        <v>0.9</v>
      </c>
      <c r="BE420" s="3">
        <v>0.5</v>
      </c>
      <c r="BF420" s="3">
        <v>0.6</v>
      </c>
      <c r="BG420" s="3">
        <v>0.3</v>
      </c>
      <c r="BH420" s="6">
        <v>1078.6522219999999</v>
      </c>
      <c r="BI420" s="3">
        <v>1.7000000000000001E-2</v>
      </c>
      <c r="BK420" s="3" t="s">
        <v>241</v>
      </c>
      <c r="BL420" s="3">
        <v>0.76</v>
      </c>
      <c r="BM420" s="7">
        <v>1283.3466800000001</v>
      </c>
      <c r="BN420" s="3">
        <v>1E-3</v>
      </c>
      <c r="BO420" s="3">
        <f t="shared" si="47"/>
        <v>0.53</v>
      </c>
    </row>
    <row r="421" spans="1:71" x14ac:dyDescent="0.3">
      <c r="A421" s="3" t="s">
        <v>242</v>
      </c>
      <c r="B421" s="3">
        <v>0.9</v>
      </c>
      <c r="C421" s="3">
        <v>0.5</v>
      </c>
      <c r="D421" s="3">
        <v>0.6</v>
      </c>
      <c r="E421" s="3">
        <v>0.3</v>
      </c>
      <c r="F421" s="6">
        <v>723.14031999999997</v>
      </c>
      <c r="G421" s="3">
        <v>2E-3</v>
      </c>
      <c r="I421" s="3" t="s">
        <v>242</v>
      </c>
      <c r="J421" s="3">
        <v>0.18</v>
      </c>
      <c r="K421" s="7">
        <v>689.89825399999995</v>
      </c>
      <c r="L421" s="3">
        <v>1E-3</v>
      </c>
      <c r="M421" s="3">
        <f t="shared" si="44"/>
        <v>0.24</v>
      </c>
      <c r="N421" s="5"/>
      <c r="O421" s="5"/>
      <c r="P421" s="5"/>
      <c r="Q421" s="5"/>
      <c r="R421" s="1"/>
      <c r="S421" s="3" t="s">
        <v>242</v>
      </c>
      <c r="T421" s="3">
        <v>0.9</v>
      </c>
      <c r="U421" s="3">
        <v>0.5</v>
      </c>
      <c r="V421" s="3">
        <v>0.6</v>
      </c>
      <c r="W421" s="3">
        <v>0.3</v>
      </c>
      <c r="X421" s="7">
        <v>729.13128700000004</v>
      </c>
      <c r="Y421" s="3">
        <v>4.0000000000000001E-3</v>
      </c>
      <c r="AA421" s="3" t="s">
        <v>242</v>
      </c>
      <c r="AB421" s="3">
        <v>0.09</v>
      </c>
      <c r="AC421" s="6">
        <v>687.73095699999999</v>
      </c>
      <c r="AD421" s="3">
        <v>0</v>
      </c>
      <c r="AE421" s="3">
        <f t="shared" si="45"/>
        <v>0.19500000000000001</v>
      </c>
      <c r="AF421" s="5"/>
      <c r="AG421" s="5"/>
      <c r="AH421" s="5"/>
      <c r="AI421" s="5"/>
      <c r="AJ421" s="1"/>
      <c r="AK421" s="3" t="s">
        <v>243</v>
      </c>
      <c r="AL421" s="3">
        <v>0.9</v>
      </c>
      <c r="AM421" s="3">
        <v>0.5</v>
      </c>
      <c r="AN421" s="3">
        <v>0.6</v>
      </c>
      <c r="AO421" s="3">
        <v>0.3</v>
      </c>
      <c r="AP421" s="6">
        <v>1199.4197999999999</v>
      </c>
      <c r="AQ421" s="3">
        <v>8.9999999999999993E-3</v>
      </c>
      <c r="AS421" s="3" t="s">
        <v>243</v>
      </c>
      <c r="AT421" s="3">
        <v>0.61</v>
      </c>
      <c r="AU421" s="7">
        <v>1372.246216</v>
      </c>
      <c r="AV421" s="3">
        <v>1E-3</v>
      </c>
      <c r="AW421" s="3">
        <f t="shared" si="46"/>
        <v>0.45499999999999996</v>
      </c>
      <c r="AX421" s="5"/>
      <c r="AY421" s="5"/>
      <c r="AZ421" s="5"/>
      <c r="BA421" s="5"/>
      <c r="BB421" s="1"/>
      <c r="BC421" s="3" t="s">
        <v>243</v>
      </c>
      <c r="BD421" s="3">
        <v>0.9</v>
      </c>
      <c r="BE421" s="3">
        <v>0.5</v>
      </c>
      <c r="BF421" s="3">
        <v>0.6</v>
      </c>
      <c r="BG421" s="3">
        <v>0.3</v>
      </c>
      <c r="BH421" s="7">
        <v>1173.4876710000001</v>
      </c>
      <c r="BI421" s="3">
        <v>0.01</v>
      </c>
      <c r="BK421" s="3" t="s">
        <v>243</v>
      </c>
      <c r="BL421" s="3">
        <v>0.12</v>
      </c>
      <c r="BM421" s="6">
        <v>1032.744629</v>
      </c>
      <c r="BN421" s="3">
        <v>1E-3</v>
      </c>
      <c r="BO421" s="3">
        <f t="shared" si="47"/>
        <v>0.21</v>
      </c>
    </row>
    <row r="422" spans="1:71" x14ac:dyDescent="0.3">
      <c r="A422" s="3" t="s">
        <v>244</v>
      </c>
      <c r="B422" s="3">
        <v>0.9</v>
      </c>
      <c r="C422" s="3">
        <v>0.5</v>
      </c>
      <c r="D422" s="3">
        <v>0.6</v>
      </c>
      <c r="E422" s="3">
        <v>0.3</v>
      </c>
      <c r="F422" s="6">
        <v>717.56317100000001</v>
      </c>
      <c r="G422" s="3">
        <v>2E-3</v>
      </c>
      <c r="I422" s="3" t="s">
        <v>244</v>
      </c>
      <c r="J422" s="3">
        <v>0.93</v>
      </c>
      <c r="K422" s="7">
        <v>891.24731399999996</v>
      </c>
      <c r="L422" s="3">
        <v>1E-3</v>
      </c>
      <c r="M422" s="3">
        <f t="shared" si="44"/>
        <v>0.61499999999999999</v>
      </c>
      <c r="N422" s="5"/>
      <c r="O422" s="5"/>
      <c r="P422" s="5"/>
      <c r="Q422" s="5"/>
      <c r="R422" s="1"/>
      <c r="S422" s="3" t="s">
        <v>244</v>
      </c>
      <c r="T422" s="3">
        <v>0.9</v>
      </c>
      <c r="U422" s="3">
        <v>0.5</v>
      </c>
      <c r="V422" s="3">
        <v>0.6</v>
      </c>
      <c r="W422" s="3">
        <v>0.3</v>
      </c>
      <c r="X422" s="7">
        <v>723.301331</v>
      </c>
      <c r="Y422" s="3">
        <v>4.0000000000000001E-3</v>
      </c>
      <c r="AA422" s="3" t="s">
        <v>244</v>
      </c>
      <c r="AB422" s="3">
        <v>0.16</v>
      </c>
      <c r="AC422" s="6">
        <v>683.13793899999996</v>
      </c>
      <c r="AD422" s="3">
        <v>0</v>
      </c>
      <c r="AE422" s="3">
        <f t="shared" si="45"/>
        <v>0.22999999999999998</v>
      </c>
      <c r="AF422" s="5"/>
      <c r="AG422" s="5"/>
      <c r="AH422" s="5"/>
      <c r="AI422" s="5"/>
      <c r="AJ422" s="1"/>
      <c r="AK422" s="3" t="s">
        <v>245</v>
      </c>
      <c r="AL422" s="3">
        <v>0.9</v>
      </c>
      <c r="AM422" s="3">
        <v>0.5</v>
      </c>
      <c r="AN422" s="3">
        <v>0.6</v>
      </c>
      <c r="AO422" s="3">
        <v>0.3</v>
      </c>
      <c r="AP422" s="7">
        <v>1169.220703</v>
      </c>
      <c r="AQ422" s="3">
        <v>0.01</v>
      </c>
      <c r="AS422" s="3" t="s">
        <v>245</v>
      </c>
      <c r="AT422" s="3">
        <v>0.19</v>
      </c>
      <c r="AU422" s="6">
        <v>1080.6967770000001</v>
      </c>
      <c r="AV422" s="3">
        <v>1E-3</v>
      </c>
      <c r="AW422" s="3">
        <f t="shared" si="46"/>
        <v>0.245</v>
      </c>
      <c r="AX422" s="5"/>
      <c r="AY422" s="5"/>
      <c r="AZ422" s="5"/>
      <c r="BA422" s="5"/>
      <c r="BB422" s="1"/>
      <c r="BC422" s="3" t="s">
        <v>245</v>
      </c>
      <c r="BD422" s="3">
        <v>0.9</v>
      </c>
      <c r="BE422" s="3">
        <v>0.5</v>
      </c>
      <c r="BF422" s="3">
        <v>0.6</v>
      </c>
      <c r="BG422" s="3">
        <v>0.3</v>
      </c>
      <c r="BH422" s="6">
        <v>1185.378418</v>
      </c>
      <c r="BI422" s="3">
        <v>1.2999999999999999E-2</v>
      </c>
      <c r="BK422" s="3" t="s">
        <v>245</v>
      </c>
      <c r="BL422" s="3">
        <v>0.5</v>
      </c>
      <c r="BM422" s="7">
        <v>1310.8482670000001</v>
      </c>
      <c r="BN422" s="3">
        <v>2E-3</v>
      </c>
      <c r="BO422" s="3">
        <f t="shared" si="47"/>
        <v>0.4</v>
      </c>
    </row>
    <row r="423" spans="1:71" x14ac:dyDescent="0.3">
      <c r="A423" s="3" t="s">
        <v>246</v>
      </c>
      <c r="B423" s="3">
        <v>0.9</v>
      </c>
      <c r="C423" s="3">
        <v>0.5</v>
      </c>
      <c r="D423" s="3">
        <v>0.6</v>
      </c>
      <c r="E423" s="3">
        <v>0.3</v>
      </c>
      <c r="F423" s="7">
        <v>718.21673599999997</v>
      </c>
      <c r="G423" s="3">
        <v>3.0000000000000001E-3</v>
      </c>
      <c r="I423" s="3" t="s">
        <v>246</v>
      </c>
      <c r="J423" s="3">
        <v>0.28999999999999998</v>
      </c>
      <c r="K423" s="6">
        <v>706.87060499999995</v>
      </c>
      <c r="L423" s="3">
        <v>0</v>
      </c>
      <c r="M423" s="3">
        <f t="shared" si="44"/>
        <v>0.29499999999999998</v>
      </c>
      <c r="N423" s="5"/>
      <c r="O423" s="5"/>
      <c r="P423" s="5"/>
      <c r="Q423" s="5"/>
      <c r="R423" s="1"/>
      <c r="S423" s="3" t="s">
        <v>246</v>
      </c>
      <c r="T423" s="3">
        <v>0.9</v>
      </c>
      <c r="U423" s="3">
        <v>0.5</v>
      </c>
      <c r="V423" s="3">
        <v>0.6</v>
      </c>
      <c r="W423" s="3">
        <v>0.3</v>
      </c>
      <c r="X423" s="6">
        <v>707.99530000000004</v>
      </c>
      <c r="Y423" s="3">
        <v>3.0000000000000001E-3</v>
      </c>
      <c r="AA423" s="3" t="s">
        <v>246</v>
      </c>
      <c r="AB423" s="3">
        <v>0.88</v>
      </c>
      <c r="AC423" s="7">
        <v>932.10882600000002</v>
      </c>
      <c r="AD423" s="3">
        <v>1E-3</v>
      </c>
      <c r="AE423" s="3">
        <f t="shared" si="45"/>
        <v>0.59</v>
      </c>
      <c r="AF423" s="5"/>
      <c r="AG423" s="5"/>
      <c r="AH423" s="5"/>
      <c r="AI423" s="5"/>
      <c r="AJ423" s="1"/>
      <c r="AK423" s="3" t="s">
        <v>247</v>
      </c>
      <c r="AL423" s="3">
        <v>0.9</v>
      </c>
      <c r="AM423" s="3">
        <v>0.5</v>
      </c>
      <c r="AN423" s="3">
        <v>0.6</v>
      </c>
      <c r="AO423" s="3">
        <v>0.3</v>
      </c>
      <c r="AP423" s="6">
        <v>1041.5257570000001</v>
      </c>
      <c r="AQ423" s="3">
        <v>8.0000000000000002E-3</v>
      </c>
      <c r="AS423" s="3" t="s">
        <v>247</v>
      </c>
      <c r="AT423" s="3">
        <v>0.73</v>
      </c>
      <c r="AU423" s="7">
        <v>1231.9334719999999</v>
      </c>
      <c r="AV423" s="3">
        <v>1E-3</v>
      </c>
      <c r="AW423" s="3">
        <f t="shared" si="46"/>
        <v>0.51500000000000001</v>
      </c>
      <c r="AX423" s="5"/>
      <c r="AY423" s="5"/>
      <c r="AZ423" s="5"/>
      <c r="BA423" s="5"/>
      <c r="BB423" s="1"/>
      <c r="BC423" s="3" t="s">
        <v>247</v>
      </c>
      <c r="BD423" s="3">
        <v>0.9</v>
      </c>
      <c r="BE423" s="3">
        <v>0.5</v>
      </c>
      <c r="BF423" s="3">
        <v>0.6</v>
      </c>
      <c r="BG423" s="3">
        <v>0.3</v>
      </c>
      <c r="BH423" s="7">
        <v>1044.0048830000001</v>
      </c>
      <c r="BI423" s="3">
        <v>8.0000000000000002E-3</v>
      </c>
      <c r="BK423" s="3" t="s">
        <v>247</v>
      </c>
      <c r="BL423" s="3">
        <v>0.25</v>
      </c>
      <c r="BM423" s="6">
        <v>999.02795400000002</v>
      </c>
      <c r="BN423" s="3">
        <v>0</v>
      </c>
      <c r="BO423" s="3">
        <f t="shared" si="47"/>
        <v>0.27500000000000002</v>
      </c>
    </row>
    <row r="424" spans="1:71" x14ac:dyDescent="0.3">
      <c r="A424" s="3" t="s">
        <v>248</v>
      </c>
      <c r="B424" s="3">
        <v>0.9</v>
      </c>
      <c r="C424" s="3">
        <v>0.5</v>
      </c>
      <c r="D424" s="3">
        <v>0.6</v>
      </c>
      <c r="E424" s="3">
        <v>0.3</v>
      </c>
      <c r="F424" s="6">
        <v>762.60406499999999</v>
      </c>
      <c r="G424" s="3">
        <v>2E-3</v>
      </c>
      <c r="I424" s="3" t="s">
        <v>248</v>
      </c>
      <c r="J424" s="3">
        <v>0.56000000000000005</v>
      </c>
      <c r="K424" s="7">
        <v>839.33709699999997</v>
      </c>
      <c r="L424" s="3">
        <v>1E-3</v>
      </c>
      <c r="M424" s="3">
        <f t="shared" si="44"/>
        <v>0.43000000000000005</v>
      </c>
      <c r="N424" s="5"/>
      <c r="O424" s="5"/>
      <c r="P424" s="5"/>
      <c r="Q424" s="5"/>
      <c r="R424" s="1"/>
      <c r="S424" s="3" t="s">
        <v>248</v>
      </c>
      <c r="T424" s="3">
        <v>0.9</v>
      </c>
      <c r="U424" s="3">
        <v>0.5</v>
      </c>
      <c r="V424" s="3">
        <v>0.6</v>
      </c>
      <c r="W424" s="3">
        <v>0.3</v>
      </c>
      <c r="X424" s="7">
        <v>761.53265399999998</v>
      </c>
      <c r="Y424" s="3">
        <v>3.0000000000000001E-3</v>
      </c>
      <c r="AA424" s="3" t="s">
        <v>248</v>
      </c>
      <c r="AB424" s="3">
        <v>0.19</v>
      </c>
      <c r="AC424" s="6">
        <v>728.90606700000001</v>
      </c>
      <c r="AD424" s="3">
        <v>0</v>
      </c>
      <c r="AE424" s="3">
        <f t="shared" si="45"/>
        <v>0.245</v>
      </c>
      <c r="AF424" s="5"/>
      <c r="AG424" s="5"/>
      <c r="AH424" s="5"/>
      <c r="AI424" s="5"/>
      <c r="AJ424" s="1"/>
      <c r="AK424" s="3" t="s">
        <v>249</v>
      </c>
      <c r="AL424" s="3">
        <v>0.9</v>
      </c>
      <c r="AM424" s="3">
        <v>0.5</v>
      </c>
      <c r="AN424" s="3">
        <v>0.6</v>
      </c>
      <c r="AO424" s="3">
        <v>0.3</v>
      </c>
      <c r="AP424" s="6">
        <v>1115.2554929999999</v>
      </c>
      <c r="AQ424" s="3">
        <v>8.9999999999999993E-3</v>
      </c>
      <c r="AS424" s="3" t="s">
        <v>249</v>
      </c>
      <c r="AT424" s="3">
        <v>0.89</v>
      </c>
      <c r="AU424" s="7">
        <v>1437.382568</v>
      </c>
      <c r="AV424" s="3">
        <v>1E-3</v>
      </c>
      <c r="AW424" s="3">
        <f t="shared" si="46"/>
        <v>0.59499999999999997</v>
      </c>
      <c r="AX424" s="5"/>
      <c r="AY424" s="5"/>
      <c r="AZ424" s="5"/>
      <c r="BA424" s="5"/>
      <c r="BB424" s="1"/>
      <c r="BC424" s="3" t="s">
        <v>249</v>
      </c>
      <c r="BD424" s="3">
        <v>0.9</v>
      </c>
      <c r="BE424" s="3">
        <v>0.5</v>
      </c>
      <c r="BF424" s="3">
        <v>0.6</v>
      </c>
      <c r="BG424" s="3">
        <v>0.3</v>
      </c>
      <c r="BH424" s="6">
        <v>1128.3664550000001</v>
      </c>
      <c r="BI424" s="3">
        <v>1.0999999999999999E-2</v>
      </c>
      <c r="BK424" s="3" t="s">
        <v>249</v>
      </c>
      <c r="BL424" s="3">
        <v>0.34</v>
      </c>
      <c r="BM424" s="7">
        <v>1157.2509769999999</v>
      </c>
      <c r="BN424" s="3">
        <v>1E-3</v>
      </c>
      <c r="BO424" s="3">
        <f t="shared" si="47"/>
        <v>0.32</v>
      </c>
    </row>
    <row r="425" spans="1:71" x14ac:dyDescent="0.3">
      <c r="A425" s="3" t="s">
        <v>250</v>
      </c>
      <c r="B425" s="3">
        <v>0.9</v>
      </c>
      <c r="C425" s="3">
        <v>0.5</v>
      </c>
      <c r="D425" s="3">
        <v>0.6</v>
      </c>
      <c r="E425" s="3">
        <v>0.3</v>
      </c>
      <c r="F425" s="7">
        <v>758.64093000000003</v>
      </c>
      <c r="G425" s="3">
        <v>2E-3</v>
      </c>
      <c r="I425" s="3" t="s">
        <v>250</v>
      </c>
      <c r="J425" s="3">
        <v>0.09</v>
      </c>
      <c r="K425" s="6">
        <v>705.71728499999995</v>
      </c>
      <c r="L425" s="3">
        <v>0</v>
      </c>
      <c r="M425" s="3">
        <f t="shared" si="44"/>
        <v>0.19500000000000001</v>
      </c>
      <c r="N425" s="5"/>
      <c r="O425" s="5"/>
      <c r="P425" s="5"/>
      <c r="Q425" s="5"/>
      <c r="R425" s="1"/>
      <c r="S425" s="3" t="s">
        <v>250</v>
      </c>
      <c r="T425" s="3">
        <v>0.9</v>
      </c>
      <c r="U425" s="3">
        <v>0.5</v>
      </c>
      <c r="V425" s="3">
        <v>0.6</v>
      </c>
      <c r="W425" s="3">
        <v>0.3</v>
      </c>
      <c r="X425" s="6">
        <v>767.87957800000004</v>
      </c>
      <c r="Y425" s="3">
        <v>3.0000000000000001E-3</v>
      </c>
      <c r="AA425" s="3" t="s">
        <v>250</v>
      </c>
      <c r="AB425" s="3">
        <v>0.52</v>
      </c>
      <c r="AC425" s="7">
        <v>823.958618</v>
      </c>
      <c r="AD425" s="3">
        <v>0</v>
      </c>
      <c r="AE425" s="3">
        <f t="shared" si="45"/>
        <v>0.41000000000000003</v>
      </c>
      <c r="AF425" s="5"/>
      <c r="AG425" s="5"/>
      <c r="AH425" s="5"/>
      <c r="AI425" s="5"/>
      <c r="AJ425" s="1"/>
      <c r="AK425" s="3" t="s">
        <v>251</v>
      </c>
      <c r="AL425" s="3">
        <v>0.9</v>
      </c>
      <c r="AM425" s="3">
        <v>0.5</v>
      </c>
      <c r="AN425" s="3">
        <v>0.6</v>
      </c>
      <c r="AO425" s="3">
        <v>0.3</v>
      </c>
      <c r="AP425" s="6">
        <v>1105.2354740000001</v>
      </c>
      <c r="AQ425" s="3">
        <v>8.0000000000000002E-3</v>
      </c>
      <c r="AS425" s="3" t="s">
        <v>251</v>
      </c>
      <c r="AT425" s="3">
        <v>0.82</v>
      </c>
      <c r="AU425" s="7">
        <v>1318.869263</v>
      </c>
      <c r="AV425" s="3">
        <v>1E-3</v>
      </c>
      <c r="AW425" s="3">
        <f t="shared" si="46"/>
        <v>0.55999999999999994</v>
      </c>
      <c r="AX425" s="5"/>
      <c r="AY425" s="5"/>
      <c r="AZ425" s="5"/>
      <c r="BA425" s="5"/>
      <c r="BB425" s="1"/>
      <c r="BC425" s="3" t="s">
        <v>251</v>
      </c>
      <c r="BD425" s="3">
        <v>0.9</v>
      </c>
      <c r="BE425" s="3">
        <v>0.5</v>
      </c>
      <c r="BF425" s="3">
        <v>0.6</v>
      </c>
      <c r="BG425" s="3">
        <v>0.3</v>
      </c>
      <c r="BH425" s="6">
        <v>1119.088745</v>
      </c>
      <c r="BI425" s="3">
        <v>5.6000000000000001E-2</v>
      </c>
      <c r="BK425" s="3" t="s">
        <v>251</v>
      </c>
      <c r="BL425" s="3">
        <v>0.44</v>
      </c>
      <c r="BM425" s="7">
        <v>1202.374268</v>
      </c>
      <c r="BN425" s="3">
        <v>1E-3</v>
      </c>
      <c r="BO425" s="3">
        <f t="shared" si="47"/>
        <v>0.37</v>
      </c>
    </row>
    <row r="426" spans="1:71" x14ac:dyDescent="0.3">
      <c r="A426" s="3" t="s">
        <v>252</v>
      </c>
      <c r="B426" s="3">
        <v>0.9</v>
      </c>
      <c r="C426" s="3">
        <v>0.5</v>
      </c>
      <c r="D426" s="3">
        <v>0.6</v>
      </c>
      <c r="E426" s="3">
        <v>0.3</v>
      </c>
      <c r="F426" s="7">
        <v>778.09826699999996</v>
      </c>
      <c r="G426" s="3">
        <v>3.0000000000000001E-3</v>
      </c>
      <c r="I426" s="3" t="s">
        <v>252</v>
      </c>
      <c r="J426" s="3">
        <v>0.11</v>
      </c>
      <c r="K426" s="6">
        <v>692.20941200000004</v>
      </c>
      <c r="L426" s="3">
        <v>0</v>
      </c>
      <c r="M426" s="3">
        <f t="shared" si="44"/>
        <v>0.20499999999999999</v>
      </c>
      <c r="N426" s="5"/>
      <c r="O426" s="5"/>
      <c r="P426" s="5"/>
      <c r="Q426" s="5"/>
      <c r="R426" s="1"/>
      <c r="S426" s="3" t="s">
        <v>252</v>
      </c>
      <c r="T426" s="3">
        <v>0.9</v>
      </c>
      <c r="U426" s="3">
        <v>0.5</v>
      </c>
      <c r="V426" s="3">
        <v>0.6</v>
      </c>
      <c r="W426" s="3">
        <v>0.3</v>
      </c>
      <c r="X426" s="7">
        <v>787.66986099999997</v>
      </c>
      <c r="Y426" s="3">
        <v>3.0000000000000001E-3</v>
      </c>
      <c r="AA426" s="3" t="s">
        <v>252</v>
      </c>
      <c r="AB426" s="3">
        <v>0.16</v>
      </c>
      <c r="AC426" s="6">
        <v>732.28735400000005</v>
      </c>
      <c r="AD426" s="3">
        <v>0</v>
      </c>
      <c r="AE426" s="3">
        <f t="shared" si="45"/>
        <v>0.22999999999999998</v>
      </c>
      <c r="AF426" s="5"/>
      <c r="AG426" s="5"/>
      <c r="AH426" s="5"/>
      <c r="AI426" s="5"/>
      <c r="AJ426" s="1"/>
      <c r="AK426" s="3" t="s">
        <v>253</v>
      </c>
      <c r="AL426" s="3">
        <v>0.9</v>
      </c>
      <c r="AM426" s="3">
        <v>0.5</v>
      </c>
      <c r="AN426" s="3">
        <v>0.6</v>
      </c>
      <c r="AO426" s="3">
        <v>0.3</v>
      </c>
      <c r="AP426" s="7">
        <v>1167.252686</v>
      </c>
      <c r="AQ426" s="3">
        <v>0.01</v>
      </c>
      <c r="AS426" s="3" t="s">
        <v>253</v>
      </c>
      <c r="AT426" s="3">
        <v>0.15</v>
      </c>
      <c r="AU426" s="6">
        <v>1032.6517329999999</v>
      </c>
      <c r="AV426" s="3">
        <v>1E-3</v>
      </c>
      <c r="AW426" s="3">
        <f t="shared" si="46"/>
        <v>0.22499999999999998</v>
      </c>
      <c r="AX426" s="5"/>
      <c r="AY426" s="5"/>
      <c r="AZ426" s="5"/>
      <c r="BA426" s="5"/>
      <c r="BB426" s="1"/>
      <c r="BC426" s="3" t="s">
        <v>253</v>
      </c>
      <c r="BD426" s="3">
        <v>0.9</v>
      </c>
      <c r="BE426" s="3">
        <v>0.5</v>
      </c>
      <c r="BF426" s="3">
        <v>0.6</v>
      </c>
      <c r="BG426" s="3">
        <v>0.3</v>
      </c>
      <c r="BH426" s="7">
        <v>1158.178101</v>
      </c>
      <c r="BI426" s="3">
        <v>1.2999999999999999E-2</v>
      </c>
      <c r="BK426" s="3" t="s">
        <v>253</v>
      </c>
      <c r="BL426" s="3">
        <v>0.12</v>
      </c>
      <c r="BM426" s="6">
        <v>1007.922791</v>
      </c>
      <c r="BN426" s="3">
        <v>1E-3</v>
      </c>
      <c r="BO426" s="3">
        <f t="shared" si="47"/>
        <v>0.21</v>
      </c>
    </row>
    <row r="427" spans="1:71" x14ac:dyDescent="0.3">
      <c r="A427" s="9" t="s">
        <v>316</v>
      </c>
      <c r="E427" s="9">
        <f>AVERAGE(E397:E426)</f>
        <v>0.3</v>
      </c>
      <c r="I427" s="9" t="s">
        <v>316</v>
      </c>
      <c r="J427" s="9">
        <f>AVERAGE(J397:J426)</f>
        <v>0.45633333333333326</v>
      </c>
      <c r="R427" s="1"/>
      <c r="S427" s="9" t="s">
        <v>316</v>
      </c>
      <c r="W427" s="9">
        <f>AVERAGE(W397:W426)</f>
        <v>0.3</v>
      </c>
      <c r="AA427" s="9" t="s">
        <v>316</v>
      </c>
      <c r="AB427" s="9">
        <f>AVERAGE(AB397:AB426)</f>
        <v>0.53899999999999992</v>
      </c>
      <c r="AJ427" s="1"/>
      <c r="AK427" s="9" t="s">
        <v>316</v>
      </c>
      <c r="AO427" s="9">
        <f>AVERAGE(AO397:AO426)</f>
        <v>0.3</v>
      </c>
      <c r="AS427" s="9" t="s">
        <v>316</v>
      </c>
      <c r="AT427" s="9">
        <f>AVERAGE(AT397:AT426)</f>
        <v>0.59133333333333327</v>
      </c>
      <c r="AW427" s="2"/>
      <c r="AX427" s="2"/>
      <c r="AY427" s="2"/>
      <c r="AZ427" s="2"/>
      <c r="BA427" s="2"/>
      <c r="BB427" s="1"/>
      <c r="BC427" s="9" t="s">
        <v>316</v>
      </c>
      <c r="BG427" s="9">
        <f>AVERAGE(BG397:BG426)</f>
        <v>0.3</v>
      </c>
      <c r="BK427" s="9" t="s">
        <v>316</v>
      </c>
      <c r="BL427" s="9">
        <f>AVERAGE(BL397:BL426)</f>
        <v>0.43333333333333324</v>
      </c>
    </row>
    <row r="428" spans="1:7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row>
    <row r="429" spans="1:71" x14ac:dyDescent="0.3">
      <c r="A429" s="19" t="s">
        <v>314</v>
      </c>
      <c r="B429" s="19"/>
      <c r="C429" s="19"/>
      <c r="D429" s="19"/>
      <c r="E429" s="19"/>
      <c r="F429" s="19"/>
      <c r="G429" s="19"/>
      <c r="I429" s="19" t="s">
        <v>315</v>
      </c>
      <c r="J429" s="19"/>
      <c r="K429" s="19"/>
      <c r="L429" s="19"/>
      <c r="M429" s="19"/>
      <c r="N429" s="11"/>
      <c r="O429" s="11"/>
      <c r="P429" s="11"/>
      <c r="Q429" s="11"/>
      <c r="R429" s="1"/>
      <c r="S429" s="19" t="s">
        <v>314</v>
      </c>
      <c r="T429" s="19"/>
      <c r="U429" s="19"/>
      <c r="V429" s="19"/>
      <c r="W429" s="19"/>
      <c r="X429" s="19"/>
      <c r="Y429" s="19"/>
      <c r="AA429" s="19" t="s">
        <v>315</v>
      </c>
      <c r="AB429" s="19"/>
      <c r="AC429" s="19"/>
      <c r="AD429" s="19"/>
      <c r="AE429" s="19"/>
      <c r="AF429" s="11"/>
      <c r="AG429" s="11"/>
      <c r="AH429" s="11"/>
      <c r="AI429" s="11"/>
      <c r="AJ429" s="1"/>
      <c r="AK429" s="19" t="s">
        <v>314</v>
      </c>
      <c r="AL429" s="19"/>
      <c r="AM429" s="19"/>
      <c r="AN429" s="19"/>
      <c r="AO429" s="19"/>
      <c r="AP429" s="19"/>
      <c r="AQ429" s="19"/>
      <c r="AS429" s="19" t="s">
        <v>315</v>
      </c>
      <c r="AT429" s="19"/>
      <c r="AU429" s="19"/>
      <c r="AV429" s="19"/>
      <c r="AW429" s="19"/>
      <c r="AX429" s="11"/>
      <c r="AY429" s="11"/>
      <c r="AZ429" s="11"/>
      <c r="BA429" s="11"/>
      <c r="BB429" s="1"/>
      <c r="BC429" s="19" t="s">
        <v>314</v>
      </c>
      <c r="BD429" s="19"/>
      <c r="BE429" s="19"/>
      <c r="BF429" s="19"/>
      <c r="BG429" s="19"/>
      <c r="BH429" s="19"/>
      <c r="BI429" s="19"/>
      <c r="BK429" s="19" t="s">
        <v>315</v>
      </c>
      <c r="BL429" s="19"/>
      <c r="BM429" s="19"/>
      <c r="BN429" s="19"/>
      <c r="BO429" s="19"/>
    </row>
    <row r="430" spans="1:71" x14ac:dyDescent="0.3">
      <c r="A430" s="3" t="s">
        <v>0</v>
      </c>
      <c r="B430" s="3"/>
      <c r="C430" s="3"/>
      <c r="D430" s="3"/>
      <c r="E430" s="3"/>
      <c r="F430" s="3"/>
      <c r="G430" s="3"/>
      <c r="I430" s="3" t="s">
        <v>0</v>
      </c>
      <c r="J430" s="3"/>
      <c r="K430" s="3"/>
      <c r="L430" s="3"/>
      <c r="M430" s="3"/>
      <c r="N430" s="5"/>
      <c r="O430" s="5"/>
      <c r="P430" s="5"/>
      <c r="Q430" s="5"/>
      <c r="R430" s="1"/>
      <c r="S430" s="3" t="s">
        <v>1</v>
      </c>
      <c r="T430" s="3"/>
      <c r="U430" s="3"/>
      <c r="V430" s="3"/>
      <c r="W430" s="3"/>
      <c r="X430" s="3"/>
      <c r="Y430" s="3"/>
      <c r="AA430" s="3" t="s">
        <v>1</v>
      </c>
      <c r="AB430" s="3"/>
      <c r="AC430" s="3"/>
      <c r="AD430" s="3"/>
      <c r="AE430" s="3"/>
      <c r="AF430" s="5"/>
      <c r="AG430" s="5"/>
      <c r="AH430" s="5"/>
      <c r="AI430" s="5"/>
      <c r="AJ430" s="1"/>
      <c r="AK430" s="3" t="s">
        <v>0</v>
      </c>
      <c r="AL430" s="3"/>
      <c r="AM430" s="3"/>
      <c r="AN430" s="3"/>
      <c r="AO430" s="3"/>
      <c r="AP430" s="3"/>
      <c r="AQ430" s="3"/>
      <c r="AS430" s="3" t="s">
        <v>0</v>
      </c>
      <c r="AT430" s="3"/>
      <c r="AU430" s="3"/>
      <c r="AV430" s="3"/>
      <c r="AW430" s="4"/>
      <c r="AX430" s="12"/>
      <c r="AY430" s="12"/>
      <c r="AZ430" s="12"/>
      <c r="BA430" s="12"/>
      <c r="BB430" s="1"/>
      <c r="BC430" s="3" t="s">
        <v>1</v>
      </c>
      <c r="BD430" s="3"/>
      <c r="BE430" s="3"/>
      <c r="BF430" s="3"/>
      <c r="BG430" s="3"/>
      <c r="BH430" s="3"/>
      <c r="BI430" s="3"/>
      <c r="BK430" s="3" t="s">
        <v>1</v>
      </c>
      <c r="BL430" s="3"/>
      <c r="BM430" s="3"/>
      <c r="BN430" s="3"/>
      <c r="BO430" s="3"/>
    </row>
    <row r="431" spans="1:71" x14ac:dyDescent="0.3">
      <c r="A431" s="4" t="s">
        <v>2</v>
      </c>
      <c r="B431" s="4" t="s">
        <v>3</v>
      </c>
      <c r="C431" s="4" t="s">
        <v>4</v>
      </c>
      <c r="D431" s="4" t="s">
        <v>5</v>
      </c>
      <c r="E431" s="4" t="s">
        <v>6</v>
      </c>
      <c r="F431" s="4" t="s">
        <v>7</v>
      </c>
      <c r="G431" s="4" t="s">
        <v>8</v>
      </c>
      <c r="H431" s="2"/>
      <c r="I431" s="4" t="s">
        <v>2</v>
      </c>
      <c r="J431" s="4" t="s">
        <v>6</v>
      </c>
      <c r="K431" s="4" t="s">
        <v>7</v>
      </c>
      <c r="L431" s="4" t="s">
        <v>8</v>
      </c>
      <c r="M431" s="4" t="s">
        <v>9</v>
      </c>
      <c r="N431" s="3" t="s">
        <v>322</v>
      </c>
      <c r="O431" s="3" t="s">
        <v>323</v>
      </c>
      <c r="P431" s="3" t="s">
        <v>322</v>
      </c>
      <c r="Q431" s="3" t="s">
        <v>323</v>
      </c>
      <c r="R431" s="1"/>
      <c r="S431" s="4" t="s">
        <v>2</v>
      </c>
      <c r="T431" s="4" t="s">
        <v>3</v>
      </c>
      <c r="U431" s="4" t="s">
        <v>4</v>
      </c>
      <c r="V431" s="4" t="s">
        <v>5</v>
      </c>
      <c r="W431" s="4" t="s">
        <v>6</v>
      </c>
      <c r="X431" s="4" t="s">
        <v>7</v>
      </c>
      <c r="Y431" s="4" t="s">
        <v>8</v>
      </c>
      <c r="Z431" s="2"/>
      <c r="AA431" s="4" t="s">
        <v>2</v>
      </c>
      <c r="AB431" s="4" t="s">
        <v>6</v>
      </c>
      <c r="AC431" s="4" t="s">
        <v>7</v>
      </c>
      <c r="AD431" s="4" t="s">
        <v>8</v>
      </c>
      <c r="AE431" s="4" t="s">
        <v>9</v>
      </c>
      <c r="AF431" s="3" t="s">
        <v>322</v>
      </c>
      <c r="AG431" s="3" t="s">
        <v>323</v>
      </c>
      <c r="AH431" s="3" t="s">
        <v>322</v>
      </c>
      <c r="AI431" s="3" t="s">
        <v>323</v>
      </c>
      <c r="AJ431" s="1"/>
      <c r="AK431" s="3" t="s">
        <v>2</v>
      </c>
      <c r="AL431" s="3" t="s">
        <v>3</v>
      </c>
      <c r="AM431" s="3" t="s">
        <v>4</v>
      </c>
      <c r="AN431" s="3" t="s">
        <v>5</v>
      </c>
      <c r="AO431" s="3" t="s">
        <v>6</v>
      </c>
      <c r="AP431" s="3" t="s">
        <v>7</v>
      </c>
      <c r="AQ431" s="3" t="s">
        <v>8</v>
      </c>
      <c r="AR431" s="2"/>
      <c r="AS431" s="3" t="s">
        <v>2</v>
      </c>
      <c r="AT431" s="3" t="s">
        <v>6</v>
      </c>
      <c r="AU431" s="3" t="s">
        <v>7</v>
      </c>
      <c r="AV431" s="3" t="s">
        <v>8</v>
      </c>
      <c r="AW431" s="3" t="s">
        <v>9</v>
      </c>
      <c r="AX431" s="3" t="s">
        <v>322</v>
      </c>
      <c r="AY431" s="3" t="s">
        <v>323</v>
      </c>
      <c r="AZ431" s="3" t="s">
        <v>322</v>
      </c>
      <c r="BA431" s="3" t="s">
        <v>323</v>
      </c>
      <c r="BB431" s="1"/>
      <c r="BC431" s="3" t="s">
        <v>2</v>
      </c>
      <c r="BD431" s="3" t="s">
        <v>3</v>
      </c>
      <c r="BE431" s="3" t="s">
        <v>4</v>
      </c>
      <c r="BF431" s="3" t="s">
        <v>5</v>
      </c>
      <c r="BG431" s="3" t="s">
        <v>6</v>
      </c>
      <c r="BH431" s="3" t="s">
        <v>7</v>
      </c>
      <c r="BI431" s="3" t="s">
        <v>8</v>
      </c>
      <c r="BJ431" s="2"/>
      <c r="BK431" s="3" t="s">
        <v>2</v>
      </c>
      <c r="BL431" s="3" t="s">
        <v>6</v>
      </c>
      <c r="BM431" s="3" t="s">
        <v>7</v>
      </c>
      <c r="BN431" s="3" t="s">
        <v>8</v>
      </c>
      <c r="BO431" s="3" t="s">
        <v>9</v>
      </c>
      <c r="BP431" s="3" t="s">
        <v>322</v>
      </c>
      <c r="BQ431" s="3" t="s">
        <v>323</v>
      </c>
      <c r="BR431" s="3" t="s">
        <v>322</v>
      </c>
      <c r="BS431" s="3" t="s">
        <v>323</v>
      </c>
    </row>
    <row r="432" spans="1:71" x14ac:dyDescent="0.3">
      <c r="A432" s="3" t="s">
        <v>254</v>
      </c>
      <c r="B432" s="3">
        <v>0.9</v>
      </c>
      <c r="C432" s="3">
        <v>0.5</v>
      </c>
      <c r="D432" s="3">
        <v>0.6</v>
      </c>
      <c r="E432" s="3">
        <v>0.3</v>
      </c>
      <c r="F432" s="7">
        <v>667.79949999999997</v>
      </c>
      <c r="G432" s="3">
        <v>3.0000000000000001E-3</v>
      </c>
      <c r="I432" s="3" t="s">
        <v>254</v>
      </c>
      <c r="J432" s="3">
        <v>0.01</v>
      </c>
      <c r="K432" s="6">
        <v>621.78442399999994</v>
      </c>
      <c r="L432" s="3">
        <v>0</v>
      </c>
      <c r="M432" s="3">
        <f t="shared" ref="M432:M461" si="48">AVERAGE(E432,J432)</f>
        <v>0.155</v>
      </c>
      <c r="N432" s="4" t="s">
        <v>320</v>
      </c>
      <c r="O432" s="4" t="s">
        <v>320</v>
      </c>
      <c r="P432" s="4" t="s">
        <v>321</v>
      </c>
      <c r="Q432" s="4" t="s">
        <v>321</v>
      </c>
      <c r="R432" s="1"/>
      <c r="S432" s="3" t="s">
        <v>254</v>
      </c>
      <c r="T432" s="3">
        <v>0.9</v>
      </c>
      <c r="U432" s="3">
        <v>0.5</v>
      </c>
      <c r="V432" s="3">
        <v>0.6</v>
      </c>
      <c r="W432" s="3">
        <v>0.3</v>
      </c>
      <c r="X432" s="7">
        <v>631.02233899999999</v>
      </c>
      <c r="Y432" s="3">
        <v>2E-3</v>
      </c>
      <c r="AA432" s="3" t="s">
        <v>254</v>
      </c>
      <c r="AB432" s="3">
        <v>0.01</v>
      </c>
      <c r="AC432" s="6">
        <v>583.43267800000001</v>
      </c>
      <c r="AD432" s="3">
        <v>0</v>
      </c>
      <c r="AE432" s="3">
        <f t="shared" ref="AE432:AE461" si="49">AVERAGE(W432,AB432)</f>
        <v>0.155</v>
      </c>
      <c r="AF432" s="4" t="s">
        <v>320</v>
      </c>
      <c r="AG432" s="4" t="s">
        <v>320</v>
      </c>
      <c r="AH432" s="4" t="s">
        <v>321</v>
      </c>
      <c r="AI432" s="4" t="s">
        <v>321</v>
      </c>
      <c r="AJ432" s="1"/>
      <c r="AK432" s="3" t="s">
        <v>255</v>
      </c>
      <c r="AL432" s="3">
        <v>0.9</v>
      </c>
      <c r="AM432" s="3">
        <v>0.5</v>
      </c>
      <c r="AN432" s="3">
        <v>0.6</v>
      </c>
      <c r="AO432" s="3">
        <v>0.3</v>
      </c>
      <c r="AP432" s="7">
        <v>1008.811523</v>
      </c>
      <c r="AQ432" s="3">
        <v>1.2E-2</v>
      </c>
      <c r="AS432" s="3" t="s">
        <v>255</v>
      </c>
      <c r="AT432" s="3">
        <v>0.01</v>
      </c>
      <c r="AU432" s="6">
        <v>859.60595699999999</v>
      </c>
      <c r="AV432" s="3">
        <v>1E-3</v>
      </c>
      <c r="AW432" s="3">
        <f t="shared" ref="AW432:AW461" si="50">AVERAGE(AO432,AT432)</f>
        <v>0.155</v>
      </c>
      <c r="AX432" s="4" t="s">
        <v>320</v>
      </c>
      <c r="AY432" s="4" t="s">
        <v>320</v>
      </c>
      <c r="AZ432" s="4" t="s">
        <v>321</v>
      </c>
      <c r="BA432" s="4" t="s">
        <v>321</v>
      </c>
      <c r="BB432" s="1"/>
      <c r="BC432" s="3" t="s">
        <v>255</v>
      </c>
      <c r="BD432" s="3">
        <v>0.9</v>
      </c>
      <c r="BE432" s="3">
        <v>0.5</v>
      </c>
      <c r="BF432" s="3">
        <v>0.6</v>
      </c>
      <c r="BG432" s="3">
        <v>0.3</v>
      </c>
      <c r="BH432" s="7">
        <v>953.12335199999995</v>
      </c>
      <c r="BI432" s="3">
        <v>8.0000000000000002E-3</v>
      </c>
      <c r="BK432" s="3" t="s">
        <v>255</v>
      </c>
      <c r="BL432" s="3">
        <v>0.01</v>
      </c>
      <c r="BM432" s="6">
        <v>778.01696800000002</v>
      </c>
      <c r="BN432" s="3">
        <v>2E-3</v>
      </c>
      <c r="BO432" s="3">
        <f t="shared" ref="BO432:BO461" si="51">AVERAGE(BG432,BL432)</f>
        <v>0.155</v>
      </c>
      <c r="BP432" s="4" t="s">
        <v>320</v>
      </c>
      <c r="BQ432" s="4" t="s">
        <v>320</v>
      </c>
      <c r="BR432" s="4" t="s">
        <v>321</v>
      </c>
      <c r="BS432" s="4" t="s">
        <v>321</v>
      </c>
    </row>
    <row r="433" spans="1:71" x14ac:dyDescent="0.3">
      <c r="A433" s="3" t="s">
        <v>256</v>
      </c>
      <c r="B433" s="3">
        <v>0.9</v>
      </c>
      <c r="C433" s="3">
        <v>0.5</v>
      </c>
      <c r="D433" s="3">
        <v>0.6</v>
      </c>
      <c r="E433" s="3">
        <v>0.3</v>
      </c>
      <c r="F433" s="7">
        <v>681.60968000000003</v>
      </c>
      <c r="G433" s="3">
        <v>3.0000000000000001E-3</v>
      </c>
      <c r="I433" s="3" t="s">
        <v>256</v>
      </c>
      <c r="J433" s="3">
        <v>0.21</v>
      </c>
      <c r="K433" s="6">
        <v>658.20068400000002</v>
      </c>
      <c r="L433" s="3">
        <v>0</v>
      </c>
      <c r="M433" s="3">
        <f t="shared" si="48"/>
        <v>0.255</v>
      </c>
      <c r="N433" s="3">
        <f>COUNT(F434:F436,F441:F442,F444:F448,F450:F452,F454:F455,F458:F461)</f>
        <v>19</v>
      </c>
      <c r="O433" s="3">
        <f>30-N433</f>
        <v>11</v>
      </c>
      <c r="P433" s="3">
        <f>COUNT(K432:K433,K437:K440,K443,K449,K453,K456:K457)</f>
        <v>11</v>
      </c>
      <c r="Q433" s="3">
        <f>30-P433</f>
        <v>19</v>
      </c>
      <c r="R433" s="1"/>
      <c r="S433" s="3" t="s">
        <v>256</v>
      </c>
      <c r="T433" s="3">
        <v>0.9</v>
      </c>
      <c r="U433" s="3">
        <v>0.5</v>
      </c>
      <c r="V433" s="3">
        <v>0.6</v>
      </c>
      <c r="W433" s="3">
        <v>0.3</v>
      </c>
      <c r="X433" s="6">
        <v>648.01000999999997</v>
      </c>
      <c r="Y433" s="3">
        <v>2E-3</v>
      </c>
      <c r="AA433" s="3" t="s">
        <v>256</v>
      </c>
      <c r="AB433" s="3">
        <v>0.74</v>
      </c>
      <c r="AC433" s="7">
        <v>730.80639599999995</v>
      </c>
      <c r="AD433" s="3">
        <v>0</v>
      </c>
      <c r="AE433" s="3">
        <f t="shared" si="49"/>
        <v>0.52</v>
      </c>
      <c r="AF433" s="3">
        <f>COUNT(X433:X435,X437:X444,X451:X454,X456:X461)</f>
        <v>21</v>
      </c>
      <c r="AG433" s="3">
        <f>30-AF433</f>
        <v>9</v>
      </c>
      <c r="AH433" s="3">
        <f>COUNT(AC432,AC436,AC445:AC450,AC455)</f>
        <v>9</v>
      </c>
      <c r="AI433" s="3">
        <f>30-AH433</f>
        <v>21</v>
      </c>
      <c r="AJ433" s="1"/>
      <c r="AK433" s="3" t="s">
        <v>257</v>
      </c>
      <c r="AL433" s="3">
        <v>0.9</v>
      </c>
      <c r="AM433" s="3">
        <v>0.5</v>
      </c>
      <c r="AN433" s="3">
        <v>0.6</v>
      </c>
      <c r="AO433" s="3">
        <v>0.3</v>
      </c>
      <c r="AP433" s="7">
        <v>980.29272500000002</v>
      </c>
      <c r="AQ433" s="3">
        <v>1.4E-2</v>
      </c>
      <c r="AS433" s="3" t="s">
        <v>257</v>
      </c>
      <c r="AT433" s="3">
        <v>0.24</v>
      </c>
      <c r="AU433" s="6">
        <v>941.70666500000004</v>
      </c>
      <c r="AV433" s="3">
        <v>1E-3</v>
      </c>
      <c r="AW433" s="3">
        <f t="shared" si="50"/>
        <v>0.27</v>
      </c>
      <c r="AX433" s="3">
        <f>COUNT(AP434,AP436,AP439:AP447,AP449:AP453,AP456,AP458,AP460:AP461)</f>
        <v>20</v>
      </c>
      <c r="AY433" s="3">
        <f>30-AX433</f>
        <v>10</v>
      </c>
      <c r="AZ433" s="3">
        <f>COUNT(AU432:AU433,AU435,AU437:AU438,AU448,AU454:AU455,AU457,AU459)</f>
        <v>10</v>
      </c>
      <c r="BA433" s="3">
        <f>30-AZ433</f>
        <v>20</v>
      </c>
      <c r="BB433" s="1"/>
      <c r="BC433" s="3" t="s">
        <v>257</v>
      </c>
      <c r="BD433" s="3">
        <v>0.9</v>
      </c>
      <c r="BE433" s="3">
        <v>0.5</v>
      </c>
      <c r="BF433" s="3">
        <v>0.6</v>
      </c>
      <c r="BG433" s="3">
        <v>0.3</v>
      </c>
      <c r="BH433" s="6">
        <v>934.64373799999998</v>
      </c>
      <c r="BI433" s="3">
        <v>7.0000000000000001E-3</v>
      </c>
      <c r="BK433" s="3" t="s">
        <v>257</v>
      </c>
      <c r="BL433" s="3">
        <v>0.96</v>
      </c>
      <c r="BM433" s="7">
        <v>1099.5444339999999</v>
      </c>
      <c r="BN433" s="3">
        <v>1E-3</v>
      </c>
      <c r="BO433" s="3">
        <f t="shared" si="51"/>
        <v>0.63</v>
      </c>
      <c r="BP433" s="3">
        <f>COUNT(BH433,BH435:BH436,BH439:BH446,BH449:BH450,BH452:BH456,BH459:BH460)</f>
        <v>20</v>
      </c>
      <c r="BQ433" s="3">
        <f>30-BP433</f>
        <v>10</v>
      </c>
      <c r="BR433" s="3">
        <f>COUNT(BM432,BM434,BM437:BM438,BM447:BM448,BM451,BM457:BM458,BM461)</f>
        <v>10</v>
      </c>
      <c r="BS433" s="3">
        <f>30-BR433</f>
        <v>20</v>
      </c>
    </row>
    <row r="434" spans="1:71" x14ac:dyDescent="0.3">
      <c r="A434" s="3" t="s">
        <v>258</v>
      </c>
      <c r="B434" s="3">
        <v>0.9</v>
      </c>
      <c r="C434" s="3">
        <v>0.5</v>
      </c>
      <c r="D434" s="3">
        <v>0.6</v>
      </c>
      <c r="E434" s="3">
        <v>0.3</v>
      </c>
      <c r="F434" s="6">
        <v>667.68158000000005</v>
      </c>
      <c r="G434" s="3">
        <v>2E-3</v>
      </c>
      <c r="I434" s="3" t="s">
        <v>258</v>
      </c>
      <c r="J434" s="3">
        <v>0.79</v>
      </c>
      <c r="K434" s="7">
        <v>756.12152100000003</v>
      </c>
      <c r="L434" s="3">
        <v>0</v>
      </c>
      <c r="M434" s="3">
        <f t="shared" si="48"/>
        <v>0.54500000000000004</v>
      </c>
      <c r="N434" s="5"/>
      <c r="O434" s="5"/>
      <c r="P434" s="5"/>
      <c r="Q434" s="5"/>
      <c r="R434" s="1"/>
      <c r="S434" s="3" t="s">
        <v>258</v>
      </c>
      <c r="T434" s="3">
        <v>0.9</v>
      </c>
      <c r="U434" s="3">
        <v>0.5</v>
      </c>
      <c r="V434" s="3">
        <v>0.6</v>
      </c>
      <c r="W434" s="3">
        <v>0.3</v>
      </c>
      <c r="X434" s="6">
        <v>634.08477800000003</v>
      </c>
      <c r="Y434" s="3">
        <v>2E-3</v>
      </c>
      <c r="AA434" s="3" t="s">
        <v>258</v>
      </c>
      <c r="AB434" s="3">
        <v>0.78</v>
      </c>
      <c r="AC434" s="7">
        <v>707.11877400000003</v>
      </c>
      <c r="AD434" s="3">
        <v>0</v>
      </c>
      <c r="AE434" s="3">
        <f t="shared" si="49"/>
        <v>0.54</v>
      </c>
      <c r="AF434" s="5"/>
      <c r="AG434" s="5"/>
      <c r="AH434" s="5"/>
      <c r="AI434" s="5"/>
      <c r="AJ434" s="1"/>
      <c r="AK434" s="3" t="s">
        <v>259</v>
      </c>
      <c r="AL434" s="3">
        <v>0.9</v>
      </c>
      <c r="AM434" s="3">
        <v>0.5</v>
      </c>
      <c r="AN434" s="3">
        <v>0.6</v>
      </c>
      <c r="AO434" s="3">
        <v>0.3</v>
      </c>
      <c r="AP434" s="6">
        <v>1012.203796</v>
      </c>
      <c r="AQ434" s="3">
        <v>0.01</v>
      </c>
      <c r="AS434" s="3" t="s">
        <v>259</v>
      </c>
      <c r="AT434" s="3">
        <v>0.7</v>
      </c>
      <c r="AU434" s="7">
        <v>1133.3706050000001</v>
      </c>
      <c r="AV434" s="3">
        <v>1E-3</v>
      </c>
      <c r="AW434" s="3">
        <f t="shared" si="50"/>
        <v>0.5</v>
      </c>
      <c r="AX434" s="5"/>
      <c r="AY434" s="5"/>
      <c r="AZ434" s="5"/>
      <c r="BA434" s="5"/>
      <c r="BB434" s="1"/>
      <c r="BC434" s="3" t="s">
        <v>259</v>
      </c>
      <c r="BD434" s="3">
        <v>0.9</v>
      </c>
      <c r="BE434" s="3">
        <v>0.5</v>
      </c>
      <c r="BF434" s="3">
        <v>0.6</v>
      </c>
      <c r="BG434" s="3">
        <v>0.3</v>
      </c>
      <c r="BH434" s="7">
        <v>940.53692599999999</v>
      </c>
      <c r="BI434" s="3">
        <v>7.0000000000000001E-3</v>
      </c>
      <c r="BK434" s="3" t="s">
        <v>259</v>
      </c>
      <c r="BL434" s="3">
        <v>0.14000000000000001</v>
      </c>
      <c r="BM434" s="6">
        <v>829.989014</v>
      </c>
      <c r="BN434" s="3">
        <v>1E-3</v>
      </c>
      <c r="BO434" s="3">
        <f t="shared" si="51"/>
        <v>0.22</v>
      </c>
    </row>
    <row r="435" spans="1:71" x14ac:dyDescent="0.3">
      <c r="A435" s="3" t="s">
        <v>260</v>
      </c>
      <c r="B435" s="3">
        <v>0.9</v>
      </c>
      <c r="C435" s="3">
        <v>0.5</v>
      </c>
      <c r="D435" s="3">
        <v>0.6</v>
      </c>
      <c r="E435" s="3">
        <v>0.3</v>
      </c>
      <c r="F435" s="6">
        <v>693.871399</v>
      </c>
      <c r="G435" s="3">
        <v>2E-3</v>
      </c>
      <c r="I435" s="3" t="s">
        <v>260</v>
      </c>
      <c r="J435" s="3">
        <v>0.75</v>
      </c>
      <c r="K435" s="7">
        <v>775.18127400000003</v>
      </c>
      <c r="L435" s="3">
        <v>0</v>
      </c>
      <c r="M435" s="3">
        <f t="shared" si="48"/>
        <v>0.52500000000000002</v>
      </c>
      <c r="N435" s="5"/>
      <c r="O435" s="5"/>
      <c r="P435" s="5"/>
      <c r="Q435" s="5"/>
      <c r="R435" s="1"/>
      <c r="S435" s="3" t="s">
        <v>260</v>
      </c>
      <c r="T435" s="3">
        <v>0.9</v>
      </c>
      <c r="U435" s="3">
        <v>0.5</v>
      </c>
      <c r="V435" s="3">
        <v>0.6</v>
      </c>
      <c r="W435" s="3">
        <v>0.3</v>
      </c>
      <c r="X435" s="6">
        <v>678.21752900000001</v>
      </c>
      <c r="Y435" s="3">
        <v>2E-3</v>
      </c>
      <c r="AA435" s="3" t="s">
        <v>260</v>
      </c>
      <c r="AB435" s="3">
        <v>0.79</v>
      </c>
      <c r="AC435" s="7">
        <v>754.65515100000005</v>
      </c>
      <c r="AD435" s="3">
        <v>0</v>
      </c>
      <c r="AE435" s="3">
        <f t="shared" si="49"/>
        <v>0.54500000000000004</v>
      </c>
      <c r="AF435" s="5"/>
      <c r="AG435" s="5"/>
      <c r="AH435" s="5"/>
      <c r="AI435" s="5"/>
      <c r="AJ435" s="1"/>
      <c r="AK435" s="3" t="s">
        <v>261</v>
      </c>
      <c r="AL435" s="3">
        <v>0.9</v>
      </c>
      <c r="AM435" s="3">
        <v>0.5</v>
      </c>
      <c r="AN435" s="3">
        <v>0.6</v>
      </c>
      <c r="AO435" s="3">
        <v>0.3</v>
      </c>
      <c r="AP435" s="7">
        <v>970.21673599999997</v>
      </c>
      <c r="AQ435" s="3">
        <v>0.01</v>
      </c>
      <c r="AS435" s="3" t="s">
        <v>261</v>
      </c>
      <c r="AT435" s="3">
        <v>0.06</v>
      </c>
      <c r="AU435" s="6">
        <v>843.177368</v>
      </c>
      <c r="AV435" s="3">
        <v>1E-3</v>
      </c>
      <c r="AW435" s="3">
        <f t="shared" si="50"/>
        <v>0.18</v>
      </c>
      <c r="AX435" s="5"/>
      <c r="AY435" s="5"/>
      <c r="AZ435" s="5"/>
      <c r="BA435" s="5"/>
      <c r="BB435" s="1"/>
      <c r="BC435" s="3" t="s">
        <v>261</v>
      </c>
      <c r="BD435" s="3">
        <v>0.9</v>
      </c>
      <c r="BE435" s="3">
        <v>0.5</v>
      </c>
      <c r="BF435" s="3">
        <v>0.6</v>
      </c>
      <c r="BG435" s="3">
        <v>0.3</v>
      </c>
      <c r="BH435" s="6">
        <v>898.05310099999997</v>
      </c>
      <c r="BI435" s="3">
        <v>7.0000000000000001E-3</v>
      </c>
      <c r="BK435" s="3" t="s">
        <v>261</v>
      </c>
      <c r="BL435" s="3">
        <v>0.34</v>
      </c>
      <c r="BM435" s="7">
        <v>914.50921600000004</v>
      </c>
      <c r="BN435" s="3">
        <v>1E-3</v>
      </c>
      <c r="BO435" s="3">
        <f t="shared" si="51"/>
        <v>0.32</v>
      </c>
    </row>
    <row r="436" spans="1:71" x14ac:dyDescent="0.3">
      <c r="A436" s="3" t="s">
        <v>262</v>
      </c>
      <c r="B436" s="3">
        <v>0.9</v>
      </c>
      <c r="C436" s="3">
        <v>0.5</v>
      </c>
      <c r="D436" s="3">
        <v>0.6</v>
      </c>
      <c r="E436" s="3">
        <v>0.3</v>
      </c>
      <c r="F436" s="6">
        <v>726.36029099999996</v>
      </c>
      <c r="G436" s="3">
        <v>2E-3</v>
      </c>
      <c r="I436" s="3" t="s">
        <v>262</v>
      </c>
      <c r="J436" s="3">
        <v>0.48</v>
      </c>
      <c r="K436" s="7">
        <v>777.47277799999995</v>
      </c>
      <c r="L436" s="3">
        <v>1E-3</v>
      </c>
      <c r="M436" s="3">
        <f t="shared" si="48"/>
        <v>0.39</v>
      </c>
      <c r="N436" s="5"/>
      <c r="O436" s="5"/>
      <c r="P436" s="5"/>
      <c r="Q436" s="5"/>
      <c r="R436" s="1"/>
      <c r="S436" s="3" t="s">
        <v>262</v>
      </c>
      <c r="T436" s="3">
        <v>0.9</v>
      </c>
      <c r="U436" s="3">
        <v>0.5</v>
      </c>
      <c r="V436" s="3">
        <v>0.6</v>
      </c>
      <c r="W436" s="3">
        <v>0.3</v>
      </c>
      <c r="X436" s="7">
        <v>712.57800299999997</v>
      </c>
      <c r="Y436" s="3">
        <v>3.0000000000000001E-3</v>
      </c>
      <c r="AA436" s="3" t="s">
        <v>262</v>
      </c>
      <c r="AB436" s="3">
        <v>0.32</v>
      </c>
      <c r="AC436" s="6">
        <v>704.64581299999998</v>
      </c>
      <c r="AD436" s="3">
        <v>1E-3</v>
      </c>
      <c r="AE436" s="3">
        <f t="shared" si="49"/>
        <v>0.31</v>
      </c>
      <c r="AF436" s="5"/>
      <c r="AG436" s="5"/>
      <c r="AH436" s="5"/>
      <c r="AI436" s="5"/>
      <c r="AJ436" s="1"/>
      <c r="AK436" s="3" t="s">
        <v>263</v>
      </c>
      <c r="AL436" s="3">
        <v>0.9</v>
      </c>
      <c r="AM436" s="3">
        <v>0.5</v>
      </c>
      <c r="AN436" s="3">
        <v>0.6</v>
      </c>
      <c r="AO436" s="3">
        <v>0.3</v>
      </c>
      <c r="AP436" s="6">
        <v>999.74517800000001</v>
      </c>
      <c r="AQ436" s="3">
        <v>8.0000000000000002E-3</v>
      </c>
      <c r="AS436" s="3" t="s">
        <v>263</v>
      </c>
      <c r="AT436" s="3">
        <v>0.74</v>
      </c>
      <c r="AU436" s="7">
        <v>1095.316284</v>
      </c>
      <c r="AV436" s="3">
        <v>1E-3</v>
      </c>
      <c r="AW436" s="3">
        <f t="shared" si="50"/>
        <v>0.52</v>
      </c>
      <c r="AX436" s="5"/>
      <c r="AY436" s="5"/>
      <c r="AZ436" s="5"/>
      <c r="BA436" s="5"/>
      <c r="BB436" s="1"/>
      <c r="BC436" s="3" t="s">
        <v>263</v>
      </c>
      <c r="BD436" s="3">
        <v>0.9</v>
      </c>
      <c r="BE436" s="3">
        <v>0.5</v>
      </c>
      <c r="BF436" s="3">
        <v>0.6</v>
      </c>
      <c r="BG436" s="3">
        <v>0.3</v>
      </c>
      <c r="BH436" s="6">
        <v>944.19555700000001</v>
      </c>
      <c r="BI436" s="3">
        <v>8.0000000000000002E-3</v>
      </c>
      <c r="BK436" s="3" t="s">
        <v>263</v>
      </c>
      <c r="BL436" s="3">
        <v>0.46</v>
      </c>
      <c r="BM436" s="7">
        <v>995.21752900000001</v>
      </c>
      <c r="BN436" s="3">
        <v>1E-3</v>
      </c>
      <c r="BO436" s="3">
        <f t="shared" si="51"/>
        <v>0.38</v>
      </c>
    </row>
    <row r="437" spans="1:71" x14ac:dyDescent="0.3">
      <c r="A437" s="3" t="s">
        <v>264</v>
      </c>
      <c r="B437" s="3">
        <v>0.9</v>
      </c>
      <c r="C437" s="3">
        <v>0.5</v>
      </c>
      <c r="D437" s="3">
        <v>0.6</v>
      </c>
      <c r="E437" s="3">
        <v>0.3</v>
      </c>
      <c r="F437" s="7">
        <v>717.70611599999995</v>
      </c>
      <c r="G437" s="3">
        <v>2E-3</v>
      </c>
      <c r="I437" s="3" t="s">
        <v>264</v>
      </c>
      <c r="J437" s="3">
        <v>0.3</v>
      </c>
      <c r="K437" s="6">
        <v>714.13104199999998</v>
      </c>
      <c r="L437" s="3">
        <v>1E-3</v>
      </c>
      <c r="M437" s="3">
        <f t="shared" si="48"/>
        <v>0.3</v>
      </c>
      <c r="N437" s="5"/>
      <c r="O437" s="5"/>
      <c r="P437" s="5"/>
      <c r="Q437" s="5"/>
      <c r="R437" s="1"/>
      <c r="S437" s="3" t="s">
        <v>264</v>
      </c>
      <c r="T437" s="3">
        <v>0.9</v>
      </c>
      <c r="U437" s="3">
        <v>0.5</v>
      </c>
      <c r="V437" s="3">
        <v>0.6</v>
      </c>
      <c r="W437" s="3">
        <v>0.3</v>
      </c>
      <c r="X437" s="6">
        <v>668.43518100000006</v>
      </c>
      <c r="Y437" s="3">
        <v>3.0000000000000001E-3</v>
      </c>
      <c r="AA437" s="3" t="s">
        <v>264</v>
      </c>
      <c r="AB437" s="3">
        <v>0.79</v>
      </c>
      <c r="AC437" s="7">
        <v>776.46704099999999</v>
      </c>
      <c r="AD437" s="3">
        <v>0</v>
      </c>
      <c r="AE437" s="3">
        <f t="shared" si="49"/>
        <v>0.54500000000000004</v>
      </c>
      <c r="AF437" s="5"/>
      <c r="AG437" s="5"/>
      <c r="AH437" s="5"/>
      <c r="AI437" s="5"/>
      <c r="AJ437" s="1"/>
      <c r="AK437" s="3" t="s">
        <v>265</v>
      </c>
      <c r="AL437" s="3">
        <v>0.9</v>
      </c>
      <c r="AM437" s="3">
        <v>0.5</v>
      </c>
      <c r="AN437" s="3">
        <v>0.6</v>
      </c>
      <c r="AO437" s="3">
        <v>0.3</v>
      </c>
      <c r="AP437" s="7">
        <v>968.73394800000005</v>
      </c>
      <c r="AQ437" s="3">
        <v>8.0000000000000002E-3</v>
      </c>
      <c r="AS437" s="3" t="s">
        <v>265</v>
      </c>
      <c r="AT437" s="3">
        <v>0.02</v>
      </c>
      <c r="AU437" s="6">
        <v>799.29144299999996</v>
      </c>
      <c r="AV437" s="3">
        <v>1E-3</v>
      </c>
      <c r="AW437" s="3">
        <f t="shared" si="50"/>
        <v>0.16</v>
      </c>
      <c r="AX437" s="5"/>
      <c r="AY437" s="5"/>
      <c r="AZ437" s="5"/>
      <c r="BA437" s="5"/>
      <c r="BB437" s="1"/>
      <c r="BC437" s="3" t="s">
        <v>265</v>
      </c>
      <c r="BD437" s="3">
        <v>0.9</v>
      </c>
      <c r="BE437" s="3">
        <v>0.5</v>
      </c>
      <c r="BF437" s="3">
        <v>0.6</v>
      </c>
      <c r="BG437" s="3">
        <v>0.3</v>
      </c>
      <c r="BH437" s="7">
        <v>925.17773399999999</v>
      </c>
      <c r="BI437" s="3">
        <v>8.0000000000000002E-3</v>
      </c>
      <c r="BK437" s="3" t="s">
        <v>265</v>
      </c>
      <c r="BL437" s="3">
        <v>0.24</v>
      </c>
      <c r="BM437" s="6">
        <v>891.547729</v>
      </c>
      <c r="BN437" s="3">
        <v>1E-3</v>
      </c>
      <c r="BO437" s="3">
        <f t="shared" si="51"/>
        <v>0.27</v>
      </c>
    </row>
    <row r="438" spans="1:71" x14ac:dyDescent="0.3">
      <c r="A438" s="3" t="s">
        <v>266</v>
      </c>
      <c r="B438" s="3">
        <v>0.9</v>
      </c>
      <c r="C438" s="3">
        <v>0.5</v>
      </c>
      <c r="D438" s="3">
        <v>0.6</v>
      </c>
      <c r="E438" s="3">
        <v>0.3</v>
      </c>
      <c r="F438" s="7">
        <v>649.94958499999996</v>
      </c>
      <c r="G438" s="3">
        <v>2E-3</v>
      </c>
      <c r="I438" s="3" t="s">
        <v>266</v>
      </c>
      <c r="J438" s="3">
        <v>0.13</v>
      </c>
      <c r="K438" s="6">
        <v>604.52172900000005</v>
      </c>
      <c r="L438" s="3">
        <v>0</v>
      </c>
      <c r="M438" s="3">
        <f t="shared" si="48"/>
        <v>0.215</v>
      </c>
      <c r="N438" s="5"/>
      <c r="O438" s="5"/>
      <c r="P438" s="5"/>
      <c r="Q438" s="5"/>
      <c r="R438" s="1"/>
      <c r="S438" s="3" t="s">
        <v>266</v>
      </c>
      <c r="T438" s="3">
        <v>0.9</v>
      </c>
      <c r="U438" s="3">
        <v>0.5</v>
      </c>
      <c r="V438" s="3">
        <v>0.6</v>
      </c>
      <c r="W438" s="3">
        <v>0.3</v>
      </c>
      <c r="X438" s="6">
        <v>583.96441700000003</v>
      </c>
      <c r="Y438" s="3">
        <v>2E-3</v>
      </c>
      <c r="AA438" s="3" t="s">
        <v>266</v>
      </c>
      <c r="AB438" s="3">
        <v>0.59</v>
      </c>
      <c r="AC438" s="7">
        <v>645.65917999999999</v>
      </c>
      <c r="AD438" s="3">
        <v>0</v>
      </c>
      <c r="AE438" s="3">
        <f t="shared" si="49"/>
        <v>0.44499999999999995</v>
      </c>
      <c r="AF438" s="5"/>
      <c r="AG438" s="5"/>
      <c r="AH438" s="5"/>
      <c r="AI438" s="5"/>
      <c r="AJ438" s="1"/>
      <c r="AK438" s="3" t="s">
        <v>267</v>
      </c>
      <c r="AL438" s="3">
        <v>0.9</v>
      </c>
      <c r="AM438" s="3">
        <v>0.5</v>
      </c>
      <c r="AN438" s="3">
        <v>0.6</v>
      </c>
      <c r="AO438" s="3">
        <v>0.3</v>
      </c>
      <c r="AP438" s="7">
        <v>1004.809021</v>
      </c>
      <c r="AQ438" s="3">
        <v>8.0000000000000002E-3</v>
      </c>
      <c r="AS438" s="3" t="s">
        <v>267</v>
      </c>
      <c r="AT438" s="3">
        <v>0.28999999999999998</v>
      </c>
      <c r="AU438" s="6">
        <v>1000.898132</v>
      </c>
      <c r="AV438" s="3">
        <v>1E-3</v>
      </c>
      <c r="AW438" s="3">
        <f t="shared" si="50"/>
        <v>0.29499999999999998</v>
      </c>
      <c r="AX438" s="5"/>
      <c r="AY438" s="5"/>
      <c r="AZ438" s="5"/>
      <c r="BA438" s="5"/>
      <c r="BB438" s="1"/>
      <c r="BC438" s="3" t="s">
        <v>267</v>
      </c>
      <c r="BD438" s="3">
        <v>0.9</v>
      </c>
      <c r="BE438" s="3">
        <v>0.5</v>
      </c>
      <c r="BF438" s="3">
        <v>0.6</v>
      </c>
      <c r="BG438" s="3">
        <v>0.3</v>
      </c>
      <c r="BH438" s="7">
        <v>979.26892099999998</v>
      </c>
      <c r="BI438" s="3">
        <v>1.4E-2</v>
      </c>
      <c r="BK438" s="3" t="s">
        <v>267</v>
      </c>
      <c r="BL438" s="3">
        <v>0.18</v>
      </c>
      <c r="BM438" s="6">
        <v>898.77435300000002</v>
      </c>
      <c r="BN438" s="3">
        <v>1E-3</v>
      </c>
      <c r="BO438" s="3">
        <f t="shared" si="51"/>
        <v>0.24</v>
      </c>
    </row>
    <row r="439" spans="1:71" x14ac:dyDescent="0.3">
      <c r="A439" s="3" t="s">
        <v>268</v>
      </c>
      <c r="B439" s="3">
        <v>0.9</v>
      </c>
      <c r="C439" s="3">
        <v>0.5</v>
      </c>
      <c r="D439" s="3">
        <v>0.6</v>
      </c>
      <c r="E439" s="3">
        <v>0.3</v>
      </c>
      <c r="F439" s="7">
        <v>711.54626499999995</v>
      </c>
      <c r="G439" s="3">
        <v>3.0000000000000001E-3</v>
      </c>
      <c r="I439" s="3" t="s">
        <v>268</v>
      </c>
      <c r="J439" s="3">
        <v>0.06</v>
      </c>
      <c r="K439" s="6">
        <v>668.86010699999997</v>
      </c>
      <c r="L439" s="3">
        <v>0</v>
      </c>
      <c r="M439" s="3">
        <f t="shared" si="48"/>
        <v>0.18</v>
      </c>
      <c r="N439" s="5"/>
      <c r="O439" s="5"/>
      <c r="P439" s="5"/>
      <c r="Q439" s="5"/>
      <c r="R439" s="1"/>
      <c r="S439" s="3" t="s">
        <v>268</v>
      </c>
      <c r="T439" s="3">
        <v>0.9</v>
      </c>
      <c r="U439" s="3">
        <v>0.5</v>
      </c>
      <c r="V439" s="3">
        <v>0.6</v>
      </c>
      <c r="W439" s="3">
        <v>0.3</v>
      </c>
      <c r="X439" s="6">
        <v>673.80835000000002</v>
      </c>
      <c r="Y439" s="3">
        <v>2E-3</v>
      </c>
      <c r="AA439" s="3" t="s">
        <v>268</v>
      </c>
      <c r="AB439" s="3">
        <v>0.47</v>
      </c>
      <c r="AC439" s="7">
        <v>711.50732400000004</v>
      </c>
      <c r="AD439" s="3">
        <v>0</v>
      </c>
      <c r="AE439" s="3">
        <f t="shared" si="49"/>
        <v>0.38500000000000001</v>
      </c>
      <c r="AF439" s="5"/>
      <c r="AG439" s="5"/>
      <c r="AH439" s="5"/>
      <c r="AI439" s="5"/>
      <c r="AJ439" s="1"/>
      <c r="AK439" s="3" t="s">
        <v>269</v>
      </c>
      <c r="AL439" s="3">
        <v>0.9</v>
      </c>
      <c r="AM439" s="3">
        <v>0.5</v>
      </c>
      <c r="AN439" s="3">
        <v>0.6</v>
      </c>
      <c r="AO439" s="3">
        <v>0.3</v>
      </c>
      <c r="AP439" s="6">
        <v>971.93811000000005</v>
      </c>
      <c r="AQ439" s="3">
        <v>8.0000000000000002E-3</v>
      </c>
      <c r="AS439" s="3" t="s">
        <v>269</v>
      </c>
      <c r="AT439" s="3">
        <v>0.4</v>
      </c>
      <c r="AU439" s="7">
        <v>1004.17572</v>
      </c>
      <c r="AV439" s="3">
        <v>1E-3</v>
      </c>
      <c r="AW439" s="3">
        <f t="shared" si="50"/>
        <v>0.35</v>
      </c>
      <c r="AX439" s="5"/>
      <c r="AY439" s="5"/>
      <c r="AZ439" s="5"/>
      <c r="BA439" s="5"/>
      <c r="BB439" s="1"/>
      <c r="BC439" s="3" t="s">
        <v>269</v>
      </c>
      <c r="BD439" s="3">
        <v>0.9</v>
      </c>
      <c r="BE439" s="3">
        <v>0.5</v>
      </c>
      <c r="BF439" s="3">
        <v>0.6</v>
      </c>
      <c r="BG439" s="3">
        <v>0.3</v>
      </c>
      <c r="BH439" s="6">
        <v>921.38079800000003</v>
      </c>
      <c r="BI439" s="3">
        <v>8.0000000000000002E-3</v>
      </c>
      <c r="BK439" s="3" t="s">
        <v>269</v>
      </c>
      <c r="BL439" s="3">
        <v>0.95</v>
      </c>
      <c r="BM439" s="7">
        <v>1078.5688479999999</v>
      </c>
      <c r="BN439" s="3">
        <v>2E-3</v>
      </c>
      <c r="BO439" s="3">
        <f t="shared" si="51"/>
        <v>0.625</v>
      </c>
    </row>
    <row r="440" spans="1:71" x14ac:dyDescent="0.3">
      <c r="A440" s="3" t="s">
        <v>270</v>
      </c>
      <c r="B440" s="3">
        <v>0.9</v>
      </c>
      <c r="C440" s="3">
        <v>0.5</v>
      </c>
      <c r="D440" s="3">
        <v>0.6</v>
      </c>
      <c r="E440" s="3">
        <v>0.3</v>
      </c>
      <c r="F440" s="7">
        <v>616.49487299999998</v>
      </c>
      <c r="G440" s="3">
        <v>2E-3</v>
      </c>
      <c r="I440" s="3" t="s">
        <v>270</v>
      </c>
      <c r="J440" s="3">
        <v>0.04</v>
      </c>
      <c r="K440" s="6">
        <v>571.49084500000004</v>
      </c>
      <c r="L440" s="3">
        <v>0</v>
      </c>
      <c r="M440" s="3">
        <f t="shared" si="48"/>
        <v>0.16999999999999998</v>
      </c>
      <c r="N440" s="5"/>
      <c r="O440" s="5"/>
      <c r="P440" s="5"/>
      <c r="Q440" s="5"/>
      <c r="R440" s="1"/>
      <c r="S440" s="3" t="s">
        <v>270</v>
      </c>
      <c r="T440" s="3">
        <v>0.9</v>
      </c>
      <c r="U440" s="3">
        <v>0.5</v>
      </c>
      <c r="V440" s="3">
        <v>0.6</v>
      </c>
      <c r="W440" s="3">
        <v>0.3</v>
      </c>
      <c r="X440" s="6">
        <v>533.94268799999998</v>
      </c>
      <c r="Y440" s="3">
        <v>2E-3</v>
      </c>
      <c r="AA440" s="3" t="s">
        <v>270</v>
      </c>
      <c r="AB440" s="3">
        <v>0.5</v>
      </c>
      <c r="AC440" s="7">
        <v>602.00030500000003</v>
      </c>
      <c r="AD440" s="3">
        <v>0</v>
      </c>
      <c r="AE440" s="3">
        <f t="shared" si="49"/>
        <v>0.4</v>
      </c>
      <c r="AF440" s="5"/>
      <c r="AG440" s="5"/>
      <c r="AH440" s="5"/>
      <c r="AI440" s="5"/>
      <c r="AJ440" s="1"/>
      <c r="AK440" s="3" t="s">
        <v>271</v>
      </c>
      <c r="AL440" s="3">
        <v>0.9</v>
      </c>
      <c r="AM440" s="3">
        <v>0.5</v>
      </c>
      <c r="AN440" s="3">
        <v>0.6</v>
      </c>
      <c r="AO440" s="3">
        <v>0.3</v>
      </c>
      <c r="AP440" s="6">
        <v>966.34582499999999</v>
      </c>
      <c r="AQ440" s="3">
        <v>8.0000000000000002E-3</v>
      </c>
      <c r="AS440" s="3" t="s">
        <v>271</v>
      </c>
      <c r="AT440" s="3">
        <v>0.67</v>
      </c>
      <c r="AU440" s="7">
        <v>1108.476318</v>
      </c>
      <c r="AV440" s="3">
        <v>1E-3</v>
      </c>
      <c r="AW440" s="3">
        <f t="shared" si="50"/>
        <v>0.48499999999999999</v>
      </c>
      <c r="AX440" s="5"/>
      <c r="AY440" s="5"/>
      <c r="AZ440" s="5"/>
      <c r="BA440" s="5"/>
      <c r="BB440" s="1"/>
      <c r="BC440" s="3" t="s">
        <v>271</v>
      </c>
      <c r="BD440" s="3">
        <v>0.9</v>
      </c>
      <c r="BE440" s="3">
        <v>0.5</v>
      </c>
      <c r="BF440" s="3">
        <v>0.6</v>
      </c>
      <c r="BG440" s="3">
        <v>0.3</v>
      </c>
      <c r="BH440" s="6">
        <v>913.469604</v>
      </c>
      <c r="BI440" s="3">
        <v>7.0000000000000001E-3</v>
      </c>
      <c r="BK440" s="3" t="s">
        <v>271</v>
      </c>
      <c r="BL440" s="3">
        <v>0.4</v>
      </c>
      <c r="BM440" s="7">
        <v>966.93463099999997</v>
      </c>
      <c r="BN440" s="3">
        <v>1E-3</v>
      </c>
      <c r="BO440" s="3">
        <f t="shared" si="51"/>
        <v>0.35</v>
      </c>
    </row>
    <row r="441" spans="1:71" x14ac:dyDescent="0.3">
      <c r="A441" s="3" t="s">
        <v>272</v>
      </c>
      <c r="B441" s="3">
        <v>0.9</v>
      </c>
      <c r="C441" s="3">
        <v>0.5</v>
      </c>
      <c r="D441" s="3">
        <v>0.6</v>
      </c>
      <c r="E441" s="3">
        <v>0.3</v>
      </c>
      <c r="F441" s="6">
        <v>746.62152100000003</v>
      </c>
      <c r="G441" s="3">
        <v>3.0000000000000001E-3</v>
      </c>
      <c r="I441" s="3" t="s">
        <v>272</v>
      </c>
      <c r="J441" s="3">
        <v>0.74</v>
      </c>
      <c r="K441" s="7">
        <v>864.29791299999999</v>
      </c>
      <c r="L441" s="3">
        <v>0</v>
      </c>
      <c r="M441" s="3">
        <f t="shared" si="48"/>
        <v>0.52</v>
      </c>
      <c r="N441" s="5"/>
      <c r="O441" s="5"/>
      <c r="P441" s="5"/>
      <c r="Q441" s="5"/>
      <c r="R441" s="1"/>
      <c r="S441" s="3" t="s">
        <v>272</v>
      </c>
      <c r="T441" s="3">
        <v>0.9</v>
      </c>
      <c r="U441" s="3">
        <v>0.5</v>
      </c>
      <c r="V441" s="3">
        <v>0.6</v>
      </c>
      <c r="W441" s="3">
        <v>0.3</v>
      </c>
      <c r="X441" s="6">
        <v>726.84210199999995</v>
      </c>
      <c r="Y441" s="3">
        <v>3.0000000000000001E-3</v>
      </c>
      <c r="AA441" s="3" t="s">
        <v>272</v>
      </c>
      <c r="AB441" s="3">
        <v>0.47</v>
      </c>
      <c r="AC441" s="7">
        <v>771.64495799999997</v>
      </c>
      <c r="AD441" s="3">
        <v>1E-3</v>
      </c>
      <c r="AE441" s="3">
        <f t="shared" si="49"/>
        <v>0.38500000000000001</v>
      </c>
      <c r="AF441" s="5"/>
      <c r="AG441" s="5"/>
      <c r="AH441" s="5"/>
      <c r="AI441" s="5"/>
      <c r="AJ441" s="1"/>
      <c r="AK441" s="3" t="s">
        <v>273</v>
      </c>
      <c r="AL441" s="3">
        <v>0.9</v>
      </c>
      <c r="AM441" s="3">
        <v>0.5</v>
      </c>
      <c r="AN441" s="3">
        <v>0.6</v>
      </c>
      <c r="AO441" s="3">
        <v>0.3</v>
      </c>
      <c r="AP441" s="6">
        <v>992.40039100000001</v>
      </c>
      <c r="AQ441" s="3">
        <v>8.0000000000000002E-3</v>
      </c>
      <c r="AS441" s="3" t="s">
        <v>273</v>
      </c>
      <c r="AT441" s="3">
        <v>0.65</v>
      </c>
      <c r="AU441" s="7">
        <v>1116.435913</v>
      </c>
      <c r="AV441" s="3">
        <v>2E-3</v>
      </c>
      <c r="AW441" s="3">
        <f t="shared" si="50"/>
        <v>0.47499999999999998</v>
      </c>
      <c r="AX441" s="5"/>
      <c r="AY441" s="5"/>
      <c r="AZ441" s="5"/>
      <c r="BA441" s="5"/>
      <c r="BB441" s="1"/>
      <c r="BC441" s="3" t="s">
        <v>273</v>
      </c>
      <c r="BD441" s="3">
        <v>0.9</v>
      </c>
      <c r="BE441" s="3">
        <v>0.5</v>
      </c>
      <c r="BF441" s="3">
        <v>0.6</v>
      </c>
      <c r="BG441" s="3">
        <v>0.3</v>
      </c>
      <c r="BH441" s="6">
        <v>970.71710199999995</v>
      </c>
      <c r="BI441" s="3">
        <v>8.0000000000000002E-3</v>
      </c>
      <c r="BK441" s="3" t="s">
        <v>273</v>
      </c>
      <c r="BL441" s="3">
        <v>0.33</v>
      </c>
      <c r="BM441" s="7">
        <v>980.46569799999997</v>
      </c>
      <c r="BN441" s="3">
        <v>0</v>
      </c>
      <c r="BO441" s="3">
        <f t="shared" si="51"/>
        <v>0.315</v>
      </c>
    </row>
    <row r="442" spans="1:71" x14ac:dyDescent="0.3">
      <c r="A442" s="3" t="s">
        <v>274</v>
      </c>
      <c r="B442" s="3">
        <v>0.9</v>
      </c>
      <c r="C442" s="3">
        <v>0.5</v>
      </c>
      <c r="D442" s="3">
        <v>0.6</v>
      </c>
      <c r="E442" s="3">
        <v>0.3</v>
      </c>
      <c r="F442" s="6">
        <v>809.118652</v>
      </c>
      <c r="G442" s="3">
        <v>3.0000000000000001E-3</v>
      </c>
      <c r="I442" s="3" t="s">
        <v>274</v>
      </c>
      <c r="J442" s="3">
        <v>0.76</v>
      </c>
      <c r="K442" s="7">
        <v>964.55041500000004</v>
      </c>
      <c r="L442" s="3">
        <v>1E-3</v>
      </c>
      <c r="M442" s="3">
        <f t="shared" si="48"/>
        <v>0.53</v>
      </c>
      <c r="N442" s="5"/>
      <c r="O442" s="5"/>
      <c r="P442" s="5"/>
      <c r="Q442" s="5"/>
      <c r="R442" s="1"/>
      <c r="S442" s="3" t="s">
        <v>274</v>
      </c>
      <c r="T442" s="3">
        <v>0.9</v>
      </c>
      <c r="U442" s="3">
        <v>0.5</v>
      </c>
      <c r="V442" s="3">
        <v>0.6</v>
      </c>
      <c r="W442" s="3">
        <v>0.3</v>
      </c>
      <c r="X442" s="6">
        <v>787.33538799999997</v>
      </c>
      <c r="Y442" s="3">
        <v>3.0000000000000001E-3</v>
      </c>
      <c r="AA442" s="3" t="s">
        <v>274</v>
      </c>
      <c r="AB442" s="3">
        <v>0.92</v>
      </c>
      <c r="AC442" s="7">
        <v>865.62475600000005</v>
      </c>
      <c r="AD442" s="3">
        <v>0</v>
      </c>
      <c r="AE442" s="3">
        <f t="shared" si="49"/>
        <v>0.61</v>
      </c>
      <c r="AF442" s="5"/>
      <c r="AG442" s="5"/>
      <c r="AH442" s="5"/>
      <c r="AI442" s="5"/>
      <c r="AJ442" s="1"/>
      <c r="AK442" s="3" t="s">
        <v>275</v>
      </c>
      <c r="AL442" s="3">
        <v>0.9</v>
      </c>
      <c r="AM442" s="3">
        <v>0.5</v>
      </c>
      <c r="AN442" s="3">
        <v>0.6</v>
      </c>
      <c r="AO442" s="3">
        <v>0.3</v>
      </c>
      <c r="AP442" s="6">
        <v>1093.102539</v>
      </c>
      <c r="AQ442" s="3">
        <v>8.9999999999999993E-3</v>
      </c>
      <c r="AS442" s="3" t="s">
        <v>275</v>
      </c>
      <c r="AT442" s="3">
        <v>0.77</v>
      </c>
      <c r="AU442" s="7">
        <v>1291.400269</v>
      </c>
      <c r="AV442" s="3">
        <v>2E-3</v>
      </c>
      <c r="AW442" s="3">
        <f t="shared" si="50"/>
        <v>0.53500000000000003</v>
      </c>
      <c r="AX442" s="5"/>
      <c r="AY442" s="5"/>
      <c r="AZ442" s="5"/>
      <c r="BA442" s="5"/>
      <c r="BB442" s="1"/>
      <c r="BC442" s="3" t="s">
        <v>275</v>
      </c>
      <c r="BD442" s="3">
        <v>0.9</v>
      </c>
      <c r="BE442" s="3">
        <v>0.5</v>
      </c>
      <c r="BF442" s="3">
        <v>0.6</v>
      </c>
      <c r="BG442" s="3">
        <v>0.3</v>
      </c>
      <c r="BH442" s="6">
        <v>1077.3591309999999</v>
      </c>
      <c r="BI442" s="3">
        <v>8.9999999999999993E-3</v>
      </c>
      <c r="BK442" s="3" t="s">
        <v>275</v>
      </c>
      <c r="BL442" s="3">
        <v>0.5</v>
      </c>
      <c r="BM442" s="7">
        <v>1187.5740969999999</v>
      </c>
      <c r="BN442" s="3">
        <v>1E-3</v>
      </c>
      <c r="BO442" s="3">
        <f t="shared" si="51"/>
        <v>0.4</v>
      </c>
    </row>
    <row r="443" spans="1:71" x14ac:dyDescent="0.3">
      <c r="A443" s="3" t="s">
        <v>276</v>
      </c>
      <c r="B443" s="3">
        <v>0.9</v>
      </c>
      <c r="C443" s="3">
        <v>0.5</v>
      </c>
      <c r="D443" s="3">
        <v>0.6</v>
      </c>
      <c r="E443" s="3">
        <v>0.3</v>
      </c>
      <c r="F443" s="7">
        <v>703.81774900000005</v>
      </c>
      <c r="G443" s="3">
        <v>3.0000000000000001E-3</v>
      </c>
      <c r="I443" s="3" t="s">
        <v>276</v>
      </c>
      <c r="J443" s="3">
        <v>0.21</v>
      </c>
      <c r="K443" s="6">
        <v>664.99218800000006</v>
      </c>
      <c r="L443" s="3">
        <v>0</v>
      </c>
      <c r="M443" s="3">
        <f t="shared" si="48"/>
        <v>0.255</v>
      </c>
      <c r="N443" s="5"/>
      <c r="O443" s="5"/>
      <c r="P443" s="5"/>
      <c r="Q443" s="5"/>
      <c r="R443" s="1"/>
      <c r="S443" s="3" t="s">
        <v>276</v>
      </c>
      <c r="T443" s="3">
        <v>0.9</v>
      </c>
      <c r="U443" s="3">
        <v>0.5</v>
      </c>
      <c r="V443" s="3">
        <v>0.6</v>
      </c>
      <c r="W443" s="3">
        <v>0.3</v>
      </c>
      <c r="X443" s="6">
        <v>669.49890100000005</v>
      </c>
      <c r="Y443" s="3">
        <v>3.0000000000000001E-3</v>
      </c>
      <c r="AA443" s="3" t="s">
        <v>276</v>
      </c>
      <c r="AB443" s="3">
        <v>0.93</v>
      </c>
      <c r="AC443" s="7">
        <v>800.84918200000004</v>
      </c>
      <c r="AD443" s="3">
        <v>1E-3</v>
      </c>
      <c r="AE443" s="3">
        <f t="shared" si="49"/>
        <v>0.61499999999999999</v>
      </c>
      <c r="AF443" s="5"/>
      <c r="AG443" s="5"/>
      <c r="AH443" s="5"/>
      <c r="AI443" s="5"/>
      <c r="AJ443" s="1"/>
      <c r="AK443" s="3" t="s">
        <v>277</v>
      </c>
      <c r="AL443" s="3">
        <v>0.9</v>
      </c>
      <c r="AM443" s="3">
        <v>0.5</v>
      </c>
      <c r="AN443" s="3">
        <v>0.6</v>
      </c>
      <c r="AO443" s="3">
        <v>0.3</v>
      </c>
      <c r="AP443" s="6">
        <v>1000.099976</v>
      </c>
      <c r="AQ443" s="3">
        <v>8.0000000000000002E-3</v>
      </c>
      <c r="AS443" s="3" t="s">
        <v>277</v>
      </c>
      <c r="AT443" s="3">
        <v>0.63</v>
      </c>
      <c r="AU443" s="7">
        <v>1160.107544</v>
      </c>
      <c r="AV443" s="3">
        <v>1E-3</v>
      </c>
      <c r="AW443" s="3">
        <f t="shared" si="50"/>
        <v>0.46499999999999997</v>
      </c>
      <c r="AX443" s="5"/>
      <c r="AY443" s="5"/>
      <c r="AZ443" s="5"/>
      <c r="BA443" s="5"/>
      <c r="BB443" s="1"/>
      <c r="BC443" s="3" t="s">
        <v>277</v>
      </c>
      <c r="BD443" s="3">
        <v>0.9</v>
      </c>
      <c r="BE443" s="3">
        <v>0.5</v>
      </c>
      <c r="BF443" s="3">
        <v>0.6</v>
      </c>
      <c r="BG443" s="3">
        <v>0.3</v>
      </c>
      <c r="BH443" s="6">
        <v>976.66980000000001</v>
      </c>
      <c r="BI443" s="3">
        <v>8.0000000000000002E-3</v>
      </c>
      <c r="BK443" s="3" t="s">
        <v>277</v>
      </c>
      <c r="BL443" s="3">
        <v>0.35</v>
      </c>
      <c r="BM443" s="7">
        <v>999.43859899999995</v>
      </c>
      <c r="BN443" s="3">
        <v>1E-3</v>
      </c>
      <c r="BO443" s="3">
        <f t="shared" si="51"/>
        <v>0.32499999999999996</v>
      </c>
    </row>
    <row r="444" spans="1:71" x14ac:dyDescent="0.3">
      <c r="A444" s="3" t="s">
        <v>278</v>
      </c>
      <c r="B444" s="3">
        <v>0.9</v>
      </c>
      <c r="C444" s="3">
        <v>0.5</v>
      </c>
      <c r="D444" s="3">
        <v>0.6</v>
      </c>
      <c r="E444" s="3">
        <v>0.3</v>
      </c>
      <c r="F444" s="6">
        <v>656.89190699999995</v>
      </c>
      <c r="G444" s="3">
        <v>3.0000000000000001E-3</v>
      </c>
      <c r="I444" s="3" t="s">
        <v>278</v>
      </c>
      <c r="J444" s="3">
        <v>0.48</v>
      </c>
      <c r="K444" s="7">
        <v>704.77832000000001</v>
      </c>
      <c r="L444" s="3">
        <v>0</v>
      </c>
      <c r="M444" s="3">
        <f t="shared" si="48"/>
        <v>0.39</v>
      </c>
      <c r="N444" s="5"/>
      <c r="O444" s="5"/>
      <c r="P444" s="5"/>
      <c r="Q444" s="5"/>
      <c r="R444" s="1"/>
      <c r="S444" s="3" t="s">
        <v>278</v>
      </c>
      <c r="T444" s="3">
        <v>0.9</v>
      </c>
      <c r="U444" s="3">
        <v>0.5</v>
      </c>
      <c r="V444" s="3">
        <v>0.6</v>
      </c>
      <c r="W444" s="3">
        <v>0.3</v>
      </c>
      <c r="X444" s="6">
        <v>629.56555200000003</v>
      </c>
      <c r="Y444" s="3">
        <v>2E-3</v>
      </c>
      <c r="AA444" s="3" t="s">
        <v>278</v>
      </c>
      <c r="AB444" s="3">
        <v>0.91</v>
      </c>
      <c r="AC444" s="7">
        <v>776.33630400000004</v>
      </c>
      <c r="AD444" s="3">
        <v>0</v>
      </c>
      <c r="AE444" s="3">
        <f t="shared" si="49"/>
        <v>0.60499999999999998</v>
      </c>
      <c r="AF444" s="5"/>
      <c r="AG444" s="5"/>
      <c r="AH444" s="5"/>
      <c r="AI444" s="5"/>
      <c r="AJ444" s="1"/>
      <c r="AK444" s="3" t="s">
        <v>279</v>
      </c>
      <c r="AL444" s="3">
        <v>0.9</v>
      </c>
      <c r="AM444" s="3">
        <v>0.5</v>
      </c>
      <c r="AN444" s="3">
        <v>0.6</v>
      </c>
      <c r="AO444" s="3">
        <v>0.3</v>
      </c>
      <c r="AP444" s="6">
        <v>1119.3903809999999</v>
      </c>
      <c r="AQ444" s="3">
        <v>8.9999999999999993E-3</v>
      </c>
      <c r="AS444" s="3" t="s">
        <v>279</v>
      </c>
      <c r="AT444" s="3">
        <v>0.46</v>
      </c>
      <c r="AU444" s="7">
        <v>1200.1645510000001</v>
      </c>
      <c r="AV444" s="3">
        <v>3.0000000000000001E-3</v>
      </c>
      <c r="AW444" s="3">
        <f t="shared" si="50"/>
        <v>0.38</v>
      </c>
      <c r="AX444" s="5"/>
      <c r="AY444" s="5"/>
      <c r="AZ444" s="5"/>
      <c r="BA444" s="5"/>
      <c r="BB444" s="1"/>
      <c r="BC444" s="3" t="s">
        <v>279</v>
      </c>
      <c r="BD444" s="3">
        <v>0.9</v>
      </c>
      <c r="BE444" s="3">
        <v>0.5</v>
      </c>
      <c r="BF444" s="3">
        <v>0.6</v>
      </c>
      <c r="BG444" s="3">
        <v>0.3</v>
      </c>
      <c r="BH444" s="6">
        <v>1082.3125</v>
      </c>
      <c r="BI444" s="3">
        <v>8.9999999999999993E-3</v>
      </c>
      <c r="BK444" s="3" t="s">
        <v>279</v>
      </c>
      <c r="BL444" s="3">
        <v>0.62</v>
      </c>
      <c r="BM444" s="7">
        <v>1218.7139890000001</v>
      </c>
      <c r="BN444" s="3">
        <v>2E-3</v>
      </c>
      <c r="BO444" s="3">
        <f t="shared" si="51"/>
        <v>0.45999999999999996</v>
      </c>
    </row>
    <row r="445" spans="1:71" x14ac:dyDescent="0.3">
      <c r="A445" s="3" t="s">
        <v>280</v>
      </c>
      <c r="B445" s="3">
        <v>0.9</v>
      </c>
      <c r="C445" s="3">
        <v>0.5</v>
      </c>
      <c r="D445" s="3">
        <v>0.6</v>
      </c>
      <c r="E445" s="3">
        <v>0.3</v>
      </c>
      <c r="F445" s="6">
        <v>890.07775900000001</v>
      </c>
      <c r="G445" s="3">
        <v>3.0000000000000001E-3</v>
      </c>
      <c r="I445" s="3" t="s">
        <v>280</v>
      </c>
      <c r="J445" s="3">
        <v>0.76</v>
      </c>
      <c r="K445" s="7">
        <v>1028.5679929999999</v>
      </c>
      <c r="L445" s="3">
        <v>0</v>
      </c>
      <c r="M445" s="3">
        <f t="shared" si="48"/>
        <v>0.53</v>
      </c>
      <c r="N445" s="5"/>
      <c r="O445" s="5"/>
      <c r="P445" s="5"/>
      <c r="Q445" s="5"/>
      <c r="R445" s="1"/>
      <c r="S445" s="3" t="s">
        <v>280</v>
      </c>
      <c r="T445" s="3">
        <v>0.9</v>
      </c>
      <c r="U445" s="3">
        <v>0.5</v>
      </c>
      <c r="V445" s="3">
        <v>0.6</v>
      </c>
      <c r="W445" s="3">
        <v>0.3</v>
      </c>
      <c r="X445" s="7">
        <v>857.32629399999996</v>
      </c>
      <c r="Y445" s="3">
        <v>3.0000000000000001E-3</v>
      </c>
      <c r="AA445" s="3" t="s">
        <v>280</v>
      </c>
      <c r="AB445" s="3">
        <v>0.25</v>
      </c>
      <c r="AC445" s="6">
        <v>818.746216</v>
      </c>
      <c r="AD445" s="3">
        <v>0</v>
      </c>
      <c r="AE445" s="3">
        <f t="shared" si="49"/>
        <v>0.27500000000000002</v>
      </c>
      <c r="AF445" s="5"/>
      <c r="AG445" s="5"/>
      <c r="AH445" s="5"/>
      <c r="AI445" s="5"/>
      <c r="AJ445" s="1"/>
      <c r="AK445" s="3" t="s">
        <v>281</v>
      </c>
      <c r="AL445" s="3">
        <v>0.9</v>
      </c>
      <c r="AM445" s="3">
        <v>0.5</v>
      </c>
      <c r="AN445" s="3">
        <v>0.6</v>
      </c>
      <c r="AO445" s="3">
        <v>0.3</v>
      </c>
      <c r="AP445" s="6">
        <v>1037.487183</v>
      </c>
      <c r="AQ445" s="3">
        <v>8.9999999999999993E-3</v>
      </c>
      <c r="AS445" s="3" t="s">
        <v>281</v>
      </c>
      <c r="AT445" s="3">
        <v>0.71</v>
      </c>
      <c r="AU445" s="7">
        <v>1248.3675539999999</v>
      </c>
      <c r="AV445" s="3">
        <v>2E-3</v>
      </c>
      <c r="AW445" s="3">
        <f t="shared" si="50"/>
        <v>0.505</v>
      </c>
      <c r="AX445" s="5"/>
      <c r="AY445" s="5"/>
      <c r="AZ445" s="5"/>
      <c r="BA445" s="5"/>
      <c r="BB445" s="1"/>
      <c r="BC445" s="3" t="s">
        <v>281</v>
      </c>
      <c r="BD445" s="3">
        <v>0.9</v>
      </c>
      <c r="BE445" s="3">
        <v>0.5</v>
      </c>
      <c r="BF445" s="3">
        <v>0.6</v>
      </c>
      <c r="BG445" s="3">
        <v>0.3</v>
      </c>
      <c r="BH445" s="6">
        <v>1048.6263429999999</v>
      </c>
      <c r="BI445" s="3">
        <v>8.9999999999999993E-3</v>
      </c>
      <c r="BK445" s="3" t="s">
        <v>281</v>
      </c>
      <c r="BL445" s="3">
        <v>0.95</v>
      </c>
      <c r="BM445" s="7">
        <v>1303.0703120000001</v>
      </c>
      <c r="BN445" s="3">
        <v>2E-3</v>
      </c>
      <c r="BO445" s="3">
        <f t="shared" si="51"/>
        <v>0.625</v>
      </c>
    </row>
    <row r="446" spans="1:71" x14ac:dyDescent="0.3">
      <c r="A446" s="3" t="s">
        <v>282</v>
      </c>
      <c r="B446" s="3">
        <v>0.9</v>
      </c>
      <c r="C446" s="3">
        <v>0.5</v>
      </c>
      <c r="D446" s="3">
        <v>0.6</v>
      </c>
      <c r="E446" s="3">
        <v>0.3</v>
      </c>
      <c r="F446" s="6">
        <v>752.175476</v>
      </c>
      <c r="G446" s="3">
        <v>3.0000000000000001E-3</v>
      </c>
      <c r="I446" s="3" t="s">
        <v>282</v>
      </c>
      <c r="J446" s="3">
        <v>0.52</v>
      </c>
      <c r="K446" s="7">
        <v>852.86114499999996</v>
      </c>
      <c r="L446" s="3">
        <v>1E-3</v>
      </c>
      <c r="M446" s="3">
        <f t="shared" si="48"/>
        <v>0.41000000000000003</v>
      </c>
      <c r="N446" s="5"/>
      <c r="O446" s="5"/>
      <c r="P446" s="5"/>
      <c r="Q446" s="5"/>
      <c r="R446" s="1"/>
      <c r="S446" s="3" t="s">
        <v>282</v>
      </c>
      <c r="T446" s="3">
        <v>0.9</v>
      </c>
      <c r="U446" s="3">
        <v>0.5</v>
      </c>
      <c r="V446" s="3">
        <v>0.6</v>
      </c>
      <c r="W446" s="3">
        <v>0.3</v>
      </c>
      <c r="X446" s="7">
        <v>761.81066899999996</v>
      </c>
      <c r="Y446" s="3">
        <v>3.0000000000000001E-3</v>
      </c>
      <c r="AA446" s="3" t="s">
        <v>282</v>
      </c>
      <c r="AB446" s="3">
        <v>0.2</v>
      </c>
      <c r="AC446" s="6">
        <v>700.25421100000005</v>
      </c>
      <c r="AD446" s="3">
        <v>1E-3</v>
      </c>
      <c r="AE446" s="3">
        <f t="shared" si="49"/>
        <v>0.25</v>
      </c>
      <c r="AF446" s="5"/>
      <c r="AG446" s="5"/>
      <c r="AH446" s="5"/>
      <c r="AI446" s="5"/>
      <c r="AJ446" s="1"/>
      <c r="AK446" s="3" t="s">
        <v>283</v>
      </c>
      <c r="AL446" s="3">
        <v>0.9</v>
      </c>
      <c r="AM446" s="3">
        <v>0.5</v>
      </c>
      <c r="AN446" s="3">
        <v>0.6</v>
      </c>
      <c r="AO446" s="3">
        <v>0.3</v>
      </c>
      <c r="AP446" s="6">
        <v>1025.665283</v>
      </c>
      <c r="AQ446" s="3">
        <v>8.0000000000000002E-3</v>
      </c>
      <c r="AS446" s="3" t="s">
        <v>283</v>
      </c>
      <c r="AT446" s="3">
        <v>0.73</v>
      </c>
      <c r="AU446" s="7">
        <v>1194.908813</v>
      </c>
      <c r="AV446" s="3">
        <v>2E-3</v>
      </c>
      <c r="AW446" s="3">
        <f t="shared" si="50"/>
        <v>0.51500000000000001</v>
      </c>
      <c r="AX446" s="5"/>
      <c r="AY446" s="5"/>
      <c r="AZ446" s="5"/>
      <c r="BA446" s="5"/>
      <c r="BB446" s="1"/>
      <c r="BC446" s="3" t="s">
        <v>283</v>
      </c>
      <c r="BD446" s="3">
        <v>0.9</v>
      </c>
      <c r="BE446" s="3">
        <v>0.5</v>
      </c>
      <c r="BF446" s="3">
        <v>0.6</v>
      </c>
      <c r="BG446" s="3">
        <v>0.3</v>
      </c>
      <c r="BH446" s="6">
        <v>989.90777600000001</v>
      </c>
      <c r="BI446" s="3">
        <v>1.4E-2</v>
      </c>
      <c r="BK446" s="3" t="s">
        <v>283</v>
      </c>
      <c r="BL446" s="3">
        <v>0.56999999999999995</v>
      </c>
      <c r="BM446" s="7">
        <v>1121.880737</v>
      </c>
      <c r="BN446" s="3">
        <v>2E-3</v>
      </c>
      <c r="BO446" s="3">
        <f t="shared" si="51"/>
        <v>0.43499999999999994</v>
      </c>
    </row>
    <row r="447" spans="1:71" x14ac:dyDescent="0.3">
      <c r="A447" s="3" t="s">
        <v>284</v>
      </c>
      <c r="B447" s="3">
        <v>0.9</v>
      </c>
      <c r="C447" s="3">
        <v>0.5</v>
      </c>
      <c r="D447" s="3">
        <v>0.6</v>
      </c>
      <c r="E447" s="3">
        <v>0.3</v>
      </c>
      <c r="F447" s="6">
        <v>822.80920400000002</v>
      </c>
      <c r="G447" s="3">
        <v>3.0000000000000001E-3</v>
      </c>
      <c r="I447" s="3" t="s">
        <v>284</v>
      </c>
      <c r="J447" s="3">
        <v>0.6</v>
      </c>
      <c r="K447" s="7">
        <v>936.30920400000002</v>
      </c>
      <c r="L447" s="3">
        <v>1E-3</v>
      </c>
      <c r="M447" s="3">
        <f t="shared" si="48"/>
        <v>0.44999999999999996</v>
      </c>
      <c r="N447" s="5"/>
      <c r="O447" s="5"/>
      <c r="P447" s="5"/>
      <c r="Q447" s="5"/>
      <c r="R447" s="1"/>
      <c r="S447" s="3" t="s">
        <v>284</v>
      </c>
      <c r="T447" s="3">
        <v>0.9</v>
      </c>
      <c r="U447" s="3">
        <v>0.5</v>
      </c>
      <c r="V447" s="3">
        <v>0.6</v>
      </c>
      <c r="W447" s="3">
        <v>0.3</v>
      </c>
      <c r="X447" s="7">
        <v>798.51879899999994</v>
      </c>
      <c r="Y447" s="3">
        <v>3.0000000000000001E-3</v>
      </c>
      <c r="AA447" s="3" t="s">
        <v>284</v>
      </c>
      <c r="AB447" s="3">
        <v>7.0000000000000007E-2</v>
      </c>
      <c r="AC447" s="6">
        <v>701.96319600000004</v>
      </c>
      <c r="AD447" s="3">
        <v>1E-3</v>
      </c>
      <c r="AE447" s="3">
        <f t="shared" si="49"/>
        <v>0.185</v>
      </c>
      <c r="AF447" s="5"/>
      <c r="AG447" s="5"/>
      <c r="AH447" s="5"/>
      <c r="AI447" s="5"/>
      <c r="AJ447" s="1"/>
      <c r="AK447" s="3" t="s">
        <v>285</v>
      </c>
      <c r="AL447" s="3">
        <v>0.9</v>
      </c>
      <c r="AM447" s="3">
        <v>0.5</v>
      </c>
      <c r="AN447" s="3">
        <v>0.6</v>
      </c>
      <c r="AO447" s="3">
        <v>0.3</v>
      </c>
      <c r="AP447" s="6">
        <v>1104.69165</v>
      </c>
      <c r="AQ447" s="3">
        <v>8.9999999999999993E-3</v>
      </c>
      <c r="AS447" s="3" t="s">
        <v>285</v>
      </c>
      <c r="AT447" s="3">
        <v>0.71</v>
      </c>
      <c r="AU447" s="7">
        <v>1291.209961</v>
      </c>
      <c r="AV447" s="3">
        <v>2E-3</v>
      </c>
      <c r="AW447" s="3">
        <f t="shared" si="50"/>
        <v>0.505</v>
      </c>
      <c r="AX447" s="5"/>
      <c r="AY447" s="5"/>
      <c r="AZ447" s="5"/>
      <c r="BA447" s="5"/>
      <c r="BB447" s="1"/>
      <c r="BC447" s="3" t="s">
        <v>285</v>
      </c>
      <c r="BD447" s="3">
        <v>0.9</v>
      </c>
      <c r="BE447" s="3">
        <v>0.5</v>
      </c>
      <c r="BF447" s="3">
        <v>0.6</v>
      </c>
      <c r="BG447" s="3">
        <v>0.3</v>
      </c>
      <c r="BH447" s="7">
        <v>1070.1198730000001</v>
      </c>
      <c r="BI447" s="3">
        <v>8.9999999999999993E-3</v>
      </c>
      <c r="BK447" s="3" t="s">
        <v>285</v>
      </c>
      <c r="BL447" s="3">
        <v>0.01</v>
      </c>
      <c r="BM447" s="6">
        <v>958.73223900000005</v>
      </c>
      <c r="BN447" s="3">
        <v>2E-3</v>
      </c>
      <c r="BO447" s="3">
        <f t="shared" si="51"/>
        <v>0.155</v>
      </c>
    </row>
    <row r="448" spans="1:71" x14ac:dyDescent="0.3">
      <c r="A448" s="3" t="s">
        <v>286</v>
      </c>
      <c r="B448" s="3">
        <v>0.9</v>
      </c>
      <c r="C448" s="3">
        <v>0.5</v>
      </c>
      <c r="D448" s="3">
        <v>0.6</v>
      </c>
      <c r="E448" s="3">
        <v>0.3</v>
      </c>
      <c r="F448" s="6">
        <v>705.66223100000002</v>
      </c>
      <c r="G448" s="3">
        <v>3.0000000000000001E-3</v>
      </c>
      <c r="I448" s="3" t="s">
        <v>286</v>
      </c>
      <c r="J448" s="3">
        <v>0.28000000000000003</v>
      </c>
      <c r="K448" s="7">
        <v>707.21813999999995</v>
      </c>
      <c r="L448" s="3">
        <v>1E-3</v>
      </c>
      <c r="M448" s="3">
        <f t="shared" si="48"/>
        <v>0.29000000000000004</v>
      </c>
      <c r="N448" s="5"/>
      <c r="O448" s="5"/>
      <c r="P448" s="5"/>
      <c r="Q448" s="5"/>
      <c r="R448" s="1"/>
      <c r="S448" s="3" t="s">
        <v>286</v>
      </c>
      <c r="T448" s="3">
        <v>0.9</v>
      </c>
      <c r="U448" s="3">
        <v>0.5</v>
      </c>
      <c r="V448" s="3">
        <v>0.6</v>
      </c>
      <c r="W448" s="3">
        <v>0.3</v>
      </c>
      <c r="X448" s="7">
        <v>681.83734100000004</v>
      </c>
      <c r="Y448" s="3">
        <v>3.0000000000000001E-3</v>
      </c>
      <c r="AA448" s="3" t="s">
        <v>286</v>
      </c>
      <c r="AB448" s="3">
        <v>0.24</v>
      </c>
      <c r="AC448" s="6">
        <v>675.00714100000005</v>
      </c>
      <c r="AD448" s="3">
        <v>0</v>
      </c>
      <c r="AE448" s="3">
        <f t="shared" si="49"/>
        <v>0.27</v>
      </c>
      <c r="AF448" s="5"/>
      <c r="AG448" s="5"/>
      <c r="AH448" s="5"/>
      <c r="AI448" s="5"/>
      <c r="AJ448" s="1"/>
      <c r="AK448" s="3" t="s">
        <v>287</v>
      </c>
      <c r="AL448" s="3">
        <v>0.9</v>
      </c>
      <c r="AM448" s="3">
        <v>0.5</v>
      </c>
      <c r="AN448" s="3">
        <v>0.6</v>
      </c>
      <c r="AO448" s="3">
        <v>0.3</v>
      </c>
      <c r="AP448" s="7">
        <v>1015.790588</v>
      </c>
      <c r="AQ448" s="3">
        <v>8.9999999999999993E-3</v>
      </c>
      <c r="AS448" s="3" t="s">
        <v>287</v>
      </c>
      <c r="AT448" s="3">
        <v>0</v>
      </c>
      <c r="AU448" s="6">
        <v>893.06018100000006</v>
      </c>
      <c r="AV448" s="3">
        <v>3.0000000000000001E-3</v>
      </c>
      <c r="AW448" s="3">
        <f t="shared" si="50"/>
        <v>0.15</v>
      </c>
      <c r="AX448" s="5"/>
      <c r="AY448" s="5"/>
      <c r="AZ448" s="5"/>
      <c r="BA448" s="5"/>
      <c r="BB448" s="1"/>
      <c r="BC448" s="3" t="s">
        <v>287</v>
      </c>
      <c r="BD448" s="3">
        <v>0.9</v>
      </c>
      <c r="BE448" s="3">
        <v>0.5</v>
      </c>
      <c r="BF448" s="3">
        <v>0.6</v>
      </c>
      <c r="BG448" s="3">
        <v>0.3</v>
      </c>
      <c r="BH448" s="7">
        <v>981.06658900000002</v>
      </c>
      <c r="BI448" s="3">
        <v>8.0000000000000002E-3</v>
      </c>
      <c r="BK448" s="3" t="s">
        <v>287</v>
      </c>
      <c r="BL448" s="3">
        <v>0.03</v>
      </c>
      <c r="BM448" s="6">
        <v>791.167236</v>
      </c>
      <c r="BN448" s="3">
        <v>1E-3</v>
      </c>
      <c r="BO448" s="3">
        <f t="shared" si="51"/>
        <v>0.16499999999999998</v>
      </c>
    </row>
    <row r="449" spans="1:67" x14ac:dyDescent="0.3">
      <c r="A449" s="3" t="s">
        <v>288</v>
      </c>
      <c r="B449" s="3">
        <v>0.9</v>
      </c>
      <c r="C449" s="3">
        <v>0.5</v>
      </c>
      <c r="D449" s="3">
        <v>0.6</v>
      </c>
      <c r="E449" s="3">
        <v>0.3</v>
      </c>
      <c r="F449" s="7">
        <v>703.54693599999996</v>
      </c>
      <c r="G449" s="3">
        <v>3.0000000000000001E-3</v>
      </c>
      <c r="I449" s="3" t="s">
        <v>288</v>
      </c>
      <c r="J449" s="3">
        <v>0.21</v>
      </c>
      <c r="K449" s="6">
        <v>669.43884300000002</v>
      </c>
      <c r="L449" s="3">
        <v>0</v>
      </c>
      <c r="M449" s="3">
        <f t="shared" si="48"/>
        <v>0.255</v>
      </c>
      <c r="N449" s="5"/>
      <c r="O449" s="5"/>
      <c r="P449" s="5"/>
      <c r="Q449" s="5"/>
      <c r="R449" s="1"/>
      <c r="S449" s="3" t="s">
        <v>288</v>
      </c>
      <c r="T449" s="3">
        <v>0.9</v>
      </c>
      <c r="U449" s="3">
        <v>0.5</v>
      </c>
      <c r="V449" s="3">
        <v>0.6</v>
      </c>
      <c r="W449" s="3">
        <v>0.3</v>
      </c>
      <c r="X449" s="7">
        <v>694.50860599999999</v>
      </c>
      <c r="Y449" s="3">
        <v>3.0000000000000001E-3</v>
      </c>
      <c r="AA449" s="3" t="s">
        <v>288</v>
      </c>
      <c r="AB449" s="3">
        <v>0.14000000000000001</v>
      </c>
      <c r="AC449" s="6">
        <v>625.81604000000004</v>
      </c>
      <c r="AD449" s="3">
        <v>0</v>
      </c>
      <c r="AE449" s="3">
        <f t="shared" si="49"/>
        <v>0.22</v>
      </c>
      <c r="AF449" s="5"/>
      <c r="AG449" s="5"/>
      <c r="AH449" s="5"/>
      <c r="AI449" s="5"/>
      <c r="AJ449" s="1"/>
      <c r="AK449" s="3" t="s">
        <v>289</v>
      </c>
      <c r="AL449" s="3">
        <v>0.9</v>
      </c>
      <c r="AM449" s="3">
        <v>0.5</v>
      </c>
      <c r="AN449" s="3">
        <v>0.6</v>
      </c>
      <c r="AO449" s="3">
        <v>0.3</v>
      </c>
      <c r="AP449" s="6">
        <v>1085.334961</v>
      </c>
      <c r="AQ449" s="3">
        <v>0.01</v>
      </c>
      <c r="AS449" s="3" t="s">
        <v>289</v>
      </c>
      <c r="AT449" s="3">
        <v>0.4</v>
      </c>
      <c r="AU449" s="7">
        <v>1152.644043</v>
      </c>
      <c r="AV449" s="3">
        <v>2E-3</v>
      </c>
      <c r="AW449" s="3">
        <f t="shared" si="50"/>
        <v>0.35</v>
      </c>
      <c r="AX449" s="5"/>
      <c r="AY449" s="5"/>
      <c r="AZ449" s="5"/>
      <c r="BA449" s="5"/>
      <c r="BB449" s="1"/>
      <c r="BC449" s="3" t="s">
        <v>289</v>
      </c>
      <c r="BD449" s="3">
        <v>0.9</v>
      </c>
      <c r="BE449" s="3">
        <v>0.5</v>
      </c>
      <c r="BF449" s="3">
        <v>0.6</v>
      </c>
      <c r="BG449" s="3">
        <v>0.3</v>
      </c>
      <c r="BH449" s="6">
        <v>1045.226807</v>
      </c>
      <c r="BI449" s="3">
        <v>0.01</v>
      </c>
      <c r="BK449" s="3" t="s">
        <v>289</v>
      </c>
      <c r="BL449" s="3">
        <v>0.88</v>
      </c>
      <c r="BM449" s="7">
        <v>1325.763794</v>
      </c>
      <c r="BN449" s="3">
        <v>2E-3</v>
      </c>
      <c r="BO449" s="3">
        <f t="shared" si="51"/>
        <v>0.59</v>
      </c>
    </row>
    <row r="450" spans="1:67" x14ac:dyDescent="0.3">
      <c r="A450" s="3" t="s">
        <v>290</v>
      </c>
      <c r="B450" s="3">
        <v>0.9</v>
      </c>
      <c r="C450" s="3">
        <v>0.5</v>
      </c>
      <c r="D450" s="3">
        <v>0.6</v>
      </c>
      <c r="E450" s="3">
        <v>0.3</v>
      </c>
      <c r="F450" s="6">
        <v>714.00268600000004</v>
      </c>
      <c r="G450" s="3">
        <v>3.0000000000000001E-3</v>
      </c>
      <c r="I450" s="3" t="s">
        <v>290</v>
      </c>
      <c r="J450" s="3">
        <v>0.49</v>
      </c>
      <c r="K450" s="7">
        <v>771.19372599999997</v>
      </c>
      <c r="L450" s="3">
        <v>0</v>
      </c>
      <c r="M450" s="3">
        <f t="shared" si="48"/>
        <v>0.39500000000000002</v>
      </c>
      <c r="N450" s="5"/>
      <c r="O450" s="5"/>
      <c r="P450" s="5"/>
      <c r="Q450" s="5"/>
      <c r="R450" s="1"/>
      <c r="S450" s="3" t="s">
        <v>290</v>
      </c>
      <c r="T450" s="3">
        <v>0.9</v>
      </c>
      <c r="U450" s="3">
        <v>0.5</v>
      </c>
      <c r="V450" s="3">
        <v>0.6</v>
      </c>
      <c r="W450" s="3">
        <v>0.3</v>
      </c>
      <c r="X450" s="7">
        <v>678.03265399999998</v>
      </c>
      <c r="Y450" s="3">
        <v>3.0000000000000001E-3</v>
      </c>
      <c r="AA450" s="3" t="s">
        <v>290</v>
      </c>
      <c r="AB450" s="3">
        <v>0.18</v>
      </c>
      <c r="AC450" s="6">
        <v>652.13622999999995</v>
      </c>
      <c r="AD450" s="3">
        <v>0</v>
      </c>
      <c r="AE450" s="3">
        <f t="shared" si="49"/>
        <v>0.24</v>
      </c>
      <c r="AF450" s="5"/>
      <c r="AG450" s="5"/>
      <c r="AH450" s="5"/>
      <c r="AI450" s="5"/>
      <c r="AJ450" s="1"/>
      <c r="AK450" s="3" t="s">
        <v>291</v>
      </c>
      <c r="AL450" s="3">
        <v>0.9</v>
      </c>
      <c r="AM450" s="3">
        <v>0.5</v>
      </c>
      <c r="AN450" s="3">
        <v>0.6</v>
      </c>
      <c r="AO450" s="3">
        <v>0.3</v>
      </c>
      <c r="AP450" s="6">
        <v>1031.612427</v>
      </c>
      <c r="AQ450" s="3">
        <v>8.0000000000000002E-3</v>
      </c>
      <c r="AS450" s="3" t="s">
        <v>291</v>
      </c>
      <c r="AT450" s="3">
        <v>0.68</v>
      </c>
      <c r="AU450" s="7">
        <v>1211.9332280000001</v>
      </c>
      <c r="AV450" s="3">
        <v>1E-3</v>
      </c>
      <c r="AW450" s="3">
        <f t="shared" si="50"/>
        <v>0.49</v>
      </c>
      <c r="AX450" s="5"/>
      <c r="AY450" s="5"/>
      <c r="AZ450" s="5"/>
      <c r="BA450" s="5"/>
      <c r="BB450" s="1"/>
      <c r="BC450" s="3" t="s">
        <v>291</v>
      </c>
      <c r="BD450" s="3">
        <v>0.9</v>
      </c>
      <c r="BE450" s="3">
        <v>0.5</v>
      </c>
      <c r="BF450" s="3">
        <v>0.6</v>
      </c>
      <c r="BG450" s="3">
        <v>0.3</v>
      </c>
      <c r="BH450" s="6">
        <v>1010.8967290000001</v>
      </c>
      <c r="BI450" s="3">
        <v>8.0000000000000002E-3</v>
      </c>
      <c r="BK450" s="3" t="s">
        <v>291</v>
      </c>
      <c r="BL450" s="3">
        <v>0.51</v>
      </c>
      <c r="BM450" s="7">
        <v>1083.8100589999999</v>
      </c>
      <c r="BN450" s="3">
        <v>1E-3</v>
      </c>
      <c r="BO450" s="3">
        <f t="shared" si="51"/>
        <v>0.40500000000000003</v>
      </c>
    </row>
    <row r="451" spans="1:67" x14ac:dyDescent="0.3">
      <c r="A451" s="3" t="s">
        <v>292</v>
      </c>
      <c r="B451" s="3">
        <v>0.9</v>
      </c>
      <c r="C451" s="3">
        <v>0.5</v>
      </c>
      <c r="D451" s="3">
        <v>0.6</v>
      </c>
      <c r="E451" s="3">
        <v>0.3</v>
      </c>
      <c r="F451" s="6">
        <v>768.80255099999999</v>
      </c>
      <c r="G451" s="3">
        <v>3.0000000000000001E-3</v>
      </c>
      <c r="I451" s="3" t="s">
        <v>292</v>
      </c>
      <c r="J451" s="3">
        <v>0.99</v>
      </c>
      <c r="K451" s="7">
        <v>987.20489499999996</v>
      </c>
      <c r="L451" s="3">
        <v>1E-3</v>
      </c>
      <c r="M451" s="3">
        <f t="shared" si="48"/>
        <v>0.64500000000000002</v>
      </c>
      <c r="N451" s="5"/>
      <c r="O451" s="5"/>
      <c r="P451" s="5"/>
      <c r="Q451" s="5"/>
      <c r="R451" s="1"/>
      <c r="S451" s="3" t="s">
        <v>292</v>
      </c>
      <c r="T451" s="3">
        <v>0.9</v>
      </c>
      <c r="U451" s="3">
        <v>0.5</v>
      </c>
      <c r="V451" s="3">
        <v>0.6</v>
      </c>
      <c r="W451" s="3">
        <v>0.3</v>
      </c>
      <c r="X451" s="6">
        <v>716.13555899999994</v>
      </c>
      <c r="Y451" s="3">
        <v>4.0000000000000001E-3</v>
      </c>
      <c r="AA451" s="3" t="s">
        <v>292</v>
      </c>
      <c r="AB451" s="3">
        <v>0.34</v>
      </c>
      <c r="AC451" s="7">
        <v>759.08300799999995</v>
      </c>
      <c r="AD451" s="3">
        <v>1E-3</v>
      </c>
      <c r="AE451" s="3">
        <f t="shared" si="49"/>
        <v>0.32</v>
      </c>
      <c r="AF451" s="5"/>
      <c r="AG451" s="5"/>
      <c r="AH451" s="5"/>
      <c r="AI451" s="5"/>
      <c r="AJ451" s="1"/>
      <c r="AK451" s="3" t="s">
        <v>293</v>
      </c>
      <c r="AL451" s="3">
        <v>0.9</v>
      </c>
      <c r="AM451" s="3">
        <v>0.5</v>
      </c>
      <c r="AN451" s="3">
        <v>0.6</v>
      </c>
      <c r="AO451" s="3">
        <v>0.3</v>
      </c>
      <c r="AP451" s="6">
        <v>1084.9381100000001</v>
      </c>
      <c r="AQ451" s="3">
        <v>8.9999999999999993E-3</v>
      </c>
      <c r="AS451" s="3" t="s">
        <v>293</v>
      </c>
      <c r="AT451" s="3">
        <v>0.63</v>
      </c>
      <c r="AU451" s="7">
        <v>1280.656616</v>
      </c>
      <c r="AV451" s="3">
        <v>1E-3</v>
      </c>
      <c r="AW451" s="3">
        <f t="shared" si="50"/>
        <v>0.46499999999999997</v>
      </c>
      <c r="AX451" s="5"/>
      <c r="AY451" s="5"/>
      <c r="AZ451" s="5"/>
      <c r="BA451" s="5"/>
      <c r="BB451" s="1"/>
      <c r="BC451" s="3" t="s">
        <v>293</v>
      </c>
      <c r="BD451" s="3">
        <v>0.9</v>
      </c>
      <c r="BE451" s="3">
        <v>0.5</v>
      </c>
      <c r="BF451" s="3">
        <v>0.6</v>
      </c>
      <c r="BG451" s="3">
        <v>0.3</v>
      </c>
      <c r="BH451" s="7">
        <v>1077.2680660000001</v>
      </c>
      <c r="BI451" s="3">
        <v>0.01</v>
      </c>
      <c r="BK451" s="3" t="s">
        <v>293</v>
      </c>
      <c r="BL451" s="3">
        <v>0.15</v>
      </c>
      <c r="BM451" s="6">
        <v>952.07684300000005</v>
      </c>
      <c r="BN451" s="3">
        <v>1E-3</v>
      </c>
      <c r="BO451" s="3">
        <f t="shared" si="51"/>
        <v>0.22499999999999998</v>
      </c>
    </row>
    <row r="452" spans="1:67" x14ac:dyDescent="0.3">
      <c r="A452" s="3" t="s">
        <v>294</v>
      </c>
      <c r="B452" s="3">
        <v>0.9</v>
      </c>
      <c r="C452" s="3">
        <v>0.5</v>
      </c>
      <c r="D452" s="3">
        <v>0.6</v>
      </c>
      <c r="E452" s="3">
        <v>0.3</v>
      </c>
      <c r="F452" s="6">
        <v>899.08355700000004</v>
      </c>
      <c r="G452" s="3">
        <v>3.0000000000000001E-3</v>
      </c>
      <c r="I452" s="3" t="s">
        <v>294</v>
      </c>
      <c r="J452" s="3">
        <v>0.47</v>
      </c>
      <c r="K452" s="7">
        <v>986.88055399999996</v>
      </c>
      <c r="L452" s="3">
        <v>1E-3</v>
      </c>
      <c r="M452" s="3">
        <f t="shared" si="48"/>
        <v>0.38500000000000001</v>
      </c>
      <c r="N452" s="5"/>
      <c r="O452" s="5"/>
      <c r="P452" s="5"/>
      <c r="Q452" s="5"/>
      <c r="R452" s="1"/>
      <c r="S452" s="3" t="s">
        <v>294</v>
      </c>
      <c r="T452" s="3">
        <v>0.9</v>
      </c>
      <c r="U452" s="3">
        <v>0.5</v>
      </c>
      <c r="V452" s="3">
        <v>0.6</v>
      </c>
      <c r="W452" s="3">
        <v>0.3</v>
      </c>
      <c r="X452" s="6">
        <v>901.90832499999999</v>
      </c>
      <c r="Y452" s="3">
        <v>3.0000000000000001E-3</v>
      </c>
      <c r="AA452" s="3" t="s">
        <v>294</v>
      </c>
      <c r="AB452" s="3">
        <v>0.62</v>
      </c>
      <c r="AC452" s="7">
        <v>1022.806885</v>
      </c>
      <c r="AD452" s="3">
        <v>0</v>
      </c>
      <c r="AE452" s="3">
        <f t="shared" si="49"/>
        <v>0.45999999999999996</v>
      </c>
      <c r="AF452" s="5"/>
      <c r="AG452" s="5"/>
      <c r="AH452" s="5"/>
      <c r="AI452" s="5"/>
      <c r="AJ452" s="1"/>
      <c r="AK452" s="3" t="s">
        <v>295</v>
      </c>
      <c r="AL452" s="3">
        <v>0.9</v>
      </c>
      <c r="AM452" s="3">
        <v>0.5</v>
      </c>
      <c r="AN452" s="3">
        <v>0.6</v>
      </c>
      <c r="AO452" s="3">
        <v>0.3</v>
      </c>
      <c r="AP452" s="6">
        <v>1158.315918</v>
      </c>
      <c r="AQ452" s="3">
        <v>0.01</v>
      </c>
      <c r="AS452" s="3" t="s">
        <v>295</v>
      </c>
      <c r="AT452" s="3">
        <v>0.88</v>
      </c>
      <c r="AU452" s="7">
        <v>1544.8702390000001</v>
      </c>
      <c r="AV452" s="3">
        <v>1E-3</v>
      </c>
      <c r="AW452" s="3">
        <f t="shared" si="50"/>
        <v>0.59</v>
      </c>
      <c r="AX452" s="5"/>
      <c r="AY452" s="5"/>
      <c r="AZ452" s="5"/>
      <c r="BA452" s="5"/>
      <c r="BB452" s="1"/>
      <c r="BC452" s="3" t="s">
        <v>295</v>
      </c>
      <c r="BD452" s="3">
        <v>0.9</v>
      </c>
      <c r="BE452" s="3">
        <v>0.5</v>
      </c>
      <c r="BF452" s="3">
        <v>0.6</v>
      </c>
      <c r="BG452" s="3">
        <v>0.3</v>
      </c>
      <c r="BH452" s="6">
        <v>1157.179077</v>
      </c>
      <c r="BI452" s="3">
        <v>1.4E-2</v>
      </c>
      <c r="BK452" s="3" t="s">
        <v>295</v>
      </c>
      <c r="BL452" s="3">
        <v>0.37</v>
      </c>
      <c r="BM452" s="7">
        <v>1209.720581</v>
      </c>
      <c r="BN452" s="3">
        <v>2E-3</v>
      </c>
      <c r="BO452" s="3">
        <f t="shared" si="51"/>
        <v>0.33499999999999996</v>
      </c>
    </row>
    <row r="453" spans="1:67" x14ac:dyDescent="0.3">
      <c r="A453" s="3" t="s">
        <v>296</v>
      </c>
      <c r="B453" s="3">
        <v>0.9</v>
      </c>
      <c r="C453" s="3">
        <v>0.5</v>
      </c>
      <c r="D453" s="3">
        <v>0.6</v>
      </c>
      <c r="E453" s="3">
        <v>0.3</v>
      </c>
      <c r="F453" s="7">
        <v>908.45929000000001</v>
      </c>
      <c r="G453" s="3">
        <v>3.0000000000000001E-3</v>
      </c>
      <c r="I453" s="3" t="s">
        <v>296</v>
      </c>
      <c r="J453" s="3">
        <v>0.3</v>
      </c>
      <c r="K453" s="6">
        <v>882.931152</v>
      </c>
      <c r="L453" s="3">
        <v>0</v>
      </c>
      <c r="M453" s="3">
        <f t="shared" si="48"/>
        <v>0.3</v>
      </c>
      <c r="N453" s="5"/>
      <c r="O453" s="5"/>
      <c r="P453" s="5"/>
      <c r="Q453" s="5"/>
      <c r="R453" s="1"/>
      <c r="S453" s="3" t="s">
        <v>296</v>
      </c>
      <c r="T453" s="3">
        <v>0.9</v>
      </c>
      <c r="U453" s="3">
        <v>0.5</v>
      </c>
      <c r="V453" s="3">
        <v>0.6</v>
      </c>
      <c r="W453" s="3">
        <v>0.3</v>
      </c>
      <c r="X453" s="6">
        <v>873.49133300000005</v>
      </c>
      <c r="Y453" s="3">
        <v>3.0000000000000001E-3</v>
      </c>
      <c r="AA453" s="3" t="s">
        <v>296</v>
      </c>
      <c r="AB453" s="3">
        <v>0.39</v>
      </c>
      <c r="AC453" s="7">
        <v>908.47070299999996</v>
      </c>
      <c r="AD453" s="3">
        <v>0</v>
      </c>
      <c r="AE453" s="3">
        <f t="shared" si="49"/>
        <v>0.34499999999999997</v>
      </c>
      <c r="AF453" s="5"/>
      <c r="AG453" s="5"/>
      <c r="AH453" s="5"/>
      <c r="AI453" s="5"/>
      <c r="AJ453" s="1"/>
      <c r="AK453" s="3" t="s">
        <v>297</v>
      </c>
      <c r="AL453" s="3">
        <v>0.9</v>
      </c>
      <c r="AM453" s="3">
        <v>0.5</v>
      </c>
      <c r="AN453" s="3">
        <v>0.6</v>
      </c>
      <c r="AO453" s="3">
        <v>0.3</v>
      </c>
      <c r="AP453" s="6">
        <v>1145.6191409999999</v>
      </c>
      <c r="AQ453" s="3">
        <v>0.01</v>
      </c>
      <c r="AS453" s="3" t="s">
        <v>297</v>
      </c>
      <c r="AT453" s="3">
        <v>0.63</v>
      </c>
      <c r="AU453" s="7">
        <v>1385.693237</v>
      </c>
      <c r="AV453" s="3">
        <v>1E-3</v>
      </c>
      <c r="AW453" s="3">
        <f t="shared" si="50"/>
        <v>0.46499999999999997</v>
      </c>
      <c r="AX453" s="5"/>
      <c r="AY453" s="5"/>
      <c r="AZ453" s="5"/>
      <c r="BA453" s="5"/>
      <c r="BB453" s="1"/>
      <c r="BC453" s="3" t="s">
        <v>297</v>
      </c>
      <c r="BD453" s="3">
        <v>0.9</v>
      </c>
      <c r="BE453" s="3">
        <v>0.5</v>
      </c>
      <c r="BF453" s="3">
        <v>0.6</v>
      </c>
      <c r="BG453" s="3">
        <v>0.3</v>
      </c>
      <c r="BH453" s="6">
        <v>1113.9879149999999</v>
      </c>
      <c r="BI453" s="3">
        <v>1.0999999999999999E-2</v>
      </c>
      <c r="BK453" s="3" t="s">
        <v>297</v>
      </c>
      <c r="BL453" s="3">
        <v>0.69</v>
      </c>
      <c r="BM453" s="7">
        <v>1319.526001</v>
      </c>
      <c r="BN453" s="3">
        <v>2E-3</v>
      </c>
      <c r="BO453" s="3">
        <f t="shared" si="51"/>
        <v>0.495</v>
      </c>
    </row>
    <row r="454" spans="1:67" x14ac:dyDescent="0.3">
      <c r="A454" s="3" t="s">
        <v>298</v>
      </c>
      <c r="B454" s="3">
        <v>0.9</v>
      </c>
      <c r="C454" s="3">
        <v>0.5</v>
      </c>
      <c r="D454" s="3">
        <v>0.6</v>
      </c>
      <c r="E454" s="3">
        <v>0.3</v>
      </c>
      <c r="F454" s="6">
        <v>756.75805700000001</v>
      </c>
      <c r="G454" s="3">
        <v>3.0000000000000001E-3</v>
      </c>
      <c r="I454" s="3" t="s">
        <v>298</v>
      </c>
      <c r="J454" s="3">
        <v>0.97</v>
      </c>
      <c r="K454" s="7">
        <v>981.98211700000002</v>
      </c>
      <c r="L454" s="3">
        <v>1E-3</v>
      </c>
      <c r="M454" s="3">
        <f t="shared" si="48"/>
        <v>0.63500000000000001</v>
      </c>
      <c r="N454" s="5"/>
      <c r="O454" s="5"/>
      <c r="P454" s="5"/>
      <c r="Q454" s="5"/>
      <c r="R454" s="1"/>
      <c r="S454" s="3" t="s">
        <v>298</v>
      </c>
      <c r="T454" s="3">
        <v>0.9</v>
      </c>
      <c r="U454" s="3">
        <v>0.5</v>
      </c>
      <c r="V454" s="3">
        <v>0.6</v>
      </c>
      <c r="W454" s="3">
        <v>0.3</v>
      </c>
      <c r="X454" s="6">
        <v>732.67370600000004</v>
      </c>
      <c r="Y454" s="3">
        <v>4.0000000000000001E-3</v>
      </c>
      <c r="AA454" s="3" t="s">
        <v>298</v>
      </c>
      <c r="AB454" s="3">
        <v>0.54</v>
      </c>
      <c r="AC454" s="7">
        <v>868.81976299999997</v>
      </c>
      <c r="AD454" s="3">
        <v>1E-3</v>
      </c>
      <c r="AE454" s="3">
        <f t="shared" si="49"/>
        <v>0.42000000000000004</v>
      </c>
      <c r="AF454" s="5"/>
      <c r="AG454" s="5"/>
      <c r="AH454" s="5"/>
      <c r="AI454" s="5"/>
      <c r="AJ454" s="1"/>
      <c r="AK454" s="3" t="s">
        <v>299</v>
      </c>
      <c r="AL454" s="3">
        <v>0.9</v>
      </c>
      <c r="AM454" s="3">
        <v>0.5</v>
      </c>
      <c r="AN454" s="3">
        <v>0.6</v>
      </c>
      <c r="AO454" s="3">
        <v>0.3</v>
      </c>
      <c r="AP454" s="7">
        <v>1152.8292240000001</v>
      </c>
      <c r="AQ454" s="3">
        <v>0.01</v>
      </c>
      <c r="AS454" s="3" t="s">
        <v>299</v>
      </c>
      <c r="AT454" s="3">
        <v>0.15</v>
      </c>
      <c r="AU454" s="6">
        <v>1044.8325199999999</v>
      </c>
      <c r="AV454" s="3">
        <v>1E-3</v>
      </c>
      <c r="AW454" s="3">
        <f t="shared" si="50"/>
        <v>0.22499999999999998</v>
      </c>
      <c r="AX454" s="5"/>
      <c r="AY454" s="5"/>
      <c r="AZ454" s="5"/>
      <c r="BA454" s="5"/>
      <c r="BB454" s="1"/>
      <c r="BC454" s="3" t="s">
        <v>299</v>
      </c>
      <c r="BD454" s="3">
        <v>0.9</v>
      </c>
      <c r="BE454" s="3">
        <v>0.5</v>
      </c>
      <c r="BF454" s="3">
        <v>0.6</v>
      </c>
      <c r="BG454" s="3">
        <v>0.3</v>
      </c>
      <c r="BH454" s="6">
        <v>1140.228638</v>
      </c>
      <c r="BI454" s="3">
        <v>1.0999999999999999E-2</v>
      </c>
      <c r="BK454" s="3" t="s">
        <v>299</v>
      </c>
      <c r="BL454" s="3">
        <v>0.43</v>
      </c>
      <c r="BM454" s="7">
        <v>1265.0167240000001</v>
      </c>
      <c r="BN454" s="3">
        <v>1E-3</v>
      </c>
      <c r="BO454" s="3">
        <f t="shared" si="51"/>
        <v>0.36499999999999999</v>
      </c>
    </row>
    <row r="455" spans="1:67" x14ac:dyDescent="0.3">
      <c r="A455" s="3" t="s">
        <v>300</v>
      </c>
      <c r="B455" s="3">
        <v>0.9</v>
      </c>
      <c r="C455" s="3">
        <v>0.5</v>
      </c>
      <c r="D455" s="3">
        <v>0.6</v>
      </c>
      <c r="E455" s="3">
        <v>0.3</v>
      </c>
      <c r="F455" s="6">
        <v>830.800659</v>
      </c>
      <c r="G455" s="3">
        <v>3.0000000000000001E-3</v>
      </c>
      <c r="I455" s="3" t="s">
        <v>300</v>
      </c>
      <c r="J455" s="3">
        <v>0.35</v>
      </c>
      <c r="K455" s="7">
        <v>842.57189900000003</v>
      </c>
      <c r="L455" s="3">
        <v>0</v>
      </c>
      <c r="M455" s="3">
        <f t="shared" si="48"/>
        <v>0.32499999999999996</v>
      </c>
      <c r="N455" s="5"/>
      <c r="O455" s="5"/>
      <c r="P455" s="5"/>
      <c r="Q455" s="5"/>
      <c r="R455" s="1"/>
      <c r="S455" s="3" t="s">
        <v>300</v>
      </c>
      <c r="T455" s="3">
        <v>0.9</v>
      </c>
      <c r="U455" s="3">
        <v>0.5</v>
      </c>
      <c r="V455" s="3">
        <v>0.6</v>
      </c>
      <c r="W455" s="3">
        <v>0.3</v>
      </c>
      <c r="X455" s="7">
        <v>810.80395499999997</v>
      </c>
      <c r="Y455" s="3">
        <v>3.0000000000000001E-3</v>
      </c>
      <c r="AA455" s="3" t="s">
        <v>300</v>
      </c>
      <c r="AB455" s="3">
        <v>0.21</v>
      </c>
      <c r="AC455" s="6">
        <v>758.46899399999995</v>
      </c>
      <c r="AD455" s="3">
        <v>0</v>
      </c>
      <c r="AE455" s="3">
        <f t="shared" si="49"/>
        <v>0.255</v>
      </c>
      <c r="AF455" s="5"/>
      <c r="AG455" s="5"/>
      <c r="AH455" s="5"/>
      <c r="AI455" s="5"/>
      <c r="AJ455" s="1"/>
      <c r="AK455" s="3" t="s">
        <v>301</v>
      </c>
      <c r="AL455" s="3">
        <v>0.9</v>
      </c>
      <c r="AM455" s="3">
        <v>0.5</v>
      </c>
      <c r="AN455" s="3">
        <v>0.6</v>
      </c>
      <c r="AO455" s="3">
        <v>0.3</v>
      </c>
      <c r="AP455" s="7">
        <v>1150.8237300000001</v>
      </c>
      <c r="AQ455" s="3">
        <v>0.01</v>
      </c>
      <c r="AS455" s="3" t="s">
        <v>301</v>
      </c>
      <c r="AT455" s="3">
        <v>0.13</v>
      </c>
      <c r="AU455" s="6">
        <v>1026.807495</v>
      </c>
      <c r="AV455" s="3">
        <v>2E-3</v>
      </c>
      <c r="AW455" s="3">
        <f t="shared" si="50"/>
        <v>0.215</v>
      </c>
      <c r="AX455" s="5"/>
      <c r="AY455" s="5"/>
      <c r="AZ455" s="5"/>
      <c r="BA455" s="5"/>
      <c r="BB455" s="1"/>
      <c r="BC455" s="3" t="s">
        <v>301</v>
      </c>
      <c r="BD455" s="3">
        <v>0.9</v>
      </c>
      <c r="BE455" s="3">
        <v>0.5</v>
      </c>
      <c r="BF455" s="3">
        <v>0.6</v>
      </c>
      <c r="BG455" s="3">
        <v>0.3</v>
      </c>
      <c r="BH455" s="6">
        <v>1129.999268</v>
      </c>
      <c r="BI455" s="3">
        <v>0.01</v>
      </c>
      <c r="BK455" s="3" t="s">
        <v>301</v>
      </c>
      <c r="BL455" s="3">
        <v>0.4</v>
      </c>
      <c r="BM455" s="7">
        <v>1196.497192</v>
      </c>
      <c r="BN455" s="3">
        <v>2E-3</v>
      </c>
      <c r="BO455" s="3">
        <f t="shared" si="51"/>
        <v>0.35</v>
      </c>
    </row>
    <row r="456" spans="1:67" x14ac:dyDescent="0.3">
      <c r="A456" s="3" t="s">
        <v>302</v>
      </c>
      <c r="B456" s="3">
        <v>0.9</v>
      </c>
      <c r="C456" s="3">
        <v>0.5</v>
      </c>
      <c r="D456" s="3">
        <v>0.6</v>
      </c>
      <c r="E456" s="3">
        <v>0.3</v>
      </c>
      <c r="F456" s="7">
        <v>776.28753700000004</v>
      </c>
      <c r="G456" s="3">
        <v>3.0000000000000001E-3</v>
      </c>
      <c r="I456" s="3" t="s">
        <v>302</v>
      </c>
      <c r="J456" s="3">
        <v>0.09</v>
      </c>
      <c r="K456" s="6">
        <v>706.76629600000001</v>
      </c>
      <c r="L456" s="3">
        <v>0</v>
      </c>
      <c r="M456" s="3">
        <f t="shared" si="48"/>
        <v>0.19500000000000001</v>
      </c>
      <c r="N456" s="5"/>
      <c r="O456" s="5"/>
      <c r="P456" s="5"/>
      <c r="Q456" s="5"/>
      <c r="R456" s="1"/>
      <c r="S456" s="3" t="s">
        <v>302</v>
      </c>
      <c r="T456" s="3">
        <v>0.9</v>
      </c>
      <c r="U456" s="3">
        <v>0.5</v>
      </c>
      <c r="V456" s="3">
        <v>0.6</v>
      </c>
      <c r="W456" s="3">
        <v>0.3</v>
      </c>
      <c r="X456" s="6">
        <v>759.16583300000002</v>
      </c>
      <c r="Y456" s="3">
        <v>3.0000000000000001E-3</v>
      </c>
      <c r="AA456" s="3" t="s">
        <v>302</v>
      </c>
      <c r="AB456" s="3">
        <v>0.74</v>
      </c>
      <c r="AC456" s="7">
        <v>925.62475600000005</v>
      </c>
      <c r="AD456" s="3">
        <v>0</v>
      </c>
      <c r="AE456" s="3">
        <f t="shared" si="49"/>
        <v>0.52</v>
      </c>
      <c r="AF456" s="5"/>
      <c r="AG456" s="5"/>
      <c r="AH456" s="5"/>
      <c r="AI456" s="5"/>
      <c r="AJ456" s="1"/>
      <c r="AK456" s="3" t="s">
        <v>303</v>
      </c>
      <c r="AL456" s="3">
        <v>0.9</v>
      </c>
      <c r="AM456" s="3">
        <v>0.5</v>
      </c>
      <c r="AN456" s="3">
        <v>0.6</v>
      </c>
      <c r="AO456" s="3">
        <v>0.3</v>
      </c>
      <c r="AP456" s="6">
        <v>1112.4289550000001</v>
      </c>
      <c r="AQ456" s="3">
        <v>0.01</v>
      </c>
      <c r="AS456" s="3" t="s">
        <v>303</v>
      </c>
      <c r="AT456" s="3">
        <v>0.9</v>
      </c>
      <c r="AU456" s="7">
        <v>1442.331909</v>
      </c>
      <c r="AV456" s="3">
        <v>2E-3</v>
      </c>
      <c r="AW456" s="3">
        <f t="shared" si="50"/>
        <v>0.6</v>
      </c>
      <c r="AX456" s="5"/>
      <c r="AY456" s="5"/>
      <c r="AZ456" s="5"/>
      <c r="BA456" s="5"/>
      <c r="BB456" s="1"/>
      <c r="BC456" s="3" t="s">
        <v>303</v>
      </c>
      <c r="BD456" s="3">
        <v>0.9</v>
      </c>
      <c r="BE456" s="3">
        <v>0.5</v>
      </c>
      <c r="BF456" s="3">
        <v>0.6</v>
      </c>
      <c r="BG456" s="3">
        <v>0.3</v>
      </c>
      <c r="BH456" s="6">
        <v>1100.8920900000001</v>
      </c>
      <c r="BI456" s="3">
        <v>0.01</v>
      </c>
      <c r="BK456" s="3" t="s">
        <v>303</v>
      </c>
      <c r="BL456" s="3">
        <v>0.44</v>
      </c>
      <c r="BM456" s="7">
        <v>1191.880371</v>
      </c>
      <c r="BN456" s="3">
        <v>1E-3</v>
      </c>
      <c r="BO456" s="3">
        <f t="shared" si="51"/>
        <v>0.37</v>
      </c>
    </row>
    <row r="457" spans="1:67" x14ac:dyDescent="0.3">
      <c r="A457" s="3" t="s">
        <v>304</v>
      </c>
      <c r="B457" s="3">
        <v>0.9</v>
      </c>
      <c r="C457" s="3">
        <v>0.5</v>
      </c>
      <c r="D457" s="3">
        <v>0.6</v>
      </c>
      <c r="E457" s="3">
        <v>0.3</v>
      </c>
      <c r="F457" s="7">
        <v>890.46331799999996</v>
      </c>
      <c r="G457" s="3">
        <v>4.0000000000000001E-3</v>
      </c>
      <c r="I457" s="3" t="s">
        <v>304</v>
      </c>
      <c r="J457" s="3">
        <v>0.33</v>
      </c>
      <c r="K457" s="6">
        <v>872.45031700000004</v>
      </c>
      <c r="L457" s="3">
        <v>0</v>
      </c>
      <c r="M457" s="3">
        <f t="shared" si="48"/>
        <v>0.315</v>
      </c>
      <c r="N457" s="5"/>
      <c r="O457" s="5"/>
      <c r="P457" s="5"/>
      <c r="Q457" s="5"/>
      <c r="R457" s="1"/>
      <c r="S457" s="3" t="s">
        <v>304</v>
      </c>
      <c r="T457" s="3">
        <v>0.9</v>
      </c>
      <c r="U457" s="3">
        <v>0.5</v>
      </c>
      <c r="V457" s="3">
        <v>0.6</v>
      </c>
      <c r="W457" s="3">
        <v>0.3</v>
      </c>
      <c r="X457" s="6">
        <v>887.97289999999998</v>
      </c>
      <c r="Y457" s="3">
        <v>4.0000000000000001E-3</v>
      </c>
      <c r="AA457" s="3" t="s">
        <v>304</v>
      </c>
      <c r="AB457" s="3">
        <v>0.48</v>
      </c>
      <c r="AC457" s="7">
        <v>960.83435099999997</v>
      </c>
      <c r="AD457" s="3">
        <v>0</v>
      </c>
      <c r="AE457" s="3">
        <f t="shared" si="49"/>
        <v>0.39</v>
      </c>
      <c r="AF457" s="5"/>
      <c r="AG457" s="5"/>
      <c r="AH457" s="5"/>
      <c r="AI457" s="5"/>
      <c r="AJ457" s="1"/>
      <c r="AK457" s="3" t="s">
        <v>305</v>
      </c>
      <c r="AL457" s="3">
        <v>0.9</v>
      </c>
      <c r="AM457" s="3">
        <v>0.5</v>
      </c>
      <c r="AN457" s="3">
        <v>0.6</v>
      </c>
      <c r="AO457" s="3">
        <v>0.3</v>
      </c>
      <c r="AP457" s="7">
        <v>1176.265625</v>
      </c>
      <c r="AQ457" s="3">
        <v>1.2E-2</v>
      </c>
      <c r="AS457" s="3" t="s">
        <v>305</v>
      </c>
      <c r="AT457" s="3">
        <v>0.26</v>
      </c>
      <c r="AU457" s="6">
        <v>1119.8548579999999</v>
      </c>
      <c r="AV457" s="3">
        <v>2E-3</v>
      </c>
      <c r="AW457" s="3">
        <f t="shared" si="50"/>
        <v>0.28000000000000003</v>
      </c>
      <c r="AX457" s="5"/>
      <c r="AY457" s="5"/>
      <c r="AZ457" s="5"/>
      <c r="BA457" s="5"/>
      <c r="BB457" s="1"/>
      <c r="BC457" s="3" t="s">
        <v>305</v>
      </c>
      <c r="BD457" s="3">
        <v>0.9</v>
      </c>
      <c r="BE457" s="3">
        <v>0.5</v>
      </c>
      <c r="BF457" s="3">
        <v>0.6</v>
      </c>
      <c r="BG457" s="3">
        <v>0.3</v>
      </c>
      <c r="BH457" s="7">
        <v>1155.4279790000001</v>
      </c>
      <c r="BI457" s="3">
        <v>1.0999999999999999E-2</v>
      </c>
      <c r="BK457" s="3" t="s">
        <v>305</v>
      </c>
      <c r="BL457" s="3">
        <v>0.02</v>
      </c>
      <c r="BM457" s="6">
        <v>925.81158400000004</v>
      </c>
      <c r="BN457" s="3">
        <v>1E-3</v>
      </c>
      <c r="BO457" s="3">
        <f t="shared" si="51"/>
        <v>0.16</v>
      </c>
    </row>
    <row r="458" spans="1:67" x14ac:dyDescent="0.3">
      <c r="A458" s="3" t="s">
        <v>306</v>
      </c>
      <c r="B458" s="3">
        <v>0.9</v>
      </c>
      <c r="C458" s="3">
        <v>0.5</v>
      </c>
      <c r="D458" s="3">
        <v>0.6</v>
      </c>
      <c r="E458" s="3">
        <v>0.3</v>
      </c>
      <c r="F458" s="6">
        <v>923.43670699999996</v>
      </c>
      <c r="G458" s="3">
        <v>4.0000000000000001E-3</v>
      </c>
      <c r="I458" s="3" t="s">
        <v>306</v>
      </c>
      <c r="J458" s="3">
        <v>0.96</v>
      </c>
      <c r="K458" s="7">
        <v>1150.611328</v>
      </c>
      <c r="L458" s="3">
        <v>0</v>
      </c>
      <c r="M458" s="3">
        <f t="shared" si="48"/>
        <v>0.63</v>
      </c>
      <c r="N458" s="5"/>
      <c r="O458" s="5"/>
      <c r="P458" s="5"/>
      <c r="Q458" s="5"/>
      <c r="R458" s="1"/>
      <c r="S458" s="3" t="s">
        <v>306</v>
      </c>
      <c r="T458" s="3">
        <v>0.9</v>
      </c>
      <c r="U458" s="3">
        <v>0.5</v>
      </c>
      <c r="V458" s="3">
        <v>0.6</v>
      </c>
      <c r="W458" s="3">
        <v>0.3</v>
      </c>
      <c r="X458" s="6">
        <v>892.57385299999999</v>
      </c>
      <c r="Y458" s="3">
        <v>4.0000000000000001E-3</v>
      </c>
      <c r="AA458" s="3" t="s">
        <v>306</v>
      </c>
      <c r="AB458" s="3">
        <v>0.9</v>
      </c>
      <c r="AC458" s="7">
        <v>1134.800659</v>
      </c>
      <c r="AD458" s="3">
        <v>0</v>
      </c>
      <c r="AE458" s="3">
        <f t="shared" si="49"/>
        <v>0.6</v>
      </c>
      <c r="AF458" s="5"/>
      <c r="AG458" s="5"/>
      <c r="AH458" s="5"/>
      <c r="AI458" s="5"/>
      <c r="AJ458" s="1"/>
      <c r="AK458" s="3" t="s">
        <v>307</v>
      </c>
      <c r="AL458" s="3">
        <v>0.9</v>
      </c>
      <c r="AM458" s="3">
        <v>0.5</v>
      </c>
      <c r="AN458" s="3">
        <v>0.6</v>
      </c>
      <c r="AO458" s="3">
        <v>0.3</v>
      </c>
      <c r="AP458" s="6">
        <v>1111.2813719999999</v>
      </c>
      <c r="AQ458" s="3">
        <v>8.9999999999999993E-3</v>
      </c>
      <c r="AS458" s="3" t="s">
        <v>307</v>
      </c>
      <c r="AT458" s="3">
        <v>0.79</v>
      </c>
      <c r="AU458" s="7">
        <v>1423.155884</v>
      </c>
      <c r="AV458" s="3">
        <v>2E-3</v>
      </c>
      <c r="AW458" s="3">
        <f t="shared" si="50"/>
        <v>0.54500000000000004</v>
      </c>
      <c r="AX458" s="5"/>
      <c r="AY458" s="5"/>
      <c r="AZ458" s="5"/>
      <c r="BA458" s="5"/>
      <c r="BB458" s="1"/>
      <c r="BC458" s="3" t="s">
        <v>307</v>
      </c>
      <c r="BD458" s="3">
        <v>0.9</v>
      </c>
      <c r="BE458" s="3">
        <v>0.5</v>
      </c>
      <c r="BF458" s="3">
        <v>0.6</v>
      </c>
      <c r="BG458" s="3">
        <v>0.3</v>
      </c>
      <c r="BH458" s="7">
        <v>1110.2373050000001</v>
      </c>
      <c r="BI458" s="3">
        <v>0.01</v>
      </c>
      <c r="BK458" s="3" t="s">
        <v>307</v>
      </c>
      <c r="BL458" s="3">
        <v>0.24</v>
      </c>
      <c r="BM458" s="6">
        <v>1068.9517820000001</v>
      </c>
      <c r="BN458" s="3">
        <v>2E-3</v>
      </c>
      <c r="BO458" s="3">
        <f t="shared" si="51"/>
        <v>0.27</v>
      </c>
    </row>
    <row r="459" spans="1:67" x14ac:dyDescent="0.3">
      <c r="A459" s="3" t="s">
        <v>308</v>
      </c>
      <c r="B459" s="3">
        <v>0.9</v>
      </c>
      <c r="C459" s="3">
        <v>0.5</v>
      </c>
      <c r="D459" s="3">
        <v>0.6</v>
      </c>
      <c r="E459" s="3">
        <v>0.3</v>
      </c>
      <c r="F459" s="6">
        <v>931.49578899999995</v>
      </c>
      <c r="G459" s="3">
        <v>4.0000000000000001E-3</v>
      </c>
      <c r="I459" s="3" t="s">
        <v>308</v>
      </c>
      <c r="J459" s="3">
        <v>0.75</v>
      </c>
      <c r="K459" s="7">
        <v>1070.8892820000001</v>
      </c>
      <c r="L459" s="3">
        <v>1E-3</v>
      </c>
      <c r="M459" s="3">
        <f t="shared" si="48"/>
        <v>0.52500000000000002</v>
      </c>
      <c r="N459" s="5"/>
      <c r="O459" s="5"/>
      <c r="P459" s="5"/>
      <c r="Q459" s="5"/>
      <c r="R459" s="1"/>
      <c r="S459" s="3" t="s">
        <v>308</v>
      </c>
      <c r="T459" s="3">
        <v>0.9</v>
      </c>
      <c r="U459" s="3">
        <v>0.5</v>
      </c>
      <c r="V459" s="3">
        <v>0.6</v>
      </c>
      <c r="W459" s="3">
        <v>0.3</v>
      </c>
      <c r="X459" s="6">
        <v>872.46868900000004</v>
      </c>
      <c r="Y459" s="3">
        <v>3.0000000000000001E-3</v>
      </c>
      <c r="AA459" s="3" t="s">
        <v>308</v>
      </c>
      <c r="AB459" s="3">
        <v>0.52</v>
      </c>
      <c r="AC459" s="7">
        <v>989.08526600000005</v>
      </c>
      <c r="AD459" s="3">
        <v>0</v>
      </c>
      <c r="AE459" s="3">
        <f t="shared" si="49"/>
        <v>0.41000000000000003</v>
      </c>
      <c r="AF459" s="5"/>
      <c r="AG459" s="5"/>
      <c r="AH459" s="5"/>
      <c r="AI459" s="5"/>
      <c r="AJ459" s="1"/>
      <c r="AK459" s="3" t="s">
        <v>309</v>
      </c>
      <c r="AL459" s="3">
        <v>0.9</v>
      </c>
      <c r="AM459" s="3">
        <v>0.5</v>
      </c>
      <c r="AN459" s="3">
        <v>0.6</v>
      </c>
      <c r="AO459" s="3">
        <v>0.3</v>
      </c>
      <c r="AP459" s="7">
        <v>1150.1397710000001</v>
      </c>
      <c r="AQ459" s="3">
        <v>0.01</v>
      </c>
      <c r="AS459" s="3" t="s">
        <v>309</v>
      </c>
      <c r="AT459" s="3">
        <v>0.23</v>
      </c>
      <c r="AU459" s="6">
        <v>1100.9494629999999</v>
      </c>
      <c r="AV459" s="3">
        <v>2E-3</v>
      </c>
      <c r="AW459" s="3">
        <f t="shared" si="50"/>
        <v>0.26500000000000001</v>
      </c>
      <c r="AX459" s="5"/>
      <c r="AY459" s="5"/>
      <c r="AZ459" s="5"/>
      <c r="BA459" s="5"/>
      <c r="BB459" s="1"/>
      <c r="BC459" s="3" t="s">
        <v>309</v>
      </c>
      <c r="BD459" s="3">
        <v>0.9</v>
      </c>
      <c r="BE459" s="3">
        <v>0.5</v>
      </c>
      <c r="BF459" s="3">
        <v>0.6</v>
      </c>
      <c r="BG459" s="3">
        <v>0.3</v>
      </c>
      <c r="BH459" s="6">
        <v>1142.370361</v>
      </c>
      <c r="BI459" s="3">
        <v>0.01</v>
      </c>
      <c r="BK459" s="3" t="s">
        <v>309</v>
      </c>
      <c r="BL459" s="3">
        <v>0.85</v>
      </c>
      <c r="BM459" s="7">
        <v>1516.876221</v>
      </c>
      <c r="BN459" s="3">
        <v>2E-3</v>
      </c>
      <c r="BO459" s="3">
        <f t="shared" si="51"/>
        <v>0.57499999999999996</v>
      </c>
    </row>
    <row r="460" spans="1:67" x14ac:dyDescent="0.3">
      <c r="A460" s="3" t="s">
        <v>310</v>
      </c>
      <c r="B460" s="3">
        <v>0.9</v>
      </c>
      <c r="C460" s="3">
        <v>0.5</v>
      </c>
      <c r="D460" s="3">
        <v>0.6</v>
      </c>
      <c r="E460" s="3">
        <v>0.3</v>
      </c>
      <c r="F460" s="6">
        <v>892.61016800000004</v>
      </c>
      <c r="G460" s="3">
        <v>4.0000000000000001E-3</v>
      </c>
      <c r="I460" s="3" t="s">
        <v>310</v>
      </c>
      <c r="J460" s="3">
        <v>0.38</v>
      </c>
      <c r="K460" s="7">
        <v>934.410034</v>
      </c>
      <c r="L460" s="3">
        <v>1E-3</v>
      </c>
      <c r="M460" s="3">
        <f t="shared" si="48"/>
        <v>0.33999999999999997</v>
      </c>
      <c r="N460" s="5"/>
      <c r="O460" s="5"/>
      <c r="P460" s="5"/>
      <c r="Q460" s="5"/>
      <c r="R460" s="1"/>
      <c r="S460" s="3" t="s">
        <v>310</v>
      </c>
      <c r="T460" s="3">
        <v>0.9</v>
      </c>
      <c r="U460" s="3">
        <v>0.5</v>
      </c>
      <c r="V460" s="3">
        <v>0.6</v>
      </c>
      <c r="W460" s="3">
        <v>0.3</v>
      </c>
      <c r="X460" s="6">
        <v>860.10101299999997</v>
      </c>
      <c r="Y460" s="3">
        <v>3.0000000000000001E-3</v>
      </c>
      <c r="AA460" s="3" t="s">
        <v>310</v>
      </c>
      <c r="AB460" s="3">
        <v>0.35</v>
      </c>
      <c r="AC460" s="7">
        <v>869.93182400000001</v>
      </c>
      <c r="AD460" s="3">
        <v>0</v>
      </c>
      <c r="AE460" s="3">
        <f t="shared" si="49"/>
        <v>0.32499999999999996</v>
      </c>
      <c r="AF460" s="5"/>
      <c r="AG460" s="5"/>
      <c r="AH460" s="5"/>
      <c r="AI460" s="5"/>
      <c r="AJ460" s="1"/>
      <c r="AK460" s="3" t="s">
        <v>311</v>
      </c>
      <c r="AL460" s="3">
        <v>0.9</v>
      </c>
      <c r="AM460" s="3">
        <v>0.5</v>
      </c>
      <c r="AN460" s="3">
        <v>0.6</v>
      </c>
      <c r="AO460" s="3">
        <v>0.3</v>
      </c>
      <c r="AP460" s="6">
        <v>1187.9727780000001</v>
      </c>
      <c r="AQ460" s="3">
        <v>0.01</v>
      </c>
      <c r="AS460" s="3" t="s">
        <v>311</v>
      </c>
      <c r="AT460" s="3">
        <v>0.53</v>
      </c>
      <c r="AU460" s="7">
        <v>1370.486572</v>
      </c>
      <c r="AV460" s="3">
        <v>1E-3</v>
      </c>
      <c r="AW460" s="3">
        <f t="shared" si="50"/>
        <v>0.41500000000000004</v>
      </c>
      <c r="AX460" s="5"/>
      <c r="AY460" s="5"/>
      <c r="AZ460" s="5"/>
      <c r="BA460" s="5"/>
      <c r="BB460" s="1"/>
      <c r="BC460" s="3" t="s">
        <v>311</v>
      </c>
      <c r="BD460" s="3">
        <v>0.9</v>
      </c>
      <c r="BE460" s="3">
        <v>0.5</v>
      </c>
      <c r="BF460" s="3">
        <v>0.6</v>
      </c>
      <c r="BG460" s="3">
        <v>0.3</v>
      </c>
      <c r="BH460" s="6">
        <v>1152.407837</v>
      </c>
      <c r="BI460" s="3">
        <v>8.9999999999999993E-3</v>
      </c>
      <c r="BK460" s="3" t="s">
        <v>311</v>
      </c>
      <c r="BL460" s="3">
        <v>0.94</v>
      </c>
      <c r="BM460" s="7">
        <v>1476.641357</v>
      </c>
      <c r="BN460" s="3">
        <v>3.0000000000000001E-3</v>
      </c>
      <c r="BO460" s="3">
        <f t="shared" si="51"/>
        <v>0.62</v>
      </c>
    </row>
    <row r="461" spans="1:67" x14ac:dyDescent="0.3">
      <c r="A461" s="3" t="s">
        <v>312</v>
      </c>
      <c r="B461" s="3">
        <v>0.9</v>
      </c>
      <c r="C461" s="3">
        <v>0.5</v>
      </c>
      <c r="D461" s="3">
        <v>0.6</v>
      </c>
      <c r="E461" s="3">
        <v>0.3</v>
      </c>
      <c r="F461" s="6">
        <v>853.23504600000001</v>
      </c>
      <c r="G461" s="3">
        <v>3.0000000000000001E-3</v>
      </c>
      <c r="I461" s="3" t="s">
        <v>312</v>
      </c>
      <c r="J461" s="3">
        <v>0.36</v>
      </c>
      <c r="K461" s="7">
        <v>912.24127199999998</v>
      </c>
      <c r="L461" s="3">
        <v>1E-3</v>
      </c>
      <c r="M461" s="3">
        <f t="shared" si="48"/>
        <v>0.32999999999999996</v>
      </c>
      <c r="N461" s="5"/>
      <c r="O461" s="5"/>
      <c r="P461" s="5"/>
      <c r="Q461" s="5"/>
      <c r="R461" s="1"/>
      <c r="S461" s="3" t="s">
        <v>312</v>
      </c>
      <c r="T461" s="3">
        <v>0.9</v>
      </c>
      <c r="U461" s="3">
        <v>0.5</v>
      </c>
      <c r="V461" s="3">
        <v>0.6</v>
      </c>
      <c r="W461" s="3">
        <v>0.3</v>
      </c>
      <c r="X461" s="6">
        <v>805.71893299999999</v>
      </c>
      <c r="Y461" s="3">
        <v>3.0000000000000001E-3</v>
      </c>
      <c r="AA461" s="3" t="s">
        <v>312</v>
      </c>
      <c r="AB461" s="3">
        <v>0.82</v>
      </c>
      <c r="AC461" s="7">
        <v>1010.71405</v>
      </c>
      <c r="AD461" s="3">
        <v>1E-3</v>
      </c>
      <c r="AE461" s="3">
        <f t="shared" si="49"/>
        <v>0.55999999999999994</v>
      </c>
      <c r="AF461" s="5"/>
      <c r="AG461" s="5"/>
      <c r="AH461" s="5"/>
      <c r="AI461" s="5"/>
      <c r="AJ461" s="1"/>
      <c r="AK461" s="3" t="s">
        <v>313</v>
      </c>
      <c r="AL461" s="3">
        <v>0.9</v>
      </c>
      <c r="AM461" s="3">
        <v>0.5</v>
      </c>
      <c r="AN461" s="3">
        <v>0.6</v>
      </c>
      <c r="AO461" s="3">
        <v>0.3</v>
      </c>
      <c r="AP461" s="6">
        <v>1163.534058</v>
      </c>
      <c r="AQ461" s="3">
        <v>8.9999999999999993E-3</v>
      </c>
      <c r="AS461" s="3" t="s">
        <v>313</v>
      </c>
      <c r="AT461" s="3">
        <v>0.93</v>
      </c>
      <c r="AU461" s="7">
        <v>1431.009888</v>
      </c>
      <c r="AV461" s="3">
        <v>1E-3</v>
      </c>
      <c r="AW461" s="3">
        <f t="shared" si="50"/>
        <v>0.61499999999999999</v>
      </c>
      <c r="AX461" s="5"/>
      <c r="AY461" s="5"/>
      <c r="AZ461" s="5"/>
      <c r="BA461" s="5"/>
      <c r="BB461" s="1"/>
      <c r="BC461" s="3" t="s">
        <v>313</v>
      </c>
      <c r="BD461" s="3">
        <v>0.9</v>
      </c>
      <c r="BE461" s="3">
        <v>0.5</v>
      </c>
      <c r="BF461" s="3">
        <v>0.6</v>
      </c>
      <c r="BG461" s="3">
        <v>0.3</v>
      </c>
      <c r="BH461" s="7">
        <v>1146.206909</v>
      </c>
      <c r="BI461" s="3">
        <v>0.01</v>
      </c>
      <c r="BK461" s="3" t="s">
        <v>313</v>
      </c>
      <c r="BL461" s="3">
        <v>0.08</v>
      </c>
      <c r="BM461" s="6">
        <v>954.77514599999995</v>
      </c>
      <c r="BN461" s="3">
        <v>1E-3</v>
      </c>
      <c r="BO461" s="3">
        <f t="shared" si="51"/>
        <v>0.19</v>
      </c>
    </row>
    <row r="462" spans="1:67" x14ac:dyDescent="0.3">
      <c r="A462" s="9" t="s">
        <v>316</v>
      </c>
      <c r="E462" s="9">
        <f>AVERAGE(E432:E461)</f>
        <v>0.3</v>
      </c>
      <c r="I462" s="9" t="s">
        <v>316</v>
      </c>
      <c r="J462" s="9">
        <f>AVERAGE(J432:J461)</f>
        <v>0.45900000000000002</v>
      </c>
      <c r="M462" s="5"/>
      <c r="N462" s="5"/>
      <c r="O462" s="5"/>
      <c r="P462" s="5"/>
      <c r="Q462" s="5"/>
      <c r="R462" s="1"/>
      <c r="S462" s="9" t="s">
        <v>316</v>
      </c>
      <c r="W462" s="9">
        <f>AVERAGE(W432:W461)</f>
        <v>0.3</v>
      </c>
      <c r="AA462" s="9" t="s">
        <v>316</v>
      </c>
      <c r="AB462" s="9">
        <f>AVERAGE(AB432:AB461)</f>
        <v>0.50700000000000001</v>
      </c>
      <c r="AE462" s="5"/>
      <c r="AF462" s="5"/>
      <c r="AG462" s="5"/>
      <c r="AH462" s="5"/>
      <c r="AI462" s="5"/>
      <c r="AJ462" s="1"/>
      <c r="AK462" s="9" t="s">
        <v>316</v>
      </c>
      <c r="AO462" s="9">
        <f>AVERAGE(AO432:AO461)</f>
        <v>0.3</v>
      </c>
      <c r="AS462" s="9" t="s">
        <v>316</v>
      </c>
      <c r="AT462" s="9">
        <f>AVERAGE(AT432:AT461)</f>
        <v>0.4976666666666667</v>
      </c>
      <c r="AW462" s="5"/>
      <c r="AX462" s="5"/>
      <c r="AY462" s="5"/>
      <c r="AZ462" s="5"/>
      <c r="BA462" s="5"/>
      <c r="BB462" s="1"/>
      <c r="BC462" s="9" t="s">
        <v>316</v>
      </c>
      <c r="BG462" s="9">
        <f>AVERAGE(BG432:BG461)</f>
        <v>0.3</v>
      </c>
      <c r="BK462" s="9" t="s">
        <v>316</v>
      </c>
      <c r="BL462" s="9">
        <f>AVERAGE(BL432:BL461)</f>
        <v>0.43466666666666659</v>
      </c>
      <c r="BO462" s="5"/>
    </row>
    <row r="463" spans="1:67" x14ac:dyDescent="0.3">
      <c r="M463" s="5"/>
      <c r="N463" s="5"/>
      <c r="O463" s="5"/>
      <c r="P463" s="5"/>
      <c r="Q463" s="5"/>
      <c r="R463" s="1"/>
      <c r="AE463" s="5"/>
      <c r="AF463" s="5"/>
      <c r="AG463" s="5"/>
      <c r="AH463" s="5"/>
      <c r="AI463" s="5"/>
      <c r="AJ463" s="1"/>
      <c r="AW463" s="5"/>
      <c r="AX463" s="5"/>
      <c r="AY463" s="5"/>
      <c r="AZ463" s="5"/>
      <c r="BA463" s="5"/>
      <c r="BB463" s="1"/>
      <c r="BO463" s="5"/>
    </row>
    <row r="464" spans="1:67" x14ac:dyDescent="0.3">
      <c r="M464" s="5"/>
      <c r="N464" s="5"/>
      <c r="O464" s="5"/>
      <c r="P464" s="5"/>
      <c r="Q464" s="5"/>
      <c r="R464" s="1"/>
      <c r="AE464" s="5"/>
      <c r="AF464" s="5"/>
      <c r="AG464" s="5"/>
      <c r="AH464" s="5"/>
      <c r="AI464" s="5"/>
      <c r="AJ464" s="1"/>
      <c r="AW464" s="5"/>
      <c r="AX464" s="5"/>
      <c r="AY464" s="5"/>
      <c r="AZ464" s="5"/>
      <c r="BA464" s="5"/>
      <c r="BB464" s="1"/>
      <c r="BO464" s="5"/>
    </row>
    <row r="465" spans="1:71" x14ac:dyDescent="0.3">
      <c r="A465" s="19" t="s">
        <v>314</v>
      </c>
      <c r="B465" s="19"/>
      <c r="C465" s="19"/>
      <c r="D465" s="19"/>
      <c r="E465" s="19"/>
      <c r="F465" s="19"/>
      <c r="G465" s="19"/>
      <c r="I465" s="19" t="s">
        <v>315</v>
      </c>
      <c r="J465" s="19"/>
      <c r="K465" s="19"/>
      <c r="L465" s="19"/>
      <c r="M465" s="19"/>
      <c r="N465" s="11"/>
      <c r="O465" s="11"/>
      <c r="P465" s="11"/>
      <c r="Q465" s="11"/>
      <c r="R465" s="1"/>
      <c r="S465" s="19" t="s">
        <v>314</v>
      </c>
      <c r="T465" s="19"/>
      <c r="U465" s="19"/>
      <c r="V465" s="19"/>
      <c r="W465" s="19"/>
      <c r="X465" s="19"/>
      <c r="Y465" s="19"/>
      <c r="AA465" s="19" t="s">
        <v>315</v>
      </c>
      <c r="AB465" s="19"/>
      <c r="AC465" s="19"/>
      <c r="AD465" s="19"/>
      <c r="AE465" s="19"/>
      <c r="AF465" s="11"/>
      <c r="AG465" s="11"/>
      <c r="AH465" s="11"/>
      <c r="AI465" s="11"/>
      <c r="AJ465" s="1"/>
      <c r="AK465" s="19" t="s">
        <v>314</v>
      </c>
      <c r="AL465" s="19"/>
      <c r="AM465" s="19"/>
      <c r="AN465" s="19"/>
      <c r="AO465" s="19"/>
      <c r="AP465" s="19"/>
      <c r="AQ465" s="19"/>
      <c r="AS465" s="19" t="s">
        <v>315</v>
      </c>
      <c r="AT465" s="19"/>
      <c r="AU465" s="19"/>
      <c r="AV465" s="19"/>
      <c r="AW465" s="19"/>
      <c r="AX465" s="11"/>
      <c r="AY465" s="11"/>
      <c r="AZ465" s="11"/>
      <c r="BA465" s="11"/>
      <c r="BB465" s="1"/>
      <c r="BC465" s="19" t="s">
        <v>314</v>
      </c>
      <c r="BD465" s="19"/>
      <c r="BE465" s="19"/>
      <c r="BF465" s="19"/>
      <c r="BG465" s="19"/>
      <c r="BH465" s="19"/>
      <c r="BI465" s="19"/>
      <c r="BK465" s="19" t="s">
        <v>315</v>
      </c>
      <c r="BL465" s="19"/>
      <c r="BM465" s="19"/>
      <c r="BN465" s="19"/>
      <c r="BO465" s="19"/>
    </row>
    <row r="466" spans="1:71" x14ac:dyDescent="0.3">
      <c r="A466" s="3" t="s">
        <v>70</v>
      </c>
      <c r="B466" s="3"/>
      <c r="C466" s="3"/>
      <c r="D466" s="3"/>
      <c r="E466" s="3"/>
      <c r="F466" s="3"/>
      <c r="G466" s="3"/>
      <c r="I466" s="3" t="s">
        <v>70</v>
      </c>
      <c r="J466" s="3"/>
      <c r="K466" s="3"/>
      <c r="L466" s="3"/>
      <c r="M466" s="3"/>
      <c r="N466" s="5"/>
      <c r="O466" s="5"/>
      <c r="P466" s="5"/>
      <c r="Q466" s="5"/>
      <c r="R466" s="1"/>
      <c r="S466" s="3" t="s">
        <v>71</v>
      </c>
      <c r="T466" s="3"/>
      <c r="U466" s="3"/>
      <c r="V466" s="3"/>
      <c r="W466" s="3"/>
      <c r="X466" s="3"/>
      <c r="Y466" s="3"/>
      <c r="AA466" s="3" t="s">
        <v>71</v>
      </c>
      <c r="AB466" s="3"/>
      <c r="AC466" s="3"/>
      <c r="AD466" s="3"/>
      <c r="AE466" s="3"/>
      <c r="AF466" s="5"/>
      <c r="AG466" s="5"/>
      <c r="AH466" s="5"/>
      <c r="AI466" s="5"/>
      <c r="AJ466" s="1"/>
      <c r="AK466" s="3" t="s">
        <v>70</v>
      </c>
      <c r="AL466" s="3"/>
      <c r="AM466" s="3"/>
      <c r="AN466" s="3"/>
      <c r="AO466" s="3"/>
      <c r="AP466" s="3"/>
      <c r="AQ466" s="3"/>
      <c r="AS466" s="3" t="s">
        <v>70</v>
      </c>
      <c r="AT466" s="3"/>
      <c r="AU466" s="3"/>
      <c r="AV466" s="3"/>
      <c r="AW466" s="4"/>
      <c r="AX466" s="12"/>
      <c r="AY466" s="12"/>
      <c r="AZ466" s="12"/>
      <c r="BA466" s="12"/>
      <c r="BB466" s="1"/>
      <c r="BC466" s="3" t="s">
        <v>71</v>
      </c>
      <c r="BD466" s="3"/>
      <c r="BE466" s="3"/>
      <c r="BF466" s="3"/>
      <c r="BG466" s="3"/>
      <c r="BH466" s="3"/>
      <c r="BI466" s="3"/>
      <c r="BK466" s="3" t="s">
        <v>71</v>
      </c>
      <c r="BL466" s="3"/>
      <c r="BM466" s="3"/>
      <c r="BN466" s="3"/>
      <c r="BO466" s="3"/>
    </row>
    <row r="467" spans="1:71" x14ac:dyDescent="0.3">
      <c r="A467" s="3" t="s">
        <v>2</v>
      </c>
      <c r="B467" s="3" t="s">
        <v>3</v>
      </c>
      <c r="C467" s="3" t="s">
        <v>4</v>
      </c>
      <c r="D467" s="3" t="s">
        <v>5</v>
      </c>
      <c r="E467" s="3" t="s">
        <v>6</v>
      </c>
      <c r="F467" s="3" t="s">
        <v>7</v>
      </c>
      <c r="G467" s="3" t="s">
        <v>8</v>
      </c>
      <c r="I467" s="3" t="s">
        <v>2</v>
      </c>
      <c r="J467" s="3" t="s">
        <v>6</v>
      </c>
      <c r="K467" s="3" t="s">
        <v>7</v>
      </c>
      <c r="L467" s="3" t="s">
        <v>8</v>
      </c>
      <c r="M467" s="3" t="s">
        <v>9</v>
      </c>
      <c r="N467" s="3" t="s">
        <v>322</v>
      </c>
      <c r="O467" s="3" t="s">
        <v>323</v>
      </c>
      <c r="P467" s="3" t="s">
        <v>322</v>
      </c>
      <c r="Q467" s="3" t="s">
        <v>323</v>
      </c>
      <c r="R467" s="1"/>
      <c r="S467" s="3" t="s">
        <v>2</v>
      </c>
      <c r="T467" s="3" t="s">
        <v>3</v>
      </c>
      <c r="U467" s="3" t="s">
        <v>4</v>
      </c>
      <c r="V467" s="3" t="s">
        <v>5</v>
      </c>
      <c r="W467" s="3" t="s">
        <v>6</v>
      </c>
      <c r="X467" s="3" t="s">
        <v>7</v>
      </c>
      <c r="Y467" s="3" t="s">
        <v>8</v>
      </c>
      <c r="AA467" s="3" t="s">
        <v>2</v>
      </c>
      <c r="AB467" s="3" t="s">
        <v>6</v>
      </c>
      <c r="AC467" s="3" t="s">
        <v>7</v>
      </c>
      <c r="AD467" s="3" t="s">
        <v>8</v>
      </c>
      <c r="AE467" s="3" t="s">
        <v>9</v>
      </c>
      <c r="AF467" s="3" t="s">
        <v>322</v>
      </c>
      <c r="AG467" s="3" t="s">
        <v>323</v>
      </c>
      <c r="AH467" s="3" t="s">
        <v>322</v>
      </c>
      <c r="AI467" s="3" t="s">
        <v>323</v>
      </c>
      <c r="AJ467" s="1"/>
      <c r="AK467" s="3" t="s">
        <v>2</v>
      </c>
      <c r="AL467" s="3" t="s">
        <v>3</v>
      </c>
      <c r="AM467" s="3" t="s">
        <v>4</v>
      </c>
      <c r="AN467" s="3" t="s">
        <v>5</v>
      </c>
      <c r="AO467" s="3" t="s">
        <v>6</v>
      </c>
      <c r="AP467" s="3" t="s">
        <v>7</v>
      </c>
      <c r="AQ467" s="3" t="s">
        <v>8</v>
      </c>
      <c r="AS467" s="3" t="s">
        <v>2</v>
      </c>
      <c r="AT467" s="3" t="s">
        <v>6</v>
      </c>
      <c r="AU467" s="3" t="s">
        <v>7</v>
      </c>
      <c r="AV467" s="3" t="s">
        <v>8</v>
      </c>
      <c r="AW467" s="3" t="s">
        <v>9</v>
      </c>
      <c r="AX467" s="3" t="s">
        <v>322</v>
      </c>
      <c r="AY467" s="3" t="s">
        <v>323</v>
      </c>
      <c r="AZ467" s="3" t="s">
        <v>322</v>
      </c>
      <c r="BA467" s="3" t="s">
        <v>323</v>
      </c>
      <c r="BB467" s="1"/>
      <c r="BC467" s="3" t="s">
        <v>2</v>
      </c>
      <c r="BD467" s="3" t="s">
        <v>3</v>
      </c>
      <c r="BE467" s="3" t="s">
        <v>4</v>
      </c>
      <c r="BF467" s="3" t="s">
        <v>5</v>
      </c>
      <c r="BG467" s="3" t="s">
        <v>6</v>
      </c>
      <c r="BH467" s="3" t="s">
        <v>7</v>
      </c>
      <c r="BI467" s="3" t="s">
        <v>8</v>
      </c>
      <c r="BK467" s="3" t="s">
        <v>2</v>
      </c>
      <c r="BL467" s="3" t="s">
        <v>6</v>
      </c>
      <c r="BM467" s="3" t="s">
        <v>7</v>
      </c>
      <c r="BN467" s="3" t="s">
        <v>8</v>
      </c>
      <c r="BO467" s="3" t="s">
        <v>9</v>
      </c>
      <c r="BP467" s="3" t="s">
        <v>322</v>
      </c>
      <c r="BQ467" s="3" t="s">
        <v>323</v>
      </c>
      <c r="BR467" s="3" t="s">
        <v>322</v>
      </c>
      <c r="BS467" s="3" t="s">
        <v>323</v>
      </c>
    </row>
    <row r="468" spans="1:71" x14ac:dyDescent="0.3">
      <c r="A468" s="3" t="s">
        <v>254</v>
      </c>
      <c r="B468" s="3">
        <v>0.9</v>
      </c>
      <c r="C468" s="3">
        <v>0.5</v>
      </c>
      <c r="D468" s="3">
        <v>0.6</v>
      </c>
      <c r="E468" s="3">
        <v>0.3</v>
      </c>
      <c r="F468" s="7">
        <v>670.93890399999998</v>
      </c>
      <c r="G468" s="3">
        <v>3.0000000000000001E-3</v>
      </c>
      <c r="I468" s="3" t="s">
        <v>254</v>
      </c>
      <c r="J468" s="3">
        <v>0.01</v>
      </c>
      <c r="K468" s="6">
        <v>625.56311000000005</v>
      </c>
      <c r="L468" s="3">
        <v>0</v>
      </c>
      <c r="M468" s="3">
        <f t="shared" ref="M468:M497" si="52">AVERAGE(E468,J468)</f>
        <v>0.155</v>
      </c>
      <c r="N468" s="4" t="s">
        <v>320</v>
      </c>
      <c r="O468" s="4" t="s">
        <v>320</v>
      </c>
      <c r="P468" s="4" t="s">
        <v>321</v>
      </c>
      <c r="Q468" s="4" t="s">
        <v>321</v>
      </c>
      <c r="R468" s="1"/>
      <c r="S468" s="3" t="s">
        <v>254</v>
      </c>
      <c r="T468" s="3">
        <v>0.9</v>
      </c>
      <c r="U468" s="3">
        <v>0.5</v>
      </c>
      <c r="V468" s="3">
        <v>0.6</v>
      </c>
      <c r="W468" s="3">
        <v>0.3</v>
      </c>
      <c r="X468" s="7">
        <v>648.05926499999998</v>
      </c>
      <c r="Y468" s="3">
        <v>2E-3</v>
      </c>
      <c r="AA468" s="3" t="s">
        <v>254</v>
      </c>
      <c r="AB468" s="3">
        <v>0.01</v>
      </c>
      <c r="AC468" s="6">
        <v>604.00616500000001</v>
      </c>
      <c r="AD468" s="3">
        <v>1E-3</v>
      </c>
      <c r="AE468" s="3">
        <f t="shared" ref="AE468:AE497" si="53">AVERAGE(W468,AB468)</f>
        <v>0.155</v>
      </c>
      <c r="AF468" s="4" t="s">
        <v>320</v>
      </c>
      <c r="AG468" s="4" t="s">
        <v>320</v>
      </c>
      <c r="AH468" s="4" t="s">
        <v>321</v>
      </c>
      <c r="AI468" s="4" t="s">
        <v>321</v>
      </c>
      <c r="AJ468" s="1"/>
      <c r="AK468" s="3" t="s">
        <v>255</v>
      </c>
      <c r="AL468" s="3">
        <v>0.9</v>
      </c>
      <c r="AM468" s="3">
        <v>0.5</v>
      </c>
      <c r="AN468" s="3">
        <v>0.6</v>
      </c>
      <c r="AO468" s="3">
        <v>0.3</v>
      </c>
      <c r="AP468" s="7">
        <v>1018.932068</v>
      </c>
      <c r="AQ468" s="3">
        <v>8.9999999999999993E-3</v>
      </c>
      <c r="AS468" s="3" t="s">
        <v>255</v>
      </c>
      <c r="AT468" s="3">
        <v>0.01</v>
      </c>
      <c r="AU468" s="6">
        <v>859.60595699999999</v>
      </c>
      <c r="AV468" s="3">
        <v>1E-3</v>
      </c>
      <c r="AW468" s="3">
        <f t="shared" ref="AW468:AW497" si="54">AVERAGE(AO468,AT468)</f>
        <v>0.155</v>
      </c>
      <c r="AX468" s="4" t="s">
        <v>320</v>
      </c>
      <c r="AY468" s="4" t="s">
        <v>320</v>
      </c>
      <c r="AZ468" s="4" t="s">
        <v>321</v>
      </c>
      <c r="BA468" s="4" t="s">
        <v>321</v>
      </c>
      <c r="BB468" s="1"/>
      <c r="BC468" s="3" t="s">
        <v>255</v>
      </c>
      <c r="BD468" s="3">
        <v>0.9</v>
      </c>
      <c r="BE468" s="3">
        <v>0.5</v>
      </c>
      <c r="BF468" s="3">
        <v>0.6</v>
      </c>
      <c r="BG468" s="3">
        <v>0.3</v>
      </c>
      <c r="BH468" s="7">
        <v>989.39483600000005</v>
      </c>
      <c r="BI468" s="3">
        <v>1.2999999999999999E-2</v>
      </c>
      <c r="BK468" s="3" t="s">
        <v>255</v>
      </c>
      <c r="BL468" s="3">
        <v>0.01</v>
      </c>
      <c r="BM468" s="6">
        <v>818.17797900000005</v>
      </c>
      <c r="BN468" s="3">
        <v>0</v>
      </c>
      <c r="BO468" s="3">
        <f t="shared" ref="BO468:BO497" si="55">AVERAGE(BG468,BL468)</f>
        <v>0.155</v>
      </c>
      <c r="BP468" s="4" t="s">
        <v>320</v>
      </c>
      <c r="BQ468" s="4" t="s">
        <v>320</v>
      </c>
      <c r="BR468" s="4" t="s">
        <v>321</v>
      </c>
      <c r="BS468" s="4" t="s">
        <v>321</v>
      </c>
    </row>
    <row r="469" spans="1:71" x14ac:dyDescent="0.3">
      <c r="A469" s="3" t="s">
        <v>256</v>
      </c>
      <c r="B469" s="3">
        <v>0.9</v>
      </c>
      <c r="C469" s="3">
        <v>0.5</v>
      </c>
      <c r="D469" s="3">
        <v>0.6</v>
      </c>
      <c r="E469" s="3">
        <v>0.3</v>
      </c>
      <c r="F469" s="7">
        <v>685.86596699999996</v>
      </c>
      <c r="G469" s="3">
        <v>2E-3</v>
      </c>
      <c r="I469" s="3" t="s">
        <v>256</v>
      </c>
      <c r="J469" s="3">
        <v>0.09</v>
      </c>
      <c r="K469" s="6">
        <v>636.95251499999995</v>
      </c>
      <c r="L469" s="3">
        <v>0</v>
      </c>
      <c r="M469" s="3">
        <f t="shared" si="52"/>
        <v>0.19500000000000001</v>
      </c>
      <c r="N469" s="3">
        <f>COUNT(F472:F473,F475:F477,F479,F481:F484,F486:F487,F489:F491,F493:F497)</f>
        <v>20</v>
      </c>
      <c r="O469" s="3">
        <f>30-N469</f>
        <v>10</v>
      </c>
      <c r="P469" s="3">
        <f>COUNT(K468:K471,K474,K478,K480,K485,K488,K492)</f>
        <v>10</v>
      </c>
      <c r="Q469" s="3">
        <f>30-P469</f>
        <v>20</v>
      </c>
      <c r="R469" s="1"/>
      <c r="S469" s="3" t="s">
        <v>256</v>
      </c>
      <c r="T469" s="3">
        <v>0.9</v>
      </c>
      <c r="U469" s="3">
        <v>0.5</v>
      </c>
      <c r="V469" s="3">
        <v>0.6</v>
      </c>
      <c r="W469" s="3">
        <v>0.3</v>
      </c>
      <c r="X469" s="7">
        <v>657.04418899999996</v>
      </c>
      <c r="Y469" s="3">
        <v>3.0000000000000001E-3</v>
      </c>
      <c r="AA469" s="3" t="s">
        <v>256</v>
      </c>
      <c r="AB469" s="3">
        <v>0.04</v>
      </c>
      <c r="AC469" s="6">
        <v>610.09246800000005</v>
      </c>
      <c r="AD469" s="3">
        <v>0</v>
      </c>
      <c r="AE469" s="3">
        <f t="shared" si="53"/>
        <v>0.16999999999999998</v>
      </c>
      <c r="AF469" s="3">
        <f>COUNT(X470,X472:X477,X480:X483,X486:X490,X492:X493,X497)</f>
        <v>19</v>
      </c>
      <c r="AG469" s="3">
        <f>30-AF469</f>
        <v>11</v>
      </c>
      <c r="AH469" s="3">
        <f>COUNT(AC468:AC469,AC471,AC478:AC479,AC484,AC486,AC491,AC494:AC496)</f>
        <v>11</v>
      </c>
      <c r="AI469" s="3">
        <f>30-AH469</f>
        <v>19</v>
      </c>
      <c r="AJ469" s="1"/>
      <c r="AK469" s="3" t="s">
        <v>257</v>
      </c>
      <c r="AL469" s="3">
        <v>0.9</v>
      </c>
      <c r="AM469" s="3">
        <v>0.5</v>
      </c>
      <c r="AN469" s="3">
        <v>0.6</v>
      </c>
      <c r="AO469" s="3">
        <v>0.3</v>
      </c>
      <c r="AP469" s="6">
        <v>985.86834699999997</v>
      </c>
      <c r="AQ469" s="3">
        <v>8.9999999999999993E-3</v>
      </c>
      <c r="AS469" s="3" t="s">
        <v>257</v>
      </c>
      <c r="AT469" s="3">
        <v>0.35</v>
      </c>
      <c r="AU469" s="7">
        <v>1008.423279</v>
      </c>
      <c r="AV469" s="3">
        <v>1E-3</v>
      </c>
      <c r="AW469" s="3">
        <f t="shared" si="54"/>
        <v>0.32499999999999996</v>
      </c>
      <c r="AX469" s="3">
        <f>COUNT(AP469,AP471,AP474:AP475,AP477:AP478,AP480:AP490,AP492,AP494:AP495,AP497)</f>
        <v>21</v>
      </c>
      <c r="AY469" s="3">
        <f>30-AX469</f>
        <v>9</v>
      </c>
      <c r="AZ469" s="3">
        <f>COUNT(AU468,AU470,AU472:AU473,AU476,AU479,AU491,AU493,AU496)</f>
        <v>9</v>
      </c>
      <c r="BA469" s="3">
        <f>30-AZ469</f>
        <v>21</v>
      </c>
      <c r="BB469" s="1"/>
      <c r="BC469" s="3" t="s">
        <v>257</v>
      </c>
      <c r="BD469" s="3">
        <v>0.9</v>
      </c>
      <c r="BE469" s="3">
        <v>0.5</v>
      </c>
      <c r="BF469" s="3">
        <v>0.6</v>
      </c>
      <c r="BG469" s="3">
        <v>0.3</v>
      </c>
      <c r="BH469" s="6">
        <v>958.109375</v>
      </c>
      <c r="BI469" s="3">
        <v>0.01</v>
      </c>
      <c r="BK469" s="3" t="s">
        <v>257</v>
      </c>
      <c r="BL469" s="3">
        <v>0.67</v>
      </c>
      <c r="BM469" s="7">
        <v>1078.83313</v>
      </c>
      <c r="BN469" s="3">
        <v>1E-3</v>
      </c>
      <c r="BO469" s="3">
        <f t="shared" si="55"/>
        <v>0.48499999999999999</v>
      </c>
      <c r="BP469" s="3">
        <f>COUNT(BH469,BH472:BH473,BH476:BH477,BH480:BH482,BH488,BH490:BH491,BH493,BH495,BH497)</f>
        <v>14</v>
      </c>
      <c r="BQ469" s="3">
        <f>30-BP469</f>
        <v>16</v>
      </c>
      <c r="BR469" s="3">
        <f>COUNT(BM468,BM470:BM471,BM474:BM475,BM478:BM479,BM483:BM487,BM489,BM492,BM494,BM496)</f>
        <v>16</v>
      </c>
      <c r="BS469" s="3">
        <f>30-BR469</f>
        <v>14</v>
      </c>
    </row>
    <row r="470" spans="1:71" x14ac:dyDescent="0.3">
      <c r="A470" s="3" t="s">
        <v>258</v>
      </c>
      <c r="B470" s="3">
        <v>0.9</v>
      </c>
      <c r="C470" s="3">
        <v>0.5</v>
      </c>
      <c r="D470" s="3">
        <v>0.6</v>
      </c>
      <c r="E470" s="3">
        <v>0.3</v>
      </c>
      <c r="F470" s="7">
        <v>671.47015399999998</v>
      </c>
      <c r="G470" s="3">
        <v>3.0000000000000001E-3</v>
      </c>
      <c r="I470" s="3" t="s">
        <v>258</v>
      </c>
      <c r="J470" s="3">
        <v>0.17</v>
      </c>
      <c r="K470" s="6">
        <v>637.88934300000005</v>
      </c>
      <c r="L470" s="3">
        <v>0</v>
      </c>
      <c r="M470" s="3">
        <f t="shared" si="52"/>
        <v>0.23499999999999999</v>
      </c>
      <c r="N470" s="5"/>
      <c r="O470" s="5"/>
      <c r="P470" s="5"/>
      <c r="Q470" s="5"/>
      <c r="R470" s="1"/>
      <c r="S470" s="3" t="s">
        <v>258</v>
      </c>
      <c r="T470" s="3">
        <v>0.9</v>
      </c>
      <c r="U470" s="3">
        <v>0.5</v>
      </c>
      <c r="V470" s="3">
        <v>0.6</v>
      </c>
      <c r="W470" s="3">
        <v>0.3</v>
      </c>
      <c r="X470" s="6">
        <v>652.54858400000001</v>
      </c>
      <c r="Y470" s="3">
        <v>3.0000000000000001E-3</v>
      </c>
      <c r="AA470" s="3" t="s">
        <v>258</v>
      </c>
      <c r="AB470" s="3">
        <v>0.49</v>
      </c>
      <c r="AC470" s="7">
        <v>685.94812000000002</v>
      </c>
      <c r="AD470" s="3">
        <v>0</v>
      </c>
      <c r="AE470" s="3">
        <f t="shared" si="53"/>
        <v>0.39500000000000002</v>
      </c>
      <c r="AF470" s="5"/>
      <c r="AG470" s="5"/>
      <c r="AH470" s="5"/>
      <c r="AI470" s="5"/>
      <c r="AJ470" s="1"/>
      <c r="AK470" s="3" t="s">
        <v>259</v>
      </c>
      <c r="AL470" s="3">
        <v>0.9</v>
      </c>
      <c r="AM470" s="3">
        <v>0.5</v>
      </c>
      <c r="AN470" s="3">
        <v>0.6</v>
      </c>
      <c r="AO470" s="3">
        <v>0.3</v>
      </c>
      <c r="AP470" s="7">
        <v>1007.91394</v>
      </c>
      <c r="AQ470" s="3">
        <v>1.2E-2</v>
      </c>
      <c r="AS470" s="3" t="s">
        <v>259</v>
      </c>
      <c r="AT470" s="3">
        <v>0.18</v>
      </c>
      <c r="AU470" s="6">
        <v>921.69293200000004</v>
      </c>
      <c r="AV470" s="3">
        <v>1E-3</v>
      </c>
      <c r="AW470" s="3">
        <f t="shared" si="54"/>
        <v>0.24</v>
      </c>
      <c r="AX470" s="5"/>
      <c r="AY470" s="5"/>
      <c r="AZ470" s="5"/>
      <c r="BA470" s="5"/>
      <c r="BB470" s="1"/>
      <c r="BC470" s="3" t="s">
        <v>259</v>
      </c>
      <c r="BD470" s="3">
        <v>0.9</v>
      </c>
      <c r="BE470" s="3">
        <v>0.5</v>
      </c>
      <c r="BF470" s="3">
        <v>0.6</v>
      </c>
      <c r="BG470" s="3">
        <v>0.3</v>
      </c>
      <c r="BH470" s="7">
        <v>983.394226</v>
      </c>
      <c r="BI470" s="3">
        <v>0.01</v>
      </c>
      <c r="BK470" s="3" t="s">
        <v>259</v>
      </c>
      <c r="BL470" s="3">
        <v>0.11</v>
      </c>
      <c r="BM470" s="6">
        <v>829.30712900000003</v>
      </c>
      <c r="BN470" s="3">
        <v>1E-3</v>
      </c>
      <c r="BO470" s="3">
        <f t="shared" si="55"/>
        <v>0.20499999999999999</v>
      </c>
    </row>
    <row r="471" spans="1:71" x14ac:dyDescent="0.3">
      <c r="A471" s="3" t="s">
        <v>260</v>
      </c>
      <c r="B471" s="3">
        <v>0.9</v>
      </c>
      <c r="C471" s="3">
        <v>0.5</v>
      </c>
      <c r="D471" s="3">
        <v>0.6</v>
      </c>
      <c r="E471" s="3">
        <v>0.3</v>
      </c>
      <c r="F471" s="7">
        <v>697.96142599999996</v>
      </c>
      <c r="G471" s="3">
        <v>2E-3</v>
      </c>
      <c r="I471" s="3" t="s">
        <v>260</v>
      </c>
      <c r="J471" s="3">
        <v>0.23</v>
      </c>
      <c r="K471" s="6">
        <v>676.06207300000005</v>
      </c>
      <c r="L471" s="3">
        <v>0</v>
      </c>
      <c r="M471" s="3">
        <f t="shared" si="52"/>
        <v>0.26500000000000001</v>
      </c>
      <c r="N471" s="5"/>
      <c r="O471" s="5"/>
      <c r="P471" s="5"/>
      <c r="Q471" s="5"/>
      <c r="R471" s="1"/>
      <c r="S471" s="3" t="s">
        <v>260</v>
      </c>
      <c r="T471" s="3">
        <v>0.9</v>
      </c>
      <c r="U471" s="3">
        <v>0.5</v>
      </c>
      <c r="V471" s="3">
        <v>0.6</v>
      </c>
      <c r="W471" s="3">
        <v>0.3</v>
      </c>
      <c r="X471" s="7">
        <v>683.41851799999995</v>
      </c>
      <c r="Y471" s="3">
        <v>3.0000000000000001E-3</v>
      </c>
      <c r="AA471" s="3" t="s">
        <v>260</v>
      </c>
      <c r="AB471" s="3">
        <v>0.26</v>
      </c>
      <c r="AC471" s="6">
        <v>675.99511700000005</v>
      </c>
      <c r="AD471" s="3">
        <v>0</v>
      </c>
      <c r="AE471" s="3">
        <f t="shared" si="53"/>
        <v>0.28000000000000003</v>
      </c>
      <c r="AF471" s="5"/>
      <c r="AG471" s="5"/>
      <c r="AH471" s="5"/>
      <c r="AI471" s="5"/>
      <c r="AJ471" s="1"/>
      <c r="AK471" s="3" t="s">
        <v>261</v>
      </c>
      <c r="AL471" s="3">
        <v>0.9</v>
      </c>
      <c r="AM471" s="3">
        <v>0.5</v>
      </c>
      <c r="AN471" s="3">
        <v>0.6</v>
      </c>
      <c r="AO471" s="3">
        <v>0.3</v>
      </c>
      <c r="AP471" s="6">
        <v>962.80932600000006</v>
      </c>
      <c r="AQ471" s="3">
        <v>8.0000000000000002E-3</v>
      </c>
      <c r="AS471" s="3" t="s">
        <v>261</v>
      </c>
      <c r="AT471" s="3">
        <v>0.72</v>
      </c>
      <c r="AU471" s="7">
        <v>1071.1860349999999</v>
      </c>
      <c r="AV471" s="3">
        <v>1E-3</v>
      </c>
      <c r="AW471" s="3">
        <f t="shared" si="54"/>
        <v>0.51</v>
      </c>
      <c r="AX471" s="5"/>
      <c r="AY471" s="5"/>
      <c r="AZ471" s="5"/>
      <c r="BA471" s="5"/>
      <c r="BB471" s="1"/>
      <c r="BC471" s="3" t="s">
        <v>261</v>
      </c>
      <c r="BD471" s="3">
        <v>0.9</v>
      </c>
      <c r="BE471" s="3">
        <v>0.5</v>
      </c>
      <c r="BF471" s="3">
        <v>0.6</v>
      </c>
      <c r="BG471" s="3">
        <v>0.3</v>
      </c>
      <c r="BH471" s="7">
        <v>924.55017099999998</v>
      </c>
      <c r="BI471" s="3">
        <v>8.9999999999999993E-3</v>
      </c>
      <c r="BK471" s="3" t="s">
        <v>261</v>
      </c>
      <c r="BL471" s="3">
        <v>0.01</v>
      </c>
      <c r="BM471" s="6">
        <v>830.07220500000005</v>
      </c>
      <c r="BN471" s="3">
        <v>1E-3</v>
      </c>
      <c r="BO471" s="3">
        <f t="shared" si="55"/>
        <v>0.155</v>
      </c>
    </row>
    <row r="472" spans="1:71" x14ac:dyDescent="0.3">
      <c r="A472" s="3" t="s">
        <v>262</v>
      </c>
      <c r="B472" s="3">
        <v>0.9</v>
      </c>
      <c r="C472" s="3">
        <v>0.5</v>
      </c>
      <c r="D472" s="3">
        <v>0.6</v>
      </c>
      <c r="E472" s="3">
        <v>0.3</v>
      </c>
      <c r="F472" s="6">
        <v>734.44390899999996</v>
      </c>
      <c r="G472" s="3">
        <v>3.0000000000000001E-3</v>
      </c>
      <c r="I472" s="3" t="s">
        <v>262</v>
      </c>
      <c r="J472" s="3">
        <v>0.32</v>
      </c>
      <c r="K472" s="7">
        <v>742.24963400000001</v>
      </c>
      <c r="L472" s="3">
        <v>0</v>
      </c>
      <c r="M472" s="3">
        <f t="shared" si="52"/>
        <v>0.31</v>
      </c>
      <c r="N472" s="5"/>
      <c r="O472" s="5"/>
      <c r="P472" s="5"/>
      <c r="Q472" s="5"/>
      <c r="R472" s="1"/>
      <c r="S472" s="3" t="s">
        <v>262</v>
      </c>
      <c r="T472" s="3">
        <v>0.9</v>
      </c>
      <c r="U472" s="3">
        <v>0.5</v>
      </c>
      <c r="V472" s="3">
        <v>0.6</v>
      </c>
      <c r="W472" s="3">
        <v>0.3</v>
      </c>
      <c r="X472" s="6">
        <v>719.38476600000001</v>
      </c>
      <c r="Y472" s="3">
        <v>5.0000000000000001E-3</v>
      </c>
      <c r="AA472" s="3" t="s">
        <v>262</v>
      </c>
      <c r="AB472" s="3">
        <v>0.7</v>
      </c>
      <c r="AC472" s="7">
        <v>834.165344</v>
      </c>
      <c r="AD472" s="3">
        <v>1E-3</v>
      </c>
      <c r="AE472" s="3">
        <f t="shared" si="53"/>
        <v>0.5</v>
      </c>
      <c r="AF472" s="5"/>
      <c r="AG472" s="5"/>
      <c r="AH472" s="5"/>
      <c r="AI472" s="5"/>
      <c r="AJ472" s="1"/>
      <c r="AK472" s="3" t="s">
        <v>263</v>
      </c>
      <c r="AL472" s="3">
        <v>0.9</v>
      </c>
      <c r="AM472" s="3">
        <v>0.5</v>
      </c>
      <c r="AN472" s="3">
        <v>0.6</v>
      </c>
      <c r="AO472" s="3">
        <v>0.3</v>
      </c>
      <c r="AP472" s="7">
        <v>1004.8526000000001</v>
      </c>
      <c r="AQ472" s="3">
        <v>1.0999999999999999E-2</v>
      </c>
      <c r="AS472" s="3" t="s">
        <v>263</v>
      </c>
      <c r="AT472" s="3">
        <v>0.25</v>
      </c>
      <c r="AU472" s="6">
        <v>971.09210199999995</v>
      </c>
      <c r="AV472" s="3">
        <v>1E-3</v>
      </c>
      <c r="AW472" s="3">
        <f t="shared" si="54"/>
        <v>0.27500000000000002</v>
      </c>
      <c r="AX472" s="5"/>
      <c r="AY472" s="5"/>
      <c r="AZ472" s="5"/>
      <c r="BA472" s="5"/>
      <c r="BB472" s="1"/>
      <c r="BC472" s="3" t="s">
        <v>263</v>
      </c>
      <c r="BD472" s="3">
        <v>0.9</v>
      </c>
      <c r="BE472" s="3">
        <v>0.5</v>
      </c>
      <c r="BF472" s="3">
        <v>0.6</v>
      </c>
      <c r="BG472" s="3">
        <v>0.3</v>
      </c>
      <c r="BH472" s="6">
        <v>973.24841300000003</v>
      </c>
      <c r="BI472" s="3">
        <v>8.9999999999999993E-3</v>
      </c>
      <c r="BK472" s="3" t="s">
        <v>263</v>
      </c>
      <c r="BL472" s="3">
        <v>0.87</v>
      </c>
      <c r="BM472" s="7">
        <v>1092.9083250000001</v>
      </c>
      <c r="BN472" s="3">
        <v>0</v>
      </c>
      <c r="BO472" s="3">
        <f t="shared" si="55"/>
        <v>0.58499999999999996</v>
      </c>
    </row>
    <row r="473" spans="1:71" x14ac:dyDescent="0.3">
      <c r="A473" s="3" t="s">
        <v>264</v>
      </c>
      <c r="B473" s="3">
        <v>0.9</v>
      </c>
      <c r="C473" s="3">
        <v>0.5</v>
      </c>
      <c r="D473" s="3">
        <v>0.6</v>
      </c>
      <c r="E473" s="3">
        <v>0.3</v>
      </c>
      <c r="F473" s="6">
        <v>718.62316899999996</v>
      </c>
      <c r="G473" s="3">
        <v>2E-3</v>
      </c>
      <c r="I473" s="3" t="s">
        <v>264</v>
      </c>
      <c r="J473" s="3">
        <v>0.54</v>
      </c>
      <c r="K473" s="7">
        <v>760.52209500000004</v>
      </c>
      <c r="L473" s="3">
        <v>1E-3</v>
      </c>
      <c r="M473" s="3">
        <f t="shared" si="52"/>
        <v>0.42000000000000004</v>
      </c>
      <c r="N473" s="5"/>
      <c r="O473" s="5"/>
      <c r="P473" s="5"/>
      <c r="Q473" s="5"/>
      <c r="R473" s="1"/>
      <c r="S473" s="3" t="s">
        <v>264</v>
      </c>
      <c r="T473" s="3">
        <v>0.9</v>
      </c>
      <c r="U473" s="3">
        <v>0.5</v>
      </c>
      <c r="V473" s="3">
        <v>0.6</v>
      </c>
      <c r="W473" s="3">
        <v>0.3</v>
      </c>
      <c r="X473" s="6">
        <v>709.68646200000001</v>
      </c>
      <c r="Y473" s="3">
        <v>3.0000000000000001E-3</v>
      </c>
      <c r="AA473" s="3" t="s">
        <v>264</v>
      </c>
      <c r="AB473" s="3">
        <v>0.86</v>
      </c>
      <c r="AC473" s="7">
        <v>816.61163299999998</v>
      </c>
      <c r="AD473" s="3">
        <v>0</v>
      </c>
      <c r="AE473" s="3">
        <f t="shared" si="53"/>
        <v>0.57999999999999996</v>
      </c>
      <c r="AF473" s="5"/>
      <c r="AG473" s="5"/>
      <c r="AH473" s="5"/>
      <c r="AI473" s="5"/>
      <c r="AJ473" s="1"/>
      <c r="AK473" s="3" t="s">
        <v>265</v>
      </c>
      <c r="AL473" s="3">
        <v>0.9</v>
      </c>
      <c r="AM473" s="3">
        <v>0.5</v>
      </c>
      <c r="AN473" s="3">
        <v>0.6</v>
      </c>
      <c r="AO473" s="3">
        <v>0.3</v>
      </c>
      <c r="AP473" s="7">
        <v>988.555969</v>
      </c>
      <c r="AQ473" s="3">
        <v>8.9999999999999993E-3</v>
      </c>
      <c r="AS473" s="3" t="s">
        <v>265</v>
      </c>
      <c r="AT473" s="3">
        <v>0.05</v>
      </c>
      <c r="AU473" s="6">
        <v>801.15979000000004</v>
      </c>
      <c r="AV473" s="3">
        <v>0</v>
      </c>
      <c r="AW473" s="3">
        <f t="shared" si="54"/>
        <v>0.17499999999999999</v>
      </c>
      <c r="AX473" s="5"/>
      <c r="AY473" s="5"/>
      <c r="AZ473" s="5"/>
      <c r="BA473" s="5"/>
      <c r="BB473" s="1"/>
      <c r="BC473" s="3" t="s">
        <v>265</v>
      </c>
      <c r="BD473" s="3">
        <v>0.9</v>
      </c>
      <c r="BE473" s="3">
        <v>0.5</v>
      </c>
      <c r="BF473" s="3">
        <v>0.6</v>
      </c>
      <c r="BG473" s="3">
        <v>0.3</v>
      </c>
      <c r="BH473" s="6">
        <v>941.50958300000002</v>
      </c>
      <c r="BI473" s="3">
        <v>8.0000000000000002E-3</v>
      </c>
      <c r="BK473" s="3" t="s">
        <v>265</v>
      </c>
      <c r="BL473" s="3">
        <v>0.78</v>
      </c>
      <c r="BM473" s="7">
        <v>1070.207764</v>
      </c>
      <c r="BN473" s="3">
        <v>1E-3</v>
      </c>
      <c r="BO473" s="3">
        <f t="shared" si="55"/>
        <v>0.54</v>
      </c>
    </row>
    <row r="474" spans="1:71" x14ac:dyDescent="0.3">
      <c r="A474" s="3" t="s">
        <v>266</v>
      </c>
      <c r="B474" s="3">
        <v>0.9</v>
      </c>
      <c r="C474" s="3">
        <v>0.5</v>
      </c>
      <c r="D474" s="3">
        <v>0.6</v>
      </c>
      <c r="E474" s="3">
        <v>0.3</v>
      </c>
      <c r="F474" s="7">
        <v>637.82653800000003</v>
      </c>
      <c r="G474" s="3">
        <v>3.0000000000000001E-3</v>
      </c>
      <c r="I474" s="3" t="s">
        <v>266</v>
      </c>
      <c r="J474" s="3">
        <v>0.24</v>
      </c>
      <c r="K474" s="6">
        <v>627.07342500000004</v>
      </c>
      <c r="L474" s="3">
        <v>0</v>
      </c>
      <c r="M474" s="3">
        <f t="shared" si="52"/>
        <v>0.27</v>
      </c>
      <c r="N474" s="5"/>
      <c r="O474" s="5"/>
      <c r="P474" s="5"/>
      <c r="Q474" s="5"/>
      <c r="R474" s="1"/>
      <c r="S474" s="3" t="s">
        <v>266</v>
      </c>
      <c r="T474" s="3">
        <v>0.9</v>
      </c>
      <c r="U474" s="3">
        <v>0.5</v>
      </c>
      <c r="V474" s="3">
        <v>0.6</v>
      </c>
      <c r="W474" s="3">
        <v>0.3</v>
      </c>
      <c r="X474" s="6">
        <v>615.61096199999997</v>
      </c>
      <c r="Y474" s="3">
        <v>3.0000000000000001E-3</v>
      </c>
      <c r="AA474" s="3" t="s">
        <v>266</v>
      </c>
      <c r="AB474" s="3">
        <v>0.67</v>
      </c>
      <c r="AC474" s="7">
        <v>666.46386700000005</v>
      </c>
      <c r="AD474" s="3">
        <v>0</v>
      </c>
      <c r="AE474" s="3">
        <f t="shared" si="53"/>
        <v>0.48499999999999999</v>
      </c>
      <c r="AF474" s="5"/>
      <c r="AG474" s="5"/>
      <c r="AH474" s="5"/>
      <c r="AI474" s="5"/>
      <c r="AJ474" s="1"/>
      <c r="AK474" s="3" t="s">
        <v>267</v>
      </c>
      <c r="AL474" s="3">
        <v>0.9</v>
      </c>
      <c r="AM474" s="3">
        <v>0.5</v>
      </c>
      <c r="AN474" s="3">
        <v>0.6</v>
      </c>
      <c r="AO474" s="3">
        <v>0.3</v>
      </c>
      <c r="AP474" s="6">
        <v>1027.5726320000001</v>
      </c>
      <c r="AQ474" s="3">
        <v>1.2999999999999999E-2</v>
      </c>
      <c r="AS474" s="3" t="s">
        <v>267</v>
      </c>
      <c r="AT474" s="3">
        <v>0.86</v>
      </c>
      <c r="AU474" s="7">
        <v>1190.036255</v>
      </c>
      <c r="AV474" s="3">
        <v>1E-3</v>
      </c>
      <c r="AW474" s="3">
        <f t="shared" si="54"/>
        <v>0.57999999999999996</v>
      </c>
      <c r="AX474" s="5"/>
      <c r="AY474" s="5"/>
      <c r="AZ474" s="5"/>
      <c r="BA474" s="5"/>
      <c r="BB474" s="1"/>
      <c r="BC474" s="3" t="s">
        <v>267</v>
      </c>
      <c r="BD474" s="3">
        <v>0.9</v>
      </c>
      <c r="BE474" s="3">
        <v>0.5</v>
      </c>
      <c r="BF474" s="3">
        <v>0.6</v>
      </c>
      <c r="BG474" s="3">
        <v>0.3</v>
      </c>
      <c r="BH474" s="7">
        <v>988.90533400000004</v>
      </c>
      <c r="BI474" s="3">
        <v>1.2E-2</v>
      </c>
      <c r="BK474" s="3" t="s">
        <v>267</v>
      </c>
      <c r="BL474" s="3">
        <v>7.0000000000000007E-2</v>
      </c>
      <c r="BM474" s="6">
        <v>832.82647699999995</v>
      </c>
      <c r="BN474" s="3">
        <v>0</v>
      </c>
      <c r="BO474" s="3">
        <f t="shared" si="55"/>
        <v>0.185</v>
      </c>
    </row>
    <row r="475" spans="1:71" x14ac:dyDescent="0.3">
      <c r="A475" s="3" t="s">
        <v>268</v>
      </c>
      <c r="B475" s="3">
        <v>0.9</v>
      </c>
      <c r="C475" s="3">
        <v>0.5</v>
      </c>
      <c r="D475" s="3">
        <v>0.6</v>
      </c>
      <c r="E475" s="3">
        <v>0.3</v>
      </c>
      <c r="F475" s="6">
        <v>712.04998799999998</v>
      </c>
      <c r="G475" s="3">
        <v>2E-3</v>
      </c>
      <c r="I475" s="3" t="s">
        <v>268</v>
      </c>
      <c r="J475" s="3">
        <v>0.8</v>
      </c>
      <c r="K475" s="7">
        <v>781.60247800000002</v>
      </c>
      <c r="L475" s="3">
        <v>0</v>
      </c>
      <c r="M475" s="3">
        <f t="shared" si="52"/>
        <v>0.55000000000000004</v>
      </c>
      <c r="N475" s="5"/>
      <c r="O475" s="5"/>
      <c r="P475" s="5"/>
      <c r="Q475" s="5"/>
      <c r="R475" s="1"/>
      <c r="S475" s="3" t="s">
        <v>268</v>
      </c>
      <c r="T475" s="3">
        <v>0.9</v>
      </c>
      <c r="U475" s="3">
        <v>0.5</v>
      </c>
      <c r="V475" s="3">
        <v>0.6</v>
      </c>
      <c r="W475" s="3">
        <v>0.3</v>
      </c>
      <c r="X475" s="6">
        <v>690.87085000000002</v>
      </c>
      <c r="Y475" s="3">
        <v>4.0000000000000001E-3</v>
      </c>
      <c r="AA475" s="3" t="s">
        <v>268</v>
      </c>
      <c r="AB475" s="3">
        <v>0.61</v>
      </c>
      <c r="AC475" s="7">
        <v>729.81359899999995</v>
      </c>
      <c r="AD475" s="3">
        <v>0</v>
      </c>
      <c r="AE475" s="3">
        <f t="shared" si="53"/>
        <v>0.45499999999999996</v>
      </c>
      <c r="AF475" s="5"/>
      <c r="AG475" s="5"/>
      <c r="AH475" s="5"/>
      <c r="AI475" s="5"/>
      <c r="AJ475" s="1"/>
      <c r="AK475" s="3" t="s">
        <v>269</v>
      </c>
      <c r="AL475" s="3">
        <v>0.9</v>
      </c>
      <c r="AM475" s="3">
        <v>0.5</v>
      </c>
      <c r="AN475" s="3">
        <v>0.6</v>
      </c>
      <c r="AO475" s="3">
        <v>0.3</v>
      </c>
      <c r="AP475" s="6">
        <v>969.58935499999995</v>
      </c>
      <c r="AQ475" s="3">
        <v>8.9999999999999993E-3</v>
      </c>
      <c r="AS475" s="3" t="s">
        <v>269</v>
      </c>
      <c r="AT475" s="3">
        <v>0.84</v>
      </c>
      <c r="AU475" s="7">
        <v>1122.123047</v>
      </c>
      <c r="AV475" s="3">
        <v>1E-3</v>
      </c>
      <c r="AW475" s="3">
        <f t="shared" si="54"/>
        <v>0.56999999999999995</v>
      </c>
      <c r="AX475" s="5"/>
      <c r="AY475" s="5"/>
      <c r="AZ475" s="5"/>
      <c r="BA475" s="5"/>
      <c r="BB475" s="1"/>
      <c r="BC475" s="3" t="s">
        <v>269</v>
      </c>
      <c r="BD475" s="3">
        <v>0.9</v>
      </c>
      <c r="BE475" s="3">
        <v>0.5</v>
      </c>
      <c r="BF475" s="3">
        <v>0.6</v>
      </c>
      <c r="BG475" s="3">
        <v>0.3</v>
      </c>
      <c r="BH475" s="7">
        <v>949.79840100000001</v>
      </c>
      <c r="BI475" s="3">
        <v>1.2999999999999999E-2</v>
      </c>
      <c r="BK475" s="3" t="s">
        <v>269</v>
      </c>
      <c r="BL475" s="3">
        <v>0.32</v>
      </c>
      <c r="BM475" s="6">
        <v>948.34729000000004</v>
      </c>
      <c r="BN475" s="3">
        <v>1E-3</v>
      </c>
      <c r="BO475" s="3">
        <f t="shared" si="55"/>
        <v>0.31</v>
      </c>
    </row>
    <row r="476" spans="1:71" x14ac:dyDescent="0.3">
      <c r="A476" s="3" t="s">
        <v>270</v>
      </c>
      <c r="B476" s="3">
        <v>0.9</v>
      </c>
      <c r="C476" s="3">
        <v>0.5</v>
      </c>
      <c r="D476" s="3">
        <v>0.6</v>
      </c>
      <c r="E476" s="3">
        <v>0.3</v>
      </c>
      <c r="F476" s="6">
        <v>622.64617899999996</v>
      </c>
      <c r="G476" s="3">
        <v>3.0000000000000001E-3</v>
      </c>
      <c r="I476" s="3" t="s">
        <v>270</v>
      </c>
      <c r="J476" s="3">
        <v>0.55000000000000004</v>
      </c>
      <c r="K476" s="7">
        <v>665.908142</v>
      </c>
      <c r="L476" s="3">
        <v>0</v>
      </c>
      <c r="M476" s="3">
        <f t="shared" si="52"/>
        <v>0.42500000000000004</v>
      </c>
      <c r="N476" s="5"/>
      <c r="O476" s="5"/>
      <c r="P476" s="5"/>
      <c r="Q476" s="5"/>
      <c r="R476" s="1"/>
      <c r="S476" s="3" t="s">
        <v>270</v>
      </c>
      <c r="T476" s="3">
        <v>0.9</v>
      </c>
      <c r="U476" s="3">
        <v>0.5</v>
      </c>
      <c r="V476" s="3">
        <v>0.6</v>
      </c>
      <c r="W476" s="3">
        <v>0.3</v>
      </c>
      <c r="X476" s="6">
        <v>581.98962400000005</v>
      </c>
      <c r="Y476" s="3">
        <v>3.0000000000000001E-3</v>
      </c>
      <c r="AA476" s="3" t="s">
        <v>270</v>
      </c>
      <c r="AB476" s="3">
        <v>0.73</v>
      </c>
      <c r="AC476" s="7">
        <v>653.27301</v>
      </c>
      <c r="AD476" s="3">
        <v>0</v>
      </c>
      <c r="AE476" s="3">
        <f t="shared" si="53"/>
        <v>0.51500000000000001</v>
      </c>
      <c r="AF476" s="5"/>
      <c r="AG476" s="5"/>
      <c r="AH476" s="5"/>
      <c r="AI476" s="5"/>
      <c r="AJ476" s="1"/>
      <c r="AK476" s="3" t="s">
        <v>271</v>
      </c>
      <c r="AL476" s="3">
        <v>0.9</v>
      </c>
      <c r="AM476" s="3">
        <v>0.5</v>
      </c>
      <c r="AN476" s="3">
        <v>0.6</v>
      </c>
      <c r="AO476" s="3">
        <v>0.3</v>
      </c>
      <c r="AP476" s="7">
        <v>986.65966800000001</v>
      </c>
      <c r="AQ476" s="3">
        <v>1.2E-2</v>
      </c>
      <c r="AS476" s="3" t="s">
        <v>271</v>
      </c>
      <c r="AT476" s="3">
        <v>0.13</v>
      </c>
      <c r="AU476" s="6">
        <v>854.24047900000005</v>
      </c>
      <c r="AV476" s="3">
        <v>1E-3</v>
      </c>
      <c r="AW476" s="3">
        <f t="shared" si="54"/>
        <v>0.215</v>
      </c>
      <c r="AX476" s="5"/>
      <c r="AY476" s="5"/>
      <c r="AZ476" s="5"/>
      <c r="BA476" s="5"/>
      <c r="BB476" s="1"/>
      <c r="BC476" s="3" t="s">
        <v>271</v>
      </c>
      <c r="BD476" s="3">
        <v>0.9</v>
      </c>
      <c r="BE476" s="3">
        <v>0.5</v>
      </c>
      <c r="BF476" s="3">
        <v>0.6</v>
      </c>
      <c r="BG476" s="3">
        <v>0.3</v>
      </c>
      <c r="BH476" s="6">
        <v>952.22113000000002</v>
      </c>
      <c r="BI476" s="3">
        <v>1.6E-2</v>
      </c>
      <c r="BK476" s="3" t="s">
        <v>271</v>
      </c>
      <c r="BL476" s="3">
        <v>0.88</v>
      </c>
      <c r="BM476" s="7">
        <v>1105.5269780000001</v>
      </c>
      <c r="BN476" s="3">
        <v>1E-3</v>
      </c>
      <c r="BO476" s="3">
        <f t="shared" si="55"/>
        <v>0.59</v>
      </c>
    </row>
    <row r="477" spans="1:71" x14ac:dyDescent="0.3">
      <c r="A477" s="3" t="s">
        <v>272</v>
      </c>
      <c r="B477" s="3">
        <v>0.9</v>
      </c>
      <c r="C477" s="3">
        <v>0.5</v>
      </c>
      <c r="D477" s="3">
        <v>0.6</v>
      </c>
      <c r="E477" s="3">
        <v>0.3</v>
      </c>
      <c r="F477" s="6">
        <v>755.72161900000003</v>
      </c>
      <c r="G477" s="3">
        <v>2E-3</v>
      </c>
      <c r="I477" s="3" t="s">
        <v>272</v>
      </c>
      <c r="J477" s="3">
        <v>0.76</v>
      </c>
      <c r="K477" s="7">
        <v>864.68841599999996</v>
      </c>
      <c r="L477" s="3">
        <v>0</v>
      </c>
      <c r="M477" s="3">
        <f t="shared" si="52"/>
        <v>0.53</v>
      </c>
      <c r="N477" s="5"/>
      <c r="O477" s="5"/>
      <c r="P477" s="5"/>
      <c r="Q477" s="5"/>
      <c r="R477" s="1"/>
      <c r="S477" s="3" t="s">
        <v>272</v>
      </c>
      <c r="T477" s="3">
        <v>0.9</v>
      </c>
      <c r="U477" s="3">
        <v>0.5</v>
      </c>
      <c r="V477" s="3">
        <v>0.6</v>
      </c>
      <c r="W477" s="3">
        <v>0.3</v>
      </c>
      <c r="X477" s="6">
        <v>756.42785600000002</v>
      </c>
      <c r="Y477" s="3">
        <v>7.0000000000000001E-3</v>
      </c>
      <c r="AA477" s="3" t="s">
        <v>272</v>
      </c>
      <c r="AB477" s="3">
        <v>0.94</v>
      </c>
      <c r="AC477" s="7">
        <v>865.08386199999995</v>
      </c>
      <c r="AD477" s="3">
        <v>0</v>
      </c>
      <c r="AE477" s="3">
        <f t="shared" si="53"/>
        <v>0.62</v>
      </c>
      <c r="AF477" s="5"/>
      <c r="AG477" s="5"/>
      <c r="AH477" s="5"/>
      <c r="AI477" s="5"/>
      <c r="AJ477" s="1"/>
      <c r="AK477" s="3" t="s">
        <v>273</v>
      </c>
      <c r="AL477" s="3">
        <v>0.9</v>
      </c>
      <c r="AM477" s="3">
        <v>0.5</v>
      </c>
      <c r="AN477" s="3">
        <v>0.6</v>
      </c>
      <c r="AO477" s="3">
        <v>0.3</v>
      </c>
      <c r="AP477" s="6">
        <v>1018.851196</v>
      </c>
      <c r="AQ477" s="3">
        <v>1.2999999999999999E-2</v>
      </c>
      <c r="AS477" s="3" t="s">
        <v>273</v>
      </c>
      <c r="AT477" s="3">
        <v>0.81</v>
      </c>
      <c r="AU477" s="7">
        <v>1188.1507570000001</v>
      </c>
      <c r="AV477" s="3">
        <v>2E-3</v>
      </c>
      <c r="AW477" s="3">
        <f t="shared" si="54"/>
        <v>0.55500000000000005</v>
      </c>
      <c r="AX477" s="5"/>
      <c r="AY477" s="5"/>
      <c r="AZ477" s="5"/>
      <c r="BA477" s="5"/>
      <c r="BB477" s="1"/>
      <c r="BC477" s="3" t="s">
        <v>273</v>
      </c>
      <c r="BD477" s="3">
        <v>0.9</v>
      </c>
      <c r="BE477" s="3">
        <v>0.5</v>
      </c>
      <c r="BF477" s="3">
        <v>0.6</v>
      </c>
      <c r="BG477" s="3">
        <v>0.3</v>
      </c>
      <c r="BH477" s="6">
        <v>989.233521</v>
      </c>
      <c r="BI477" s="3">
        <v>1.2999999999999999E-2</v>
      </c>
      <c r="BK477" s="3" t="s">
        <v>273</v>
      </c>
      <c r="BL477" s="3">
        <v>0.73</v>
      </c>
      <c r="BM477" s="7">
        <v>1119.557129</v>
      </c>
      <c r="BN477" s="3">
        <v>1E-3</v>
      </c>
      <c r="BO477" s="3">
        <f t="shared" si="55"/>
        <v>0.51500000000000001</v>
      </c>
    </row>
    <row r="478" spans="1:71" x14ac:dyDescent="0.3">
      <c r="A478" s="3" t="s">
        <v>274</v>
      </c>
      <c r="B478" s="3">
        <v>0.9</v>
      </c>
      <c r="C478" s="3">
        <v>0.5</v>
      </c>
      <c r="D478" s="3">
        <v>0.6</v>
      </c>
      <c r="E478" s="3">
        <v>0.3</v>
      </c>
      <c r="F478" s="7">
        <v>796.67962599999998</v>
      </c>
      <c r="G478" s="3">
        <v>3.0000000000000001E-3</v>
      </c>
      <c r="I478" s="3" t="s">
        <v>274</v>
      </c>
      <c r="J478" s="3">
        <v>0.26</v>
      </c>
      <c r="K478" s="6">
        <v>782.54437299999995</v>
      </c>
      <c r="L478" s="3">
        <v>1E-3</v>
      </c>
      <c r="M478" s="3">
        <f t="shared" si="52"/>
        <v>0.28000000000000003</v>
      </c>
      <c r="N478" s="5"/>
      <c r="O478" s="5"/>
      <c r="P478" s="5"/>
      <c r="Q478" s="5"/>
      <c r="R478" s="1"/>
      <c r="S478" s="3" t="s">
        <v>274</v>
      </c>
      <c r="T478" s="3">
        <v>0.9</v>
      </c>
      <c r="U478" s="3">
        <v>0.5</v>
      </c>
      <c r="V478" s="3">
        <v>0.6</v>
      </c>
      <c r="W478" s="3">
        <v>0.3</v>
      </c>
      <c r="X478" s="7">
        <v>813.49890100000005</v>
      </c>
      <c r="Y478" s="3">
        <v>4.0000000000000001E-3</v>
      </c>
      <c r="AA478" s="3" t="s">
        <v>274</v>
      </c>
      <c r="AB478" s="3">
        <v>0.25</v>
      </c>
      <c r="AC478" s="6">
        <v>768.68554700000004</v>
      </c>
      <c r="AD478" s="3">
        <v>1E-3</v>
      </c>
      <c r="AE478" s="3">
        <f t="shared" si="53"/>
        <v>0.27500000000000002</v>
      </c>
      <c r="AF478" s="5"/>
      <c r="AG478" s="5"/>
      <c r="AH478" s="5"/>
      <c r="AI478" s="5"/>
      <c r="AJ478" s="1"/>
      <c r="AK478" s="3" t="s">
        <v>275</v>
      </c>
      <c r="AL478" s="3">
        <v>0.9</v>
      </c>
      <c r="AM478" s="3">
        <v>0.5</v>
      </c>
      <c r="AN478" s="3">
        <v>0.6</v>
      </c>
      <c r="AO478" s="3">
        <v>0.3</v>
      </c>
      <c r="AP478" s="6">
        <v>1099.8032229999999</v>
      </c>
      <c r="AQ478" s="3">
        <v>1.0999999999999999E-2</v>
      </c>
      <c r="AS478" s="3" t="s">
        <v>275</v>
      </c>
      <c r="AT478" s="3">
        <v>0.89</v>
      </c>
      <c r="AU478" s="7">
        <v>1350.3238530000001</v>
      </c>
      <c r="AV478" s="3">
        <v>2E-3</v>
      </c>
      <c r="AW478" s="3">
        <f t="shared" si="54"/>
        <v>0.59499999999999997</v>
      </c>
      <c r="AX478" s="5"/>
      <c r="AY478" s="5"/>
      <c r="AZ478" s="5"/>
      <c r="BA478" s="5"/>
      <c r="BB478" s="1"/>
      <c r="BC478" s="3" t="s">
        <v>275</v>
      </c>
      <c r="BD478" s="3">
        <v>0.9</v>
      </c>
      <c r="BE478" s="3">
        <v>0.5</v>
      </c>
      <c r="BF478" s="3">
        <v>0.6</v>
      </c>
      <c r="BG478" s="3">
        <v>0.3</v>
      </c>
      <c r="BH478" s="7">
        <v>1084.2973629999999</v>
      </c>
      <c r="BI478" s="3">
        <v>1.2999999999999999E-2</v>
      </c>
      <c r="BK478" s="3" t="s">
        <v>275</v>
      </c>
      <c r="BL478" s="3">
        <v>0.21</v>
      </c>
      <c r="BM478" s="6">
        <v>1038.330811</v>
      </c>
      <c r="BN478" s="3">
        <v>1E-3</v>
      </c>
      <c r="BO478" s="3">
        <f t="shared" si="55"/>
        <v>0.255</v>
      </c>
    </row>
    <row r="479" spans="1:71" x14ac:dyDescent="0.3">
      <c r="A479" s="3" t="s">
        <v>276</v>
      </c>
      <c r="B479" s="3">
        <v>0.9</v>
      </c>
      <c r="C479" s="3">
        <v>0.5</v>
      </c>
      <c r="D479" s="3">
        <v>0.6</v>
      </c>
      <c r="E479" s="3">
        <v>0.3</v>
      </c>
      <c r="F479" s="6">
        <v>690.06048599999997</v>
      </c>
      <c r="G479" s="3">
        <v>3.0000000000000001E-3</v>
      </c>
      <c r="I479" s="3" t="s">
        <v>276</v>
      </c>
      <c r="J479" s="3">
        <v>0.38</v>
      </c>
      <c r="K479" s="7">
        <v>717.59631300000001</v>
      </c>
      <c r="L479" s="3">
        <v>0</v>
      </c>
      <c r="M479" s="3">
        <f t="shared" si="52"/>
        <v>0.33999999999999997</v>
      </c>
      <c r="N479" s="5"/>
      <c r="O479" s="5"/>
      <c r="P479" s="5"/>
      <c r="Q479" s="5"/>
      <c r="R479" s="1"/>
      <c r="S479" s="3" t="s">
        <v>276</v>
      </c>
      <c r="T479" s="3">
        <v>0.9</v>
      </c>
      <c r="U479" s="3">
        <v>0.5</v>
      </c>
      <c r="V479" s="3">
        <v>0.6</v>
      </c>
      <c r="W479" s="3">
        <v>0.3</v>
      </c>
      <c r="X479" s="7">
        <v>687.54638699999998</v>
      </c>
      <c r="Y479" s="3">
        <v>4.0000000000000001E-3</v>
      </c>
      <c r="AA479" s="3" t="s">
        <v>276</v>
      </c>
      <c r="AB479" s="3">
        <v>0.03</v>
      </c>
      <c r="AC479" s="6">
        <v>626.84130900000002</v>
      </c>
      <c r="AD479" s="3">
        <v>0</v>
      </c>
      <c r="AE479" s="3">
        <f t="shared" si="53"/>
        <v>0.16499999999999998</v>
      </c>
      <c r="AF479" s="5"/>
      <c r="AG479" s="5"/>
      <c r="AH479" s="5"/>
      <c r="AI479" s="5"/>
      <c r="AJ479" s="1"/>
      <c r="AK479" s="3" t="s">
        <v>277</v>
      </c>
      <c r="AL479" s="3">
        <v>0.9</v>
      </c>
      <c r="AM479" s="3">
        <v>0.5</v>
      </c>
      <c r="AN479" s="3">
        <v>0.6</v>
      </c>
      <c r="AO479" s="3">
        <v>0.3</v>
      </c>
      <c r="AP479" s="7">
        <v>1019.437134</v>
      </c>
      <c r="AQ479" s="3">
        <v>8.9999999999999993E-3</v>
      </c>
      <c r="AS479" s="3" t="s">
        <v>277</v>
      </c>
      <c r="AT479" s="3">
        <v>0.08</v>
      </c>
      <c r="AU479" s="6">
        <v>828.81841999999995</v>
      </c>
      <c r="AV479" s="3">
        <v>1E-3</v>
      </c>
      <c r="AW479" s="3">
        <f t="shared" si="54"/>
        <v>0.19</v>
      </c>
      <c r="AX479" s="5"/>
      <c r="AY479" s="5"/>
      <c r="AZ479" s="5"/>
      <c r="BA479" s="5"/>
      <c r="BB479" s="1"/>
      <c r="BC479" s="3" t="s">
        <v>277</v>
      </c>
      <c r="BD479" s="3">
        <v>0.9</v>
      </c>
      <c r="BE479" s="3">
        <v>0.5</v>
      </c>
      <c r="BF479" s="3">
        <v>0.6</v>
      </c>
      <c r="BG479" s="3">
        <v>0.3</v>
      </c>
      <c r="BH479" s="7">
        <v>978.41937299999995</v>
      </c>
      <c r="BI479" s="3">
        <v>1.2E-2</v>
      </c>
      <c r="BK479" s="3" t="s">
        <v>277</v>
      </c>
      <c r="BL479" s="3">
        <v>7.0000000000000007E-2</v>
      </c>
      <c r="BM479" s="6">
        <v>788.81878700000004</v>
      </c>
      <c r="BN479" s="3">
        <v>1E-3</v>
      </c>
      <c r="BO479" s="3">
        <f t="shared" si="55"/>
        <v>0.185</v>
      </c>
    </row>
    <row r="480" spans="1:71" x14ac:dyDescent="0.3">
      <c r="A480" s="3" t="s">
        <v>278</v>
      </c>
      <c r="B480" s="3">
        <v>0.9</v>
      </c>
      <c r="C480" s="3">
        <v>0.5</v>
      </c>
      <c r="D480" s="3">
        <v>0.6</v>
      </c>
      <c r="E480" s="3">
        <v>0.3</v>
      </c>
      <c r="F480" s="7">
        <v>657.08612100000005</v>
      </c>
      <c r="G480" s="3">
        <v>2E-3</v>
      </c>
      <c r="I480" s="3" t="s">
        <v>278</v>
      </c>
      <c r="J480" s="3">
        <v>0.1</v>
      </c>
      <c r="K480" s="6">
        <v>589.83880599999998</v>
      </c>
      <c r="L480" s="3">
        <v>1E-3</v>
      </c>
      <c r="M480" s="3">
        <f t="shared" si="52"/>
        <v>0.2</v>
      </c>
      <c r="N480" s="5"/>
      <c r="O480" s="5"/>
      <c r="P480" s="5"/>
      <c r="Q480" s="5"/>
      <c r="R480" s="1"/>
      <c r="S480" s="3" t="s">
        <v>278</v>
      </c>
      <c r="T480" s="3">
        <v>0.9</v>
      </c>
      <c r="U480" s="3">
        <v>0.5</v>
      </c>
      <c r="V480" s="3">
        <v>0.6</v>
      </c>
      <c r="W480" s="3">
        <v>0.3</v>
      </c>
      <c r="X480" s="6">
        <v>645.84277299999997</v>
      </c>
      <c r="Y480" s="3">
        <v>3.0000000000000001E-3</v>
      </c>
      <c r="AA480" s="3" t="s">
        <v>278</v>
      </c>
      <c r="AB480" s="3">
        <v>0.34</v>
      </c>
      <c r="AC480" s="7">
        <v>653.58972200000005</v>
      </c>
      <c r="AD480" s="3">
        <v>0</v>
      </c>
      <c r="AE480" s="3">
        <f t="shared" si="53"/>
        <v>0.32</v>
      </c>
      <c r="AF480" s="5"/>
      <c r="AG480" s="5"/>
      <c r="AH480" s="5"/>
      <c r="AI480" s="5"/>
      <c r="AJ480" s="1"/>
      <c r="AK480" s="3" t="s">
        <v>279</v>
      </c>
      <c r="AL480" s="3">
        <v>0.9</v>
      </c>
      <c r="AM480" s="3">
        <v>0.5</v>
      </c>
      <c r="AN480" s="3">
        <v>0.6</v>
      </c>
      <c r="AO480" s="3">
        <v>0.3</v>
      </c>
      <c r="AP480" s="6">
        <v>1127.593384</v>
      </c>
      <c r="AQ480" s="3">
        <v>8.9999999999999993E-3</v>
      </c>
      <c r="AS480" s="3" t="s">
        <v>279</v>
      </c>
      <c r="AT480" s="3">
        <v>0.44</v>
      </c>
      <c r="AU480" s="7">
        <v>1187.2607419999999</v>
      </c>
      <c r="AV480" s="3">
        <v>1E-3</v>
      </c>
      <c r="AW480" s="3">
        <f t="shared" si="54"/>
        <v>0.37</v>
      </c>
      <c r="AX480" s="5"/>
      <c r="AY480" s="5"/>
      <c r="AZ480" s="5"/>
      <c r="BA480" s="5"/>
      <c r="BB480" s="1"/>
      <c r="BC480" s="3" t="s">
        <v>279</v>
      </c>
      <c r="BD480" s="3">
        <v>0.9</v>
      </c>
      <c r="BE480" s="3">
        <v>0.5</v>
      </c>
      <c r="BF480" s="3">
        <v>0.6</v>
      </c>
      <c r="BG480" s="3">
        <v>0.3</v>
      </c>
      <c r="BH480" s="6">
        <v>1104.2052000000001</v>
      </c>
      <c r="BI480" s="3">
        <v>1.0999999999999999E-2</v>
      </c>
      <c r="BK480" s="3" t="s">
        <v>279</v>
      </c>
      <c r="BL480" s="3">
        <v>0.71</v>
      </c>
      <c r="BM480" s="7">
        <v>1275.6602780000001</v>
      </c>
      <c r="BN480" s="3">
        <v>1E-3</v>
      </c>
      <c r="BO480" s="3">
        <f t="shared" si="55"/>
        <v>0.505</v>
      </c>
    </row>
    <row r="481" spans="1:67" x14ac:dyDescent="0.3">
      <c r="A481" s="3" t="s">
        <v>280</v>
      </c>
      <c r="B481" s="3">
        <v>0.9</v>
      </c>
      <c r="C481" s="3">
        <v>0.5</v>
      </c>
      <c r="D481" s="3">
        <v>0.6</v>
      </c>
      <c r="E481" s="3">
        <v>0.3</v>
      </c>
      <c r="F481" s="6">
        <v>897.22430399999996</v>
      </c>
      <c r="G481" s="3">
        <v>3.0000000000000001E-3</v>
      </c>
      <c r="I481" s="3" t="s">
        <v>280</v>
      </c>
      <c r="J481" s="3">
        <v>0.84</v>
      </c>
      <c r="K481" s="7">
        <v>1014.384033</v>
      </c>
      <c r="L481" s="3">
        <v>1E-3</v>
      </c>
      <c r="M481" s="3">
        <f t="shared" si="52"/>
        <v>0.56999999999999995</v>
      </c>
      <c r="N481" s="5"/>
      <c r="O481" s="5"/>
      <c r="P481" s="5"/>
      <c r="Q481" s="5"/>
      <c r="R481" s="1"/>
      <c r="S481" s="3" t="s">
        <v>280</v>
      </c>
      <c r="T481" s="3">
        <v>0.9</v>
      </c>
      <c r="U481" s="3">
        <v>0.5</v>
      </c>
      <c r="V481" s="3">
        <v>0.6</v>
      </c>
      <c r="W481" s="3">
        <v>0.3</v>
      </c>
      <c r="X481" s="6">
        <v>875.97729500000003</v>
      </c>
      <c r="Y481" s="3">
        <v>3.0000000000000001E-3</v>
      </c>
      <c r="AA481" s="3" t="s">
        <v>280</v>
      </c>
      <c r="AB481" s="3">
        <v>0.56000000000000005</v>
      </c>
      <c r="AC481" s="7">
        <v>971.811646</v>
      </c>
      <c r="AD481" s="3">
        <v>1E-3</v>
      </c>
      <c r="AE481" s="3">
        <f t="shared" si="53"/>
        <v>0.43000000000000005</v>
      </c>
      <c r="AF481" s="5"/>
      <c r="AG481" s="5"/>
      <c r="AH481" s="5"/>
      <c r="AI481" s="5"/>
      <c r="AJ481" s="1"/>
      <c r="AK481" s="3" t="s">
        <v>281</v>
      </c>
      <c r="AL481" s="3">
        <v>0.9</v>
      </c>
      <c r="AM481" s="3">
        <v>0.5</v>
      </c>
      <c r="AN481" s="3">
        <v>0.6</v>
      </c>
      <c r="AO481" s="3">
        <v>0.3</v>
      </c>
      <c r="AP481" s="6">
        <v>1063.694702</v>
      </c>
      <c r="AQ481" s="3">
        <v>0.01</v>
      </c>
      <c r="AS481" s="3" t="s">
        <v>281</v>
      </c>
      <c r="AT481" s="3">
        <v>0.85</v>
      </c>
      <c r="AU481" s="7">
        <v>1337.338379</v>
      </c>
      <c r="AV481" s="3">
        <v>1E-3</v>
      </c>
      <c r="AW481" s="3">
        <f t="shared" si="54"/>
        <v>0.57499999999999996</v>
      </c>
      <c r="AX481" s="5"/>
      <c r="AY481" s="5"/>
      <c r="AZ481" s="5"/>
      <c r="BA481" s="5"/>
      <c r="BB481" s="1"/>
      <c r="BC481" s="3" t="s">
        <v>281</v>
      </c>
      <c r="BD481" s="3">
        <v>0.9</v>
      </c>
      <c r="BE481" s="3">
        <v>0.5</v>
      </c>
      <c r="BF481" s="3">
        <v>0.6</v>
      </c>
      <c r="BG481" s="3">
        <v>0.3</v>
      </c>
      <c r="BH481" s="6">
        <v>1052.3801269999999</v>
      </c>
      <c r="BI481" s="3">
        <v>1.0999999999999999E-2</v>
      </c>
      <c r="BK481" s="3" t="s">
        <v>281</v>
      </c>
      <c r="BL481" s="3">
        <v>0.89</v>
      </c>
      <c r="BM481" s="7">
        <v>1317.3801269999999</v>
      </c>
      <c r="BN481" s="3">
        <v>1E-3</v>
      </c>
      <c r="BO481" s="3">
        <f t="shared" si="55"/>
        <v>0.59499999999999997</v>
      </c>
    </row>
    <row r="482" spans="1:67" x14ac:dyDescent="0.3">
      <c r="A482" s="3" t="s">
        <v>282</v>
      </c>
      <c r="B482" s="3">
        <v>0.9</v>
      </c>
      <c r="C482" s="3">
        <v>0.5</v>
      </c>
      <c r="D482" s="3">
        <v>0.6</v>
      </c>
      <c r="E482" s="3">
        <v>0.3</v>
      </c>
      <c r="F482" s="6">
        <v>755.32135000000005</v>
      </c>
      <c r="G482" s="3">
        <v>3.0000000000000001E-3</v>
      </c>
      <c r="I482" s="3" t="s">
        <v>282</v>
      </c>
      <c r="J482" s="3">
        <v>0.52</v>
      </c>
      <c r="K482" s="7">
        <v>903.65826400000003</v>
      </c>
      <c r="L482" s="3">
        <v>0</v>
      </c>
      <c r="M482" s="3">
        <f t="shared" si="52"/>
        <v>0.41000000000000003</v>
      </c>
      <c r="N482" s="5"/>
      <c r="O482" s="5"/>
      <c r="P482" s="5"/>
      <c r="Q482" s="5"/>
      <c r="R482" s="1"/>
      <c r="S482" s="3" t="s">
        <v>282</v>
      </c>
      <c r="T482" s="3">
        <v>0.9</v>
      </c>
      <c r="U482" s="3">
        <v>0.5</v>
      </c>
      <c r="V482" s="3">
        <v>0.6</v>
      </c>
      <c r="W482" s="3">
        <v>0.3</v>
      </c>
      <c r="X482" s="6">
        <v>776.64282200000002</v>
      </c>
      <c r="Y482" s="3">
        <v>5.0000000000000001E-3</v>
      </c>
      <c r="AA482" s="3" t="s">
        <v>282</v>
      </c>
      <c r="AB482" s="3">
        <v>0.57999999999999996</v>
      </c>
      <c r="AC482" s="7">
        <v>915.57238800000005</v>
      </c>
      <c r="AD482" s="3">
        <v>1E-3</v>
      </c>
      <c r="AE482" s="3">
        <f t="shared" si="53"/>
        <v>0.43999999999999995</v>
      </c>
      <c r="AF482" s="5"/>
      <c r="AG482" s="5"/>
      <c r="AH482" s="5"/>
      <c r="AI482" s="5"/>
      <c r="AJ482" s="1"/>
      <c r="AK482" s="3" t="s">
        <v>283</v>
      </c>
      <c r="AL482" s="3">
        <v>0.9</v>
      </c>
      <c r="AM482" s="3">
        <v>0.5</v>
      </c>
      <c r="AN482" s="3">
        <v>0.6</v>
      </c>
      <c r="AO482" s="3">
        <v>0.3</v>
      </c>
      <c r="AP482" s="6">
        <v>1041.6770019999999</v>
      </c>
      <c r="AQ482" s="3">
        <v>0.01</v>
      </c>
      <c r="AS482" s="3" t="s">
        <v>283</v>
      </c>
      <c r="AT482" s="3">
        <v>0.41</v>
      </c>
      <c r="AU482" s="7">
        <v>1092.8043210000001</v>
      </c>
      <c r="AV482" s="3">
        <v>2E-3</v>
      </c>
      <c r="AW482" s="3">
        <f t="shared" si="54"/>
        <v>0.35499999999999998</v>
      </c>
      <c r="AX482" s="5"/>
      <c r="AY482" s="5"/>
      <c r="AZ482" s="5"/>
      <c r="BA482" s="5"/>
      <c r="BB482" s="1"/>
      <c r="BC482" s="3" t="s">
        <v>283</v>
      </c>
      <c r="BD482" s="3">
        <v>0.9</v>
      </c>
      <c r="BE482" s="3">
        <v>0.5</v>
      </c>
      <c r="BF482" s="3">
        <v>0.6</v>
      </c>
      <c r="BG482" s="3">
        <v>0.3</v>
      </c>
      <c r="BH482" s="6">
        <v>1011.2282709999999</v>
      </c>
      <c r="BI482" s="3">
        <v>0.01</v>
      </c>
      <c r="BK482" s="3" t="s">
        <v>283</v>
      </c>
      <c r="BL482" s="3">
        <v>0.85</v>
      </c>
      <c r="BM482" s="7">
        <v>1246.040405</v>
      </c>
      <c r="BN482" s="3">
        <v>1E-3</v>
      </c>
      <c r="BO482" s="3">
        <f t="shared" si="55"/>
        <v>0.57499999999999996</v>
      </c>
    </row>
    <row r="483" spans="1:67" x14ac:dyDescent="0.3">
      <c r="A483" s="3" t="s">
        <v>284</v>
      </c>
      <c r="B483" s="3">
        <v>0.9</v>
      </c>
      <c r="C483" s="3">
        <v>0.5</v>
      </c>
      <c r="D483" s="3">
        <v>0.6</v>
      </c>
      <c r="E483" s="3">
        <v>0.3</v>
      </c>
      <c r="F483" s="6">
        <v>853.20391800000004</v>
      </c>
      <c r="G483" s="3">
        <v>2E-3</v>
      </c>
      <c r="I483" s="3" t="s">
        <v>284</v>
      </c>
      <c r="J483" s="3">
        <v>0.45</v>
      </c>
      <c r="K483" s="7">
        <v>897.77636700000005</v>
      </c>
      <c r="L483" s="3">
        <v>1E-3</v>
      </c>
      <c r="M483" s="3">
        <f t="shared" si="52"/>
        <v>0.375</v>
      </c>
      <c r="N483" s="5"/>
      <c r="O483" s="5"/>
      <c r="P483" s="5"/>
      <c r="Q483" s="5"/>
      <c r="R483" s="1"/>
      <c r="S483" s="3" t="s">
        <v>284</v>
      </c>
      <c r="T483" s="3">
        <v>0.9</v>
      </c>
      <c r="U483" s="3">
        <v>0.5</v>
      </c>
      <c r="V483" s="3">
        <v>0.6</v>
      </c>
      <c r="W483" s="3">
        <v>0.3</v>
      </c>
      <c r="X483" s="6">
        <v>821.77722200000005</v>
      </c>
      <c r="Y483" s="3">
        <v>5.0000000000000001E-3</v>
      </c>
      <c r="AA483" s="3" t="s">
        <v>284</v>
      </c>
      <c r="AB483" s="3">
        <v>0.54</v>
      </c>
      <c r="AC483" s="7">
        <v>908.17120399999999</v>
      </c>
      <c r="AD483" s="3">
        <v>0</v>
      </c>
      <c r="AE483" s="3">
        <f t="shared" si="53"/>
        <v>0.42000000000000004</v>
      </c>
      <c r="AF483" s="5"/>
      <c r="AG483" s="5"/>
      <c r="AH483" s="5"/>
      <c r="AI483" s="5"/>
      <c r="AJ483" s="1"/>
      <c r="AK483" s="3" t="s">
        <v>285</v>
      </c>
      <c r="AL483" s="3">
        <v>0.9</v>
      </c>
      <c r="AM483" s="3">
        <v>0.5</v>
      </c>
      <c r="AN483" s="3">
        <v>0.6</v>
      </c>
      <c r="AO483" s="3">
        <v>0.3</v>
      </c>
      <c r="AP483" s="6">
        <v>1090.4702150000001</v>
      </c>
      <c r="AQ483" s="3">
        <v>8.9999999999999993E-3</v>
      </c>
      <c r="AS483" s="3" t="s">
        <v>285</v>
      </c>
      <c r="AT483" s="3">
        <v>0.46</v>
      </c>
      <c r="AU483" s="7">
        <v>1183.736938</v>
      </c>
      <c r="AV483" s="3">
        <v>1E-3</v>
      </c>
      <c r="AW483" s="3">
        <f t="shared" si="54"/>
        <v>0.38</v>
      </c>
      <c r="AX483" s="5"/>
      <c r="AY483" s="5"/>
      <c r="AZ483" s="5"/>
      <c r="BA483" s="5"/>
      <c r="BB483" s="1"/>
      <c r="BC483" s="3" t="s">
        <v>285</v>
      </c>
      <c r="BD483" s="3">
        <v>0.9</v>
      </c>
      <c r="BE483" s="3">
        <v>0.5</v>
      </c>
      <c r="BF483" s="3">
        <v>0.6</v>
      </c>
      <c r="BG483" s="3">
        <v>0.3</v>
      </c>
      <c r="BH483" s="7">
        <v>1098.073975</v>
      </c>
      <c r="BI483" s="3">
        <v>1.2E-2</v>
      </c>
      <c r="BK483" s="3" t="s">
        <v>285</v>
      </c>
      <c r="BL483" s="3">
        <v>0.26</v>
      </c>
      <c r="BM483" s="6">
        <v>1046.209106</v>
      </c>
      <c r="BN483" s="3">
        <v>1E-3</v>
      </c>
      <c r="BO483" s="3">
        <f t="shared" si="55"/>
        <v>0.28000000000000003</v>
      </c>
    </row>
    <row r="484" spans="1:67" x14ac:dyDescent="0.3">
      <c r="A484" s="3" t="s">
        <v>286</v>
      </c>
      <c r="B484" s="3">
        <v>0.9</v>
      </c>
      <c r="C484" s="3">
        <v>0.5</v>
      </c>
      <c r="D484" s="3">
        <v>0.6</v>
      </c>
      <c r="E484" s="3">
        <v>0.3</v>
      </c>
      <c r="F484" s="6">
        <v>710.39703399999996</v>
      </c>
      <c r="G484" s="3">
        <v>3.0000000000000001E-3</v>
      </c>
      <c r="I484" s="3" t="s">
        <v>286</v>
      </c>
      <c r="J484" s="3">
        <v>0.46</v>
      </c>
      <c r="K484" s="7">
        <v>758.59124799999995</v>
      </c>
      <c r="L484" s="3">
        <v>0</v>
      </c>
      <c r="M484" s="3">
        <f t="shared" si="52"/>
        <v>0.38</v>
      </c>
      <c r="N484" s="5"/>
      <c r="O484" s="5"/>
      <c r="P484" s="5"/>
      <c r="Q484" s="5"/>
      <c r="R484" s="1"/>
      <c r="S484" s="3" t="s">
        <v>286</v>
      </c>
      <c r="T484" s="3">
        <v>0.9</v>
      </c>
      <c r="U484" s="3">
        <v>0.5</v>
      </c>
      <c r="V484" s="3">
        <v>0.6</v>
      </c>
      <c r="W484" s="3">
        <v>0.3</v>
      </c>
      <c r="X484" s="7">
        <v>707.10632299999997</v>
      </c>
      <c r="Y484" s="3">
        <v>3.0000000000000001E-3</v>
      </c>
      <c r="AA484" s="3" t="s">
        <v>286</v>
      </c>
      <c r="AB484" s="3">
        <v>0.22</v>
      </c>
      <c r="AC484" s="6">
        <v>666.02362100000005</v>
      </c>
      <c r="AD484" s="3">
        <v>0</v>
      </c>
      <c r="AE484" s="3">
        <f t="shared" si="53"/>
        <v>0.26</v>
      </c>
      <c r="AF484" s="5"/>
      <c r="AG484" s="5"/>
      <c r="AH484" s="5"/>
      <c r="AI484" s="5"/>
      <c r="AJ484" s="1"/>
      <c r="AK484" s="3" t="s">
        <v>287</v>
      </c>
      <c r="AL484" s="3">
        <v>0.9</v>
      </c>
      <c r="AM484" s="3">
        <v>0.5</v>
      </c>
      <c r="AN484" s="3">
        <v>0.6</v>
      </c>
      <c r="AO484" s="3">
        <v>0.3</v>
      </c>
      <c r="AP484" s="6">
        <v>1034.433716</v>
      </c>
      <c r="AQ484" s="3">
        <v>1.0999999999999999E-2</v>
      </c>
      <c r="AS484" s="3" t="s">
        <v>287</v>
      </c>
      <c r="AT484" s="3">
        <v>0.76</v>
      </c>
      <c r="AU484" s="7">
        <v>1219.986572</v>
      </c>
      <c r="AV484" s="3">
        <v>1E-3</v>
      </c>
      <c r="AW484" s="3">
        <f t="shared" si="54"/>
        <v>0.53</v>
      </c>
      <c r="AX484" s="5"/>
      <c r="AY484" s="5"/>
      <c r="AZ484" s="5"/>
      <c r="BA484" s="5"/>
      <c r="BB484" s="1"/>
      <c r="BC484" s="3" t="s">
        <v>287</v>
      </c>
      <c r="BD484" s="3">
        <v>0.9</v>
      </c>
      <c r="BE484" s="3">
        <v>0.5</v>
      </c>
      <c r="BF484" s="3">
        <v>0.6</v>
      </c>
      <c r="BG484" s="3">
        <v>0.3</v>
      </c>
      <c r="BH484" s="7">
        <v>1002.749207</v>
      </c>
      <c r="BI484" s="3">
        <v>1.2999999999999999E-2</v>
      </c>
      <c r="BK484" s="3" t="s">
        <v>287</v>
      </c>
      <c r="BL484" s="3">
        <v>0.25</v>
      </c>
      <c r="BM484" s="6">
        <v>983.08136000000002</v>
      </c>
      <c r="BN484" s="3">
        <v>1E-3</v>
      </c>
      <c r="BO484" s="3">
        <f t="shared" si="55"/>
        <v>0.27500000000000002</v>
      </c>
    </row>
    <row r="485" spans="1:67" x14ac:dyDescent="0.3">
      <c r="A485" s="3" t="s">
        <v>288</v>
      </c>
      <c r="B485" s="3">
        <v>0.9</v>
      </c>
      <c r="C485" s="3">
        <v>0.5</v>
      </c>
      <c r="D485" s="3">
        <v>0.6</v>
      </c>
      <c r="E485" s="3">
        <v>0.3</v>
      </c>
      <c r="F485" s="7">
        <v>720.48278800000003</v>
      </c>
      <c r="G485" s="3">
        <v>3.0000000000000001E-3</v>
      </c>
      <c r="I485" s="3" t="s">
        <v>288</v>
      </c>
      <c r="J485" s="3">
        <v>7.0000000000000007E-2</v>
      </c>
      <c r="K485" s="6">
        <v>629.60968000000003</v>
      </c>
      <c r="L485" s="3">
        <v>0</v>
      </c>
      <c r="M485" s="3">
        <f t="shared" si="52"/>
        <v>0.185</v>
      </c>
      <c r="N485" s="5"/>
      <c r="O485" s="5"/>
      <c r="P485" s="5"/>
      <c r="Q485" s="5"/>
      <c r="R485" s="1"/>
      <c r="S485" s="3" t="s">
        <v>288</v>
      </c>
      <c r="T485" s="3">
        <v>0.9</v>
      </c>
      <c r="U485" s="3">
        <v>0.5</v>
      </c>
      <c r="V485" s="3">
        <v>0.6</v>
      </c>
      <c r="W485" s="3">
        <v>0.3</v>
      </c>
      <c r="X485" s="7">
        <v>692.97930899999994</v>
      </c>
      <c r="Y485" s="3">
        <v>3.0000000000000001E-3</v>
      </c>
      <c r="AA485" s="3" t="s">
        <v>288</v>
      </c>
      <c r="AB485" s="3">
        <v>0.27</v>
      </c>
      <c r="AC485" s="7">
        <v>688.81597899999997</v>
      </c>
      <c r="AD485" s="3">
        <v>0</v>
      </c>
      <c r="AE485" s="3">
        <f t="shared" si="53"/>
        <v>0.28500000000000003</v>
      </c>
      <c r="AF485" s="5"/>
      <c r="AG485" s="5"/>
      <c r="AH485" s="5"/>
      <c r="AI485" s="5"/>
      <c r="AJ485" s="1"/>
      <c r="AK485" s="3" t="s">
        <v>289</v>
      </c>
      <c r="AL485" s="3">
        <v>0.9</v>
      </c>
      <c r="AM485" s="3">
        <v>0.5</v>
      </c>
      <c r="AN485" s="3">
        <v>0.6</v>
      </c>
      <c r="AO485" s="3">
        <v>0.3</v>
      </c>
      <c r="AP485" s="6">
        <v>1087.1956789999999</v>
      </c>
      <c r="AQ485" s="3">
        <v>8.9999999999999993E-3</v>
      </c>
      <c r="AS485" s="3" t="s">
        <v>289</v>
      </c>
      <c r="AT485" s="3">
        <v>0.91</v>
      </c>
      <c r="AU485" s="7">
        <v>1419.265625</v>
      </c>
      <c r="AV485" s="3">
        <v>1E-3</v>
      </c>
      <c r="AW485" s="3">
        <f t="shared" si="54"/>
        <v>0.60499999999999998</v>
      </c>
      <c r="AX485" s="5"/>
      <c r="AY485" s="5"/>
      <c r="AZ485" s="5"/>
      <c r="BA485" s="5"/>
      <c r="BB485" s="1"/>
      <c r="BC485" s="3" t="s">
        <v>289</v>
      </c>
      <c r="BD485" s="3">
        <v>0.9</v>
      </c>
      <c r="BE485" s="3">
        <v>0.5</v>
      </c>
      <c r="BF485" s="3">
        <v>0.6</v>
      </c>
      <c r="BG485" s="3">
        <v>0.3</v>
      </c>
      <c r="BH485" s="7">
        <v>1085.960693</v>
      </c>
      <c r="BI485" s="3">
        <v>1.0999999999999999E-2</v>
      </c>
      <c r="BK485" s="3" t="s">
        <v>289</v>
      </c>
      <c r="BL485" s="3">
        <v>0.22</v>
      </c>
      <c r="BM485" s="6">
        <v>1015.408203</v>
      </c>
      <c r="BN485" s="3">
        <v>1E-3</v>
      </c>
      <c r="BO485" s="3">
        <f t="shared" si="55"/>
        <v>0.26</v>
      </c>
    </row>
    <row r="486" spans="1:67" x14ac:dyDescent="0.3">
      <c r="A486" s="3" t="s">
        <v>290</v>
      </c>
      <c r="B486" s="3">
        <v>0.9</v>
      </c>
      <c r="C486" s="3">
        <v>0.5</v>
      </c>
      <c r="D486" s="3">
        <v>0.6</v>
      </c>
      <c r="E486" s="3">
        <v>0.3</v>
      </c>
      <c r="F486" s="6">
        <v>713.62298599999997</v>
      </c>
      <c r="G486" s="3">
        <v>3.0000000000000001E-3</v>
      </c>
      <c r="I486" s="3" t="s">
        <v>290</v>
      </c>
      <c r="J486" s="3">
        <v>0.97</v>
      </c>
      <c r="K486" s="7">
        <v>921.15002400000003</v>
      </c>
      <c r="L486" s="3">
        <v>1E-3</v>
      </c>
      <c r="M486" s="3">
        <f t="shared" si="52"/>
        <v>0.63500000000000001</v>
      </c>
      <c r="N486" s="5"/>
      <c r="O486" s="5"/>
      <c r="P486" s="5"/>
      <c r="Q486" s="5"/>
      <c r="R486" s="1"/>
      <c r="S486" s="3" t="s">
        <v>290</v>
      </c>
      <c r="T486" s="3">
        <v>0.9</v>
      </c>
      <c r="U486" s="3">
        <v>0.5</v>
      </c>
      <c r="V486" s="3">
        <v>0.6</v>
      </c>
      <c r="W486" s="3">
        <v>0.3</v>
      </c>
      <c r="X486" s="6">
        <v>708.43353300000001</v>
      </c>
      <c r="Y486" s="3">
        <v>3.0000000000000001E-3</v>
      </c>
      <c r="AA486" s="3" t="s">
        <v>290</v>
      </c>
      <c r="AB486" s="3">
        <v>0.89</v>
      </c>
      <c r="AC486" s="6">
        <v>886.84082000000001</v>
      </c>
      <c r="AD486" s="3">
        <v>0</v>
      </c>
      <c r="AE486" s="3">
        <f t="shared" si="53"/>
        <v>0.59499999999999997</v>
      </c>
      <c r="AF486" s="5"/>
      <c r="AG486" s="5"/>
      <c r="AH486" s="5"/>
      <c r="AI486" s="5"/>
      <c r="AJ486" s="1"/>
      <c r="AK486" s="3" t="s">
        <v>291</v>
      </c>
      <c r="AL486" s="3">
        <v>0.9</v>
      </c>
      <c r="AM486" s="3">
        <v>0.5</v>
      </c>
      <c r="AN486" s="3">
        <v>0.6</v>
      </c>
      <c r="AO486" s="3">
        <v>0.3</v>
      </c>
      <c r="AP486" s="6">
        <v>1058.1832280000001</v>
      </c>
      <c r="AQ486" s="3">
        <v>0.01</v>
      </c>
      <c r="AS486" s="3" t="s">
        <v>291</v>
      </c>
      <c r="AT486" s="3">
        <v>0.54</v>
      </c>
      <c r="AU486" s="7">
        <v>1166.1561280000001</v>
      </c>
      <c r="AV486" s="3">
        <v>1E-3</v>
      </c>
      <c r="AW486" s="3">
        <f t="shared" si="54"/>
        <v>0.42000000000000004</v>
      </c>
      <c r="AX486" s="5"/>
      <c r="AY486" s="5"/>
      <c r="AZ486" s="5"/>
      <c r="BA486" s="5"/>
      <c r="BB486" s="1"/>
      <c r="BC486" s="3" t="s">
        <v>291</v>
      </c>
      <c r="BD486" s="3">
        <v>0.9</v>
      </c>
      <c r="BE486" s="3">
        <v>0.5</v>
      </c>
      <c r="BF486" s="3">
        <v>0.6</v>
      </c>
      <c r="BG486" s="3">
        <v>0.3</v>
      </c>
      <c r="BH486" s="7">
        <v>1027.645264</v>
      </c>
      <c r="BI486" s="3">
        <v>1.0999999999999999E-2</v>
      </c>
      <c r="BK486" s="3" t="s">
        <v>291</v>
      </c>
      <c r="BL486" s="3">
        <v>0.04</v>
      </c>
      <c r="BM486" s="6">
        <v>807.303223</v>
      </c>
      <c r="BN486" s="3">
        <v>1E-3</v>
      </c>
      <c r="BO486" s="3">
        <f t="shared" si="55"/>
        <v>0.16999999999999998</v>
      </c>
    </row>
    <row r="487" spans="1:67" x14ac:dyDescent="0.3">
      <c r="A487" s="3" t="s">
        <v>292</v>
      </c>
      <c r="B487" s="3">
        <v>0.9</v>
      </c>
      <c r="C487" s="3">
        <v>0.5</v>
      </c>
      <c r="D487" s="3">
        <v>0.6</v>
      </c>
      <c r="E487" s="3">
        <v>0.3</v>
      </c>
      <c r="F487" s="6">
        <v>774.61560099999997</v>
      </c>
      <c r="G487" s="3">
        <v>3.0000000000000001E-3</v>
      </c>
      <c r="I487" s="3" t="s">
        <v>292</v>
      </c>
      <c r="J487" s="3">
        <v>0.53</v>
      </c>
      <c r="K487" s="7">
        <v>889.908142</v>
      </c>
      <c r="L487" s="3">
        <v>0</v>
      </c>
      <c r="M487" s="3">
        <f t="shared" si="52"/>
        <v>0.41500000000000004</v>
      </c>
      <c r="N487" s="5"/>
      <c r="O487" s="5"/>
      <c r="P487" s="5"/>
      <c r="Q487" s="5"/>
      <c r="R487" s="1"/>
      <c r="S487" s="3" t="s">
        <v>292</v>
      </c>
      <c r="T487" s="3">
        <v>0.9</v>
      </c>
      <c r="U487" s="3">
        <v>0.5</v>
      </c>
      <c r="V487" s="3">
        <v>0.6</v>
      </c>
      <c r="W487" s="3">
        <v>0.3</v>
      </c>
      <c r="X487" s="6">
        <v>758.36389199999996</v>
      </c>
      <c r="Y487" s="3">
        <v>3.0000000000000001E-3</v>
      </c>
      <c r="AA487" s="3" t="s">
        <v>292</v>
      </c>
      <c r="AB487" s="3">
        <v>0.54</v>
      </c>
      <c r="AC487" s="7">
        <v>874.10546899999997</v>
      </c>
      <c r="AD487" s="3">
        <v>0</v>
      </c>
      <c r="AE487" s="3">
        <f t="shared" si="53"/>
        <v>0.42000000000000004</v>
      </c>
      <c r="AF487" s="5"/>
      <c r="AG487" s="5"/>
      <c r="AH487" s="5"/>
      <c r="AI487" s="5"/>
      <c r="AJ487" s="1"/>
      <c r="AK487" s="3" t="s">
        <v>293</v>
      </c>
      <c r="AL487" s="3">
        <v>0.9</v>
      </c>
      <c r="AM487" s="3">
        <v>0.5</v>
      </c>
      <c r="AN487" s="3">
        <v>0.6</v>
      </c>
      <c r="AO487" s="3">
        <v>0.3</v>
      </c>
      <c r="AP487" s="6">
        <v>1105.636841</v>
      </c>
      <c r="AQ487" s="3">
        <v>1.2E-2</v>
      </c>
      <c r="AS487" s="3" t="s">
        <v>293</v>
      </c>
      <c r="AT487" s="3">
        <v>0.88</v>
      </c>
      <c r="AU487" s="7">
        <v>1386.37085</v>
      </c>
      <c r="AV487" s="3">
        <v>1E-3</v>
      </c>
      <c r="AW487" s="3">
        <f t="shared" si="54"/>
        <v>0.59</v>
      </c>
      <c r="AX487" s="5"/>
      <c r="AY487" s="5"/>
      <c r="AZ487" s="5"/>
      <c r="BA487" s="5"/>
      <c r="BB487" s="1"/>
      <c r="BC487" s="3" t="s">
        <v>293</v>
      </c>
      <c r="BD487" s="3">
        <v>0.9</v>
      </c>
      <c r="BE487" s="3">
        <v>0.5</v>
      </c>
      <c r="BF487" s="3">
        <v>0.6</v>
      </c>
      <c r="BG487" s="3">
        <v>0.3</v>
      </c>
      <c r="BH487" s="7">
        <v>1096.2033690000001</v>
      </c>
      <c r="BI487" s="3">
        <v>1.0999999999999999E-2</v>
      </c>
      <c r="BK487" s="3" t="s">
        <v>293</v>
      </c>
      <c r="BL487" s="3">
        <v>0.3</v>
      </c>
      <c r="BM487" s="6">
        <v>1067.9766850000001</v>
      </c>
      <c r="BN487" s="3">
        <v>1E-3</v>
      </c>
      <c r="BO487" s="3">
        <f t="shared" si="55"/>
        <v>0.3</v>
      </c>
    </row>
    <row r="488" spans="1:67" x14ac:dyDescent="0.3">
      <c r="A488" s="3" t="s">
        <v>294</v>
      </c>
      <c r="B488" s="3">
        <v>0.9</v>
      </c>
      <c r="C488" s="3">
        <v>0.5</v>
      </c>
      <c r="D488" s="3">
        <v>0.6</v>
      </c>
      <c r="E488" s="3">
        <v>0.3</v>
      </c>
      <c r="F488" s="7">
        <v>914.16272000000004</v>
      </c>
      <c r="G488" s="3">
        <v>4.0000000000000001E-3</v>
      </c>
      <c r="I488" s="3" t="s">
        <v>294</v>
      </c>
      <c r="J488" s="3">
        <v>0.11</v>
      </c>
      <c r="K488" s="6">
        <v>774.59216300000003</v>
      </c>
      <c r="L488" s="3">
        <v>0</v>
      </c>
      <c r="M488" s="3">
        <f t="shared" si="52"/>
        <v>0.20499999999999999</v>
      </c>
      <c r="N488" s="5"/>
      <c r="O488" s="5"/>
      <c r="P488" s="5"/>
      <c r="Q488" s="5"/>
      <c r="R488" s="1"/>
      <c r="S488" s="3" t="s">
        <v>294</v>
      </c>
      <c r="T488" s="3">
        <v>0.9</v>
      </c>
      <c r="U488" s="3">
        <v>0.5</v>
      </c>
      <c r="V488" s="3">
        <v>0.6</v>
      </c>
      <c r="W488" s="3">
        <v>0.3</v>
      </c>
      <c r="X488" s="6">
        <v>905.15368699999999</v>
      </c>
      <c r="Y488" s="3">
        <v>7.0000000000000001E-3</v>
      </c>
      <c r="AA488" s="3" t="s">
        <v>294</v>
      </c>
      <c r="AB488" s="3">
        <v>0.74</v>
      </c>
      <c r="AC488" s="7">
        <v>1063.25647</v>
      </c>
      <c r="AD488" s="3">
        <v>0</v>
      </c>
      <c r="AE488" s="3">
        <f t="shared" si="53"/>
        <v>0.52</v>
      </c>
      <c r="AF488" s="5"/>
      <c r="AG488" s="5"/>
      <c r="AH488" s="5"/>
      <c r="AI488" s="5"/>
      <c r="AJ488" s="1"/>
      <c r="AK488" s="3" t="s">
        <v>295</v>
      </c>
      <c r="AL488" s="3">
        <v>0.9</v>
      </c>
      <c r="AM488" s="3">
        <v>0.5</v>
      </c>
      <c r="AN488" s="3">
        <v>0.6</v>
      </c>
      <c r="AO488" s="3">
        <v>0.3</v>
      </c>
      <c r="AP488" s="6">
        <v>1193.450317</v>
      </c>
      <c r="AQ488" s="3">
        <v>1.2999999999999999E-2</v>
      </c>
      <c r="AS488" s="3" t="s">
        <v>295</v>
      </c>
      <c r="AT488" s="3">
        <v>0.41</v>
      </c>
      <c r="AU488" s="7">
        <v>1257.518433</v>
      </c>
      <c r="AV488" s="3">
        <v>1E-3</v>
      </c>
      <c r="AW488" s="3">
        <f t="shared" si="54"/>
        <v>0.35499999999999998</v>
      </c>
      <c r="AX488" s="5"/>
      <c r="AY488" s="5"/>
      <c r="AZ488" s="5"/>
      <c r="BA488" s="5"/>
      <c r="BB488" s="1"/>
      <c r="BC488" s="3" t="s">
        <v>295</v>
      </c>
      <c r="BD488" s="3">
        <v>0.9</v>
      </c>
      <c r="BE488" s="3">
        <v>0.5</v>
      </c>
      <c r="BF488" s="3">
        <v>0.6</v>
      </c>
      <c r="BG488" s="3">
        <v>0.3</v>
      </c>
      <c r="BH488" s="6">
        <v>1188.8735349999999</v>
      </c>
      <c r="BI488" s="3">
        <v>1.4E-2</v>
      </c>
      <c r="BK488" s="3" t="s">
        <v>295</v>
      </c>
      <c r="BL488" s="3">
        <v>0.76</v>
      </c>
      <c r="BM488" s="7">
        <v>1443.161865</v>
      </c>
      <c r="BN488" s="3">
        <v>1E-3</v>
      </c>
      <c r="BO488" s="3">
        <f t="shared" si="55"/>
        <v>0.53</v>
      </c>
    </row>
    <row r="489" spans="1:67" x14ac:dyDescent="0.3">
      <c r="A489" s="3" t="s">
        <v>296</v>
      </c>
      <c r="B489" s="3">
        <v>0.9</v>
      </c>
      <c r="C489" s="3">
        <v>0.5</v>
      </c>
      <c r="D489" s="3">
        <v>0.6</v>
      </c>
      <c r="E489" s="3">
        <v>0.3</v>
      </c>
      <c r="F489" s="6">
        <v>893.09466599999996</v>
      </c>
      <c r="G489" s="3">
        <v>3.0000000000000001E-3</v>
      </c>
      <c r="I489" s="3" t="s">
        <v>296</v>
      </c>
      <c r="J489" s="3">
        <v>0.67</v>
      </c>
      <c r="K489" s="7">
        <v>1036.410034</v>
      </c>
      <c r="L489" s="3">
        <v>0</v>
      </c>
      <c r="M489" s="3">
        <f t="shared" si="52"/>
        <v>0.48499999999999999</v>
      </c>
      <c r="N489" s="5"/>
      <c r="O489" s="5"/>
      <c r="P489" s="5"/>
      <c r="Q489" s="5"/>
      <c r="R489" s="1"/>
      <c r="S489" s="3" t="s">
        <v>296</v>
      </c>
      <c r="T489" s="3">
        <v>0.9</v>
      </c>
      <c r="U489" s="3">
        <v>0.5</v>
      </c>
      <c r="V489" s="3">
        <v>0.6</v>
      </c>
      <c r="W489" s="3">
        <v>0.3</v>
      </c>
      <c r="X489" s="6">
        <v>874.65167199999996</v>
      </c>
      <c r="Y489" s="3">
        <v>6.0000000000000001E-3</v>
      </c>
      <c r="AA489" s="3" t="s">
        <v>296</v>
      </c>
      <c r="AB489" s="3">
        <v>0.41</v>
      </c>
      <c r="AC489" s="7">
        <v>938.03021200000001</v>
      </c>
      <c r="AD489" s="3">
        <v>0</v>
      </c>
      <c r="AE489" s="3">
        <f t="shared" si="53"/>
        <v>0.35499999999999998</v>
      </c>
      <c r="AF489" s="5"/>
      <c r="AG489" s="5"/>
      <c r="AH489" s="5"/>
      <c r="AI489" s="5"/>
      <c r="AJ489" s="1"/>
      <c r="AK489" s="3" t="s">
        <v>297</v>
      </c>
      <c r="AL489" s="3">
        <v>0.9</v>
      </c>
      <c r="AM489" s="3">
        <v>0.5</v>
      </c>
      <c r="AN489" s="3">
        <v>0.6</v>
      </c>
      <c r="AO489" s="3">
        <v>0.3</v>
      </c>
      <c r="AP489" s="6">
        <v>1149.255371</v>
      </c>
      <c r="AQ489" s="3">
        <v>1.0999999999999999E-2</v>
      </c>
      <c r="AS489" s="3" t="s">
        <v>297</v>
      </c>
      <c r="AT489" s="3">
        <v>0.63</v>
      </c>
      <c r="AU489" s="7">
        <v>1382.8283690000001</v>
      </c>
      <c r="AV489" s="3">
        <v>2E-3</v>
      </c>
      <c r="AW489" s="3">
        <f t="shared" si="54"/>
        <v>0.46499999999999997</v>
      </c>
      <c r="AX489" s="5"/>
      <c r="AY489" s="5"/>
      <c r="AZ489" s="5"/>
      <c r="BA489" s="5"/>
      <c r="BB489" s="1"/>
      <c r="BC489" s="3" t="s">
        <v>297</v>
      </c>
      <c r="BD489" s="3">
        <v>0.9</v>
      </c>
      <c r="BE489" s="3">
        <v>0.5</v>
      </c>
      <c r="BF489" s="3">
        <v>0.6</v>
      </c>
      <c r="BG489" s="3">
        <v>0.3</v>
      </c>
      <c r="BH489" s="7">
        <v>1111.2010499999999</v>
      </c>
      <c r="BI489" s="3">
        <v>1.2999999999999999E-2</v>
      </c>
      <c r="BK489" s="3" t="s">
        <v>297</v>
      </c>
      <c r="BL489" s="3">
        <v>0.01</v>
      </c>
      <c r="BM489" s="6">
        <v>929.72680700000001</v>
      </c>
      <c r="BN489" s="3">
        <v>1E-3</v>
      </c>
      <c r="BO489" s="3">
        <f t="shared" si="55"/>
        <v>0.155</v>
      </c>
    </row>
    <row r="490" spans="1:67" x14ac:dyDescent="0.3">
      <c r="A490" s="3" t="s">
        <v>298</v>
      </c>
      <c r="B490" s="3">
        <v>0.9</v>
      </c>
      <c r="C490" s="3">
        <v>0.5</v>
      </c>
      <c r="D490" s="3">
        <v>0.6</v>
      </c>
      <c r="E490" s="3">
        <v>0.3</v>
      </c>
      <c r="F490" s="6">
        <v>754.82855199999995</v>
      </c>
      <c r="G490" s="3">
        <v>3.0000000000000001E-3</v>
      </c>
      <c r="I490" s="3" t="s">
        <v>298</v>
      </c>
      <c r="J490" s="3">
        <v>0.93</v>
      </c>
      <c r="K490" s="7">
        <v>980.42816200000004</v>
      </c>
      <c r="L490" s="3">
        <v>0</v>
      </c>
      <c r="M490" s="3">
        <f t="shared" si="52"/>
        <v>0.61499999999999999</v>
      </c>
      <c r="N490" s="5"/>
      <c r="O490" s="5"/>
      <c r="P490" s="5"/>
      <c r="Q490" s="5"/>
      <c r="R490" s="1"/>
      <c r="S490" s="3" t="s">
        <v>298</v>
      </c>
      <c r="T490" s="3">
        <v>0.9</v>
      </c>
      <c r="U490" s="3">
        <v>0.5</v>
      </c>
      <c r="V490" s="3">
        <v>0.6</v>
      </c>
      <c r="W490" s="3">
        <v>0.3</v>
      </c>
      <c r="X490" s="6">
        <v>769.587402</v>
      </c>
      <c r="Y490" s="3">
        <v>5.0000000000000001E-3</v>
      </c>
      <c r="AA490" s="3" t="s">
        <v>298</v>
      </c>
      <c r="AB490" s="3">
        <v>0.75</v>
      </c>
      <c r="AC490" s="7">
        <v>939.648865</v>
      </c>
      <c r="AD490" s="3">
        <v>0</v>
      </c>
      <c r="AE490" s="3">
        <f t="shared" si="53"/>
        <v>0.52500000000000002</v>
      </c>
      <c r="AF490" s="5"/>
      <c r="AG490" s="5"/>
      <c r="AH490" s="5"/>
      <c r="AI490" s="5"/>
      <c r="AJ490" s="1"/>
      <c r="AK490" s="3" t="s">
        <v>299</v>
      </c>
      <c r="AL490" s="3">
        <v>0.9</v>
      </c>
      <c r="AM490" s="3">
        <v>0.5</v>
      </c>
      <c r="AN490" s="3">
        <v>0.6</v>
      </c>
      <c r="AO490" s="3">
        <v>0.3</v>
      </c>
      <c r="AP490" s="6">
        <v>1175.9945070000001</v>
      </c>
      <c r="AQ490" s="3">
        <v>1.0999999999999999E-2</v>
      </c>
      <c r="AS490" s="3" t="s">
        <v>299</v>
      </c>
      <c r="AT490" s="3">
        <v>0.34</v>
      </c>
      <c r="AU490" s="7">
        <v>1197.796509</v>
      </c>
      <c r="AV490" s="3">
        <v>2E-3</v>
      </c>
      <c r="AW490" s="3">
        <f t="shared" si="54"/>
        <v>0.32</v>
      </c>
      <c r="AX490" s="5"/>
      <c r="AY490" s="5"/>
      <c r="AZ490" s="5"/>
      <c r="BA490" s="5"/>
      <c r="BB490" s="1"/>
      <c r="BC490" s="3" t="s">
        <v>299</v>
      </c>
      <c r="BD490" s="3">
        <v>0.9</v>
      </c>
      <c r="BE490" s="3">
        <v>0.5</v>
      </c>
      <c r="BF490" s="3">
        <v>0.6</v>
      </c>
      <c r="BG490" s="3">
        <v>0.3</v>
      </c>
      <c r="BH490" s="6">
        <v>1160.5267329999999</v>
      </c>
      <c r="BI490" s="3">
        <v>1.7999999999999999E-2</v>
      </c>
      <c r="BK490" s="3" t="s">
        <v>299</v>
      </c>
      <c r="BL490" s="3">
        <v>0.51</v>
      </c>
      <c r="BM490" s="7">
        <v>1355.6263429999999</v>
      </c>
      <c r="BN490" s="3">
        <v>1E-3</v>
      </c>
      <c r="BO490" s="3">
        <f t="shared" si="55"/>
        <v>0.40500000000000003</v>
      </c>
    </row>
    <row r="491" spans="1:67" x14ac:dyDescent="0.3">
      <c r="A491" s="3" t="s">
        <v>300</v>
      </c>
      <c r="B491" s="3">
        <v>0.9</v>
      </c>
      <c r="C491" s="3">
        <v>0.5</v>
      </c>
      <c r="D491" s="3">
        <v>0.6</v>
      </c>
      <c r="E491" s="3">
        <v>0.3</v>
      </c>
      <c r="F491" s="6">
        <v>835.60382100000004</v>
      </c>
      <c r="G491" s="3">
        <v>3.0000000000000001E-3</v>
      </c>
      <c r="I491" s="3" t="s">
        <v>300</v>
      </c>
      <c r="J491" s="3">
        <v>0.31</v>
      </c>
      <c r="K491" s="7">
        <v>840.80651899999998</v>
      </c>
      <c r="L491" s="3">
        <v>1E-3</v>
      </c>
      <c r="M491" s="3">
        <f t="shared" si="52"/>
        <v>0.30499999999999999</v>
      </c>
      <c r="N491" s="5"/>
      <c r="O491" s="5"/>
      <c r="P491" s="5"/>
      <c r="Q491" s="5"/>
      <c r="R491" s="1"/>
      <c r="S491" s="3" t="s">
        <v>300</v>
      </c>
      <c r="T491" s="3">
        <v>0.9</v>
      </c>
      <c r="U491" s="3">
        <v>0.5</v>
      </c>
      <c r="V491" s="3">
        <v>0.6</v>
      </c>
      <c r="W491" s="3">
        <v>0.3</v>
      </c>
      <c r="X491" s="7">
        <v>822.50744599999996</v>
      </c>
      <c r="Y491" s="3">
        <v>5.0000000000000001E-3</v>
      </c>
      <c r="AA491" s="3" t="s">
        <v>300</v>
      </c>
      <c r="AB491" s="3">
        <v>0.17</v>
      </c>
      <c r="AC491" s="6">
        <v>754.42889400000001</v>
      </c>
      <c r="AD491" s="3">
        <v>1E-3</v>
      </c>
      <c r="AE491" s="3">
        <f t="shared" si="53"/>
        <v>0.23499999999999999</v>
      </c>
      <c r="AF491" s="5"/>
      <c r="AG491" s="5"/>
      <c r="AH491" s="5"/>
      <c r="AI491" s="5"/>
      <c r="AJ491" s="1"/>
      <c r="AK491" s="3" t="s">
        <v>301</v>
      </c>
      <c r="AL491" s="3">
        <v>0.9</v>
      </c>
      <c r="AM491" s="3">
        <v>0.5</v>
      </c>
      <c r="AN491" s="3">
        <v>0.6</v>
      </c>
      <c r="AO491" s="3">
        <v>0.3</v>
      </c>
      <c r="AP491" s="7">
        <v>1162.9406739999999</v>
      </c>
      <c r="AQ491" s="3">
        <v>1.2E-2</v>
      </c>
      <c r="AS491" s="3" t="s">
        <v>301</v>
      </c>
      <c r="AT491" s="3">
        <v>0.09</v>
      </c>
      <c r="AU491" s="6">
        <v>1004.496216</v>
      </c>
      <c r="AV491" s="3">
        <v>2E-3</v>
      </c>
      <c r="AW491" s="3">
        <f t="shared" si="54"/>
        <v>0.19500000000000001</v>
      </c>
      <c r="AX491" s="5"/>
      <c r="AY491" s="5"/>
      <c r="AZ491" s="5"/>
      <c r="BA491" s="5"/>
      <c r="BB491" s="1"/>
      <c r="BC491" s="3" t="s">
        <v>301</v>
      </c>
      <c r="BD491" s="3">
        <v>0.9</v>
      </c>
      <c r="BE491" s="3">
        <v>0.5</v>
      </c>
      <c r="BF491" s="3">
        <v>0.6</v>
      </c>
      <c r="BG491" s="3">
        <v>0.3</v>
      </c>
      <c r="BH491" s="6">
        <v>1134.4267580000001</v>
      </c>
      <c r="BI491" s="3">
        <v>1.0999999999999999E-2</v>
      </c>
      <c r="BK491" s="3" t="s">
        <v>301</v>
      </c>
      <c r="BL491" s="3">
        <v>0.66</v>
      </c>
      <c r="BM491" s="7">
        <v>1319.78125</v>
      </c>
      <c r="BN491" s="3">
        <v>1E-3</v>
      </c>
      <c r="BO491" s="3">
        <f t="shared" si="55"/>
        <v>0.48</v>
      </c>
    </row>
    <row r="492" spans="1:67" x14ac:dyDescent="0.3">
      <c r="A492" s="3" t="s">
        <v>302</v>
      </c>
      <c r="B492" s="3">
        <v>0.9</v>
      </c>
      <c r="C492" s="3">
        <v>0.5</v>
      </c>
      <c r="D492" s="3">
        <v>0.6</v>
      </c>
      <c r="E492" s="3">
        <v>0.3</v>
      </c>
      <c r="F492" s="7">
        <v>787.77703899999995</v>
      </c>
      <c r="G492" s="3">
        <v>3.0000000000000001E-3</v>
      </c>
      <c r="I492" s="3" t="s">
        <v>302</v>
      </c>
      <c r="J492" s="3">
        <v>0.28999999999999998</v>
      </c>
      <c r="K492" s="6">
        <v>770.47827099999995</v>
      </c>
      <c r="L492" s="3">
        <v>0</v>
      </c>
      <c r="M492" s="3">
        <f t="shared" si="52"/>
        <v>0.29499999999999998</v>
      </c>
      <c r="N492" s="5"/>
      <c r="O492" s="5"/>
      <c r="P492" s="5"/>
      <c r="Q492" s="5"/>
      <c r="R492" s="1"/>
      <c r="S492" s="3" t="s">
        <v>302</v>
      </c>
      <c r="T492" s="3">
        <v>0.9</v>
      </c>
      <c r="U492" s="3">
        <v>0.5</v>
      </c>
      <c r="V492" s="3">
        <v>0.6</v>
      </c>
      <c r="W492" s="3">
        <v>0.3</v>
      </c>
      <c r="X492" s="6">
        <v>782.71227999999996</v>
      </c>
      <c r="Y492" s="3">
        <v>8.9999999999999993E-3</v>
      </c>
      <c r="AA492" s="3" t="s">
        <v>302</v>
      </c>
      <c r="AB492" s="3">
        <v>0.59</v>
      </c>
      <c r="AC492" s="7">
        <v>876.04547100000002</v>
      </c>
      <c r="AD492" s="3">
        <v>0</v>
      </c>
      <c r="AE492" s="3">
        <f t="shared" si="53"/>
        <v>0.44499999999999995</v>
      </c>
      <c r="AF492" s="5"/>
      <c r="AG492" s="5"/>
      <c r="AH492" s="5"/>
      <c r="AI492" s="5"/>
      <c r="AJ492" s="1"/>
      <c r="AK492" s="3" t="s">
        <v>303</v>
      </c>
      <c r="AL492" s="3">
        <v>0.9</v>
      </c>
      <c r="AM492" s="3">
        <v>0.5</v>
      </c>
      <c r="AN492" s="3">
        <v>0.6</v>
      </c>
      <c r="AO492" s="3">
        <v>0.3</v>
      </c>
      <c r="AP492" s="6">
        <v>1128.966797</v>
      </c>
      <c r="AQ492" s="3">
        <v>1.2E-2</v>
      </c>
      <c r="AS492" s="3" t="s">
        <v>303</v>
      </c>
      <c r="AT492" s="3">
        <v>0.41</v>
      </c>
      <c r="AU492" s="7">
        <v>1169.321899</v>
      </c>
      <c r="AV492" s="3">
        <v>1E-3</v>
      </c>
      <c r="AW492" s="3">
        <f t="shared" si="54"/>
        <v>0.35499999999999998</v>
      </c>
      <c r="AX492" s="5"/>
      <c r="AY492" s="5"/>
      <c r="AZ492" s="5"/>
      <c r="BA492" s="5"/>
      <c r="BB492" s="1"/>
      <c r="BC492" s="3" t="s">
        <v>303</v>
      </c>
      <c r="BD492" s="3">
        <v>0.9</v>
      </c>
      <c r="BE492" s="3">
        <v>0.5</v>
      </c>
      <c r="BF492" s="3">
        <v>0.6</v>
      </c>
      <c r="BG492" s="3">
        <v>0.3</v>
      </c>
      <c r="BH492" s="7">
        <v>1121.3630370000001</v>
      </c>
      <c r="BI492" s="3">
        <v>1.9E-2</v>
      </c>
      <c r="BK492" s="3" t="s">
        <v>303</v>
      </c>
      <c r="BL492" s="3">
        <v>0.17</v>
      </c>
      <c r="BM492" s="6">
        <v>1017.007385</v>
      </c>
      <c r="BN492" s="3">
        <v>1E-3</v>
      </c>
      <c r="BO492" s="3">
        <f t="shared" si="55"/>
        <v>0.23499999999999999</v>
      </c>
    </row>
    <row r="493" spans="1:67" x14ac:dyDescent="0.3">
      <c r="A493" s="3" t="s">
        <v>304</v>
      </c>
      <c r="B493" s="3">
        <v>0.9</v>
      </c>
      <c r="C493" s="3">
        <v>0.5</v>
      </c>
      <c r="D493" s="3">
        <v>0.6</v>
      </c>
      <c r="E493" s="3">
        <v>0.3</v>
      </c>
      <c r="F493" s="6">
        <v>899.57849099999999</v>
      </c>
      <c r="G493" s="3">
        <v>3.0000000000000001E-3</v>
      </c>
      <c r="I493" s="3" t="s">
        <v>304</v>
      </c>
      <c r="J493" s="3">
        <v>0.84</v>
      </c>
      <c r="K493" s="7">
        <v>1067.69165</v>
      </c>
      <c r="L493" s="3">
        <v>1E-3</v>
      </c>
      <c r="M493" s="3">
        <f t="shared" si="52"/>
        <v>0.56999999999999995</v>
      </c>
      <c r="N493" s="5"/>
      <c r="O493" s="5"/>
      <c r="P493" s="5"/>
      <c r="Q493" s="5"/>
      <c r="R493" s="1"/>
      <c r="S493" s="3" t="s">
        <v>304</v>
      </c>
      <c r="T493" s="3">
        <v>0.9</v>
      </c>
      <c r="U493" s="3">
        <v>0.5</v>
      </c>
      <c r="V493" s="3">
        <v>0.6</v>
      </c>
      <c r="W493" s="3">
        <v>0.3</v>
      </c>
      <c r="X493" s="6">
        <v>882.54406700000004</v>
      </c>
      <c r="Y493" s="3">
        <v>7.0000000000000001E-3</v>
      </c>
      <c r="AA493" s="3" t="s">
        <v>304</v>
      </c>
      <c r="AB493" s="3">
        <v>0.52</v>
      </c>
      <c r="AC493" s="7">
        <v>1002.262695</v>
      </c>
      <c r="AD493" s="3">
        <v>1E-3</v>
      </c>
      <c r="AE493" s="3">
        <f t="shared" si="53"/>
        <v>0.41000000000000003</v>
      </c>
      <c r="AF493" s="5"/>
      <c r="AG493" s="5"/>
      <c r="AH493" s="5"/>
      <c r="AI493" s="5"/>
      <c r="AJ493" s="1"/>
      <c r="AK493" s="3" t="s">
        <v>305</v>
      </c>
      <c r="AL493" s="3">
        <v>0.9</v>
      </c>
      <c r="AM493" s="3">
        <v>0.5</v>
      </c>
      <c r="AN493" s="3">
        <v>0.6</v>
      </c>
      <c r="AO493" s="3">
        <v>0.3</v>
      </c>
      <c r="AP493" s="7">
        <v>1170.610596</v>
      </c>
      <c r="AQ493" s="3">
        <v>1.0999999999999999E-2</v>
      </c>
      <c r="AS493" s="3" t="s">
        <v>305</v>
      </c>
      <c r="AT493" s="3">
        <v>0.23</v>
      </c>
      <c r="AU493" s="6">
        <v>1100.531616</v>
      </c>
      <c r="AV493" s="3">
        <v>2E-3</v>
      </c>
      <c r="AW493" s="3">
        <f t="shared" si="54"/>
        <v>0.26500000000000001</v>
      </c>
      <c r="AX493" s="5"/>
      <c r="AY493" s="5"/>
      <c r="AZ493" s="5"/>
      <c r="BA493" s="5"/>
      <c r="BB493" s="1"/>
      <c r="BC493" s="3" t="s">
        <v>305</v>
      </c>
      <c r="BD493" s="3">
        <v>0.9</v>
      </c>
      <c r="BE493" s="3">
        <v>0.5</v>
      </c>
      <c r="BF493" s="3">
        <v>0.6</v>
      </c>
      <c r="BG493" s="3">
        <v>0.3</v>
      </c>
      <c r="BH493" s="6">
        <v>1167.3039550000001</v>
      </c>
      <c r="BI493" s="3">
        <v>1.2E-2</v>
      </c>
      <c r="BK493" s="3" t="s">
        <v>305</v>
      </c>
      <c r="BL493" s="3">
        <v>0.72</v>
      </c>
      <c r="BM493" s="7">
        <v>1470.756226</v>
      </c>
      <c r="BN493" s="3">
        <v>1E-3</v>
      </c>
      <c r="BO493" s="3">
        <f t="shared" si="55"/>
        <v>0.51</v>
      </c>
    </row>
    <row r="494" spans="1:67" x14ac:dyDescent="0.3">
      <c r="A494" s="3" t="s">
        <v>306</v>
      </c>
      <c r="B494" s="3">
        <v>0.9</v>
      </c>
      <c r="C494" s="3">
        <v>0.5</v>
      </c>
      <c r="D494" s="3">
        <v>0.6</v>
      </c>
      <c r="E494" s="3">
        <v>0.3</v>
      </c>
      <c r="F494" s="6">
        <v>929.13562000000002</v>
      </c>
      <c r="G494" s="3">
        <v>3.0000000000000001E-3</v>
      </c>
      <c r="I494" s="3" t="s">
        <v>306</v>
      </c>
      <c r="J494" s="3">
        <v>0.84</v>
      </c>
      <c r="K494" s="7">
        <v>1114.8316649999999</v>
      </c>
      <c r="L494" s="3">
        <v>1E-3</v>
      </c>
      <c r="M494" s="3">
        <f t="shared" si="52"/>
        <v>0.56999999999999995</v>
      </c>
      <c r="N494" s="5"/>
      <c r="O494" s="5"/>
      <c r="P494" s="5"/>
      <c r="Q494" s="5"/>
      <c r="R494" s="1"/>
      <c r="S494" s="3" t="s">
        <v>306</v>
      </c>
      <c r="T494" s="3">
        <v>0.9</v>
      </c>
      <c r="U494" s="3">
        <v>0.5</v>
      </c>
      <c r="V494" s="3">
        <v>0.6</v>
      </c>
      <c r="W494" s="3">
        <v>0.3</v>
      </c>
      <c r="X494" s="7">
        <v>913.94134499999996</v>
      </c>
      <c r="Y494" s="3">
        <v>3.0000000000000001E-3</v>
      </c>
      <c r="AA494" s="3" t="s">
        <v>306</v>
      </c>
      <c r="AB494" s="3">
        <v>0.18</v>
      </c>
      <c r="AC494" s="6">
        <v>830.95739700000001</v>
      </c>
      <c r="AD494" s="3">
        <v>0</v>
      </c>
      <c r="AE494" s="3">
        <f t="shared" si="53"/>
        <v>0.24</v>
      </c>
      <c r="AF494" s="5"/>
      <c r="AG494" s="5"/>
      <c r="AH494" s="5"/>
      <c r="AI494" s="5"/>
      <c r="AJ494" s="1"/>
      <c r="AK494" s="3" t="s">
        <v>307</v>
      </c>
      <c r="AL494" s="3">
        <v>0.9</v>
      </c>
      <c r="AM494" s="3">
        <v>0.5</v>
      </c>
      <c r="AN494" s="3">
        <v>0.6</v>
      </c>
      <c r="AO494" s="3">
        <v>0.3</v>
      </c>
      <c r="AP494" s="6">
        <v>1117.85376</v>
      </c>
      <c r="AQ494" s="3">
        <v>2.1000000000000001E-2</v>
      </c>
      <c r="AS494" s="3" t="s">
        <v>307</v>
      </c>
      <c r="AT494" s="3">
        <v>0.42</v>
      </c>
      <c r="AU494" s="7">
        <v>1224.165283</v>
      </c>
      <c r="AV494" s="3">
        <v>2E-3</v>
      </c>
      <c r="AW494" s="3">
        <f t="shared" si="54"/>
        <v>0.36</v>
      </c>
      <c r="AX494" s="5"/>
      <c r="AY494" s="5"/>
      <c r="AZ494" s="5"/>
      <c r="BA494" s="5"/>
      <c r="BB494" s="1"/>
      <c r="BC494" s="3" t="s">
        <v>307</v>
      </c>
      <c r="BD494" s="3">
        <v>0.9</v>
      </c>
      <c r="BE494" s="3">
        <v>0.5</v>
      </c>
      <c r="BF494" s="3">
        <v>0.6</v>
      </c>
      <c r="BG494" s="3">
        <v>0.3</v>
      </c>
      <c r="BH494" s="7">
        <v>1123.4803469999999</v>
      </c>
      <c r="BI494" s="3">
        <v>1.4E-2</v>
      </c>
      <c r="BK494" s="3" t="s">
        <v>307</v>
      </c>
      <c r="BL494" s="3">
        <v>0.06</v>
      </c>
      <c r="BM494" s="6">
        <v>916.04931599999998</v>
      </c>
      <c r="BN494" s="3">
        <v>1E-3</v>
      </c>
      <c r="BO494" s="3">
        <f t="shared" si="55"/>
        <v>0.18</v>
      </c>
    </row>
    <row r="495" spans="1:67" x14ac:dyDescent="0.3">
      <c r="A495" s="3" t="s">
        <v>308</v>
      </c>
      <c r="B495" s="3">
        <v>0.9</v>
      </c>
      <c r="C495" s="3">
        <v>0.5</v>
      </c>
      <c r="D495" s="3">
        <v>0.6</v>
      </c>
      <c r="E495" s="3">
        <v>0.3</v>
      </c>
      <c r="F495" s="6">
        <v>916.51580799999999</v>
      </c>
      <c r="G495" s="3">
        <v>4.0000000000000001E-3</v>
      </c>
      <c r="I495" s="3" t="s">
        <v>308</v>
      </c>
      <c r="J495" s="3">
        <v>0.37</v>
      </c>
      <c r="K495" s="7">
        <v>963.99615500000004</v>
      </c>
      <c r="L495" s="3">
        <v>0</v>
      </c>
      <c r="M495" s="3">
        <f t="shared" si="52"/>
        <v>0.33499999999999996</v>
      </c>
      <c r="N495" s="5"/>
      <c r="O495" s="5"/>
      <c r="P495" s="5"/>
      <c r="Q495" s="5"/>
      <c r="R495" s="1"/>
      <c r="S495" s="3" t="s">
        <v>308</v>
      </c>
      <c r="T495" s="3">
        <v>0.9</v>
      </c>
      <c r="U495" s="3">
        <v>0.5</v>
      </c>
      <c r="V495" s="3">
        <v>0.6</v>
      </c>
      <c r="W495" s="3">
        <v>0.3</v>
      </c>
      <c r="X495" s="7">
        <v>913.86053500000003</v>
      </c>
      <c r="Y495" s="3">
        <v>6.0000000000000001E-3</v>
      </c>
      <c r="AA495" s="3" t="s">
        <v>308</v>
      </c>
      <c r="AB495" s="3">
        <v>0.21</v>
      </c>
      <c r="AC495" s="6">
        <v>853.020081</v>
      </c>
      <c r="AD495" s="3">
        <v>0</v>
      </c>
      <c r="AE495" s="3">
        <f t="shared" si="53"/>
        <v>0.255</v>
      </c>
      <c r="AF495" s="5"/>
      <c r="AG495" s="5"/>
      <c r="AH495" s="5"/>
      <c r="AI495" s="5"/>
      <c r="AJ495" s="1"/>
      <c r="AK495" s="3" t="s">
        <v>309</v>
      </c>
      <c r="AL495" s="3">
        <v>0.9</v>
      </c>
      <c r="AM495" s="3">
        <v>0.5</v>
      </c>
      <c r="AN495" s="3">
        <v>0.6</v>
      </c>
      <c r="AO495" s="3">
        <v>0.3</v>
      </c>
      <c r="AP495" s="6">
        <v>1139.7379149999999</v>
      </c>
      <c r="AQ495" s="3">
        <v>1.4E-2</v>
      </c>
      <c r="AS495" s="3" t="s">
        <v>309</v>
      </c>
      <c r="AT495" s="3">
        <v>0.81</v>
      </c>
      <c r="AU495" s="7">
        <v>1525.376831</v>
      </c>
      <c r="AV495" s="3">
        <v>2E-3</v>
      </c>
      <c r="AW495" s="3">
        <f t="shared" si="54"/>
        <v>0.55500000000000005</v>
      </c>
      <c r="AX495" s="5"/>
      <c r="AY495" s="5"/>
      <c r="AZ495" s="5"/>
      <c r="BA495" s="5"/>
      <c r="BB495" s="1"/>
      <c r="BC495" s="3" t="s">
        <v>309</v>
      </c>
      <c r="BD495" s="3">
        <v>0.9</v>
      </c>
      <c r="BE495" s="3">
        <v>0.5</v>
      </c>
      <c r="BF495" s="3">
        <v>0.6</v>
      </c>
      <c r="BG495" s="3">
        <v>0.3</v>
      </c>
      <c r="BH495" s="6">
        <v>1163.2923579999999</v>
      </c>
      <c r="BI495" s="3">
        <v>1.2999999999999999E-2</v>
      </c>
      <c r="BK495" s="3" t="s">
        <v>309</v>
      </c>
      <c r="BL495" s="3">
        <v>0.36</v>
      </c>
      <c r="BM495" s="7">
        <v>1196.9470209999999</v>
      </c>
      <c r="BN495" s="3">
        <v>2E-3</v>
      </c>
      <c r="BO495" s="3">
        <f t="shared" si="55"/>
        <v>0.32999999999999996</v>
      </c>
    </row>
    <row r="496" spans="1:67" x14ac:dyDescent="0.3">
      <c r="A496" s="3" t="s">
        <v>310</v>
      </c>
      <c r="B496" s="3">
        <v>0.9</v>
      </c>
      <c r="C496" s="3">
        <v>0.5</v>
      </c>
      <c r="D496" s="3">
        <v>0.6</v>
      </c>
      <c r="E496" s="3">
        <v>0.3</v>
      </c>
      <c r="F496" s="6">
        <v>883.06671100000005</v>
      </c>
      <c r="G496" s="3">
        <v>3.0000000000000001E-3</v>
      </c>
      <c r="I496" s="3" t="s">
        <v>310</v>
      </c>
      <c r="J496" s="3">
        <v>0.37</v>
      </c>
      <c r="K496" s="7">
        <v>918.56152299999997</v>
      </c>
      <c r="L496" s="3">
        <v>1E-3</v>
      </c>
      <c r="M496" s="3">
        <f t="shared" si="52"/>
        <v>0.33499999999999996</v>
      </c>
      <c r="N496" s="5"/>
      <c r="O496" s="5"/>
      <c r="P496" s="5"/>
      <c r="Q496" s="5"/>
      <c r="R496" s="1"/>
      <c r="S496" s="3" t="s">
        <v>310</v>
      </c>
      <c r="T496" s="3">
        <v>0.9</v>
      </c>
      <c r="U496" s="3">
        <v>0.5</v>
      </c>
      <c r="V496" s="3">
        <v>0.6</v>
      </c>
      <c r="W496" s="3">
        <v>0.3</v>
      </c>
      <c r="X496" s="7">
        <v>863.62872300000004</v>
      </c>
      <c r="Y496" s="3">
        <v>3.0000000000000001E-3</v>
      </c>
      <c r="AA496" s="3" t="s">
        <v>310</v>
      </c>
      <c r="AB496" s="3">
        <v>0.25</v>
      </c>
      <c r="AC496" s="6">
        <v>804.86035200000003</v>
      </c>
      <c r="AD496" s="3">
        <v>1E-3</v>
      </c>
      <c r="AE496" s="3">
        <f t="shared" si="53"/>
        <v>0.27500000000000002</v>
      </c>
      <c r="AF496" s="5"/>
      <c r="AG496" s="5"/>
      <c r="AH496" s="5"/>
      <c r="AI496" s="5"/>
      <c r="AJ496" s="1"/>
      <c r="AK496" s="3" t="s">
        <v>311</v>
      </c>
      <c r="AL496" s="3">
        <v>0.9</v>
      </c>
      <c r="AM496" s="3">
        <v>0.5</v>
      </c>
      <c r="AN496" s="3">
        <v>0.6</v>
      </c>
      <c r="AO496" s="3">
        <v>0.3</v>
      </c>
      <c r="AP496" s="7">
        <v>1187.1453859999999</v>
      </c>
      <c r="AQ496" s="3">
        <v>1.0999999999999999E-2</v>
      </c>
      <c r="AS496" s="3" t="s">
        <v>311</v>
      </c>
      <c r="AT496" s="3">
        <v>0.02</v>
      </c>
      <c r="AU496" s="6">
        <v>953.65380900000002</v>
      </c>
      <c r="AV496" s="3">
        <v>1E-3</v>
      </c>
      <c r="AW496" s="3">
        <f t="shared" si="54"/>
        <v>0.16</v>
      </c>
      <c r="AX496" s="5"/>
      <c r="AY496" s="5"/>
      <c r="AZ496" s="5"/>
      <c r="BA496" s="5"/>
      <c r="BB496" s="1"/>
      <c r="BC496" s="3" t="s">
        <v>311</v>
      </c>
      <c r="BD496" s="3">
        <v>0.9</v>
      </c>
      <c r="BE496" s="3">
        <v>0.5</v>
      </c>
      <c r="BF496" s="3">
        <v>0.6</v>
      </c>
      <c r="BG496" s="3">
        <v>0.3</v>
      </c>
      <c r="BH496" s="7">
        <v>1151.0008539999999</v>
      </c>
      <c r="BI496" s="3">
        <v>1.4999999999999999E-2</v>
      </c>
      <c r="BK496" s="3" t="s">
        <v>311</v>
      </c>
      <c r="BL496" s="3">
        <v>0.23</v>
      </c>
      <c r="BM496" s="6">
        <v>1103.7570800000001</v>
      </c>
      <c r="BN496" s="3">
        <v>1E-3</v>
      </c>
      <c r="BO496" s="3">
        <f t="shared" si="55"/>
        <v>0.26500000000000001</v>
      </c>
    </row>
    <row r="497" spans="1:71" x14ac:dyDescent="0.3">
      <c r="A497" s="3" t="s">
        <v>312</v>
      </c>
      <c r="B497" s="3">
        <v>0.9</v>
      </c>
      <c r="C497" s="3">
        <v>0.5</v>
      </c>
      <c r="D497" s="3">
        <v>0.6</v>
      </c>
      <c r="E497" s="3">
        <v>0.3</v>
      </c>
      <c r="F497" s="6">
        <v>877.53466800000001</v>
      </c>
      <c r="G497" s="3">
        <v>3.0000000000000001E-3</v>
      </c>
      <c r="I497" s="3" t="s">
        <v>312</v>
      </c>
      <c r="J497" s="3">
        <v>0.46</v>
      </c>
      <c r="K497" s="7">
        <v>951.46618699999999</v>
      </c>
      <c r="L497" s="3">
        <v>0</v>
      </c>
      <c r="M497" s="3">
        <f t="shared" si="52"/>
        <v>0.38</v>
      </c>
      <c r="N497" s="5"/>
      <c r="O497" s="5"/>
      <c r="P497" s="5"/>
      <c r="Q497" s="5"/>
      <c r="R497" s="1"/>
      <c r="S497" s="3" t="s">
        <v>312</v>
      </c>
      <c r="T497" s="3">
        <v>0.9</v>
      </c>
      <c r="U497" s="3">
        <v>0.5</v>
      </c>
      <c r="V497" s="3">
        <v>0.6</v>
      </c>
      <c r="W497" s="3">
        <v>0.3</v>
      </c>
      <c r="X497" s="6">
        <v>835.254456</v>
      </c>
      <c r="Y497" s="3">
        <v>3.0000000000000001E-3</v>
      </c>
      <c r="AA497" s="3" t="s">
        <v>312</v>
      </c>
      <c r="AB497" s="3">
        <v>0.38</v>
      </c>
      <c r="AC497" s="7">
        <v>850.02002000000005</v>
      </c>
      <c r="AD497" s="3">
        <v>0</v>
      </c>
      <c r="AE497" s="3">
        <f t="shared" si="53"/>
        <v>0.33999999999999997</v>
      </c>
      <c r="AF497" s="5"/>
      <c r="AG497" s="5"/>
      <c r="AH497" s="5"/>
      <c r="AI497" s="5"/>
      <c r="AJ497" s="1"/>
      <c r="AK497" s="3" t="s">
        <v>313</v>
      </c>
      <c r="AL497" s="3">
        <v>0.9</v>
      </c>
      <c r="AM497" s="3">
        <v>0.5</v>
      </c>
      <c r="AN497" s="3">
        <v>0.6</v>
      </c>
      <c r="AO497" s="3">
        <v>0.3</v>
      </c>
      <c r="AP497" s="6">
        <v>1160.268433</v>
      </c>
      <c r="AQ497" s="3">
        <v>1.4E-2</v>
      </c>
      <c r="AS497" s="3" t="s">
        <v>313</v>
      </c>
      <c r="AT497" s="3">
        <v>0.6</v>
      </c>
      <c r="AU497" s="7">
        <v>1358.5458980000001</v>
      </c>
      <c r="AV497" s="3">
        <v>1E-3</v>
      </c>
      <c r="AW497" s="3">
        <f t="shared" si="54"/>
        <v>0.44999999999999996</v>
      </c>
      <c r="AX497" s="5"/>
      <c r="AY497" s="5"/>
      <c r="AZ497" s="5"/>
      <c r="BA497" s="5"/>
      <c r="BB497" s="1"/>
      <c r="BC497" s="3" t="s">
        <v>313</v>
      </c>
      <c r="BD497" s="3">
        <v>0.9</v>
      </c>
      <c r="BE497" s="3">
        <v>0.5</v>
      </c>
      <c r="BF497" s="3">
        <v>0.6</v>
      </c>
      <c r="BG497" s="3">
        <v>0.3</v>
      </c>
      <c r="BH497" s="6">
        <v>1167.5998540000001</v>
      </c>
      <c r="BI497" s="3">
        <v>1.4999999999999999E-2</v>
      </c>
      <c r="BK497" s="3" t="s">
        <v>313</v>
      </c>
      <c r="BL497" s="3">
        <v>0.49</v>
      </c>
      <c r="BM497" s="7">
        <v>1279.2597659999999</v>
      </c>
      <c r="BN497" s="3">
        <v>1E-3</v>
      </c>
      <c r="BO497" s="3">
        <f t="shared" si="55"/>
        <v>0.39500000000000002</v>
      </c>
    </row>
    <row r="498" spans="1:71" x14ac:dyDescent="0.3">
      <c r="A498" s="9" t="s">
        <v>316</v>
      </c>
      <c r="E498" s="9">
        <f>AVERAGE(E468:E497)</f>
        <v>0.3</v>
      </c>
      <c r="I498" s="9" t="s">
        <v>316</v>
      </c>
      <c r="J498" s="9">
        <f>AVERAGE(J468:J497)</f>
        <v>0.44933333333333325</v>
      </c>
      <c r="M498" s="5"/>
      <c r="N498" s="5"/>
      <c r="O498" s="5"/>
      <c r="P498" s="5"/>
      <c r="Q498" s="5"/>
      <c r="R498" s="1"/>
      <c r="S498" s="9" t="s">
        <v>316</v>
      </c>
      <c r="W498" s="9">
        <f>AVERAGE(W468:W497)</f>
        <v>0.3</v>
      </c>
      <c r="AA498" s="9" t="s">
        <v>316</v>
      </c>
      <c r="AB498" s="9">
        <f>AVERAGE(AB468:AB497)</f>
        <v>0.45766666666666661</v>
      </c>
      <c r="AE498" s="5"/>
      <c r="AF498" s="5"/>
      <c r="AG498" s="5"/>
      <c r="AH498" s="5"/>
      <c r="AI498" s="5"/>
      <c r="AJ498" s="1"/>
      <c r="AK498" s="9" t="s">
        <v>316</v>
      </c>
      <c r="AO498" s="9">
        <f>AVERAGE(AO468:AO497)</f>
        <v>0.3</v>
      </c>
      <c r="AS498" s="9" t="s">
        <v>316</v>
      </c>
      <c r="AT498" s="9">
        <f>AVERAGE(AT468:AT497)</f>
        <v>0.47933333333333333</v>
      </c>
      <c r="AW498" s="5"/>
      <c r="AX498" s="5"/>
      <c r="AY498" s="5"/>
      <c r="AZ498" s="5"/>
      <c r="BA498" s="5"/>
      <c r="BB498" s="1"/>
      <c r="BC498" s="9" t="s">
        <v>316</v>
      </c>
      <c r="BG498" s="9">
        <f>AVERAGE(BG468:BG497)</f>
        <v>0.3</v>
      </c>
      <c r="BK498" s="9" t="s">
        <v>316</v>
      </c>
      <c r="BL498" s="9">
        <f>AVERAGE(BL468:BL497)</f>
        <v>0.40733333333333327</v>
      </c>
      <c r="BO498" s="5"/>
    </row>
    <row r="499" spans="1:71" x14ac:dyDescent="0.3">
      <c r="M499" s="5"/>
      <c r="N499" s="5"/>
      <c r="O499" s="5"/>
      <c r="P499" s="5"/>
      <c r="Q499" s="5"/>
      <c r="R499" s="1"/>
      <c r="AE499" s="5"/>
      <c r="AF499" s="5"/>
      <c r="AG499" s="5"/>
      <c r="AH499" s="5"/>
      <c r="AI499" s="5"/>
      <c r="AJ499" s="1"/>
      <c r="AW499" s="5"/>
      <c r="AX499" s="5"/>
      <c r="AY499" s="5"/>
      <c r="AZ499" s="5"/>
      <c r="BA499" s="5"/>
      <c r="BB499" s="1"/>
      <c r="BO499" s="5"/>
    </row>
    <row r="500" spans="1:71" x14ac:dyDescent="0.3">
      <c r="M500" s="5"/>
      <c r="N500" s="5"/>
      <c r="O500" s="5"/>
      <c r="P500" s="5"/>
      <c r="Q500" s="5"/>
      <c r="R500" s="1"/>
      <c r="AE500" s="5"/>
      <c r="AF500" s="5"/>
      <c r="AG500" s="5"/>
      <c r="AH500" s="5"/>
      <c r="AI500" s="5"/>
      <c r="AJ500" s="1"/>
      <c r="AW500" s="5"/>
      <c r="AX500" s="5"/>
      <c r="AY500" s="5"/>
      <c r="AZ500" s="5"/>
      <c r="BA500" s="5"/>
      <c r="BB500" s="1"/>
      <c r="BO500" s="5"/>
    </row>
    <row r="501" spans="1:71" x14ac:dyDescent="0.3">
      <c r="A501" s="19" t="s">
        <v>314</v>
      </c>
      <c r="B501" s="19"/>
      <c r="C501" s="19"/>
      <c r="D501" s="19"/>
      <c r="E501" s="19"/>
      <c r="F501" s="19"/>
      <c r="G501" s="19"/>
      <c r="I501" s="19" t="s">
        <v>315</v>
      </c>
      <c r="J501" s="19"/>
      <c r="K501" s="19"/>
      <c r="L501" s="19"/>
      <c r="M501" s="19"/>
      <c r="N501" s="11"/>
      <c r="O501" s="11"/>
      <c r="P501" s="11"/>
      <c r="Q501" s="11"/>
      <c r="R501" s="1"/>
      <c r="S501" s="19" t="s">
        <v>314</v>
      </c>
      <c r="T501" s="19"/>
      <c r="U501" s="19"/>
      <c r="V501" s="19"/>
      <c r="W501" s="19"/>
      <c r="X501" s="19"/>
      <c r="Y501" s="19"/>
      <c r="AA501" s="19" t="s">
        <v>315</v>
      </c>
      <c r="AB501" s="19"/>
      <c r="AC501" s="19"/>
      <c r="AD501" s="19"/>
      <c r="AE501" s="19"/>
      <c r="AF501" s="11"/>
      <c r="AG501" s="11"/>
      <c r="AH501" s="11"/>
      <c r="AI501" s="11"/>
      <c r="AJ501" s="1"/>
      <c r="AK501" s="19" t="s">
        <v>314</v>
      </c>
      <c r="AL501" s="19"/>
      <c r="AM501" s="19"/>
      <c r="AN501" s="19"/>
      <c r="AO501" s="19"/>
      <c r="AP501" s="19"/>
      <c r="AQ501" s="19"/>
      <c r="AS501" s="19" t="s">
        <v>315</v>
      </c>
      <c r="AT501" s="19"/>
      <c r="AU501" s="19"/>
      <c r="AV501" s="19"/>
      <c r="AW501" s="19"/>
      <c r="AX501" s="11"/>
      <c r="AY501" s="11"/>
      <c r="AZ501" s="11"/>
      <c r="BA501" s="11"/>
      <c r="BB501" s="1"/>
      <c r="BC501" s="19" t="s">
        <v>314</v>
      </c>
      <c r="BD501" s="19"/>
      <c r="BE501" s="19"/>
      <c r="BF501" s="19"/>
      <c r="BG501" s="19"/>
      <c r="BH501" s="19"/>
      <c r="BI501" s="19"/>
      <c r="BK501" s="19" t="s">
        <v>315</v>
      </c>
      <c r="BL501" s="19"/>
      <c r="BM501" s="19"/>
      <c r="BN501" s="19"/>
      <c r="BO501" s="19"/>
    </row>
    <row r="502" spans="1:71" x14ac:dyDescent="0.3">
      <c r="A502" s="3" t="s">
        <v>72</v>
      </c>
      <c r="B502" s="3"/>
      <c r="C502" s="3"/>
      <c r="D502" s="3"/>
      <c r="E502" s="3"/>
      <c r="F502" s="3"/>
      <c r="G502" s="3"/>
      <c r="I502" s="3" t="s">
        <v>72</v>
      </c>
      <c r="J502" s="3"/>
      <c r="K502" s="3"/>
      <c r="L502" s="3"/>
      <c r="M502" s="3"/>
      <c r="N502" s="5"/>
      <c r="O502" s="5"/>
      <c r="P502" s="5"/>
      <c r="Q502" s="5"/>
      <c r="R502" s="1"/>
      <c r="S502" s="3" t="s">
        <v>73</v>
      </c>
      <c r="T502" s="3"/>
      <c r="U502" s="3"/>
      <c r="V502" s="3"/>
      <c r="W502" s="3"/>
      <c r="X502" s="3"/>
      <c r="Y502" s="3"/>
      <c r="AA502" s="3" t="s">
        <v>73</v>
      </c>
      <c r="AB502" s="3"/>
      <c r="AC502" s="3"/>
      <c r="AD502" s="3"/>
      <c r="AE502" s="3"/>
      <c r="AF502" s="5"/>
      <c r="AG502" s="5"/>
      <c r="AH502" s="5"/>
      <c r="AI502" s="5"/>
      <c r="AJ502" s="1"/>
      <c r="AK502" s="3" t="s">
        <v>72</v>
      </c>
      <c r="AL502" s="3"/>
      <c r="AM502" s="3"/>
      <c r="AN502" s="3"/>
      <c r="AO502" s="3"/>
      <c r="AP502" s="3"/>
      <c r="AQ502" s="3"/>
      <c r="AS502" s="3" t="s">
        <v>72</v>
      </c>
      <c r="AT502" s="3"/>
      <c r="AU502" s="3"/>
      <c r="AV502" s="3"/>
      <c r="AW502" s="4"/>
      <c r="AX502" s="12"/>
      <c r="AY502" s="12"/>
      <c r="AZ502" s="12"/>
      <c r="BA502" s="12"/>
      <c r="BB502" s="1"/>
      <c r="BC502" s="3" t="s">
        <v>73</v>
      </c>
      <c r="BD502" s="3"/>
      <c r="BE502" s="3"/>
      <c r="BF502" s="3"/>
      <c r="BG502" s="3"/>
      <c r="BH502" s="3"/>
      <c r="BI502" s="3"/>
      <c r="BK502" s="3" t="s">
        <v>73</v>
      </c>
      <c r="BL502" s="3"/>
      <c r="BM502" s="3"/>
      <c r="BN502" s="3"/>
      <c r="BO502" s="3"/>
    </row>
    <row r="503" spans="1:71" x14ac:dyDescent="0.3">
      <c r="A503" s="3" t="s">
        <v>2</v>
      </c>
      <c r="B503" s="3" t="s">
        <v>3</v>
      </c>
      <c r="C503" s="3" t="s">
        <v>4</v>
      </c>
      <c r="D503" s="3" t="s">
        <v>5</v>
      </c>
      <c r="E503" s="3" t="s">
        <v>6</v>
      </c>
      <c r="F503" s="3" t="s">
        <v>7</v>
      </c>
      <c r="G503" s="3" t="s">
        <v>8</v>
      </c>
      <c r="I503" s="3" t="s">
        <v>2</v>
      </c>
      <c r="J503" s="3" t="s">
        <v>6</v>
      </c>
      <c r="K503" s="3" t="s">
        <v>7</v>
      </c>
      <c r="L503" s="3" t="s">
        <v>8</v>
      </c>
      <c r="M503" s="3" t="s">
        <v>9</v>
      </c>
      <c r="N503" s="3" t="s">
        <v>322</v>
      </c>
      <c r="O503" s="3" t="s">
        <v>323</v>
      </c>
      <c r="P503" s="3" t="s">
        <v>322</v>
      </c>
      <c r="Q503" s="3" t="s">
        <v>323</v>
      </c>
      <c r="R503" s="1"/>
      <c r="S503" s="3" t="s">
        <v>2</v>
      </c>
      <c r="T503" s="3" t="s">
        <v>3</v>
      </c>
      <c r="U503" s="3" t="s">
        <v>4</v>
      </c>
      <c r="V503" s="3" t="s">
        <v>5</v>
      </c>
      <c r="W503" s="3" t="s">
        <v>6</v>
      </c>
      <c r="X503" s="3" t="s">
        <v>7</v>
      </c>
      <c r="Y503" s="3" t="s">
        <v>8</v>
      </c>
      <c r="AA503" s="3" t="s">
        <v>2</v>
      </c>
      <c r="AB503" s="3" t="s">
        <v>6</v>
      </c>
      <c r="AC503" s="3" t="s">
        <v>7</v>
      </c>
      <c r="AD503" s="3" t="s">
        <v>8</v>
      </c>
      <c r="AE503" s="3" t="s">
        <v>9</v>
      </c>
      <c r="AF503" s="3" t="s">
        <v>322</v>
      </c>
      <c r="AG503" s="3" t="s">
        <v>323</v>
      </c>
      <c r="AH503" s="3" t="s">
        <v>322</v>
      </c>
      <c r="AI503" s="3" t="s">
        <v>323</v>
      </c>
      <c r="AJ503" s="1"/>
      <c r="AK503" s="3" t="s">
        <v>2</v>
      </c>
      <c r="AL503" s="3" t="s">
        <v>3</v>
      </c>
      <c r="AM503" s="3" t="s">
        <v>4</v>
      </c>
      <c r="AN503" s="3" t="s">
        <v>5</v>
      </c>
      <c r="AO503" s="3" t="s">
        <v>6</v>
      </c>
      <c r="AP503" s="3" t="s">
        <v>7</v>
      </c>
      <c r="AQ503" s="3" t="s">
        <v>8</v>
      </c>
      <c r="AS503" s="3" t="s">
        <v>2</v>
      </c>
      <c r="AT503" s="3" t="s">
        <v>6</v>
      </c>
      <c r="AU503" s="3" t="s">
        <v>7</v>
      </c>
      <c r="AV503" s="3" t="s">
        <v>8</v>
      </c>
      <c r="AW503" s="3" t="s">
        <v>9</v>
      </c>
      <c r="AX503" s="3" t="s">
        <v>322</v>
      </c>
      <c r="AY503" s="3" t="s">
        <v>323</v>
      </c>
      <c r="AZ503" s="3" t="s">
        <v>322</v>
      </c>
      <c r="BA503" s="3" t="s">
        <v>323</v>
      </c>
      <c r="BB503" s="1"/>
      <c r="BC503" s="3" t="s">
        <v>2</v>
      </c>
      <c r="BD503" s="3" t="s">
        <v>3</v>
      </c>
      <c r="BE503" s="3" t="s">
        <v>4</v>
      </c>
      <c r="BF503" s="3" t="s">
        <v>5</v>
      </c>
      <c r="BG503" s="3" t="s">
        <v>6</v>
      </c>
      <c r="BH503" s="3" t="s">
        <v>7</v>
      </c>
      <c r="BI503" s="3" t="s">
        <v>8</v>
      </c>
      <c r="BK503" s="3" t="s">
        <v>2</v>
      </c>
      <c r="BL503" s="3" t="s">
        <v>6</v>
      </c>
      <c r="BM503" s="3" t="s">
        <v>7</v>
      </c>
      <c r="BN503" s="3" t="s">
        <v>8</v>
      </c>
      <c r="BO503" s="3" t="s">
        <v>9</v>
      </c>
      <c r="BP503" s="3" t="s">
        <v>322</v>
      </c>
      <c r="BQ503" s="3" t="s">
        <v>323</v>
      </c>
      <c r="BR503" s="3" t="s">
        <v>322</v>
      </c>
      <c r="BS503" s="3" t="s">
        <v>323</v>
      </c>
    </row>
    <row r="504" spans="1:71" x14ac:dyDescent="0.3">
      <c r="A504" s="3" t="s">
        <v>254</v>
      </c>
      <c r="B504" s="3">
        <v>0.9</v>
      </c>
      <c r="C504" s="3">
        <v>0.5</v>
      </c>
      <c r="D504" s="3">
        <v>0.6</v>
      </c>
      <c r="E504" s="3">
        <v>0.3</v>
      </c>
      <c r="F504" s="3">
        <v>655.10363800000005</v>
      </c>
      <c r="G504" s="3">
        <v>3.0000000000000001E-3</v>
      </c>
      <c r="I504" s="3" t="s">
        <v>254</v>
      </c>
      <c r="J504" s="3">
        <v>0.01</v>
      </c>
      <c r="K504" s="6">
        <v>626.76531999999997</v>
      </c>
      <c r="L504" s="3">
        <v>0</v>
      </c>
      <c r="M504" s="3">
        <f t="shared" ref="M504:M533" si="56">AVERAGE(E504,J504)</f>
        <v>0.155</v>
      </c>
      <c r="N504" s="4" t="s">
        <v>320</v>
      </c>
      <c r="O504" s="4" t="s">
        <v>320</v>
      </c>
      <c r="P504" s="4" t="s">
        <v>321</v>
      </c>
      <c r="Q504" s="4" t="s">
        <v>321</v>
      </c>
      <c r="R504" s="1"/>
      <c r="S504" s="3" t="s">
        <v>254</v>
      </c>
      <c r="T504" s="3">
        <v>0.9</v>
      </c>
      <c r="U504" s="3">
        <v>0.5</v>
      </c>
      <c r="V504" s="3">
        <v>0.6</v>
      </c>
      <c r="W504" s="3">
        <v>0.3</v>
      </c>
      <c r="X504" s="7">
        <v>663.27514599999995</v>
      </c>
      <c r="Y504" s="3">
        <v>3.0000000000000001E-3</v>
      </c>
      <c r="AA504" s="3" t="s">
        <v>254</v>
      </c>
      <c r="AB504" s="3">
        <v>0.01</v>
      </c>
      <c r="AC504" s="6">
        <v>613.77172900000005</v>
      </c>
      <c r="AD504" s="3">
        <v>1E-3</v>
      </c>
      <c r="AE504" s="3">
        <f t="shared" ref="AE504:AE533" si="57">AVERAGE(W504,AB504)</f>
        <v>0.155</v>
      </c>
      <c r="AF504" s="4" t="s">
        <v>320</v>
      </c>
      <c r="AG504" s="4" t="s">
        <v>320</v>
      </c>
      <c r="AH504" s="4" t="s">
        <v>321</v>
      </c>
      <c r="AI504" s="4" t="s">
        <v>321</v>
      </c>
      <c r="AJ504" s="1"/>
      <c r="AK504" s="3" t="s">
        <v>255</v>
      </c>
      <c r="AL504" s="3">
        <v>0.9</v>
      </c>
      <c r="AM504" s="3">
        <v>0.5</v>
      </c>
      <c r="AN504" s="3">
        <v>0.6</v>
      </c>
      <c r="AO504" s="3">
        <v>0.3</v>
      </c>
      <c r="AP504" s="7">
        <v>1020.847229</v>
      </c>
      <c r="AQ504" s="3">
        <v>1.2999999999999999E-2</v>
      </c>
      <c r="AS504" s="3" t="s">
        <v>255</v>
      </c>
      <c r="AT504" s="3">
        <v>0.01</v>
      </c>
      <c r="AU504" s="6">
        <v>860.16564900000003</v>
      </c>
      <c r="AV504" s="3">
        <v>1E-3</v>
      </c>
      <c r="AW504" s="3">
        <f t="shared" ref="AW504:AW533" si="58">AVERAGE(AO504,AT504)</f>
        <v>0.155</v>
      </c>
      <c r="AX504" s="4" t="s">
        <v>320</v>
      </c>
      <c r="AY504" s="4" t="s">
        <v>320</v>
      </c>
      <c r="AZ504" s="4" t="s">
        <v>321</v>
      </c>
      <c r="BA504" s="4" t="s">
        <v>321</v>
      </c>
      <c r="BB504" s="1"/>
      <c r="BC504" s="3" t="s">
        <v>255</v>
      </c>
      <c r="BD504" s="3">
        <v>0.9</v>
      </c>
      <c r="BE504" s="3">
        <v>0.5</v>
      </c>
      <c r="BF504" s="3">
        <v>0.6</v>
      </c>
      <c r="BG504" s="3">
        <v>0.3</v>
      </c>
      <c r="BH504" s="7">
        <v>997.941284</v>
      </c>
      <c r="BI504" s="3">
        <v>8.0000000000000002E-3</v>
      </c>
      <c r="BK504" s="3" t="s">
        <v>255</v>
      </c>
      <c r="BL504" s="3">
        <v>0.01</v>
      </c>
      <c r="BM504" s="6">
        <v>848.03161599999999</v>
      </c>
      <c r="BN504" s="3">
        <v>1E-3</v>
      </c>
      <c r="BO504" s="3">
        <f t="shared" ref="BO504:BO533" si="59">AVERAGE(BG504,BL504)</f>
        <v>0.155</v>
      </c>
      <c r="BP504" s="4" t="s">
        <v>320</v>
      </c>
      <c r="BQ504" s="4" t="s">
        <v>320</v>
      </c>
      <c r="BR504" s="4" t="s">
        <v>321</v>
      </c>
      <c r="BS504" s="4" t="s">
        <v>321</v>
      </c>
    </row>
    <row r="505" spans="1:71" x14ac:dyDescent="0.3">
      <c r="A505" s="3" t="s">
        <v>256</v>
      </c>
      <c r="B505" s="3">
        <v>0.9</v>
      </c>
      <c r="C505" s="3">
        <v>0.5</v>
      </c>
      <c r="D505" s="3">
        <v>0.6</v>
      </c>
      <c r="E505" s="3">
        <v>0.3</v>
      </c>
      <c r="F505" s="6">
        <v>680.90606700000001</v>
      </c>
      <c r="G505" s="3">
        <v>4.0000000000000001E-3</v>
      </c>
      <c r="I505" s="3" t="s">
        <v>256</v>
      </c>
      <c r="J505" s="3">
        <v>0.34</v>
      </c>
      <c r="K505" s="7">
        <v>696.68432600000006</v>
      </c>
      <c r="L505" s="3">
        <v>1E-3</v>
      </c>
      <c r="M505" s="3">
        <f t="shared" si="56"/>
        <v>0.32</v>
      </c>
      <c r="N505" s="3">
        <f>COUNT(F505:F510,F512:F518,F520,F524:F525,F528,F531,F533)</f>
        <v>19</v>
      </c>
      <c r="O505" s="3">
        <f>30-N505</f>
        <v>11</v>
      </c>
      <c r="P505" s="3">
        <f>COUNT(K504,K507,K511,K519,K521:K523,K526:K527,K529:K530,K532)</f>
        <v>12</v>
      </c>
      <c r="Q505" s="3">
        <f>30-P505</f>
        <v>18</v>
      </c>
      <c r="R505" s="1"/>
      <c r="S505" s="3" t="s">
        <v>256</v>
      </c>
      <c r="T505" s="3">
        <v>0.9</v>
      </c>
      <c r="U505" s="3">
        <v>0.5</v>
      </c>
      <c r="V505" s="3">
        <v>0.6</v>
      </c>
      <c r="W505" s="3">
        <v>0.3</v>
      </c>
      <c r="X505" s="6">
        <v>671.90026899999998</v>
      </c>
      <c r="Y505" s="3">
        <v>2E-3</v>
      </c>
      <c r="AA505" s="3" t="s">
        <v>256</v>
      </c>
      <c r="AB505" s="3">
        <v>0.81</v>
      </c>
      <c r="AC505" s="7">
        <v>778.207581</v>
      </c>
      <c r="AD505" s="3">
        <v>0</v>
      </c>
      <c r="AE505" s="3">
        <f t="shared" si="57"/>
        <v>0.55500000000000005</v>
      </c>
      <c r="AF505" s="3">
        <f>COUNT(X505:X510,X512:X515,X517,X519,X522:X524,X527:X529,X531:X532)</f>
        <v>20</v>
      </c>
      <c r="AG505" s="3">
        <f>30-AF505</f>
        <v>10</v>
      </c>
      <c r="AH505" s="3">
        <f>COUNT(AC504,AC511,AC516,AC518,AC520:AC521,AC525:AC526,AC530,AC533)</f>
        <v>10</v>
      </c>
      <c r="AI505" s="3">
        <f>30-AH505</f>
        <v>20</v>
      </c>
      <c r="AJ505" s="1"/>
      <c r="AK505" s="3" t="s">
        <v>257</v>
      </c>
      <c r="AL505" s="3">
        <v>0.9</v>
      </c>
      <c r="AM505" s="3">
        <v>0.5</v>
      </c>
      <c r="AN505" s="3">
        <v>0.6</v>
      </c>
      <c r="AO505" s="3">
        <v>0.3</v>
      </c>
      <c r="AP505" s="6">
        <v>996.73614499999996</v>
      </c>
      <c r="AQ505" s="3">
        <v>8.0000000000000002E-3</v>
      </c>
      <c r="AS505" s="3" t="s">
        <v>257</v>
      </c>
      <c r="AT505" s="3">
        <v>0.46</v>
      </c>
      <c r="AU505" s="7">
        <v>1046.490601</v>
      </c>
      <c r="AV505" s="3">
        <v>0</v>
      </c>
      <c r="AW505" s="3">
        <f t="shared" si="58"/>
        <v>0.38</v>
      </c>
      <c r="AX505" s="3">
        <f>COUNT(AP505,AP507:AP509,AP512:AP521,AP524:AP530,AP532)</f>
        <v>22</v>
      </c>
      <c r="AY505" s="3">
        <f>30-AX505</f>
        <v>8</v>
      </c>
      <c r="AZ505" s="3">
        <f>COUNT(AU504,AU506,AU510:AU511,AU522:AU523,AU531,AU533)</f>
        <v>8</v>
      </c>
      <c r="BA505" s="3">
        <f>30-AZ505</f>
        <v>22</v>
      </c>
      <c r="BB505" s="1"/>
      <c r="BC505" s="3" t="s">
        <v>257</v>
      </c>
      <c r="BD505" s="3">
        <v>0.9</v>
      </c>
      <c r="BE505" s="3">
        <v>0.5</v>
      </c>
      <c r="BF505" s="3">
        <v>0.6</v>
      </c>
      <c r="BG505" s="3">
        <v>0.3</v>
      </c>
      <c r="BH505" s="6">
        <v>984.41357400000004</v>
      </c>
      <c r="BI505" s="3">
        <v>8.0000000000000002E-3</v>
      </c>
      <c r="BK505" s="3" t="s">
        <v>257</v>
      </c>
      <c r="BL505" s="3">
        <v>0.64</v>
      </c>
      <c r="BM505" s="7">
        <v>1090.7041019999999</v>
      </c>
      <c r="BN505" s="3">
        <v>1E-3</v>
      </c>
      <c r="BO505" s="3">
        <f t="shared" si="59"/>
        <v>0.47</v>
      </c>
      <c r="BP505" s="3">
        <f>COUNT(BH505,BH509,BH511:BH513,BH515:BH519,BH521:BH531,BH533)</f>
        <v>22</v>
      </c>
      <c r="BQ505" s="3">
        <f>30-BP505</f>
        <v>8</v>
      </c>
      <c r="BR505" s="3">
        <f>COUNT(BM504,BM506:BM508,BM510,BM514,BM520,BM532)</f>
        <v>8</v>
      </c>
      <c r="BS505" s="3">
        <f>30-BR505</f>
        <v>22</v>
      </c>
    </row>
    <row r="506" spans="1:71" x14ac:dyDescent="0.3">
      <c r="A506" s="3" t="s">
        <v>258</v>
      </c>
      <c r="B506" s="3">
        <v>0.9</v>
      </c>
      <c r="C506" s="3">
        <v>0.5</v>
      </c>
      <c r="D506" s="3">
        <v>0.6</v>
      </c>
      <c r="E506" s="3">
        <v>0.3</v>
      </c>
      <c r="F506" s="6">
        <v>675.82568400000002</v>
      </c>
      <c r="G506" s="3">
        <v>4.0000000000000001E-3</v>
      </c>
      <c r="I506" s="3" t="s">
        <v>258</v>
      </c>
      <c r="J506" s="3">
        <v>0.9</v>
      </c>
      <c r="K506" s="7">
        <v>778.42034899999999</v>
      </c>
      <c r="L506" s="3">
        <v>0</v>
      </c>
      <c r="M506" s="3">
        <f t="shared" si="56"/>
        <v>0.6</v>
      </c>
      <c r="N506" s="5"/>
      <c r="O506" s="5"/>
      <c r="P506" s="5"/>
      <c r="Q506" s="5"/>
      <c r="R506" s="1"/>
      <c r="S506" s="3" t="s">
        <v>258</v>
      </c>
      <c r="T506" s="3">
        <v>0.9</v>
      </c>
      <c r="U506" s="3">
        <v>0.5</v>
      </c>
      <c r="V506" s="3">
        <v>0.6</v>
      </c>
      <c r="W506" s="3">
        <v>0.3</v>
      </c>
      <c r="X506" s="6">
        <v>658.38330099999996</v>
      </c>
      <c r="Y506" s="3">
        <v>4.0000000000000001E-3</v>
      </c>
      <c r="AA506" s="3" t="s">
        <v>258</v>
      </c>
      <c r="AB506" s="3">
        <v>0.99</v>
      </c>
      <c r="AC506" s="7">
        <v>772.35119599999996</v>
      </c>
      <c r="AD506" s="3">
        <v>1E-3</v>
      </c>
      <c r="AE506" s="3">
        <f t="shared" si="57"/>
        <v>0.64500000000000002</v>
      </c>
      <c r="AF506" s="5"/>
      <c r="AG506" s="5"/>
      <c r="AH506" s="5"/>
      <c r="AI506" s="5"/>
      <c r="AJ506" s="1"/>
      <c r="AK506" s="3" t="s">
        <v>259</v>
      </c>
      <c r="AL506" s="3">
        <v>0.9</v>
      </c>
      <c r="AM506" s="3">
        <v>0.5</v>
      </c>
      <c r="AN506" s="3">
        <v>0.6</v>
      </c>
      <c r="AO506" s="3">
        <v>0.3</v>
      </c>
      <c r="AP506" s="7">
        <v>1010.0382080000001</v>
      </c>
      <c r="AQ506" s="3">
        <v>8.0000000000000002E-3</v>
      </c>
      <c r="AS506" s="3" t="s">
        <v>259</v>
      </c>
      <c r="AT506" s="3">
        <v>0.22</v>
      </c>
      <c r="AU506" s="6">
        <v>922.41039999999998</v>
      </c>
      <c r="AV506" s="3">
        <v>1E-3</v>
      </c>
      <c r="AW506" s="3">
        <f t="shared" si="58"/>
        <v>0.26</v>
      </c>
      <c r="AX506" s="5"/>
      <c r="AY506" s="5"/>
      <c r="AZ506" s="5"/>
      <c r="BA506" s="5"/>
      <c r="BB506" s="1"/>
      <c r="BC506" s="3" t="s">
        <v>259</v>
      </c>
      <c r="BD506" s="3">
        <v>0.9</v>
      </c>
      <c r="BE506" s="3">
        <v>0.5</v>
      </c>
      <c r="BF506" s="3">
        <v>0.6</v>
      </c>
      <c r="BG506" s="3">
        <v>0.3</v>
      </c>
      <c r="BH506" s="7">
        <v>980.48718299999996</v>
      </c>
      <c r="BI506" s="3">
        <v>8.0000000000000002E-3</v>
      </c>
      <c r="BK506" s="3" t="s">
        <v>259</v>
      </c>
      <c r="BL506" s="3">
        <v>0.27</v>
      </c>
      <c r="BM506" s="6">
        <v>970.34466599999996</v>
      </c>
      <c r="BN506" s="3">
        <v>2E-3</v>
      </c>
      <c r="BO506" s="3">
        <f t="shared" si="59"/>
        <v>0.28500000000000003</v>
      </c>
    </row>
    <row r="507" spans="1:71" x14ac:dyDescent="0.3">
      <c r="A507" s="3" t="s">
        <v>260</v>
      </c>
      <c r="B507" s="3">
        <v>0.9</v>
      </c>
      <c r="C507" s="3">
        <v>0.5</v>
      </c>
      <c r="D507" s="3">
        <v>0.6</v>
      </c>
      <c r="E507" s="3">
        <v>0.3</v>
      </c>
      <c r="F507" s="8">
        <v>694.677368</v>
      </c>
      <c r="G507" s="3">
        <v>3.0000000000000001E-3</v>
      </c>
      <c r="I507" s="3" t="s">
        <v>260</v>
      </c>
      <c r="J507" s="3">
        <v>0.26</v>
      </c>
      <c r="K507" s="6">
        <v>694.39386000000002</v>
      </c>
      <c r="L507" s="3">
        <v>0</v>
      </c>
      <c r="M507" s="3">
        <f t="shared" si="56"/>
        <v>0.28000000000000003</v>
      </c>
      <c r="N507" s="5"/>
      <c r="O507" s="5"/>
      <c r="P507" s="5"/>
      <c r="Q507" s="5"/>
      <c r="R507" s="1"/>
      <c r="S507" s="3" t="s">
        <v>260</v>
      </c>
      <c r="T507" s="3">
        <v>0.9</v>
      </c>
      <c r="U507" s="3">
        <v>0.5</v>
      </c>
      <c r="V507" s="3">
        <v>0.6</v>
      </c>
      <c r="W507" s="3">
        <v>0.3</v>
      </c>
      <c r="X507" s="6">
        <v>689.61328100000003</v>
      </c>
      <c r="Y507" s="3">
        <v>3.0000000000000001E-3</v>
      </c>
      <c r="AA507" s="3" t="s">
        <v>260</v>
      </c>
      <c r="AB507" s="3">
        <v>0.82</v>
      </c>
      <c r="AC507" s="7">
        <v>792.66241500000001</v>
      </c>
      <c r="AD507" s="3">
        <v>0</v>
      </c>
      <c r="AE507" s="3">
        <f t="shared" si="57"/>
        <v>0.55999999999999994</v>
      </c>
      <c r="AF507" s="5"/>
      <c r="AG507" s="5"/>
      <c r="AH507" s="5"/>
      <c r="AI507" s="5"/>
      <c r="AJ507" s="1"/>
      <c r="AK507" s="3" t="s">
        <v>261</v>
      </c>
      <c r="AL507" s="3">
        <v>0.9</v>
      </c>
      <c r="AM507" s="3">
        <v>0.5</v>
      </c>
      <c r="AN507" s="3">
        <v>0.6</v>
      </c>
      <c r="AO507" s="3">
        <v>0.3</v>
      </c>
      <c r="AP507" s="6">
        <v>973.05468800000006</v>
      </c>
      <c r="AQ507" s="3">
        <v>1.2E-2</v>
      </c>
      <c r="AS507" s="3" t="s">
        <v>261</v>
      </c>
      <c r="AT507" s="3">
        <v>0.95</v>
      </c>
      <c r="AU507" s="7">
        <v>1100.0927730000001</v>
      </c>
      <c r="AV507" s="3">
        <v>0</v>
      </c>
      <c r="AW507" s="3">
        <f t="shared" si="58"/>
        <v>0.625</v>
      </c>
      <c r="AX507" s="5"/>
      <c r="AY507" s="5"/>
      <c r="AZ507" s="5"/>
      <c r="BA507" s="5"/>
      <c r="BB507" s="1"/>
      <c r="BC507" s="3" t="s">
        <v>261</v>
      </c>
      <c r="BD507" s="3">
        <v>0.9</v>
      </c>
      <c r="BE507" s="3">
        <v>0.5</v>
      </c>
      <c r="BF507" s="3">
        <v>0.6</v>
      </c>
      <c r="BG507" s="3">
        <v>0.3</v>
      </c>
      <c r="BH507" s="7">
        <v>949.00152600000001</v>
      </c>
      <c r="BI507" s="3">
        <v>7.0000000000000001E-3</v>
      </c>
      <c r="BK507" s="3" t="s">
        <v>261</v>
      </c>
      <c r="BL507" s="3">
        <v>0.28999999999999998</v>
      </c>
      <c r="BM507" s="6">
        <v>936.15454099999999</v>
      </c>
      <c r="BN507" s="3">
        <v>1E-3</v>
      </c>
      <c r="BO507" s="3">
        <f t="shared" si="59"/>
        <v>0.29499999999999998</v>
      </c>
    </row>
    <row r="508" spans="1:71" x14ac:dyDescent="0.3">
      <c r="A508" s="3" t="s">
        <v>262</v>
      </c>
      <c r="B508" s="3">
        <v>0.9</v>
      </c>
      <c r="C508" s="3">
        <v>0.5</v>
      </c>
      <c r="D508" s="3">
        <v>0.6</v>
      </c>
      <c r="E508" s="3">
        <v>0.3</v>
      </c>
      <c r="F508" s="6">
        <v>741.83142099999998</v>
      </c>
      <c r="G508" s="3">
        <v>3.0000000000000001E-3</v>
      </c>
      <c r="I508" s="3" t="s">
        <v>262</v>
      </c>
      <c r="J508" s="3">
        <v>0.55000000000000004</v>
      </c>
      <c r="K508" s="7">
        <v>828.81494099999998</v>
      </c>
      <c r="L508" s="3">
        <v>0</v>
      </c>
      <c r="M508" s="3">
        <f t="shared" si="56"/>
        <v>0.42500000000000004</v>
      </c>
      <c r="N508" s="5"/>
      <c r="O508" s="5"/>
      <c r="P508" s="5"/>
      <c r="Q508" s="5"/>
      <c r="R508" s="1"/>
      <c r="S508" s="3" t="s">
        <v>262</v>
      </c>
      <c r="T508" s="3">
        <v>0.9</v>
      </c>
      <c r="U508" s="3">
        <v>0.5</v>
      </c>
      <c r="V508" s="3">
        <v>0.6</v>
      </c>
      <c r="W508" s="3">
        <v>0.3</v>
      </c>
      <c r="X508" s="6">
        <v>724.04480000000001</v>
      </c>
      <c r="Y508" s="3">
        <v>3.0000000000000001E-3</v>
      </c>
      <c r="AA508" s="3" t="s">
        <v>262</v>
      </c>
      <c r="AB508" s="3">
        <v>0.35</v>
      </c>
      <c r="AC508" s="7">
        <v>751.066956</v>
      </c>
      <c r="AD508" s="3">
        <v>0</v>
      </c>
      <c r="AE508" s="3">
        <f t="shared" si="57"/>
        <v>0.32499999999999996</v>
      </c>
      <c r="AF508" s="5"/>
      <c r="AG508" s="5"/>
      <c r="AH508" s="5"/>
      <c r="AI508" s="5"/>
      <c r="AJ508" s="1"/>
      <c r="AK508" s="3" t="s">
        <v>263</v>
      </c>
      <c r="AL508" s="3">
        <v>0.9</v>
      </c>
      <c r="AM508" s="3">
        <v>0.5</v>
      </c>
      <c r="AN508" s="3">
        <v>0.6</v>
      </c>
      <c r="AO508" s="3">
        <v>0.3</v>
      </c>
      <c r="AP508" s="6">
        <v>1008.017456</v>
      </c>
      <c r="AQ508" s="3">
        <v>0.01</v>
      </c>
      <c r="AS508" s="3" t="s">
        <v>263</v>
      </c>
      <c r="AT508" s="3">
        <v>0.87</v>
      </c>
      <c r="AU508" s="7">
        <v>1123.398682</v>
      </c>
      <c r="AV508" s="3">
        <v>1E-3</v>
      </c>
      <c r="AW508" s="3">
        <f t="shared" si="58"/>
        <v>0.58499999999999996</v>
      </c>
      <c r="AX508" s="5"/>
      <c r="AY508" s="5"/>
      <c r="AZ508" s="5"/>
      <c r="BA508" s="5"/>
      <c r="BB508" s="1"/>
      <c r="BC508" s="3" t="s">
        <v>263</v>
      </c>
      <c r="BD508" s="3">
        <v>0.9</v>
      </c>
      <c r="BE508" s="3">
        <v>0.5</v>
      </c>
      <c r="BF508" s="3">
        <v>0.6</v>
      </c>
      <c r="BG508" s="3">
        <v>0.3</v>
      </c>
      <c r="BH508" s="7">
        <v>997.88696300000004</v>
      </c>
      <c r="BI508" s="3">
        <v>8.0000000000000002E-3</v>
      </c>
      <c r="BK508" s="3" t="s">
        <v>263</v>
      </c>
      <c r="BL508" s="3">
        <v>0.01</v>
      </c>
      <c r="BM508" s="6">
        <v>860.98657200000002</v>
      </c>
      <c r="BN508" s="3">
        <v>1E-3</v>
      </c>
      <c r="BO508" s="3">
        <f t="shared" si="59"/>
        <v>0.155</v>
      </c>
    </row>
    <row r="509" spans="1:71" x14ac:dyDescent="0.3">
      <c r="A509" s="3" t="s">
        <v>264</v>
      </c>
      <c r="B509" s="3">
        <v>0.9</v>
      </c>
      <c r="C509" s="3">
        <v>0.5</v>
      </c>
      <c r="D509" s="3">
        <v>0.6</v>
      </c>
      <c r="E509" s="3">
        <v>0.3</v>
      </c>
      <c r="F509" s="6">
        <v>715.06219499999997</v>
      </c>
      <c r="G509" s="3">
        <v>5.0000000000000001E-3</v>
      </c>
      <c r="I509" s="3" t="s">
        <v>264</v>
      </c>
      <c r="J509" s="3">
        <v>0.78</v>
      </c>
      <c r="K509" s="7">
        <v>846.82275400000003</v>
      </c>
      <c r="L509" s="3">
        <v>0</v>
      </c>
      <c r="M509" s="3">
        <f t="shared" si="56"/>
        <v>0.54</v>
      </c>
      <c r="N509" s="5"/>
      <c r="O509" s="5"/>
      <c r="P509" s="5"/>
      <c r="Q509" s="5"/>
      <c r="R509" s="1"/>
      <c r="S509" s="3" t="s">
        <v>264</v>
      </c>
      <c r="T509" s="3">
        <v>0.9</v>
      </c>
      <c r="U509" s="3">
        <v>0.5</v>
      </c>
      <c r="V509" s="3">
        <v>0.6</v>
      </c>
      <c r="W509" s="3">
        <v>0.3</v>
      </c>
      <c r="X509" s="6">
        <v>722.42163100000005</v>
      </c>
      <c r="Y509" s="3">
        <v>3.0000000000000001E-3</v>
      </c>
      <c r="AA509" s="3" t="s">
        <v>264</v>
      </c>
      <c r="AB509" s="3">
        <v>0.5</v>
      </c>
      <c r="AC509" s="7">
        <v>769.60876499999995</v>
      </c>
      <c r="AD509" s="3">
        <v>0</v>
      </c>
      <c r="AE509" s="3">
        <f t="shared" si="57"/>
        <v>0.4</v>
      </c>
      <c r="AF509" s="5"/>
      <c r="AG509" s="5"/>
      <c r="AH509" s="5"/>
      <c r="AI509" s="5"/>
      <c r="AJ509" s="1"/>
      <c r="AK509" s="3" t="s">
        <v>265</v>
      </c>
      <c r="AL509" s="3">
        <v>0.9</v>
      </c>
      <c r="AM509" s="3">
        <v>0.5</v>
      </c>
      <c r="AN509" s="3">
        <v>0.6</v>
      </c>
      <c r="AO509" s="3">
        <v>0.3</v>
      </c>
      <c r="AP509" s="6">
        <v>982.09576400000003</v>
      </c>
      <c r="AQ509" s="3">
        <v>8.9999999999999993E-3</v>
      </c>
      <c r="AS509" s="3" t="s">
        <v>265</v>
      </c>
      <c r="AT509" s="3">
        <v>0.85</v>
      </c>
      <c r="AU509" s="7">
        <v>1141.0935059999999</v>
      </c>
      <c r="AV509" s="3">
        <v>1E-3</v>
      </c>
      <c r="AW509" s="3">
        <f t="shared" si="58"/>
        <v>0.57499999999999996</v>
      </c>
      <c r="AX509" s="5"/>
      <c r="AY509" s="5"/>
      <c r="AZ509" s="5"/>
      <c r="BA509" s="5"/>
      <c r="BB509" s="1"/>
      <c r="BC509" s="3" t="s">
        <v>265</v>
      </c>
      <c r="BD509" s="3">
        <v>0.9</v>
      </c>
      <c r="BE509" s="3">
        <v>0.5</v>
      </c>
      <c r="BF509" s="3">
        <v>0.6</v>
      </c>
      <c r="BG509" s="3">
        <v>0.3</v>
      </c>
      <c r="BH509" s="6">
        <v>967.89294400000006</v>
      </c>
      <c r="BI509" s="3">
        <v>8.0000000000000002E-3</v>
      </c>
      <c r="BK509" s="3" t="s">
        <v>265</v>
      </c>
      <c r="BL509" s="3">
        <v>0.36</v>
      </c>
      <c r="BM509" s="7">
        <v>1005.927185</v>
      </c>
      <c r="BN509" s="3">
        <v>1E-3</v>
      </c>
      <c r="BO509" s="3">
        <f t="shared" si="59"/>
        <v>0.32999999999999996</v>
      </c>
    </row>
    <row r="510" spans="1:71" x14ac:dyDescent="0.3">
      <c r="A510" s="3" t="s">
        <v>266</v>
      </c>
      <c r="B510" s="3">
        <v>0.9</v>
      </c>
      <c r="C510" s="3">
        <v>0.5</v>
      </c>
      <c r="D510" s="3">
        <v>0.6</v>
      </c>
      <c r="E510" s="3">
        <v>0.3</v>
      </c>
      <c r="F510" s="6">
        <v>648.57183799999996</v>
      </c>
      <c r="G510" s="3">
        <v>8.0000000000000002E-3</v>
      </c>
      <c r="I510" s="3" t="s">
        <v>266</v>
      </c>
      <c r="J510" s="3">
        <v>0.69</v>
      </c>
      <c r="K510" s="7">
        <v>705.41662599999995</v>
      </c>
      <c r="L510" s="3">
        <v>0</v>
      </c>
      <c r="M510" s="3">
        <f t="shared" si="56"/>
        <v>0.495</v>
      </c>
      <c r="N510" s="5"/>
      <c r="O510" s="5"/>
      <c r="P510" s="5"/>
      <c r="Q510" s="5"/>
      <c r="R510" s="1"/>
      <c r="S510" s="3" t="s">
        <v>266</v>
      </c>
      <c r="T510" s="3">
        <v>0.9</v>
      </c>
      <c r="U510" s="3">
        <v>0.5</v>
      </c>
      <c r="V510" s="3">
        <v>0.6</v>
      </c>
      <c r="W510" s="3">
        <v>0.3</v>
      </c>
      <c r="X510" s="6">
        <v>630.58752400000003</v>
      </c>
      <c r="Y510" s="3">
        <v>3.0000000000000001E-3</v>
      </c>
      <c r="AA510" s="3" t="s">
        <v>266</v>
      </c>
      <c r="AB510" s="3">
        <v>0.5</v>
      </c>
      <c r="AC510" s="7">
        <v>665.246399</v>
      </c>
      <c r="AD510" s="3">
        <v>0</v>
      </c>
      <c r="AE510" s="3">
        <f t="shared" si="57"/>
        <v>0.4</v>
      </c>
      <c r="AF510" s="5"/>
      <c r="AG510" s="5"/>
      <c r="AH510" s="5"/>
      <c r="AI510" s="5"/>
      <c r="AJ510" s="1"/>
      <c r="AK510" s="3" t="s">
        <v>267</v>
      </c>
      <c r="AL510" s="3">
        <v>0.9</v>
      </c>
      <c r="AM510" s="3">
        <v>0.5</v>
      </c>
      <c r="AN510" s="3">
        <v>0.6</v>
      </c>
      <c r="AO510" s="3">
        <v>0.3</v>
      </c>
      <c r="AP510" s="7">
        <v>1021.6235349999999</v>
      </c>
      <c r="AQ510" s="3">
        <v>0.01</v>
      </c>
      <c r="AS510" s="3" t="s">
        <v>267</v>
      </c>
      <c r="AT510" s="3">
        <v>0.25</v>
      </c>
      <c r="AU510" s="6">
        <v>989.97882100000004</v>
      </c>
      <c r="AV510" s="3">
        <v>1E-3</v>
      </c>
      <c r="AW510" s="3">
        <f t="shared" si="58"/>
        <v>0.27500000000000002</v>
      </c>
      <c r="AX510" s="5"/>
      <c r="AY510" s="5"/>
      <c r="AZ510" s="5"/>
      <c r="BA510" s="5"/>
      <c r="BB510" s="1"/>
      <c r="BC510" s="3" t="s">
        <v>267</v>
      </c>
      <c r="BD510" s="3">
        <v>0.9</v>
      </c>
      <c r="BE510" s="3">
        <v>0.5</v>
      </c>
      <c r="BF510" s="3">
        <v>0.6</v>
      </c>
      <c r="BG510" s="3">
        <v>0.3</v>
      </c>
      <c r="BH510" s="7">
        <v>1009.3192749999999</v>
      </c>
      <c r="BI510" s="3">
        <v>8.0000000000000002E-3</v>
      </c>
      <c r="BK510" s="3" t="s">
        <v>267</v>
      </c>
      <c r="BL510" s="3">
        <v>0.2</v>
      </c>
      <c r="BM510" s="6">
        <v>940.66235400000005</v>
      </c>
      <c r="BN510" s="3">
        <v>1E-3</v>
      </c>
      <c r="BO510" s="3">
        <f t="shared" si="59"/>
        <v>0.25</v>
      </c>
    </row>
    <row r="511" spans="1:71" x14ac:dyDescent="0.3">
      <c r="A511" s="3" t="s">
        <v>268</v>
      </c>
      <c r="B511" s="3">
        <v>0.9</v>
      </c>
      <c r="C511" s="3">
        <v>0.5</v>
      </c>
      <c r="D511" s="3">
        <v>0.6</v>
      </c>
      <c r="E511" s="3">
        <v>0.3</v>
      </c>
      <c r="F511" s="7">
        <v>709.701233</v>
      </c>
      <c r="G511" s="3">
        <v>5.0000000000000001E-3</v>
      </c>
      <c r="I511" s="3" t="s">
        <v>268</v>
      </c>
      <c r="J511" s="3">
        <v>0.25</v>
      </c>
      <c r="K511" s="6">
        <v>693.93573000000004</v>
      </c>
      <c r="L511" s="3">
        <v>0</v>
      </c>
      <c r="M511" s="3">
        <f t="shared" si="56"/>
        <v>0.27500000000000002</v>
      </c>
      <c r="N511" s="5"/>
      <c r="O511" s="5"/>
      <c r="P511" s="5"/>
      <c r="Q511" s="5"/>
      <c r="R511" s="1"/>
      <c r="S511" s="3" t="s">
        <v>268</v>
      </c>
      <c r="T511" s="3">
        <v>0.9</v>
      </c>
      <c r="U511" s="3">
        <v>0.5</v>
      </c>
      <c r="V511" s="3">
        <v>0.6</v>
      </c>
      <c r="W511" s="3">
        <v>0.3</v>
      </c>
      <c r="X511" s="7">
        <v>697.81646699999999</v>
      </c>
      <c r="Y511" s="3">
        <v>4.0000000000000001E-3</v>
      </c>
      <c r="AA511" s="3" t="s">
        <v>268</v>
      </c>
      <c r="AB511" s="3">
        <v>0.11</v>
      </c>
      <c r="AC511" s="6">
        <v>661.70910600000002</v>
      </c>
      <c r="AD511" s="3">
        <v>1E-3</v>
      </c>
      <c r="AE511" s="3">
        <f t="shared" si="57"/>
        <v>0.20499999999999999</v>
      </c>
      <c r="AF511" s="5"/>
      <c r="AG511" s="5"/>
      <c r="AH511" s="5"/>
      <c r="AI511" s="5"/>
      <c r="AJ511" s="1"/>
      <c r="AK511" s="3" t="s">
        <v>269</v>
      </c>
      <c r="AL511" s="3">
        <v>0.9</v>
      </c>
      <c r="AM511" s="3">
        <v>0.5</v>
      </c>
      <c r="AN511" s="3">
        <v>0.6</v>
      </c>
      <c r="AO511" s="3">
        <v>0.3</v>
      </c>
      <c r="AP511" s="7">
        <v>969.22955300000001</v>
      </c>
      <c r="AQ511" s="3">
        <v>8.9999999999999993E-3</v>
      </c>
      <c r="AS511" s="3" t="s">
        <v>269</v>
      </c>
      <c r="AT511" s="3">
        <v>0.19</v>
      </c>
      <c r="AU511" s="6">
        <v>893.55023200000005</v>
      </c>
      <c r="AV511" s="3">
        <v>0</v>
      </c>
      <c r="AW511" s="3">
        <f t="shared" si="58"/>
        <v>0.245</v>
      </c>
      <c r="AX511" s="5"/>
      <c r="AY511" s="5"/>
      <c r="AZ511" s="5"/>
      <c r="BA511" s="5"/>
      <c r="BB511" s="1"/>
      <c r="BC511" s="3" t="s">
        <v>269</v>
      </c>
      <c r="BD511" s="3">
        <v>0.9</v>
      </c>
      <c r="BE511" s="3">
        <v>0.5</v>
      </c>
      <c r="BF511" s="3">
        <v>0.6</v>
      </c>
      <c r="BG511" s="3">
        <v>0.3</v>
      </c>
      <c r="BH511" s="6">
        <v>956.60247800000002</v>
      </c>
      <c r="BI511" s="3">
        <v>8.0000000000000002E-3</v>
      </c>
      <c r="BK511" s="3" t="s">
        <v>269</v>
      </c>
      <c r="BL511" s="3">
        <v>0.31</v>
      </c>
      <c r="BM511" s="7">
        <v>970.06390399999998</v>
      </c>
      <c r="BN511" s="3">
        <v>1E-3</v>
      </c>
      <c r="BO511" s="3">
        <f t="shared" si="59"/>
        <v>0.30499999999999999</v>
      </c>
    </row>
    <row r="512" spans="1:71" x14ac:dyDescent="0.3">
      <c r="A512" s="3" t="s">
        <v>270</v>
      </c>
      <c r="B512" s="3">
        <v>0.9</v>
      </c>
      <c r="C512" s="3">
        <v>0.5</v>
      </c>
      <c r="D512" s="3">
        <v>0.6</v>
      </c>
      <c r="E512" s="3">
        <v>0.3</v>
      </c>
      <c r="F512" s="6">
        <v>621.15045199999997</v>
      </c>
      <c r="G512" s="3">
        <v>2E-3</v>
      </c>
      <c r="I512" s="3" t="s">
        <v>270</v>
      </c>
      <c r="J512" s="3">
        <v>0.79</v>
      </c>
      <c r="K512" s="7">
        <v>690.55584699999997</v>
      </c>
      <c r="L512" s="3">
        <v>0</v>
      </c>
      <c r="M512" s="3">
        <f t="shared" si="56"/>
        <v>0.54500000000000004</v>
      </c>
      <c r="N512" s="5"/>
      <c r="O512" s="5"/>
      <c r="P512" s="5"/>
      <c r="Q512" s="5"/>
      <c r="R512" s="1"/>
      <c r="S512" s="3" t="s">
        <v>270</v>
      </c>
      <c r="T512" s="3">
        <v>0.9</v>
      </c>
      <c r="U512" s="3">
        <v>0.5</v>
      </c>
      <c r="V512" s="3">
        <v>0.6</v>
      </c>
      <c r="W512" s="3">
        <v>0.3</v>
      </c>
      <c r="X512" s="6">
        <v>599.91198699999995</v>
      </c>
      <c r="Y512" s="3">
        <v>4.0000000000000001E-3</v>
      </c>
      <c r="AA512" s="3" t="s">
        <v>270</v>
      </c>
      <c r="AB512" s="3">
        <v>0.88</v>
      </c>
      <c r="AC512" s="7">
        <v>685.51788299999998</v>
      </c>
      <c r="AD512" s="3">
        <v>0</v>
      </c>
      <c r="AE512" s="3">
        <f t="shared" si="57"/>
        <v>0.59</v>
      </c>
      <c r="AF512" s="5"/>
      <c r="AG512" s="5"/>
      <c r="AH512" s="5"/>
      <c r="AI512" s="5"/>
      <c r="AJ512" s="1"/>
      <c r="AK512" s="3" t="s">
        <v>271</v>
      </c>
      <c r="AL512" s="3">
        <v>0.9</v>
      </c>
      <c r="AM512" s="3">
        <v>0.5</v>
      </c>
      <c r="AN512" s="3">
        <v>0.6</v>
      </c>
      <c r="AO512" s="3">
        <v>0.3</v>
      </c>
      <c r="AP512" s="6">
        <v>992.293091</v>
      </c>
      <c r="AQ512" s="3">
        <v>0.01</v>
      </c>
      <c r="AS512" s="3" t="s">
        <v>271</v>
      </c>
      <c r="AT512" s="3">
        <v>0.38</v>
      </c>
      <c r="AU512" s="7">
        <v>1010.351074</v>
      </c>
      <c r="AV512" s="3">
        <v>1E-3</v>
      </c>
      <c r="AW512" s="3">
        <f t="shared" si="58"/>
        <v>0.33999999999999997</v>
      </c>
      <c r="AX512" s="5"/>
      <c r="AY512" s="5"/>
      <c r="AZ512" s="5"/>
      <c r="BA512" s="5"/>
      <c r="BB512" s="1"/>
      <c r="BC512" s="3" t="s">
        <v>271</v>
      </c>
      <c r="BD512" s="3">
        <v>0.9</v>
      </c>
      <c r="BE512" s="3">
        <v>0.5</v>
      </c>
      <c r="BF512" s="3">
        <v>0.6</v>
      </c>
      <c r="BG512" s="3">
        <v>0.3</v>
      </c>
      <c r="BH512" s="6">
        <v>970.82843000000003</v>
      </c>
      <c r="BI512" s="3">
        <v>8.0000000000000002E-3</v>
      </c>
      <c r="BK512" s="3" t="s">
        <v>271</v>
      </c>
      <c r="BL512" s="3">
        <v>0.43</v>
      </c>
      <c r="BM512" s="7">
        <v>1023.205811</v>
      </c>
      <c r="BN512" s="3">
        <v>1E-3</v>
      </c>
      <c r="BO512" s="3">
        <f t="shared" si="59"/>
        <v>0.36499999999999999</v>
      </c>
    </row>
    <row r="513" spans="1:67" x14ac:dyDescent="0.3">
      <c r="A513" s="3" t="s">
        <v>272</v>
      </c>
      <c r="B513" s="3">
        <v>0.9</v>
      </c>
      <c r="C513" s="3">
        <v>0.5</v>
      </c>
      <c r="D513" s="3">
        <v>0.6</v>
      </c>
      <c r="E513" s="3">
        <v>0.3</v>
      </c>
      <c r="F513" s="6">
        <v>763.63147000000004</v>
      </c>
      <c r="G513" s="3">
        <v>0.01</v>
      </c>
      <c r="I513" s="3" t="s">
        <v>272</v>
      </c>
      <c r="J513" s="3">
        <v>0.73</v>
      </c>
      <c r="K513" s="7">
        <v>880.61328100000003</v>
      </c>
      <c r="L513" s="3">
        <v>1E-3</v>
      </c>
      <c r="M513" s="3">
        <f t="shared" si="56"/>
        <v>0.51500000000000001</v>
      </c>
      <c r="N513" s="5"/>
      <c r="O513" s="5"/>
      <c r="P513" s="5"/>
      <c r="Q513" s="5"/>
      <c r="R513" s="1"/>
      <c r="S513" s="3" t="s">
        <v>272</v>
      </c>
      <c r="T513" s="3">
        <v>0.9</v>
      </c>
      <c r="U513" s="3">
        <v>0.5</v>
      </c>
      <c r="V513" s="3">
        <v>0.6</v>
      </c>
      <c r="W513" s="3">
        <v>0.3</v>
      </c>
      <c r="X513" s="6">
        <v>758.83270300000004</v>
      </c>
      <c r="Y513" s="3">
        <v>3.0000000000000001E-3</v>
      </c>
      <c r="AA513" s="3" t="s">
        <v>272</v>
      </c>
      <c r="AB513" s="3">
        <v>0.85</v>
      </c>
      <c r="AC513" s="7">
        <v>901.28094499999997</v>
      </c>
      <c r="AD513" s="3">
        <v>0</v>
      </c>
      <c r="AE513" s="3">
        <f t="shared" si="57"/>
        <v>0.57499999999999996</v>
      </c>
      <c r="AF513" s="5"/>
      <c r="AG513" s="5"/>
      <c r="AH513" s="5"/>
      <c r="AI513" s="5"/>
      <c r="AJ513" s="1"/>
      <c r="AK513" s="3" t="s">
        <v>273</v>
      </c>
      <c r="AL513" s="3">
        <v>0.9</v>
      </c>
      <c r="AM513" s="3">
        <v>0.5</v>
      </c>
      <c r="AN513" s="3">
        <v>0.6</v>
      </c>
      <c r="AO513" s="3">
        <v>0.3</v>
      </c>
      <c r="AP513" s="6">
        <v>1011.3010860000001</v>
      </c>
      <c r="AQ513" s="3">
        <v>1.2999999999999999E-2</v>
      </c>
      <c r="AS513" s="3" t="s">
        <v>273</v>
      </c>
      <c r="AT513" s="3">
        <v>0.36</v>
      </c>
      <c r="AU513" s="7">
        <v>1038.105591</v>
      </c>
      <c r="AV513" s="3">
        <v>0</v>
      </c>
      <c r="AW513" s="3">
        <f t="shared" si="58"/>
        <v>0.32999999999999996</v>
      </c>
      <c r="AX513" s="5"/>
      <c r="AY513" s="5"/>
      <c r="AZ513" s="5"/>
      <c r="BA513" s="5"/>
      <c r="BB513" s="1"/>
      <c r="BC513" s="3" t="s">
        <v>273</v>
      </c>
      <c r="BD513" s="3">
        <v>0.9</v>
      </c>
      <c r="BE513" s="3">
        <v>0.5</v>
      </c>
      <c r="BF513" s="3">
        <v>0.6</v>
      </c>
      <c r="BG513" s="3">
        <v>0.3</v>
      </c>
      <c r="BH513" s="6">
        <v>1009.639771</v>
      </c>
      <c r="BI513" s="3">
        <v>8.9999999999999993E-3</v>
      </c>
      <c r="BK513" s="3" t="s">
        <v>273</v>
      </c>
      <c r="BL513" s="3">
        <v>0.85</v>
      </c>
      <c r="BM513" s="7">
        <v>1168.1667480000001</v>
      </c>
      <c r="BN513" s="3">
        <v>0</v>
      </c>
      <c r="BO513" s="3">
        <f t="shared" si="59"/>
        <v>0.57499999999999996</v>
      </c>
    </row>
    <row r="514" spans="1:67" x14ac:dyDescent="0.3">
      <c r="A514" s="3" t="s">
        <v>274</v>
      </c>
      <c r="B514" s="3">
        <v>0.9</v>
      </c>
      <c r="C514" s="3">
        <v>0.5</v>
      </c>
      <c r="D514" s="3">
        <v>0.6</v>
      </c>
      <c r="E514" s="3">
        <v>0.3</v>
      </c>
      <c r="F514" s="6">
        <v>803.24688700000002</v>
      </c>
      <c r="G514" s="3">
        <v>3.0000000000000001E-3</v>
      </c>
      <c r="I514" s="3" t="s">
        <v>274</v>
      </c>
      <c r="J514" s="3">
        <v>0.5</v>
      </c>
      <c r="K514" s="7">
        <v>858.99383499999999</v>
      </c>
      <c r="L514" s="3">
        <v>0</v>
      </c>
      <c r="M514" s="3">
        <f t="shared" si="56"/>
        <v>0.4</v>
      </c>
      <c r="N514" s="5"/>
      <c r="O514" s="5"/>
      <c r="P514" s="5"/>
      <c r="Q514" s="5"/>
      <c r="R514" s="1"/>
      <c r="S514" s="3" t="s">
        <v>274</v>
      </c>
      <c r="T514" s="3">
        <v>0.9</v>
      </c>
      <c r="U514" s="3">
        <v>0.5</v>
      </c>
      <c r="V514" s="3">
        <v>0.6</v>
      </c>
      <c r="W514" s="3">
        <v>0.3</v>
      </c>
      <c r="X514" s="6">
        <v>824.87976100000003</v>
      </c>
      <c r="Y514" s="3">
        <v>8.0000000000000002E-3</v>
      </c>
      <c r="AA514" s="3" t="s">
        <v>274</v>
      </c>
      <c r="AB514" s="3">
        <v>0.43</v>
      </c>
      <c r="AC514" s="7">
        <v>861.06359899999995</v>
      </c>
      <c r="AD514" s="3">
        <v>0</v>
      </c>
      <c r="AE514" s="3">
        <f t="shared" si="57"/>
        <v>0.36499999999999999</v>
      </c>
      <c r="AF514" s="5"/>
      <c r="AG514" s="5"/>
      <c r="AH514" s="5"/>
      <c r="AI514" s="5"/>
      <c r="AJ514" s="1"/>
      <c r="AK514" s="3" t="s">
        <v>275</v>
      </c>
      <c r="AL514" s="3">
        <v>0.9</v>
      </c>
      <c r="AM514" s="3">
        <v>0.5</v>
      </c>
      <c r="AN514" s="3">
        <v>0.6</v>
      </c>
      <c r="AO514" s="3">
        <v>0.3</v>
      </c>
      <c r="AP514" s="6">
        <v>1104.543823</v>
      </c>
      <c r="AQ514" s="3">
        <v>1.7000000000000001E-2</v>
      </c>
      <c r="AS514" s="3" t="s">
        <v>275</v>
      </c>
      <c r="AT514" s="3">
        <v>0.85</v>
      </c>
      <c r="AU514" s="7">
        <v>1361.3741460000001</v>
      </c>
      <c r="AV514" s="3">
        <v>1E-3</v>
      </c>
      <c r="AW514" s="3">
        <f t="shared" si="58"/>
        <v>0.57499999999999996</v>
      </c>
      <c r="AX514" s="5"/>
      <c r="AY514" s="5"/>
      <c r="AZ514" s="5"/>
      <c r="BA514" s="5"/>
      <c r="BB514" s="1"/>
      <c r="BC514" s="3" t="s">
        <v>275</v>
      </c>
      <c r="BD514" s="3">
        <v>0.9</v>
      </c>
      <c r="BE514" s="3">
        <v>0.5</v>
      </c>
      <c r="BF514" s="3">
        <v>0.6</v>
      </c>
      <c r="BG514" s="3">
        <v>0.3</v>
      </c>
      <c r="BH514" s="7">
        <v>1113.980957</v>
      </c>
      <c r="BI514" s="3">
        <v>8.9999999999999993E-3</v>
      </c>
      <c r="BK514" s="3" t="s">
        <v>275</v>
      </c>
      <c r="BL514" s="3">
        <v>0.03</v>
      </c>
      <c r="BM514" s="6">
        <v>918.29919400000006</v>
      </c>
      <c r="BN514" s="3">
        <v>1E-3</v>
      </c>
      <c r="BO514" s="3">
        <f t="shared" si="59"/>
        <v>0.16499999999999998</v>
      </c>
    </row>
    <row r="515" spans="1:67" x14ac:dyDescent="0.3">
      <c r="A515" s="3" t="s">
        <v>276</v>
      </c>
      <c r="B515" s="3">
        <v>0.9</v>
      </c>
      <c r="C515" s="3">
        <v>0.5</v>
      </c>
      <c r="D515" s="3">
        <v>0.6</v>
      </c>
      <c r="E515" s="3">
        <v>0.3</v>
      </c>
      <c r="F515" s="6">
        <v>702.81957999999997</v>
      </c>
      <c r="G515" s="3">
        <v>3.0000000000000001E-3</v>
      </c>
      <c r="I515" s="3" t="s">
        <v>276</v>
      </c>
      <c r="J515" s="3">
        <v>0.76</v>
      </c>
      <c r="K515" s="7">
        <v>841.83685300000002</v>
      </c>
      <c r="L515" s="3">
        <v>0</v>
      </c>
      <c r="M515" s="3">
        <f t="shared" si="56"/>
        <v>0.53</v>
      </c>
      <c r="N515" s="5"/>
      <c r="O515" s="5"/>
      <c r="P515" s="5"/>
      <c r="Q515" s="5"/>
      <c r="R515" s="1"/>
      <c r="S515" s="3" t="s">
        <v>276</v>
      </c>
      <c r="T515" s="3">
        <v>0.9</v>
      </c>
      <c r="U515" s="3">
        <v>0.5</v>
      </c>
      <c r="V515" s="3">
        <v>0.6</v>
      </c>
      <c r="W515" s="3">
        <v>0.3</v>
      </c>
      <c r="X515" s="6">
        <v>698.92034899999999</v>
      </c>
      <c r="Y515" s="3">
        <v>2E-3</v>
      </c>
      <c r="AA515" s="3" t="s">
        <v>276</v>
      </c>
      <c r="AB515" s="3">
        <v>0.47</v>
      </c>
      <c r="AC515" s="7">
        <v>756.37420699999996</v>
      </c>
      <c r="AD515" s="3">
        <v>0</v>
      </c>
      <c r="AE515" s="3">
        <f t="shared" si="57"/>
        <v>0.38500000000000001</v>
      </c>
      <c r="AF515" s="5"/>
      <c r="AG515" s="5"/>
      <c r="AH515" s="5"/>
      <c r="AI515" s="5"/>
      <c r="AJ515" s="1"/>
      <c r="AK515" s="3" t="s">
        <v>277</v>
      </c>
      <c r="AL515" s="3">
        <v>0.9</v>
      </c>
      <c r="AM515" s="3">
        <v>0.5</v>
      </c>
      <c r="AN515" s="3">
        <v>0.6</v>
      </c>
      <c r="AO515" s="3">
        <v>0.3</v>
      </c>
      <c r="AP515" s="6">
        <v>1007.628723</v>
      </c>
      <c r="AQ515" s="3">
        <v>1.2E-2</v>
      </c>
      <c r="AS515" s="3" t="s">
        <v>277</v>
      </c>
      <c r="AT515" s="3">
        <v>0.63</v>
      </c>
      <c r="AU515" s="7">
        <v>1164.369263</v>
      </c>
      <c r="AV515" s="3">
        <v>1E-3</v>
      </c>
      <c r="AW515" s="3">
        <f t="shared" si="58"/>
        <v>0.46499999999999997</v>
      </c>
      <c r="AX515" s="5"/>
      <c r="AY515" s="5"/>
      <c r="AZ515" s="5"/>
      <c r="BA515" s="5"/>
      <c r="BB515" s="1"/>
      <c r="BC515" s="3" t="s">
        <v>277</v>
      </c>
      <c r="BD515" s="3">
        <v>0.9</v>
      </c>
      <c r="BE515" s="3">
        <v>0.5</v>
      </c>
      <c r="BF515" s="3">
        <v>0.6</v>
      </c>
      <c r="BG515" s="3">
        <v>0.3</v>
      </c>
      <c r="BH515" s="6">
        <v>991.24267599999996</v>
      </c>
      <c r="BI515" s="3">
        <v>8.9999999999999993E-3</v>
      </c>
      <c r="BK515" s="3" t="s">
        <v>277</v>
      </c>
      <c r="BL515" s="3">
        <v>0.39</v>
      </c>
      <c r="BM515" s="7">
        <v>1055.911865</v>
      </c>
      <c r="BN515" s="3">
        <v>1E-3</v>
      </c>
      <c r="BO515" s="3">
        <f t="shared" si="59"/>
        <v>0.34499999999999997</v>
      </c>
    </row>
    <row r="516" spans="1:67" x14ac:dyDescent="0.3">
      <c r="A516" s="3" t="s">
        <v>278</v>
      </c>
      <c r="B516" s="3">
        <v>0.9</v>
      </c>
      <c r="C516" s="3">
        <v>0.5</v>
      </c>
      <c r="D516" s="3">
        <v>0.6</v>
      </c>
      <c r="E516" s="3">
        <v>0.3</v>
      </c>
      <c r="F516" s="6">
        <v>664.71575900000005</v>
      </c>
      <c r="G516" s="3">
        <v>6.0000000000000001E-3</v>
      </c>
      <c r="I516" s="3" t="s">
        <v>278</v>
      </c>
      <c r="J516" s="3">
        <v>0.3</v>
      </c>
      <c r="K516" s="7">
        <v>666.45281999999997</v>
      </c>
      <c r="L516" s="3">
        <v>1E-3</v>
      </c>
      <c r="M516" s="3">
        <f t="shared" si="56"/>
        <v>0.3</v>
      </c>
      <c r="N516" s="5"/>
      <c r="O516" s="5"/>
      <c r="P516" s="5"/>
      <c r="Q516" s="5"/>
      <c r="R516" s="1"/>
      <c r="S516" s="3" t="s">
        <v>278</v>
      </c>
      <c r="T516" s="3">
        <v>0.9</v>
      </c>
      <c r="U516" s="3">
        <v>0.5</v>
      </c>
      <c r="V516" s="3">
        <v>0.6</v>
      </c>
      <c r="W516" s="3">
        <v>0.3</v>
      </c>
      <c r="X516" s="7">
        <v>653.32379200000003</v>
      </c>
      <c r="Y516" s="3">
        <v>3.0000000000000001E-3</v>
      </c>
      <c r="AA516" s="3" t="s">
        <v>278</v>
      </c>
      <c r="AB516" s="3">
        <v>0.21</v>
      </c>
      <c r="AC516" s="6">
        <v>617.87616000000003</v>
      </c>
      <c r="AD516" s="3">
        <v>0</v>
      </c>
      <c r="AE516" s="3">
        <f t="shared" si="57"/>
        <v>0.255</v>
      </c>
      <c r="AF516" s="5"/>
      <c r="AG516" s="5"/>
      <c r="AH516" s="5"/>
      <c r="AI516" s="5"/>
      <c r="AJ516" s="1"/>
      <c r="AK516" s="3" t="s">
        <v>279</v>
      </c>
      <c r="AL516" s="3">
        <v>0.9</v>
      </c>
      <c r="AM516" s="3">
        <v>0.5</v>
      </c>
      <c r="AN516" s="3">
        <v>0.6</v>
      </c>
      <c r="AO516" s="3">
        <v>0.3</v>
      </c>
      <c r="AP516" s="6">
        <v>1139.899658</v>
      </c>
      <c r="AQ516" s="3">
        <v>1.4E-2</v>
      </c>
      <c r="AS516" s="3" t="s">
        <v>279</v>
      </c>
      <c r="AT516" s="3">
        <v>0.56999999999999995</v>
      </c>
      <c r="AU516" s="7">
        <v>1266.634888</v>
      </c>
      <c r="AV516" s="3">
        <v>1E-3</v>
      </c>
      <c r="AW516" s="3">
        <f t="shared" si="58"/>
        <v>0.43499999999999994</v>
      </c>
      <c r="AX516" s="5"/>
      <c r="AY516" s="5"/>
      <c r="AZ516" s="5"/>
      <c r="BA516" s="5"/>
      <c r="BB516" s="1"/>
      <c r="BC516" s="3" t="s">
        <v>279</v>
      </c>
      <c r="BD516" s="3">
        <v>0.9</v>
      </c>
      <c r="BE516" s="3">
        <v>0.5</v>
      </c>
      <c r="BF516" s="3">
        <v>0.6</v>
      </c>
      <c r="BG516" s="3">
        <v>0.3</v>
      </c>
      <c r="BH516" s="6">
        <v>1121.287231</v>
      </c>
      <c r="BI516" s="3">
        <v>8.9999999999999993E-3</v>
      </c>
      <c r="BK516" s="3" t="s">
        <v>279</v>
      </c>
      <c r="BL516" s="3">
        <v>0.32</v>
      </c>
      <c r="BM516" s="7">
        <v>1139.5086670000001</v>
      </c>
      <c r="BN516" s="3">
        <v>1E-3</v>
      </c>
      <c r="BO516" s="3">
        <f t="shared" si="59"/>
        <v>0.31</v>
      </c>
    </row>
    <row r="517" spans="1:67" x14ac:dyDescent="0.3">
      <c r="A517" s="3" t="s">
        <v>280</v>
      </c>
      <c r="B517" s="3">
        <v>0.9</v>
      </c>
      <c r="C517" s="3">
        <v>0.5</v>
      </c>
      <c r="D517" s="3">
        <v>0.6</v>
      </c>
      <c r="E517" s="3">
        <v>0.3</v>
      </c>
      <c r="F517" s="6">
        <v>925.68896500000005</v>
      </c>
      <c r="G517" s="3">
        <v>5.0000000000000001E-3</v>
      </c>
      <c r="I517" s="3" t="s">
        <v>280</v>
      </c>
      <c r="J517" s="3">
        <v>0.75</v>
      </c>
      <c r="K517" s="7">
        <v>1022.753235</v>
      </c>
      <c r="L517" s="3">
        <v>0</v>
      </c>
      <c r="M517" s="3">
        <f t="shared" si="56"/>
        <v>0.52500000000000002</v>
      </c>
      <c r="N517" s="5"/>
      <c r="O517" s="5"/>
      <c r="P517" s="5"/>
      <c r="Q517" s="5"/>
      <c r="R517" s="1"/>
      <c r="S517" s="3" t="s">
        <v>280</v>
      </c>
      <c r="T517" s="3">
        <v>0.9</v>
      </c>
      <c r="U517" s="3">
        <v>0.5</v>
      </c>
      <c r="V517" s="3">
        <v>0.6</v>
      </c>
      <c r="W517" s="3">
        <v>0.3</v>
      </c>
      <c r="X517" s="6">
        <v>896.40033000000005</v>
      </c>
      <c r="Y517" s="3">
        <v>4.0000000000000001E-3</v>
      </c>
      <c r="AA517" s="3" t="s">
        <v>280</v>
      </c>
      <c r="AB517" s="3">
        <v>0.46</v>
      </c>
      <c r="AC517" s="7">
        <v>970.58148200000005</v>
      </c>
      <c r="AD517" s="3">
        <v>0</v>
      </c>
      <c r="AE517" s="3">
        <f t="shared" si="57"/>
        <v>0.38</v>
      </c>
      <c r="AF517" s="5"/>
      <c r="AG517" s="5"/>
      <c r="AH517" s="5"/>
      <c r="AI517" s="5"/>
      <c r="AJ517" s="1"/>
      <c r="AK517" s="3" t="s">
        <v>281</v>
      </c>
      <c r="AL517" s="3">
        <v>0.9</v>
      </c>
      <c r="AM517" s="3">
        <v>0.5</v>
      </c>
      <c r="AN517" s="3">
        <v>0.6</v>
      </c>
      <c r="AO517" s="3">
        <v>0.3</v>
      </c>
      <c r="AP517" s="6">
        <v>1073.1523440000001</v>
      </c>
      <c r="AQ517" s="3">
        <v>2.1999999999999999E-2</v>
      </c>
      <c r="AS517" s="3" t="s">
        <v>281</v>
      </c>
      <c r="AT517" s="3">
        <v>0.52</v>
      </c>
      <c r="AU517" s="7">
        <v>1199.1547849999999</v>
      </c>
      <c r="AV517" s="3">
        <v>1E-3</v>
      </c>
      <c r="AW517" s="3">
        <f t="shared" si="58"/>
        <v>0.41000000000000003</v>
      </c>
      <c r="AX517" s="5"/>
      <c r="AY517" s="5"/>
      <c r="AZ517" s="5"/>
      <c r="BA517" s="5"/>
      <c r="BB517" s="1"/>
      <c r="BC517" s="3" t="s">
        <v>281</v>
      </c>
      <c r="BD517" s="3">
        <v>0.9</v>
      </c>
      <c r="BE517" s="3">
        <v>0.5</v>
      </c>
      <c r="BF517" s="3">
        <v>0.6</v>
      </c>
      <c r="BG517" s="3">
        <v>0.3</v>
      </c>
      <c r="BH517" s="6">
        <v>1076.3323969999999</v>
      </c>
      <c r="BI517" s="3">
        <v>8.9999999999999993E-3</v>
      </c>
      <c r="BK517" s="3" t="s">
        <v>281</v>
      </c>
      <c r="BL517" s="3">
        <v>0.69</v>
      </c>
      <c r="BM517" s="7">
        <v>1267.189697</v>
      </c>
      <c r="BN517" s="3">
        <v>1E-3</v>
      </c>
      <c r="BO517" s="3">
        <f t="shared" si="59"/>
        <v>0.495</v>
      </c>
    </row>
    <row r="518" spans="1:67" x14ac:dyDescent="0.3">
      <c r="A518" s="3" t="s">
        <v>282</v>
      </c>
      <c r="B518" s="3">
        <v>0.9</v>
      </c>
      <c r="C518" s="3">
        <v>0.5</v>
      </c>
      <c r="D518" s="3">
        <v>0.6</v>
      </c>
      <c r="E518" s="3">
        <v>0.3</v>
      </c>
      <c r="F518" s="6">
        <v>775.99108899999999</v>
      </c>
      <c r="G518" s="3">
        <v>6.0000000000000001E-3</v>
      </c>
      <c r="I518" s="3" t="s">
        <v>282</v>
      </c>
      <c r="J518" s="3">
        <v>0.61</v>
      </c>
      <c r="K518" s="7">
        <v>962.25323500000002</v>
      </c>
      <c r="L518" s="3">
        <v>1E-3</v>
      </c>
      <c r="M518" s="3">
        <f t="shared" si="56"/>
        <v>0.45499999999999996</v>
      </c>
      <c r="N518" s="5"/>
      <c r="O518" s="5"/>
      <c r="P518" s="5"/>
      <c r="Q518" s="5"/>
      <c r="R518" s="1"/>
      <c r="S518" s="3" t="s">
        <v>282</v>
      </c>
      <c r="T518" s="3">
        <v>0.9</v>
      </c>
      <c r="U518" s="3">
        <v>0.5</v>
      </c>
      <c r="V518" s="3">
        <v>0.6</v>
      </c>
      <c r="W518" s="3">
        <v>0.3</v>
      </c>
      <c r="X518" s="7">
        <v>777.28002900000001</v>
      </c>
      <c r="Y518" s="3">
        <v>4.0000000000000001E-3</v>
      </c>
      <c r="AA518" s="3" t="s">
        <v>282</v>
      </c>
      <c r="AB518" s="3">
        <v>0.16</v>
      </c>
      <c r="AC518" s="6">
        <v>706.66821300000004</v>
      </c>
      <c r="AD518" s="3">
        <v>0</v>
      </c>
      <c r="AE518" s="3">
        <f t="shared" si="57"/>
        <v>0.22999999999999998</v>
      </c>
      <c r="AF518" s="5"/>
      <c r="AG518" s="5"/>
      <c r="AH518" s="5"/>
      <c r="AI518" s="5"/>
      <c r="AJ518" s="1"/>
      <c r="AK518" s="3" t="s">
        <v>283</v>
      </c>
      <c r="AL518" s="3">
        <v>0.9</v>
      </c>
      <c r="AM518" s="3">
        <v>0.5</v>
      </c>
      <c r="AN518" s="3">
        <v>0.6</v>
      </c>
      <c r="AO518" s="3">
        <v>0.3</v>
      </c>
      <c r="AP518" s="6">
        <v>1021.56073</v>
      </c>
      <c r="AQ518" s="3">
        <v>0.01</v>
      </c>
      <c r="AS518" s="3" t="s">
        <v>283</v>
      </c>
      <c r="AT518" s="3">
        <v>0.7</v>
      </c>
      <c r="AU518" s="7">
        <v>1222.860962</v>
      </c>
      <c r="AV518" s="3">
        <v>2E-3</v>
      </c>
      <c r="AW518" s="3">
        <f t="shared" si="58"/>
        <v>0.5</v>
      </c>
      <c r="AX518" s="5"/>
      <c r="AY518" s="5"/>
      <c r="AZ518" s="5"/>
      <c r="BA518" s="5"/>
      <c r="BB518" s="1"/>
      <c r="BC518" s="3" t="s">
        <v>283</v>
      </c>
      <c r="BD518" s="3">
        <v>0.9</v>
      </c>
      <c r="BE518" s="3">
        <v>0.5</v>
      </c>
      <c r="BF518" s="3">
        <v>0.6</v>
      </c>
      <c r="BG518" s="3">
        <v>0.3</v>
      </c>
      <c r="BH518" s="6">
        <v>1027.5946039999999</v>
      </c>
      <c r="BI518" s="3">
        <v>8.9999999999999993E-3</v>
      </c>
      <c r="BK518" s="3" t="s">
        <v>283</v>
      </c>
      <c r="BL518" s="3">
        <v>0.92</v>
      </c>
      <c r="BM518" s="7">
        <v>1280.0634769999999</v>
      </c>
      <c r="BN518" s="3">
        <v>1E-3</v>
      </c>
      <c r="BO518" s="3">
        <f t="shared" si="59"/>
        <v>0.61</v>
      </c>
    </row>
    <row r="519" spans="1:67" x14ac:dyDescent="0.3">
      <c r="A519" s="3" t="s">
        <v>284</v>
      </c>
      <c r="B519" s="3">
        <v>0.9</v>
      </c>
      <c r="C519" s="3">
        <v>0.5</v>
      </c>
      <c r="D519" s="3">
        <v>0.6</v>
      </c>
      <c r="E519" s="3">
        <v>0.3</v>
      </c>
      <c r="F519" s="7">
        <v>860.33441200000004</v>
      </c>
      <c r="G519" s="3">
        <v>5.0000000000000001E-3</v>
      </c>
      <c r="I519" s="3" t="s">
        <v>284</v>
      </c>
      <c r="J519" s="3">
        <v>0.11</v>
      </c>
      <c r="K519" s="6">
        <v>732.87811299999998</v>
      </c>
      <c r="L519" s="3">
        <v>0</v>
      </c>
      <c r="M519" s="3">
        <f t="shared" si="56"/>
        <v>0.20499999999999999</v>
      </c>
      <c r="N519" s="5"/>
      <c r="O519" s="5"/>
      <c r="P519" s="5"/>
      <c r="Q519" s="5"/>
      <c r="R519" s="1"/>
      <c r="S519" s="3" t="s">
        <v>284</v>
      </c>
      <c r="T519" s="3">
        <v>0.9</v>
      </c>
      <c r="U519" s="3">
        <v>0.5</v>
      </c>
      <c r="V519" s="3">
        <v>0.6</v>
      </c>
      <c r="W519" s="3">
        <v>0.3</v>
      </c>
      <c r="X519" s="6">
        <v>840.94000200000005</v>
      </c>
      <c r="Y519" s="3">
        <v>3.0000000000000001E-3</v>
      </c>
      <c r="AA519" s="3" t="s">
        <v>284</v>
      </c>
      <c r="AB519" s="3">
        <v>0.81</v>
      </c>
      <c r="AC519" s="7">
        <v>957.68328899999995</v>
      </c>
      <c r="AD519" s="3">
        <v>0</v>
      </c>
      <c r="AE519" s="3">
        <f t="shared" si="57"/>
        <v>0.55500000000000005</v>
      </c>
      <c r="AF519" s="5"/>
      <c r="AG519" s="5"/>
      <c r="AH519" s="5"/>
      <c r="AI519" s="5"/>
      <c r="AJ519" s="1"/>
      <c r="AK519" s="3" t="s">
        <v>285</v>
      </c>
      <c r="AL519" s="3">
        <v>0.9</v>
      </c>
      <c r="AM519" s="3">
        <v>0.5</v>
      </c>
      <c r="AN519" s="3">
        <v>0.6</v>
      </c>
      <c r="AO519" s="3">
        <v>0.3</v>
      </c>
      <c r="AP519" s="6">
        <v>1102.1442870000001</v>
      </c>
      <c r="AQ519" s="3">
        <v>1.4999999999999999E-2</v>
      </c>
      <c r="AS519" s="3" t="s">
        <v>285</v>
      </c>
      <c r="AT519" s="3">
        <v>0.65</v>
      </c>
      <c r="AU519" s="7">
        <v>1266.9697269999999</v>
      </c>
      <c r="AV519" s="3">
        <v>1E-3</v>
      </c>
      <c r="AW519" s="3">
        <f t="shared" si="58"/>
        <v>0.47499999999999998</v>
      </c>
      <c r="AX519" s="5"/>
      <c r="AY519" s="5"/>
      <c r="AZ519" s="5"/>
      <c r="BA519" s="5"/>
      <c r="BB519" s="1"/>
      <c r="BC519" s="3" t="s">
        <v>285</v>
      </c>
      <c r="BD519" s="3">
        <v>0.9</v>
      </c>
      <c r="BE519" s="3">
        <v>0.5</v>
      </c>
      <c r="BF519" s="3">
        <v>0.6</v>
      </c>
      <c r="BG519" s="3">
        <v>0.3</v>
      </c>
      <c r="BH519" s="6">
        <v>1096.976807</v>
      </c>
      <c r="BI519" s="3">
        <v>0.01</v>
      </c>
      <c r="BK519" s="3" t="s">
        <v>285</v>
      </c>
      <c r="BL519" s="3">
        <v>0.76</v>
      </c>
      <c r="BM519" s="7">
        <v>1306.626953</v>
      </c>
      <c r="BN519" s="3">
        <v>1E-3</v>
      </c>
      <c r="BO519" s="3">
        <f t="shared" si="59"/>
        <v>0.53</v>
      </c>
    </row>
    <row r="520" spans="1:67" x14ac:dyDescent="0.3">
      <c r="A520" s="3" t="s">
        <v>286</v>
      </c>
      <c r="B520" s="3">
        <v>0.9</v>
      </c>
      <c r="C520" s="3">
        <v>0.5</v>
      </c>
      <c r="D520" s="3">
        <v>0.6</v>
      </c>
      <c r="E520" s="3">
        <v>0.3</v>
      </c>
      <c r="F520" s="6">
        <v>716.30224599999997</v>
      </c>
      <c r="G520" s="3">
        <v>5.0000000000000001E-3</v>
      </c>
      <c r="I520" s="3" t="s">
        <v>286</v>
      </c>
      <c r="J520" s="3">
        <v>0.72</v>
      </c>
      <c r="K520" s="7">
        <v>859.45092799999998</v>
      </c>
      <c r="L520" s="3">
        <v>0</v>
      </c>
      <c r="M520" s="3">
        <f t="shared" si="56"/>
        <v>0.51</v>
      </c>
      <c r="N520" s="5"/>
      <c r="O520" s="5"/>
      <c r="P520" s="5"/>
      <c r="Q520" s="5"/>
      <c r="R520" s="1"/>
      <c r="S520" s="3" t="s">
        <v>286</v>
      </c>
      <c r="T520" s="3">
        <v>0.9</v>
      </c>
      <c r="U520" s="3">
        <v>0.5</v>
      </c>
      <c r="V520" s="3">
        <v>0.6</v>
      </c>
      <c r="W520" s="3">
        <v>0.3</v>
      </c>
      <c r="X520" s="7">
        <v>713.91351299999997</v>
      </c>
      <c r="Y520" s="3">
        <v>3.0000000000000001E-3</v>
      </c>
      <c r="AA520" s="3" t="s">
        <v>286</v>
      </c>
      <c r="AB520" s="3">
        <v>0.11</v>
      </c>
      <c r="AC520" s="6">
        <v>660.48919699999999</v>
      </c>
      <c r="AD520" s="3">
        <v>1E-3</v>
      </c>
      <c r="AE520" s="3">
        <f t="shared" si="57"/>
        <v>0.20499999999999999</v>
      </c>
      <c r="AF520" s="5"/>
      <c r="AG520" s="5"/>
      <c r="AH520" s="5"/>
      <c r="AI520" s="5"/>
      <c r="AJ520" s="1"/>
      <c r="AK520" s="3" t="s">
        <v>287</v>
      </c>
      <c r="AL520" s="3">
        <v>0.9</v>
      </c>
      <c r="AM520" s="3">
        <v>0.5</v>
      </c>
      <c r="AN520" s="3">
        <v>0.6</v>
      </c>
      <c r="AO520" s="3">
        <v>0.3</v>
      </c>
      <c r="AP520" s="6">
        <v>1036.3553469999999</v>
      </c>
      <c r="AQ520" s="3">
        <v>8.9999999999999993E-3</v>
      </c>
      <c r="AS520" s="3" t="s">
        <v>287</v>
      </c>
      <c r="AT520" s="3">
        <v>0.65</v>
      </c>
      <c r="AU520" s="7">
        <v>1191.767212</v>
      </c>
      <c r="AV520" s="3">
        <v>1E-3</v>
      </c>
      <c r="AW520" s="3">
        <f t="shared" si="58"/>
        <v>0.47499999999999998</v>
      </c>
      <c r="AX520" s="5"/>
      <c r="AY520" s="5"/>
      <c r="AZ520" s="5"/>
      <c r="BA520" s="5"/>
      <c r="BB520" s="1"/>
      <c r="BC520" s="3" t="s">
        <v>287</v>
      </c>
      <c r="BD520" s="3">
        <v>0.9</v>
      </c>
      <c r="BE520" s="3">
        <v>0.5</v>
      </c>
      <c r="BF520" s="3">
        <v>0.6</v>
      </c>
      <c r="BG520" s="3">
        <v>0.3</v>
      </c>
      <c r="BH520" s="7">
        <v>1031.6014399999999</v>
      </c>
      <c r="BI520" s="3">
        <v>8.9999999999999993E-3</v>
      </c>
      <c r="BK520" s="3" t="s">
        <v>287</v>
      </c>
      <c r="BL520" s="3">
        <v>0.04</v>
      </c>
      <c r="BM520" s="6">
        <v>844.55792199999996</v>
      </c>
      <c r="BN520" s="3">
        <v>1E-3</v>
      </c>
      <c r="BO520" s="3">
        <f t="shared" si="59"/>
        <v>0.16999999999999998</v>
      </c>
    </row>
    <row r="521" spans="1:67" x14ac:dyDescent="0.3">
      <c r="A521" s="3" t="s">
        <v>288</v>
      </c>
      <c r="B521" s="3">
        <v>0.9</v>
      </c>
      <c r="C521" s="3">
        <v>0.5</v>
      </c>
      <c r="D521" s="3">
        <v>0.6</v>
      </c>
      <c r="E521" s="3">
        <v>0.3</v>
      </c>
      <c r="F521" s="7">
        <v>707.13067599999999</v>
      </c>
      <c r="G521" s="3">
        <v>4.0000000000000001E-3</v>
      </c>
      <c r="I521" s="3" t="s">
        <v>288</v>
      </c>
      <c r="J521" s="3">
        <v>0.08</v>
      </c>
      <c r="K521" s="6">
        <v>645.44232199999999</v>
      </c>
      <c r="L521" s="3">
        <v>1E-3</v>
      </c>
      <c r="M521" s="3">
        <f t="shared" si="56"/>
        <v>0.19</v>
      </c>
      <c r="N521" s="5"/>
      <c r="O521" s="5"/>
      <c r="P521" s="5"/>
      <c r="Q521" s="5"/>
      <c r="R521" s="1"/>
      <c r="S521" s="3" t="s">
        <v>288</v>
      </c>
      <c r="T521" s="3">
        <v>0.9</v>
      </c>
      <c r="U521" s="3">
        <v>0.5</v>
      </c>
      <c r="V521" s="3">
        <v>0.6</v>
      </c>
      <c r="W521" s="3">
        <v>0.3</v>
      </c>
      <c r="X521" s="7">
        <v>724.083618</v>
      </c>
      <c r="Y521" s="3">
        <v>4.0000000000000001E-3</v>
      </c>
      <c r="AA521" s="3" t="s">
        <v>288</v>
      </c>
      <c r="AB521" s="3">
        <v>0.11</v>
      </c>
      <c r="AC521" s="6">
        <v>648.94720500000005</v>
      </c>
      <c r="AD521" s="3">
        <v>1E-3</v>
      </c>
      <c r="AE521" s="3">
        <f t="shared" si="57"/>
        <v>0.20499999999999999</v>
      </c>
      <c r="AF521" s="5"/>
      <c r="AG521" s="5"/>
      <c r="AH521" s="5"/>
      <c r="AI521" s="5"/>
      <c r="AJ521" s="1"/>
      <c r="AK521" s="3" t="s">
        <v>289</v>
      </c>
      <c r="AL521" s="3">
        <v>0.9</v>
      </c>
      <c r="AM521" s="3">
        <v>0.5</v>
      </c>
      <c r="AN521" s="3">
        <v>0.6</v>
      </c>
      <c r="AO521" s="3">
        <v>0.3</v>
      </c>
      <c r="AP521" s="6">
        <v>1099.949707</v>
      </c>
      <c r="AQ521" s="3">
        <v>0.01</v>
      </c>
      <c r="AS521" s="3" t="s">
        <v>289</v>
      </c>
      <c r="AT521" s="3">
        <v>0.37</v>
      </c>
      <c r="AU521" s="7">
        <v>1131.5361330000001</v>
      </c>
      <c r="AV521" s="3">
        <v>1E-3</v>
      </c>
      <c r="AW521" s="3">
        <f t="shared" si="58"/>
        <v>0.33499999999999996</v>
      </c>
      <c r="AX521" s="5"/>
      <c r="AY521" s="5"/>
      <c r="AZ521" s="5"/>
      <c r="BA521" s="5"/>
      <c r="BB521" s="1"/>
      <c r="BC521" s="3" t="s">
        <v>289</v>
      </c>
      <c r="BD521" s="3">
        <v>0.9</v>
      </c>
      <c r="BE521" s="3">
        <v>0.5</v>
      </c>
      <c r="BF521" s="3">
        <v>0.6</v>
      </c>
      <c r="BG521" s="3">
        <v>0.3</v>
      </c>
      <c r="BH521" s="6">
        <v>1077.8588870000001</v>
      </c>
      <c r="BI521" s="3">
        <v>0.01</v>
      </c>
      <c r="BK521" s="3" t="s">
        <v>289</v>
      </c>
      <c r="BL521" s="3">
        <v>0.28000000000000003</v>
      </c>
      <c r="BM521" s="7">
        <v>1091.743164</v>
      </c>
      <c r="BN521" s="3">
        <v>1E-3</v>
      </c>
      <c r="BO521" s="3">
        <f t="shared" si="59"/>
        <v>0.29000000000000004</v>
      </c>
    </row>
    <row r="522" spans="1:67" x14ac:dyDescent="0.3">
      <c r="A522" s="3" t="s">
        <v>290</v>
      </c>
      <c r="B522" s="3">
        <v>0.9</v>
      </c>
      <c r="C522" s="3">
        <v>0.5</v>
      </c>
      <c r="D522" s="3">
        <v>0.6</v>
      </c>
      <c r="E522" s="3">
        <v>0.3</v>
      </c>
      <c r="F522" s="7">
        <v>725.986267</v>
      </c>
      <c r="G522" s="3">
        <v>6.0000000000000001E-3</v>
      </c>
      <c r="I522" s="3" t="s">
        <v>290</v>
      </c>
      <c r="J522" s="3">
        <v>0.22</v>
      </c>
      <c r="K522" s="6">
        <v>690.94030799999996</v>
      </c>
      <c r="L522" s="3">
        <v>1E-3</v>
      </c>
      <c r="M522" s="3">
        <f t="shared" si="56"/>
        <v>0.26</v>
      </c>
      <c r="N522" s="5"/>
      <c r="O522" s="5"/>
      <c r="P522" s="5"/>
      <c r="Q522" s="5"/>
      <c r="R522" s="1"/>
      <c r="S522" s="3" t="s">
        <v>290</v>
      </c>
      <c r="T522" s="3">
        <v>0.9</v>
      </c>
      <c r="U522" s="3">
        <v>0.5</v>
      </c>
      <c r="V522" s="3">
        <v>0.6</v>
      </c>
      <c r="W522" s="3">
        <v>0.3</v>
      </c>
      <c r="X522" s="6">
        <v>716.56597899999997</v>
      </c>
      <c r="Y522" s="3">
        <v>2E-3</v>
      </c>
      <c r="AA522" s="3" t="s">
        <v>290</v>
      </c>
      <c r="AB522" s="3">
        <v>0.48</v>
      </c>
      <c r="AC522" s="7">
        <v>773.57971199999997</v>
      </c>
      <c r="AD522" s="3">
        <v>0</v>
      </c>
      <c r="AE522" s="3">
        <f t="shared" si="57"/>
        <v>0.39</v>
      </c>
      <c r="AF522" s="5"/>
      <c r="AG522" s="5"/>
      <c r="AH522" s="5"/>
      <c r="AI522" s="5"/>
      <c r="AJ522" s="1"/>
      <c r="AK522" s="3" t="s">
        <v>291</v>
      </c>
      <c r="AL522" s="3">
        <v>0.9</v>
      </c>
      <c r="AM522" s="3">
        <v>0.5</v>
      </c>
      <c r="AN522" s="3">
        <v>0.6</v>
      </c>
      <c r="AO522" s="3">
        <v>0.3</v>
      </c>
      <c r="AP522" s="7">
        <v>1049.0333250000001</v>
      </c>
      <c r="AQ522" s="3">
        <v>8.9999999999999993E-3</v>
      </c>
      <c r="AS522" s="3" t="s">
        <v>291</v>
      </c>
      <c r="AT522" s="3">
        <v>0.11</v>
      </c>
      <c r="AU522" s="6">
        <v>892.38830600000006</v>
      </c>
      <c r="AV522" s="3">
        <v>1E-3</v>
      </c>
      <c r="AW522" s="3">
        <f t="shared" si="58"/>
        <v>0.20499999999999999</v>
      </c>
      <c r="AX522" s="5"/>
      <c r="AY522" s="5"/>
      <c r="AZ522" s="5"/>
      <c r="BA522" s="5"/>
      <c r="BB522" s="1"/>
      <c r="BC522" s="3" t="s">
        <v>291</v>
      </c>
      <c r="BD522" s="3">
        <v>0.9</v>
      </c>
      <c r="BE522" s="3">
        <v>0.5</v>
      </c>
      <c r="BF522" s="3">
        <v>0.6</v>
      </c>
      <c r="BG522" s="3">
        <v>0.3</v>
      </c>
      <c r="BH522" s="6">
        <v>1047.573486</v>
      </c>
      <c r="BI522" s="3">
        <v>8.0000000000000002E-3</v>
      </c>
      <c r="BK522" s="3" t="s">
        <v>291</v>
      </c>
      <c r="BL522" s="3">
        <v>0.73</v>
      </c>
      <c r="BM522" s="7">
        <v>1231.401611</v>
      </c>
      <c r="BN522" s="3">
        <v>1E-3</v>
      </c>
      <c r="BO522" s="3">
        <f t="shared" si="59"/>
        <v>0.51500000000000001</v>
      </c>
    </row>
    <row r="523" spans="1:67" x14ac:dyDescent="0.3">
      <c r="A523" s="3" t="s">
        <v>292</v>
      </c>
      <c r="B523" s="3">
        <v>0.9</v>
      </c>
      <c r="C523" s="3">
        <v>0.5</v>
      </c>
      <c r="D523" s="3">
        <v>0.6</v>
      </c>
      <c r="E523" s="3">
        <v>0.3</v>
      </c>
      <c r="F523" s="7">
        <v>779.78997800000002</v>
      </c>
      <c r="G523" s="3">
        <v>6.0000000000000001E-3</v>
      </c>
      <c r="I523" s="3" t="s">
        <v>292</v>
      </c>
      <c r="J523" s="3">
        <v>0.23</v>
      </c>
      <c r="K523" s="6">
        <v>710.08056599999998</v>
      </c>
      <c r="L523" s="3">
        <v>1E-3</v>
      </c>
      <c r="M523" s="3">
        <f t="shared" si="56"/>
        <v>0.26500000000000001</v>
      </c>
      <c r="N523" s="5"/>
      <c r="O523" s="5"/>
      <c r="P523" s="5"/>
      <c r="Q523" s="5"/>
      <c r="R523" s="1"/>
      <c r="S523" s="3" t="s">
        <v>292</v>
      </c>
      <c r="T523" s="3">
        <v>0.9</v>
      </c>
      <c r="U523" s="3">
        <v>0.5</v>
      </c>
      <c r="V523" s="3">
        <v>0.6</v>
      </c>
      <c r="W523" s="3">
        <v>0.3</v>
      </c>
      <c r="X523" s="6">
        <v>764.698486</v>
      </c>
      <c r="Y523" s="3">
        <v>3.0000000000000001E-3</v>
      </c>
      <c r="AA523" s="3" t="s">
        <v>292</v>
      </c>
      <c r="AB523" s="3">
        <v>0.86</v>
      </c>
      <c r="AC523" s="7">
        <v>999.04290800000001</v>
      </c>
      <c r="AD523" s="3">
        <v>1E-3</v>
      </c>
      <c r="AE523" s="3">
        <f t="shared" si="57"/>
        <v>0.57999999999999996</v>
      </c>
      <c r="AF523" s="5"/>
      <c r="AG523" s="5"/>
      <c r="AH523" s="5"/>
      <c r="AI523" s="5"/>
      <c r="AJ523" s="1"/>
      <c r="AK523" s="3" t="s">
        <v>293</v>
      </c>
      <c r="AL523" s="3">
        <v>0.9</v>
      </c>
      <c r="AM523" s="3">
        <v>0.5</v>
      </c>
      <c r="AN523" s="3">
        <v>0.6</v>
      </c>
      <c r="AO523" s="3">
        <v>0.3</v>
      </c>
      <c r="AP523" s="7">
        <v>1117.083374</v>
      </c>
      <c r="AQ523" s="3">
        <v>8.9999999999999993E-3</v>
      </c>
      <c r="AS523" s="3" t="s">
        <v>293</v>
      </c>
      <c r="AT523" s="3">
        <v>0.31</v>
      </c>
      <c r="AU523" s="6">
        <v>1113.3930660000001</v>
      </c>
      <c r="AV523" s="3">
        <v>2E-3</v>
      </c>
      <c r="AW523" s="3">
        <f t="shared" si="58"/>
        <v>0.30499999999999999</v>
      </c>
      <c r="AX523" s="5"/>
      <c r="AY523" s="5"/>
      <c r="AZ523" s="5"/>
      <c r="BA523" s="5"/>
      <c r="BB523" s="1"/>
      <c r="BC523" s="3" t="s">
        <v>293</v>
      </c>
      <c r="BD523" s="3">
        <v>0.9</v>
      </c>
      <c r="BE523" s="3">
        <v>0.5</v>
      </c>
      <c r="BF523" s="3">
        <v>0.6</v>
      </c>
      <c r="BG523" s="3">
        <v>0.3</v>
      </c>
      <c r="BH523" s="6">
        <v>1105.300293</v>
      </c>
      <c r="BI523" s="3">
        <v>1.0999999999999999E-2</v>
      </c>
      <c r="BK523" s="3" t="s">
        <v>293</v>
      </c>
      <c r="BL523" s="3">
        <v>0.5</v>
      </c>
      <c r="BM523" s="7">
        <v>1225.4385990000001</v>
      </c>
      <c r="BN523" s="3">
        <v>1E-3</v>
      </c>
      <c r="BO523" s="3">
        <f t="shared" si="59"/>
        <v>0.4</v>
      </c>
    </row>
    <row r="524" spans="1:67" x14ac:dyDescent="0.3">
      <c r="A524" s="3" t="s">
        <v>294</v>
      </c>
      <c r="B524" s="3">
        <v>0.9</v>
      </c>
      <c r="C524" s="3">
        <v>0.5</v>
      </c>
      <c r="D524" s="3">
        <v>0.6</v>
      </c>
      <c r="E524" s="3">
        <v>0.3</v>
      </c>
      <c r="F524" s="6">
        <v>907.97131300000001</v>
      </c>
      <c r="G524" s="3">
        <v>4.0000000000000001E-3</v>
      </c>
      <c r="I524" s="3" t="s">
        <v>294</v>
      </c>
      <c r="J524" s="3">
        <v>0.45</v>
      </c>
      <c r="K524" s="7">
        <v>989.36254899999994</v>
      </c>
      <c r="L524" s="3">
        <v>0</v>
      </c>
      <c r="M524" s="3">
        <f t="shared" si="56"/>
        <v>0.375</v>
      </c>
      <c r="N524" s="5"/>
      <c r="O524" s="5"/>
      <c r="P524" s="5"/>
      <c r="Q524" s="5"/>
      <c r="R524" s="1"/>
      <c r="S524" s="3" t="s">
        <v>294</v>
      </c>
      <c r="T524" s="3">
        <v>0.9</v>
      </c>
      <c r="U524" s="3">
        <v>0.5</v>
      </c>
      <c r="V524" s="3">
        <v>0.6</v>
      </c>
      <c r="W524" s="3">
        <v>0.3</v>
      </c>
      <c r="X524" s="6">
        <v>899.681152</v>
      </c>
      <c r="Y524" s="3">
        <v>3.0000000000000001E-3</v>
      </c>
      <c r="AA524" s="3" t="s">
        <v>294</v>
      </c>
      <c r="AB524" s="3">
        <v>0.87</v>
      </c>
      <c r="AC524" s="7">
        <v>1104.8679199999999</v>
      </c>
      <c r="AD524" s="3">
        <v>1E-3</v>
      </c>
      <c r="AE524" s="3">
        <f t="shared" si="57"/>
        <v>0.58499999999999996</v>
      </c>
      <c r="AF524" s="5"/>
      <c r="AG524" s="5"/>
      <c r="AH524" s="5"/>
      <c r="AI524" s="5"/>
      <c r="AJ524" s="1"/>
      <c r="AK524" s="3" t="s">
        <v>295</v>
      </c>
      <c r="AL524" s="3">
        <v>0.9</v>
      </c>
      <c r="AM524" s="3">
        <v>0.5</v>
      </c>
      <c r="AN524" s="3">
        <v>0.6</v>
      </c>
      <c r="AO524" s="3">
        <v>0.3</v>
      </c>
      <c r="AP524" s="6">
        <v>1205.282471</v>
      </c>
      <c r="AQ524" s="3">
        <v>1.0999999999999999E-2</v>
      </c>
      <c r="AS524" s="3" t="s">
        <v>295</v>
      </c>
      <c r="AT524" s="3">
        <v>0.97</v>
      </c>
      <c r="AU524" s="7">
        <v>1579.581909</v>
      </c>
      <c r="AV524" s="3">
        <v>1E-3</v>
      </c>
      <c r="AW524" s="3">
        <f t="shared" si="58"/>
        <v>0.63500000000000001</v>
      </c>
      <c r="AX524" s="5"/>
      <c r="AY524" s="5"/>
      <c r="AZ524" s="5"/>
      <c r="BA524" s="5"/>
      <c r="BB524" s="1"/>
      <c r="BC524" s="3" t="s">
        <v>295</v>
      </c>
      <c r="BD524" s="3">
        <v>0.9</v>
      </c>
      <c r="BE524" s="3">
        <v>0.5</v>
      </c>
      <c r="BF524" s="3">
        <v>0.6</v>
      </c>
      <c r="BG524" s="3">
        <v>0.3</v>
      </c>
      <c r="BH524" s="6">
        <v>1190.2852780000001</v>
      </c>
      <c r="BI524" s="3">
        <v>0.01</v>
      </c>
      <c r="BK524" s="3" t="s">
        <v>295</v>
      </c>
      <c r="BL524" s="3">
        <v>0.82</v>
      </c>
      <c r="BM524" s="7">
        <v>1533.709106</v>
      </c>
      <c r="BN524" s="3">
        <v>1E-3</v>
      </c>
      <c r="BO524" s="3">
        <f t="shared" si="59"/>
        <v>0.55999999999999994</v>
      </c>
    </row>
    <row r="525" spans="1:67" x14ac:dyDescent="0.3">
      <c r="A525" s="3" t="s">
        <v>296</v>
      </c>
      <c r="B525" s="3">
        <v>0.9</v>
      </c>
      <c r="C525" s="3">
        <v>0.5</v>
      </c>
      <c r="D525" s="3">
        <v>0.6</v>
      </c>
      <c r="E525" s="3">
        <v>0.3</v>
      </c>
      <c r="F525" s="6">
        <v>904.26300000000003</v>
      </c>
      <c r="G525" s="3">
        <v>6.0000000000000001E-3</v>
      </c>
      <c r="I525" s="3" t="s">
        <v>296</v>
      </c>
      <c r="J525" s="3">
        <v>0.48</v>
      </c>
      <c r="K525" s="7">
        <v>983.69183299999997</v>
      </c>
      <c r="L525" s="3">
        <v>1E-3</v>
      </c>
      <c r="M525" s="3">
        <f t="shared" si="56"/>
        <v>0.39</v>
      </c>
      <c r="N525" s="5"/>
      <c r="O525" s="5"/>
      <c r="P525" s="5"/>
      <c r="Q525" s="5"/>
      <c r="R525" s="1"/>
      <c r="S525" s="3" t="s">
        <v>296</v>
      </c>
      <c r="T525" s="3">
        <v>0.9</v>
      </c>
      <c r="U525" s="3">
        <v>0.5</v>
      </c>
      <c r="V525" s="3">
        <v>0.6</v>
      </c>
      <c r="W525" s="3">
        <v>0.3</v>
      </c>
      <c r="X525" s="7">
        <v>903.75787400000002</v>
      </c>
      <c r="Y525" s="3">
        <v>4.0000000000000001E-3</v>
      </c>
      <c r="AA525" s="3" t="s">
        <v>296</v>
      </c>
      <c r="AB525" s="3">
        <v>0.26</v>
      </c>
      <c r="AC525" s="6">
        <v>880.46795699999996</v>
      </c>
      <c r="AD525" s="3">
        <v>0</v>
      </c>
      <c r="AE525" s="3">
        <f t="shared" si="57"/>
        <v>0.28000000000000003</v>
      </c>
      <c r="AF525" s="5"/>
      <c r="AG525" s="5"/>
      <c r="AH525" s="5"/>
      <c r="AI525" s="5"/>
      <c r="AJ525" s="1"/>
      <c r="AK525" s="3" t="s">
        <v>297</v>
      </c>
      <c r="AL525" s="3">
        <v>0.9</v>
      </c>
      <c r="AM525" s="3">
        <v>0.5</v>
      </c>
      <c r="AN525" s="3">
        <v>0.6</v>
      </c>
      <c r="AO525" s="3">
        <v>0.3</v>
      </c>
      <c r="AP525" s="6">
        <v>1144.1813959999999</v>
      </c>
      <c r="AQ525" s="3">
        <v>1.0999999999999999E-2</v>
      </c>
      <c r="AS525" s="3" t="s">
        <v>297</v>
      </c>
      <c r="AT525" s="3">
        <v>0.44</v>
      </c>
      <c r="AU525" s="7">
        <v>1232.2322999999999</v>
      </c>
      <c r="AV525" s="3">
        <v>1E-3</v>
      </c>
      <c r="AW525" s="3">
        <f t="shared" si="58"/>
        <v>0.37</v>
      </c>
      <c r="AX525" s="5"/>
      <c r="AY525" s="5"/>
      <c r="AZ525" s="5"/>
      <c r="BA525" s="5"/>
      <c r="BB525" s="1"/>
      <c r="BC525" s="3" t="s">
        <v>297</v>
      </c>
      <c r="BD525" s="3">
        <v>0.9</v>
      </c>
      <c r="BE525" s="3">
        <v>0.5</v>
      </c>
      <c r="BF525" s="3">
        <v>0.6</v>
      </c>
      <c r="BG525" s="3">
        <v>0.3</v>
      </c>
      <c r="BH525" s="6">
        <v>1133.3793949999999</v>
      </c>
      <c r="BI525" s="3">
        <v>0.01</v>
      </c>
      <c r="BK525" s="3" t="s">
        <v>297</v>
      </c>
      <c r="BL525" s="3">
        <v>0.53</v>
      </c>
      <c r="BM525" s="7">
        <v>1296.647827</v>
      </c>
      <c r="BN525" s="3">
        <v>1E-3</v>
      </c>
      <c r="BO525" s="3">
        <f t="shared" si="59"/>
        <v>0.41500000000000004</v>
      </c>
    </row>
    <row r="526" spans="1:67" x14ac:dyDescent="0.3">
      <c r="A526" s="3" t="s">
        <v>298</v>
      </c>
      <c r="B526" s="3">
        <v>0.9</v>
      </c>
      <c r="C526" s="3">
        <v>0.5</v>
      </c>
      <c r="D526" s="3">
        <v>0.6</v>
      </c>
      <c r="E526" s="3">
        <v>0.3</v>
      </c>
      <c r="F526" s="7">
        <v>778.83667000000003</v>
      </c>
      <c r="G526" s="3">
        <v>4.0000000000000001E-3</v>
      </c>
      <c r="I526" s="3" t="s">
        <v>298</v>
      </c>
      <c r="J526" s="3">
        <v>0</v>
      </c>
      <c r="K526" s="6">
        <v>772.53765899999996</v>
      </c>
      <c r="L526" s="3">
        <v>0</v>
      </c>
      <c r="M526" s="3">
        <f t="shared" si="56"/>
        <v>0.15</v>
      </c>
      <c r="N526" s="5"/>
      <c r="O526" s="5"/>
      <c r="P526" s="5"/>
      <c r="Q526" s="5"/>
      <c r="R526" s="1"/>
      <c r="S526" s="3" t="s">
        <v>298</v>
      </c>
      <c r="T526" s="3">
        <v>0.9</v>
      </c>
      <c r="U526" s="3">
        <v>0.5</v>
      </c>
      <c r="V526" s="3">
        <v>0.6</v>
      </c>
      <c r="W526" s="3">
        <v>0.3</v>
      </c>
      <c r="X526" s="7">
        <v>775.21636999999998</v>
      </c>
      <c r="Y526" s="3">
        <v>3.0000000000000001E-3</v>
      </c>
      <c r="AA526" s="3" t="s">
        <v>298</v>
      </c>
      <c r="AB526" s="3">
        <v>0.28999999999999998</v>
      </c>
      <c r="AC526" s="6">
        <v>733.11407499999996</v>
      </c>
      <c r="AD526" s="3">
        <v>1E-3</v>
      </c>
      <c r="AE526" s="3">
        <f t="shared" si="57"/>
        <v>0.29499999999999998</v>
      </c>
      <c r="AF526" s="5"/>
      <c r="AG526" s="5"/>
      <c r="AH526" s="5"/>
      <c r="AI526" s="5"/>
      <c r="AJ526" s="1"/>
      <c r="AK526" s="3" t="s">
        <v>299</v>
      </c>
      <c r="AL526" s="3">
        <v>0.9</v>
      </c>
      <c r="AM526" s="3">
        <v>0.5</v>
      </c>
      <c r="AN526" s="3">
        <v>0.6</v>
      </c>
      <c r="AO526" s="3">
        <v>0.3</v>
      </c>
      <c r="AP526" s="6">
        <v>1180.261475</v>
      </c>
      <c r="AQ526" s="3">
        <v>1.0999999999999999E-2</v>
      </c>
      <c r="AS526" s="3" t="s">
        <v>299</v>
      </c>
      <c r="AT526" s="3">
        <v>0.84</v>
      </c>
      <c r="AU526" s="7">
        <v>1545.341553</v>
      </c>
      <c r="AV526" s="3">
        <v>1E-3</v>
      </c>
      <c r="AW526" s="3">
        <f t="shared" si="58"/>
        <v>0.56999999999999995</v>
      </c>
      <c r="AX526" s="5"/>
      <c r="AY526" s="5"/>
      <c r="AZ526" s="5"/>
      <c r="BA526" s="5"/>
      <c r="BB526" s="1"/>
      <c r="BC526" s="3" t="s">
        <v>299</v>
      </c>
      <c r="BD526" s="3">
        <v>0.9</v>
      </c>
      <c r="BE526" s="3">
        <v>0.5</v>
      </c>
      <c r="BF526" s="3">
        <v>0.6</v>
      </c>
      <c r="BG526" s="3">
        <v>0.3</v>
      </c>
      <c r="BH526" s="6">
        <v>1170.878784</v>
      </c>
      <c r="BI526" s="3">
        <v>1.0999999999999999E-2</v>
      </c>
      <c r="BK526" s="3" t="s">
        <v>299</v>
      </c>
      <c r="BL526" s="3">
        <v>0.71</v>
      </c>
      <c r="BM526" s="7">
        <v>1480.9460449999999</v>
      </c>
      <c r="BN526" s="3">
        <v>1E-3</v>
      </c>
      <c r="BO526" s="3">
        <f t="shared" si="59"/>
        <v>0.505</v>
      </c>
    </row>
    <row r="527" spans="1:67" x14ac:dyDescent="0.3">
      <c r="A527" s="3" t="s">
        <v>300</v>
      </c>
      <c r="B527" s="3">
        <v>0.9</v>
      </c>
      <c r="C527" s="3">
        <v>0.5</v>
      </c>
      <c r="D527" s="3">
        <v>0.6</v>
      </c>
      <c r="E527" s="3">
        <v>0.3</v>
      </c>
      <c r="F527" s="7">
        <v>841.40374799999995</v>
      </c>
      <c r="G527" s="3">
        <v>3.0000000000000001E-3</v>
      </c>
      <c r="I527" s="3" t="s">
        <v>300</v>
      </c>
      <c r="J527" s="3">
        <v>0.31</v>
      </c>
      <c r="K527" s="6">
        <v>826.47436500000003</v>
      </c>
      <c r="L527" s="3">
        <v>0</v>
      </c>
      <c r="M527" s="3">
        <f t="shared" si="56"/>
        <v>0.30499999999999999</v>
      </c>
      <c r="N527" s="5"/>
      <c r="O527" s="5"/>
      <c r="P527" s="5"/>
      <c r="Q527" s="5"/>
      <c r="R527" s="1"/>
      <c r="S527" s="3" t="s">
        <v>300</v>
      </c>
      <c r="T527" s="3">
        <v>0.9</v>
      </c>
      <c r="U527" s="3">
        <v>0.5</v>
      </c>
      <c r="V527" s="3">
        <v>0.6</v>
      </c>
      <c r="W527" s="3">
        <v>0.3</v>
      </c>
      <c r="X527" s="6">
        <v>832.43158000000005</v>
      </c>
      <c r="Y527" s="3">
        <v>4.0000000000000001E-3</v>
      </c>
      <c r="AA527" s="3" t="s">
        <v>300</v>
      </c>
      <c r="AB527" s="3">
        <v>0.81</v>
      </c>
      <c r="AC527" s="7">
        <v>985.65106200000002</v>
      </c>
      <c r="AD527" s="3">
        <v>1E-3</v>
      </c>
      <c r="AE527" s="3">
        <f t="shared" si="57"/>
        <v>0.55500000000000005</v>
      </c>
      <c r="AF527" s="5"/>
      <c r="AG527" s="5"/>
      <c r="AH527" s="5"/>
      <c r="AI527" s="5"/>
      <c r="AJ527" s="1"/>
      <c r="AK527" s="3" t="s">
        <v>301</v>
      </c>
      <c r="AL527" s="3">
        <v>0.9</v>
      </c>
      <c r="AM527" s="3">
        <v>0.5</v>
      </c>
      <c r="AN527" s="3">
        <v>0.6</v>
      </c>
      <c r="AO527" s="3">
        <v>0.3</v>
      </c>
      <c r="AP527" s="6">
        <v>1155.18335</v>
      </c>
      <c r="AQ527" s="3">
        <v>0.01</v>
      </c>
      <c r="AS527" s="3" t="s">
        <v>301</v>
      </c>
      <c r="AT527" s="3">
        <v>0.93</v>
      </c>
      <c r="AU527" s="7">
        <v>1441.4197999999999</v>
      </c>
      <c r="AV527" s="3">
        <v>1E-3</v>
      </c>
      <c r="AW527" s="3">
        <f t="shared" si="58"/>
        <v>0.61499999999999999</v>
      </c>
      <c r="AX527" s="5"/>
      <c r="AY527" s="5"/>
      <c r="AZ527" s="5"/>
      <c r="BA527" s="5"/>
      <c r="BB527" s="1"/>
      <c r="BC527" s="3" t="s">
        <v>301</v>
      </c>
      <c r="BD527" s="3">
        <v>0.9</v>
      </c>
      <c r="BE527" s="3">
        <v>0.5</v>
      </c>
      <c r="BF527" s="3">
        <v>0.6</v>
      </c>
      <c r="BG527" s="3">
        <v>0.3</v>
      </c>
      <c r="BH527" s="6">
        <v>1139.4451899999999</v>
      </c>
      <c r="BI527" s="3">
        <v>0.01</v>
      </c>
      <c r="BK527" s="3" t="s">
        <v>301</v>
      </c>
      <c r="BL527" s="3">
        <v>0.72</v>
      </c>
      <c r="BM527" s="7">
        <v>1413.6895750000001</v>
      </c>
      <c r="BN527" s="3">
        <v>1E-3</v>
      </c>
      <c r="BO527" s="3">
        <f t="shared" si="59"/>
        <v>0.51</v>
      </c>
    </row>
    <row r="528" spans="1:67" x14ac:dyDescent="0.3">
      <c r="A528" s="3" t="s">
        <v>302</v>
      </c>
      <c r="B528" s="3">
        <v>0.9</v>
      </c>
      <c r="C528" s="3">
        <v>0.5</v>
      </c>
      <c r="D528" s="3">
        <v>0.6</v>
      </c>
      <c r="E528" s="3">
        <v>0.3</v>
      </c>
      <c r="F528" s="6">
        <v>808.16650400000003</v>
      </c>
      <c r="G528" s="3">
        <v>8.0000000000000002E-3</v>
      </c>
      <c r="I528" s="3" t="s">
        <v>302</v>
      </c>
      <c r="J528" s="3">
        <v>0.87</v>
      </c>
      <c r="K528" s="7">
        <v>967.19104000000004</v>
      </c>
      <c r="L528" s="3">
        <v>0</v>
      </c>
      <c r="M528" s="3">
        <f t="shared" si="56"/>
        <v>0.58499999999999996</v>
      </c>
      <c r="N528" s="5"/>
      <c r="O528" s="5"/>
      <c r="P528" s="5"/>
      <c r="Q528" s="5"/>
      <c r="R528" s="1"/>
      <c r="S528" s="3" t="s">
        <v>302</v>
      </c>
      <c r="T528" s="3">
        <v>0.9</v>
      </c>
      <c r="U528" s="3">
        <v>0.5</v>
      </c>
      <c r="V528" s="3">
        <v>0.6</v>
      </c>
      <c r="W528" s="3">
        <v>0.3</v>
      </c>
      <c r="X528" s="6">
        <v>782.599243</v>
      </c>
      <c r="Y528" s="3">
        <v>3.0000000000000001E-3</v>
      </c>
      <c r="AA528" s="3" t="s">
        <v>302</v>
      </c>
      <c r="AB528" s="3">
        <v>0.79</v>
      </c>
      <c r="AC528" s="7">
        <v>964.81500200000005</v>
      </c>
      <c r="AD528" s="3">
        <v>1E-3</v>
      </c>
      <c r="AE528" s="3">
        <f t="shared" si="57"/>
        <v>0.54500000000000004</v>
      </c>
      <c r="AF528" s="5"/>
      <c r="AG528" s="5"/>
      <c r="AH528" s="5"/>
      <c r="AI528" s="5"/>
      <c r="AJ528" s="1"/>
      <c r="AK528" s="3" t="s">
        <v>303</v>
      </c>
      <c r="AL528" s="3">
        <v>0.9</v>
      </c>
      <c r="AM528" s="3">
        <v>0.5</v>
      </c>
      <c r="AN528" s="3">
        <v>0.6</v>
      </c>
      <c r="AO528" s="3">
        <v>0.3</v>
      </c>
      <c r="AP528" s="6">
        <v>1117.393677</v>
      </c>
      <c r="AQ528" s="3">
        <v>1.6E-2</v>
      </c>
      <c r="AS528" s="3" t="s">
        <v>303</v>
      </c>
      <c r="AT528" s="3">
        <v>0.39</v>
      </c>
      <c r="AU528" s="7">
        <v>1172.1606449999999</v>
      </c>
      <c r="AV528" s="3">
        <v>1E-3</v>
      </c>
      <c r="AW528" s="3">
        <f t="shared" si="58"/>
        <v>0.34499999999999997</v>
      </c>
      <c r="AX528" s="5"/>
      <c r="AY528" s="5"/>
      <c r="AZ528" s="5"/>
      <c r="BA528" s="5"/>
      <c r="BB528" s="1"/>
      <c r="BC528" s="3" t="s">
        <v>303</v>
      </c>
      <c r="BD528" s="3">
        <v>0.9</v>
      </c>
      <c r="BE528" s="3">
        <v>0.5</v>
      </c>
      <c r="BF528" s="3">
        <v>0.6</v>
      </c>
      <c r="BG528" s="3">
        <v>0.3</v>
      </c>
      <c r="BH528" s="6">
        <v>1135.7579350000001</v>
      </c>
      <c r="BI528" s="3">
        <v>0.01</v>
      </c>
      <c r="BK528" s="3" t="s">
        <v>303</v>
      </c>
      <c r="BL528" s="3">
        <v>0.9</v>
      </c>
      <c r="BM528" s="7">
        <v>1432.8242190000001</v>
      </c>
      <c r="BN528" s="3">
        <v>1E-3</v>
      </c>
      <c r="BO528" s="3">
        <f t="shared" si="59"/>
        <v>0.6</v>
      </c>
    </row>
    <row r="529" spans="1:67" x14ac:dyDescent="0.3">
      <c r="A529" s="3" t="s">
        <v>304</v>
      </c>
      <c r="B529" s="3">
        <v>0.9</v>
      </c>
      <c r="C529" s="3">
        <v>0.5</v>
      </c>
      <c r="D529" s="3">
        <v>0.6</v>
      </c>
      <c r="E529" s="3">
        <v>0.3</v>
      </c>
      <c r="F529" s="7">
        <v>913.41308600000002</v>
      </c>
      <c r="G529" s="3">
        <v>3.0000000000000001E-3</v>
      </c>
      <c r="I529" s="3" t="s">
        <v>304</v>
      </c>
      <c r="J529" s="3">
        <v>0.05</v>
      </c>
      <c r="K529" s="6">
        <v>778.85864300000003</v>
      </c>
      <c r="L529" s="3">
        <v>0</v>
      </c>
      <c r="M529" s="3">
        <f t="shared" si="56"/>
        <v>0.17499999999999999</v>
      </c>
      <c r="N529" s="5"/>
      <c r="O529" s="5"/>
      <c r="P529" s="5"/>
      <c r="Q529" s="5"/>
      <c r="R529" s="1"/>
      <c r="S529" s="3" t="s">
        <v>304</v>
      </c>
      <c r="T529" s="3">
        <v>0.9</v>
      </c>
      <c r="U529" s="3">
        <v>0.5</v>
      </c>
      <c r="V529" s="3">
        <v>0.6</v>
      </c>
      <c r="W529" s="3">
        <v>0.3</v>
      </c>
      <c r="X529" s="6">
        <v>911.37353499999995</v>
      </c>
      <c r="Y529" s="3">
        <v>4.0000000000000001E-3</v>
      </c>
      <c r="AA529" s="3" t="s">
        <v>304</v>
      </c>
      <c r="AB529" s="3">
        <v>0.42</v>
      </c>
      <c r="AC529" s="7">
        <v>962.84625200000005</v>
      </c>
      <c r="AD529" s="3">
        <v>1E-3</v>
      </c>
      <c r="AE529" s="3">
        <f t="shared" si="57"/>
        <v>0.36</v>
      </c>
      <c r="AF529" s="5"/>
      <c r="AG529" s="5"/>
      <c r="AH529" s="5"/>
      <c r="AI529" s="5"/>
      <c r="AJ529" s="1"/>
      <c r="AK529" s="3" t="s">
        <v>305</v>
      </c>
      <c r="AL529" s="3">
        <v>0.9</v>
      </c>
      <c r="AM529" s="3">
        <v>0.5</v>
      </c>
      <c r="AN529" s="3">
        <v>0.6</v>
      </c>
      <c r="AO529" s="3">
        <v>0.3</v>
      </c>
      <c r="AP529" s="6">
        <v>1183.9510499999999</v>
      </c>
      <c r="AQ529" s="3">
        <v>1.0999999999999999E-2</v>
      </c>
      <c r="AS529" s="3" t="s">
        <v>305</v>
      </c>
      <c r="AT529" s="3">
        <v>0.84</v>
      </c>
      <c r="AU529" s="7">
        <v>1544.8532709999999</v>
      </c>
      <c r="AV529" s="3">
        <v>1E-3</v>
      </c>
      <c r="AW529" s="3">
        <f t="shared" si="58"/>
        <v>0.56999999999999995</v>
      </c>
      <c r="AX529" s="5"/>
      <c r="AY529" s="5"/>
      <c r="AZ529" s="5"/>
      <c r="BA529" s="5"/>
      <c r="BB529" s="1"/>
      <c r="BC529" s="3" t="s">
        <v>305</v>
      </c>
      <c r="BD529" s="3">
        <v>0.9</v>
      </c>
      <c r="BE529" s="3">
        <v>0.5</v>
      </c>
      <c r="BF529" s="3">
        <v>0.6</v>
      </c>
      <c r="BG529" s="3">
        <v>0.3</v>
      </c>
      <c r="BH529" s="6">
        <v>1171.799683</v>
      </c>
      <c r="BI529" s="3">
        <v>1.0999999999999999E-2</v>
      </c>
      <c r="BK529" s="3" t="s">
        <v>305</v>
      </c>
      <c r="BL529" s="3">
        <v>0.63</v>
      </c>
      <c r="BM529" s="7">
        <v>1406.942871</v>
      </c>
      <c r="BN529" s="3">
        <v>1E-3</v>
      </c>
      <c r="BO529" s="3">
        <f t="shared" si="59"/>
        <v>0.46499999999999997</v>
      </c>
    </row>
    <row r="530" spans="1:67" x14ac:dyDescent="0.3">
      <c r="A530" s="3" t="s">
        <v>306</v>
      </c>
      <c r="B530" s="3">
        <v>0.9</v>
      </c>
      <c r="C530" s="3">
        <v>0.5</v>
      </c>
      <c r="D530" s="3">
        <v>0.6</v>
      </c>
      <c r="E530" s="3">
        <v>0.3</v>
      </c>
      <c r="F530" s="7">
        <v>929.348206</v>
      </c>
      <c r="G530" s="3">
        <v>4.0000000000000001E-3</v>
      </c>
      <c r="I530" s="3" t="s">
        <v>306</v>
      </c>
      <c r="J530" s="3">
        <v>0.11</v>
      </c>
      <c r="K530" s="6">
        <v>812.25750700000003</v>
      </c>
      <c r="L530" s="3">
        <v>0</v>
      </c>
      <c r="M530" s="3">
        <f t="shared" si="56"/>
        <v>0.20499999999999999</v>
      </c>
      <c r="N530" s="5"/>
      <c r="O530" s="5"/>
      <c r="P530" s="5"/>
      <c r="Q530" s="5"/>
      <c r="R530" s="1"/>
      <c r="S530" s="3" t="s">
        <v>306</v>
      </c>
      <c r="T530" s="3">
        <v>0.9</v>
      </c>
      <c r="U530" s="3">
        <v>0.5</v>
      </c>
      <c r="V530" s="3">
        <v>0.6</v>
      </c>
      <c r="W530" s="3">
        <v>0.3</v>
      </c>
      <c r="X530" s="7">
        <v>926.29583700000001</v>
      </c>
      <c r="Y530" s="3">
        <v>4.0000000000000001E-3</v>
      </c>
      <c r="AA530" s="3" t="s">
        <v>306</v>
      </c>
      <c r="AB530" s="3">
        <v>0.11</v>
      </c>
      <c r="AC530" s="6">
        <v>795.30938700000002</v>
      </c>
      <c r="AD530" s="3">
        <v>0</v>
      </c>
      <c r="AE530" s="3">
        <f t="shared" si="57"/>
        <v>0.20499999999999999</v>
      </c>
      <c r="AF530" s="5"/>
      <c r="AG530" s="5"/>
      <c r="AH530" s="5"/>
      <c r="AI530" s="5"/>
      <c r="AJ530" s="1"/>
      <c r="AK530" s="3" t="s">
        <v>307</v>
      </c>
      <c r="AL530" s="3">
        <v>0.9</v>
      </c>
      <c r="AM530" s="3">
        <v>0.5</v>
      </c>
      <c r="AN530" s="3">
        <v>0.6</v>
      </c>
      <c r="AO530" s="3">
        <v>0.3</v>
      </c>
      <c r="AP530" s="6">
        <v>1153.028564</v>
      </c>
      <c r="AQ530" s="3">
        <v>0.01</v>
      </c>
      <c r="AS530" s="3" t="s">
        <v>307</v>
      </c>
      <c r="AT530" s="3">
        <v>0.97</v>
      </c>
      <c r="AU530" s="7">
        <v>1430.7514650000001</v>
      </c>
      <c r="AV530" s="3">
        <v>1E-3</v>
      </c>
      <c r="AW530" s="3">
        <f t="shared" si="58"/>
        <v>0.63500000000000001</v>
      </c>
      <c r="AX530" s="5"/>
      <c r="AY530" s="5"/>
      <c r="AZ530" s="5"/>
      <c r="BA530" s="5"/>
      <c r="BB530" s="1"/>
      <c r="BC530" s="3" t="s">
        <v>307</v>
      </c>
      <c r="BD530" s="3">
        <v>0.9</v>
      </c>
      <c r="BE530" s="3">
        <v>0.5</v>
      </c>
      <c r="BF530" s="3">
        <v>0.6</v>
      </c>
      <c r="BG530" s="3">
        <v>0.3</v>
      </c>
      <c r="BH530" s="6">
        <v>1165.0874020000001</v>
      </c>
      <c r="BI530" s="3">
        <v>8.9999999999999993E-3</v>
      </c>
      <c r="BK530" s="3" t="s">
        <v>307</v>
      </c>
      <c r="BL530" s="3">
        <v>0.82</v>
      </c>
      <c r="BM530" s="7">
        <v>1440.546143</v>
      </c>
      <c r="BN530" s="3">
        <v>2E-3</v>
      </c>
      <c r="BO530" s="3">
        <f t="shared" si="59"/>
        <v>0.55999999999999994</v>
      </c>
    </row>
    <row r="531" spans="1:67" x14ac:dyDescent="0.3">
      <c r="A531" s="3" t="s">
        <v>308</v>
      </c>
      <c r="B531" s="3">
        <v>0.9</v>
      </c>
      <c r="C531" s="3">
        <v>0.5</v>
      </c>
      <c r="D531" s="3">
        <v>0.6</v>
      </c>
      <c r="E531" s="3">
        <v>0.3</v>
      </c>
      <c r="F531" s="6">
        <v>881.85229500000003</v>
      </c>
      <c r="G531" s="3">
        <v>7.0000000000000001E-3</v>
      </c>
      <c r="I531" s="3" t="s">
        <v>308</v>
      </c>
      <c r="J531" s="3">
        <v>0.87</v>
      </c>
      <c r="K531" s="7">
        <v>1098.4506839999999</v>
      </c>
      <c r="L531" s="3">
        <v>1E-3</v>
      </c>
      <c r="M531" s="3">
        <f t="shared" si="56"/>
        <v>0.58499999999999996</v>
      </c>
      <c r="N531" s="5"/>
      <c r="O531" s="5"/>
      <c r="P531" s="5"/>
      <c r="Q531" s="5"/>
      <c r="R531" s="1"/>
      <c r="S531" s="3" t="s">
        <v>308</v>
      </c>
      <c r="T531" s="3">
        <v>0.9</v>
      </c>
      <c r="U531" s="3">
        <v>0.5</v>
      </c>
      <c r="V531" s="3">
        <v>0.6</v>
      </c>
      <c r="W531" s="3">
        <v>0.3</v>
      </c>
      <c r="X531" s="6">
        <v>903.77130099999999</v>
      </c>
      <c r="Y531" s="3">
        <v>3.0000000000000001E-3</v>
      </c>
      <c r="AA531" s="3" t="s">
        <v>308</v>
      </c>
      <c r="AB531" s="3">
        <v>0.47</v>
      </c>
      <c r="AC531" s="7">
        <v>1021.0031739999999</v>
      </c>
      <c r="AD531" s="3">
        <v>0</v>
      </c>
      <c r="AE531" s="3">
        <f t="shared" si="57"/>
        <v>0.38500000000000001</v>
      </c>
      <c r="AF531" s="5"/>
      <c r="AG531" s="5"/>
      <c r="AH531" s="5"/>
      <c r="AI531" s="5"/>
      <c r="AJ531" s="1"/>
      <c r="AK531" s="3" t="s">
        <v>309</v>
      </c>
      <c r="AL531" s="3">
        <v>0.9</v>
      </c>
      <c r="AM531" s="3">
        <v>0.5</v>
      </c>
      <c r="AN531" s="3">
        <v>0.6</v>
      </c>
      <c r="AO531" s="3">
        <v>0.3</v>
      </c>
      <c r="AP531" s="7">
        <v>1154.3833010000001</v>
      </c>
      <c r="AQ531" s="3">
        <v>1.0999999999999999E-2</v>
      </c>
      <c r="AS531" s="3" t="s">
        <v>309</v>
      </c>
      <c r="AT531" s="3">
        <v>0.13</v>
      </c>
      <c r="AU531" s="6">
        <v>1014.862976</v>
      </c>
      <c r="AV531" s="3">
        <v>1E-3</v>
      </c>
      <c r="AW531" s="3">
        <f t="shared" si="58"/>
        <v>0.215</v>
      </c>
      <c r="AX531" s="5"/>
      <c r="AY531" s="5"/>
      <c r="AZ531" s="5"/>
      <c r="BA531" s="5"/>
      <c r="BB531" s="1"/>
      <c r="BC531" s="3" t="s">
        <v>309</v>
      </c>
      <c r="BD531" s="3">
        <v>0.9</v>
      </c>
      <c r="BE531" s="3">
        <v>0.5</v>
      </c>
      <c r="BF531" s="3">
        <v>0.6</v>
      </c>
      <c r="BG531" s="3">
        <v>0.3</v>
      </c>
      <c r="BH531" s="6">
        <v>1149.5954589999999</v>
      </c>
      <c r="BI531" s="3">
        <v>0.01</v>
      </c>
      <c r="BK531" s="3" t="s">
        <v>309</v>
      </c>
      <c r="BL531" s="3">
        <v>0.97</v>
      </c>
      <c r="BM531" s="7">
        <v>1600.6062010000001</v>
      </c>
      <c r="BN531" s="3">
        <v>1E-3</v>
      </c>
      <c r="BO531" s="3">
        <f t="shared" si="59"/>
        <v>0.63500000000000001</v>
      </c>
    </row>
    <row r="532" spans="1:67" x14ac:dyDescent="0.3">
      <c r="A532" s="3" t="s">
        <v>310</v>
      </c>
      <c r="B532" s="3">
        <v>0.9</v>
      </c>
      <c r="C532" s="3">
        <v>0.5</v>
      </c>
      <c r="D532" s="3">
        <v>0.6</v>
      </c>
      <c r="E532" s="3">
        <v>0.3</v>
      </c>
      <c r="F532" s="7">
        <v>890.74408000000005</v>
      </c>
      <c r="G532" s="3">
        <v>4.0000000000000001E-3</v>
      </c>
      <c r="I532" s="3" t="s">
        <v>310</v>
      </c>
      <c r="J532" s="3">
        <v>0.18</v>
      </c>
      <c r="K532" s="6">
        <v>815.76269500000001</v>
      </c>
      <c r="L532" s="3">
        <v>1E-3</v>
      </c>
      <c r="M532" s="3">
        <f t="shared" si="56"/>
        <v>0.24</v>
      </c>
      <c r="N532" s="5"/>
      <c r="O532" s="5"/>
      <c r="P532" s="5"/>
      <c r="Q532" s="5"/>
      <c r="R532" s="1"/>
      <c r="S532" s="3" t="s">
        <v>310</v>
      </c>
      <c r="T532" s="3">
        <v>0.9</v>
      </c>
      <c r="U532" s="3">
        <v>0.5</v>
      </c>
      <c r="V532" s="3">
        <v>0.6</v>
      </c>
      <c r="W532" s="3">
        <v>0.3</v>
      </c>
      <c r="X532" s="6">
        <v>894.91961700000002</v>
      </c>
      <c r="Y532" s="3">
        <v>3.0000000000000001E-3</v>
      </c>
      <c r="AA532" s="3" t="s">
        <v>310</v>
      </c>
      <c r="AB532" s="3">
        <v>0.62</v>
      </c>
      <c r="AC532" s="7">
        <v>1029.93335</v>
      </c>
      <c r="AD532" s="3">
        <v>1E-3</v>
      </c>
      <c r="AE532" s="3">
        <f t="shared" si="57"/>
        <v>0.45999999999999996</v>
      </c>
      <c r="AF532" s="5"/>
      <c r="AG532" s="5"/>
      <c r="AH532" s="5"/>
      <c r="AI532" s="5"/>
      <c r="AJ532" s="1"/>
      <c r="AK532" s="3" t="s">
        <v>311</v>
      </c>
      <c r="AL532" s="3">
        <v>0.9</v>
      </c>
      <c r="AM532" s="3">
        <v>0.5</v>
      </c>
      <c r="AN532" s="3">
        <v>0.6</v>
      </c>
      <c r="AO532" s="3">
        <v>0.3</v>
      </c>
      <c r="AP532" s="6">
        <v>1187.132568</v>
      </c>
      <c r="AQ532" s="3">
        <v>0.01</v>
      </c>
      <c r="AS532" s="3" t="s">
        <v>311</v>
      </c>
      <c r="AT532" s="3">
        <v>0.75</v>
      </c>
      <c r="AU532" s="7">
        <v>1465.0654300000001</v>
      </c>
      <c r="AV532" s="3">
        <v>1E-3</v>
      </c>
      <c r="AW532" s="3">
        <f t="shared" si="58"/>
        <v>0.52500000000000002</v>
      </c>
      <c r="AX532" s="5"/>
      <c r="AY532" s="5"/>
      <c r="AZ532" s="5"/>
      <c r="BA532" s="5"/>
      <c r="BB532" s="1"/>
      <c r="BC532" s="3" t="s">
        <v>311</v>
      </c>
      <c r="BD532" s="3">
        <v>0.9</v>
      </c>
      <c r="BE532" s="3">
        <v>0.5</v>
      </c>
      <c r="BF532" s="3">
        <v>0.6</v>
      </c>
      <c r="BG532" s="3">
        <v>0.3</v>
      </c>
      <c r="BH532" s="7">
        <v>1187.638428</v>
      </c>
      <c r="BI532" s="3">
        <v>0.01</v>
      </c>
      <c r="BK532" s="3" t="s">
        <v>311</v>
      </c>
      <c r="BL532" s="3">
        <v>0.23</v>
      </c>
      <c r="BM532" s="6">
        <v>1118.412842</v>
      </c>
      <c r="BN532" s="3">
        <v>1E-3</v>
      </c>
      <c r="BO532" s="3">
        <f t="shared" si="59"/>
        <v>0.26500000000000001</v>
      </c>
    </row>
    <row r="533" spans="1:67" x14ac:dyDescent="0.3">
      <c r="A533" s="3" t="s">
        <v>312</v>
      </c>
      <c r="B533" s="3">
        <v>0.9</v>
      </c>
      <c r="C533" s="3">
        <v>0.5</v>
      </c>
      <c r="D533" s="3">
        <v>0.6</v>
      </c>
      <c r="E533" s="3">
        <v>0.3</v>
      </c>
      <c r="F533" s="6">
        <v>879.68768299999999</v>
      </c>
      <c r="G533" s="3">
        <v>4.0000000000000001E-3</v>
      </c>
      <c r="I533" s="3" t="s">
        <v>312</v>
      </c>
      <c r="J533" s="3">
        <v>0.71</v>
      </c>
      <c r="K533" s="7">
        <v>1009.391785</v>
      </c>
      <c r="L533" s="3">
        <v>1E-3</v>
      </c>
      <c r="M533" s="3">
        <f t="shared" si="56"/>
        <v>0.505</v>
      </c>
      <c r="N533" s="5"/>
      <c r="O533" s="5"/>
      <c r="P533" s="5"/>
      <c r="Q533" s="5"/>
      <c r="R533" s="1"/>
      <c r="S533" s="3" t="s">
        <v>312</v>
      </c>
      <c r="T533" s="3">
        <v>0.9</v>
      </c>
      <c r="U533" s="3">
        <v>0.5</v>
      </c>
      <c r="V533" s="3">
        <v>0.6</v>
      </c>
      <c r="W533" s="3">
        <v>0.3</v>
      </c>
      <c r="X533" s="7">
        <v>874.54449499999998</v>
      </c>
      <c r="Y533" s="3">
        <v>3.0000000000000001E-3</v>
      </c>
      <c r="AA533" s="3" t="s">
        <v>312</v>
      </c>
      <c r="AB533" s="3">
        <v>0.03</v>
      </c>
      <c r="AC533" s="6">
        <v>701.76263400000005</v>
      </c>
      <c r="AD533" s="3">
        <v>0</v>
      </c>
      <c r="AE533" s="3">
        <f t="shared" si="57"/>
        <v>0.16499999999999998</v>
      </c>
      <c r="AF533" s="5"/>
      <c r="AG533" s="5"/>
      <c r="AH533" s="5"/>
      <c r="AI533" s="5"/>
      <c r="AJ533" s="1"/>
      <c r="AK533" s="3" t="s">
        <v>313</v>
      </c>
      <c r="AL533" s="3">
        <v>0.9</v>
      </c>
      <c r="AM533" s="3">
        <v>0.5</v>
      </c>
      <c r="AN533" s="3">
        <v>0.6</v>
      </c>
      <c r="AO533" s="3">
        <v>0.3</v>
      </c>
      <c r="AP533" s="7">
        <v>1171.845703</v>
      </c>
      <c r="AQ533" s="3">
        <v>8.9999999999999993E-3</v>
      </c>
      <c r="AS533" s="3" t="s">
        <v>313</v>
      </c>
      <c r="AT533" s="3">
        <v>0.09</v>
      </c>
      <c r="AU533" s="6">
        <v>1017.774658</v>
      </c>
      <c r="AV533" s="3">
        <v>1E-3</v>
      </c>
      <c r="AW533" s="3">
        <f t="shared" si="58"/>
        <v>0.19500000000000001</v>
      </c>
      <c r="AX533" s="5"/>
      <c r="AY533" s="5"/>
      <c r="AZ533" s="5"/>
      <c r="BA533" s="5"/>
      <c r="BB533" s="1"/>
      <c r="BC533" s="3" t="s">
        <v>313</v>
      </c>
      <c r="BD533" s="3">
        <v>0.9</v>
      </c>
      <c r="BE533" s="3">
        <v>0.5</v>
      </c>
      <c r="BF533" s="3">
        <v>0.6</v>
      </c>
      <c r="BG533" s="3">
        <v>0.3</v>
      </c>
      <c r="BH533" s="6">
        <v>1161.4620359999999</v>
      </c>
      <c r="BI533" s="3">
        <v>0.01</v>
      </c>
      <c r="BK533" s="3" t="s">
        <v>313</v>
      </c>
      <c r="BL533" s="3">
        <v>0.53</v>
      </c>
      <c r="BM533" s="7">
        <v>1302.897461</v>
      </c>
      <c r="BN533" s="3">
        <v>1E-3</v>
      </c>
      <c r="BO533" s="3">
        <f t="shared" si="59"/>
        <v>0.41500000000000004</v>
      </c>
    </row>
    <row r="534" spans="1:67" x14ac:dyDescent="0.3">
      <c r="A534" s="9" t="s">
        <v>316</v>
      </c>
      <c r="E534" s="9">
        <f>AVERAGE(E504:E533)</f>
        <v>0.3</v>
      </c>
      <c r="I534" s="9" t="s">
        <v>316</v>
      </c>
      <c r="J534" s="9">
        <f>AVERAGE(J504:J533)</f>
        <v>0.45366666666666666</v>
      </c>
      <c r="R534" s="1"/>
      <c r="S534" s="9" t="s">
        <v>316</v>
      </c>
      <c r="W534" s="9">
        <f>AVERAGE(W504:W533)</f>
        <v>0.3</v>
      </c>
      <c r="AA534" s="9" t="s">
        <v>316</v>
      </c>
      <c r="AB534" s="9">
        <f>AVERAGE(AB504:AB533)</f>
        <v>0.48633333333333323</v>
      </c>
      <c r="AK534" s="9" t="s">
        <v>316</v>
      </c>
      <c r="AO534" s="9">
        <f>AVERAGE(AO504:AO533)</f>
        <v>0.3</v>
      </c>
      <c r="AS534" s="9" t="s">
        <v>316</v>
      </c>
      <c r="AT534" s="9">
        <f>AVERAGE(AT504:AT533)</f>
        <v>0.54166666666666674</v>
      </c>
      <c r="BB534" s="1"/>
      <c r="BC534" s="9" t="s">
        <v>316</v>
      </c>
      <c r="BG534" s="9">
        <f>AVERAGE(BG504:BG533)</f>
        <v>0.3</v>
      </c>
      <c r="BK534" s="9" t="s">
        <v>316</v>
      </c>
      <c r="BL534" s="9">
        <f>AVERAGE(BL504:BL533)</f>
        <v>0.4963333333333334</v>
      </c>
    </row>
  </sheetData>
  <mergeCells count="144">
    <mergeCell ref="I252:M252"/>
    <mergeCell ref="A252:G252"/>
    <mergeCell ref="I216:M216"/>
    <mergeCell ref="A216:G216"/>
    <mergeCell ref="I181:M181"/>
    <mergeCell ref="A181:G181"/>
    <mergeCell ref="AA38:AE38"/>
    <mergeCell ref="S38:Y38"/>
    <mergeCell ref="AA74:AE74"/>
    <mergeCell ref="S74:Y74"/>
    <mergeCell ref="I109:M109"/>
    <mergeCell ref="A109:G109"/>
    <mergeCell ref="A215:G215"/>
    <mergeCell ref="I215:M215"/>
    <mergeCell ref="S215:Y215"/>
    <mergeCell ref="AA215:AE215"/>
    <mergeCell ref="A251:G251"/>
    <mergeCell ref="I251:M251"/>
    <mergeCell ref="S251:Y251"/>
    <mergeCell ref="AA251:AE251"/>
    <mergeCell ref="A144:G144"/>
    <mergeCell ref="I144:M144"/>
    <mergeCell ref="S144:Y144"/>
    <mergeCell ref="AA144:AE144"/>
    <mergeCell ref="AK501:AQ501"/>
    <mergeCell ref="AS501:AW501"/>
    <mergeCell ref="BC501:BI501"/>
    <mergeCell ref="BK501:BO501"/>
    <mergeCell ref="I2:M2"/>
    <mergeCell ref="A2:G2"/>
    <mergeCell ref="I38:M38"/>
    <mergeCell ref="A38:G38"/>
    <mergeCell ref="I74:M74"/>
    <mergeCell ref="A74:G74"/>
    <mergeCell ref="AK429:AQ429"/>
    <mergeCell ref="AS429:AW429"/>
    <mergeCell ref="BC429:BI429"/>
    <mergeCell ref="BK429:BO429"/>
    <mergeCell ref="AK465:AQ465"/>
    <mergeCell ref="AS465:AW465"/>
    <mergeCell ref="BC465:BI465"/>
    <mergeCell ref="BK465:BO465"/>
    <mergeCell ref="AK358:AQ358"/>
    <mergeCell ref="AS358:AW358"/>
    <mergeCell ref="BC358:BI358"/>
    <mergeCell ref="BK358:BO358"/>
    <mergeCell ref="AK394:AQ394"/>
    <mergeCell ref="AS394:AW394"/>
    <mergeCell ref="BC394:BI394"/>
    <mergeCell ref="BK394:BO394"/>
    <mergeCell ref="AK287:AQ287"/>
    <mergeCell ref="AS287:AW287"/>
    <mergeCell ref="BC287:BI287"/>
    <mergeCell ref="BK287:BO287"/>
    <mergeCell ref="AK322:AQ322"/>
    <mergeCell ref="AS322:AW322"/>
    <mergeCell ref="BC322:BI322"/>
    <mergeCell ref="BK322:BO322"/>
    <mergeCell ref="AK215:AQ215"/>
    <mergeCell ref="AS215:AW215"/>
    <mergeCell ref="BC215:BI215"/>
    <mergeCell ref="BK215:BO215"/>
    <mergeCell ref="AK251:AQ251"/>
    <mergeCell ref="AS251:AW251"/>
    <mergeCell ref="BC251:BI251"/>
    <mergeCell ref="BK251:BO251"/>
    <mergeCell ref="BC144:BI144"/>
    <mergeCell ref="BK144:BO144"/>
    <mergeCell ref="AK180:AQ180"/>
    <mergeCell ref="AS180:AW180"/>
    <mergeCell ref="BC180:BI180"/>
    <mergeCell ref="BK180:BO180"/>
    <mergeCell ref="BC73:BI73"/>
    <mergeCell ref="BK73:BO73"/>
    <mergeCell ref="AK108:AQ108"/>
    <mergeCell ref="AS108:AW108"/>
    <mergeCell ref="BC108:BI108"/>
    <mergeCell ref="BK108:BO108"/>
    <mergeCell ref="BC1:BI1"/>
    <mergeCell ref="BK1:BO1"/>
    <mergeCell ref="AK37:AQ37"/>
    <mergeCell ref="AS37:AW37"/>
    <mergeCell ref="BC37:BI37"/>
    <mergeCell ref="BK37:BO37"/>
    <mergeCell ref="A501:G501"/>
    <mergeCell ref="I501:M501"/>
    <mergeCell ref="S501:Y501"/>
    <mergeCell ref="AA501:AE501"/>
    <mergeCell ref="AK1:AQ1"/>
    <mergeCell ref="AS1:AW1"/>
    <mergeCell ref="AK73:AQ73"/>
    <mergeCell ref="AS73:AW73"/>
    <mergeCell ref="AK144:AQ144"/>
    <mergeCell ref="AS144:AW144"/>
    <mergeCell ref="A429:G429"/>
    <mergeCell ref="I429:M429"/>
    <mergeCell ref="S429:Y429"/>
    <mergeCell ref="AA429:AE429"/>
    <mergeCell ref="A465:G465"/>
    <mergeCell ref="I465:M465"/>
    <mergeCell ref="S465:Y465"/>
    <mergeCell ref="AA465:AE465"/>
    <mergeCell ref="A358:G358"/>
    <mergeCell ref="I358:M358"/>
    <mergeCell ref="S358:Y358"/>
    <mergeCell ref="AA358:AE358"/>
    <mergeCell ref="A394:G394"/>
    <mergeCell ref="I394:M394"/>
    <mergeCell ref="S394:Y394"/>
    <mergeCell ref="AA394:AE394"/>
    <mergeCell ref="A287:G287"/>
    <mergeCell ref="I287:M287"/>
    <mergeCell ref="S287:Y287"/>
    <mergeCell ref="AA287:AE287"/>
    <mergeCell ref="A322:G322"/>
    <mergeCell ref="I322:M322"/>
    <mergeCell ref="S322:Y322"/>
    <mergeCell ref="AA322:AE322"/>
    <mergeCell ref="I288:M288"/>
    <mergeCell ref="A288:G288"/>
    <mergeCell ref="A180:G180"/>
    <mergeCell ref="I180:M180"/>
    <mergeCell ref="S180:Y180"/>
    <mergeCell ref="AA180:AE180"/>
    <mergeCell ref="I145:M145"/>
    <mergeCell ref="A145:G145"/>
    <mergeCell ref="A73:G73"/>
    <mergeCell ref="I73:M73"/>
    <mergeCell ref="S73:Y73"/>
    <mergeCell ref="AA73:AE73"/>
    <mergeCell ref="A108:G108"/>
    <mergeCell ref="I108:M108"/>
    <mergeCell ref="S108:Y108"/>
    <mergeCell ref="AA108:AE108"/>
    <mergeCell ref="A1:G1"/>
    <mergeCell ref="I1:M1"/>
    <mergeCell ref="S1:Y1"/>
    <mergeCell ref="AA1:AE1"/>
    <mergeCell ref="A37:G37"/>
    <mergeCell ref="I37:M37"/>
    <mergeCell ref="S37:Y37"/>
    <mergeCell ref="AA37:AE37"/>
    <mergeCell ref="AA2:AE2"/>
    <mergeCell ref="S2:Y2"/>
  </mergeCells>
  <pageMargins left="0.7" right="0.7" top="0.75" bottom="0.75" header="0.3" footer="0.3"/>
  <pageSetup orientation="portrait" r:id="rId1"/>
  <ignoredErrors>
    <ignoredError sqref="P5 P41 P77 P112 P148 P184 P219 P255 P291 P326 P362 P398 P433 P469 P505 AH505 AH469 AH433 AH398 AH362 AH326 AH291 AH255 AH219 AH184 AH148 AH112 AH77 AH5 AZ5 AZ41 AZ77 AZ112 AZ148 AZ184 AZ219 AZ255 AZ291 AZ326 AZ362 AZ398 AZ433 AZ469 AZ505 BR505 BR469 BR433 BR398 BR362 BR326 BR291 BR255 BR219 BR184 BR148 BR112 BR77 BR41 BR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34"/>
  <sheetViews>
    <sheetView zoomScaleNormal="100" workbookViewId="0">
      <selection activeCell="M4" sqref="M4"/>
    </sheetView>
  </sheetViews>
  <sheetFormatPr baseColWidth="10" defaultRowHeight="14.4" x14ac:dyDescent="0.3"/>
  <cols>
    <col min="1" max="1" width="15.6640625" bestFit="1" customWidth="1"/>
    <col min="2" max="4" width="4.77734375" bestFit="1" customWidth="1"/>
    <col min="5" max="5" width="13.6640625" bestFit="1" customWidth="1"/>
    <col min="6" max="6" width="12.5546875" bestFit="1" customWidth="1"/>
    <col min="7" max="7" width="7" bestFit="1" customWidth="1"/>
    <col min="9" max="9" width="15.6640625" bestFit="1" customWidth="1"/>
    <col min="10" max="10" width="13.6640625" bestFit="1" customWidth="1"/>
    <col min="11" max="11" width="12.5546875" bestFit="1" customWidth="1"/>
    <col min="12" max="12" width="7" bestFit="1" customWidth="1"/>
    <col min="13" max="13" width="16.77734375" bestFit="1" customWidth="1"/>
    <col min="14" max="15" width="15.21875" bestFit="1" customWidth="1"/>
    <col min="16" max="17" width="10.5546875" bestFit="1" customWidth="1"/>
    <col min="19" max="19" width="15.6640625" bestFit="1" customWidth="1"/>
    <col min="20" max="22" width="4.77734375" bestFit="1" customWidth="1"/>
    <col min="23" max="23" width="13.6640625" bestFit="1" customWidth="1"/>
    <col min="24" max="24" width="12.5546875" bestFit="1" customWidth="1"/>
    <col min="25" max="25" width="7" bestFit="1" customWidth="1"/>
    <col min="27" max="27" width="15.6640625" bestFit="1" customWidth="1"/>
    <col min="28" max="28" width="13.6640625" bestFit="1" customWidth="1"/>
    <col min="29" max="29" width="12.5546875" bestFit="1" customWidth="1"/>
    <col min="30" max="30" width="7" bestFit="1" customWidth="1"/>
    <col min="31" max="31" width="16.77734375" bestFit="1" customWidth="1"/>
    <col min="32" max="33" width="15.21875" bestFit="1" customWidth="1"/>
    <col min="34" max="35" width="10.5546875" bestFit="1" customWidth="1"/>
    <col min="37" max="37" width="15.6640625" bestFit="1" customWidth="1"/>
    <col min="38" max="40" width="4.77734375" bestFit="1" customWidth="1"/>
    <col min="41" max="42" width="13.6640625" bestFit="1" customWidth="1"/>
    <col min="43" max="43" width="7" bestFit="1" customWidth="1"/>
    <col min="45" max="45" width="15.6640625" bestFit="1" customWidth="1"/>
    <col min="46" max="47" width="13.6640625" bestFit="1" customWidth="1"/>
    <col min="48" max="48" width="7" bestFit="1" customWidth="1"/>
    <col min="49" max="49" width="16.77734375" bestFit="1" customWidth="1"/>
    <col min="50" max="51" width="15.21875" bestFit="1" customWidth="1"/>
    <col min="52" max="53" width="10.5546875" bestFit="1" customWidth="1"/>
    <col min="55" max="55" width="15.6640625" bestFit="1" customWidth="1"/>
    <col min="56" max="58" width="4.77734375" bestFit="1" customWidth="1"/>
    <col min="59" max="60" width="13.6640625" bestFit="1" customWidth="1"/>
    <col min="61" max="61" width="7" bestFit="1" customWidth="1"/>
    <col min="63" max="63" width="15.6640625" bestFit="1" customWidth="1"/>
    <col min="64" max="65" width="13.6640625" bestFit="1" customWidth="1"/>
    <col min="66" max="66" width="7" bestFit="1" customWidth="1"/>
    <col min="67" max="67" width="16.77734375" bestFit="1" customWidth="1"/>
    <col min="68" max="69" width="15.21875" bestFit="1" customWidth="1"/>
    <col min="70" max="71" width="10.5546875" bestFit="1" customWidth="1"/>
  </cols>
  <sheetData>
    <row r="1" spans="1:71" x14ac:dyDescent="0.3">
      <c r="A1" s="19" t="s">
        <v>314</v>
      </c>
      <c r="B1" s="19"/>
      <c r="C1" s="19"/>
      <c r="D1" s="19"/>
      <c r="E1" s="19"/>
      <c r="F1" s="19"/>
      <c r="G1" s="19"/>
      <c r="I1" s="19" t="s">
        <v>315</v>
      </c>
      <c r="J1" s="19"/>
      <c r="K1" s="19"/>
      <c r="L1" s="19"/>
      <c r="M1" s="19"/>
      <c r="N1" s="11"/>
      <c r="O1" s="11"/>
      <c r="P1" s="11"/>
      <c r="Q1" s="11"/>
      <c r="R1" s="1"/>
      <c r="S1" s="19" t="s">
        <v>314</v>
      </c>
      <c r="T1" s="19"/>
      <c r="U1" s="19"/>
      <c r="V1" s="19"/>
      <c r="W1" s="19"/>
      <c r="X1" s="19"/>
      <c r="Y1" s="19"/>
      <c r="AA1" s="19" t="s">
        <v>315</v>
      </c>
      <c r="AB1" s="19"/>
      <c r="AC1" s="19"/>
      <c r="AD1" s="19"/>
      <c r="AE1" s="19"/>
      <c r="AF1" s="11"/>
      <c r="AG1" s="11"/>
      <c r="AH1" s="11"/>
      <c r="AI1" s="11"/>
      <c r="AJ1" s="1"/>
      <c r="AK1" s="19" t="s">
        <v>314</v>
      </c>
      <c r="AL1" s="19"/>
      <c r="AM1" s="19"/>
      <c r="AN1" s="19"/>
      <c r="AO1" s="19"/>
      <c r="AP1" s="19"/>
      <c r="AQ1" s="19"/>
      <c r="AS1" s="19" t="s">
        <v>315</v>
      </c>
      <c r="AT1" s="19"/>
      <c r="AU1" s="19"/>
      <c r="AV1" s="19"/>
      <c r="AW1" s="19"/>
      <c r="AX1" s="11"/>
      <c r="AY1" s="11"/>
      <c r="AZ1" s="11"/>
      <c r="BA1" s="11"/>
      <c r="BB1" s="1"/>
      <c r="BC1" s="19" t="s">
        <v>314</v>
      </c>
      <c r="BD1" s="19"/>
      <c r="BE1" s="19"/>
      <c r="BF1" s="19"/>
      <c r="BG1" s="19"/>
      <c r="BH1" s="19"/>
      <c r="BI1" s="19"/>
      <c r="BK1" s="19" t="s">
        <v>315</v>
      </c>
      <c r="BL1" s="19"/>
      <c r="BM1" s="19"/>
      <c r="BN1" s="19"/>
      <c r="BO1" s="19"/>
    </row>
    <row r="2" spans="1:71" x14ac:dyDescent="0.3">
      <c r="A2" s="19" t="s">
        <v>0</v>
      </c>
      <c r="B2" s="19"/>
      <c r="C2" s="19"/>
      <c r="D2" s="19"/>
      <c r="E2" s="19"/>
      <c r="F2" s="19"/>
      <c r="G2" s="19"/>
      <c r="I2" s="19" t="s">
        <v>0</v>
      </c>
      <c r="J2" s="19"/>
      <c r="K2" s="19"/>
      <c r="L2" s="19"/>
      <c r="M2" s="19"/>
      <c r="N2" s="11"/>
      <c r="O2" s="11"/>
      <c r="P2" s="11"/>
      <c r="Q2" s="11"/>
      <c r="R2" s="1"/>
      <c r="S2" s="19" t="s">
        <v>1</v>
      </c>
      <c r="T2" s="19"/>
      <c r="U2" s="19"/>
      <c r="V2" s="19"/>
      <c r="W2" s="19"/>
      <c r="X2" s="19"/>
      <c r="Y2" s="19"/>
      <c r="AA2" s="19" t="s">
        <v>1</v>
      </c>
      <c r="AB2" s="19"/>
      <c r="AC2" s="19"/>
      <c r="AD2" s="19"/>
      <c r="AE2" s="19"/>
      <c r="AF2" s="11"/>
      <c r="AG2" s="11"/>
      <c r="AH2" s="11"/>
      <c r="AI2" s="11"/>
      <c r="AJ2" s="1"/>
      <c r="AK2" s="19" t="s">
        <v>0</v>
      </c>
      <c r="AL2" s="19"/>
      <c r="AM2" s="19"/>
      <c r="AN2" s="19"/>
      <c r="AO2" s="19"/>
      <c r="AP2" s="19"/>
      <c r="AQ2" s="19"/>
      <c r="AS2" s="19" t="s">
        <v>0</v>
      </c>
      <c r="AT2" s="19"/>
      <c r="AU2" s="19"/>
      <c r="AV2" s="19"/>
      <c r="AW2" s="19"/>
      <c r="AX2" s="11"/>
      <c r="AY2" s="11"/>
      <c r="AZ2" s="11"/>
      <c r="BA2" s="11"/>
      <c r="BB2" s="1"/>
      <c r="BC2" s="19" t="s">
        <v>1</v>
      </c>
      <c r="BD2" s="19"/>
      <c r="BE2" s="19"/>
      <c r="BF2" s="19"/>
      <c r="BG2" s="19"/>
      <c r="BH2" s="19"/>
      <c r="BI2" s="19"/>
      <c r="BK2" s="19" t="s">
        <v>1</v>
      </c>
      <c r="BL2" s="19"/>
      <c r="BM2" s="19"/>
      <c r="BN2" s="19"/>
      <c r="BO2" s="19"/>
    </row>
    <row r="3" spans="1:71" x14ac:dyDescent="0.3">
      <c r="A3" s="3" t="s">
        <v>2</v>
      </c>
      <c r="B3" s="3" t="s">
        <v>3</v>
      </c>
      <c r="C3" s="3" t="s">
        <v>4</v>
      </c>
      <c r="D3" s="3" t="s">
        <v>5</v>
      </c>
      <c r="E3" s="3" t="s">
        <v>6</v>
      </c>
      <c r="F3" s="3" t="s">
        <v>7</v>
      </c>
      <c r="G3" s="3" t="s">
        <v>8</v>
      </c>
      <c r="I3" s="3" t="s">
        <v>2</v>
      </c>
      <c r="J3" s="3" t="s">
        <v>6</v>
      </c>
      <c r="K3" s="3" t="s">
        <v>7</v>
      </c>
      <c r="L3" s="3" t="s">
        <v>8</v>
      </c>
      <c r="M3" s="3" t="s">
        <v>9</v>
      </c>
      <c r="N3" s="3" t="s">
        <v>322</v>
      </c>
      <c r="O3" s="3" t="s">
        <v>323</v>
      </c>
      <c r="P3" s="3" t="s">
        <v>322</v>
      </c>
      <c r="Q3" s="3" t="s">
        <v>323</v>
      </c>
      <c r="R3" s="1"/>
      <c r="S3" s="3" t="s">
        <v>2</v>
      </c>
      <c r="T3" s="3" t="s">
        <v>3</v>
      </c>
      <c r="U3" s="3" t="s">
        <v>4</v>
      </c>
      <c r="V3" s="3" t="s">
        <v>5</v>
      </c>
      <c r="W3" s="3" t="s">
        <v>6</v>
      </c>
      <c r="X3" s="3" t="s">
        <v>7</v>
      </c>
      <c r="Y3" s="3" t="s">
        <v>8</v>
      </c>
      <c r="AA3" s="3" t="s">
        <v>2</v>
      </c>
      <c r="AB3" s="3" t="s">
        <v>6</v>
      </c>
      <c r="AC3" s="3" t="s">
        <v>7</v>
      </c>
      <c r="AD3" s="3" t="s">
        <v>8</v>
      </c>
      <c r="AE3" s="3" t="s">
        <v>9</v>
      </c>
      <c r="AF3" s="3" t="s">
        <v>322</v>
      </c>
      <c r="AG3" s="3" t="s">
        <v>323</v>
      </c>
      <c r="AH3" s="3" t="s">
        <v>322</v>
      </c>
      <c r="AI3" s="3" t="s">
        <v>323</v>
      </c>
      <c r="AJ3" s="1"/>
      <c r="AK3" s="3" t="s">
        <v>2</v>
      </c>
      <c r="AL3" s="3" t="s">
        <v>3</v>
      </c>
      <c r="AM3" s="3" t="s">
        <v>4</v>
      </c>
      <c r="AN3" s="3" t="s">
        <v>5</v>
      </c>
      <c r="AO3" s="3" t="s">
        <v>6</v>
      </c>
      <c r="AP3" s="3" t="s">
        <v>7</v>
      </c>
      <c r="AQ3" s="3" t="s">
        <v>8</v>
      </c>
      <c r="AS3" s="3" t="s">
        <v>2</v>
      </c>
      <c r="AT3" s="3" t="s">
        <v>6</v>
      </c>
      <c r="AU3" s="3" t="s">
        <v>7</v>
      </c>
      <c r="AV3" s="3" t="s">
        <v>8</v>
      </c>
      <c r="AW3" s="3" t="s">
        <v>9</v>
      </c>
      <c r="AX3" s="3" t="s">
        <v>322</v>
      </c>
      <c r="AY3" s="3" t="s">
        <v>323</v>
      </c>
      <c r="AZ3" s="3" t="s">
        <v>322</v>
      </c>
      <c r="BA3" s="3" t="s">
        <v>323</v>
      </c>
      <c r="BB3" s="1"/>
      <c r="BC3" s="3" t="s">
        <v>2</v>
      </c>
      <c r="BD3" s="3" t="s">
        <v>3</v>
      </c>
      <c r="BE3" s="3" t="s">
        <v>4</v>
      </c>
      <c r="BF3" s="3" t="s">
        <v>5</v>
      </c>
      <c r="BG3" s="3" t="s">
        <v>6</v>
      </c>
      <c r="BH3" s="3" t="s">
        <v>7</v>
      </c>
      <c r="BI3" s="3" t="s">
        <v>8</v>
      </c>
      <c r="BK3" s="3" t="s">
        <v>2</v>
      </c>
      <c r="BL3" s="3" t="s">
        <v>6</v>
      </c>
      <c r="BM3" s="3" t="s">
        <v>7</v>
      </c>
      <c r="BN3" s="3" t="s">
        <v>8</v>
      </c>
      <c r="BO3" s="3" t="s">
        <v>9</v>
      </c>
      <c r="BP3" s="3" t="s">
        <v>322</v>
      </c>
      <c r="BQ3" s="3" t="s">
        <v>323</v>
      </c>
      <c r="BR3" s="3" t="s">
        <v>322</v>
      </c>
      <c r="BS3" s="3" t="s">
        <v>323</v>
      </c>
    </row>
    <row r="4" spans="1:71" x14ac:dyDescent="0.3">
      <c r="A4" s="3" t="s">
        <v>10</v>
      </c>
      <c r="B4" s="3">
        <v>0.9</v>
      </c>
      <c r="C4" s="3">
        <v>0.5</v>
      </c>
      <c r="D4" s="3">
        <v>0.6</v>
      </c>
      <c r="E4" s="3">
        <v>0.42</v>
      </c>
      <c r="F4" s="6">
        <v>376.96539300000001</v>
      </c>
      <c r="G4" s="3">
        <v>0</v>
      </c>
      <c r="I4" s="3" t="s">
        <v>10</v>
      </c>
      <c r="J4" s="3">
        <v>0.5</v>
      </c>
      <c r="K4" s="7">
        <v>386.70614599999999</v>
      </c>
      <c r="L4" s="3">
        <v>0</v>
      </c>
      <c r="M4" s="3">
        <f t="shared" ref="M4:M33" si="0">AVERAGE(E4,J4)</f>
        <v>0.45999999999999996</v>
      </c>
      <c r="N4" s="4" t="s">
        <v>320</v>
      </c>
      <c r="O4" s="4" t="s">
        <v>320</v>
      </c>
      <c r="P4" s="4" t="s">
        <v>321</v>
      </c>
      <c r="Q4" s="4" t="s">
        <v>321</v>
      </c>
      <c r="R4" s="1"/>
      <c r="S4" s="3" t="s">
        <v>10</v>
      </c>
      <c r="T4" s="3">
        <v>0.9</v>
      </c>
      <c r="U4" s="3">
        <v>0.5</v>
      </c>
      <c r="V4" s="3">
        <v>0.6</v>
      </c>
      <c r="W4" s="3">
        <v>0.49</v>
      </c>
      <c r="X4" s="7">
        <v>364.59973100000002</v>
      </c>
      <c r="Y4" s="3">
        <v>1E-3</v>
      </c>
      <c r="AA4" s="3" t="s">
        <v>10</v>
      </c>
      <c r="AB4" s="3">
        <v>0.31</v>
      </c>
      <c r="AC4" s="6">
        <v>357.26953099999997</v>
      </c>
      <c r="AD4" s="3">
        <v>0</v>
      </c>
      <c r="AE4" s="3">
        <f t="shared" ref="AE4:AE33" si="1">AVERAGE(W4,AB4)</f>
        <v>0.4</v>
      </c>
      <c r="AF4" s="4" t="s">
        <v>320</v>
      </c>
      <c r="AG4" s="4" t="s">
        <v>320</v>
      </c>
      <c r="AH4" s="4" t="s">
        <v>321</v>
      </c>
      <c r="AI4" s="4" t="s">
        <v>321</v>
      </c>
      <c r="AJ4" s="1"/>
      <c r="AK4" s="3" t="s">
        <v>11</v>
      </c>
      <c r="AL4" s="3">
        <v>0.9</v>
      </c>
      <c r="AM4" s="3">
        <v>0.5</v>
      </c>
      <c r="AN4" s="3">
        <v>0.6</v>
      </c>
      <c r="AO4" s="3">
        <v>0.31</v>
      </c>
      <c r="AP4" s="6">
        <v>740.149902</v>
      </c>
      <c r="AQ4" s="3">
        <v>6.0000000000000001E-3</v>
      </c>
      <c r="AS4" s="3" t="s">
        <v>11</v>
      </c>
      <c r="AT4" s="3">
        <v>0.33</v>
      </c>
      <c r="AU4" s="3">
        <v>743.98303199999998</v>
      </c>
      <c r="AV4" s="3">
        <v>0</v>
      </c>
      <c r="AW4" s="3">
        <f t="shared" ref="AW4:AW33" si="2">AVERAGE(AO4,AT4)</f>
        <v>0.32</v>
      </c>
      <c r="AX4" s="4" t="s">
        <v>320</v>
      </c>
      <c r="AY4" s="4" t="s">
        <v>320</v>
      </c>
      <c r="AZ4" s="4" t="s">
        <v>321</v>
      </c>
      <c r="BA4" s="4" t="s">
        <v>321</v>
      </c>
      <c r="BB4" s="1"/>
      <c r="BC4" s="3" t="s">
        <v>11</v>
      </c>
      <c r="BD4" s="3">
        <v>0.9</v>
      </c>
      <c r="BE4" s="3">
        <v>0.5</v>
      </c>
      <c r="BF4" s="3">
        <v>0.6</v>
      </c>
      <c r="BG4" s="3">
        <v>0.3</v>
      </c>
      <c r="BH4" s="7">
        <v>718.32843000000003</v>
      </c>
      <c r="BI4" s="3">
        <v>4.0000000000000001E-3</v>
      </c>
      <c r="BK4" s="3" t="s">
        <v>11</v>
      </c>
      <c r="BL4" s="3">
        <v>0.32</v>
      </c>
      <c r="BM4" s="6">
        <v>714.25885000000005</v>
      </c>
      <c r="BN4" s="3">
        <v>0</v>
      </c>
      <c r="BO4" s="3">
        <f t="shared" ref="BO4:BO33" si="3">AVERAGE(BG4,BL4)</f>
        <v>0.31</v>
      </c>
      <c r="BP4" s="4" t="s">
        <v>320</v>
      </c>
      <c r="BQ4" s="4" t="s">
        <v>320</v>
      </c>
      <c r="BR4" s="4" t="s">
        <v>321</v>
      </c>
      <c r="BS4" s="4" t="s">
        <v>321</v>
      </c>
    </row>
    <row r="5" spans="1:71" x14ac:dyDescent="0.3">
      <c r="A5" s="3" t="s">
        <v>12</v>
      </c>
      <c r="B5" s="3">
        <v>0.9</v>
      </c>
      <c r="C5" s="3">
        <v>0.5</v>
      </c>
      <c r="D5" s="3">
        <v>0.6</v>
      </c>
      <c r="E5" s="3">
        <v>0.3</v>
      </c>
      <c r="F5" s="7">
        <v>424.229218</v>
      </c>
      <c r="G5" s="3">
        <v>0</v>
      </c>
      <c r="I5" s="3" t="s">
        <v>12</v>
      </c>
      <c r="J5" s="3">
        <v>0.45</v>
      </c>
      <c r="K5" s="6">
        <v>416.98718300000002</v>
      </c>
      <c r="L5" s="3">
        <v>0</v>
      </c>
      <c r="M5" s="3">
        <f t="shared" si="0"/>
        <v>0.375</v>
      </c>
      <c r="N5" s="3">
        <f>COUNT(F4,F6,F8:F15,F17,F19:F21,F23,F25:F28,F30:F31,F33)</f>
        <v>22</v>
      </c>
      <c r="O5" s="3">
        <f>30-N5</f>
        <v>8</v>
      </c>
      <c r="P5" s="3">
        <f>COUNT(K5,K7:K8,K10:K11,K13,K16,K19,K22,K24:K25,K28:K32)</f>
        <v>16</v>
      </c>
      <c r="Q5" s="3">
        <f>30-P5</f>
        <v>14</v>
      </c>
      <c r="R5" s="1"/>
      <c r="S5" s="3" t="s">
        <v>12</v>
      </c>
      <c r="T5" s="3">
        <v>0.9</v>
      </c>
      <c r="U5" s="3">
        <v>0.5</v>
      </c>
      <c r="V5" s="3">
        <v>0.6</v>
      </c>
      <c r="W5" s="3">
        <v>0.56000000000000005</v>
      </c>
      <c r="X5" s="6">
        <v>405.06506300000001</v>
      </c>
      <c r="Y5" s="3">
        <v>0</v>
      </c>
      <c r="AA5" s="3" t="s">
        <v>12</v>
      </c>
      <c r="AB5" s="3">
        <v>0.33</v>
      </c>
      <c r="AC5" s="8">
        <v>405.9375</v>
      </c>
      <c r="AD5" s="3">
        <v>0</v>
      </c>
      <c r="AE5" s="3">
        <f t="shared" si="1"/>
        <v>0.44500000000000006</v>
      </c>
      <c r="AF5" s="3">
        <f>COUNT(X5,X7:X17,X19:X24,X27:X30,X33)</f>
        <v>23</v>
      </c>
      <c r="AG5" s="3">
        <f>30-AF5</f>
        <v>7</v>
      </c>
      <c r="AH5" s="3">
        <f>COUNT(AC4:AC6,AC8,AC11:AC13,AC15:AC19,AC22:AC24,AC26:AC28,AC30:AC33)</f>
        <v>22</v>
      </c>
      <c r="AI5" s="3">
        <f>30-AH5</f>
        <v>8</v>
      </c>
      <c r="AJ5" s="1"/>
      <c r="AK5" s="3" t="s">
        <v>13</v>
      </c>
      <c r="AL5" s="3">
        <v>0.9</v>
      </c>
      <c r="AM5" s="3">
        <v>0.5</v>
      </c>
      <c r="AN5" s="3">
        <v>0.6</v>
      </c>
      <c r="AO5" s="3">
        <v>0.32</v>
      </c>
      <c r="AP5" s="7">
        <v>684.11614999999995</v>
      </c>
      <c r="AQ5" s="3">
        <v>5.0000000000000001E-3</v>
      </c>
      <c r="AS5" s="3" t="s">
        <v>13</v>
      </c>
      <c r="AT5" s="3">
        <v>0.3</v>
      </c>
      <c r="AU5" s="6">
        <v>678.021118</v>
      </c>
      <c r="AV5" s="3">
        <v>0</v>
      </c>
      <c r="AW5" s="3">
        <f t="shared" si="2"/>
        <v>0.31</v>
      </c>
      <c r="AX5" s="3">
        <f>COUNT(AP4,AP6:AP7,AP9:AP15,AP18,AP21:AP22,AP24,AP28,AP30:AP33)</f>
        <v>19</v>
      </c>
      <c r="AY5" s="3">
        <f>30-AX5</f>
        <v>11</v>
      </c>
      <c r="AZ5" s="3">
        <f>COUNT(AU5,AU8,AU16:AU17,AU19:AU21,AU23,AU25:AU27,AU29)</f>
        <v>12</v>
      </c>
      <c r="BA5" s="3">
        <f>30-AZ5</f>
        <v>18</v>
      </c>
      <c r="BB5" s="1"/>
      <c r="BC5" s="3" t="s">
        <v>13</v>
      </c>
      <c r="BD5" s="3">
        <v>0.9</v>
      </c>
      <c r="BE5" s="3">
        <v>0.5</v>
      </c>
      <c r="BF5" s="3">
        <v>0.6</v>
      </c>
      <c r="BG5" s="3">
        <v>0.33</v>
      </c>
      <c r="BH5" s="8">
        <v>640.94354199999998</v>
      </c>
      <c r="BI5" s="3">
        <v>5.0000000000000001E-3</v>
      </c>
      <c r="BK5" s="3" t="s">
        <v>13</v>
      </c>
      <c r="BL5" s="3">
        <v>0.3</v>
      </c>
      <c r="BM5" s="6">
        <v>640.37847899999997</v>
      </c>
      <c r="BN5" s="3">
        <v>0</v>
      </c>
      <c r="BO5" s="3">
        <f t="shared" si="3"/>
        <v>0.315</v>
      </c>
      <c r="BP5" s="3">
        <f>COUNT(BH5,BH9,BH11:BH14,BH17,BH19,BH21:BH22,BH24:BH25,BH27)</f>
        <v>13</v>
      </c>
      <c r="BQ5" s="3">
        <f>30-BP5</f>
        <v>17</v>
      </c>
      <c r="BR5" s="3">
        <f>COUNT(BM4:BM8,BM11,BM15:BM16,BM18,BM20,BM23,BM26)</f>
        <v>12</v>
      </c>
      <c r="BS5" s="3">
        <f>30-BR5</f>
        <v>18</v>
      </c>
    </row>
    <row r="6" spans="1:71" x14ac:dyDescent="0.3">
      <c r="A6" s="3" t="s">
        <v>14</v>
      </c>
      <c r="B6" s="3">
        <v>0.9</v>
      </c>
      <c r="C6" s="3">
        <v>0.5</v>
      </c>
      <c r="D6" s="3">
        <v>0.6</v>
      </c>
      <c r="E6" s="3">
        <v>0.33</v>
      </c>
      <c r="F6" s="6">
        <v>365.81158399999998</v>
      </c>
      <c r="G6" s="3">
        <v>0</v>
      </c>
      <c r="I6" s="3" t="s">
        <v>14</v>
      </c>
      <c r="J6" s="3">
        <v>0.54</v>
      </c>
      <c r="K6" s="7">
        <v>368.59149200000002</v>
      </c>
      <c r="L6" s="3">
        <v>0</v>
      </c>
      <c r="M6" s="3">
        <f t="shared" si="0"/>
        <v>0.43500000000000005</v>
      </c>
      <c r="N6" s="5"/>
      <c r="O6" s="5"/>
      <c r="P6" s="5"/>
      <c r="Q6" s="5"/>
      <c r="R6" s="1"/>
      <c r="S6" s="3" t="s">
        <v>14</v>
      </c>
      <c r="T6" s="3">
        <v>0.9</v>
      </c>
      <c r="U6" s="3">
        <v>0.5</v>
      </c>
      <c r="V6" s="3">
        <v>0.6</v>
      </c>
      <c r="W6" s="3">
        <v>0.36</v>
      </c>
      <c r="X6" s="7">
        <v>337.63259900000003</v>
      </c>
      <c r="Y6" s="3">
        <v>0</v>
      </c>
      <c r="AA6" s="3" t="s">
        <v>14</v>
      </c>
      <c r="AB6" s="3">
        <v>0.4</v>
      </c>
      <c r="AC6" s="6">
        <v>335.11968999999999</v>
      </c>
      <c r="AD6" s="3">
        <v>0</v>
      </c>
      <c r="AE6" s="3">
        <f t="shared" si="1"/>
        <v>0.38</v>
      </c>
      <c r="AF6" s="5"/>
      <c r="AG6" s="5"/>
      <c r="AH6" s="5"/>
      <c r="AI6" s="5"/>
      <c r="AJ6" s="1"/>
      <c r="AK6" s="3" t="s">
        <v>15</v>
      </c>
      <c r="AL6" s="3">
        <v>0.9</v>
      </c>
      <c r="AM6" s="3">
        <v>0.5</v>
      </c>
      <c r="AN6" s="3">
        <v>0.6</v>
      </c>
      <c r="AO6" s="3">
        <v>0.31</v>
      </c>
      <c r="AP6" s="6">
        <v>716.26879899999994</v>
      </c>
      <c r="AQ6" s="3">
        <v>8.0000000000000002E-3</v>
      </c>
      <c r="AS6" s="3" t="s">
        <v>15</v>
      </c>
      <c r="AT6" s="3">
        <v>0.32</v>
      </c>
      <c r="AU6" s="7">
        <v>728.32733199999996</v>
      </c>
      <c r="AV6" s="3">
        <v>1E-3</v>
      </c>
      <c r="AW6" s="3">
        <f t="shared" si="2"/>
        <v>0.315</v>
      </c>
      <c r="AX6" s="5"/>
      <c r="AY6" s="5"/>
      <c r="AZ6" s="5"/>
      <c r="BA6" s="5"/>
      <c r="BB6" s="1"/>
      <c r="BC6" s="3" t="s">
        <v>15</v>
      </c>
      <c r="BD6" s="3">
        <v>0.9</v>
      </c>
      <c r="BE6" s="3">
        <v>0.5</v>
      </c>
      <c r="BF6" s="3">
        <v>0.6</v>
      </c>
      <c r="BG6" s="3">
        <v>0.31</v>
      </c>
      <c r="BH6" s="7">
        <v>695.62091099999998</v>
      </c>
      <c r="BI6" s="3">
        <v>4.0000000000000001E-3</v>
      </c>
      <c r="BK6" s="3" t="s">
        <v>15</v>
      </c>
      <c r="BL6" s="3">
        <v>0.3</v>
      </c>
      <c r="BM6" s="6">
        <v>679.69226100000003</v>
      </c>
      <c r="BN6" s="3">
        <v>0</v>
      </c>
      <c r="BO6" s="3">
        <f t="shared" si="3"/>
        <v>0.30499999999999999</v>
      </c>
    </row>
    <row r="7" spans="1:71" x14ac:dyDescent="0.3">
      <c r="A7" s="3" t="s">
        <v>16</v>
      </c>
      <c r="B7" s="3">
        <v>0.9</v>
      </c>
      <c r="C7" s="3">
        <v>0.5</v>
      </c>
      <c r="D7" s="3">
        <v>0.6</v>
      </c>
      <c r="E7" s="3">
        <v>0.31</v>
      </c>
      <c r="F7" s="7">
        <v>395.05444299999999</v>
      </c>
      <c r="G7" s="3">
        <v>1E-3</v>
      </c>
      <c r="I7" s="3" t="s">
        <v>16</v>
      </c>
      <c r="J7" s="3">
        <v>0.42</v>
      </c>
      <c r="K7" s="6">
        <v>391.01776100000001</v>
      </c>
      <c r="L7" s="3">
        <v>0</v>
      </c>
      <c r="M7" s="3">
        <f t="shared" si="0"/>
        <v>0.36499999999999999</v>
      </c>
      <c r="N7" s="5"/>
      <c r="O7" s="5"/>
      <c r="P7" s="5"/>
      <c r="Q7" s="5"/>
      <c r="R7" s="1"/>
      <c r="S7" s="3" t="s">
        <v>16</v>
      </c>
      <c r="T7" s="3">
        <v>0.9</v>
      </c>
      <c r="U7" s="3">
        <v>0.5</v>
      </c>
      <c r="V7" s="3">
        <v>0.6</v>
      </c>
      <c r="W7" s="3">
        <v>0.3</v>
      </c>
      <c r="X7" s="6">
        <v>370.94268799999998</v>
      </c>
      <c r="Y7" s="3">
        <v>1E-3</v>
      </c>
      <c r="AA7" s="3" t="s">
        <v>16</v>
      </c>
      <c r="AB7" s="3">
        <v>0.36</v>
      </c>
      <c r="AC7" s="7">
        <v>371.38262900000001</v>
      </c>
      <c r="AD7" s="3">
        <v>0</v>
      </c>
      <c r="AE7" s="3">
        <f t="shared" si="1"/>
        <v>0.32999999999999996</v>
      </c>
      <c r="AF7" s="5"/>
      <c r="AG7" s="5"/>
      <c r="AH7" s="5"/>
      <c r="AI7" s="5"/>
      <c r="AJ7" s="1"/>
      <c r="AK7" s="3" t="s">
        <v>17</v>
      </c>
      <c r="AL7" s="3">
        <v>0.9</v>
      </c>
      <c r="AM7" s="3">
        <v>0.5</v>
      </c>
      <c r="AN7" s="3">
        <v>0.6</v>
      </c>
      <c r="AO7" s="3">
        <v>0.33</v>
      </c>
      <c r="AP7" s="6">
        <v>700.03228799999999</v>
      </c>
      <c r="AQ7" s="3">
        <v>8.0000000000000002E-3</v>
      </c>
      <c r="AS7" s="3" t="s">
        <v>17</v>
      </c>
      <c r="AT7" s="3">
        <v>0.31</v>
      </c>
      <c r="AU7" s="7">
        <v>724.97729500000003</v>
      </c>
      <c r="AV7" s="3">
        <v>0</v>
      </c>
      <c r="AW7" s="3">
        <f t="shared" si="2"/>
        <v>0.32</v>
      </c>
      <c r="AX7" s="5"/>
      <c r="AY7" s="5"/>
      <c r="AZ7" s="5"/>
      <c r="BA7" s="5"/>
      <c r="BB7" s="1"/>
      <c r="BC7" s="3" t="s">
        <v>17</v>
      </c>
      <c r="BD7" s="3">
        <v>0.9</v>
      </c>
      <c r="BE7" s="3">
        <v>0.5</v>
      </c>
      <c r="BF7" s="3">
        <v>0.6</v>
      </c>
      <c r="BG7" s="3">
        <v>0.32</v>
      </c>
      <c r="BH7" s="7">
        <v>683.96862799999997</v>
      </c>
      <c r="BI7" s="3">
        <v>3.0000000000000001E-3</v>
      </c>
      <c r="BK7" s="3" t="s">
        <v>17</v>
      </c>
      <c r="BL7" s="3">
        <v>0.32</v>
      </c>
      <c r="BM7" s="6">
        <v>662.45581100000004</v>
      </c>
      <c r="BN7" s="3">
        <v>1E-3</v>
      </c>
      <c r="BO7" s="3">
        <f t="shared" si="3"/>
        <v>0.32</v>
      </c>
    </row>
    <row r="8" spans="1:71" x14ac:dyDescent="0.3">
      <c r="A8" s="3" t="s">
        <v>18</v>
      </c>
      <c r="B8" s="3">
        <v>0.9</v>
      </c>
      <c r="C8" s="3">
        <v>0.5</v>
      </c>
      <c r="D8" s="3">
        <v>0.6</v>
      </c>
      <c r="E8" s="3">
        <v>0.36</v>
      </c>
      <c r="F8" s="6">
        <v>341.22711199999998</v>
      </c>
      <c r="G8" s="3">
        <v>0</v>
      </c>
      <c r="I8" s="3" t="s">
        <v>18</v>
      </c>
      <c r="J8" s="3">
        <v>0.3</v>
      </c>
      <c r="K8" s="8">
        <v>341.47854599999999</v>
      </c>
      <c r="L8" s="3">
        <v>0</v>
      </c>
      <c r="M8" s="3">
        <f t="shared" si="0"/>
        <v>0.32999999999999996</v>
      </c>
      <c r="N8" s="5"/>
      <c r="O8" s="5"/>
      <c r="P8" s="5"/>
      <c r="Q8" s="5"/>
      <c r="R8" s="1"/>
      <c r="S8" s="3" t="s">
        <v>18</v>
      </c>
      <c r="T8" s="3">
        <v>0.9</v>
      </c>
      <c r="U8" s="3">
        <v>0.5</v>
      </c>
      <c r="V8" s="3">
        <v>0.6</v>
      </c>
      <c r="W8" s="3">
        <v>0.39</v>
      </c>
      <c r="X8" s="6">
        <v>318.96472199999999</v>
      </c>
      <c r="Y8" s="3">
        <v>0</v>
      </c>
      <c r="AA8" s="3" t="s">
        <v>18</v>
      </c>
      <c r="AB8" s="3">
        <v>0.37</v>
      </c>
      <c r="AC8" s="6">
        <v>318.96472199999999</v>
      </c>
      <c r="AD8" s="3">
        <v>0</v>
      </c>
      <c r="AE8" s="3">
        <f t="shared" si="1"/>
        <v>0.38</v>
      </c>
      <c r="AF8" s="5"/>
      <c r="AG8" s="5"/>
      <c r="AH8" s="5"/>
      <c r="AI8" s="5"/>
      <c r="AJ8" s="1"/>
      <c r="AK8" s="3" t="s">
        <v>19</v>
      </c>
      <c r="AL8" s="3">
        <v>0.9</v>
      </c>
      <c r="AM8" s="3">
        <v>0.5</v>
      </c>
      <c r="AN8" s="3">
        <v>0.6</v>
      </c>
      <c r="AO8" s="3">
        <v>0.31</v>
      </c>
      <c r="AP8" s="7">
        <v>761.31011999999998</v>
      </c>
      <c r="AQ8" s="3">
        <v>6.0000000000000001E-3</v>
      </c>
      <c r="AS8" s="3" t="s">
        <v>19</v>
      </c>
      <c r="AT8" s="3">
        <v>0.3</v>
      </c>
      <c r="AU8" s="6">
        <v>739.55407700000001</v>
      </c>
      <c r="AV8" s="3">
        <v>0</v>
      </c>
      <c r="AW8" s="3">
        <f t="shared" si="2"/>
        <v>0.30499999999999999</v>
      </c>
      <c r="AX8" s="5"/>
      <c r="AY8" s="5"/>
      <c r="AZ8" s="5"/>
      <c r="BA8" s="5"/>
      <c r="BB8" s="1"/>
      <c r="BC8" s="3" t="s">
        <v>19</v>
      </c>
      <c r="BD8" s="3">
        <v>0.9</v>
      </c>
      <c r="BE8" s="3">
        <v>0.5</v>
      </c>
      <c r="BF8" s="3">
        <v>0.6</v>
      </c>
      <c r="BG8" s="3">
        <v>0.36</v>
      </c>
      <c r="BH8" s="7">
        <v>710.90527299999997</v>
      </c>
      <c r="BI8" s="3">
        <v>6.0000000000000001E-3</v>
      </c>
      <c r="BK8" s="3" t="s">
        <v>19</v>
      </c>
      <c r="BL8" s="3">
        <v>0.3</v>
      </c>
      <c r="BM8" s="6">
        <v>708.15289299999995</v>
      </c>
      <c r="BN8" s="3">
        <v>1E-3</v>
      </c>
      <c r="BO8" s="3">
        <f t="shared" si="3"/>
        <v>0.32999999999999996</v>
      </c>
    </row>
    <row r="9" spans="1:71" x14ac:dyDescent="0.3">
      <c r="A9" s="3" t="s">
        <v>20</v>
      </c>
      <c r="B9" s="3">
        <v>0.9</v>
      </c>
      <c r="C9" s="3">
        <v>0.5</v>
      </c>
      <c r="D9" s="3">
        <v>0.6</v>
      </c>
      <c r="E9" s="3">
        <v>0.3</v>
      </c>
      <c r="F9" s="6">
        <v>408.41876200000002</v>
      </c>
      <c r="G9" s="3">
        <v>1E-3</v>
      </c>
      <c r="I9" s="3" t="s">
        <v>20</v>
      </c>
      <c r="J9" s="3">
        <v>0.36</v>
      </c>
      <c r="K9" s="7">
        <v>409.17193600000002</v>
      </c>
      <c r="L9" s="3">
        <v>0</v>
      </c>
      <c r="M9" s="3">
        <f t="shared" si="0"/>
        <v>0.32999999999999996</v>
      </c>
      <c r="N9" s="5"/>
      <c r="O9" s="5"/>
      <c r="P9" s="5"/>
      <c r="Q9" s="5"/>
      <c r="R9" s="1"/>
      <c r="S9" s="3" t="s">
        <v>20</v>
      </c>
      <c r="T9" s="3">
        <v>0.9</v>
      </c>
      <c r="U9" s="3">
        <v>0.5</v>
      </c>
      <c r="V9" s="3">
        <v>0.6</v>
      </c>
      <c r="W9" s="3">
        <v>0.45</v>
      </c>
      <c r="X9" s="6">
        <v>384.07998700000002</v>
      </c>
      <c r="Y9" s="3">
        <v>1E-3</v>
      </c>
      <c r="AA9" s="3" t="s">
        <v>20</v>
      </c>
      <c r="AB9" s="3">
        <v>0.34</v>
      </c>
      <c r="AC9" s="7">
        <v>385.72714200000001</v>
      </c>
      <c r="AD9" s="3">
        <v>0</v>
      </c>
      <c r="AE9" s="3">
        <f t="shared" si="1"/>
        <v>0.39500000000000002</v>
      </c>
      <c r="AF9" s="5"/>
      <c r="AG9" s="5"/>
      <c r="AH9" s="5"/>
      <c r="AI9" s="5"/>
      <c r="AJ9" s="1"/>
      <c r="AK9" s="3" t="s">
        <v>21</v>
      </c>
      <c r="AL9" s="3">
        <v>0.9</v>
      </c>
      <c r="AM9" s="3">
        <v>0.5</v>
      </c>
      <c r="AN9" s="3">
        <v>0.6</v>
      </c>
      <c r="AO9" s="3">
        <v>0.33</v>
      </c>
      <c r="AP9" s="6">
        <v>735.19415300000003</v>
      </c>
      <c r="AQ9" s="3">
        <v>4.0000000000000001E-3</v>
      </c>
      <c r="AS9" s="3" t="s">
        <v>21</v>
      </c>
      <c r="AT9" s="3">
        <v>0.34</v>
      </c>
      <c r="AU9" s="7">
        <v>741.94164999999998</v>
      </c>
      <c r="AV9" s="3">
        <v>1E-3</v>
      </c>
      <c r="AW9" s="3">
        <f t="shared" si="2"/>
        <v>0.33500000000000002</v>
      </c>
      <c r="AX9" s="5"/>
      <c r="AY9" s="5"/>
      <c r="AZ9" s="5"/>
      <c r="BA9" s="5"/>
      <c r="BB9" s="1"/>
      <c r="BC9" s="3" t="s">
        <v>21</v>
      </c>
      <c r="BD9" s="3">
        <v>0.9</v>
      </c>
      <c r="BE9" s="3">
        <v>0.5</v>
      </c>
      <c r="BF9" s="3">
        <v>0.6</v>
      </c>
      <c r="BG9" s="3">
        <v>0.3</v>
      </c>
      <c r="BH9" s="6">
        <v>674.69805899999994</v>
      </c>
      <c r="BI9" s="3">
        <v>8.9999999999999993E-3</v>
      </c>
      <c r="BK9" s="3" t="s">
        <v>21</v>
      </c>
      <c r="BL9" s="3">
        <v>0.34</v>
      </c>
      <c r="BM9" s="7">
        <v>701.21203600000001</v>
      </c>
      <c r="BN9" s="3">
        <v>1E-3</v>
      </c>
      <c r="BO9" s="3">
        <f t="shared" si="3"/>
        <v>0.32</v>
      </c>
    </row>
    <row r="10" spans="1:71" x14ac:dyDescent="0.3">
      <c r="A10" s="3" t="s">
        <v>22</v>
      </c>
      <c r="B10" s="3">
        <v>0.9</v>
      </c>
      <c r="C10" s="3">
        <v>0.5</v>
      </c>
      <c r="D10" s="3">
        <v>0.6</v>
      </c>
      <c r="E10" s="3">
        <v>0.31</v>
      </c>
      <c r="F10" s="6">
        <v>382.210846</v>
      </c>
      <c r="G10" s="3">
        <v>1E-3</v>
      </c>
      <c r="I10" s="3" t="s">
        <v>22</v>
      </c>
      <c r="J10" s="3">
        <v>0.34</v>
      </c>
      <c r="K10" s="8">
        <v>382.39572099999998</v>
      </c>
      <c r="L10" s="3">
        <v>0</v>
      </c>
      <c r="M10" s="3">
        <f t="shared" si="0"/>
        <v>0.32500000000000001</v>
      </c>
      <c r="N10" s="5"/>
      <c r="O10" s="5"/>
      <c r="P10" s="5"/>
      <c r="Q10" s="5"/>
      <c r="R10" s="1"/>
      <c r="S10" s="3" t="s">
        <v>22</v>
      </c>
      <c r="T10" s="3">
        <v>0.9</v>
      </c>
      <c r="U10" s="3">
        <v>0.5</v>
      </c>
      <c r="V10" s="3">
        <v>0.6</v>
      </c>
      <c r="W10" s="3">
        <v>0.39</v>
      </c>
      <c r="X10" s="6">
        <v>354.81280500000003</v>
      </c>
      <c r="Y10" s="3">
        <v>1E-3</v>
      </c>
      <c r="AA10" s="3" t="s">
        <v>22</v>
      </c>
      <c r="AB10" s="3">
        <v>0.3</v>
      </c>
      <c r="AC10" s="7">
        <v>355.66607699999997</v>
      </c>
      <c r="AD10" s="3">
        <v>0</v>
      </c>
      <c r="AE10" s="3">
        <f t="shared" si="1"/>
        <v>0.34499999999999997</v>
      </c>
      <c r="AF10" s="5"/>
      <c r="AG10" s="5"/>
      <c r="AH10" s="5"/>
      <c r="AI10" s="5"/>
      <c r="AJ10" s="1"/>
      <c r="AK10" s="3" t="s">
        <v>23</v>
      </c>
      <c r="AL10" s="3">
        <v>0.9</v>
      </c>
      <c r="AM10" s="3">
        <v>0.5</v>
      </c>
      <c r="AN10" s="3">
        <v>0.6</v>
      </c>
      <c r="AO10" s="3">
        <v>0.33</v>
      </c>
      <c r="AP10" s="6">
        <v>736.36047399999995</v>
      </c>
      <c r="AQ10" s="3">
        <v>7.0000000000000001E-3</v>
      </c>
      <c r="AS10" s="3" t="s">
        <v>23</v>
      </c>
      <c r="AT10" s="3">
        <v>0.33</v>
      </c>
      <c r="AU10" s="7">
        <v>739.877747</v>
      </c>
      <c r="AV10" s="3">
        <v>0</v>
      </c>
      <c r="AW10" s="3">
        <f t="shared" si="2"/>
        <v>0.33</v>
      </c>
      <c r="AX10" s="5"/>
      <c r="AY10" s="5"/>
      <c r="AZ10" s="5"/>
      <c r="BA10" s="5"/>
      <c r="BB10" s="1"/>
      <c r="BC10" s="3" t="s">
        <v>23</v>
      </c>
      <c r="BD10" s="3">
        <v>0.9</v>
      </c>
      <c r="BE10" s="3">
        <v>0.5</v>
      </c>
      <c r="BF10" s="3">
        <v>0.6</v>
      </c>
      <c r="BG10" s="3">
        <v>0.3</v>
      </c>
      <c r="BH10" s="7">
        <v>703.99188200000003</v>
      </c>
      <c r="BI10" s="3">
        <v>5.0000000000000001E-3</v>
      </c>
      <c r="BK10" s="3" t="s">
        <v>23</v>
      </c>
      <c r="BL10" s="3">
        <v>0.31</v>
      </c>
      <c r="BM10" s="7">
        <v>701.17370600000004</v>
      </c>
      <c r="BN10" s="3">
        <v>1E-3</v>
      </c>
      <c r="BO10" s="3">
        <f t="shared" si="3"/>
        <v>0.30499999999999999</v>
      </c>
    </row>
    <row r="11" spans="1:71" x14ac:dyDescent="0.3">
      <c r="A11" s="3" t="s">
        <v>24</v>
      </c>
      <c r="B11" s="3">
        <v>0.9</v>
      </c>
      <c r="C11" s="3">
        <v>0.5</v>
      </c>
      <c r="D11" s="3">
        <v>0.6</v>
      </c>
      <c r="E11" s="3">
        <v>0.35</v>
      </c>
      <c r="F11" s="6">
        <v>458.79028299999999</v>
      </c>
      <c r="G11" s="3">
        <v>1E-3</v>
      </c>
      <c r="I11" s="3" t="s">
        <v>24</v>
      </c>
      <c r="J11" s="3">
        <v>0.34</v>
      </c>
      <c r="K11" s="8">
        <v>458.95529199999999</v>
      </c>
      <c r="L11" s="3">
        <v>0</v>
      </c>
      <c r="M11" s="3">
        <f t="shared" si="0"/>
        <v>0.34499999999999997</v>
      </c>
      <c r="N11" s="5"/>
      <c r="O11" s="5"/>
      <c r="P11" s="5"/>
      <c r="Q11" s="5"/>
      <c r="R11" s="1"/>
      <c r="S11" s="3" t="s">
        <v>24</v>
      </c>
      <c r="T11" s="3">
        <v>0.9</v>
      </c>
      <c r="U11" s="3">
        <v>0.5</v>
      </c>
      <c r="V11" s="3">
        <v>0.6</v>
      </c>
      <c r="W11" s="3">
        <v>0.37</v>
      </c>
      <c r="X11" s="6">
        <v>413.71029700000003</v>
      </c>
      <c r="Y11" s="3">
        <v>0</v>
      </c>
      <c r="AA11" s="3" t="s">
        <v>24</v>
      </c>
      <c r="AB11" s="3">
        <v>0.39</v>
      </c>
      <c r="AC11" s="8">
        <v>413.96798699999999</v>
      </c>
      <c r="AD11" s="3">
        <v>0</v>
      </c>
      <c r="AE11" s="3">
        <f t="shared" si="1"/>
        <v>0.38</v>
      </c>
      <c r="AF11" s="5"/>
      <c r="AG11" s="5"/>
      <c r="AH11" s="5"/>
      <c r="AI11" s="5"/>
      <c r="AJ11" s="1"/>
      <c r="AK11" s="3" t="s">
        <v>25</v>
      </c>
      <c r="AL11" s="3">
        <v>0.9</v>
      </c>
      <c r="AM11" s="3">
        <v>0.5</v>
      </c>
      <c r="AN11" s="3">
        <v>0.6</v>
      </c>
      <c r="AO11" s="3">
        <v>0.34</v>
      </c>
      <c r="AP11" s="6">
        <v>741.91430700000001</v>
      </c>
      <c r="AQ11" s="3">
        <v>5.0000000000000001E-3</v>
      </c>
      <c r="AS11" s="3" t="s">
        <v>25</v>
      </c>
      <c r="AT11" s="3">
        <v>0.3</v>
      </c>
      <c r="AU11" s="7">
        <v>762.80651899999998</v>
      </c>
      <c r="AV11" s="3">
        <v>0</v>
      </c>
      <c r="AW11" s="3">
        <f t="shared" si="2"/>
        <v>0.32</v>
      </c>
      <c r="AX11" s="5"/>
      <c r="AY11" s="5"/>
      <c r="AZ11" s="5"/>
      <c r="BA11" s="5"/>
      <c r="BB11" s="1"/>
      <c r="BC11" s="3" t="s">
        <v>25</v>
      </c>
      <c r="BD11" s="3">
        <v>0.9</v>
      </c>
      <c r="BE11" s="3">
        <v>0.5</v>
      </c>
      <c r="BF11" s="3">
        <v>0.6</v>
      </c>
      <c r="BG11" s="3">
        <v>0.3</v>
      </c>
      <c r="BH11" s="6">
        <v>721.39190699999995</v>
      </c>
      <c r="BI11" s="3">
        <v>5.0000000000000001E-3</v>
      </c>
      <c r="BK11" s="3" t="s">
        <v>25</v>
      </c>
      <c r="BL11" s="3">
        <v>0.33</v>
      </c>
      <c r="BM11" s="6">
        <v>722.79070999999999</v>
      </c>
      <c r="BN11" s="3">
        <v>1E-3</v>
      </c>
      <c r="BO11" s="3">
        <f t="shared" si="3"/>
        <v>0.315</v>
      </c>
    </row>
    <row r="12" spans="1:71" x14ac:dyDescent="0.3">
      <c r="A12" s="3" t="s">
        <v>26</v>
      </c>
      <c r="B12" s="3">
        <v>0.9</v>
      </c>
      <c r="C12" s="3">
        <v>0.5</v>
      </c>
      <c r="D12" s="3">
        <v>0.6</v>
      </c>
      <c r="E12" s="3">
        <v>0.57999999999999996</v>
      </c>
      <c r="F12" s="8">
        <v>413.77310199999999</v>
      </c>
      <c r="G12" s="3">
        <v>1E-3</v>
      </c>
      <c r="I12" s="3" t="s">
        <v>26</v>
      </c>
      <c r="J12" s="3">
        <v>0.38</v>
      </c>
      <c r="K12" s="7">
        <v>418.25576799999999</v>
      </c>
      <c r="L12" s="3">
        <v>0</v>
      </c>
      <c r="M12" s="3">
        <f t="shared" si="0"/>
        <v>0.48</v>
      </c>
      <c r="N12" s="5"/>
      <c r="O12" s="5"/>
      <c r="P12" s="5"/>
      <c r="Q12" s="5"/>
      <c r="R12" s="1"/>
      <c r="S12" s="3" t="s">
        <v>26</v>
      </c>
      <c r="T12" s="3">
        <v>0.9</v>
      </c>
      <c r="U12" s="3">
        <v>0.5</v>
      </c>
      <c r="V12" s="3">
        <v>0.6</v>
      </c>
      <c r="W12" s="3">
        <v>0.41</v>
      </c>
      <c r="X12" s="8">
        <v>395.448486</v>
      </c>
      <c r="Y12" s="3">
        <v>1E-3</v>
      </c>
      <c r="AA12" s="3" t="s">
        <v>26</v>
      </c>
      <c r="AB12" s="3">
        <v>0.8</v>
      </c>
      <c r="AC12" s="6">
        <v>395.05450400000001</v>
      </c>
      <c r="AD12" s="3">
        <v>0</v>
      </c>
      <c r="AE12" s="3">
        <f t="shared" si="1"/>
        <v>0.60499999999999998</v>
      </c>
      <c r="AF12" s="5"/>
      <c r="AG12" s="5"/>
      <c r="AH12" s="5"/>
      <c r="AI12" s="5"/>
      <c r="AJ12" s="1"/>
      <c r="AK12" s="3" t="s">
        <v>27</v>
      </c>
      <c r="AL12" s="3">
        <v>0.9</v>
      </c>
      <c r="AM12" s="3">
        <v>0.5</v>
      </c>
      <c r="AN12" s="3">
        <v>0.6</v>
      </c>
      <c r="AO12" s="3">
        <v>0.3</v>
      </c>
      <c r="AP12" s="6">
        <v>724.55328399999996</v>
      </c>
      <c r="AQ12" s="3">
        <v>6.0000000000000001E-3</v>
      </c>
      <c r="AS12" s="3" t="s">
        <v>27</v>
      </c>
      <c r="AT12" s="3">
        <v>0.36</v>
      </c>
      <c r="AU12" s="7">
        <v>731.605591</v>
      </c>
      <c r="AV12" s="3">
        <v>0</v>
      </c>
      <c r="AW12" s="3">
        <f t="shared" si="2"/>
        <v>0.32999999999999996</v>
      </c>
      <c r="AX12" s="5"/>
      <c r="AY12" s="5"/>
      <c r="AZ12" s="5"/>
      <c r="BA12" s="5"/>
      <c r="BB12" s="1"/>
      <c r="BC12" s="3" t="s">
        <v>27</v>
      </c>
      <c r="BD12" s="3">
        <v>0.9</v>
      </c>
      <c r="BE12" s="3">
        <v>0.5</v>
      </c>
      <c r="BF12" s="3">
        <v>0.6</v>
      </c>
      <c r="BG12" s="3">
        <v>0.31</v>
      </c>
      <c r="BH12" s="6">
        <v>694.88061500000003</v>
      </c>
      <c r="BI12" s="3">
        <v>5.0000000000000001E-3</v>
      </c>
      <c r="BK12" s="3" t="s">
        <v>27</v>
      </c>
      <c r="BL12" s="3">
        <v>0.33</v>
      </c>
      <c r="BM12" s="7">
        <v>703.86389199999996</v>
      </c>
      <c r="BN12" s="3">
        <v>1E-3</v>
      </c>
      <c r="BO12" s="3">
        <f t="shared" si="3"/>
        <v>0.32</v>
      </c>
    </row>
    <row r="13" spans="1:71" x14ac:dyDescent="0.3">
      <c r="A13" s="3" t="s">
        <v>28</v>
      </c>
      <c r="B13" s="3">
        <v>0.9</v>
      </c>
      <c r="C13" s="3">
        <v>0.5</v>
      </c>
      <c r="D13" s="3">
        <v>0.6</v>
      </c>
      <c r="E13" s="3">
        <v>0.3</v>
      </c>
      <c r="F13" s="6">
        <v>342.79367100000002</v>
      </c>
      <c r="G13" s="3">
        <v>1E-3</v>
      </c>
      <c r="I13" s="3" t="s">
        <v>28</v>
      </c>
      <c r="J13" s="3">
        <v>0.3</v>
      </c>
      <c r="K13" s="6">
        <v>342.79367100000002</v>
      </c>
      <c r="L13" s="3">
        <v>0</v>
      </c>
      <c r="M13" s="3">
        <f t="shared" si="0"/>
        <v>0.3</v>
      </c>
      <c r="N13" s="5"/>
      <c r="O13" s="5"/>
      <c r="P13" s="5"/>
      <c r="Q13" s="5"/>
      <c r="R13" s="1"/>
      <c r="S13" s="3" t="s">
        <v>28</v>
      </c>
      <c r="T13" s="3">
        <v>0.9</v>
      </c>
      <c r="U13" s="3">
        <v>0.5</v>
      </c>
      <c r="V13" s="3">
        <v>0.6</v>
      </c>
      <c r="W13" s="3">
        <v>0.32</v>
      </c>
      <c r="X13" s="6">
        <v>311.57052599999997</v>
      </c>
      <c r="Y13" s="3">
        <v>1E-3</v>
      </c>
      <c r="AA13" s="3" t="s">
        <v>28</v>
      </c>
      <c r="AB13" s="3">
        <v>0.34</v>
      </c>
      <c r="AC13" s="6">
        <v>311.57052599999997</v>
      </c>
      <c r="AD13" s="3">
        <v>0</v>
      </c>
      <c r="AE13" s="3">
        <f t="shared" si="1"/>
        <v>0.33</v>
      </c>
      <c r="AF13" s="5"/>
      <c r="AG13" s="5"/>
      <c r="AH13" s="5"/>
      <c r="AI13" s="5"/>
      <c r="AJ13" s="1"/>
      <c r="AK13" s="3" t="s">
        <v>29</v>
      </c>
      <c r="AL13" s="3">
        <v>0.9</v>
      </c>
      <c r="AM13" s="3">
        <v>0.5</v>
      </c>
      <c r="AN13" s="3">
        <v>0.6</v>
      </c>
      <c r="AO13" s="3">
        <v>0.3</v>
      </c>
      <c r="AP13" s="6">
        <v>717.01342799999998</v>
      </c>
      <c r="AQ13" s="3">
        <v>6.0000000000000001E-3</v>
      </c>
      <c r="AS13" s="3" t="s">
        <v>29</v>
      </c>
      <c r="AT13" s="3">
        <v>0.33</v>
      </c>
      <c r="AU13" s="7">
        <v>748.24890100000005</v>
      </c>
      <c r="AV13" s="3">
        <v>0</v>
      </c>
      <c r="AW13" s="3">
        <f t="shared" si="2"/>
        <v>0.315</v>
      </c>
      <c r="AX13" s="5"/>
      <c r="AY13" s="5"/>
      <c r="AZ13" s="5"/>
      <c r="BA13" s="5"/>
      <c r="BB13" s="1"/>
      <c r="BC13" s="3" t="s">
        <v>29</v>
      </c>
      <c r="BD13" s="3">
        <v>0.9</v>
      </c>
      <c r="BE13" s="3">
        <v>0.5</v>
      </c>
      <c r="BF13" s="3">
        <v>0.6</v>
      </c>
      <c r="BG13" s="3">
        <v>0.3</v>
      </c>
      <c r="BH13" s="6">
        <v>708.32543899999996</v>
      </c>
      <c r="BI13" s="3">
        <v>4.0000000000000001E-3</v>
      </c>
      <c r="BK13" s="3" t="s">
        <v>29</v>
      </c>
      <c r="BL13" s="3">
        <v>0.31</v>
      </c>
      <c r="BM13" s="7">
        <v>717.441284</v>
      </c>
      <c r="BN13" s="3">
        <v>0</v>
      </c>
      <c r="BO13" s="3">
        <f t="shared" si="3"/>
        <v>0.30499999999999999</v>
      </c>
    </row>
    <row r="14" spans="1:71" x14ac:dyDescent="0.3">
      <c r="A14" s="3" t="s">
        <v>30</v>
      </c>
      <c r="B14" s="3">
        <v>0.9</v>
      </c>
      <c r="C14" s="3">
        <v>0.5</v>
      </c>
      <c r="D14" s="3">
        <v>0.6</v>
      </c>
      <c r="E14" s="3">
        <v>0.35</v>
      </c>
      <c r="F14" s="6">
        <v>513.706909</v>
      </c>
      <c r="G14" s="3">
        <v>1E-3</v>
      </c>
      <c r="I14" s="3" t="s">
        <v>30</v>
      </c>
      <c r="J14" s="3">
        <v>0.31</v>
      </c>
      <c r="K14" s="7">
        <v>534.48339799999997</v>
      </c>
      <c r="L14" s="3">
        <v>0</v>
      </c>
      <c r="M14" s="3">
        <f t="shared" si="0"/>
        <v>0.32999999999999996</v>
      </c>
      <c r="N14" s="5"/>
      <c r="O14" s="5"/>
      <c r="P14" s="5"/>
      <c r="Q14" s="5"/>
      <c r="R14" s="1"/>
      <c r="S14" s="3" t="s">
        <v>30</v>
      </c>
      <c r="T14" s="3">
        <v>0.9</v>
      </c>
      <c r="U14" s="3">
        <v>0.5</v>
      </c>
      <c r="V14" s="3">
        <v>0.6</v>
      </c>
      <c r="W14" s="3">
        <v>0.48</v>
      </c>
      <c r="X14" s="6">
        <v>506.281158</v>
      </c>
      <c r="Y14" s="3">
        <v>0</v>
      </c>
      <c r="AA14" s="3" t="s">
        <v>30</v>
      </c>
      <c r="AB14" s="3">
        <v>0.83</v>
      </c>
      <c r="AC14" s="7">
        <v>520.83978300000001</v>
      </c>
      <c r="AD14" s="3">
        <v>0</v>
      </c>
      <c r="AE14" s="3">
        <f t="shared" si="1"/>
        <v>0.65500000000000003</v>
      </c>
      <c r="AF14" s="5"/>
      <c r="AG14" s="5"/>
      <c r="AH14" s="5"/>
      <c r="AI14" s="5"/>
      <c r="AJ14" s="1"/>
      <c r="AK14" s="3" t="s">
        <v>31</v>
      </c>
      <c r="AL14" s="3">
        <v>0.9</v>
      </c>
      <c r="AM14" s="3">
        <v>0.5</v>
      </c>
      <c r="AN14" s="3">
        <v>0.6</v>
      </c>
      <c r="AO14" s="3">
        <v>0.3</v>
      </c>
      <c r="AP14" s="6">
        <v>824.06768799999998</v>
      </c>
      <c r="AQ14" s="3">
        <v>6.0000000000000001E-3</v>
      </c>
      <c r="AS14" s="3" t="s">
        <v>31</v>
      </c>
      <c r="AT14" s="3">
        <v>0.31</v>
      </c>
      <c r="AU14" s="7">
        <v>857.77294900000004</v>
      </c>
      <c r="AV14" s="3">
        <v>0</v>
      </c>
      <c r="AW14" s="3">
        <f t="shared" si="2"/>
        <v>0.30499999999999999</v>
      </c>
      <c r="AX14" s="5"/>
      <c r="AY14" s="5"/>
      <c r="AZ14" s="5"/>
      <c r="BA14" s="5"/>
      <c r="BB14" s="1"/>
      <c r="BC14" s="3" t="s">
        <v>31</v>
      </c>
      <c r="BD14" s="3">
        <v>0.9</v>
      </c>
      <c r="BE14" s="3">
        <v>0.5</v>
      </c>
      <c r="BF14" s="3">
        <v>0.6</v>
      </c>
      <c r="BG14" s="3">
        <v>0.32</v>
      </c>
      <c r="BH14" s="6">
        <v>833.41949499999998</v>
      </c>
      <c r="BI14" s="3">
        <v>8.9999999999999993E-3</v>
      </c>
      <c r="BK14" s="3" t="s">
        <v>31</v>
      </c>
      <c r="BL14" s="3">
        <v>0.32</v>
      </c>
      <c r="BM14" s="7">
        <v>848.21844499999997</v>
      </c>
      <c r="BN14" s="3">
        <v>1E-3</v>
      </c>
      <c r="BO14" s="3">
        <f t="shared" si="3"/>
        <v>0.32</v>
      </c>
    </row>
    <row r="15" spans="1:71" x14ac:dyDescent="0.3">
      <c r="A15" s="3" t="s">
        <v>32</v>
      </c>
      <c r="B15" s="3">
        <v>0.9</v>
      </c>
      <c r="C15" s="3">
        <v>0.5</v>
      </c>
      <c r="D15" s="3">
        <v>0.6</v>
      </c>
      <c r="E15" s="3">
        <v>0.33</v>
      </c>
      <c r="F15" s="6">
        <v>471.94580100000002</v>
      </c>
      <c r="G15" s="3">
        <v>1E-3</v>
      </c>
      <c r="I15" s="3" t="s">
        <v>32</v>
      </c>
      <c r="J15" s="3">
        <v>0.3</v>
      </c>
      <c r="K15" s="7">
        <v>472.11209100000002</v>
      </c>
      <c r="L15" s="3">
        <v>0</v>
      </c>
      <c r="M15" s="3">
        <f t="shared" si="0"/>
        <v>0.315</v>
      </c>
      <c r="N15" s="5"/>
      <c r="O15" s="5"/>
      <c r="P15" s="5"/>
      <c r="Q15" s="5"/>
      <c r="R15" s="1"/>
      <c r="S15" s="3" t="s">
        <v>32</v>
      </c>
      <c r="T15" s="3">
        <v>0.9</v>
      </c>
      <c r="U15" s="3">
        <v>0.5</v>
      </c>
      <c r="V15" s="3">
        <v>0.6</v>
      </c>
      <c r="W15" s="3">
        <v>0.3</v>
      </c>
      <c r="X15" s="6">
        <v>435.57107500000001</v>
      </c>
      <c r="Y15" s="3">
        <v>1E-3</v>
      </c>
      <c r="AA15" s="3" t="s">
        <v>32</v>
      </c>
      <c r="AB15" s="3">
        <v>0.4</v>
      </c>
      <c r="AC15" s="6">
        <v>435.57107500000001</v>
      </c>
      <c r="AD15" s="3">
        <v>0</v>
      </c>
      <c r="AE15" s="3">
        <f t="shared" si="1"/>
        <v>0.35</v>
      </c>
      <c r="AF15" s="5"/>
      <c r="AG15" s="5"/>
      <c r="AH15" s="5"/>
      <c r="AI15" s="5"/>
      <c r="AJ15" s="1"/>
      <c r="AK15" s="3" t="s">
        <v>33</v>
      </c>
      <c r="AL15" s="3">
        <v>0.9</v>
      </c>
      <c r="AM15" s="3">
        <v>0.5</v>
      </c>
      <c r="AN15" s="3">
        <v>0.6</v>
      </c>
      <c r="AO15" s="3">
        <v>0.3</v>
      </c>
      <c r="AP15" s="6">
        <v>775.71832300000005</v>
      </c>
      <c r="AQ15" s="3">
        <v>4.0000000000000001E-3</v>
      </c>
      <c r="AS15" s="3" t="s">
        <v>33</v>
      </c>
      <c r="AT15" s="3">
        <v>0.3</v>
      </c>
      <c r="AU15" s="7">
        <v>790.46179199999995</v>
      </c>
      <c r="AV15" s="3">
        <v>0</v>
      </c>
      <c r="AW15" s="3">
        <f t="shared" si="2"/>
        <v>0.3</v>
      </c>
      <c r="AX15" s="5"/>
      <c r="AY15" s="5"/>
      <c r="AZ15" s="5"/>
      <c r="BA15" s="5"/>
      <c r="BB15" s="1"/>
      <c r="BC15" s="3" t="s">
        <v>33</v>
      </c>
      <c r="BD15" s="3">
        <v>0.9</v>
      </c>
      <c r="BE15" s="3">
        <v>0.5</v>
      </c>
      <c r="BF15" s="3">
        <v>0.6</v>
      </c>
      <c r="BG15" s="3">
        <v>0.3</v>
      </c>
      <c r="BH15" s="7">
        <v>776.71893299999999</v>
      </c>
      <c r="BI15" s="3">
        <v>5.0000000000000001E-3</v>
      </c>
      <c r="BK15" s="3" t="s">
        <v>33</v>
      </c>
      <c r="BL15" s="3">
        <v>0.33</v>
      </c>
      <c r="BM15" s="6">
        <v>772.36804199999995</v>
      </c>
      <c r="BN15" s="3">
        <v>0</v>
      </c>
      <c r="BO15" s="3">
        <f t="shared" si="3"/>
        <v>0.315</v>
      </c>
    </row>
    <row r="16" spans="1:71" x14ac:dyDescent="0.3">
      <c r="A16" s="3" t="s">
        <v>34</v>
      </c>
      <c r="B16" s="3">
        <v>0.9</v>
      </c>
      <c r="C16" s="3">
        <v>0.5</v>
      </c>
      <c r="D16" s="3">
        <v>0.6</v>
      </c>
      <c r="E16" s="3">
        <v>0.33</v>
      </c>
      <c r="F16" s="7">
        <v>409.16146900000001</v>
      </c>
      <c r="G16" s="3">
        <v>0</v>
      </c>
      <c r="I16" s="3" t="s">
        <v>34</v>
      </c>
      <c r="J16" s="3">
        <v>0.32</v>
      </c>
      <c r="K16" s="6">
        <v>406.68914799999999</v>
      </c>
      <c r="L16" s="3">
        <v>1E-3</v>
      </c>
      <c r="M16" s="3">
        <f t="shared" si="0"/>
        <v>0.32500000000000001</v>
      </c>
      <c r="N16" s="5"/>
      <c r="O16" s="5"/>
      <c r="P16" s="5"/>
      <c r="Q16" s="5"/>
      <c r="R16" s="1"/>
      <c r="S16" s="3" t="s">
        <v>34</v>
      </c>
      <c r="T16" s="3">
        <v>0.9</v>
      </c>
      <c r="U16" s="3">
        <v>0.5</v>
      </c>
      <c r="V16" s="3">
        <v>0.6</v>
      </c>
      <c r="W16" s="3">
        <v>0.32</v>
      </c>
      <c r="X16" s="6">
        <v>393.565247</v>
      </c>
      <c r="Y16" s="3">
        <v>1E-3</v>
      </c>
      <c r="AA16" s="3" t="s">
        <v>34</v>
      </c>
      <c r="AB16" s="3">
        <v>0.31</v>
      </c>
      <c r="AC16" s="8">
        <v>393.74404900000002</v>
      </c>
      <c r="AD16" s="3">
        <v>0</v>
      </c>
      <c r="AE16" s="3">
        <f t="shared" si="1"/>
        <v>0.315</v>
      </c>
      <c r="AF16" s="5"/>
      <c r="AG16" s="5"/>
      <c r="AH16" s="5"/>
      <c r="AI16" s="5"/>
      <c r="AJ16" s="1"/>
      <c r="AK16" s="3" t="s">
        <v>35</v>
      </c>
      <c r="AL16" s="3">
        <v>0.9</v>
      </c>
      <c r="AM16" s="3">
        <v>0.5</v>
      </c>
      <c r="AN16" s="3">
        <v>0.6</v>
      </c>
      <c r="AO16" s="3">
        <v>0.3</v>
      </c>
      <c r="AP16" s="7">
        <v>809.42425500000002</v>
      </c>
      <c r="AQ16" s="3">
        <v>4.0000000000000001E-3</v>
      </c>
      <c r="AS16" s="3" t="s">
        <v>35</v>
      </c>
      <c r="AT16" s="3">
        <v>0.3</v>
      </c>
      <c r="AU16" s="6">
        <v>779.29473900000005</v>
      </c>
      <c r="AV16" s="3">
        <v>0</v>
      </c>
      <c r="AW16" s="3">
        <f t="shared" si="2"/>
        <v>0.3</v>
      </c>
      <c r="AX16" s="5"/>
      <c r="AY16" s="5"/>
      <c r="AZ16" s="5"/>
      <c r="BA16" s="5"/>
      <c r="BB16" s="1"/>
      <c r="BC16" s="3" t="s">
        <v>35</v>
      </c>
      <c r="BD16" s="3">
        <v>0.9</v>
      </c>
      <c r="BE16" s="3">
        <v>0.5</v>
      </c>
      <c r="BF16" s="3">
        <v>0.6</v>
      </c>
      <c r="BG16" s="3">
        <v>0.3</v>
      </c>
      <c r="BH16" s="7">
        <v>786.37359600000002</v>
      </c>
      <c r="BI16" s="3">
        <v>7.0000000000000001E-3</v>
      </c>
      <c r="BK16" s="3" t="s">
        <v>35</v>
      </c>
      <c r="BL16" s="3">
        <v>0.3</v>
      </c>
      <c r="BM16" s="6">
        <v>785.36773700000003</v>
      </c>
      <c r="BN16" s="3">
        <v>0</v>
      </c>
      <c r="BO16" s="3">
        <f t="shared" si="3"/>
        <v>0.3</v>
      </c>
    </row>
    <row r="17" spans="1:67" x14ac:dyDescent="0.3">
      <c r="A17" s="3" t="s">
        <v>36</v>
      </c>
      <c r="B17" s="3">
        <v>0.9</v>
      </c>
      <c r="C17" s="3">
        <v>0.5</v>
      </c>
      <c r="D17" s="3">
        <v>0.6</v>
      </c>
      <c r="E17" s="3">
        <v>0.4</v>
      </c>
      <c r="F17" s="6">
        <v>510.84286500000002</v>
      </c>
      <c r="G17" s="3">
        <v>0</v>
      </c>
      <c r="I17" s="3" t="s">
        <v>36</v>
      </c>
      <c r="J17" s="3">
        <v>0.31</v>
      </c>
      <c r="K17" s="7">
        <v>513.56585700000005</v>
      </c>
      <c r="L17" s="3">
        <v>0</v>
      </c>
      <c r="M17" s="3">
        <f t="shared" si="0"/>
        <v>0.35499999999999998</v>
      </c>
      <c r="N17" s="5"/>
      <c r="O17" s="5"/>
      <c r="P17" s="5"/>
      <c r="Q17" s="5"/>
      <c r="R17" s="1"/>
      <c r="S17" s="3" t="s">
        <v>36</v>
      </c>
      <c r="T17" s="3">
        <v>0.9</v>
      </c>
      <c r="U17" s="3">
        <v>0.5</v>
      </c>
      <c r="V17" s="3">
        <v>0.6</v>
      </c>
      <c r="W17" s="3">
        <v>0.32</v>
      </c>
      <c r="X17" s="6">
        <v>471.080963</v>
      </c>
      <c r="Y17" s="3">
        <v>1E-3</v>
      </c>
      <c r="AA17" s="3" t="s">
        <v>36</v>
      </c>
      <c r="AB17" s="3">
        <v>0.31</v>
      </c>
      <c r="AC17" s="8">
        <v>471.41369600000002</v>
      </c>
      <c r="AD17" s="3">
        <v>0</v>
      </c>
      <c r="AE17" s="3">
        <f t="shared" si="1"/>
        <v>0.315</v>
      </c>
      <c r="AF17" s="5"/>
      <c r="AG17" s="5"/>
      <c r="AH17" s="5"/>
      <c r="AI17" s="5"/>
      <c r="AJ17" s="1"/>
      <c r="AK17" s="3" t="s">
        <v>37</v>
      </c>
      <c r="AL17" s="3">
        <v>0.9</v>
      </c>
      <c r="AM17" s="3">
        <v>0.5</v>
      </c>
      <c r="AN17" s="3">
        <v>0.6</v>
      </c>
      <c r="AO17" s="3">
        <v>0.32</v>
      </c>
      <c r="AP17" s="7">
        <v>809.16980000000001</v>
      </c>
      <c r="AQ17" s="3">
        <v>5.0000000000000001E-3</v>
      </c>
      <c r="AS17" s="3" t="s">
        <v>37</v>
      </c>
      <c r="AT17" s="3">
        <v>0.36</v>
      </c>
      <c r="AU17" s="6">
        <v>781.623108</v>
      </c>
      <c r="AV17" s="3">
        <v>0</v>
      </c>
      <c r="AW17" s="3">
        <f t="shared" si="2"/>
        <v>0.33999999999999997</v>
      </c>
      <c r="AX17" s="5"/>
      <c r="AY17" s="5"/>
      <c r="AZ17" s="5"/>
      <c r="BA17" s="5"/>
      <c r="BB17" s="1"/>
      <c r="BC17" s="3" t="s">
        <v>37</v>
      </c>
      <c r="BD17" s="3">
        <v>0.9</v>
      </c>
      <c r="BE17" s="3">
        <v>0.5</v>
      </c>
      <c r="BF17" s="3">
        <v>0.6</v>
      </c>
      <c r="BG17" s="3">
        <v>0.4</v>
      </c>
      <c r="BH17" s="6">
        <v>760.75109899999995</v>
      </c>
      <c r="BI17" s="3">
        <v>5.0000000000000001E-3</v>
      </c>
      <c r="BK17" s="3" t="s">
        <v>37</v>
      </c>
      <c r="BL17" s="3">
        <v>0.33</v>
      </c>
      <c r="BM17" s="7">
        <v>769.21160899999995</v>
      </c>
      <c r="BN17" s="3">
        <v>0</v>
      </c>
      <c r="BO17" s="3">
        <f t="shared" si="3"/>
        <v>0.36499999999999999</v>
      </c>
    </row>
    <row r="18" spans="1:67" x14ac:dyDescent="0.3">
      <c r="A18" s="3" t="s">
        <v>38</v>
      </c>
      <c r="B18" s="3">
        <v>0.9</v>
      </c>
      <c r="C18" s="3">
        <v>0.5</v>
      </c>
      <c r="D18" s="3">
        <v>0.6</v>
      </c>
      <c r="E18" s="3">
        <v>0.34</v>
      </c>
      <c r="F18" s="7">
        <v>463.072205</v>
      </c>
      <c r="G18" s="3">
        <v>1E-3</v>
      </c>
      <c r="I18" s="3" t="s">
        <v>38</v>
      </c>
      <c r="J18" s="3">
        <v>0.35</v>
      </c>
      <c r="K18" s="7">
        <v>463.91763300000002</v>
      </c>
      <c r="L18" s="3">
        <v>0</v>
      </c>
      <c r="M18" s="3">
        <f t="shared" si="0"/>
        <v>0.34499999999999997</v>
      </c>
      <c r="N18" s="5"/>
      <c r="O18" s="5"/>
      <c r="P18" s="5"/>
      <c r="Q18" s="5"/>
      <c r="R18" s="1"/>
      <c r="S18" s="3" t="s">
        <v>38</v>
      </c>
      <c r="T18" s="3">
        <v>0.9</v>
      </c>
      <c r="U18" s="3">
        <v>0.5</v>
      </c>
      <c r="V18" s="3">
        <v>0.6</v>
      </c>
      <c r="W18" s="3">
        <v>0.36</v>
      </c>
      <c r="X18" s="7">
        <v>428.46099900000002</v>
      </c>
      <c r="Y18" s="3">
        <v>1E-3</v>
      </c>
      <c r="AA18" s="3" t="s">
        <v>38</v>
      </c>
      <c r="AB18" s="3">
        <v>0.3</v>
      </c>
      <c r="AC18" s="6">
        <v>426.88357500000001</v>
      </c>
      <c r="AD18" s="3">
        <v>0</v>
      </c>
      <c r="AE18" s="3">
        <f t="shared" si="1"/>
        <v>0.32999999999999996</v>
      </c>
      <c r="AF18" s="5"/>
      <c r="AG18" s="5"/>
      <c r="AH18" s="5"/>
      <c r="AI18" s="5"/>
      <c r="AJ18" s="1"/>
      <c r="AK18" s="3" t="s">
        <v>39</v>
      </c>
      <c r="AL18" s="3">
        <v>0.9</v>
      </c>
      <c r="AM18" s="3">
        <v>0.5</v>
      </c>
      <c r="AN18" s="3">
        <v>0.6</v>
      </c>
      <c r="AO18" s="3">
        <v>0.3</v>
      </c>
      <c r="AP18" s="6">
        <v>777.57501200000002</v>
      </c>
      <c r="AQ18" s="3">
        <v>4.0000000000000001E-3</v>
      </c>
      <c r="AS18" s="3" t="s">
        <v>39</v>
      </c>
      <c r="AT18" s="3">
        <v>0.32</v>
      </c>
      <c r="AU18" s="7">
        <v>792.31323199999997</v>
      </c>
      <c r="AV18" s="3">
        <v>0</v>
      </c>
      <c r="AW18" s="3">
        <f t="shared" si="2"/>
        <v>0.31</v>
      </c>
      <c r="AX18" s="5"/>
      <c r="AY18" s="5"/>
      <c r="AZ18" s="5"/>
      <c r="BA18" s="5"/>
      <c r="BB18" s="1"/>
      <c r="BC18" s="3" t="s">
        <v>39</v>
      </c>
      <c r="BD18" s="3">
        <v>0.9</v>
      </c>
      <c r="BE18" s="3">
        <v>0.5</v>
      </c>
      <c r="BF18" s="3">
        <v>0.6</v>
      </c>
      <c r="BG18" s="3">
        <v>0.31</v>
      </c>
      <c r="BH18" s="7">
        <v>760.90551800000003</v>
      </c>
      <c r="BI18" s="3">
        <v>5.0000000000000001E-3</v>
      </c>
      <c r="BK18" s="3" t="s">
        <v>39</v>
      </c>
      <c r="BL18" s="3">
        <v>0.31</v>
      </c>
      <c r="BM18" s="6">
        <v>759.29345699999999</v>
      </c>
      <c r="BN18" s="3">
        <v>0</v>
      </c>
      <c r="BO18" s="3">
        <f t="shared" si="3"/>
        <v>0.31</v>
      </c>
    </row>
    <row r="19" spans="1:67" x14ac:dyDescent="0.3">
      <c r="A19" s="3" t="s">
        <v>40</v>
      </c>
      <c r="B19" s="3">
        <v>0.9</v>
      </c>
      <c r="C19" s="3">
        <v>0.5</v>
      </c>
      <c r="D19" s="3">
        <v>0.6</v>
      </c>
      <c r="E19" s="3">
        <v>0.32</v>
      </c>
      <c r="F19" s="6">
        <v>401.01702899999998</v>
      </c>
      <c r="G19" s="3">
        <v>1E-3</v>
      </c>
      <c r="I19" s="3" t="s">
        <v>40</v>
      </c>
      <c r="J19" s="3">
        <v>0.32</v>
      </c>
      <c r="K19" s="8">
        <v>401.75589000000002</v>
      </c>
      <c r="L19" s="3">
        <v>0</v>
      </c>
      <c r="M19" s="3">
        <f t="shared" si="0"/>
        <v>0.32</v>
      </c>
      <c r="N19" s="5"/>
      <c r="O19" s="5"/>
      <c r="P19" s="5"/>
      <c r="Q19" s="5"/>
      <c r="R19" s="1"/>
      <c r="S19" s="3" t="s">
        <v>40</v>
      </c>
      <c r="T19" s="3">
        <v>0.9</v>
      </c>
      <c r="U19" s="3">
        <v>0.5</v>
      </c>
      <c r="V19" s="3">
        <v>0.6</v>
      </c>
      <c r="W19" s="3">
        <v>0.34</v>
      </c>
      <c r="X19" s="6">
        <v>380.45025600000002</v>
      </c>
      <c r="Y19" s="3">
        <v>1E-3</v>
      </c>
      <c r="AA19" s="3" t="s">
        <v>40</v>
      </c>
      <c r="AB19" s="3">
        <v>0.34</v>
      </c>
      <c r="AC19" s="6">
        <v>380.45025600000002</v>
      </c>
      <c r="AD19" s="3">
        <v>0</v>
      </c>
      <c r="AE19" s="3">
        <f t="shared" si="1"/>
        <v>0.34</v>
      </c>
      <c r="AF19" s="5"/>
      <c r="AG19" s="5"/>
      <c r="AH19" s="5"/>
      <c r="AI19" s="5"/>
      <c r="AJ19" s="1"/>
      <c r="AK19" s="3" t="s">
        <v>41</v>
      </c>
      <c r="AL19" s="3">
        <v>0.9</v>
      </c>
      <c r="AM19" s="3">
        <v>0.5</v>
      </c>
      <c r="AN19" s="3">
        <v>0.6</v>
      </c>
      <c r="AO19" s="3">
        <v>0.32</v>
      </c>
      <c r="AP19" s="7">
        <v>926.06256099999996</v>
      </c>
      <c r="AQ19" s="3">
        <v>5.0000000000000001E-3</v>
      </c>
      <c r="AS19" s="3" t="s">
        <v>41</v>
      </c>
      <c r="AT19" s="3">
        <v>0.35</v>
      </c>
      <c r="AU19" s="6">
        <v>920.80029300000001</v>
      </c>
      <c r="AV19" s="3">
        <v>0</v>
      </c>
      <c r="AW19" s="3">
        <f t="shared" si="2"/>
        <v>0.33499999999999996</v>
      </c>
      <c r="AX19" s="5"/>
      <c r="AY19" s="5"/>
      <c r="AZ19" s="5"/>
      <c r="BA19" s="5"/>
      <c r="BB19" s="1"/>
      <c r="BC19" s="3" t="s">
        <v>41</v>
      </c>
      <c r="BD19" s="3">
        <v>0.9</v>
      </c>
      <c r="BE19" s="3">
        <v>0.5</v>
      </c>
      <c r="BF19" s="3">
        <v>0.6</v>
      </c>
      <c r="BG19" s="3">
        <v>0.35</v>
      </c>
      <c r="BH19" s="6">
        <v>879.19104000000004</v>
      </c>
      <c r="BI19" s="3">
        <v>5.0000000000000001E-3</v>
      </c>
      <c r="BK19" s="3" t="s">
        <v>41</v>
      </c>
      <c r="BL19" s="3">
        <v>0.3</v>
      </c>
      <c r="BM19" s="7">
        <v>880.70959500000004</v>
      </c>
      <c r="BN19" s="3">
        <v>1E-3</v>
      </c>
      <c r="BO19" s="3">
        <f t="shared" si="3"/>
        <v>0.32499999999999996</v>
      </c>
    </row>
    <row r="20" spans="1:67" x14ac:dyDescent="0.3">
      <c r="A20" s="3" t="s">
        <v>42</v>
      </c>
      <c r="B20" s="3">
        <v>0.9</v>
      </c>
      <c r="C20" s="3">
        <v>0.5</v>
      </c>
      <c r="D20" s="3">
        <v>0.6</v>
      </c>
      <c r="E20" s="3">
        <v>0.35</v>
      </c>
      <c r="F20" s="6">
        <v>423.66629</v>
      </c>
      <c r="G20" s="3">
        <v>1E-3</v>
      </c>
      <c r="I20" s="3" t="s">
        <v>42</v>
      </c>
      <c r="J20" s="3">
        <v>0.34</v>
      </c>
      <c r="K20" s="7">
        <v>429.97448700000001</v>
      </c>
      <c r="L20" s="3">
        <v>0</v>
      </c>
      <c r="M20" s="3">
        <f t="shared" si="0"/>
        <v>0.34499999999999997</v>
      </c>
      <c r="N20" s="5"/>
      <c r="O20" s="5"/>
      <c r="P20" s="5"/>
      <c r="Q20" s="5"/>
      <c r="R20" s="1"/>
      <c r="S20" s="3" t="s">
        <v>42</v>
      </c>
      <c r="T20" s="3">
        <v>0.9</v>
      </c>
      <c r="U20" s="3">
        <v>0.5</v>
      </c>
      <c r="V20" s="3">
        <v>0.6</v>
      </c>
      <c r="W20" s="3">
        <v>0.34</v>
      </c>
      <c r="X20" s="6">
        <v>400.96005200000002</v>
      </c>
      <c r="Y20" s="3">
        <v>1E-3</v>
      </c>
      <c r="AA20" s="3" t="s">
        <v>42</v>
      </c>
      <c r="AB20" s="3">
        <v>0.34</v>
      </c>
      <c r="AC20" s="7">
        <v>406.75604199999998</v>
      </c>
      <c r="AD20" s="3">
        <v>0</v>
      </c>
      <c r="AE20" s="3">
        <f t="shared" si="1"/>
        <v>0.34</v>
      </c>
      <c r="AF20" s="5"/>
      <c r="AG20" s="5"/>
      <c r="AH20" s="5"/>
      <c r="AI20" s="5"/>
      <c r="AJ20" s="1"/>
      <c r="AK20" s="3" t="s">
        <v>43</v>
      </c>
      <c r="AL20" s="3">
        <v>0.9</v>
      </c>
      <c r="AM20" s="3">
        <v>0.5</v>
      </c>
      <c r="AN20" s="3">
        <v>0.6</v>
      </c>
      <c r="AO20" s="3">
        <v>0.33</v>
      </c>
      <c r="AP20" s="7">
        <v>853.77990699999998</v>
      </c>
      <c r="AQ20" s="3">
        <v>5.0000000000000001E-3</v>
      </c>
      <c r="AS20" s="3" t="s">
        <v>43</v>
      </c>
      <c r="AT20" s="3">
        <v>0.31</v>
      </c>
      <c r="AU20" s="6">
        <v>824.45489499999996</v>
      </c>
      <c r="AV20" s="3">
        <v>0</v>
      </c>
      <c r="AW20" s="3">
        <f t="shared" si="2"/>
        <v>0.32</v>
      </c>
      <c r="AX20" s="5"/>
      <c r="AY20" s="5"/>
      <c r="AZ20" s="5"/>
      <c r="BA20" s="5"/>
      <c r="BB20" s="1"/>
      <c r="BC20" s="3" t="s">
        <v>43</v>
      </c>
      <c r="BD20" s="3">
        <v>0.9</v>
      </c>
      <c r="BE20" s="3">
        <v>0.5</v>
      </c>
      <c r="BF20" s="3">
        <v>0.6</v>
      </c>
      <c r="BG20" s="3">
        <v>0.3</v>
      </c>
      <c r="BH20" s="7">
        <v>801.64172399999995</v>
      </c>
      <c r="BI20" s="3">
        <v>7.0000000000000001E-3</v>
      </c>
      <c r="BK20" s="3" t="s">
        <v>43</v>
      </c>
      <c r="BL20" s="3">
        <v>0.3</v>
      </c>
      <c r="BM20" s="6">
        <v>787.50842299999999</v>
      </c>
      <c r="BN20" s="3">
        <v>0</v>
      </c>
      <c r="BO20" s="3">
        <f t="shared" si="3"/>
        <v>0.3</v>
      </c>
    </row>
    <row r="21" spans="1:67" x14ac:dyDescent="0.3">
      <c r="A21" s="3" t="s">
        <v>44</v>
      </c>
      <c r="B21" s="3">
        <v>0.9</v>
      </c>
      <c r="C21" s="3">
        <v>0.5</v>
      </c>
      <c r="D21" s="3">
        <v>0.6</v>
      </c>
      <c r="E21" s="3">
        <v>0.35</v>
      </c>
      <c r="F21" s="6">
        <v>489.51110799999998</v>
      </c>
      <c r="G21" s="3">
        <v>1E-3</v>
      </c>
      <c r="I21" s="3" t="s">
        <v>44</v>
      </c>
      <c r="J21" s="3">
        <v>0.33</v>
      </c>
      <c r="K21" s="7">
        <v>513.58538799999997</v>
      </c>
      <c r="L21" s="3">
        <v>0</v>
      </c>
      <c r="M21" s="3">
        <f t="shared" si="0"/>
        <v>0.33999999999999997</v>
      </c>
      <c r="N21" s="5"/>
      <c r="O21" s="5"/>
      <c r="P21" s="5"/>
      <c r="Q21" s="5"/>
      <c r="R21" s="1"/>
      <c r="S21" s="3" t="s">
        <v>44</v>
      </c>
      <c r="T21" s="3">
        <v>0.9</v>
      </c>
      <c r="U21" s="3">
        <v>0.5</v>
      </c>
      <c r="V21" s="3">
        <v>0.6</v>
      </c>
      <c r="W21" s="3">
        <v>0.41</v>
      </c>
      <c r="X21" s="6">
        <v>467.14679000000001</v>
      </c>
      <c r="Y21" s="3">
        <v>1E-3</v>
      </c>
      <c r="AA21" s="3" t="s">
        <v>44</v>
      </c>
      <c r="AB21" s="3">
        <v>0.33</v>
      </c>
      <c r="AC21" s="7">
        <v>468.00335699999999</v>
      </c>
      <c r="AD21" s="3">
        <v>0</v>
      </c>
      <c r="AE21" s="3">
        <f t="shared" si="1"/>
        <v>0.37</v>
      </c>
      <c r="AF21" s="5"/>
      <c r="AG21" s="5"/>
      <c r="AH21" s="5"/>
      <c r="AI21" s="5"/>
      <c r="AJ21" s="1"/>
      <c r="AK21" s="3" t="s">
        <v>45</v>
      </c>
      <c r="AL21" s="3">
        <v>0.9</v>
      </c>
      <c r="AM21" s="3">
        <v>0.5</v>
      </c>
      <c r="AN21" s="3">
        <v>0.6</v>
      </c>
      <c r="AO21" s="3">
        <v>0.3</v>
      </c>
      <c r="AP21" s="8">
        <v>876.840149</v>
      </c>
      <c r="AQ21" s="3">
        <v>4.0000000000000001E-3</v>
      </c>
      <c r="AS21" s="3" t="s">
        <v>45</v>
      </c>
      <c r="AT21" s="3">
        <v>0.31</v>
      </c>
      <c r="AU21" s="6">
        <v>876.21130400000004</v>
      </c>
      <c r="AV21" s="3">
        <v>0</v>
      </c>
      <c r="AW21" s="3">
        <f t="shared" si="2"/>
        <v>0.30499999999999999</v>
      </c>
      <c r="AX21" s="5"/>
      <c r="AY21" s="5"/>
      <c r="AZ21" s="5"/>
      <c r="BA21" s="5"/>
      <c r="BB21" s="1"/>
      <c r="BC21" s="3" t="s">
        <v>45</v>
      </c>
      <c r="BD21" s="3">
        <v>0.9</v>
      </c>
      <c r="BE21" s="3">
        <v>0.5</v>
      </c>
      <c r="BF21" s="3">
        <v>0.6</v>
      </c>
      <c r="BG21" s="3">
        <v>0.33</v>
      </c>
      <c r="BH21" s="6">
        <v>845.55542000000003</v>
      </c>
      <c r="BI21" s="3">
        <v>5.0000000000000001E-3</v>
      </c>
      <c r="BK21" s="3" t="s">
        <v>45</v>
      </c>
      <c r="BL21" s="3">
        <v>0.3</v>
      </c>
      <c r="BM21" s="7">
        <v>853.31738299999995</v>
      </c>
      <c r="BN21" s="3">
        <v>1E-3</v>
      </c>
      <c r="BO21" s="3">
        <f t="shared" si="3"/>
        <v>0.315</v>
      </c>
    </row>
    <row r="22" spans="1:67" x14ac:dyDescent="0.3">
      <c r="A22" s="3" t="s">
        <v>46</v>
      </c>
      <c r="B22" s="3">
        <v>0.9</v>
      </c>
      <c r="C22" s="3">
        <v>0.5</v>
      </c>
      <c r="D22" s="3">
        <v>0.6</v>
      </c>
      <c r="E22" s="3">
        <v>0.3</v>
      </c>
      <c r="F22" s="7">
        <v>487.48046900000003</v>
      </c>
      <c r="G22" s="3">
        <v>1E-3</v>
      </c>
      <c r="I22" s="3" t="s">
        <v>46</v>
      </c>
      <c r="J22" s="3">
        <v>0.48</v>
      </c>
      <c r="K22" s="6">
        <v>481.86673000000002</v>
      </c>
      <c r="L22" s="3">
        <v>0</v>
      </c>
      <c r="M22" s="3">
        <f t="shared" si="0"/>
        <v>0.39</v>
      </c>
      <c r="N22" s="5"/>
      <c r="O22" s="5"/>
      <c r="P22" s="5"/>
      <c r="Q22" s="5"/>
      <c r="R22" s="1"/>
      <c r="S22" s="3" t="s">
        <v>46</v>
      </c>
      <c r="T22" s="3">
        <v>0.9</v>
      </c>
      <c r="U22" s="3">
        <v>0.5</v>
      </c>
      <c r="V22" s="3">
        <v>0.6</v>
      </c>
      <c r="W22" s="3">
        <v>0.3</v>
      </c>
      <c r="X22" s="6">
        <v>465.89205900000002</v>
      </c>
      <c r="Y22" s="3">
        <v>1E-3</v>
      </c>
      <c r="AA22" s="3" t="s">
        <v>46</v>
      </c>
      <c r="AB22" s="3">
        <v>0.4</v>
      </c>
      <c r="AC22" s="6">
        <v>452.96508799999998</v>
      </c>
      <c r="AD22" s="3">
        <v>0</v>
      </c>
      <c r="AE22" s="3">
        <f t="shared" si="1"/>
        <v>0.35</v>
      </c>
      <c r="AF22" s="5"/>
      <c r="AG22" s="5"/>
      <c r="AH22" s="5"/>
      <c r="AI22" s="5"/>
      <c r="AJ22" s="1"/>
      <c r="AK22" s="3" t="s">
        <v>47</v>
      </c>
      <c r="AL22" s="3">
        <v>0.9</v>
      </c>
      <c r="AM22" s="3">
        <v>0.5</v>
      </c>
      <c r="AN22" s="3">
        <v>0.6</v>
      </c>
      <c r="AO22" s="3">
        <v>0.3</v>
      </c>
      <c r="AP22" s="6">
        <v>804.56933600000002</v>
      </c>
      <c r="AQ22" s="3">
        <v>4.0000000000000001E-3</v>
      </c>
      <c r="AS22" s="3" t="s">
        <v>47</v>
      </c>
      <c r="AT22" s="3">
        <v>0.31</v>
      </c>
      <c r="AU22" s="7">
        <v>817.72326699999996</v>
      </c>
      <c r="AV22" s="3">
        <v>0</v>
      </c>
      <c r="AW22" s="3">
        <f t="shared" si="2"/>
        <v>0.30499999999999999</v>
      </c>
      <c r="AX22" s="5"/>
      <c r="AY22" s="5"/>
      <c r="AZ22" s="5"/>
      <c r="BA22" s="5"/>
      <c r="BB22" s="1"/>
      <c r="BC22" s="3" t="s">
        <v>47</v>
      </c>
      <c r="BD22" s="3">
        <v>0.9</v>
      </c>
      <c r="BE22" s="3">
        <v>0.5</v>
      </c>
      <c r="BF22" s="3">
        <v>0.6</v>
      </c>
      <c r="BG22" s="3">
        <v>0.34</v>
      </c>
      <c r="BH22" s="6">
        <v>784.93194600000004</v>
      </c>
      <c r="BI22" s="3">
        <v>5.0000000000000001E-3</v>
      </c>
      <c r="BK22" s="3" t="s">
        <v>47</v>
      </c>
      <c r="BL22" s="3">
        <v>0.32</v>
      </c>
      <c r="BM22" s="7">
        <v>764.32067900000004</v>
      </c>
      <c r="BN22" s="3">
        <v>1E-3</v>
      </c>
      <c r="BO22" s="3">
        <f t="shared" si="3"/>
        <v>0.33</v>
      </c>
    </row>
    <row r="23" spans="1:67" x14ac:dyDescent="0.3">
      <c r="A23" s="3" t="s">
        <v>48</v>
      </c>
      <c r="B23" s="3">
        <v>0.9</v>
      </c>
      <c r="C23" s="3">
        <v>0.5</v>
      </c>
      <c r="D23" s="3">
        <v>0.6</v>
      </c>
      <c r="E23" s="3">
        <v>0.31</v>
      </c>
      <c r="F23" s="6">
        <v>453.96725500000002</v>
      </c>
      <c r="G23" s="3">
        <v>1E-3</v>
      </c>
      <c r="I23" s="3" t="s">
        <v>48</v>
      </c>
      <c r="J23" s="3">
        <v>0.31</v>
      </c>
      <c r="K23" s="7">
        <v>457.49856599999998</v>
      </c>
      <c r="L23" s="3">
        <v>0</v>
      </c>
      <c r="M23" s="3">
        <f t="shared" si="0"/>
        <v>0.31</v>
      </c>
      <c r="N23" s="5"/>
      <c r="O23" s="5"/>
      <c r="P23" s="5"/>
      <c r="Q23" s="5"/>
      <c r="R23" s="1"/>
      <c r="S23" s="3" t="s">
        <v>48</v>
      </c>
      <c r="T23" s="3">
        <v>0.9</v>
      </c>
      <c r="U23" s="3">
        <v>0.5</v>
      </c>
      <c r="V23" s="3">
        <v>0.6</v>
      </c>
      <c r="W23" s="3">
        <v>0.36</v>
      </c>
      <c r="X23" s="6">
        <v>423.08251999999999</v>
      </c>
      <c r="Y23" s="3">
        <v>0</v>
      </c>
      <c r="AA23" s="3" t="s">
        <v>48</v>
      </c>
      <c r="AB23" s="3">
        <v>0.36</v>
      </c>
      <c r="AC23" s="8">
        <v>423.19674700000002</v>
      </c>
      <c r="AD23" s="3">
        <v>0</v>
      </c>
      <c r="AE23" s="3">
        <f t="shared" si="1"/>
        <v>0.36</v>
      </c>
      <c r="AF23" s="5"/>
      <c r="AG23" s="5"/>
      <c r="AH23" s="5"/>
      <c r="AI23" s="5"/>
      <c r="AJ23" s="1"/>
      <c r="AK23" s="3" t="s">
        <v>49</v>
      </c>
      <c r="AL23" s="3">
        <v>0.9</v>
      </c>
      <c r="AM23" s="3">
        <v>0.5</v>
      </c>
      <c r="AN23" s="3">
        <v>0.6</v>
      </c>
      <c r="AO23" s="3">
        <v>0.31</v>
      </c>
      <c r="AP23" s="7">
        <v>846.37188700000002</v>
      </c>
      <c r="AQ23" s="3">
        <v>4.0000000000000001E-3</v>
      </c>
      <c r="AS23" s="3" t="s">
        <v>49</v>
      </c>
      <c r="AT23" s="3">
        <v>0.3</v>
      </c>
      <c r="AU23" s="6">
        <v>836.02819799999997</v>
      </c>
      <c r="AV23" s="3">
        <v>0</v>
      </c>
      <c r="AW23" s="3">
        <f t="shared" si="2"/>
        <v>0.30499999999999999</v>
      </c>
      <c r="AX23" s="5"/>
      <c r="AY23" s="5"/>
      <c r="AZ23" s="5"/>
      <c r="BA23" s="5"/>
      <c r="BB23" s="1"/>
      <c r="BC23" s="3" t="s">
        <v>49</v>
      </c>
      <c r="BD23" s="3">
        <v>0.9</v>
      </c>
      <c r="BE23" s="3">
        <v>0.5</v>
      </c>
      <c r="BF23" s="3">
        <v>0.6</v>
      </c>
      <c r="BG23" s="3">
        <v>0.32</v>
      </c>
      <c r="BH23" s="7">
        <v>778.01873799999998</v>
      </c>
      <c r="BI23" s="3">
        <v>5.0000000000000001E-3</v>
      </c>
      <c r="BK23" s="3" t="s">
        <v>49</v>
      </c>
      <c r="BL23" s="3">
        <v>0.35</v>
      </c>
      <c r="BM23" s="6">
        <v>777.51568599999996</v>
      </c>
      <c r="BN23" s="3">
        <v>1E-3</v>
      </c>
      <c r="BO23" s="3">
        <f t="shared" si="3"/>
        <v>0.33499999999999996</v>
      </c>
    </row>
    <row r="24" spans="1:67" x14ac:dyDescent="0.3">
      <c r="A24" s="3" t="s">
        <v>50</v>
      </c>
      <c r="B24" s="3">
        <v>0.9</v>
      </c>
      <c r="C24" s="3">
        <v>0.5</v>
      </c>
      <c r="D24" s="3">
        <v>0.6</v>
      </c>
      <c r="E24" s="3">
        <v>0.3</v>
      </c>
      <c r="F24" s="7">
        <v>451.81829800000003</v>
      </c>
      <c r="G24" s="3">
        <v>1E-3</v>
      </c>
      <c r="I24" s="3" t="s">
        <v>50</v>
      </c>
      <c r="J24" s="3">
        <v>0.3</v>
      </c>
      <c r="K24" s="6">
        <v>432.29077100000001</v>
      </c>
      <c r="L24" s="3">
        <v>0</v>
      </c>
      <c r="M24" s="3">
        <f t="shared" si="0"/>
        <v>0.3</v>
      </c>
      <c r="N24" s="5"/>
      <c r="O24" s="5"/>
      <c r="P24" s="5"/>
      <c r="Q24" s="5"/>
      <c r="R24" s="1"/>
      <c r="S24" s="3" t="s">
        <v>50</v>
      </c>
      <c r="T24" s="3">
        <v>0.9</v>
      </c>
      <c r="U24" s="3">
        <v>0.5</v>
      </c>
      <c r="V24" s="3">
        <v>0.6</v>
      </c>
      <c r="W24" s="3">
        <v>0.3</v>
      </c>
      <c r="X24" s="6">
        <v>424.43267800000001</v>
      </c>
      <c r="Y24" s="3">
        <v>1E-3</v>
      </c>
      <c r="AA24" s="3" t="s">
        <v>50</v>
      </c>
      <c r="AB24" s="3">
        <v>0.38</v>
      </c>
      <c r="AC24" s="8">
        <v>424.94094799999999</v>
      </c>
      <c r="AD24" s="3">
        <v>0</v>
      </c>
      <c r="AE24" s="3">
        <f t="shared" si="1"/>
        <v>0.33999999999999997</v>
      </c>
      <c r="AF24" s="5"/>
      <c r="AG24" s="5"/>
      <c r="AH24" s="5"/>
      <c r="AI24" s="5"/>
      <c r="AJ24" s="1"/>
      <c r="AK24" s="3" t="s">
        <v>51</v>
      </c>
      <c r="AL24" s="3">
        <v>0.9</v>
      </c>
      <c r="AM24" s="3">
        <v>0.5</v>
      </c>
      <c r="AN24" s="3">
        <v>0.6</v>
      </c>
      <c r="AO24" s="3">
        <v>0.34</v>
      </c>
      <c r="AP24" s="6">
        <v>1003.293335</v>
      </c>
      <c r="AQ24" s="3">
        <v>5.0000000000000001E-3</v>
      </c>
      <c r="AS24" s="3" t="s">
        <v>51</v>
      </c>
      <c r="AT24" s="3">
        <v>0.37</v>
      </c>
      <c r="AU24" s="7">
        <v>1010.181763</v>
      </c>
      <c r="AV24" s="3">
        <v>1E-3</v>
      </c>
      <c r="AW24" s="3">
        <f t="shared" si="2"/>
        <v>0.35499999999999998</v>
      </c>
      <c r="AX24" s="5"/>
      <c r="AY24" s="5"/>
      <c r="AZ24" s="5"/>
      <c r="BA24" s="5"/>
      <c r="BB24" s="1"/>
      <c r="BC24" s="3" t="s">
        <v>51</v>
      </c>
      <c r="BD24" s="3">
        <v>0.9</v>
      </c>
      <c r="BE24" s="3">
        <v>0.5</v>
      </c>
      <c r="BF24" s="3">
        <v>0.6</v>
      </c>
      <c r="BG24" s="3">
        <v>0.32</v>
      </c>
      <c r="BH24" s="6">
        <v>1004.403687</v>
      </c>
      <c r="BI24" s="3">
        <v>8.0000000000000002E-3</v>
      </c>
      <c r="BK24" s="3" t="s">
        <v>51</v>
      </c>
      <c r="BL24" s="3">
        <v>0.3</v>
      </c>
      <c r="BM24" s="7">
        <v>1008.643616</v>
      </c>
      <c r="BN24" s="3">
        <v>1E-3</v>
      </c>
      <c r="BO24" s="3">
        <f t="shared" si="3"/>
        <v>0.31</v>
      </c>
    </row>
    <row r="25" spans="1:67" x14ac:dyDescent="0.3">
      <c r="A25" s="3" t="s">
        <v>52</v>
      </c>
      <c r="B25" s="3">
        <v>0.9</v>
      </c>
      <c r="C25" s="3">
        <v>0.5</v>
      </c>
      <c r="D25" s="3">
        <v>0.6</v>
      </c>
      <c r="E25" s="3">
        <v>0.3</v>
      </c>
      <c r="F25" s="6">
        <v>449.00775099999998</v>
      </c>
      <c r="G25" s="3">
        <v>1E-3</v>
      </c>
      <c r="I25" s="3" t="s">
        <v>52</v>
      </c>
      <c r="J25" s="3">
        <v>0.35</v>
      </c>
      <c r="K25" s="6">
        <v>449.00775099999998</v>
      </c>
      <c r="L25" s="3">
        <v>1E-3</v>
      </c>
      <c r="M25" s="3">
        <f t="shared" si="0"/>
        <v>0.32499999999999996</v>
      </c>
      <c r="N25" s="5"/>
      <c r="O25" s="5"/>
      <c r="P25" s="5"/>
      <c r="Q25" s="5"/>
      <c r="R25" s="1"/>
      <c r="S25" s="3" t="s">
        <v>52</v>
      </c>
      <c r="T25" s="3">
        <v>0.9</v>
      </c>
      <c r="U25" s="3">
        <v>0.5</v>
      </c>
      <c r="V25" s="3">
        <v>0.6</v>
      </c>
      <c r="W25" s="3">
        <v>0.31</v>
      </c>
      <c r="X25" s="7">
        <v>443.869843</v>
      </c>
      <c r="Y25" s="3">
        <v>0</v>
      </c>
      <c r="AA25" s="3" t="s">
        <v>52</v>
      </c>
      <c r="AB25" s="3">
        <v>0.38</v>
      </c>
      <c r="AC25" s="7">
        <v>442.313782</v>
      </c>
      <c r="AD25" s="3">
        <v>1E-3</v>
      </c>
      <c r="AE25" s="3">
        <f t="shared" si="1"/>
        <v>0.34499999999999997</v>
      </c>
      <c r="AF25" s="5"/>
      <c r="AG25" s="5"/>
      <c r="AH25" s="5"/>
      <c r="AI25" s="5"/>
      <c r="AJ25" s="1"/>
      <c r="AK25" s="3" t="s">
        <v>53</v>
      </c>
      <c r="AL25" s="3">
        <v>0.9</v>
      </c>
      <c r="AM25" s="3">
        <v>0.5</v>
      </c>
      <c r="AN25" s="3">
        <v>0.6</v>
      </c>
      <c r="AO25" s="3">
        <v>0.3</v>
      </c>
      <c r="AP25" s="7">
        <v>961.97540300000003</v>
      </c>
      <c r="AQ25" s="3">
        <v>5.0000000000000001E-3</v>
      </c>
      <c r="AS25" s="3" t="s">
        <v>53</v>
      </c>
      <c r="AT25" s="3">
        <v>0.34</v>
      </c>
      <c r="AU25" s="6">
        <v>944.18640100000005</v>
      </c>
      <c r="AV25" s="3">
        <v>1E-3</v>
      </c>
      <c r="AW25" s="3">
        <f t="shared" si="2"/>
        <v>0.32</v>
      </c>
      <c r="AX25" s="5"/>
      <c r="AY25" s="5"/>
      <c r="AZ25" s="5"/>
      <c r="BA25" s="5"/>
      <c r="BB25" s="1"/>
      <c r="BC25" s="3" t="s">
        <v>53</v>
      </c>
      <c r="BD25" s="3">
        <v>0.9</v>
      </c>
      <c r="BE25" s="3">
        <v>0.5</v>
      </c>
      <c r="BF25" s="3">
        <v>0.6</v>
      </c>
      <c r="BG25" s="3">
        <v>0.32</v>
      </c>
      <c r="BH25" s="6">
        <v>925.33801300000005</v>
      </c>
      <c r="BI25" s="3">
        <v>1.7000000000000001E-2</v>
      </c>
      <c r="BK25" s="3" t="s">
        <v>53</v>
      </c>
      <c r="BL25" s="3">
        <v>0.3</v>
      </c>
      <c r="BM25" s="7">
        <v>941.080872</v>
      </c>
      <c r="BN25" s="3">
        <v>0</v>
      </c>
      <c r="BO25" s="3">
        <f t="shared" si="3"/>
        <v>0.31</v>
      </c>
    </row>
    <row r="26" spans="1:67" x14ac:dyDescent="0.3">
      <c r="A26" s="3" t="s">
        <v>54</v>
      </c>
      <c r="B26" s="3">
        <v>0.9</v>
      </c>
      <c r="C26" s="3">
        <v>0.5</v>
      </c>
      <c r="D26" s="3">
        <v>0.6</v>
      </c>
      <c r="E26" s="3">
        <v>0.45</v>
      </c>
      <c r="F26" s="6">
        <v>537.61804199999995</v>
      </c>
      <c r="G26" s="3">
        <v>0</v>
      </c>
      <c r="I26" s="3" t="s">
        <v>54</v>
      </c>
      <c r="J26" s="3">
        <v>0.3</v>
      </c>
      <c r="K26" s="7">
        <v>540.21661400000005</v>
      </c>
      <c r="L26" s="3">
        <v>0</v>
      </c>
      <c r="M26" s="3">
        <f t="shared" si="0"/>
        <v>0.375</v>
      </c>
      <c r="N26" s="5"/>
      <c r="O26" s="5"/>
      <c r="P26" s="5"/>
      <c r="Q26" s="5"/>
      <c r="R26" s="1"/>
      <c r="S26" s="3" t="s">
        <v>54</v>
      </c>
      <c r="T26" s="3">
        <v>0.9</v>
      </c>
      <c r="U26" s="3">
        <v>0.5</v>
      </c>
      <c r="V26" s="3">
        <v>0.6</v>
      </c>
      <c r="W26" s="3">
        <v>0.37</v>
      </c>
      <c r="X26" s="7">
        <v>518.181152</v>
      </c>
      <c r="Y26" s="3">
        <v>1E-3</v>
      </c>
      <c r="AA26" s="3" t="s">
        <v>54</v>
      </c>
      <c r="AB26" s="3">
        <v>0.34</v>
      </c>
      <c r="AC26" s="6">
        <v>512.81304899999998</v>
      </c>
      <c r="AD26" s="3">
        <v>0</v>
      </c>
      <c r="AE26" s="3">
        <f t="shared" si="1"/>
        <v>0.35499999999999998</v>
      </c>
      <c r="AF26" s="5"/>
      <c r="AG26" s="5"/>
      <c r="AH26" s="5"/>
      <c r="AI26" s="5"/>
      <c r="AJ26" s="1"/>
      <c r="AK26" s="3" t="s">
        <v>55</v>
      </c>
      <c r="AL26" s="3">
        <v>0.9</v>
      </c>
      <c r="AM26" s="3">
        <v>0.5</v>
      </c>
      <c r="AN26" s="3">
        <v>0.6</v>
      </c>
      <c r="AO26" s="3">
        <v>0.3</v>
      </c>
      <c r="AP26" s="7">
        <v>962.67724599999997</v>
      </c>
      <c r="AQ26" s="3">
        <v>4.0000000000000001E-3</v>
      </c>
      <c r="AS26" s="3" t="s">
        <v>55</v>
      </c>
      <c r="AT26" s="3">
        <v>0.31</v>
      </c>
      <c r="AU26" s="6">
        <v>943.03558299999997</v>
      </c>
      <c r="AV26" s="3">
        <v>0</v>
      </c>
      <c r="AW26" s="3">
        <f t="shared" si="2"/>
        <v>0.30499999999999999</v>
      </c>
      <c r="AX26" s="5"/>
      <c r="AY26" s="5"/>
      <c r="AZ26" s="5"/>
      <c r="BA26" s="5"/>
      <c r="BB26" s="1"/>
      <c r="BC26" s="3" t="s">
        <v>55</v>
      </c>
      <c r="BD26" s="3">
        <v>0.9</v>
      </c>
      <c r="BE26" s="3">
        <v>0.5</v>
      </c>
      <c r="BF26" s="3">
        <v>0.6</v>
      </c>
      <c r="BG26" s="3">
        <v>0.33</v>
      </c>
      <c r="BH26" s="7">
        <v>950.68029799999999</v>
      </c>
      <c r="BI26" s="3">
        <v>4.0000000000000001E-3</v>
      </c>
      <c r="BK26" s="3" t="s">
        <v>55</v>
      </c>
      <c r="BL26" s="3">
        <v>0.32</v>
      </c>
      <c r="BM26" s="6">
        <v>942.12744099999998</v>
      </c>
      <c r="BN26" s="3">
        <v>0</v>
      </c>
      <c r="BO26" s="3">
        <f t="shared" si="3"/>
        <v>0.32500000000000001</v>
      </c>
    </row>
    <row r="27" spans="1:67" x14ac:dyDescent="0.3">
      <c r="A27" s="3" t="s">
        <v>56</v>
      </c>
      <c r="B27" s="3">
        <v>0.9</v>
      </c>
      <c r="C27" s="3">
        <v>0.5</v>
      </c>
      <c r="D27" s="3">
        <v>0.6</v>
      </c>
      <c r="E27" s="3">
        <v>0.43</v>
      </c>
      <c r="F27" s="6">
        <v>451.229401</v>
      </c>
      <c r="G27" s="3">
        <v>1E-3</v>
      </c>
      <c r="I27" s="3" t="s">
        <v>56</v>
      </c>
      <c r="J27" s="3">
        <v>0.4</v>
      </c>
      <c r="K27" s="7">
        <v>451.90234400000003</v>
      </c>
      <c r="L27" s="3">
        <v>0</v>
      </c>
      <c r="M27" s="3">
        <f t="shared" si="0"/>
        <v>0.41500000000000004</v>
      </c>
      <c r="N27" s="5"/>
      <c r="O27" s="5"/>
      <c r="P27" s="5"/>
      <c r="Q27" s="5"/>
      <c r="R27" s="1"/>
      <c r="S27" s="3" t="s">
        <v>56</v>
      </c>
      <c r="T27" s="3">
        <v>0.9</v>
      </c>
      <c r="U27" s="3">
        <v>0.5</v>
      </c>
      <c r="V27" s="3">
        <v>0.6</v>
      </c>
      <c r="W27" s="3">
        <v>0.3</v>
      </c>
      <c r="X27" s="6">
        <v>430.00228900000002</v>
      </c>
      <c r="Y27" s="3">
        <v>0</v>
      </c>
      <c r="AA27" s="3" t="s">
        <v>56</v>
      </c>
      <c r="AB27" s="3">
        <v>0.3</v>
      </c>
      <c r="AC27" s="6">
        <v>430.00228900000002</v>
      </c>
      <c r="AD27" s="3">
        <v>0</v>
      </c>
      <c r="AE27" s="3">
        <f t="shared" si="1"/>
        <v>0.3</v>
      </c>
      <c r="AF27" s="5"/>
      <c r="AG27" s="5"/>
      <c r="AH27" s="5"/>
      <c r="AI27" s="5"/>
      <c r="AJ27" s="1"/>
      <c r="AK27" s="3" t="s">
        <v>57</v>
      </c>
      <c r="AL27" s="3">
        <v>0.9</v>
      </c>
      <c r="AM27" s="3">
        <v>0.5</v>
      </c>
      <c r="AN27" s="3">
        <v>0.6</v>
      </c>
      <c r="AO27" s="3">
        <v>0.32</v>
      </c>
      <c r="AP27" s="7">
        <v>941.57556199999999</v>
      </c>
      <c r="AQ27" s="3">
        <v>5.0000000000000001E-3</v>
      </c>
      <c r="AS27" s="3" t="s">
        <v>57</v>
      </c>
      <c r="AT27" s="3">
        <v>0.3</v>
      </c>
      <c r="AU27" s="6">
        <v>939.27447500000005</v>
      </c>
      <c r="AV27" s="3">
        <v>0</v>
      </c>
      <c r="AW27" s="3">
        <f t="shared" si="2"/>
        <v>0.31</v>
      </c>
      <c r="AX27" s="5"/>
      <c r="AY27" s="5"/>
      <c r="AZ27" s="5"/>
      <c r="BA27" s="5"/>
      <c r="BB27" s="1"/>
      <c r="BC27" s="3" t="s">
        <v>57</v>
      </c>
      <c r="BD27" s="3">
        <v>0.9</v>
      </c>
      <c r="BE27" s="3">
        <v>0.5</v>
      </c>
      <c r="BF27" s="3">
        <v>0.6</v>
      </c>
      <c r="BG27" s="3">
        <v>0.3</v>
      </c>
      <c r="BH27" s="6">
        <v>902.93060300000002</v>
      </c>
      <c r="BI27" s="3">
        <v>5.0000000000000001E-3</v>
      </c>
      <c r="BK27" s="3" t="s">
        <v>57</v>
      </c>
      <c r="BL27" s="3">
        <v>0.31</v>
      </c>
      <c r="BM27" s="7">
        <v>924.48773200000005</v>
      </c>
      <c r="BN27" s="3">
        <v>1E-3</v>
      </c>
      <c r="BO27" s="3">
        <f t="shared" si="3"/>
        <v>0.30499999999999999</v>
      </c>
    </row>
    <row r="28" spans="1:67" x14ac:dyDescent="0.3">
      <c r="A28" s="3" t="s">
        <v>58</v>
      </c>
      <c r="B28" s="3">
        <v>0.9</v>
      </c>
      <c r="C28" s="3">
        <v>0.5</v>
      </c>
      <c r="D28" s="3">
        <v>0.6</v>
      </c>
      <c r="E28" s="3">
        <v>0.33</v>
      </c>
      <c r="F28" s="6">
        <v>458.30166600000001</v>
      </c>
      <c r="G28" s="3">
        <v>1E-3</v>
      </c>
      <c r="I28" s="3" t="s">
        <v>58</v>
      </c>
      <c r="J28" s="3">
        <v>0.39</v>
      </c>
      <c r="K28" s="6">
        <v>458.30166600000001</v>
      </c>
      <c r="L28" s="3">
        <v>0</v>
      </c>
      <c r="M28" s="3">
        <f t="shared" si="0"/>
        <v>0.36</v>
      </c>
      <c r="N28" s="5"/>
      <c r="O28" s="5"/>
      <c r="P28" s="5"/>
      <c r="Q28" s="5"/>
      <c r="R28" s="1"/>
      <c r="S28" s="3" t="s">
        <v>58</v>
      </c>
      <c r="T28" s="3">
        <v>0.9</v>
      </c>
      <c r="U28" s="3">
        <v>0.5</v>
      </c>
      <c r="V28" s="3">
        <v>0.6</v>
      </c>
      <c r="W28" s="3">
        <v>0.46</v>
      </c>
      <c r="X28" s="6">
        <v>442.56994600000002</v>
      </c>
      <c r="Y28" s="3">
        <v>0</v>
      </c>
      <c r="AA28" s="3" t="s">
        <v>58</v>
      </c>
      <c r="AB28" s="3">
        <v>0.37</v>
      </c>
      <c r="AC28" s="6">
        <v>442.56994600000002</v>
      </c>
      <c r="AD28" s="3">
        <v>0</v>
      </c>
      <c r="AE28" s="3">
        <f t="shared" si="1"/>
        <v>0.41500000000000004</v>
      </c>
      <c r="AF28" s="5"/>
      <c r="AG28" s="5"/>
      <c r="AH28" s="5"/>
      <c r="AI28" s="5"/>
      <c r="AJ28" s="1"/>
      <c r="AK28" s="3" t="s">
        <v>59</v>
      </c>
      <c r="AL28" s="3">
        <v>0.9</v>
      </c>
      <c r="AM28" s="3">
        <v>0.5</v>
      </c>
      <c r="AN28" s="3">
        <v>0.6</v>
      </c>
      <c r="AO28" s="3">
        <v>0.31</v>
      </c>
      <c r="AP28" s="6">
        <v>871.91888400000005</v>
      </c>
      <c r="AQ28" s="3">
        <v>4.0000000000000001E-3</v>
      </c>
      <c r="AS28" s="3" t="s">
        <v>59</v>
      </c>
      <c r="AT28" s="3">
        <v>0.31</v>
      </c>
      <c r="AU28" s="7">
        <v>873.66119400000002</v>
      </c>
      <c r="AV28" s="3">
        <v>1E-3</v>
      </c>
      <c r="AW28" s="3">
        <f t="shared" si="2"/>
        <v>0.31</v>
      </c>
      <c r="AX28" s="5"/>
      <c r="AY28" s="5"/>
      <c r="AZ28" s="5"/>
      <c r="BA28" s="5"/>
      <c r="BB28" s="1"/>
      <c r="BC28" s="3" t="s">
        <v>59</v>
      </c>
      <c r="BD28" s="3">
        <v>0.9</v>
      </c>
      <c r="BE28" s="3">
        <v>0.5</v>
      </c>
      <c r="BF28" s="3">
        <v>0.6</v>
      </c>
      <c r="BG28" s="3">
        <v>0.36</v>
      </c>
      <c r="BH28" s="7">
        <v>871.132385</v>
      </c>
      <c r="BI28" s="3">
        <v>4.0000000000000001E-3</v>
      </c>
      <c r="BK28" s="3" t="s">
        <v>59</v>
      </c>
      <c r="BL28" s="3">
        <v>0.3</v>
      </c>
      <c r="BM28" s="7">
        <v>863.37676999999996</v>
      </c>
      <c r="BN28" s="3">
        <v>0</v>
      </c>
      <c r="BO28" s="3">
        <f t="shared" si="3"/>
        <v>0.32999999999999996</v>
      </c>
    </row>
    <row r="29" spans="1:67" x14ac:dyDescent="0.3">
      <c r="A29" s="3" t="s">
        <v>60</v>
      </c>
      <c r="B29" s="3">
        <v>0.9</v>
      </c>
      <c r="C29" s="3">
        <v>0.5</v>
      </c>
      <c r="D29" s="3">
        <v>0.6</v>
      </c>
      <c r="E29" s="3">
        <v>0.4</v>
      </c>
      <c r="F29" s="7">
        <v>601.09368900000004</v>
      </c>
      <c r="G29" s="3">
        <v>1E-3</v>
      </c>
      <c r="I29" s="3" t="s">
        <v>60</v>
      </c>
      <c r="J29" s="3">
        <v>0.41</v>
      </c>
      <c r="K29" s="6">
        <v>600.06378199999995</v>
      </c>
      <c r="L29" s="3">
        <v>0</v>
      </c>
      <c r="M29" s="3">
        <f t="shared" si="0"/>
        <v>0.40500000000000003</v>
      </c>
      <c r="N29" s="5"/>
      <c r="O29" s="5"/>
      <c r="P29" s="5"/>
      <c r="Q29" s="5"/>
      <c r="R29" s="1"/>
      <c r="S29" s="3" t="s">
        <v>60</v>
      </c>
      <c r="T29" s="3">
        <v>0.9</v>
      </c>
      <c r="U29" s="3">
        <v>0.5</v>
      </c>
      <c r="V29" s="3">
        <v>0.6</v>
      </c>
      <c r="W29" s="3">
        <v>0.32</v>
      </c>
      <c r="X29" s="6">
        <v>559.75079300000004</v>
      </c>
      <c r="Y29" s="3">
        <v>0</v>
      </c>
      <c r="AA29" s="3" t="s">
        <v>60</v>
      </c>
      <c r="AB29" s="3">
        <v>0.3</v>
      </c>
      <c r="AC29" s="7">
        <v>571.82659899999999</v>
      </c>
      <c r="AD29" s="3">
        <v>0</v>
      </c>
      <c r="AE29" s="3">
        <f t="shared" si="1"/>
        <v>0.31</v>
      </c>
      <c r="AF29" s="5"/>
      <c r="AG29" s="5"/>
      <c r="AH29" s="5"/>
      <c r="AI29" s="5"/>
      <c r="AJ29" s="1"/>
      <c r="AK29" s="3" t="s">
        <v>61</v>
      </c>
      <c r="AL29" s="3">
        <v>0.9</v>
      </c>
      <c r="AM29" s="3">
        <v>0.5</v>
      </c>
      <c r="AN29" s="3">
        <v>0.6</v>
      </c>
      <c r="AO29" s="3">
        <v>0.35</v>
      </c>
      <c r="AP29" s="7">
        <v>1013.297058</v>
      </c>
      <c r="AQ29" s="3">
        <v>5.0000000000000001E-3</v>
      </c>
      <c r="AS29" s="3" t="s">
        <v>61</v>
      </c>
      <c r="AT29" s="3">
        <v>0.3</v>
      </c>
      <c r="AU29" s="6">
        <v>1000.467957</v>
      </c>
      <c r="AV29" s="3">
        <v>0</v>
      </c>
      <c r="AW29" s="3">
        <f t="shared" si="2"/>
        <v>0.32499999999999996</v>
      </c>
      <c r="AX29" s="5"/>
      <c r="AY29" s="5"/>
      <c r="AZ29" s="5"/>
      <c r="BA29" s="5"/>
      <c r="BB29" s="1"/>
      <c r="BC29" s="3" t="s">
        <v>61</v>
      </c>
      <c r="BD29" s="3">
        <v>0.9</v>
      </c>
      <c r="BE29" s="3">
        <v>0.5</v>
      </c>
      <c r="BF29" s="3">
        <v>0.6</v>
      </c>
      <c r="BG29" s="3">
        <v>0.31</v>
      </c>
      <c r="BH29" s="7">
        <v>990.26507600000002</v>
      </c>
      <c r="BI29" s="3">
        <v>6.0000000000000001E-3</v>
      </c>
      <c r="BK29" s="3" t="s">
        <v>61</v>
      </c>
      <c r="BL29" s="3">
        <v>0.31</v>
      </c>
      <c r="BM29" s="7">
        <v>962.04187000000002</v>
      </c>
      <c r="BN29" s="3">
        <v>1E-3</v>
      </c>
      <c r="BO29" s="3">
        <f t="shared" si="3"/>
        <v>0.31</v>
      </c>
    </row>
    <row r="30" spans="1:67" x14ac:dyDescent="0.3">
      <c r="A30" s="3" t="s">
        <v>62</v>
      </c>
      <c r="B30" s="3">
        <v>0.9</v>
      </c>
      <c r="C30" s="3">
        <v>0.5</v>
      </c>
      <c r="D30" s="3">
        <v>0.6</v>
      </c>
      <c r="E30" s="3">
        <v>0.34</v>
      </c>
      <c r="F30" s="6">
        <v>394.30676299999999</v>
      </c>
      <c r="G30" s="3">
        <v>0</v>
      </c>
      <c r="I30" s="3" t="s">
        <v>62</v>
      </c>
      <c r="J30" s="3">
        <v>0.35</v>
      </c>
      <c r="K30" s="6">
        <v>394.30676299999999</v>
      </c>
      <c r="L30" s="3">
        <v>0</v>
      </c>
      <c r="M30" s="3">
        <f t="shared" si="0"/>
        <v>0.34499999999999997</v>
      </c>
      <c r="N30" s="5"/>
      <c r="O30" s="5"/>
      <c r="P30" s="5"/>
      <c r="Q30" s="5"/>
      <c r="R30" s="1"/>
      <c r="S30" s="3" t="s">
        <v>62</v>
      </c>
      <c r="T30" s="3">
        <v>0.9</v>
      </c>
      <c r="U30" s="3">
        <v>0.5</v>
      </c>
      <c r="V30" s="3">
        <v>0.6</v>
      </c>
      <c r="W30" s="3">
        <v>0.34</v>
      </c>
      <c r="X30" s="6">
        <v>380.51156600000002</v>
      </c>
      <c r="Y30" s="3">
        <v>0</v>
      </c>
      <c r="AA30" s="3" t="s">
        <v>62</v>
      </c>
      <c r="AB30" s="3">
        <v>0.37</v>
      </c>
      <c r="AC30" s="6">
        <v>380.51156600000002</v>
      </c>
      <c r="AD30" s="3">
        <v>0</v>
      </c>
      <c r="AE30" s="3">
        <f t="shared" si="1"/>
        <v>0.35499999999999998</v>
      </c>
      <c r="AF30" s="5"/>
      <c r="AG30" s="5"/>
      <c r="AH30" s="5"/>
      <c r="AI30" s="5"/>
      <c r="AJ30" s="1"/>
      <c r="AK30" s="3" t="s">
        <v>63</v>
      </c>
      <c r="AL30" s="3">
        <v>0.9</v>
      </c>
      <c r="AM30" s="3">
        <v>0.5</v>
      </c>
      <c r="AN30" s="3">
        <v>0.6</v>
      </c>
      <c r="AO30" s="3">
        <v>0.32</v>
      </c>
      <c r="AP30" s="6">
        <v>977.73584000000005</v>
      </c>
      <c r="AQ30" s="3">
        <v>4.0000000000000001E-3</v>
      </c>
      <c r="AS30" s="3" t="s">
        <v>63</v>
      </c>
      <c r="AT30" s="3">
        <v>0.31</v>
      </c>
      <c r="AU30" s="7">
        <v>988.803223</v>
      </c>
      <c r="AV30" s="3">
        <v>1E-3</v>
      </c>
      <c r="AW30" s="3">
        <f t="shared" si="2"/>
        <v>0.315</v>
      </c>
      <c r="AX30" s="5"/>
      <c r="AY30" s="5"/>
      <c r="AZ30" s="5"/>
      <c r="BA30" s="5"/>
      <c r="BB30" s="1"/>
      <c r="BC30" s="3" t="s">
        <v>63</v>
      </c>
      <c r="BD30" s="3">
        <v>0.9</v>
      </c>
      <c r="BE30" s="3">
        <v>0.5</v>
      </c>
      <c r="BF30" s="3">
        <v>0.6</v>
      </c>
      <c r="BG30" s="3">
        <v>0.32</v>
      </c>
      <c r="BH30" s="7">
        <v>956.59252900000001</v>
      </c>
      <c r="BI30" s="3">
        <v>5.0000000000000001E-3</v>
      </c>
      <c r="BK30" s="3" t="s">
        <v>63</v>
      </c>
      <c r="BL30" s="3">
        <v>0.3</v>
      </c>
      <c r="BM30" s="7">
        <v>955.92877199999998</v>
      </c>
      <c r="BN30" s="3">
        <v>1E-3</v>
      </c>
      <c r="BO30" s="3">
        <f t="shared" si="3"/>
        <v>0.31</v>
      </c>
    </row>
    <row r="31" spans="1:67" x14ac:dyDescent="0.3">
      <c r="A31" s="3" t="s">
        <v>64</v>
      </c>
      <c r="B31" s="3">
        <v>0.9</v>
      </c>
      <c r="C31" s="3">
        <v>0.5</v>
      </c>
      <c r="D31" s="3">
        <v>0.6</v>
      </c>
      <c r="E31" s="3">
        <v>0.31</v>
      </c>
      <c r="F31" s="6">
        <v>554.31097399999999</v>
      </c>
      <c r="G31" s="3">
        <v>1E-3</v>
      </c>
      <c r="I31" s="3" t="s">
        <v>64</v>
      </c>
      <c r="J31" s="3">
        <v>0.3</v>
      </c>
      <c r="K31" s="6">
        <v>554.31097399999999</v>
      </c>
      <c r="L31" s="3">
        <v>0</v>
      </c>
      <c r="M31" s="3">
        <f t="shared" si="0"/>
        <v>0.30499999999999999</v>
      </c>
      <c r="N31" s="5"/>
      <c r="O31" s="5"/>
      <c r="P31" s="5"/>
      <c r="Q31" s="5"/>
      <c r="R31" s="1"/>
      <c r="S31" s="3" t="s">
        <v>64</v>
      </c>
      <c r="T31" s="3">
        <v>0.9</v>
      </c>
      <c r="U31" s="3">
        <v>0.5</v>
      </c>
      <c r="V31" s="3">
        <v>0.6</v>
      </c>
      <c r="W31" s="3">
        <v>0.3</v>
      </c>
      <c r="X31" s="7">
        <v>548.44744900000001</v>
      </c>
      <c r="Y31" s="3">
        <v>1E-3</v>
      </c>
      <c r="AA31" s="3" t="s">
        <v>64</v>
      </c>
      <c r="AB31" s="3">
        <v>0.32</v>
      </c>
      <c r="AC31" s="6">
        <v>545.03656000000001</v>
      </c>
      <c r="AD31" s="3">
        <v>0</v>
      </c>
      <c r="AE31" s="3">
        <f t="shared" si="1"/>
        <v>0.31</v>
      </c>
      <c r="AF31" s="5"/>
      <c r="AG31" s="5"/>
      <c r="AH31" s="5"/>
      <c r="AI31" s="5"/>
      <c r="AJ31" s="1"/>
      <c r="AK31" s="3" t="s">
        <v>65</v>
      </c>
      <c r="AL31" s="3">
        <v>0.9</v>
      </c>
      <c r="AM31" s="3">
        <v>0.5</v>
      </c>
      <c r="AN31" s="3">
        <v>0.6</v>
      </c>
      <c r="AO31" s="3">
        <v>0.41</v>
      </c>
      <c r="AP31" s="6">
        <v>922.66888400000005</v>
      </c>
      <c r="AQ31" s="3">
        <v>5.0000000000000001E-3</v>
      </c>
      <c r="AS31" s="3" t="s">
        <v>65</v>
      </c>
      <c r="AT31" s="3">
        <v>0.34</v>
      </c>
      <c r="AU31" s="7">
        <v>935.53411900000003</v>
      </c>
      <c r="AV31" s="3">
        <v>1E-3</v>
      </c>
      <c r="AW31" s="3">
        <f t="shared" si="2"/>
        <v>0.375</v>
      </c>
      <c r="AX31" s="5"/>
      <c r="AY31" s="5"/>
      <c r="AZ31" s="5"/>
      <c r="BA31" s="5"/>
      <c r="BB31" s="1"/>
      <c r="BC31" s="3" t="s">
        <v>65</v>
      </c>
      <c r="BD31" s="3">
        <v>0.9</v>
      </c>
      <c r="BE31" s="3">
        <v>0.5</v>
      </c>
      <c r="BF31" s="3">
        <v>0.6</v>
      </c>
      <c r="BG31" s="3">
        <v>0.38</v>
      </c>
      <c r="BH31" s="7">
        <v>923.75964399999998</v>
      </c>
      <c r="BI31" s="3">
        <v>5.0000000000000001E-3</v>
      </c>
      <c r="BK31" s="3" t="s">
        <v>65</v>
      </c>
      <c r="BL31" s="3">
        <v>0.31</v>
      </c>
      <c r="BM31" s="7">
        <v>920.180115</v>
      </c>
      <c r="BN31" s="3">
        <v>0</v>
      </c>
      <c r="BO31" s="3">
        <f t="shared" si="3"/>
        <v>0.34499999999999997</v>
      </c>
    </row>
    <row r="32" spans="1:67" x14ac:dyDescent="0.3">
      <c r="A32" s="3" t="s">
        <v>66</v>
      </c>
      <c r="B32" s="3">
        <v>0.9</v>
      </c>
      <c r="C32" s="3">
        <v>0.5</v>
      </c>
      <c r="D32" s="3">
        <v>0.6</v>
      </c>
      <c r="E32" s="3">
        <v>0.34</v>
      </c>
      <c r="F32" s="7">
        <v>509.14325000000002</v>
      </c>
      <c r="G32" s="3">
        <v>1E-3</v>
      </c>
      <c r="I32" s="3" t="s">
        <v>66</v>
      </c>
      <c r="J32" s="3">
        <v>0.41</v>
      </c>
      <c r="K32" s="6">
        <v>506.88961799999998</v>
      </c>
      <c r="L32" s="3">
        <v>0</v>
      </c>
      <c r="M32" s="3">
        <f t="shared" si="0"/>
        <v>0.375</v>
      </c>
      <c r="N32" s="5"/>
      <c r="O32" s="5"/>
      <c r="P32" s="5"/>
      <c r="Q32" s="5"/>
      <c r="R32" s="1"/>
      <c r="S32" s="3" t="s">
        <v>66</v>
      </c>
      <c r="T32" s="3">
        <v>0.9</v>
      </c>
      <c r="U32" s="3">
        <v>0.5</v>
      </c>
      <c r="V32" s="3">
        <v>0.6</v>
      </c>
      <c r="W32" s="3">
        <v>0.39</v>
      </c>
      <c r="X32" s="7">
        <v>474.60919200000001</v>
      </c>
      <c r="Y32" s="3">
        <v>1E-3</v>
      </c>
      <c r="AA32" s="3" t="s">
        <v>66</v>
      </c>
      <c r="AB32" s="3">
        <v>0.32</v>
      </c>
      <c r="AC32" s="6">
        <v>465.34634399999999</v>
      </c>
      <c r="AD32" s="3">
        <v>0</v>
      </c>
      <c r="AE32" s="3">
        <f t="shared" si="1"/>
        <v>0.35499999999999998</v>
      </c>
      <c r="AF32" s="5"/>
      <c r="AG32" s="5"/>
      <c r="AH32" s="5"/>
      <c r="AI32" s="5"/>
      <c r="AJ32" s="1"/>
      <c r="AK32" s="3" t="s">
        <v>67</v>
      </c>
      <c r="AL32" s="3">
        <v>0.9</v>
      </c>
      <c r="AM32" s="3">
        <v>0.5</v>
      </c>
      <c r="AN32" s="3">
        <v>0.6</v>
      </c>
      <c r="AO32" s="3">
        <v>0.32</v>
      </c>
      <c r="AP32" s="6">
        <v>978.05761700000005</v>
      </c>
      <c r="AQ32" s="3">
        <v>5.0000000000000001E-3</v>
      </c>
      <c r="AS32" s="3" t="s">
        <v>67</v>
      </c>
      <c r="AT32" s="3">
        <v>0.3</v>
      </c>
      <c r="AU32" s="7">
        <v>986.12213099999997</v>
      </c>
      <c r="AV32" s="3">
        <v>1E-3</v>
      </c>
      <c r="AW32" s="3">
        <f t="shared" si="2"/>
        <v>0.31</v>
      </c>
      <c r="AX32" s="5"/>
      <c r="AY32" s="5"/>
      <c r="AZ32" s="5"/>
      <c r="BA32" s="5"/>
      <c r="BB32" s="1"/>
      <c r="BC32" s="3" t="s">
        <v>67</v>
      </c>
      <c r="BD32" s="3">
        <v>0.9</v>
      </c>
      <c r="BE32" s="3">
        <v>0.5</v>
      </c>
      <c r="BF32" s="3">
        <v>0.6</v>
      </c>
      <c r="BG32" s="3">
        <v>0.36</v>
      </c>
      <c r="BH32" s="7">
        <v>970.29284700000005</v>
      </c>
      <c r="BI32" s="3">
        <v>5.0000000000000001E-3</v>
      </c>
      <c r="BK32" s="3" t="s">
        <v>67</v>
      </c>
      <c r="BL32" s="3">
        <v>0.33</v>
      </c>
      <c r="BM32" s="7">
        <v>959.37451199999998</v>
      </c>
      <c r="BN32" s="3">
        <v>1E-3</v>
      </c>
      <c r="BO32" s="3">
        <f t="shared" si="3"/>
        <v>0.34499999999999997</v>
      </c>
    </row>
    <row r="33" spans="1:71" x14ac:dyDescent="0.3">
      <c r="A33" s="3" t="s">
        <v>68</v>
      </c>
      <c r="B33" s="3">
        <v>0.9</v>
      </c>
      <c r="C33" s="3">
        <v>0.5</v>
      </c>
      <c r="D33" s="3">
        <v>0.6</v>
      </c>
      <c r="E33" s="3">
        <v>0.34</v>
      </c>
      <c r="F33" s="6">
        <v>391.43301400000001</v>
      </c>
      <c r="G33" s="3">
        <v>0</v>
      </c>
      <c r="I33" s="3" t="s">
        <v>68</v>
      </c>
      <c r="J33" s="3">
        <v>0.42</v>
      </c>
      <c r="K33" s="7">
        <v>395.38916</v>
      </c>
      <c r="L33" s="3">
        <v>0</v>
      </c>
      <c r="M33" s="3">
        <f t="shared" si="0"/>
        <v>0.38</v>
      </c>
      <c r="N33" s="5"/>
      <c r="O33" s="5"/>
      <c r="P33" s="5"/>
      <c r="Q33" s="5"/>
      <c r="R33" s="1"/>
      <c r="S33" s="3" t="s">
        <v>68</v>
      </c>
      <c r="T33" s="3">
        <v>0.9</v>
      </c>
      <c r="U33" s="3">
        <v>0.5</v>
      </c>
      <c r="V33" s="3">
        <v>0.6</v>
      </c>
      <c r="W33" s="3">
        <v>0.48</v>
      </c>
      <c r="X33" s="6">
        <v>375.23397799999998</v>
      </c>
      <c r="Y33" s="3">
        <v>1E-3</v>
      </c>
      <c r="AA33" s="3" t="s">
        <v>68</v>
      </c>
      <c r="AB33" s="3">
        <v>0.33</v>
      </c>
      <c r="AC33" s="8">
        <v>375.28085299999998</v>
      </c>
      <c r="AD33" s="3">
        <v>0</v>
      </c>
      <c r="AE33" s="3">
        <f t="shared" si="1"/>
        <v>0.40500000000000003</v>
      </c>
      <c r="AF33" s="5"/>
      <c r="AG33" s="5"/>
      <c r="AH33" s="5"/>
      <c r="AI33" s="5"/>
      <c r="AJ33" s="1"/>
      <c r="AK33" s="3" t="s">
        <v>69</v>
      </c>
      <c r="AL33" s="3">
        <v>0.9</v>
      </c>
      <c r="AM33" s="3">
        <v>0.5</v>
      </c>
      <c r="AN33" s="3">
        <v>0.6</v>
      </c>
      <c r="AO33" s="3">
        <v>0.32</v>
      </c>
      <c r="AP33" s="6">
        <v>984.48223900000005</v>
      </c>
      <c r="AQ33" s="3">
        <v>4.0000000000000001E-3</v>
      </c>
      <c r="AS33" s="3" t="s">
        <v>69</v>
      </c>
      <c r="AT33" s="3">
        <v>0.3</v>
      </c>
      <c r="AU33" s="7">
        <v>994.40124500000002</v>
      </c>
      <c r="AV33" s="3">
        <v>1E-3</v>
      </c>
      <c r="AW33" s="3">
        <f t="shared" si="2"/>
        <v>0.31</v>
      </c>
      <c r="AX33" s="5"/>
      <c r="AY33" s="5"/>
      <c r="AZ33" s="5"/>
      <c r="BA33" s="5"/>
      <c r="BB33" s="1"/>
      <c r="BC33" s="3" t="s">
        <v>69</v>
      </c>
      <c r="BD33" s="3">
        <v>0.9</v>
      </c>
      <c r="BE33" s="3">
        <v>0.5</v>
      </c>
      <c r="BF33" s="3">
        <v>0.6</v>
      </c>
      <c r="BG33" s="3">
        <v>0.3</v>
      </c>
      <c r="BH33" s="7">
        <v>954.09082000000001</v>
      </c>
      <c r="BI33" s="3">
        <v>5.0000000000000001E-3</v>
      </c>
      <c r="BK33" s="3" t="s">
        <v>69</v>
      </c>
      <c r="BL33" s="3">
        <v>0.32</v>
      </c>
      <c r="BM33" s="7">
        <v>940.79888900000003</v>
      </c>
      <c r="BN33" s="3">
        <v>1E-3</v>
      </c>
      <c r="BO33" s="3">
        <f t="shared" si="3"/>
        <v>0.31</v>
      </c>
    </row>
    <row r="34" spans="1:71" x14ac:dyDescent="0.3">
      <c r="A34" s="3" t="s">
        <v>316</v>
      </c>
      <c r="E34" s="3">
        <f>AVERAGE(E4:E33)</f>
        <v>0.34933333333333333</v>
      </c>
      <c r="I34" s="9" t="s">
        <v>316</v>
      </c>
      <c r="J34" s="9">
        <f>AVERAGE(J4:J33)</f>
        <v>0.36433333333333334</v>
      </c>
      <c r="R34" s="1"/>
      <c r="S34" s="3" t="s">
        <v>316</v>
      </c>
      <c r="W34" s="3">
        <f>AVERAGE(W4:W33)</f>
        <v>0.37133333333333346</v>
      </c>
      <c r="AA34" s="9" t="s">
        <v>316</v>
      </c>
      <c r="AB34" s="9">
        <f>AVERAGE(AB4:AB33)</f>
        <v>0.3756666666666667</v>
      </c>
      <c r="AJ34" s="1"/>
      <c r="AK34" s="9" t="s">
        <v>316</v>
      </c>
      <c r="AO34" s="9">
        <f>AVERAGE(AO4:AO33)</f>
        <v>0.3183333333333333</v>
      </c>
      <c r="AS34" s="9" t="s">
        <v>316</v>
      </c>
      <c r="AT34" s="9">
        <f>AVERAGE(AT4:AT33)</f>
        <v>0.31900000000000001</v>
      </c>
      <c r="AW34" s="5"/>
      <c r="AX34" s="5"/>
      <c r="AY34" s="5"/>
      <c r="AZ34" s="5"/>
      <c r="BA34" s="5"/>
      <c r="BB34" s="1"/>
      <c r="BC34" s="9" t="s">
        <v>316</v>
      </c>
      <c r="BG34" s="9">
        <f>AVERAGE(BG4:BG33)</f>
        <v>0.32333333333333336</v>
      </c>
      <c r="BK34" s="9" t="s">
        <v>316</v>
      </c>
      <c r="BL34" s="9">
        <f>AVERAGE(BL4:BL33)</f>
        <v>0.314</v>
      </c>
      <c r="BO34" s="5"/>
    </row>
    <row r="35" spans="1:71" x14ac:dyDescent="0.3">
      <c r="R35" s="1"/>
      <c r="AJ35" s="1"/>
      <c r="AW35" s="5"/>
      <c r="AX35" s="5"/>
      <c r="AY35" s="5"/>
      <c r="AZ35" s="5"/>
      <c r="BA35" s="5"/>
      <c r="BB35" s="1"/>
      <c r="BO35" s="5"/>
    </row>
    <row r="36" spans="1:71" x14ac:dyDescent="0.3">
      <c r="R36" s="1"/>
      <c r="AJ36" s="1"/>
      <c r="AW36" s="5"/>
      <c r="AX36" s="5"/>
      <c r="AY36" s="5"/>
      <c r="AZ36" s="5"/>
      <c r="BA36" s="5"/>
      <c r="BB36" s="1"/>
      <c r="BO36" s="5"/>
    </row>
    <row r="37" spans="1:71" x14ac:dyDescent="0.3">
      <c r="A37" s="19" t="s">
        <v>314</v>
      </c>
      <c r="B37" s="19"/>
      <c r="C37" s="19"/>
      <c r="D37" s="19"/>
      <c r="E37" s="19"/>
      <c r="F37" s="19"/>
      <c r="G37" s="19"/>
      <c r="I37" s="19" t="s">
        <v>315</v>
      </c>
      <c r="J37" s="19"/>
      <c r="K37" s="19"/>
      <c r="L37" s="19"/>
      <c r="M37" s="19"/>
      <c r="N37" s="11"/>
      <c r="O37" s="11"/>
      <c r="P37" s="11"/>
      <c r="Q37" s="11"/>
      <c r="R37" s="1"/>
      <c r="S37" s="19" t="s">
        <v>314</v>
      </c>
      <c r="T37" s="19"/>
      <c r="U37" s="19"/>
      <c r="V37" s="19"/>
      <c r="W37" s="19"/>
      <c r="X37" s="19"/>
      <c r="Y37" s="19"/>
      <c r="AA37" s="19" t="s">
        <v>315</v>
      </c>
      <c r="AB37" s="19"/>
      <c r="AC37" s="19"/>
      <c r="AD37" s="19"/>
      <c r="AE37" s="19"/>
      <c r="AF37" s="11"/>
      <c r="AG37" s="11"/>
      <c r="AH37" s="11"/>
      <c r="AI37" s="11"/>
      <c r="AJ37" s="1"/>
      <c r="AK37" s="19" t="s">
        <v>314</v>
      </c>
      <c r="AL37" s="19"/>
      <c r="AM37" s="19"/>
      <c r="AN37" s="19"/>
      <c r="AO37" s="19"/>
      <c r="AP37" s="19"/>
      <c r="AQ37" s="19"/>
      <c r="AS37" s="19" t="s">
        <v>315</v>
      </c>
      <c r="AT37" s="19"/>
      <c r="AU37" s="19"/>
      <c r="AV37" s="19"/>
      <c r="AW37" s="19"/>
      <c r="AX37" s="11"/>
      <c r="AY37" s="11"/>
      <c r="AZ37" s="11"/>
      <c r="BA37" s="11"/>
      <c r="BB37" s="1"/>
      <c r="BC37" s="19" t="s">
        <v>314</v>
      </c>
      <c r="BD37" s="19"/>
      <c r="BE37" s="19"/>
      <c r="BF37" s="19"/>
      <c r="BG37" s="19"/>
      <c r="BH37" s="19"/>
      <c r="BI37" s="19"/>
      <c r="BK37" s="19" t="s">
        <v>315</v>
      </c>
      <c r="BL37" s="19"/>
      <c r="BM37" s="19"/>
      <c r="BN37" s="19"/>
      <c r="BO37" s="19"/>
    </row>
    <row r="38" spans="1:71" x14ac:dyDescent="0.3">
      <c r="A38" s="19" t="s">
        <v>70</v>
      </c>
      <c r="B38" s="19"/>
      <c r="C38" s="19"/>
      <c r="D38" s="19"/>
      <c r="E38" s="19"/>
      <c r="F38" s="19"/>
      <c r="G38" s="19"/>
      <c r="I38" s="19" t="s">
        <v>70</v>
      </c>
      <c r="J38" s="19"/>
      <c r="K38" s="19"/>
      <c r="L38" s="19"/>
      <c r="M38" s="19"/>
      <c r="N38" s="11"/>
      <c r="O38" s="11"/>
      <c r="P38" s="11"/>
      <c r="Q38" s="11"/>
      <c r="R38" s="1"/>
      <c r="S38" s="19" t="s">
        <v>71</v>
      </c>
      <c r="T38" s="19"/>
      <c r="U38" s="19"/>
      <c r="V38" s="19"/>
      <c r="W38" s="19"/>
      <c r="X38" s="19"/>
      <c r="Y38" s="19"/>
      <c r="AA38" s="19" t="s">
        <v>71</v>
      </c>
      <c r="AB38" s="19"/>
      <c r="AC38" s="19"/>
      <c r="AD38" s="19"/>
      <c r="AE38" s="19"/>
      <c r="AF38" s="11"/>
      <c r="AG38" s="11"/>
      <c r="AH38" s="11"/>
      <c r="AI38" s="11"/>
      <c r="AJ38" s="1"/>
      <c r="AK38" s="19" t="s">
        <v>70</v>
      </c>
      <c r="AL38" s="19"/>
      <c r="AM38" s="19"/>
      <c r="AN38" s="19"/>
      <c r="AO38" s="19"/>
      <c r="AP38" s="19"/>
      <c r="AQ38" s="19"/>
      <c r="AS38" s="19" t="s">
        <v>70</v>
      </c>
      <c r="AT38" s="19"/>
      <c r="AU38" s="19"/>
      <c r="AV38" s="19"/>
      <c r="AW38" s="19"/>
      <c r="AX38" s="11"/>
      <c r="AY38" s="11"/>
      <c r="AZ38" s="11"/>
      <c r="BA38" s="11"/>
      <c r="BB38" s="1"/>
      <c r="BC38" s="19" t="s">
        <v>71</v>
      </c>
      <c r="BD38" s="19"/>
      <c r="BE38" s="19"/>
      <c r="BF38" s="19"/>
      <c r="BG38" s="19"/>
      <c r="BH38" s="19"/>
      <c r="BI38" s="19"/>
      <c r="BK38" s="19" t="s">
        <v>71</v>
      </c>
      <c r="BL38" s="19"/>
      <c r="BM38" s="19"/>
      <c r="BN38" s="19"/>
      <c r="BO38" s="19"/>
    </row>
    <row r="39" spans="1:71" x14ac:dyDescent="0.3">
      <c r="A39" s="3" t="s">
        <v>2</v>
      </c>
      <c r="B39" s="3" t="s">
        <v>3</v>
      </c>
      <c r="C39" s="3" t="s">
        <v>4</v>
      </c>
      <c r="D39" s="3" t="s">
        <v>5</v>
      </c>
      <c r="E39" s="3" t="s">
        <v>6</v>
      </c>
      <c r="F39" s="3" t="s">
        <v>7</v>
      </c>
      <c r="G39" s="3" t="s">
        <v>8</v>
      </c>
      <c r="I39" s="3" t="s">
        <v>2</v>
      </c>
      <c r="J39" s="3" t="s">
        <v>6</v>
      </c>
      <c r="K39" s="3" t="s">
        <v>7</v>
      </c>
      <c r="L39" s="3" t="s">
        <v>8</v>
      </c>
      <c r="M39" s="3" t="s">
        <v>9</v>
      </c>
      <c r="N39" s="3" t="s">
        <v>322</v>
      </c>
      <c r="O39" s="3" t="s">
        <v>323</v>
      </c>
      <c r="P39" s="3" t="s">
        <v>322</v>
      </c>
      <c r="Q39" s="3" t="s">
        <v>323</v>
      </c>
      <c r="R39" s="1"/>
      <c r="S39" s="3" t="s">
        <v>2</v>
      </c>
      <c r="T39" s="3" t="s">
        <v>3</v>
      </c>
      <c r="U39" s="3" t="s">
        <v>4</v>
      </c>
      <c r="V39" s="3" t="s">
        <v>5</v>
      </c>
      <c r="W39" s="3" t="s">
        <v>6</v>
      </c>
      <c r="X39" s="3" t="s">
        <v>7</v>
      </c>
      <c r="Y39" s="3" t="s">
        <v>8</v>
      </c>
      <c r="AA39" s="3" t="s">
        <v>2</v>
      </c>
      <c r="AB39" s="3" t="s">
        <v>6</v>
      </c>
      <c r="AC39" s="3" t="s">
        <v>7</v>
      </c>
      <c r="AD39" s="3" t="s">
        <v>8</v>
      </c>
      <c r="AE39" s="3" t="s">
        <v>9</v>
      </c>
      <c r="AF39" s="3" t="s">
        <v>322</v>
      </c>
      <c r="AG39" s="3" t="s">
        <v>323</v>
      </c>
      <c r="AH39" s="3" t="s">
        <v>322</v>
      </c>
      <c r="AI39" s="3" t="s">
        <v>323</v>
      </c>
      <c r="AJ39" s="1"/>
      <c r="AK39" s="3" t="s">
        <v>2</v>
      </c>
      <c r="AL39" s="3" t="s">
        <v>3</v>
      </c>
      <c r="AM39" s="3" t="s">
        <v>4</v>
      </c>
      <c r="AN39" s="3" t="s">
        <v>5</v>
      </c>
      <c r="AO39" s="3" t="s">
        <v>6</v>
      </c>
      <c r="AP39" s="3" t="s">
        <v>7</v>
      </c>
      <c r="AQ39" s="3" t="s">
        <v>8</v>
      </c>
      <c r="AS39" s="3" t="s">
        <v>2</v>
      </c>
      <c r="AT39" s="3" t="s">
        <v>6</v>
      </c>
      <c r="AU39" s="3" t="s">
        <v>7</v>
      </c>
      <c r="AV39" s="3" t="s">
        <v>8</v>
      </c>
      <c r="AW39" s="3" t="s">
        <v>9</v>
      </c>
      <c r="AX39" s="3" t="s">
        <v>322</v>
      </c>
      <c r="AY39" s="3" t="s">
        <v>323</v>
      </c>
      <c r="AZ39" s="3" t="s">
        <v>322</v>
      </c>
      <c r="BA39" s="3" t="s">
        <v>323</v>
      </c>
      <c r="BB39" s="1"/>
      <c r="BC39" s="3" t="s">
        <v>2</v>
      </c>
      <c r="BD39" s="3" t="s">
        <v>3</v>
      </c>
      <c r="BE39" s="3" t="s">
        <v>4</v>
      </c>
      <c r="BF39" s="3" t="s">
        <v>5</v>
      </c>
      <c r="BG39" s="3" t="s">
        <v>6</v>
      </c>
      <c r="BH39" s="3" t="s">
        <v>7</v>
      </c>
      <c r="BI39" s="3" t="s">
        <v>8</v>
      </c>
      <c r="BK39" s="3" t="s">
        <v>2</v>
      </c>
      <c r="BL39" s="3" t="s">
        <v>6</v>
      </c>
      <c r="BM39" s="3" t="s">
        <v>7</v>
      </c>
      <c r="BN39" s="3" t="s">
        <v>8</v>
      </c>
      <c r="BO39" s="3" t="s">
        <v>9</v>
      </c>
      <c r="BP39" s="3" t="s">
        <v>322</v>
      </c>
      <c r="BQ39" s="3" t="s">
        <v>323</v>
      </c>
      <c r="BR39" s="3" t="s">
        <v>322</v>
      </c>
      <c r="BS39" s="3" t="s">
        <v>323</v>
      </c>
    </row>
    <row r="40" spans="1:71" x14ac:dyDescent="0.3">
      <c r="A40" s="3" t="s">
        <v>10</v>
      </c>
      <c r="B40" s="3">
        <v>0.9</v>
      </c>
      <c r="C40" s="3">
        <v>0.5</v>
      </c>
      <c r="D40" s="3">
        <v>0.6</v>
      </c>
      <c r="E40" s="3">
        <v>0.39</v>
      </c>
      <c r="F40" s="7">
        <v>388.174103</v>
      </c>
      <c r="G40" s="3">
        <v>0</v>
      </c>
      <c r="I40" s="3" t="s">
        <v>10</v>
      </c>
      <c r="J40" s="3">
        <v>0.4</v>
      </c>
      <c r="K40" s="6">
        <v>386.19949300000002</v>
      </c>
      <c r="L40" s="3">
        <v>0</v>
      </c>
      <c r="M40" s="3">
        <f t="shared" ref="M40:M69" si="4">AVERAGE(E40,J40)</f>
        <v>0.39500000000000002</v>
      </c>
      <c r="N40" s="4" t="s">
        <v>320</v>
      </c>
      <c r="O40" s="4" t="s">
        <v>320</v>
      </c>
      <c r="P40" s="4" t="s">
        <v>321</v>
      </c>
      <c r="Q40" s="4" t="s">
        <v>321</v>
      </c>
      <c r="R40" s="1"/>
      <c r="S40" s="3" t="s">
        <v>10</v>
      </c>
      <c r="T40" s="3">
        <v>0.9</v>
      </c>
      <c r="U40" s="3">
        <v>0.5</v>
      </c>
      <c r="V40" s="3">
        <v>0.6</v>
      </c>
      <c r="W40" s="3">
        <v>0.4</v>
      </c>
      <c r="X40" s="6">
        <v>370.99807700000002</v>
      </c>
      <c r="Y40" s="3">
        <v>0</v>
      </c>
      <c r="AA40" s="3" t="s">
        <v>10</v>
      </c>
      <c r="AB40" s="3">
        <v>0.44</v>
      </c>
      <c r="AC40" s="7">
        <v>371.40008499999999</v>
      </c>
      <c r="AD40" s="3">
        <v>0</v>
      </c>
      <c r="AE40" s="3">
        <f t="shared" ref="AE40:AE69" si="5">AVERAGE(W40,AB40)</f>
        <v>0.42000000000000004</v>
      </c>
      <c r="AF40" s="4" t="s">
        <v>320</v>
      </c>
      <c r="AG40" s="4" t="s">
        <v>320</v>
      </c>
      <c r="AH40" s="4" t="s">
        <v>321</v>
      </c>
      <c r="AI40" s="4" t="s">
        <v>321</v>
      </c>
      <c r="AJ40" s="1"/>
      <c r="AK40" s="3" t="s">
        <v>11</v>
      </c>
      <c r="AL40" s="3">
        <v>0.9</v>
      </c>
      <c r="AM40" s="3">
        <v>0.5</v>
      </c>
      <c r="AN40" s="3">
        <v>0.6</v>
      </c>
      <c r="AO40" s="3">
        <v>0.31</v>
      </c>
      <c r="AP40" s="7">
        <v>768.95526099999995</v>
      </c>
      <c r="AQ40" s="3">
        <v>4.0000000000000001E-3</v>
      </c>
      <c r="AS40" s="3" t="s">
        <v>11</v>
      </c>
      <c r="AT40" s="3">
        <v>0.31</v>
      </c>
      <c r="AU40" s="6">
        <v>754.25262499999997</v>
      </c>
      <c r="AV40" s="3">
        <v>0</v>
      </c>
      <c r="AW40" s="3">
        <f t="shared" ref="AW40:AW69" si="6">AVERAGE(AO40,AT40)</f>
        <v>0.31</v>
      </c>
      <c r="AX40" s="4" t="s">
        <v>320</v>
      </c>
      <c r="AY40" s="4" t="s">
        <v>320</v>
      </c>
      <c r="AZ40" s="4" t="s">
        <v>321</v>
      </c>
      <c r="BA40" s="4" t="s">
        <v>321</v>
      </c>
      <c r="BB40" s="1"/>
      <c r="BC40" s="3" t="s">
        <v>11</v>
      </c>
      <c r="BD40" s="3">
        <v>0.9</v>
      </c>
      <c r="BE40" s="3">
        <v>0.5</v>
      </c>
      <c r="BF40" s="3">
        <v>0.6</v>
      </c>
      <c r="BG40" s="3">
        <v>0.3</v>
      </c>
      <c r="BH40" s="6">
        <v>730.73803699999996</v>
      </c>
      <c r="BI40" s="3">
        <v>4.0000000000000001E-3</v>
      </c>
      <c r="BK40" s="3" t="s">
        <v>11</v>
      </c>
      <c r="BL40" s="3">
        <v>0.35</v>
      </c>
      <c r="BM40" s="7">
        <v>740.40576199999998</v>
      </c>
      <c r="BN40" s="3">
        <v>0</v>
      </c>
      <c r="BO40" s="3">
        <f t="shared" ref="BO40:BO69" si="7">AVERAGE(BG40,BL40)</f>
        <v>0.32499999999999996</v>
      </c>
      <c r="BP40" s="4" t="s">
        <v>320</v>
      </c>
      <c r="BQ40" s="4" t="s">
        <v>320</v>
      </c>
      <c r="BR40" s="4" t="s">
        <v>321</v>
      </c>
      <c r="BS40" s="4" t="s">
        <v>321</v>
      </c>
    </row>
    <row r="41" spans="1:71" x14ac:dyDescent="0.3">
      <c r="A41" s="3" t="s">
        <v>12</v>
      </c>
      <c r="B41" s="3">
        <v>0.9</v>
      </c>
      <c r="C41" s="3">
        <v>0.5</v>
      </c>
      <c r="D41" s="3">
        <v>0.6</v>
      </c>
      <c r="E41" s="3">
        <v>0.36</v>
      </c>
      <c r="F41" s="7">
        <v>424.23968500000001</v>
      </c>
      <c r="G41" s="3">
        <v>0</v>
      </c>
      <c r="I41" s="3" t="s">
        <v>12</v>
      </c>
      <c r="J41" s="3">
        <v>0.3</v>
      </c>
      <c r="K41" s="6">
        <v>423.44592299999999</v>
      </c>
      <c r="L41" s="3">
        <v>0</v>
      </c>
      <c r="M41" s="3">
        <f t="shared" si="4"/>
        <v>0.32999999999999996</v>
      </c>
      <c r="N41" s="3">
        <f>COUNT(F43:F45,F47:F52,F54:F55,F58:F59,F61,F63:F69)</f>
        <v>21</v>
      </c>
      <c r="O41" s="3">
        <f>30-N41</f>
        <v>9</v>
      </c>
      <c r="P41" s="3">
        <f>COUNT(K40:K42,K44,K46:K47,K49,K51,K53,K55:K57,K60:K62,K66:K68)</f>
        <v>18</v>
      </c>
      <c r="Q41" s="3">
        <f>30-P41</f>
        <v>12</v>
      </c>
      <c r="R41" s="1"/>
      <c r="S41" s="3" t="s">
        <v>12</v>
      </c>
      <c r="T41" s="3">
        <v>0.9</v>
      </c>
      <c r="U41" s="3">
        <v>0.5</v>
      </c>
      <c r="V41" s="3">
        <v>0.6</v>
      </c>
      <c r="W41" s="3">
        <v>0.3</v>
      </c>
      <c r="X41" s="7">
        <v>407.82238799999999</v>
      </c>
      <c r="Y41" s="3">
        <v>1E-3</v>
      </c>
      <c r="AA41" s="3" t="s">
        <v>12</v>
      </c>
      <c r="AB41" s="3">
        <v>0.31</v>
      </c>
      <c r="AC41" s="6">
        <v>403.54898100000003</v>
      </c>
      <c r="AD41" s="3">
        <v>0</v>
      </c>
      <c r="AE41" s="3">
        <f t="shared" si="5"/>
        <v>0.30499999999999999</v>
      </c>
      <c r="AF41" s="3">
        <f>COUNT(X40,X43,X45:X47,X49:X51,X55:X56,X58:X61,X63:X69)</f>
        <v>21</v>
      </c>
      <c r="AG41" s="3">
        <f>30-AF41</f>
        <v>9</v>
      </c>
      <c r="AH41" s="3">
        <f>COUNT(AC41:AC42,AC44,AC46,AC48:AC49,AC51:AC58,AC60:AC64,AC66:AC67,AC69)</f>
        <v>22</v>
      </c>
      <c r="AI41" s="3">
        <f>30-AH41</f>
        <v>8</v>
      </c>
      <c r="AJ41" s="1"/>
      <c r="AK41" s="3" t="s">
        <v>13</v>
      </c>
      <c r="AL41" s="3">
        <v>0.9</v>
      </c>
      <c r="AM41" s="3">
        <v>0.5</v>
      </c>
      <c r="AN41" s="3">
        <v>0.6</v>
      </c>
      <c r="AO41" s="3">
        <v>0.31</v>
      </c>
      <c r="AP41" s="7">
        <v>690.28393600000004</v>
      </c>
      <c r="AQ41" s="3">
        <v>4.0000000000000001E-3</v>
      </c>
      <c r="AS41" s="3" t="s">
        <v>13</v>
      </c>
      <c r="AT41" s="3">
        <v>0.3</v>
      </c>
      <c r="AU41" s="6">
        <v>681.71991000000003</v>
      </c>
      <c r="AV41" s="3">
        <v>0</v>
      </c>
      <c r="AW41" s="3">
        <f t="shared" si="6"/>
        <v>0.30499999999999999</v>
      </c>
      <c r="AX41" s="3">
        <f>COUNT(AP43:AP45,AP48,AP50,AP52,AP56,AP58:AP59,AP61,AP64,AP66,AP68:AP69)</f>
        <v>14</v>
      </c>
      <c r="AY41" s="3">
        <f>30-AX41</f>
        <v>16</v>
      </c>
      <c r="AZ41" s="3">
        <f>COUNT(AU40:AU42,AU46:AU47,AU49,AU51,AU53:AU55,AU57,AU60,AU62:AU63,AU65,AU67)</f>
        <v>16</v>
      </c>
      <c r="BA41" s="3">
        <f>30-AZ41</f>
        <v>14</v>
      </c>
      <c r="BB41" s="1"/>
      <c r="BC41" s="3" t="s">
        <v>13</v>
      </c>
      <c r="BD41" s="3">
        <v>0.9</v>
      </c>
      <c r="BE41" s="3">
        <v>0.5</v>
      </c>
      <c r="BF41" s="3">
        <v>0.6</v>
      </c>
      <c r="BG41" s="3">
        <v>0.3</v>
      </c>
      <c r="BH41" s="7">
        <v>656.598206</v>
      </c>
      <c r="BI41" s="3">
        <v>3.0000000000000001E-3</v>
      </c>
      <c r="BK41" s="3" t="s">
        <v>13</v>
      </c>
      <c r="BL41" s="3">
        <v>0.31</v>
      </c>
      <c r="BM41" s="6">
        <v>650.00372300000004</v>
      </c>
      <c r="BN41" s="3">
        <v>1E-3</v>
      </c>
      <c r="BO41" s="3">
        <f t="shared" si="7"/>
        <v>0.30499999999999999</v>
      </c>
      <c r="BP41" s="3">
        <f>COUNT(BH40,BH44,BH48:BH51,BH53,BH55:BH56,BH60:BH63,BH65:BH67,BH69)</f>
        <v>17</v>
      </c>
      <c r="BQ41" s="3">
        <f>30-BP41</f>
        <v>13</v>
      </c>
      <c r="BR41" s="3">
        <f>COUNT(BM41:BM43,BM45:BM47,BM52,BM54,BM57:BM59,BM64,BM67:BM68)</f>
        <v>14</v>
      </c>
      <c r="BS41" s="3">
        <f>30-BR41</f>
        <v>16</v>
      </c>
    </row>
    <row r="42" spans="1:71" x14ac:dyDescent="0.3">
      <c r="A42" s="3" t="s">
        <v>14</v>
      </c>
      <c r="B42" s="3">
        <v>0.9</v>
      </c>
      <c r="C42" s="3">
        <v>0.5</v>
      </c>
      <c r="D42" s="3">
        <v>0.6</v>
      </c>
      <c r="E42" s="3">
        <v>0.31</v>
      </c>
      <c r="F42" s="7">
        <v>368.59149200000002</v>
      </c>
      <c r="G42" s="3">
        <v>0</v>
      </c>
      <c r="I42" s="3" t="s">
        <v>14</v>
      </c>
      <c r="J42" s="3">
        <v>0.52</v>
      </c>
      <c r="K42" s="6">
        <v>366.599243</v>
      </c>
      <c r="L42" s="3">
        <v>0</v>
      </c>
      <c r="M42" s="3">
        <f t="shared" si="4"/>
        <v>0.41500000000000004</v>
      </c>
      <c r="N42" s="5"/>
      <c r="O42" s="5"/>
      <c r="P42" s="5"/>
      <c r="Q42" s="5"/>
      <c r="R42" s="1"/>
      <c r="S42" s="3" t="s">
        <v>14</v>
      </c>
      <c r="T42" s="3">
        <v>0.9</v>
      </c>
      <c r="U42" s="3">
        <v>0.5</v>
      </c>
      <c r="V42" s="3">
        <v>0.6</v>
      </c>
      <c r="W42" s="3">
        <v>0.33</v>
      </c>
      <c r="X42" s="7">
        <v>342.37698399999999</v>
      </c>
      <c r="Y42" s="3">
        <v>0</v>
      </c>
      <c r="AA42" s="3" t="s">
        <v>14</v>
      </c>
      <c r="AB42" s="3">
        <v>0.31</v>
      </c>
      <c r="AC42" s="6">
        <v>339.93881199999998</v>
      </c>
      <c r="AD42" s="3">
        <v>0</v>
      </c>
      <c r="AE42" s="3">
        <f t="shared" si="5"/>
        <v>0.32</v>
      </c>
      <c r="AF42" s="5"/>
      <c r="AG42" s="5"/>
      <c r="AH42" s="5"/>
      <c r="AI42" s="5"/>
      <c r="AJ42" s="1"/>
      <c r="AK42" s="3" t="s">
        <v>15</v>
      </c>
      <c r="AL42" s="3">
        <v>0.9</v>
      </c>
      <c r="AM42" s="3">
        <v>0.5</v>
      </c>
      <c r="AN42" s="3">
        <v>0.6</v>
      </c>
      <c r="AO42" s="3">
        <v>0.3</v>
      </c>
      <c r="AP42" s="7">
        <v>731.03247099999999</v>
      </c>
      <c r="AQ42" s="3">
        <v>5.0000000000000001E-3</v>
      </c>
      <c r="AS42" s="3" t="s">
        <v>15</v>
      </c>
      <c r="AT42" s="3">
        <v>0.3</v>
      </c>
      <c r="AU42" s="6">
        <v>725.54077099999995</v>
      </c>
      <c r="AV42" s="3">
        <v>1E-3</v>
      </c>
      <c r="AW42" s="3">
        <f t="shared" si="6"/>
        <v>0.3</v>
      </c>
      <c r="AX42" s="5"/>
      <c r="AY42" s="5"/>
      <c r="AZ42" s="5"/>
      <c r="BA42" s="5"/>
      <c r="BB42" s="1"/>
      <c r="BC42" s="3" t="s">
        <v>15</v>
      </c>
      <c r="BD42" s="3">
        <v>0.9</v>
      </c>
      <c r="BE42" s="3">
        <v>0.5</v>
      </c>
      <c r="BF42" s="3">
        <v>0.6</v>
      </c>
      <c r="BG42" s="3">
        <v>0.33</v>
      </c>
      <c r="BH42" s="7">
        <v>708.47570800000005</v>
      </c>
      <c r="BI42" s="3">
        <v>3.0000000000000001E-3</v>
      </c>
      <c r="BK42" s="3" t="s">
        <v>15</v>
      </c>
      <c r="BL42" s="3">
        <v>0.3</v>
      </c>
      <c r="BM42" s="6">
        <v>704.51531999999997</v>
      </c>
      <c r="BN42" s="3">
        <v>0</v>
      </c>
      <c r="BO42" s="3">
        <f t="shared" si="7"/>
        <v>0.315</v>
      </c>
    </row>
    <row r="43" spans="1:71" x14ac:dyDescent="0.3">
      <c r="A43" s="3" t="s">
        <v>16</v>
      </c>
      <c r="B43" s="3">
        <v>0.9</v>
      </c>
      <c r="C43" s="3">
        <v>0.5</v>
      </c>
      <c r="D43" s="3">
        <v>0.6</v>
      </c>
      <c r="E43" s="3">
        <v>0.3</v>
      </c>
      <c r="F43" s="6">
        <v>394.74597199999999</v>
      </c>
      <c r="G43" s="3">
        <v>0</v>
      </c>
      <c r="I43" s="3" t="s">
        <v>16</v>
      </c>
      <c r="J43" s="3">
        <v>0.54</v>
      </c>
      <c r="K43" s="7">
        <v>396.16082799999998</v>
      </c>
      <c r="L43" s="3">
        <v>0</v>
      </c>
      <c r="M43" s="3">
        <f t="shared" si="4"/>
        <v>0.42000000000000004</v>
      </c>
      <c r="N43" s="5"/>
      <c r="O43" s="5"/>
      <c r="P43" s="5"/>
      <c r="Q43" s="5"/>
      <c r="R43" s="1"/>
      <c r="S43" s="3" t="s">
        <v>16</v>
      </c>
      <c r="T43" s="3">
        <v>0.9</v>
      </c>
      <c r="U43" s="3">
        <v>0.5</v>
      </c>
      <c r="V43" s="3">
        <v>0.6</v>
      </c>
      <c r="W43" s="3">
        <v>0.31</v>
      </c>
      <c r="X43" s="6">
        <v>376.48089599999997</v>
      </c>
      <c r="Y43" s="3">
        <v>0</v>
      </c>
      <c r="AA43" s="3" t="s">
        <v>16</v>
      </c>
      <c r="AB43" s="3">
        <v>0.35</v>
      </c>
      <c r="AC43" s="7">
        <v>378.73822000000001</v>
      </c>
      <c r="AD43" s="3">
        <v>0</v>
      </c>
      <c r="AE43" s="3">
        <f t="shared" si="5"/>
        <v>0.32999999999999996</v>
      </c>
      <c r="AF43" s="5"/>
      <c r="AG43" s="5"/>
      <c r="AH43" s="5"/>
      <c r="AI43" s="5"/>
      <c r="AJ43" s="1"/>
      <c r="AK43" s="3" t="s">
        <v>17</v>
      </c>
      <c r="AL43" s="3">
        <v>0.9</v>
      </c>
      <c r="AM43" s="3">
        <v>0.5</v>
      </c>
      <c r="AN43" s="3">
        <v>0.6</v>
      </c>
      <c r="AO43" s="3">
        <v>0.31</v>
      </c>
      <c r="AP43" s="6">
        <v>718.66632100000004</v>
      </c>
      <c r="AQ43" s="3">
        <v>4.0000000000000001E-3</v>
      </c>
      <c r="AS43" s="3" t="s">
        <v>17</v>
      </c>
      <c r="AT43" s="3">
        <v>0.3</v>
      </c>
      <c r="AU43" s="7">
        <v>725.33905000000004</v>
      </c>
      <c r="AV43" s="3">
        <v>0</v>
      </c>
      <c r="AW43" s="3">
        <f t="shared" si="6"/>
        <v>0.30499999999999999</v>
      </c>
      <c r="AX43" s="5"/>
      <c r="AY43" s="5"/>
      <c r="AZ43" s="5"/>
      <c r="BA43" s="5"/>
      <c r="BB43" s="1"/>
      <c r="BC43" s="3" t="s">
        <v>17</v>
      </c>
      <c r="BD43" s="3">
        <v>0.9</v>
      </c>
      <c r="BE43" s="3">
        <v>0.5</v>
      </c>
      <c r="BF43" s="3">
        <v>0.6</v>
      </c>
      <c r="BG43" s="3">
        <v>0.3</v>
      </c>
      <c r="BH43" s="7">
        <v>699.30798300000004</v>
      </c>
      <c r="BI43" s="3">
        <v>4.0000000000000001E-3</v>
      </c>
      <c r="BK43" s="3" t="s">
        <v>17</v>
      </c>
      <c r="BL43" s="3">
        <v>0.3</v>
      </c>
      <c r="BM43" s="6">
        <v>696.17602499999998</v>
      </c>
      <c r="BN43" s="3">
        <v>0</v>
      </c>
      <c r="BO43" s="3">
        <f t="shared" si="7"/>
        <v>0.3</v>
      </c>
    </row>
    <row r="44" spans="1:71" x14ac:dyDescent="0.3">
      <c r="A44" s="3" t="s">
        <v>18</v>
      </c>
      <c r="B44" s="3">
        <v>0.9</v>
      </c>
      <c r="C44" s="3">
        <v>0.5</v>
      </c>
      <c r="D44" s="3">
        <v>0.6</v>
      </c>
      <c r="E44" s="3">
        <v>0.37</v>
      </c>
      <c r="F44" s="6">
        <v>342.83099399999998</v>
      </c>
      <c r="G44" s="3">
        <v>1E-3</v>
      </c>
      <c r="I44" s="3" t="s">
        <v>18</v>
      </c>
      <c r="J44" s="3">
        <v>0.48</v>
      </c>
      <c r="K44" s="6">
        <v>342.83099399999998</v>
      </c>
      <c r="L44" s="3">
        <v>0</v>
      </c>
      <c r="M44" s="3">
        <f t="shared" si="4"/>
        <v>0.42499999999999999</v>
      </c>
      <c r="N44" s="5"/>
      <c r="O44" s="5"/>
      <c r="P44" s="5"/>
      <c r="Q44" s="5"/>
      <c r="R44" s="1"/>
      <c r="S44" s="3" t="s">
        <v>18</v>
      </c>
      <c r="T44" s="3">
        <v>0.9</v>
      </c>
      <c r="U44" s="3">
        <v>0.5</v>
      </c>
      <c r="V44" s="3">
        <v>0.6</v>
      </c>
      <c r="W44" s="3">
        <v>0.3</v>
      </c>
      <c r="X44" s="7">
        <v>326.76788299999998</v>
      </c>
      <c r="Y44" s="3">
        <v>0</v>
      </c>
      <c r="AA44" s="3" t="s">
        <v>18</v>
      </c>
      <c r="AB44" s="3">
        <v>0.33</v>
      </c>
      <c r="AC44" s="6">
        <v>325.971069</v>
      </c>
      <c r="AD44" s="3">
        <v>0</v>
      </c>
      <c r="AE44" s="3">
        <f t="shared" si="5"/>
        <v>0.315</v>
      </c>
      <c r="AF44" s="5"/>
      <c r="AG44" s="5"/>
      <c r="AH44" s="5"/>
      <c r="AI44" s="5"/>
      <c r="AJ44" s="1"/>
      <c r="AK44" s="3" t="s">
        <v>19</v>
      </c>
      <c r="AL44" s="3">
        <v>0.9</v>
      </c>
      <c r="AM44" s="3">
        <v>0.5</v>
      </c>
      <c r="AN44" s="3">
        <v>0.6</v>
      </c>
      <c r="AO44" s="3">
        <v>0.31</v>
      </c>
      <c r="AP44" s="6">
        <v>754.30816700000003</v>
      </c>
      <c r="AQ44" s="3">
        <v>4.0000000000000001E-3</v>
      </c>
      <c r="AS44" s="3" t="s">
        <v>19</v>
      </c>
      <c r="AT44" s="3">
        <v>0.3</v>
      </c>
      <c r="AU44" s="7">
        <v>756.52459699999997</v>
      </c>
      <c r="AV44" s="3">
        <v>0</v>
      </c>
      <c r="AW44" s="3">
        <f t="shared" si="6"/>
        <v>0.30499999999999999</v>
      </c>
      <c r="AX44" s="5"/>
      <c r="AY44" s="5"/>
      <c r="AZ44" s="5"/>
      <c r="BA44" s="5"/>
      <c r="BB44" s="1"/>
      <c r="BC44" s="3" t="s">
        <v>19</v>
      </c>
      <c r="BD44" s="3">
        <v>0.9</v>
      </c>
      <c r="BE44" s="3">
        <v>0.5</v>
      </c>
      <c r="BF44" s="3">
        <v>0.6</v>
      </c>
      <c r="BG44" s="3">
        <v>0.3</v>
      </c>
      <c r="BH44" s="6">
        <v>725.69781499999999</v>
      </c>
      <c r="BI44" s="3">
        <v>4.0000000000000001E-3</v>
      </c>
      <c r="BK44" s="3" t="s">
        <v>19</v>
      </c>
      <c r="BL44" s="3">
        <v>0.3</v>
      </c>
      <c r="BM44" s="7">
        <v>727.34729000000004</v>
      </c>
      <c r="BN44" s="3">
        <v>0</v>
      </c>
      <c r="BO44" s="3">
        <f t="shared" si="7"/>
        <v>0.3</v>
      </c>
    </row>
    <row r="45" spans="1:71" x14ac:dyDescent="0.3">
      <c r="A45" s="3" t="s">
        <v>20</v>
      </c>
      <c r="B45" s="3">
        <v>0.9</v>
      </c>
      <c r="C45" s="3">
        <v>0.5</v>
      </c>
      <c r="D45" s="3">
        <v>0.6</v>
      </c>
      <c r="E45" s="3">
        <v>0.32</v>
      </c>
      <c r="F45" s="6">
        <v>410.32156400000002</v>
      </c>
      <c r="G45" s="3">
        <v>1E-3</v>
      </c>
      <c r="I45" s="3" t="s">
        <v>20</v>
      </c>
      <c r="J45" s="3">
        <v>0.3</v>
      </c>
      <c r="K45" s="7">
        <v>411.33767699999999</v>
      </c>
      <c r="L45" s="3">
        <v>0</v>
      </c>
      <c r="M45" s="3">
        <f t="shared" si="4"/>
        <v>0.31</v>
      </c>
      <c r="N45" s="5"/>
      <c r="O45" s="5"/>
      <c r="P45" s="5"/>
      <c r="Q45" s="5"/>
      <c r="R45" s="1"/>
      <c r="S45" s="3" t="s">
        <v>20</v>
      </c>
      <c r="T45" s="3">
        <v>0.9</v>
      </c>
      <c r="U45" s="3">
        <v>0.5</v>
      </c>
      <c r="V45" s="3">
        <v>0.6</v>
      </c>
      <c r="W45" s="3">
        <v>0.42</v>
      </c>
      <c r="X45" s="6">
        <v>394.72088600000001</v>
      </c>
      <c r="Y45" s="3">
        <v>1E-3</v>
      </c>
      <c r="AA45" s="3" t="s">
        <v>20</v>
      </c>
      <c r="AB45" s="3">
        <v>0.3</v>
      </c>
      <c r="AC45" s="7">
        <v>395.60012799999998</v>
      </c>
      <c r="AD45" s="3">
        <v>0</v>
      </c>
      <c r="AE45" s="3">
        <f t="shared" si="5"/>
        <v>0.36</v>
      </c>
      <c r="AF45" s="5"/>
      <c r="AG45" s="5"/>
      <c r="AH45" s="5"/>
      <c r="AI45" s="5"/>
      <c r="AJ45" s="1"/>
      <c r="AK45" s="3" t="s">
        <v>21</v>
      </c>
      <c r="AL45" s="3">
        <v>0.9</v>
      </c>
      <c r="AM45" s="3">
        <v>0.5</v>
      </c>
      <c r="AN45" s="3">
        <v>0.6</v>
      </c>
      <c r="AO45" s="3">
        <v>0.32</v>
      </c>
      <c r="AP45" s="6">
        <v>736.50054899999998</v>
      </c>
      <c r="AQ45" s="3">
        <v>4.0000000000000001E-3</v>
      </c>
      <c r="AS45" s="3" t="s">
        <v>21</v>
      </c>
      <c r="AT45" s="3">
        <v>0.3</v>
      </c>
      <c r="AU45" s="7">
        <v>747.33654799999999</v>
      </c>
      <c r="AV45" s="3">
        <v>1E-3</v>
      </c>
      <c r="AW45" s="3">
        <f t="shared" si="6"/>
        <v>0.31</v>
      </c>
      <c r="AX45" s="5"/>
      <c r="AY45" s="5"/>
      <c r="AZ45" s="5"/>
      <c r="BA45" s="5"/>
      <c r="BB45" s="1"/>
      <c r="BC45" s="3" t="s">
        <v>21</v>
      </c>
      <c r="BD45" s="3">
        <v>0.9</v>
      </c>
      <c r="BE45" s="3">
        <v>0.5</v>
      </c>
      <c r="BF45" s="3">
        <v>0.6</v>
      </c>
      <c r="BG45" s="3">
        <v>0.34</v>
      </c>
      <c r="BH45" s="7">
        <v>725.53253199999995</v>
      </c>
      <c r="BI45" s="3">
        <v>4.0000000000000001E-3</v>
      </c>
      <c r="BK45" s="3" t="s">
        <v>21</v>
      </c>
      <c r="BL45" s="3">
        <v>0.32</v>
      </c>
      <c r="BM45" s="6">
        <v>723.251892</v>
      </c>
      <c r="BN45" s="3">
        <v>0</v>
      </c>
      <c r="BO45" s="3">
        <f t="shared" si="7"/>
        <v>0.33</v>
      </c>
    </row>
    <row r="46" spans="1:71" x14ac:dyDescent="0.3">
      <c r="A46" s="3" t="s">
        <v>22</v>
      </c>
      <c r="B46" s="3">
        <v>0.9</v>
      </c>
      <c r="C46" s="3">
        <v>0.5</v>
      </c>
      <c r="D46" s="3">
        <v>0.6</v>
      </c>
      <c r="E46" s="3">
        <v>0.3</v>
      </c>
      <c r="F46" s="7">
        <v>386.12152099999997</v>
      </c>
      <c r="G46" s="3">
        <v>0</v>
      </c>
      <c r="I46" s="3" t="s">
        <v>22</v>
      </c>
      <c r="J46" s="3">
        <v>0.34</v>
      </c>
      <c r="K46" s="6">
        <v>384.762024</v>
      </c>
      <c r="L46" s="3">
        <v>0</v>
      </c>
      <c r="M46" s="3">
        <f t="shared" si="4"/>
        <v>0.32</v>
      </c>
      <c r="N46" s="5"/>
      <c r="O46" s="5"/>
      <c r="P46" s="5"/>
      <c r="Q46" s="5"/>
      <c r="R46" s="1"/>
      <c r="S46" s="3" t="s">
        <v>22</v>
      </c>
      <c r="T46" s="3">
        <v>0.9</v>
      </c>
      <c r="U46" s="3">
        <v>0.5</v>
      </c>
      <c r="V46" s="3">
        <v>0.6</v>
      </c>
      <c r="W46" s="3">
        <v>0.31</v>
      </c>
      <c r="X46" s="6">
        <v>367.874664</v>
      </c>
      <c r="Y46" s="3">
        <v>1E-3</v>
      </c>
      <c r="AA46" s="3" t="s">
        <v>22</v>
      </c>
      <c r="AB46" s="3">
        <v>0.3</v>
      </c>
      <c r="AC46" s="6">
        <v>367.874664</v>
      </c>
      <c r="AD46" s="3">
        <v>0</v>
      </c>
      <c r="AE46" s="3">
        <f t="shared" si="5"/>
        <v>0.30499999999999999</v>
      </c>
      <c r="AF46" s="5"/>
      <c r="AG46" s="5"/>
      <c r="AH46" s="5"/>
      <c r="AI46" s="5"/>
      <c r="AJ46" s="1"/>
      <c r="AK46" s="3" t="s">
        <v>23</v>
      </c>
      <c r="AL46" s="3">
        <v>0.9</v>
      </c>
      <c r="AM46" s="3">
        <v>0.5</v>
      </c>
      <c r="AN46" s="3">
        <v>0.6</v>
      </c>
      <c r="AO46" s="3">
        <v>0.3</v>
      </c>
      <c r="AP46" s="7">
        <v>743.61993399999994</v>
      </c>
      <c r="AQ46" s="3">
        <v>6.0000000000000001E-3</v>
      </c>
      <c r="AS46" s="3" t="s">
        <v>23</v>
      </c>
      <c r="AT46" s="3">
        <v>0.3</v>
      </c>
      <c r="AU46" s="6">
        <v>741.19262700000002</v>
      </c>
      <c r="AV46" s="3">
        <v>0</v>
      </c>
      <c r="AW46" s="3">
        <f t="shared" si="6"/>
        <v>0.3</v>
      </c>
      <c r="AX46" s="5"/>
      <c r="AY46" s="5"/>
      <c r="AZ46" s="5"/>
      <c r="BA46" s="5"/>
      <c r="BB46" s="1"/>
      <c r="BC46" s="3" t="s">
        <v>23</v>
      </c>
      <c r="BD46" s="3">
        <v>0.9</v>
      </c>
      <c r="BE46" s="3">
        <v>0.5</v>
      </c>
      <c r="BF46" s="3">
        <v>0.6</v>
      </c>
      <c r="BG46" s="3">
        <v>0.34</v>
      </c>
      <c r="BH46" s="7">
        <v>724.92687999999998</v>
      </c>
      <c r="BI46" s="3">
        <v>3.0000000000000001E-3</v>
      </c>
      <c r="BK46" s="3" t="s">
        <v>23</v>
      </c>
      <c r="BL46" s="3">
        <v>0.33</v>
      </c>
      <c r="BM46" s="6">
        <v>721.15240500000004</v>
      </c>
      <c r="BN46" s="3">
        <v>1E-3</v>
      </c>
      <c r="BO46" s="3">
        <f t="shared" si="7"/>
        <v>0.33500000000000002</v>
      </c>
    </row>
    <row r="47" spans="1:71" x14ac:dyDescent="0.3">
      <c r="A47" s="3" t="s">
        <v>24</v>
      </c>
      <c r="B47" s="3">
        <v>0.9</v>
      </c>
      <c r="C47" s="3">
        <v>0.5</v>
      </c>
      <c r="D47" s="3">
        <v>0.6</v>
      </c>
      <c r="E47" s="3">
        <v>0.3</v>
      </c>
      <c r="F47" s="8">
        <v>462.46105999999997</v>
      </c>
      <c r="G47" s="3">
        <v>1E-3</v>
      </c>
      <c r="I47" s="3" t="s">
        <v>24</v>
      </c>
      <c r="J47" s="3">
        <v>0.45</v>
      </c>
      <c r="K47" s="6">
        <v>462.35778800000003</v>
      </c>
      <c r="L47" s="3">
        <v>0</v>
      </c>
      <c r="M47" s="3">
        <f t="shared" si="4"/>
        <v>0.375</v>
      </c>
      <c r="N47" s="5"/>
      <c r="O47" s="5"/>
      <c r="P47" s="5"/>
      <c r="Q47" s="5"/>
      <c r="R47" s="1"/>
      <c r="S47" s="3" t="s">
        <v>24</v>
      </c>
      <c r="T47" s="3">
        <v>0.9</v>
      </c>
      <c r="U47" s="3">
        <v>0.5</v>
      </c>
      <c r="V47" s="3">
        <v>0.6</v>
      </c>
      <c r="W47" s="3">
        <v>0.32</v>
      </c>
      <c r="X47" s="6">
        <v>427.68786599999999</v>
      </c>
      <c r="Y47" s="3">
        <v>0</v>
      </c>
      <c r="AA47" s="3" t="s">
        <v>24</v>
      </c>
      <c r="AB47" s="3">
        <v>0.39</v>
      </c>
      <c r="AC47" s="7">
        <v>430.80294800000001</v>
      </c>
      <c r="AD47" s="3">
        <v>0</v>
      </c>
      <c r="AE47" s="3">
        <f t="shared" si="5"/>
        <v>0.35499999999999998</v>
      </c>
      <c r="AF47" s="5"/>
      <c r="AG47" s="5"/>
      <c r="AH47" s="5"/>
      <c r="AI47" s="5"/>
      <c r="AJ47" s="1"/>
      <c r="AK47" s="3" t="s">
        <v>25</v>
      </c>
      <c r="AL47" s="3">
        <v>0.9</v>
      </c>
      <c r="AM47" s="3">
        <v>0.5</v>
      </c>
      <c r="AN47" s="3">
        <v>0.6</v>
      </c>
      <c r="AO47" s="3">
        <v>0.3</v>
      </c>
      <c r="AP47" s="7">
        <v>772.68701199999998</v>
      </c>
      <c r="AQ47" s="3">
        <v>6.0000000000000001E-3</v>
      </c>
      <c r="AS47" s="3" t="s">
        <v>25</v>
      </c>
      <c r="AT47" s="3">
        <v>0.32</v>
      </c>
      <c r="AU47" s="6">
        <v>759.60998500000005</v>
      </c>
      <c r="AV47" s="3">
        <v>0</v>
      </c>
      <c r="AW47" s="3">
        <f t="shared" si="6"/>
        <v>0.31</v>
      </c>
      <c r="AX47" s="5"/>
      <c r="AY47" s="5"/>
      <c r="AZ47" s="5"/>
      <c r="BA47" s="5"/>
      <c r="BB47" s="1"/>
      <c r="BC47" s="3" t="s">
        <v>25</v>
      </c>
      <c r="BD47" s="3">
        <v>0.9</v>
      </c>
      <c r="BE47" s="3">
        <v>0.5</v>
      </c>
      <c r="BF47" s="3">
        <v>0.6</v>
      </c>
      <c r="BG47" s="3">
        <v>0.31</v>
      </c>
      <c r="BH47" s="7">
        <v>742.07250999999997</v>
      </c>
      <c r="BI47" s="3">
        <v>3.0000000000000001E-3</v>
      </c>
      <c r="BK47" s="3" t="s">
        <v>25</v>
      </c>
      <c r="BL47" s="3">
        <v>0.3</v>
      </c>
      <c r="BM47" s="6">
        <v>738.28765899999996</v>
      </c>
      <c r="BN47" s="3">
        <v>1E-3</v>
      </c>
      <c r="BO47" s="3">
        <f t="shared" si="7"/>
        <v>0.30499999999999999</v>
      </c>
    </row>
    <row r="48" spans="1:71" x14ac:dyDescent="0.3">
      <c r="A48" s="3" t="s">
        <v>26</v>
      </c>
      <c r="B48" s="3">
        <v>0.9</v>
      </c>
      <c r="C48" s="3">
        <v>0.5</v>
      </c>
      <c r="D48" s="3">
        <v>0.6</v>
      </c>
      <c r="E48" s="3">
        <v>0.32</v>
      </c>
      <c r="F48" s="6">
        <v>415.95513899999997</v>
      </c>
      <c r="G48" s="3">
        <v>1E-3</v>
      </c>
      <c r="I48" s="3" t="s">
        <v>26</v>
      </c>
      <c r="J48" s="3">
        <v>0.36</v>
      </c>
      <c r="K48" s="7">
        <v>416.99169899999998</v>
      </c>
      <c r="L48" s="3">
        <v>0</v>
      </c>
      <c r="M48" s="3">
        <f t="shared" si="4"/>
        <v>0.33999999999999997</v>
      </c>
      <c r="N48" s="5"/>
      <c r="O48" s="5"/>
      <c r="P48" s="5"/>
      <c r="Q48" s="5"/>
      <c r="R48" s="1"/>
      <c r="S48" s="3" t="s">
        <v>26</v>
      </c>
      <c r="T48" s="3">
        <v>0.9</v>
      </c>
      <c r="U48" s="3">
        <v>0.5</v>
      </c>
      <c r="V48" s="3">
        <v>0.6</v>
      </c>
      <c r="W48" s="3">
        <v>0.39</v>
      </c>
      <c r="X48" s="7">
        <v>404.13464399999998</v>
      </c>
      <c r="Y48" s="3">
        <v>0</v>
      </c>
      <c r="AA48" s="3" t="s">
        <v>26</v>
      </c>
      <c r="AB48" s="3">
        <v>0.37</v>
      </c>
      <c r="AC48" s="6">
        <v>397.33178700000002</v>
      </c>
      <c r="AD48" s="3">
        <v>0</v>
      </c>
      <c r="AE48" s="3">
        <f t="shared" si="5"/>
        <v>0.38</v>
      </c>
      <c r="AF48" s="5"/>
      <c r="AG48" s="5"/>
      <c r="AH48" s="5"/>
      <c r="AI48" s="5"/>
      <c r="AJ48" s="1"/>
      <c r="AK48" s="3" t="s">
        <v>27</v>
      </c>
      <c r="AL48" s="3">
        <v>0.9</v>
      </c>
      <c r="AM48" s="3">
        <v>0.5</v>
      </c>
      <c r="AN48" s="3">
        <v>0.6</v>
      </c>
      <c r="AO48" s="3">
        <v>0.31</v>
      </c>
      <c r="AP48" s="6">
        <v>737.00176999999996</v>
      </c>
      <c r="AQ48" s="3">
        <v>0.01</v>
      </c>
      <c r="AS48" s="3" t="s">
        <v>27</v>
      </c>
      <c r="AT48" s="3">
        <v>0.33</v>
      </c>
      <c r="AU48" s="7">
        <v>747.06225600000005</v>
      </c>
      <c r="AV48" s="3">
        <v>1E-3</v>
      </c>
      <c r="AW48" s="3">
        <f t="shared" si="6"/>
        <v>0.32</v>
      </c>
      <c r="AX48" s="5"/>
      <c r="AY48" s="5"/>
      <c r="AZ48" s="5"/>
      <c r="BA48" s="5"/>
      <c r="BB48" s="1"/>
      <c r="BC48" s="3" t="s">
        <v>27</v>
      </c>
      <c r="BD48" s="3">
        <v>0.9</v>
      </c>
      <c r="BE48" s="3">
        <v>0.5</v>
      </c>
      <c r="BF48" s="3">
        <v>0.6</v>
      </c>
      <c r="BG48" s="3">
        <v>0.3</v>
      </c>
      <c r="BH48" s="6">
        <v>685.56707800000004</v>
      </c>
      <c r="BI48" s="3">
        <v>4.0000000000000001E-3</v>
      </c>
      <c r="BK48" s="3" t="s">
        <v>27</v>
      </c>
      <c r="BL48" s="3">
        <v>0.35</v>
      </c>
      <c r="BM48" s="7">
        <v>712.20159899999999</v>
      </c>
      <c r="BN48" s="3">
        <v>0</v>
      </c>
      <c r="BO48" s="3">
        <f t="shared" si="7"/>
        <v>0.32499999999999996</v>
      </c>
    </row>
    <row r="49" spans="1:67" x14ac:dyDescent="0.3">
      <c r="A49" s="3" t="s">
        <v>28</v>
      </c>
      <c r="B49" s="3">
        <v>0.9</v>
      </c>
      <c r="C49" s="3">
        <v>0.5</v>
      </c>
      <c r="D49" s="3">
        <v>0.6</v>
      </c>
      <c r="E49" s="3">
        <v>0.41</v>
      </c>
      <c r="F49" s="6">
        <v>342.79367100000002</v>
      </c>
      <c r="G49" s="3">
        <v>1E-3</v>
      </c>
      <c r="I49" s="3" t="s">
        <v>28</v>
      </c>
      <c r="J49" s="3">
        <v>0.3</v>
      </c>
      <c r="K49" s="6">
        <v>342.79367100000002</v>
      </c>
      <c r="L49" s="3">
        <v>0</v>
      </c>
      <c r="M49" s="3">
        <f t="shared" si="4"/>
        <v>0.35499999999999998</v>
      </c>
      <c r="N49" s="5"/>
      <c r="O49" s="5"/>
      <c r="P49" s="5"/>
      <c r="Q49" s="5"/>
      <c r="R49" s="1"/>
      <c r="S49" s="3" t="s">
        <v>28</v>
      </c>
      <c r="T49" s="3">
        <v>0.9</v>
      </c>
      <c r="U49" s="3">
        <v>0.5</v>
      </c>
      <c r="V49" s="3">
        <v>0.6</v>
      </c>
      <c r="W49" s="3">
        <v>0.31</v>
      </c>
      <c r="X49" s="6">
        <v>321.178314</v>
      </c>
      <c r="Y49" s="3">
        <v>0</v>
      </c>
      <c r="AA49" s="3" t="s">
        <v>28</v>
      </c>
      <c r="AB49" s="3">
        <v>0.4</v>
      </c>
      <c r="AC49" s="8">
        <v>321.49624599999999</v>
      </c>
      <c r="AD49" s="3">
        <v>0</v>
      </c>
      <c r="AE49" s="3">
        <f t="shared" si="5"/>
        <v>0.35499999999999998</v>
      </c>
      <c r="AF49" s="5"/>
      <c r="AG49" s="5"/>
      <c r="AH49" s="5"/>
      <c r="AI49" s="5"/>
      <c r="AJ49" s="1"/>
      <c r="AK49" s="3" t="s">
        <v>29</v>
      </c>
      <c r="AL49" s="3">
        <v>0.9</v>
      </c>
      <c r="AM49" s="3">
        <v>0.5</v>
      </c>
      <c r="AN49" s="3">
        <v>0.6</v>
      </c>
      <c r="AO49" s="3">
        <v>0.33</v>
      </c>
      <c r="AP49" s="7">
        <v>764.25109899999995</v>
      </c>
      <c r="AQ49" s="3">
        <v>3.0000000000000001E-3</v>
      </c>
      <c r="AS49" s="3" t="s">
        <v>29</v>
      </c>
      <c r="AT49" s="3">
        <v>0.3</v>
      </c>
      <c r="AU49" s="6">
        <v>758.97326699999996</v>
      </c>
      <c r="AV49" s="3">
        <v>0</v>
      </c>
      <c r="AW49" s="3">
        <f t="shared" si="6"/>
        <v>0.315</v>
      </c>
      <c r="AX49" s="5"/>
      <c r="AY49" s="5"/>
      <c r="AZ49" s="5"/>
      <c r="BA49" s="5"/>
      <c r="BB49" s="1"/>
      <c r="BC49" s="3" t="s">
        <v>29</v>
      </c>
      <c r="BD49" s="3">
        <v>0.9</v>
      </c>
      <c r="BE49" s="3">
        <v>0.5</v>
      </c>
      <c r="BF49" s="3">
        <v>0.6</v>
      </c>
      <c r="BG49" s="3">
        <v>0.3</v>
      </c>
      <c r="BH49" s="6">
        <v>723.33148200000005</v>
      </c>
      <c r="BI49" s="3">
        <v>4.0000000000000001E-3</v>
      </c>
      <c r="BK49" s="3" t="s">
        <v>29</v>
      </c>
      <c r="BL49" s="3">
        <v>0.41</v>
      </c>
      <c r="BM49" s="7">
        <v>732.09606900000006</v>
      </c>
      <c r="BN49" s="3">
        <v>0</v>
      </c>
      <c r="BO49" s="3">
        <f t="shared" si="7"/>
        <v>0.35499999999999998</v>
      </c>
    </row>
    <row r="50" spans="1:67" x14ac:dyDescent="0.3">
      <c r="A50" s="3" t="s">
        <v>30</v>
      </c>
      <c r="B50" s="3">
        <v>0.9</v>
      </c>
      <c r="C50" s="3">
        <v>0.5</v>
      </c>
      <c r="D50" s="3">
        <v>0.6</v>
      </c>
      <c r="E50" s="3">
        <v>0.4</v>
      </c>
      <c r="F50" s="6">
        <v>530.35003700000004</v>
      </c>
      <c r="G50" s="3">
        <v>0</v>
      </c>
      <c r="I50" s="3" t="s">
        <v>30</v>
      </c>
      <c r="J50" s="3">
        <v>0.33</v>
      </c>
      <c r="K50" s="7">
        <v>545.59436000000005</v>
      </c>
      <c r="L50" s="3">
        <v>0</v>
      </c>
      <c r="M50" s="3">
        <f t="shared" si="4"/>
        <v>0.36499999999999999</v>
      </c>
      <c r="N50" s="5"/>
      <c r="O50" s="5"/>
      <c r="P50" s="5"/>
      <c r="Q50" s="5"/>
      <c r="R50" s="1"/>
      <c r="S50" s="3" t="s">
        <v>30</v>
      </c>
      <c r="T50" s="3">
        <v>0.9</v>
      </c>
      <c r="U50" s="3">
        <v>0.5</v>
      </c>
      <c r="V50" s="3">
        <v>0.6</v>
      </c>
      <c r="W50" s="3">
        <v>0.47</v>
      </c>
      <c r="X50" s="6">
        <v>521.48571800000002</v>
      </c>
      <c r="Y50" s="3">
        <v>1E-3</v>
      </c>
      <c r="AA50" s="3" t="s">
        <v>30</v>
      </c>
      <c r="AB50" s="3">
        <v>0.39</v>
      </c>
      <c r="AC50" s="7">
        <v>525.40893600000004</v>
      </c>
      <c r="AD50" s="3">
        <v>0</v>
      </c>
      <c r="AE50" s="3">
        <f t="shared" si="5"/>
        <v>0.43</v>
      </c>
      <c r="AF50" s="5"/>
      <c r="AG50" s="5"/>
      <c r="AH50" s="5"/>
      <c r="AI50" s="5"/>
      <c r="AJ50" s="1"/>
      <c r="AK50" s="3" t="s">
        <v>31</v>
      </c>
      <c r="AL50" s="3">
        <v>0.9</v>
      </c>
      <c r="AM50" s="3">
        <v>0.5</v>
      </c>
      <c r="AN50" s="3">
        <v>0.6</v>
      </c>
      <c r="AO50" s="3">
        <v>0.3</v>
      </c>
      <c r="AP50" s="6">
        <v>828.64166299999999</v>
      </c>
      <c r="AQ50" s="3">
        <v>0.01</v>
      </c>
      <c r="AS50" s="3" t="s">
        <v>31</v>
      </c>
      <c r="AT50" s="3">
        <v>0.31</v>
      </c>
      <c r="AU50" s="7">
        <v>863.99310300000002</v>
      </c>
      <c r="AV50" s="3">
        <v>0</v>
      </c>
      <c r="AW50" s="3">
        <f t="shared" si="6"/>
        <v>0.30499999999999999</v>
      </c>
      <c r="AX50" s="5"/>
      <c r="AY50" s="5"/>
      <c r="AZ50" s="5"/>
      <c r="BA50" s="5"/>
      <c r="BB50" s="1"/>
      <c r="BC50" s="3" t="s">
        <v>31</v>
      </c>
      <c r="BD50" s="3">
        <v>0.9</v>
      </c>
      <c r="BE50" s="3">
        <v>0.5</v>
      </c>
      <c r="BF50" s="3">
        <v>0.6</v>
      </c>
      <c r="BG50" s="3">
        <v>0.31</v>
      </c>
      <c r="BH50" s="6">
        <v>853.11639400000001</v>
      </c>
      <c r="BI50" s="3">
        <v>5.0000000000000001E-3</v>
      </c>
      <c r="BK50" s="3" t="s">
        <v>31</v>
      </c>
      <c r="BL50" s="3">
        <v>0.31</v>
      </c>
      <c r="BM50" s="7">
        <v>858.05578600000001</v>
      </c>
      <c r="BN50" s="3">
        <v>0</v>
      </c>
      <c r="BO50" s="3">
        <f t="shared" si="7"/>
        <v>0.31</v>
      </c>
    </row>
    <row r="51" spans="1:67" x14ac:dyDescent="0.3">
      <c r="A51" s="3" t="s">
        <v>32</v>
      </c>
      <c r="B51" s="3">
        <v>0.9</v>
      </c>
      <c r="C51" s="3">
        <v>0.5</v>
      </c>
      <c r="D51" s="3">
        <v>0.6</v>
      </c>
      <c r="E51" s="3">
        <v>0.36</v>
      </c>
      <c r="F51" s="6">
        <v>474.58337399999999</v>
      </c>
      <c r="G51" s="3">
        <v>1E-3</v>
      </c>
      <c r="I51" s="3" t="s">
        <v>32</v>
      </c>
      <c r="J51" s="3">
        <v>0.32</v>
      </c>
      <c r="K51" s="6">
        <v>474.58337399999999</v>
      </c>
      <c r="L51" s="3">
        <v>0</v>
      </c>
      <c r="M51" s="3">
        <f t="shared" si="4"/>
        <v>0.33999999999999997</v>
      </c>
      <c r="N51" s="5"/>
      <c r="O51" s="5"/>
      <c r="P51" s="5"/>
      <c r="Q51" s="5"/>
      <c r="R51" s="1"/>
      <c r="S51" s="3" t="s">
        <v>32</v>
      </c>
      <c r="T51" s="3">
        <v>0.9</v>
      </c>
      <c r="U51" s="3">
        <v>0.5</v>
      </c>
      <c r="V51" s="3">
        <v>0.6</v>
      </c>
      <c r="W51" s="3">
        <v>0.34</v>
      </c>
      <c r="X51" s="8">
        <v>448.473206</v>
      </c>
      <c r="Y51" s="3">
        <v>0</v>
      </c>
      <c r="AA51" s="3" t="s">
        <v>32</v>
      </c>
      <c r="AB51" s="3">
        <v>0.33</v>
      </c>
      <c r="AC51" s="6">
        <v>448.07614100000001</v>
      </c>
      <c r="AD51" s="3">
        <v>0</v>
      </c>
      <c r="AE51" s="3">
        <f t="shared" si="5"/>
        <v>0.33500000000000002</v>
      </c>
      <c r="AF51" s="5"/>
      <c r="AG51" s="5"/>
      <c r="AH51" s="5"/>
      <c r="AI51" s="5"/>
      <c r="AJ51" s="1"/>
      <c r="AK51" s="3" t="s">
        <v>33</v>
      </c>
      <c r="AL51" s="3">
        <v>0.9</v>
      </c>
      <c r="AM51" s="3">
        <v>0.5</v>
      </c>
      <c r="AN51" s="3">
        <v>0.6</v>
      </c>
      <c r="AO51" s="3">
        <v>0.32</v>
      </c>
      <c r="AP51" s="7">
        <v>791.49188200000003</v>
      </c>
      <c r="AQ51" s="3">
        <v>4.0000000000000001E-3</v>
      </c>
      <c r="AS51" s="3" t="s">
        <v>33</v>
      </c>
      <c r="AT51" s="3">
        <v>0.3</v>
      </c>
      <c r="AU51" s="6">
        <v>790.11236599999995</v>
      </c>
      <c r="AV51" s="3">
        <v>1E-3</v>
      </c>
      <c r="AW51" s="3">
        <f t="shared" si="6"/>
        <v>0.31</v>
      </c>
      <c r="AX51" s="5"/>
      <c r="AY51" s="5"/>
      <c r="AZ51" s="5"/>
      <c r="BA51" s="5"/>
      <c r="BB51" s="1"/>
      <c r="BC51" s="3" t="s">
        <v>33</v>
      </c>
      <c r="BD51" s="3">
        <v>0.9</v>
      </c>
      <c r="BE51" s="3">
        <v>0.5</v>
      </c>
      <c r="BF51" s="3">
        <v>0.6</v>
      </c>
      <c r="BG51" s="3">
        <v>0.3</v>
      </c>
      <c r="BH51" s="6">
        <v>753.53216599999996</v>
      </c>
      <c r="BI51" s="3">
        <v>6.0000000000000001E-3</v>
      </c>
      <c r="BK51" s="3" t="s">
        <v>33</v>
      </c>
      <c r="BL51" s="3">
        <v>0.3</v>
      </c>
      <c r="BM51" s="7">
        <v>798.50579800000003</v>
      </c>
      <c r="BN51" s="3">
        <v>0</v>
      </c>
      <c r="BO51" s="3">
        <f t="shared" si="7"/>
        <v>0.3</v>
      </c>
    </row>
    <row r="52" spans="1:67" x14ac:dyDescent="0.3">
      <c r="A52" s="3" t="s">
        <v>34</v>
      </c>
      <c r="B52" s="3">
        <v>0.9</v>
      </c>
      <c r="C52" s="3">
        <v>0.5</v>
      </c>
      <c r="D52" s="3">
        <v>0.6</v>
      </c>
      <c r="E52" s="3">
        <v>0.57999999999999996</v>
      </c>
      <c r="F52" s="6">
        <v>410.641052</v>
      </c>
      <c r="G52" s="3">
        <v>1E-3</v>
      </c>
      <c r="I52" s="3" t="s">
        <v>34</v>
      </c>
      <c r="J52" s="3">
        <v>0.3</v>
      </c>
      <c r="K52" s="7">
        <v>412.13851899999997</v>
      </c>
      <c r="L52" s="3">
        <v>0</v>
      </c>
      <c r="M52" s="3">
        <f t="shared" si="4"/>
        <v>0.43999999999999995</v>
      </c>
      <c r="N52" s="5"/>
      <c r="O52" s="5"/>
      <c r="P52" s="5"/>
      <c r="Q52" s="5"/>
      <c r="R52" s="1"/>
      <c r="S52" s="3" t="s">
        <v>34</v>
      </c>
      <c r="T52" s="3">
        <v>0.9</v>
      </c>
      <c r="U52" s="3">
        <v>0.5</v>
      </c>
      <c r="V52" s="3">
        <v>0.6</v>
      </c>
      <c r="W52" s="3">
        <v>0.3</v>
      </c>
      <c r="X52" s="7">
        <v>403.30395499999997</v>
      </c>
      <c r="Y52" s="3">
        <v>1E-3</v>
      </c>
      <c r="AA52" s="3" t="s">
        <v>34</v>
      </c>
      <c r="AB52" s="3">
        <v>0.33</v>
      </c>
      <c r="AC52" s="6">
        <v>402.77377300000001</v>
      </c>
      <c r="AD52" s="3">
        <v>0</v>
      </c>
      <c r="AE52" s="3">
        <f t="shared" si="5"/>
        <v>0.315</v>
      </c>
      <c r="AF52" s="5"/>
      <c r="AG52" s="5"/>
      <c r="AH52" s="5"/>
      <c r="AI52" s="5"/>
      <c r="AJ52" s="1"/>
      <c r="AK52" s="3" t="s">
        <v>35</v>
      </c>
      <c r="AL52" s="3">
        <v>0.9</v>
      </c>
      <c r="AM52" s="3">
        <v>0.5</v>
      </c>
      <c r="AN52" s="3">
        <v>0.6</v>
      </c>
      <c r="AO52" s="3">
        <v>0.31</v>
      </c>
      <c r="AP52" s="6">
        <v>823.37982199999999</v>
      </c>
      <c r="AQ52" s="3">
        <v>8.0000000000000002E-3</v>
      </c>
      <c r="AS52" s="3" t="s">
        <v>35</v>
      </c>
      <c r="AT52" s="3">
        <v>0.31</v>
      </c>
      <c r="AU52" s="7">
        <v>827.865723</v>
      </c>
      <c r="AV52" s="3">
        <v>0</v>
      </c>
      <c r="AW52" s="3">
        <f t="shared" si="6"/>
        <v>0.31</v>
      </c>
      <c r="AX52" s="5"/>
      <c r="AY52" s="5"/>
      <c r="AZ52" s="5"/>
      <c r="BA52" s="5"/>
      <c r="BB52" s="1"/>
      <c r="BC52" s="3" t="s">
        <v>35</v>
      </c>
      <c r="BD52" s="3">
        <v>0.9</v>
      </c>
      <c r="BE52" s="3">
        <v>0.5</v>
      </c>
      <c r="BF52" s="3">
        <v>0.6</v>
      </c>
      <c r="BG52" s="3">
        <v>0.36</v>
      </c>
      <c r="BH52" s="7">
        <v>827.339966</v>
      </c>
      <c r="BI52" s="3">
        <v>4.0000000000000001E-3</v>
      </c>
      <c r="BK52" s="3" t="s">
        <v>35</v>
      </c>
      <c r="BL52" s="3">
        <v>0.33</v>
      </c>
      <c r="BM52" s="6">
        <v>807.62707499999999</v>
      </c>
      <c r="BN52" s="3">
        <v>0</v>
      </c>
      <c r="BO52" s="3">
        <f t="shared" si="7"/>
        <v>0.34499999999999997</v>
      </c>
    </row>
    <row r="53" spans="1:67" x14ac:dyDescent="0.3">
      <c r="A53" s="3" t="s">
        <v>36</v>
      </c>
      <c r="B53" s="3">
        <v>0.9</v>
      </c>
      <c r="C53" s="3">
        <v>0.5</v>
      </c>
      <c r="D53" s="3">
        <v>0.6</v>
      </c>
      <c r="E53" s="3">
        <v>0.3</v>
      </c>
      <c r="F53" s="7">
        <v>519.61700399999995</v>
      </c>
      <c r="G53" s="3">
        <v>0</v>
      </c>
      <c r="I53" s="3" t="s">
        <v>36</v>
      </c>
      <c r="J53" s="3">
        <v>0.39</v>
      </c>
      <c r="K53" s="6">
        <v>517.68591300000003</v>
      </c>
      <c r="L53" s="3">
        <v>0</v>
      </c>
      <c r="M53" s="3">
        <f t="shared" si="4"/>
        <v>0.34499999999999997</v>
      </c>
      <c r="N53" s="5"/>
      <c r="O53" s="5"/>
      <c r="P53" s="5"/>
      <c r="Q53" s="5"/>
      <c r="R53" s="1"/>
      <c r="S53" s="3" t="s">
        <v>36</v>
      </c>
      <c r="T53" s="3">
        <v>0.9</v>
      </c>
      <c r="U53" s="3">
        <v>0.5</v>
      </c>
      <c r="V53" s="3">
        <v>0.6</v>
      </c>
      <c r="W53" s="3">
        <v>0.36</v>
      </c>
      <c r="X53" s="7">
        <v>498.56735200000003</v>
      </c>
      <c r="Y53" s="3">
        <v>1E-3</v>
      </c>
      <c r="AA53" s="3" t="s">
        <v>36</v>
      </c>
      <c r="AB53" s="3">
        <v>0.33</v>
      </c>
      <c r="AC53" s="6">
        <v>491.76684599999999</v>
      </c>
      <c r="AD53" s="3">
        <v>0</v>
      </c>
      <c r="AE53" s="3">
        <f t="shared" si="5"/>
        <v>0.34499999999999997</v>
      </c>
      <c r="AF53" s="5"/>
      <c r="AG53" s="5"/>
      <c r="AH53" s="5"/>
      <c r="AI53" s="5"/>
      <c r="AJ53" s="1"/>
      <c r="AK53" s="3" t="s">
        <v>37</v>
      </c>
      <c r="AL53" s="3">
        <v>0.9</v>
      </c>
      <c r="AM53" s="3">
        <v>0.5</v>
      </c>
      <c r="AN53" s="3">
        <v>0.6</v>
      </c>
      <c r="AO53" s="3">
        <v>0.31</v>
      </c>
      <c r="AP53" s="7">
        <v>831.66473399999995</v>
      </c>
      <c r="AQ53" s="3">
        <v>4.0000000000000001E-3</v>
      </c>
      <c r="AS53" s="3" t="s">
        <v>37</v>
      </c>
      <c r="AT53" s="3">
        <v>0.3</v>
      </c>
      <c r="AU53" s="6">
        <v>801.88629200000003</v>
      </c>
      <c r="AV53" s="3">
        <v>1E-3</v>
      </c>
      <c r="AW53" s="3">
        <f t="shared" si="6"/>
        <v>0.30499999999999999</v>
      </c>
      <c r="AX53" s="5"/>
      <c r="AY53" s="5"/>
      <c r="AZ53" s="5"/>
      <c r="BA53" s="5"/>
      <c r="BB53" s="1"/>
      <c r="BC53" s="3" t="s">
        <v>37</v>
      </c>
      <c r="BD53" s="3">
        <v>0.9</v>
      </c>
      <c r="BE53" s="3">
        <v>0.5</v>
      </c>
      <c r="BF53" s="3">
        <v>0.6</v>
      </c>
      <c r="BG53" s="3">
        <v>0.32</v>
      </c>
      <c r="BH53" s="6">
        <v>777.042419</v>
      </c>
      <c r="BI53" s="3">
        <v>4.0000000000000001E-3</v>
      </c>
      <c r="BK53" s="3" t="s">
        <v>37</v>
      </c>
      <c r="BL53" s="3">
        <v>0.31</v>
      </c>
      <c r="BM53" s="7">
        <v>804.18383800000004</v>
      </c>
      <c r="BN53" s="3">
        <v>0</v>
      </c>
      <c r="BO53" s="3">
        <f t="shared" si="7"/>
        <v>0.315</v>
      </c>
    </row>
    <row r="54" spans="1:67" x14ac:dyDescent="0.3">
      <c r="A54" s="3" t="s">
        <v>38</v>
      </c>
      <c r="B54" s="3">
        <v>0.9</v>
      </c>
      <c r="C54" s="3">
        <v>0.5</v>
      </c>
      <c r="D54" s="3">
        <v>0.6</v>
      </c>
      <c r="E54" s="3">
        <v>0.33</v>
      </c>
      <c r="F54" s="6">
        <v>460.70144699999997</v>
      </c>
      <c r="G54" s="3">
        <v>1E-3</v>
      </c>
      <c r="I54" s="3" t="s">
        <v>38</v>
      </c>
      <c r="J54" s="3">
        <v>0.41</v>
      </c>
      <c r="K54" s="7">
        <v>466.56182899999999</v>
      </c>
      <c r="L54" s="3">
        <v>0</v>
      </c>
      <c r="M54" s="3">
        <f t="shared" si="4"/>
        <v>0.37</v>
      </c>
      <c r="N54" s="5"/>
      <c r="O54" s="5"/>
      <c r="P54" s="5"/>
      <c r="Q54" s="5"/>
      <c r="R54" s="1"/>
      <c r="S54" s="3" t="s">
        <v>38</v>
      </c>
      <c r="T54" s="3">
        <v>0.9</v>
      </c>
      <c r="U54" s="3">
        <v>0.5</v>
      </c>
      <c r="V54" s="3">
        <v>0.6</v>
      </c>
      <c r="W54" s="3">
        <v>0.35</v>
      </c>
      <c r="X54" s="7">
        <v>445.48510700000003</v>
      </c>
      <c r="Y54" s="3">
        <v>1E-3</v>
      </c>
      <c r="AA54" s="3" t="s">
        <v>38</v>
      </c>
      <c r="AB54" s="3">
        <v>0.38</v>
      </c>
      <c r="AC54" s="6">
        <v>433.08871499999998</v>
      </c>
      <c r="AD54" s="3">
        <v>0</v>
      </c>
      <c r="AE54" s="3">
        <f t="shared" si="5"/>
        <v>0.36499999999999999</v>
      </c>
      <c r="AF54" s="5"/>
      <c r="AG54" s="5"/>
      <c r="AH54" s="5"/>
      <c r="AI54" s="5"/>
      <c r="AJ54" s="1"/>
      <c r="AK54" s="3" t="s">
        <v>39</v>
      </c>
      <c r="AL54" s="3">
        <v>0.9</v>
      </c>
      <c r="AM54" s="3">
        <v>0.5</v>
      </c>
      <c r="AN54" s="3">
        <v>0.6</v>
      </c>
      <c r="AO54" s="3">
        <v>0.3</v>
      </c>
      <c r="AP54" s="7">
        <v>813.07049600000005</v>
      </c>
      <c r="AQ54" s="3">
        <v>5.0000000000000001E-3</v>
      </c>
      <c r="AS54" s="3" t="s">
        <v>39</v>
      </c>
      <c r="AT54" s="3">
        <v>0.3</v>
      </c>
      <c r="AU54" s="6">
        <v>801.79559300000005</v>
      </c>
      <c r="AV54" s="3">
        <v>0</v>
      </c>
      <c r="AW54" s="3">
        <f t="shared" si="6"/>
        <v>0.3</v>
      </c>
      <c r="AX54" s="5"/>
      <c r="AY54" s="5"/>
      <c r="AZ54" s="5"/>
      <c r="BA54" s="5"/>
      <c r="BB54" s="1"/>
      <c r="BC54" s="3" t="s">
        <v>39</v>
      </c>
      <c r="BD54" s="3">
        <v>0.9</v>
      </c>
      <c r="BE54" s="3">
        <v>0.5</v>
      </c>
      <c r="BF54" s="3">
        <v>0.6</v>
      </c>
      <c r="BG54" s="3">
        <v>0.3</v>
      </c>
      <c r="BH54" s="7">
        <v>797.18023700000003</v>
      </c>
      <c r="BI54" s="3">
        <v>5.0000000000000001E-3</v>
      </c>
      <c r="BK54" s="3" t="s">
        <v>39</v>
      </c>
      <c r="BL54" s="3">
        <v>0.36</v>
      </c>
      <c r="BM54" s="6">
        <v>789.51934800000004</v>
      </c>
      <c r="BN54" s="3">
        <v>1E-3</v>
      </c>
      <c r="BO54" s="3">
        <f t="shared" si="7"/>
        <v>0.32999999999999996</v>
      </c>
    </row>
    <row r="55" spans="1:67" x14ac:dyDescent="0.3">
      <c r="A55" s="3" t="s">
        <v>40</v>
      </c>
      <c r="B55" s="3">
        <v>0.9</v>
      </c>
      <c r="C55" s="3">
        <v>0.5</v>
      </c>
      <c r="D55" s="3">
        <v>0.6</v>
      </c>
      <c r="E55" s="3">
        <v>0.39</v>
      </c>
      <c r="F55" s="6">
        <v>402.25769000000003</v>
      </c>
      <c r="G55" s="3">
        <v>0</v>
      </c>
      <c r="I55" s="3" t="s">
        <v>40</v>
      </c>
      <c r="J55" s="3">
        <v>0.31</v>
      </c>
      <c r="K55" s="6">
        <v>402.25769000000003</v>
      </c>
      <c r="L55" s="3">
        <v>0</v>
      </c>
      <c r="M55" s="3">
        <f t="shared" si="4"/>
        <v>0.35</v>
      </c>
      <c r="N55" s="5"/>
      <c r="O55" s="5"/>
      <c r="P55" s="5"/>
      <c r="Q55" s="5"/>
      <c r="R55" s="1"/>
      <c r="S55" s="3" t="s">
        <v>40</v>
      </c>
      <c r="T55" s="3">
        <v>0.9</v>
      </c>
      <c r="U55" s="3">
        <v>0.5</v>
      </c>
      <c r="V55" s="3">
        <v>0.6</v>
      </c>
      <c r="W55" s="3">
        <v>0.33</v>
      </c>
      <c r="X55" s="6">
        <v>389.52652</v>
      </c>
      <c r="Y55" s="3">
        <v>1E-3</v>
      </c>
      <c r="AA55" s="3" t="s">
        <v>40</v>
      </c>
      <c r="AB55" s="3">
        <v>0.32</v>
      </c>
      <c r="AC55" s="6">
        <v>389.52652</v>
      </c>
      <c r="AD55" s="3">
        <v>0</v>
      </c>
      <c r="AE55" s="3">
        <f t="shared" si="5"/>
        <v>0.32500000000000001</v>
      </c>
      <c r="AF55" s="5"/>
      <c r="AG55" s="5"/>
      <c r="AH55" s="5"/>
      <c r="AI55" s="5"/>
      <c r="AJ55" s="1"/>
      <c r="AK55" s="3" t="s">
        <v>41</v>
      </c>
      <c r="AL55" s="3">
        <v>0.9</v>
      </c>
      <c r="AM55" s="3">
        <v>0.5</v>
      </c>
      <c r="AN55" s="3">
        <v>0.6</v>
      </c>
      <c r="AO55" s="3">
        <v>0.3</v>
      </c>
      <c r="AP55" s="7">
        <v>933.11230499999999</v>
      </c>
      <c r="AQ55" s="3">
        <v>6.0000000000000001E-3</v>
      </c>
      <c r="AS55" s="3" t="s">
        <v>41</v>
      </c>
      <c r="AT55" s="3">
        <v>0.33</v>
      </c>
      <c r="AU55" s="6">
        <v>908.83044400000006</v>
      </c>
      <c r="AV55" s="3">
        <v>0</v>
      </c>
      <c r="AW55" s="3">
        <f t="shared" si="6"/>
        <v>0.315</v>
      </c>
      <c r="AX55" s="5"/>
      <c r="AY55" s="5"/>
      <c r="AZ55" s="5"/>
      <c r="BA55" s="5"/>
      <c r="BB55" s="1"/>
      <c r="BC55" s="3" t="s">
        <v>41</v>
      </c>
      <c r="BD55" s="3">
        <v>0.9</v>
      </c>
      <c r="BE55" s="3">
        <v>0.5</v>
      </c>
      <c r="BF55" s="3">
        <v>0.6</v>
      </c>
      <c r="BG55" s="3">
        <v>0.33</v>
      </c>
      <c r="BH55" s="6">
        <v>879.11480700000004</v>
      </c>
      <c r="BI55" s="3">
        <v>5.0000000000000001E-3</v>
      </c>
      <c r="BK55" s="3" t="s">
        <v>41</v>
      </c>
      <c r="BL55" s="3">
        <v>0.33</v>
      </c>
      <c r="BM55" s="7">
        <v>925.21118200000001</v>
      </c>
      <c r="BN55" s="3">
        <v>0</v>
      </c>
      <c r="BO55" s="3">
        <f t="shared" si="7"/>
        <v>0.33</v>
      </c>
    </row>
    <row r="56" spans="1:67" x14ac:dyDescent="0.3">
      <c r="A56" s="3" t="s">
        <v>42</v>
      </c>
      <c r="B56" s="3">
        <v>0.9</v>
      </c>
      <c r="C56" s="3">
        <v>0.5</v>
      </c>
      <c r="D56" s="3">
        <v>0.6</v>
      </c>
      <c r="E56" s="3">
        <v>0.3</v>
      </c>
      <c r="F56" s="7">
        <v>428.95291099999997</v>
      </c>
      <c r="G56" s="3">
        <v>1E-3</v>
      </c>
      <c r="I56" s="3" t="s">
        <v>42</v>
      </c>
      <c r="J56" s="3">
        <v>0.44</v>
      </c>
      <c r="K56" s="6">
        <v>423.66629</v>
      </c>
      <c r="L56" s="3">
        <v>0</v>
      </c>
      <c r="M56" s="3">
        <f t="shared" si="4"/>
        <v>0.37</v>
      </c>
      <c r="N56" s="5"/>
      <c r="O56" s="5"/>
      <c r="P56" s="5"/>
      <c r="Q56" s="5"/>
      <c r="R56" s="1"/>
      <c r="S56" s="3" t="s">
        <v>42</v>
      </c>
      <c r="T56" s="3">
        <v>0.9</v>
      </c>
      <c r="U56" s="3">
        <v>0.5</v>
      </c>
      <c r="V56" s="3">
        <v>0.6</v>
      </c>
      <c r="W56" s="3">
        <v>0.35</v>
      </c>
      <c r="X56" s="6">
        <v>409.94903599999998</v>
      </c>
      <c r="Y56" s="3">
        <v>0</v>
      </c>
      <c r="AA56" s="3" t="s">
        <v>42</v>
      </c>
      <c r="AB56" s="3">
        <v>0.33</v>
      </c>
      <c r="AC56" s="6">
        <v>409.94903599999998</v>
      </c>
      <c r="AD56" s="3">
        <v>0</v>
      </c>
      <c r="AE56" s="3">
        <f t="shared" si="5"/>
        <v>0.33999999999999997</v>
      </c>
      <c r="AF56" s="5"/>
      <c r="AG56" s="5"/>
      <c r="AH56" s="5"/>
      <c r="AI56" s="5"/>
      <c r="AJ56" s="1"/>
      <c r="AK56" s="3" t="s">
        <v>43</v>
      </c>
      <c r="AL56" s="3">
        <v>0.9</v>
      </c>
      <c r="AM56" s="3">
        <v>0.5</v>
      </c>
      <c r="AN56" s="3">
        <v>0.6</v>
      </c>
      <c r="AO56" s="3">
        <v>0.35</v>
      </c>
      <c r="AP56" s="6">
        <v>816.88177499999995</v>
      </c>
      <c r="AQ56" s="3">
        <v>6.0000000000000001E-3</v>
      </c>
      <c r="AS56" s="3" t="s">
        <v>43</v>
      </c>
      <c r="AT56" s="3">
        <v>0.3</v>
      </c>
      <c r="AU56" s="7">
        <v>834.449524</v>
      </c>
      <c r="AV56" s="3">
        <v>0</v>
      </c>
      <c r="AW56" s="3">
        <f t="shared" si="6"/>
        <v>0.32499999999999996</v>
      </c>
      <c r="AX56" s="5"/>
      <c r="AY56" s="5"/>
      <c r="AZ56" s="5"/>
      <c r="BA56" s="5"/>
      <c r="BB56" s="1"/>
      <c r="BC56" s="3" t="s">
        <v>43</v>
      </c>
      <c r="BD56" s="3">
        <v>0.9</v>
      </c>
      <c r="BE56" s="3">
        <v>0.5</v>
      </c>
      <c r="BF56" s="3">
        <v>0.6</v>
      </c>
      <c r="BG56" s="3">
        <v>0.36</v>
      </c>
      <c r="BH56" s="6">
        <v>804.87780799999996</v>
      </c>
      <c r="BI56" s="3">
        <v>4.0000000000000001E-3</v>
      </c>
      <c r="BK56" s="3" t="s">
        <v>43</v>
      </c>
      <c r="BL56" s="3">
        <v>0.39</v>
      </c>
      <c r="BM56" s="7">
        <v>815.28198199999997</v>
      </c>
      <c r="BN56" s="3">
        <v>0</v>
      </c>
      <c r="BO56" s="3">
        <f t="shared" si="7"/>
        <v>0.375</v>
      </c>
    </row>
    <row r="57" spans="1:67" x14ac:dyDescent="0.3">
      <c r="A57" s="3" t="s">
        <v>44</v>
      </c>
      <c r="B57" s="3">
        <v>0.9</v>
      </c>
      <c r="C57" s="3">
        <v>0.5</v>
      </c>
      <c r="D57" s="3">
        <v>0.6</v>
      </c>
      <c r="E57" s="3">
        <v>0.37</v>
      </c>
      <c r="F57" s="7">
        <v>511.68850700000002</v>
      </c>
      <c r="G57" s="3">
        <v>0</v>
      </c>
      <c r="I57" s="3" t="s">
        <v>44</v>
      </c>
      <c r="J57" s="3">
        <v>0.5</v>
      </c>
      <c r="K57" s="6">
        <v>510.77713</v>
      </c>
      <c r="L57" s="3">
        <v>0</v>
      </c>
      <c r="M57" s="3">
        <f t="shared" si="4"/>
        <v>0.435</v>
      </c>
      <c r="N57" s="5"/>
      <c r="O57" s="5"/>
      <c r="P57" s="5"/>
      <c r="Q57" s="5"/>
      <c r="R57" s="1"/>
      <c r="S57" s="3" t="s">
        <v>44</v>
      </c>
      <c r="T57" s="3">
        <v>0.9</v>
      </c>
      <c r="U57" s="3">
        <v>0.5</v>
      </c>
      <c r="V57" s="3">
        <v>0.6</v>
      </c>
      <c r="W57" s="3">
        <v>0.32</v>
      </c>
      <c r="X57" s="7">
        <v>503.404968</v>
      </c>
      <c r="Y57" s="3">
        <v>1E-3</v>
      </c>
      <c r="AA57" s="3" t="s">
        <v>44</v>
      </c>
      <c r="AB57" s="3">
        <v>0.32</v>
      </c>
      <c r="AC57" s="6">
        <v>496.55496199999999</v>
      </c>
      <c r="AD57" s="3">
        <v>1E-3</v>
      </c>
      <c r="AE57" s="3">
        <f t="shared" si="5"/>
        <v>0.32</v>
      </c>
      <c r="AF57" s="5"/>
      <c r="AG57" s="5"/>
      <c r="AH57" s="5"/>
      <c r="AI57" s="5"/>
      <c r="AJ57" s="1"/>
      <c r="AK57" s="3" t="s">
        <v>45</v>
      </c>
      <c r="AL57" s="3">
        <v>0.9</v>
      </c>
      <c r="AM57" s="3">
        <v>0.5</v>
      </c>
      <c r="AN57" s="3">
        <v>0.6</v>
      </c>
      <c r="AO57" s="3">
        <v>0.32</v>
      </c>
      <c r="AP57" s="7">
        <v>874.96545400000002</v>
      </c>
      <c r="AQ57" s="3">
        <v>6.0000000000000001E-3</v>
      </c>
      <c r="AS57" s="3" t="s">
        <v>45</v>
      </c>
      <c r="AT57" s="3">
        <v>0.31</v>
      </c>
      <c r="AU57" s="6">
        <v>864.98364300000003</v>
      </c>
      <c r="AV57" s="3">
        <v>1E-3</v>
      </c>
      <c r="AW57" s="3">
        <f t="shared" si="6"/>
        <v>0.315</v>
      </c>
      <c r="AX57" s="5"/>
      <c r="AY57" s="5"/>
      <c r="AZ57" s="5"/>
      <c r="BA57" s="5"/>
      <c r="BB57" s="1"/>
      <c r="BC57" s="3" t="s">
        <v>45</v>
      </c>
      <c r="BD57" s="3">
        <v>0.9</v>
      </c>
      <c r="BE57" s="3">
        <v>0.5</v>
      </c>
      <c r="BF57" s="3">
        <v>0.6</v>
      </c>
      <c r="BG57" s="3">
        <v>0.32</v>
      </c>
      <c r="BH57" s="7">
        <v>859.44891399999995</v>
      </c>
      <c r="BI57" s="3">
        <v>5.0000000000000001E-3</v>
      </c>
      <c r="BK57" s="3" t="s">
        <v>45</v>
      </c>
      <c r="BL57" s="3">
        <v>0.33</v>
      </c>
      <c r="BM57" s="6">
        <v>815.475098</v>
      </c>
      <c r="BN57" s="3">
        <v>1E-3</v>
      </c>
      <c r="BO57" s="3">
        <f t="shared" si="7"/>
        <v>0.32500000000000001</v>
      </c>
    </row>
    <row r="58" spans="1:67" x14ac:dyDescent="0.3">
      <c r="A58" s="3" t="s">
        <v>46</v>
      </c>
      <c r="B58" s="3">
        <v>0.9</v>
      </c>
      <c r="C58" s="3">
        <v>0.5</v>
      </c>
      <c r="D58" s="3">
        <v>0.6</v>
      </c>
      <c r="E58" s="3">
        <v>0.48</v>
      </c>
      <c r="F58" s="6">
        <v>488.44482399999998</v>
      </c>
      <c r="G58" s="3">
        <v>1E-3</v>
      </c>
      <c r="I58" s="3" t="s">
        <v>46</v>
      </c>
      <c r="J58" s="3">
        <v>0.31</v>
      </c>
      <c r="K58" s="7">
        <v>491.457672</v>
      </c>
      <c r="L58" s="3">
        <v>0</v>
      </c>
      <c r="M58" s="3">
        <f t="shared" si="4"/>
        <v>0.39500000000000002</v>
      </c>
      <c r="N58" s="5"/>
      <c r="O58" s="5"/>
      <c r="P58" s="5"/>
      <c r="Q58" s="5"/>
      <c r="R58" s="1"/>
      <c r="S58" s="3" t="s">
        <v>46</v>
      </c>
      <c r="T58" s="3">
        <v>0.9</v>
      </c>
      <c r="U58" s="3">
        <v>0.5</v>
      </c>
      <c r="V58" s="3">
        <v>0.6</v>
      </c>
      <c r="W58" s="3">
        <v>0.42</v>
      </c>
      <c r="X58" s="6">
        <v>472.42095899999998</v>
      </c>
      <c r="Y58" s="3">
        <v>0</v>
      </c>
      <c r="AA58" s="3" t="s">
        <v>46</v>
      </c>
      <c r="AB58" s="3">
        <v>0.39</v>
      </c>
      <c r="AC58" s="6">
        <v>472.42095899999998</v>
      </c>
      <c r="AD58" s="3">
        <v>0</v>
      </c>
      <c r="AE58" s="3">
        <f t="shared" si="5"/>
        <v>0.40500000000000003</v>
      </c>
      <c r="AF58" s="5"/>
      <c r="AG58" s="5"/>
      <c r="AH58" s="5"/>
      <c r="AI58" s="5"/>
      <c r="AJ58" s="1"/>
      <c r="AK58" s="3" t="s">
        <v>47</v>
      </c>
      <c r="AL58" s="3">
        <v>0.9</v>
      </c>
      <c r="AM58" s="3">
        <v>0.5</v>
      </c>
      <c r="AN58" s="3">
        <v>0.6</v>
      </c>
      <c r="AO58" s="3">
        <v>0.3</v>
      </c>
      <c r="AP58" s="6">
        <v>803.90490699999998</v>
      </c>
      <c r="AQ58" s="3">
        <v>6.0000000000000001E-3</v>
      </c>
      <c r="AS58" s="3" t="s">
        <v>47</v>
      </c>
      <c r="AT58" s="3">
        <v>0.4</v>
      </c>
      <c r="AU58" s="7">
        <v>804.35345500000005</v>
      </c>
      <c r="AV58" s="3">
        <v>0</v>
      </c>
      <c r="AW58" s="3">
        <f t="shared" si="6"/>
        <v>0.35</v>
      </c>
      <c r="AX58" s="5"/>
      <c r="AY58" s="5"/>
      <c r="AZ58" s="5"/>
      <c r="BA58" s="5"/>
      <c r="BB58" s="1"/>
      <c r="BC58" s="3" t="s">
        <v>47</v>
      </c>
      <c r="BD58" s="3">
        <v>0.9</v>
      </c>
      <c r="BE58" s="3">
        <v>0.5</v>
      </c>
      <c r="BF58" s="3">
        <v>0.6</v>
      </c>
      <c r="BG58" s="3">
        <v>0.33</v>
      </c>
      <c r="BH58" s="7">
        <v>775.75659199999996</v>
      </c>
      <c r="BI58" s="3">
        <v>4.0000000000000001E-3</v>
      </c>
      <c r="BK58" s="3" t="s">
        <v>47</v>
      </c>
      <c r="BL58" s="3">
        <v>0.33</v>
      </c>
      <c r="BM58" s="6">
        <v>773.03637700000002</v>
      </c>
      <c r="BN58" s="3">
        <v>0</v>
      </c>
      <c r="BO58" s="3">
        <f t="shared" si="7"/>
        <v>0.33</v>
      </c>
    </row>
    <row r="59" spans="1:67" x14ac:dyDescent="0.3">
      <c r="A59" s="3" t="s">
        <v>48</v>
      </c>
      <c r="B59" s="3">
        <v>0.9</v>
      </c>
      <c r="C59" s="3">
        <v>0.5</v>
      </c>
      <c r="D59" s="3">
        <v>0.6</v>
      </c>
      <c r="E59" s="3">
        <v>0.33</v>
      </c>
      <c r="F59" s="6">
        <v>455.84371900000002</v>
      </c>
      <c r="G59" s="3">
        <v>1E-3</v>
      </c>
      <c r="I59" s="3" t="s">
        <v>48</v>
      </c>
      <c r="J59" s="3">
        <v>0.48</v>
      </c>
      <c r="K59" s="7">
        <v>459.74981700000001</v>
      </c>
      <c r="L59" s="3">
        <v>0</v>
      </c>
      <c r="M59" s="3">
        <f t="shared" si="4"/>
        <v>0.40500000000000003</v>
      </c>
      <c r="N59" s="5"/>
      <c r="O59" s="5"/>
      <c r="P59" s="5"/>
      <c r="Q59" s="5"/>
      <c r="R59" s="1"/>
      <c r="S59" s="3" t="s">
        <v>48</v>
      </c>
      <c r="T59" s="3">
        <v>0.9</v>
      </c>
      <c r="U59" s="3">
        <v>0.5</v>
      </c>
      <c r="V59" s="3">
        <v>0.6</v>
      </c>
      <c r="W59" s="3">
        <v>0.4</v>
      </c>
      <c r="X59" s="6">
        <v>435.15716600000002</v>
      </c>
      <c r="Y59" s="3">
        <v>1E-3</v>
      </c>
      <c r="AA59" s="3" t="s">
        <v>48</v>
      </c>
      <c r="AB59" s="3">
        <v>0.39</v>
      </c>
      <c r="AC59" s="7">
        <v>441.55810500000001</v>
      </c>
      <c r="AD59" s="3">
        <v>0</v>
      </c>
      <c r="AE59" s="3">
        <f t="shared" si="5"/>
        <v>0.39500000000000002</v>
      </c>
      <c r="AF59" s="5"/>
      <c r="AG59" s="5"/>
      <c r="AH59" s="5"/>
      <c r="AI59" s="5"/>
      <c r="AJ59" s="1"/>
      <c r="AK59" s="3" t="s">
        <v>49</v>
      </c>
      <c r="AL59" s="3">
        <v>0.9</v>
      </c>
      <c r="AM59" s="3">
        <v>0.5</v>
      </c>
      <c r="AN59" s="3">
        <v>0.6</v>
      </c>
      <c r="AO59" s="3">
        <v>0.3</v>
      </c>
      <c r="AP59" s="6">
        <v>860.29156499999999</v>
      </c>
      <c r="AQ59" s="3">
        <v>6.0000000000000001E-3</v>
      </c>
      <c r="AS59" s="3" t="s">
        <v>49</v>
      </c>
      <c r="AT59" s="3">
        <v>0.3</v>
      </c>
      <c r="AU59" s="7">
        <v>866.45709199999999</v>
      </c>
      <c r="AV59" s="3">
        <v>1E-3</v>
      </c>
      <c r="AW59" s="3">
        <f t="shared" si="6"/>
        <v>0.3</v>
      </c>
      <c r="AX59" s="5"/>
      <c r="AY59" s="5"/>
      <c r="AZ59" s="5"/>
      <c r="BA59" s="5"/>
      <c r="BB59" s="1"/>
      <c r="BC59" s="3" t="s">
        <v>49</v>
      </c>
      <c r="BD59" s="3">
        <v>0.9</v>
      </c>
      <c r="BE59" s="3">
        <v>0.5</v>
      </c>
      <c r="BF59" s="3">
        <v>0.6</v>
      </c>
      <c r="BG59" s="3">
        <v>0.3</v>
      </c>
      <c r="BH59" s="7">
        <v>821.84484899999995</v>
      </c>
      <c r="BI59" s="3">
        <v>4.0000000000000001E-3</v>
      </c>
      <c r="BK59" s="3" t="s">
        <v>49</v>
      </c>
      <c r="BL59" s="3">
        <v>0.3</v>
      </c>
      <c r="BM59" s="6">
        <v>812.76068099999998</v>
      </c>
      <c r="BN59" s="3">
        <v>0</v>
      </c>
      <c r="BO59" s="3">
        <f t="shared" si="7"/>
        <v>0.3</v>
      </c>
    </row>
    <row r="60" spans="1:67" x14ac:dyDescent="0.3">
      <c r="A60" s="3" t="s">
        <v>50</v>
      </c>
      <c r="B60" s="3">
        <v>0.9</v>
      </c>
      <c r="C60" s="3">
        <v>0.5</v>
      </c>
      <c r="D60" s="3">
        <v>0.6</v>
      </c>
      <c r="E60" s="3">
        <v>0.31</v>
      </c>
      <c r="F60" s="7">
        <v>459.18582199999997</v>
      </c>
      <c r="G60" s="3">
        <v>0</v>
      </c>
      <c r="I60" s="3" t="s">
        <v>50</v>
      </c>
      <c r="J60" s="3">
        <v>0.32</v>
      </c>
      <c r="K60" s="6">
        <v>458.79049700000002</v>
      </c>
      <c r="L60" s="3">
        <v>0</v>
      </c>
      <c r="M60" s="3">
        <f t="shared" si="4"/>
        <v>0.315</v>
      </c>
      <c r="N60" s="5"/>
      <c r="O60" s="5"/>
      <c r="P60" s="5"/>
      <c r="Q60" s="5"/>
      <c r="R60" s="1"/>
      <c r="S60" s="3" t="s">
        <v>50</v>
      </c>
      <c r="T60" s="3">
        <v>0.9</v>
      </c>
      <c r="U60" s="3">
        <v>0.5</v>
      </c>
      <c r="V60" s="3">
        <v>0.6</v>
      </c>
      <c r="W60" s="3">
        <v>0.34</v>
      </c>
      <c r="X60" s="6">
        <v>435.99331699999999</v>
      </c>
      <c r="Y60" s="3">
        <v>1E-3</v>
      </c>
      <c r="AA60" s="3" t="s">
        <v>50</v>
      </c>
      <c r="AB60" s="3">
        <v>0.3</v>
      </c>
      <c r="AC60" s="6">
        <v>435.99331699999999</v>
      </c>
      <c r="AD60" s="3">
        <v>0</v>
      </c>
      <c r="AE60" s="3">
        <f t="shared" si="5"/>
        <v>0.32</v>
      </c>
      <c r="AF60" s="5"/>
      <c r="AG60" s="5"/>
      <c r="AH60" s="5"/>
      <c r="AI60" s="5"/>
      <c r="AJ60" s="1"/>
      <c r="AK60" s="3" t="s">
        <v>51</v>
      </c>
      <c r="AL60" s="3">
        <v>0.9</v>
      </c>
      <c r="AM60" s="3">
        <v>0.5</v>
      </c>
      <c r="AN60" s="3">
        <v>0.6</v>
      </c>
      <c r="AO60" s="3">
        <v>0.31</v>
      </c>
      <c r="AP60" s="7">
        <v>1025.1004640000001</v>
      </c>
      <c r="AQ60" s="3">
        <v>0.01</v>
      </c>
      <c r="AS60" s="3" t="s">
        <v>51</v>
      </c>
      <c r="AT60" s="3">
        <v>0.3</v>
      </c>
      <c r="AU60" s="6">
        <v>996.32867399999998</v>
      </c>
      <c r="AV60" s="3">
        <v>1E-3</v>
      </c>
      <c r="AW60" s="3">
        <f t="shared" si="6"/>
        <v>0.30499999999999999</v>
      </c>
      <c r="AX60" s="5"/>
      <c r="AY60" s="5"/>
      <c r="AZ60" s="5"/>
      <c r="BA60" s="5"/>
      <c r="BB60" s="1"/>
      <c r="BC60" s="3" t="s">
        <v>51</v>
      </c>
      <c r="BD60" s="3">
        <v>0.9</v>
      </c>
      <c r="BE60" s="3">
        <v>0.5</v>
      </c>
      <c r="BF60" s="3">
        <v>0.6</v>
      </c>
      <c r="BG60" s="3">
        <v>0.33</v>
      </c>
      <c r="BH60" s="6">
        <v>994.307861</v>
      </c>
      <c r="BI60" s="3">
        <v>5.0000000000000001E-3</v>
      </c>
      <c r="BK60" s="3" t="s">
        <v>51</v>
      </c>
      <c r="BL60" s="3">
        <v>0.35</v>
      </c>
      <c r="BM60" s="7">
        <v>1006.2962649999999</v>
      </c>
      <c r="BN60" s="3">
        <v>0</v>
      </c>
      <c r="BO60" s="3">
        <f t="shared" si="7"/>
        <v>0.33999999999999997</v>
      </c>
    </row>
    <row r="61" spans="1:67" x14ac:dyDescent="0.3">
      <c r="A61" s="3" t="s">
        <v>52</v>
      </c>
      <c r="B61" s="3">
        <v>0.9</v>
      </c>
      <c r="C61" s="3">
        <v>0.5</v>
      </c>
      <c r="D61" s="3">
        <v>0.6</v>
      </c>
      <c r="E61" s="3">
        <v>0.31</v>
      </c>
      <c r="F61" s="6">
        <v>463.34295700000001</v>
      </c>
      <c r="G61" s="3">
        <v>1E-3</v>
      </c>
      <c r="I61" s="3" t="s">
        <v>52</v>
      </c>
      <c r="J61" s="3">
        <v>0.32</v>
      </c>
      <c r="K61" s="6">
        <v>463.34295700000001</v>
      </c>
      <c r="L61" s="3">
        <v>0</v>
      </c>
      <c r="M61" s="3">
        <f t="shared" si="4"/>
        <v>0.315</v>
      </c>
      <c r="N61" s="5"/>
      <c r="O61" s="5"/>
      <c r="P61" s="5"/>
      <c r="Q61" s="5"/>
      <c r="R61" s="1"/>
      <c r="S61" s="3" t="s">
        <v>52</v>
      </c>
      <c r="T61" s="3">
        <v>0.9</v>
      </c>
      <c r="U61" s="3">
        <v>0.5</v>
      </c>
      <c r="V61" s="3">
        <v>0.6</v>
      </c>
      <c r="W61" s="3">
        <v>0.34</v>
      </c>
      <c r="X61" s="6">
        <v>457.10873400000003</v>
      </c>
      <c r="Y61" s="3">
        <v>1E-3</v>
      </c>
      <c r="AA61" s="3" t="s">
        <v>52</v>
      </c>
      <c r="AB61" s="3">
        <v>0.34</v>
      </c>
      <c r="AC61" s="6">
        <v>457.10873400000003</v>
      </c>
      <c r="AD61" s="3">
        <v>0</v>
      </c>
      <c r="AE61" s="3">
        <f t="shared" si="5"/>
        <v>0.34</v>
      </c>
      <c r="AF61" s="5"/>
      <c r="AG61" s="5"/>
      <c r="AH61" s="5"/>
      <c r="AI61" s="5"/>
      <c r="AJ61" s="1"/>
      <c r="AK61" s="3" t="s">
        <v>53</v>
      </c>
      <c r="AL61" s="3">
        <v>0.9</v>
      </c>
      <c r="AM61" s="3">
        <v>0.5</v>
      </c>
      <c r="AN61" s="3">
        <v>0.6</v>
      </c>
      <c r="AO61" s="3">
        <v>0.34</v>
      </c>
      <c r="AP61" s="6">
        <v>945.96118200000001</v>
      </c>
      <c r="AQ61" s="3">
        <v>5.0000000000000001E-3</v>
      </c>
      <c r="AS61" s="3" t="s">
        <v>53</v>
      </c>
      <c r="AT61" s="3">
        <v>0.32</v>
      </c>
      <c r="AU61" s="7">
        <v>973.18078600000001</v>
      </c>
      <c r="AV61" s="3">
        <v>0</v>
      </c>
      <c r="AW61" s="3">
        <f t="shared" si="6"/>
        <v>0.33</v>
      </c>
      <c r="AX61" s="5"/>
      <c r="AY61" s="5"/>
      <c r="AZ61" s="5"/>
      <c r="BA61" s="5"/>
      <c r="BB61" s="1"/>
      <c r="BC61" s="3" t="s">
        <v>53</v>
      </c>
      <c r="BD61" s="3">
        <v>0.9</v>
      </c>
      <c r="BE61" s="3">
        <v>0.5</v>
      </c>
      <c r="BF61" s="3">
        <v>0.6</v>
      </c>
      <c r="BG61" s="3">
        <v>0.32</v>
      </c>
      <c r="BH61" s="6">
        <v>947.59252900000001</v>
      </c>
      <c r="BI61" s="3">
        <v>5.0000000000000001E-3</v>
      </c>
      <c r="BK61" s="3" t="s">
        <v>53</v>
      </c>
      <c r="BL61" s="3">
        <v>0.32</v>
      </c>
      <c r="BM61" s="7">
        <v>952.59527600000001</v>
      </c>
      <c r="BN61" s="3">
        <v>0</v>
      </c>
      <c r="BO61" s="3">
        <f t="shared" si="7"/>
        <v>0.32</v>
      </c>
    </row>
    <row r="62" spans="1:67" x14ac:dyDescent="0.3">
      <c r="A62" s="3" t="s">
        <v>54</v>
      </c>
      <c r="B62" s="3">
        <v>0.9</v>
      </c>
      <c r="C62" s="3">
        <v>0.5</v>
      </c>
      <c r="D62" s="3">
        <v>0.6</v>
      </c>
      <c r="E62" s="3">
        <v>0.35</v>
      </c>
      <c r="F62" s="7">
        <v>541.601135</v>
      </c>
      <c r="G62" s="3">
        <v>0</v>
      </c>
      <c r="I62" s="3" t="s">
        <v>54</v>
      </c>
      <c r="J62" s="3">
        <v>0.35</v>
      </c>
      <c r="K62" s="6">
        <v>535.53491199999996</v>
      </c>
      <c r="L62" s="3">
        <v>0</v>
      </c>
      <c r="M62" s="3">
        <f t="shared" si="4"/>
        <v>0.35</v>
      </c>
      <c r="N62" s="5"/>
      <c r="O62" s="5"/>
      <c r="P62" s="5"/>
      <c r="Q62" s="5"/>
      <c r="R62" s="1"/>
      <c r="S62" s="3" t="s">
        <v>54</v>
      </c>
      <c r="T62" s="3">
        <v>0.9</v>
      </c>
      <c r="U62" s="3">
        <v>0.5</v>
      </c>
      <c r="V62" s="3">
        <v>0.6</v>
      </c>
      <c r="W62" s="3">
        <v>0.36</v>
      </c>
      <c r="X62" s="7">
        <v>546.47717299999999</v>
      </c>
      <c r="Y62" s="3">
        <v>1E-3</v>
      </c>
      <c r="AA62" s="3" t="s">
        <v>54</v>
      </c>
      <c r="AB62" s="3">
        <v>0.37</v>
      </c>
      <c r="AC62" s="6">
        <v>545.28924600000005</v>
      </c>
      <c r="AD62" s="3">
        <v>0</v>
      </c>
      <c r="AE62" s="3">
        <f t="shared" si="5"/>
        <v>0.36499999999999999</v>
      </c>
      <c r="AF62" s="5"/>
      <c r="AG62" s="5"/>
      <c r="AH62" s="5"/>
      <c r="AI62" s="5"/>
      <c r="AJ62" s="1"/>
      <c r="AK62" s="3" t="s">
        <v>55</v>
      </c>
      <c r="AL62" s="3">
        <v>0.9</v>
      </c>
      <c r="AM62" s="3">
        <v>0.5</v>
      </c>
      <c r="AN62" s="3">
        <v>0.6</v>
      </c>
      <c r="AO62" s="3">
        <v>0.34</v>
      </c>
      <c r="AP62" s="7">
        <v>978.29730199999995</v>
      </c>
      <c r="AQ62" s="3">
        <v>7.0000000000000001E-3</v>
      </c>
      <c r="AS62" s="3" t="s">
        <v>55</v>
      </c>
      <c r="AT62" s="3">
        <v>0.32</v>
      </c>
      <c r="AU62" s="6">
        <v>979.89746100000002</v>
      </c>
      <c r="AV62" s="3">
        <v>1E-3</v>
      </c>
      <c r="AW62" s="3">
        <f t="shared" si="6"/>
        <v>0.33</v>
      </c>
      <c r="AX62" s="5"/>
      <c r="AY62" s="5"/>
      <c r="AZ62" s="5"/>
      <c r="BA62" s="5"/>
      <c r="BB62" s="1"/>
      <c r="BC62" s="3" t="s">
        <v>55</v>
      </c>
      <c r="BD62" s="3">
        <v>0.9</v>
      </c>
      <c r="BE62" s="3">
        <v>0.5</v>
      </c>
      <c r="BF62" s="3">
        <v>0.6</v>
      </c>
      <c r="BG62" s="3">
        <v>0.3</v>
      </c>
      <c r="BH62" s="6">
        <v>984.52392599999996</v>
      </c>
      <c r="BI62" s="3">
        <v>5.0000000000000001E-3</v>
      </c>
      <c r="BK62" s="3" t="s">
        <v>55</v>
      </c>
      <c r="BL62" s="3">
        <v>0.42</v>
      </c>
      <c r="BM62" s="7">
        <v>992.91210899999999</v>
      </c>
      <c r="BN62" s="3">
        <v>0</v>
      </c>
      <c r="BO62" s="3">
        <f t="shared" si="7"/>
        <v>0.36</v>
      </c>
    </row>
    <row r="63" spans="1:67" x14ac:dyDescent="0.3">
      <c r="A63" s="3" t="s">
        <v>56</v>
      </c>
      <c r="B63" s="3">
        <v>0.9</v>
      </c>
      <c r="C63" s="3">
        <v>0.5</v>
      </c>
      <c r="D63" s="3">
        <v>0.6</v>
      </c>
      <c r="E63" s="3">
        <v>0.3</v>
      </c>
      <c r="F63" s="6">
        <v>455.96814000000001</v>
      </c>
      <c r="G63" s="3">
        <v>1E-3</v>
      </c>
      <c r="I63" s="3" t="s">
        <v>56</v>
      </c>
      <c r="J63" s="3">
        <v>0.3</v>
      </c>
      <c r="K63" s="7">
        <v>456.38397200000003</v>
      </c>
      <c r="L63" s="3">
        <v>0</v>
      </c>
      <c r="M63" s="3">
        <f t="shared" si="4"/>
        <v>0.3</v>
      </c>
      <c r="N63" s="5"/>
      <c r="O63" s="5"/>
      <c r="P63" s="5"/>
      <c r="Q63" s="5"/>
      <c r="R63" s="1"/>
      <c r="S63" s="3" t="s">
        <v>56</v>
      </c>
      <c r="T63" s="3">
        <v>0.9</v>
      </c>
      <c r="U63" s="3">
        <v>0.5</v>
      </c>
      <c r="V63" s="3">
        <v>0.6</v>
      </c>
      <c r="W63" s="3">
        <v>0.35</v>
      </c>
      <c r="X63" s="6">
        <v>453.643372</v>
      </c>
      <c r="Y63" s="3">
        <v>0</v>
      </c>
      <c r="AA63" s="3" t="s">
        <v>56</v>
      </c>
      <c r="AB63" s="3">
        <v>0.47</v>
      </c>
      <c r="AC63" s="6">
        <v>453.643372</v>
      </c>
      <c r="AD63" s="3">
        <v>0</v>
      </c>
      <c r="AE63" s="3">
        <f t="shared" si="5"/>
        <v>0.41</v>
      </c>
      <c r="AF63" s="5"/>
      <c r="AG63" s="5"/>
      <c r="AH63" s="5"/>
      <c r="AI63" s="5"/>
      <c r="AJ63" s="1"/>
      <c r="AK63" s="3" t="s">
        <v>57</v>
      </c>
      <c r="AL63" s="3">
        <v>0.9</v>
      </c>
      <c r="AM63" s="3">
        <v>0.5</v>
      </c>
      <c r="AN63" s="3">
        <v>0.6</v>
      </c>
      <c r="AO63" s="3">
        <v>0.31</v>
      </c>
      <c r="AP63" s="7">
        <v>956.87353499999995</v>
      </c>
      <c r="AQ63" s="3">
        <v>6.0000000000000001E-3</v>
      </c>
      <c r="AS63" s="3" t="s">
        <v>57</v>
      </c>
      <c r="AT63" s="3">
        <v>0.33</v>
      </c>
      <c r="AU63" s="6">
        <v>944.83892800000001</v>
      </c>
      <c r="AV63" s="3">
        <v>0</v>
      </c>
      <c r="AW63" s="3">
        <f t="shared" si="6"/>
        <v>0.32</v>
      </c>
      <c r="AX63" s="5"/>
      <c r="AY63" s="5"/>
      <c r="AZ63" s="5"/>
      <c r="BA63" s="5"/>
      <c r="BB63" s="1"/>
      <c r="BC63" s="3" t="s">
        <v>57</v>
      </c>
      <c r="BD63" s="3">
        <v>0.9</v>
      </c>
      <c r="BE63" s="3">
        <v>0.5</v>
      </c>
      <c r="BF63" s="3">
        <v>0.6</v>
      </c>
      <c r="BG63" s="3">
        <v>0.32</v>
      </c>
      <c r="BH63" s="6">
        <v>954.160889</v>
      </c>
      <c r="BI63" s="3">
        <v>5.0000000000000001E-3</v>
      </c>
      <c r="BK63" s="3" t="s">
        <v>57</v>
      </c>
      <c r="BL63" s="3">
        <v>0.33</v>
      </c>
      <c r="BM63" s="7">
        <v>951.42663600000003</v>
      </c>
      <c r="BN63" s="3">
        <v>1E-3</v>
      </c>
      <c r="BO63" s="3">
        <f t="shared" si="7"/>
        <v>0.32500000000000001</v>
      </c>
    </row>
    <row r="64" spans="1:67" x14ac:dyDescent="0.3">
      <c r="A64" s="3" t="s">
        <v>58</v>
      </c>
      <c r="B64" s="3">
        <v>0.9</v>
      </c>
      <c r="C64" s="3">
        <v>0.5</v>
      </c>
      <c r="D64" s="3">
        <v>0.6</v>
      </c>
      <c r="E64" s="3">
        <v>0.32</v>
      </c>
      <c r="F64" s="6">
        <v>469.98245200000002</v>
      </c>
      <c r="G64" s="3">
        <v>1E-3</v>
      </c>
      <c r="I64" s="3" t="s">
        <v>58</v>
      </c>
      <c r="J64" s="3">
        <v>0.32</v>
      </c>
      <c r="K64" s="7">
        <v>470.14639299999999</v>
      </c>
      <c r="L64" s="3">
        <v>0</v>
      </c>
      <c r="M64" s="3">
        <f t="shared" si="4"/>
        <v>0.32</v>
      </c>
      <c r="N64" s="5"/>
      <c r="O64" s="5"/>
      <c r="P64" s="5"/>
      <c r="Q64" s="5"/>
      <c r="R64" s="1"/>
      <c r="S64" s="3" t="s">
        <v>58</v>
      </c>
      <c r="T64" s="3">
        <v>0.9</v>
      </c>
      <c r="U64" s="3">
        <v>0.5</v>
      </c>
      <c r="V64" s="3">
        <v>0.6</v>
      </c>
      <c r="W64" s="3">
        <v>0.31</v>
      </c>
      <c r="X64" s="6">
        <v>461.47448700000001</v>
      </c>
      <c r="Y64" s="3">
        <v>1E-3</v>
      </c>
      <c r="AA64" s="3" t="s">
        <v>58</v>
      </c>
      <c r="AB64" s="3">
        <v>0.33</v>
      </c>
      <c r="AC64" s="6">
        <v>461.47448700000001</v>
      </c>
      <c r="AD64" s="3">
        <v>0</v>
      </c>
      <c r="AE64" s="3">
        <f t="shared" si="5"/>
        <v>0.32</v>
      </c>
      <c r="AF64" s="5"/>
      <c r="AG64" s="5"/>
      <c r="AH64" s="5"/>
      <c r="AI64" s="5"/>
      <c r="AJ64" s="1"/>
      <c r="AK64" s="3" t="s">
        <v>59</v>
      </c>
      <c r="AL64" s="3">
        <v>0.9</v>
      </c>
      <c r="AM64" s="3">
        <v>0.5</v>
      </c>
      <c r="AN64" s="3">
        <v>0.6</v>
      </c>
      <c r="AO64" s="3">
        <v>0.36</v>
      </c>
      <c r="AP64" s="6">
        <v>901.480591</v>
      </c>
      <c r="AQ64" s="3">
        <v>5.0000000000000001E-3</v>
      </c>
      <c r="AS64" s="3" t="s">
        <v>59</v>
      </c>
      <c r="AT64" s="3">
        <v>0.3</v>
      </c>
      <c r="AU64" s="7">
        <v>907.76568599999996</v>
      </c>
      <c r="AV64" s="3">
        <v>0</v>
      </c>
      <c r="AW64" s="3">
        <f t="shared" si="6"/>
        <v>0.32999999999999996</v>
      </c>
      <c r="AX64" s="5"/>
      <c r="AY64" s="5"/>
      <c r="AZ64" s="5"/>
      <c r="BA64" s="5"/>
      <c r="BB64" s="1"/>
      <c r="BC64" s="3" t="s">
        <v>59</v>
      </c>
      <c r="BD64" s="3">
        <v>0.9</v>
      </c>
      <c r="BE64" s="3">
        <v>0.5</v>
      </c>
      <c r="BF64" s="3">
        <v>0.6</v>
      </c>
      <c r="BG64" s="3">
        <v>0.32</v>
      </c>
      <c r="BH64" s="7">
        <v>873.852844</v>
      </c>
      <c r="BI64" s="3">
        <v>4.0000000000000001E-3</v>
      </c>
      <c r="BK64" s="3" t="s">
        <v>59</v>
      </c>
      <c r="BL64" s="3">
        <v>0.31</v>
      </c>
      <c r="BM64" s="6">
        <v>861.11328100000003</v>
      </c>
      <c r="BN64" s="3">
        <v>0</v>
      </c>
      <c r="BO64" s="3">
        <f t="shared" si="7"/>
        <v>0.315</v>
      </c>
    </row>
    <row r="65" spans="1:71" x14ac:dyDescent="0.3">
      <c r="A65" s="3" t="s">
        <v>60</v>
      </c>
      <c r="B65" s="3">
        <v>0.9</v>
      </c>
      <c r="C65" s="3">
        <v>0.5</v>
      </c>
      <c r="D65" s="3">
        <v>0.6</v>
      </c>
      <c r="E65" s="3">
        <v>0.38</v>
      </c>
      <c r="F65" s="6">
        <v>586.94378700000004</v>
      </c>
      <c r="G65" s="3">
        <v>0</v>
      </c>
      <c r="I65" s="3" t="s">
        <v>60</v>
      </c>
      <c r="J65" s="3">
        <v>0.32</v>
      </c>
      <c r="K65" s="7">
        <v>596.61273200000005</v>
      </c>
      <c r="L65" s="3">
        <v>0</v>
      </c>
      <c r="M65" s="3">
        <f t="shared" si="4"/>
        <v>0.35</v>
      </c>
      <c r="N65" s="5"/>
      <c r="O65" s="5"/>
      <c r="P65" s="5"/>
      <c r="Q65" s="5"/>
      <c r="R65" s="1"/>
      <c r="S65" s="3" t="s">
        <v>60</v>
      </c>
      <c r="T65" s="3">
        <v>0.9</v>
      </c>
      <c r="U65" s="3">
        <v>0.5</v>
      </c>
      <c r="V65" s="3">
        <v>0.6</v>
      </c>
      <c r="W65" s="3">
        <v>0.33</v>
      </c>
      <c r="X65" s="6">
        <v>559.60125700000003</v>
      </c>
      <c r="Y65" s="3">
        <v>1E-3</v>
      </c>
      <c r="AA65" s="3" t="s">
        <v>60</v>
      </c>
      <c r="AB65" s="3">
        <v>0.43</v>
      </c>
      <c r="AC65" s="7">
        <v>572.11175500000002</v>
      </c>
      <c r="AD65" s="3">
        <v>1E-3</v>
      </c>
      <c r="AE65" s="3">
        <f t="shared" si="5"/>
        <v>0.38</v>
      </c>
      <c r="AF65" s="5"/>
      <c r="AG65" s="5"/>
      <c r="AH65" s="5"/>
      <c r="AI65" s="5"/>
      <c r="AJ65" s="1"/>
      <c r="AK65" s="3" t="s">
        <v>61</v>
      </c>
      <c r="AL65" s="3">
        <v>0.9</v>
      </c>
      <c r="AM65" s="3">
        <v>0.5</v>
      </c>
      <c r="AN65" s="3">
        <v>0.6</v>
      </c>
      <c r="AO65" s="3">
        <v>0.32</v>
      </c>
      <c r="AP65" s="7">
        <v>1007.883362</v>
      </c>
      <c r="AQ65" s="3">
        <v>7.0000000000000001E-3</v>
      </c>
      <c r="AS65" s="3" t="s">
        <v>61</v>
      </c>
      <c r="AT65" s="3">
        <v>0.3</v>
      </c>
      <c r="AU65" s="6">
        <v>981.14739999999995</v>
      </c>
      <c r="AV65" s="3">
        <v>1E-3</v>
      </c>
      <c r="AW65" s="3">
        <f t="shared" si="6"/>
        <v>0.31</v>
      </c>
      <c r="AX65" s="5"/>
      <c r="AY65" s="5"/>
      <c r="AZ65" s="5"/>
      <c r="BA65" s="5"/>
      <c r="BB65" s="1"/>
      <c r="BC65" s="3" t="s">
        <v>61</v>
      </c>
      <c r="BD65" s="3">
        <v>0.9</v>
      </c>
      <c r="BE65" s="3">
        <v>0.5</v>
      </c>
      <c r="BF65" s="3">
        <v>0.6</v>
      </c>
      <c r="BG65" s="3">
        <v>0.3</v>
      </c>
      <c r="BH65" s="6">
        <v>956.61090100000001</v>
      </c>
      <c r="BI65" s="3">
        <v>6.0000000000000001E-3</v>
      </c>
      <c r="BK65" s="3" t="s">
        <v>61</v>
      </c>
      <c r="BL65" s="3">
        <v>0.31</v>
      </c>
      <c r="BM65" s="7">
        <v>1003.861206</v>
      </c>
      <c r="BN65" s="3">
        <v>1E-3</v>
      </c>
      <c r="BO65" s="3">
        <f t="shared" si="7"/>
        <v>0.30499999999999999</v>
      </c>
    </row>
    <row r="66" spans="1:71" x14ac:dyDescent="0.3">
      <c r="A66" s="3" t="s">
        <v>62</v>
      </c>
      <c r="B66" s="3">
        <v>0.9</v>
      </c>
      <c r="C66" s="3">
        <v>0.5</v>
      </c>
      <c r="D66" s="3">
        <v>0.6</v>
      </c>
      <c r="E66" s="3">
        <v>0.43</v>
      </c>
      <c r="F66" s="6">
        <v>396.86749300000002</v>
      </c>
      <c r="G66" s="3">
        <v>1E-3</v>
      </c>
      <c r="I66" s="3" t="s">
        <v>62</v>
      </c>
      <c r="J66" s="3">
        <v>0.41</v>
      </c>
      <c r="K66" s="6">
        <v>396.86749300000002</v>
      </c>
      <c r="L66" s="3">
        <v>0</v>
      </c>
      <c r="M66" s="3">
        <f t="shared" si="4"/>
        <v>0.42</v>
      </c>
      <c r="N66" s="5"/>
      <c r="O66" s="5"/>
      <c r="P66" s="5"/>
      <c r="Q66" s="5"/>
      <c r="R66" s="1"/>
      <c r="S66" s="3" t="s">
        <v>62</v>
      </c>
      <c r="T66" s="3">
        <v>0.9</v>
      </c>
      <c r="U66" s="3">
        <v>0.5</v>
      </c>
      <c r="V66" s="3">
        <v>0.6</v>
      </c>
      <c r="W66" s="3">
        <v>0.37</v>
      </c>
      <c r="X66" s="6">
        <v>386.23226899999997</v>
      </c>
      <c r="Y66" s="3">
        <v>1E-3</v>
      </c>
      <c r="AA66" s="3" t="s">
        <v>62</v>
      </c>
      <c r="AB66" s="3">
        <v>0.41</v>
      </c>
      <c r="AC66" s="6">
        <v>386.23226899999997</v>
      </c>
      <c r="AD66" s="3">
        <v>0</v>
      </c>
      <c r="AE66" s="3">
        <f t="shared" si="5"/>
        <v>0.39</v>
      </c>
      <c r="AF66" s="5"/>
      <c r="AG66" s="5"/>
      <c r="AH66" s="5"/>
      <c r="AI66" s="5"/>
      <c r="AJ66" s="1"/>
      <c r="AK66" s="3" t="s">
        <v>63</v>
      </c>
      <c r="AL66" s="3">
        <v>0.9</v>
      </c>
      <c r="AM66" s="3">
        <v>0.5</v>
      </c>
      <c r="AN66" s="3">
        <v>0.6</v>
      </c>
      <c r="AO66" s="3">
        <v>0.3</v>
      </c>
      <c r="AP66" s="6">
        <v>987.89642300000003</v>
      </c>
      <c r="AQ66" s="3">
        <v>7.0000000000000001E-3</v>
      </c>
      <c r="AS66" s="3" t="s">
        <v>63</v>
      </c>
      <c r="AT66" s="3">
        <v>0.3</v>
      </c>
      <c r="AU66" s="7">
        <v>994.362122</v>
      </c>
      <c r="AV66" s="3">
        <v>1E-3</v>
      </c>
      <c r="AW66" s="3">
        <f t="shared" si="6"/>
        <v>0.3</v>
      </c>
      <c r="AX66" s="5"/>
      <c r="AY66" s="5"/>
      <c r="AZ66" s="5"/>
      <c r="BA66" s="5"/>
      <c r="BB66" s="1"/>
      <c r="BC66" s="3" t="s">
        <v>63</v>
      </c>
      <c r="BD66" s="3">
        <v>0.9</v>
      </c>
      <c r="BE66" s="3">
        <v>0.5</v>
      </c>
      <c r="BF66" s="3">
        <v>0.6</v>
      </c>
      <c r="BG66" s="3">
        <v>0.31</v>
      </c>
      <c r="BH66" s="6">
        <v>967.34619099999998</v>
      </c>
      <c r="BI66" s="3">
        <v>4.0000000000000001E-3</v>
      </c>
      <c r="BK66" s="3" t="s">
        <v>63</v>
      </c>
      <c r="BL66" s="3">
        <v>0.35</v>
      </c>
      <c r="BM66" s="7">
        <v>979.96758999999997</v>
      </c>
      <c r="BN66" s="3">
        <v>0</v>
      </c>
      <c r="BO66" s="3">
        <f t="shared" si="7"/>
        <v>0.32999999999999996</v>
      </c>
    </row>
    <row r="67" spans="1:71" x14ac:dyDescent="0.3">
      <c r="A67" s="3" t="s">
        <v>64</v>
      </c>
      <c r="B67" s="3">
        <v>0.9</v>
      </c>
      <c r="C67" s="3">
        <v>0.5</v>
      </c>
      <c r="D67" s="3">
        <v>0.6</v>
      </c>
      <c r="E67" s="3">
        <v>0.32</v>
      </c>
      <c r="F67" s="6">
        <v>557.57983400000001</v>
      </c>
      <c r="G67" s="3">
        <v>1E-3</v>
      </c>
      <c r="I67" s="3" t="s">
        <v>64</v>
      </c>
      <c r="J67" s="3">
        <v>0.31</v>
      </c>
      <c r="K67" s="6">
        <v>557.57983400000001</v>
      </c>
      <c r="L67" s="3">
        <v>0</v>
      </c>
      <c r="M67" s="3">
        <f t="shared" si="4"/>
        <v>0.315</v>
      </c>
      <c r="N67" s="5"/>
      <c r="O67" s="5"/>
      <c r="P67" s="5"/>
      <c r="Q67" s="5"/>
      <c r="R67" s="1"/>
      <c r="S67" s="3" t="s">
        <v>64</v>
      </c>
      <c r="T67" s="3">
        <v>0.9</v>
      </c>
      <c r="U67" s="3">
        <v>0.5</v>
      </c>
      <c r="V67" s="3">
        <v>0.6</v>
      </c>
      <c r="W67" s="3">
        <v>0.32</v>
      </c>
      <c r="X67" s="6">
        <v>549.18920900000001</v>
      </c>
      <c r="Y67" s="3">
        <v>1E-3</v>
      </c>
      <c r="AA67" s="3" t="s">
        <v>64</v>
      </c>
      <c r="AB67" s="3">
        <v>0.31</v>
      </c>
      <c r="AC67" s="6">
        <v>549.18920900000001</v>
      </c>
      <c r="AD67" s="3">
        <v>0</v>
      </c>
      <c r="AE67" s="3">
        <f t="shared" si="5"/>
        <v>0.315</v>
      </c>
      <c r="AF67" s="5"/>
      <c r="AG67" s="5"/>
      <c r="AH67" s="5"/>
      <c r="AI67" s="5"/>
      <c r="AJ67" s="1"/>
      <c r="AK67" s="3" t="s">
        <v>65</v>
      </c>
      <c r="AL67" s="3">
        <v>0.9</v>
      </c>
      <c r="AM67" s="3">
        <v>0.5</v>
      </c>
      <c r="AN67" s="3">
        <v>0.6</v>
      </c>
      <c r="AO67" s="3">
        <v>0.3</v>
      </c>
      <c r="AP67" s="7">
        <v>935.03942900000004</v>
      </c>
      <c r="AQ67" s="3">
        <v>8.0000000000000002E-3</v>
      </c>
      <c r="AS67" s="3" t="s">
        <v>65</v>
      </c>
      <c r="AT67" s="3">
        <v>0.31</v>
      </c>
      <c r="AU67" s="6">
        <v>933.14739999999995</v>
      </c>
      <c r="AV67" s="3">
        <v>0</v>
      </c>
      <c r="AW67" s="3">
        <f t="shared" si="6"/>
        <v>0.30499999999999999</v>
      </c>
      <c r="AX67" s="5"/>
      <c r="AY67" s="5"/>
      <c r="AZ67" s="5"/>
      <c r="BA67" s="5"/>
      <c r="BB67" s="1"/>
      <c r="BC67" s="3" t="s">
        <v>65</v>
      </c>
      <c r="BD67" s="3">
        <v>0.9</v>
      </c>
      <c r="BE67" s="3">
        <v>0.5</v>
      </c>
      <c r="BF67" s="3">
        <v>0.6</v>
      </c>
      <c r="BG67" s="3">
        <v>0.3</v>
      </c>
      <c r="BH67" s="8">
        <v>912.40722700000003</v>
      </c>
      <c r="BI67" s="3">
        <v>5.0000000000000001E-3</v>
      </c>
      <c r="BK67" s="3" t="s">
        <v>65</v>
      </c>
      <c r="BL67" s="3">
        <v>0.3</v>
      </c>
      <c r="BM67" s="6">
        <v>932.00329599999998</v>
      </c>
      <c r="BN67" s="3">
        <v>0</v>
      </c>
      <c r="BO67" s="3">
        <f t="shared" si="7"/>
        <v>0.3</v>
      </c>
    </row>
    <row r="68" spans="1:71" x14ac:dyDescent="0.3">
      <c r="A68" s="3" t="s">
        <v>66</v>
      </c>
      <c r="B68" s="3">
        <v>0.9</v>
      </c>
      <c r="C68" s="3">
        <v>0.5</v>
      </c>
      <c r="D68" s="3">
        <v>0.6</v>
      </c>
      <c r="E68" s="3">
        <v>0.47</v>
      </c>
      <c r="F68" s="6">
        <v>509.56030299999998</v>
      </c>
      <c r="G68" s="3">
        <v>0</v>
      </c>
      <c r="I68" s="3" t="s">
        <v>66</v>
      </c>
      <c r="J68" s="3">
        <v>0.31</v>
      </c>
      <c r="K68" s="6">
        <v>509.56030299999998</v>
      </c>
      <c r="L68" s="3">
        <v>0</v>
      </c>
      <c r="M68" s="3">
        <f t="shared" si="4"/>
        <v>0.39</v>
      </c>
      <c r="N68" s="5"/>
      <c r="O68" s="5"/>
      <c r="P68" s="5"/>
      <c r="Q68" s="5"/>
      <c r="R68" s="1"/>
      <c r="S68" s="3" t="s">
        <v>66</v>
      </c>
      <c r="T68" s="3">
        <v>0.9</v>
      </c>
      <c r="U68" s="3">
        <v>0.5</v>
      </c>
      <c r="V68" s="3">
        <v>0.6</v>
      </c>
      <c r="W68" s="3">
        <v>0.31</v>
      </c>
      <c r="X68" s="6">
        <v>486.33865400000002</v>
      </c>
      <c r="Y68" s="3">
        <v>0</v>
      </c>
      <c r="AA68" s="3" t="s">
        <v>66</v>
      </c>
      <c r="AB68" s="3">
        <v>0.33</v>
      </c>
      <c r="AC68" s="7">
        <v>491.73132299999997</v>
      </c>
      <c r="AD68" s="3">
        <v>0</v>
      </c>
      <c r="AE68" s="3">
        <f t="shared" si="5"/>
        <v>0.32</v>
      </c>
      <c r="AF68" s="5"/>
      <c r="AG68" s="5"/>
      <c r="AH68" s="5"/>
      <c r="AI68" s="5"/>
      <c r="AJ68" s="1"/>
      <c r="AK68" s="3" t="s">
        <v>67</v>
      </c>
      <c r="AL68" s="3">
        <v>0.9</v>
      </c>
      <c r="AM68" s="3">
        <v>0.5</v>
      </c>
      <c r="AN68" s="3">
        <v>0.6</v>
      </c>
      <c r="AO68" s="3">
        <v>0.3</v>
      </c>
      <c r="AP68" s="6">
        <v>971.71270800000002</v>
      </c>
      <c r="AQ68" s="3">
        <v>6.0000000000000001E-3</v>
      </c>
      <c r="AS68" s="3" t="s">
        <v>67</v>
      </c>
      <c r="AT68" s="3">
        <v>0.3</v>
      </c>
      <c r="AU68" s="7">
        <v>981.40795900000001</v>
      </c>
      <c r="AV68" s="3">
        <v>1E-3</v>
      </c>
      <c r="AW68" s="3">
        <f t="shared" si="6"/>
        <v>0.3</v>
      </c>
      <c r="AX68" s="5"/>
      <c r="AY68" s="5"/>
      <c r="AZ68" s="5"/>
      <c r="BA68" s="5"/>
      <c r="BB68" s="1"/>
      <c r="BC68" s="3" t="s">
        <v>67</v>
      </c>
      <c r="BD68" s="3">
        <v>0.9</v>
      </c>
      <c r="BE68" s="3">
        <v>0.5</v>
      </c>
      <c r="BF68" s="3">
        <v>0.6</v>
      </c>
      <c r="BG68" s="3">
        <v>0.39</v>
      </c>
      <c r="BH68" s="7">
        <v>984.52044699999999</v>
      </c>
      <c r="BI68" s="3">
        <v>5.0000000000000001E-3</v>
      </c>
      <c r="BK68" s="3" t="s">
        <v>67</v>
      </c>
      <c r="BL68" s="3">
        <v>0.31</v>
      </c>
      <c r="BM68" s="6">
        <v>977.75140399999998</v>
      </c>
      <c r="BN68" s="3">
        <v>1E-3</v>
      </c>
      <c r="BO68" s="3">
        <f t="shared" si="7"/>
        <v>0.35</v>
      </c>
    </row>
    <row r="69" spans="1:71" x14ac:dyDescent="0.3">
      <c r="A69" s="3" t="s">
        <v>68</v>
      </c>
      <c r="B69" s="3">
        <v>0.9</v>
      </c>
      <c r="C69" s="3">
        <v>0.5</v>
      </c>
      <c r="D69" s="3">
        <v>0.6</v>
      </c>
      <c r="E69" s="3">
        <v>0.35</v>
      </c>
      <c r="F69" s="6">
        <v>396.642426</v>
      </c>
      <c r="G69" s="3">
        <v>1E-3</v>
      </c>
      <c r="I69" s="3" t="s">
        <v>68</v>
      </c>
      <c r="J69" s="3">
        <v>0.37</v>
      </c>
      <c r="K69" s="7">
        <v>397.11013800000001</v>
      </c>
      <c r="L69" s="3">
        <v>0</v>
      </c>
      <c r="M69" s="3">
        <f t="shared" si="4"/>
        <v>0.36</v>
      </c>
      <c r="N69" s="5"/>
      <c r="O69" s="5"/>
      <c r="P69" s="5"/>
      <c r="Q69" s="5"/>
      <c r="R69" s="1"/>
      <c r="S69" s="3" t="s">
        <v>68</v>
      </c>
      <c r="T69" s="3">
        <v>0.9</v>
      </c>
      <c r="U69" s="3">
        <v>0.5</v>
      </c>
      <c r="V69" s="3">
        <v>0.6</v>
      </c>
      <c r="W69" s="3">
        <v>0.33</v>
      </c>
      <c r="X69" s="6">
        <v>389.56133999999997</v>
      </c>
      <c r="Y69" s="3">
        <v>0</v>
      </c>
      <c r="AA69" s="3" t="s">
        <v>68</v>
      </c>
      <c r="AB69" s="3">
        <v>0.44</v>
      </c>
      <c r="AC69" s="8">
        <v>389.64953600000001</v>
      </c>
      <c r="AD69" s="3">
        <v>0</v>
      </c>
      <c r="AE69" s="3">
        <f t="shared" si="5"/>
        <v>0.38500000000000001</v>
      </c>
      <c r="AF69" s="5"/>
      <c r="AG69" s="5"/>
      <c r="AH69" s="5"/>
      <c r="AI69" s="5"/>
      <c r="AJ69" s="1"/>
      <c r="AK69" s="3" t="s">
        <v>69</v>
      </c>
      <c r="AL69" s="3">
        <v>0.9</v>
      </c>
      <c r="AM69" s="3">
        <v>0.5</v>
      </c>
      <c r="AN69" s="3">
        <v>0.6</v>
      </c>
      <c r="AO69" s="3">
        <v>0.3</v>
      </c>
      <c r="AP69" s="6">
        <v>995.40362500000003</v>
      </c>
      <c r="AQ69" s="3">
        <v>6.0000000000000001E-3</v>
      </c>
      <c r="AS69" s="3" t="s">
        <v>69</v>
      </c>
      <c r="AT69" s="3">
        <v>0.32</v>
      </c>
      <c r="AU69" s="7">
        <v>1000.929749</v>
      </c>
      <c r="AV69" s="3">
        <v>1E-3</v>
      </c>
      <c r="AW69" s="3">
        <f t="shared" si="6"/>
        <v>0.31</v>
      </c>
      <c r="AX69" s="5"/>
      <c r="AY69" s="5"/>
      <c r="AZ69" s="5"/>
      <c r="BA69" s="5"/>
      <c r="BB69" s="1"/>
      <c r="BC69" s="3" t="s">
        <v>69</v>
      </c>
      <c r="BD69" s="3">
        <v>0.9</v>
      </c>
      <c r="BE69" s="3">
        <v>0.5</v>
      </c>
      <c r="BF69" s="3">
        <v>0.6</v>
      </c>
      <c r="BG69" s="3">
        <v>0.31</v>
      </c>
      <c r="BH69" s="6">
        <v>961.64685099999997</v>
      </c>
      <c r="BI69" s="3">
        <v>4.0000000000000001E-3</v>
      </c>
      <c r="BK69" s="3" t="s">
        <v>69</v>
      </c>
      <c r="BL69" s="3">
        <v>0.3</v>
      </c>
      <c r="BM69" s="7">
        <v>988.78613299999995</v>
      </c>
      <c r="BN69" s="3">
        <v>1E-3</v>
      </c>
      <c r="BO69" s="3">
        <f t="shared" si="7"/>
        <v>0.30499999999999999</v>
      </c>
    </row>
    <row r="70" spans="1:71" x14ac:dyDescent="0.3">
      <c r="A70" s="3" t="s">
        <v>316</v>
      </c>
      <c r="E70" s="3">
        <f>AVERAGE(E40:E69)</f>
        <v>0.35866666666666663</v>
      </c>
      <c r="I70" s="9" t="s">
        <v>316</v>
      </c>
      <c r="J70" s="9">
        <f>AVERAGE(J40:J69)</f>
        <v>0.37033333333333335</v>
      </c>
      <c r="R70" s="1"/>
      <c r="S70" s="9" t="s">
        <v>316</v>
      </c>
      <c r="W70" s="9">
        <f>AVERAGE(W40:W69)</f>
        <v>0.34633333333333333</v>
      </c>
      <c r="AA70" s="9" t="s">
        <v>316</v>
      </c>
      <c r="AB70" s="9">
        <f>AVERAGE(AB40:AB69)</f>
        <v>0.35799999999999998</v>
      </c>
      <c r="AJ70" s="1"/>
      <c r="AK70" s="9" t="s">
        <v>316</v>
      </c>
      <c r="AO70" s="9">
        <f>AVERAGE(AO40:AO69)</f>
        <v>0.313</v>
      </c>
      <c r="AS70" s="9" t="s">
        <v>316</v>
      </c>
      <c r="AT70" s="9">
        <f>AVERAGE(AT40:AT69)</f>
        <v>0.31066666666666676</v>
      </c>
      <c r="AW70" s="5"/>
      <c r="AX70" s="5"/>
      <c r="AY70" s="5"/>
      <c r="AZ70" s="5"/>
      <c r="BA70" s="5"/>
      <c r="BB70" s="1"/>
      <c r="BC70" s="9" t="s">
        <v>316</v>
      </c>
      <c r="BG70" s="9">
        <f>AVERAGE(BG40:BG69)</f>
        <v>0.31833333333333347</v>
      </c>
      <c r="BK70" s="9" t="s">
        <v>316</v>
      </c>
      <c r="BL70" s="9">
        <f>AVERAGE(BL40:BL69)</f>
        <v>0.32866666666666672</v>
      </c>
      <c r="BO70" s="5"/>
    </row>
    <row r="71" spans="1:71" x14ac:dyDescent="0.3">
      <c r="R71" s="1"/>
      <c r="AJ71" s="1"/>
      <c r="AW71" s="5"/>
      <c r="AX71" s="5"/>
      <c r="AY71" s="5"/>
      <c r="AZ71" s="5"/>
      <c r="BA71" s="5"/>
      <c r="BB71" s="1"/>
      <c r="BO71" s="5"/>
    </row>
    <row r="72" spans="1:71" x14ac:dyDescent="0.3">
      <c r="R72" s="1"/>
      <c r="AJ72" s="1"/>
      <c r="AW72" s="5"/>
      <c r="AX72" s="5"/>
      <c r="AY72" s="5"/>
      <c r="AZ72" s="5"/>
      <c r="BA72" s="5"/>
      <c r="BB72" s="1"/>
      <c r="BO72" s="5"/>
    </row>
    <row r="73" spans="1:71" x14ac:dyDescent="0.3">
      <c r="A73" s="19" t="s">
        <v>314</v>
      </c>
      <c r="B73" s="19"/>
      <c r="C73" s="19"/>
      <c r="D73" s="19"/>
      <c r="E73" s="19"/>
      <c r="F73" s="19"/>
      <c r="G73" s="19"/>
      <c r="I73" s="19" t="s">
        <v>315</v>
      </c>
      <c r="J73" s="19"/>
      <c r="K73" s="19"/>
      <c r="L73" s="19"/>
      <c r="M73" s="19"/>
      <c r="N73" s="11"/>
      <c r="O73" s="11"/>
      <c r="P73" s="11"/>
      <c r="Q73" s="11"/>
      <c r="R73" s="1"/>
      <c r="S73" s="19" t="s">
        <v>314</v>
      </c>
      <c r="T73" s="19"/>
      <c r="U73" s="19"/>
      <c r="V73" s="19"/>
      <c r="W73" s="19"/>
      <c r="X73" s="19"/>
      <c r="Y73" s="19"/>
      <c r="AA73" s="19" t="s">
        <v>315</v>
      </c>
      <c r="AB73" s="19"/>
      <c r="AC73" s="19"/>
      <c r="AD73" s="19"/>
      <c r="AE73" s="19"/>
      <c r="AF73" s="11"/>
      <c r="AG73" s="11"/>
      <c r="AH73" s="11"/>
      <c r="AI73" s="11"/>
      <c r="AJ73" s="1"/>
      <c r="AK73" s="19" t="s">
        <v>314</v>
      </c>
      <c r="AL73" s="19"/>
      <c r="AM73" s="19"/>
      <c r="AN73" s="19"/>
      <c r="AO73" s="19"/>
      <c r="AP73" s="19"/>
      <c r="AQ73" s="19"/>
      <c r="AS73" s="19" t="s">
        <v>315</v>
      </c>
      <c r="AT73" s="19"/>
      <c r="AU73" s="19"/>
      <c r="AV73" s="19"/>
      <c r="AW73" s="19"/>
      <c r="AX73" s="11"/>
      <c r="AY73" s="11"/>
      <c r="AZ73" s="11"/>
      <c r="BA73" s="11"/>
      <c r="BB73" s="1"/>
      <c r="BC73" s="19" t="s">
        <v>314</v>
      </c>
      <c r="BD73" s="19"/>
      <c r="BE73" s="19"/>
      <c r="BF73" s="19"/>
      <c r="BG73" s="19"/>
      <c r="BH73" s="19"/>
      <c r="BI73" s="19"/>
      <c r="BK73" s="19" t="s">
        <v>315</v>
      </c>
      <c r="BL73" s="19"/>
      <c r="BM73" s="19"/>
      <c r="BN73" s="19"/>
      <c r="BO73" s="19"/>
    </row>
    <row r="74" spans="1:71" x14ac:dyDescent="0.3">
      <c r="A74" s="19" t="s">
        <v>72</v>
      </c>
      <c r="B74" s="19"/>
      <c r="C74" s="19"/>
      <c r="D74" s="19"/>
      <c r="E74" s="19"/>
      <c r="F74" s="19"/>
      <c r="G74" s="19"/>
      <c r="I74" s="19" t="s">
        <v>72</v>
      </c>
      <c r="J74" s="19"/>
      <c r="K74" s="19"/>
      <c r="L74" s="19"/>
      <c r="M74" s="19"/>
      <c r="N74" s="11"/>
      <c r="O74" s="11"/>
      <c r="P74" s="11"/>
      <c r="Q74" s="11"/>
      <c r="R74" s="1"/>
      <c r="S74" s="19" t="s">
        <v>73</v>
      </c>
      <c r="T74" s="19"/>
      <c r="U74" s="19"/>
      <c r="V74" s="19"/>
      <c r="W74" s="19"/>
      <c r="X74" s="19"/>
      <c r="Y74" s="19"/>
      <c r="AA74" s="19" t="s">
        <v>73</v>
      </c>
      <c r="AB74" s="19"/>
      <c r="AC74" s="19"/>
      <c r="AD74" s="19"/>
      <c r="AE74" s="19"/>
      <c r="AF74" s="11"/>
      <c r="AG74" s="11"/>
      <c r="AH74" s="11"/>
      <c r="AI74" s="11"/>
      <c r="AJ74" s="1"/>
      <c r="AK74" s="19" t="s">
        <v>72</v>
      </c>
      <c r="AL74" s="19"/>
      <c r="AM74" s="19"/>
      <c r="AN74" s="19"/>
      <c r="AO74" s="19"/>
      <c r="AP74" s="19"/>
      <c r="AQ74" s="19"/>
      <c r="AS74" s="19" t="s">
        <v>72</v>
      </c>
      <c r="AT74" s="19"/>
      <c r="AU74" s="19"/>
      <c r="AV74" s="19"/>
      <c r="AW74" s="19"/>
      <c r="AX74" s="11"/>
      <c r="AY74" s="11"/>
      <c r="AZ74" s="11"/>
      <c r="BA74" s="11"/>
      <c r="BB74" s="1"/>
      <c r="BC74" s="19" t="s">
        <v>73</v>
      </c>
      <c r="BD74" s="19"/>
      <c r="BE74" s="19"/>
      <c r="BF74" s="19"/>
      <c r="BG74" s="19"/>
      <c r="BH74" s="19"/>
      <c r="BI74" s="19"/>
      <c r="BK74" s="19" t="s">
        <v>73</v>
      </c>
      <c r="BL74" s="19"/>
      <c r="BM74" s="19"/>
      <c r="BN74" s="19"/>
      <c r="BO74" s="19"/>
    </row>
    <row r="75" spans="1:71" x14ac:dyDescent="0.3">
      <c r="A75" s="3" t="s">
        <v>2</v>
      </c>
      <c r="B75" s="3" t="s">
        <v>3</v>
      </c>
      <c r="C75" s="3" t="s">
        <v>4</v>
      </c>
      <c r="D75" s="3" t="s">
        <v>5</v>
      </c>
      <c r="E75" s="3" t="s">
        <v>6</v>
      </c>
      <c r="F75" s="3" t="s">
        <v>7</v>
      </c>
      <c r="G75" s="3" t="s">
        <v>8</v>
      </c>
      <c r="I75" s="3" t="s">
        <v>2</v>
      </c>
      <c r="J75" s="3" t="s">
        <v>6</v>
      </c>
      <c r="K75" s="3" t="s">
        <v>7</v>
      </c>
      <c r="L75" s="3" t="s">
        <v>8</v>
      </c>
      <c r="M75" s="3" t="s">
        <v>9</v>
      </c>
      <c r="N75" s="3" t="s">
        <v>322</v>
      </c>
      <c r="O75" s="3" t="s">
        <v>323</v>
      </c>
      <c r="P75" s="3" t="s">
        <v>322</v>
      </c>
      <c r="Q75" s="3" t="s">
        <v>323</v>
      </c>
      <c r="R75" s="1"/>
      <c r="S75" s="3" t="s">
        <v>2</v>
      </c>
      <c r="T75" s="3" t="s">
        <v>3</v>
      </c>
      <c r="U75" s="3" t="s">
        <v>4</v>
      </c>
      <c r="V75" s="3" t="s">
        <v>5</v>
      </c>
      <c r="W75" s="3" t="s">
        <v>6</v>
      </c>
      <c r="X75" s="3" t="s">
        <v>7</v>
      </c>
      <c r="Y75" s="3" t="s">
        <v>8</v>
      </c>
      <c r="AA75" s="3" t="s">
        <v>2</v>
      </c>
      <c r="AB75" s="3" t="s">
        <v>6</v>
      </c>
      <c r="AC75" s="3" t="s">
        <v>7</v>
      </c>
      <c r="AD75" s="3" t="s">
        <v>8</v>
      </c>
      <c r="AE75" s="3" t="s">
        <v>9</v>
      </c>
      <c r="AF75" s="3" t="s">
        <v>322</v>
      </c>
      <c r="AG75" s="3" t="s">
        <v>323</v>
      </c>
      <c r="AH75" s="3" t="s">
        <v>322</v>
      </c>
      <c r="AI75" s="3" t="s">
        <v>323</v>
      </c>
      <c r="AJ75" s="1"/>
      <c r="AK75" s="3" t="s">
        <v>2</v>
      </c>
      <c r="AL75" s="3" t="s">
        <v>3</v>
      </c>
      <c r="AM75" s="3" t="s">
        <v>4</v>
      </c>
      <c r="AN75" s="3" t="s">
        <v>5</v>
      </c>
      <c r="AO75" s="3" t="s">
        <v>6</v>
      </c>
      <c r="AP75" s="3" t="s">
        <v>7</v>
      </c>
      <c r="AQ75" s="3" t="s">
        <v>8</v>
      </c>
      <c r="AS75" s="3" t="s">
        <v>2</v>
      </c>
      <c r="AT75" s="3" t="s">
        <v>6</v>
      </c>
      <c r="AU75" s="3" t="s">
        <v>7</v>
      </c>
      <c r="AV75" s="3" t="s">
        <v>8</v>
      </c>
      <c r="AW75" s="3" t="s">
        <v>9</v>
      </c>
      <c r="AX75" s="3" t="s">
        <v>322</v>
      </c>
      <c r="AY75" s="3" t="s">
        <v>323</v>
      </c>
      <c r="AZ75" s="3" t="s">
        <v>322</v>
      </c>
      <c r="BA75" s="3" t="s">
        <v>323</v>
      </c>
      <c r="BB75" s="1"/>
      <c r="BC75" s="3" t="s">
        <v>2</v>
      </c>
      <c r="BD75" s="3" t="s">
        <v>3</v>
      </c>
      <c r="BE75" s="3" t="s">
        <v>4</v>
      </c>
      <c r="BF75" s="3" t="s">
        <v>5</v>
      </c>
      <c r="BG75" s="3" t="s">
        <v>6</v>
      </c>
      <c r="BH75" s="3" t="s">
        <v>7</v>
      </c>
      <c r="BI75" s="3" t="s">
        <v>8</v>
      </c>
      <c r="BK75" s="3" t="s">
        <v>2</v>
      </c>
      <c r="BL75" s="3" t="s">
        <v>6</v>
      </c>
      <c r="BM75" s="3" t="s">
        <v>7</v>
      </c>
      <c r="BN75" s="3" t="s">
        <v>8</v>
      </c>
      <c r="BO75" s="3" t="s">
        <v>9</v>
      </c>
      <c r="BP75" s="3" t="s">
        <v>322</v>
      </c>
      <c r="BQ75" s="3" t="s">
        <v>323</v>
      </c>
      <c r="BR75" s="3" t="s">
        <v>322</v>
      </c>
      <c r="BS75" s="3" t="s">
        <v>323</v>
      </c>
    </row>
    <row r="76" spans="1:71" x14ac:dyDescent="0.3">
      <c r="A76" s="3" t="s">
        <v>10</v>
      </c>
      <c r="B76" s="3">
        <v>0.9</v>
      </c>
      <c r="C76" s="3">
        <v>0.5</v>
      </c>
      <c r="D76" s="3">
        <v>0.6</v>
      </c>
      <c r="E76" s="3">
        <v>0.39</v>
      </c>
      <c r="F76" s="7">
        <v>388.59506199999998</v>
      </c>
      <c r="G76" s="3">
        <v>1E-3</v>
      </c>
      <c r="I76" s="3" t="s">
        <v>10</v>
      </c>
      <c r="J76" s="3">
        <v>0.45</v>
      </c>
      <c r="K76" s="6">
        <v>387.868225</v>
      </c>
      <c r="L76" s="3">
        <v>0</v>
      </c>
      <c r="M76" s="3">
        <f t="shared" ref="M76:M105" si="8">AVERAGE(E76,J76)</f>
        <v>0.42000000000000004</v>
      </c>
      <c r="N76" s="4" t="s">
        <v>320</v>
      </c>
      <c r="O76" s="4" t="s">
        <v>320</v>
      </c>
      <c r="P76" s="4" t="s">
        <v>321</v>
      </c>
      <c r="Q76" s="4" t="s">
        <v>321</v>
      </c>
      <c r="R76" s="1"/>
      <c r="S76" s="3" t="s">
        <v>10</v>
      </c>
      <c r="T76" s="3">
        <v>0.9</v>
      </c>
      <c r="U76" s="3">
        <v>0.5</v>
      </c>
      <c r="V76" s="3">
        <v>0.6</v>
      </c>
      <c r="W76" s="3">
        <v>0.43</v>
      </c>
      <c r="X76" s="6">
        <v>378.34726000000001</v>
      </c>
      <c r="Y76" s="3">
        <v>0</v>
      </c>
      <c r="AA76" s="3" t="s">
        <v>10</v>
      </c>
      <c r="AB76" s="3">
        <v>0.38</v>
      </c>
      <c r="AC76" s="8">
        <v>378.66863999999998</v>
      </c>
      <c r="AD76" s="3">
        <v>0</v>
      </c>
      <c r="AE76" s="3">
        <f t="shared" ref="AE76:AE105" si="9">AVERAGE(V76,AB76)</f>
        <v>0.49</v>
      </c>
      <c r="AF76" s="4" t="s">
        <v>320</v>
      </c>
      <c r="AG76" s="4" t="s">
        <v>320</v>
      </c>
      <c r="AH76" s="4" t="s">
        <v>321</v>
      </c>
      <c r="AI76" s="4" t="s">
        <v>321</v>
      </c>
      <c r="AJ76" s="1"/>
      <c r="AK76" s="3" t="s">
        <v>11</v>
      </c>
      <c r="AL76" s="3">
        <v>0.9</v>
      </c>
      <c r="AM76" s="3">
        <v>0.5</v>
      </c>
      <c r="AN76" s="3">
        <v>0.6</v>
      </c>
      <c r="AO76" s="3">
        <v>0.36</v>
      </c>
      <c r="AP76" s="3">
        <v>754.50354000000004</v>
      </c>
      <c r="AQ76" s="3">
        <v>4.0000000000000001E-3</v>
      </c>
      <c r="AS76" s="3" t="s">
        <v>11</v>
      </c>
      <c r="AT76" s="3">
        <v>0.3</v>
      </c>
      <c r="AU76" s="6">
        <v>752.327271</v>
      </c>
      <c r="AV76" s="3">
        <v>0</v>
      </c>
      <c r="AW76" s="3">
        <f t="shared" ref="AW76:AW105" si="10">AVERAGE(AO76,AT76)</f>
        <v>0.32999999999999996</v>
      </c>
      <c r="AX76" s="4" t="s">
        <v>320</v>
      </c>
      <c r="AY76" s="4" t="s">
        <v>320</v>
      </c>
      <c r="AZ76" s="4" t="s">
        <v>321</v>
      </c>
      <c r="BA76" s="4" t="s">
        <v>321</v>
      </c>
      <c r="BB76" s="1"/>
      <c r="BC76" s="3" t="s">
        <v>11</v>
      </c>
      <c r="BD76" s="3">
        <v>0.9</v>
      </c>
      <c r="BE76" s="3">
        <v>0.5</v>
      </c>
      <c r="BF76" s="3">
        <v>0.6</v>
      </c>
      <c r="BG76" s="3">
        <v>0.35</v>
      </c>
      <c r="BH76" s="6">
        <v>753.64080799999999</v>
      </c>
      <c r="BI76" s="3">
        <v>5.0000000000000001E-3</v>
      </c>
      <c r="BK76" s="3" t="s">
        <v>11</v>
      </c>
      <c r="BL76" s="3">
        <v>0.3</v>
      </c>
      <c r="BM76" s="7">
        <v>754.52716099999998</v>
      </c>
      <c r="BN76" s="3">
        <v>1E-3</v>
      </c>
      <c r="BO76" s="3">
        <f t="shared" ref="BO76:BO105" si="11">AVERAGE(BG76,BL76)</f>
        <v>0.32499999999999996</v>
      </c>
      <c r="BP76" s="4" t="s">
        <v>320</v>
      </c>
      <c r="BQ76" s="4" t="s">
        <v>320</v>
      </c>
      <c r="BR76" s="4" t="s">
        <v>321</v>
      </c>
      <c r="BS76" s="4" t="s">
        <v>321</v>
      </c>
    </row>
    <row r="77" spans="1:71" x14ac:dyDescent="0.3">
      <c r="A77" s="3" t="s">
        <v>12</v>
      </c>
      <c r="B77" s="3">
        <v>0.9</v>
      </c>
      <c r="C77" s="3">
        <v>0.5</v>
      </c>
      <c r="D77" s="3">
        <v>0.6</v>
      </c>
      <c r="E77" s="3">
        <v>0.35</v>
      </c>
      <c r="F77" s="7">
        <v>428.79330399999998</v>
      </c>
      <c r="G77" s="3">
        <v>1E-3</v>
      </c>
      <c r="I77" s="3" t="s">
        <v>12</v>
      </c>
      <c r="J77" s="3">
        <v>0.74</v>
      </c>
      <c r="K77" s="6">
        <v>426.62390099999999</v>
      </c>
      <c r="L77" s="3">
        <v>0</v>
      </c>
      <c r="M77" s="3">
        <f t="shared" si="8"/>
        <v>0.54499999999999993</v>
      </c>
      <c r="N77" s="3">
        <f>COUNT(F79,F81,F83:F88,F91,F94,F96:F100,F102:F105)</f>
        <v>19</v>
      </c>
      <c r="O77" s="3">
        <f>30-N77</f>
        <v>11</v>
      </c>
      <c r="P77" s="3">
        <f>COUNT(K76:K78,K80:K83,K85,K87,K89:K95,K97,K99,K101,K105)</f>
        <v>20</v>
      </c>
      <c r="Q77" s="3">
        <f>30-P77</f>
        <v>10</v>
      </c>
      <c r="R77" s="1"/>
      <c r="S77" s="3" t="s">
        <v>12</v>
      </c>
      <c r="T77" s="3">
        <v>0.9</v>
      </c>
      <c r="U77" s="3">
        <v>0.5</v>
      </c>
      <c r="V77" s="3">
        <v>0.6</v>
      </c>
      <c r="W77" s="3">
        <v>0.39</v>
      </c>
      <c r="X77" s="7">
        <v>417.44442700000002</v>
      </c>
      <c r="Y77" s="3">
        <v>0</v>
      </c>
      <c r="AA77" s="3" t="s">
        <v>12</v>
      </c>
      <c r="AB77" s="3">
        <v>0.42</v>
      </c>
      <c r="AC77" s="6">
        <v>416.05621300000001</v>
      </c>
      <c r="AD77" s="3">
        <v>0</v>
      </c>
      <c r="AE77" s="3">
        <f t="shared" si="9"/>
        <v>0.51</v>
      </c>
      <c r="AF77" s="3">
        <f>COUNT(X76,X80:X81,X83:X84,X86:X105)</f>
        <v>25</v>
      </c>
      <c r="AG77" s="3">
        <f>30-AF77</f>
        <v>5</v>
      </c>
      <c r="AH77" s="3">
        <f>COUNT(AC76:AC79,AC81:AC83,AC85,AC87,AC89,AC91,AC94:AC95,AC97:AC99,AC102,AC104:AC105)</f>
        <v>19</v>
      </c>
      <c r="AI77" s="3">
        <f>30-AH77</f>
        <v>11</v>
      </c>
      <c r="AJ77" s="1"/>
      <c r="AK77" s="3" t="s">
        <v>13</v>
      </c>
      <c r="AL77" s="3">
        <v>0.9</v>
      </c>
      <c r="AM77" s="3">
        <v>0.5</v>
      </c>
      <c r="AN77" s="3">
        <v>0.6</v>
      </c>
      <c r="AO77" s="3">
        <v>0.35</v>
      </c>
      <c r="AP77" s="6">
        <v>685.78131099999996</v>
      </c>
      <c r="AQ77" s="3">
        <v>4.0000000000000001E-3</v>
      </c>
      <c r="AS77" s="3" t="s">
        <v>13</v>
      </c>
      <c r="AT77" s="3">
        <v>0.31</v>
      </c>
      <c r="AU77" s="7">
        <v>688.79571499999997</v>
      </c>
      <c r="AV77" s="3">
        <v>0</v>
      </c>
      <c r="AW77" s="3">
        <f t="shared" si="10"/>
        <v>0.32999999999999996</v>
      </c>
      <c r="AX77" s="3">
        <f>COUNT(AP77,AP80,AP82:AP83,AP88:AP89,AP92,AP95,AP97,AP100,AP102:AP105)</f>
        <v>14</v>
      </c>
      <c r="AY77" s="3">
        <f>30-AX77</f>
        <v>16</v>
      </c>
      <c r="AZ77" s="3">
        <f>COUNT(AU76,AU78:AU79,AU81,AU84:AU87,AU89:AU91,AU93:AU94,AU96,AU98:AU99,AU101)</f>
        <v>17</v>
      </c>
      <c r="BA77" s="3">
        <f>30-AZ77</f>
        <v>13</v>
      </c>
      <c r="BB77" s="1"/>
      <c r="BC77" s="3" t="s">
        <v>13</v>
      </c>
      <c r="BD77" s="3">
        <v>0.9</v>
      </c>
      <c r="BE77" s="3">
        <v>0.5</v>
      </c>
      <c r="BF77" s="3">
        <v>0.6</v>
      </c>
      <c r="BG77" s="3">
        <v>0.32</v>
      </c>
      <c r="BH77" s="7">
        <v>673.08551</v>
      </c>
      <c r="BI77" s="3">
        <v>4.0000000000000001E-3</v>
      </c>
      <c r="BK77" s="3" t="s">
        <v>13</v>
      </c>
      <c r="BL77" s="3">
        <v>0.32</v>
      </c>
      <c r="BM77" s="6">
        <v>672.56420900000001</v>
      </c>
      <c r="BN77" s="3">
        <v>0</v>
      </c>
      <c r="BO77" s="3">
        <f t="shared" si="11"/>
        <v>0.32</v>
      </c>
      <c r="BP77" s="3">
        <f>COUNT(BH76,BH80:BH83,BH86,BH88:BH89,BH91,BH93:BH95,BH97:BH101)</f>
        <v>17</v>
      </c>
      <c r="BQ77" s="3">
        <f>30-BP77</f>
        <v>13</v>
      </c>
      <c r="BR77" s="3">
        <f>COUNT(BM77:BM79,BM84:BM85,BM87,BM90,BM92,BM96,BM101:BM105)</f>
        <v>14</v>
      </c>
      <c r="BS77" s="3">
        <f>30-BR77</f>
        <v>16</v>
      </c>
    </row>
    <row r="78" spans="1:71" x14ac:dyDescent="0.3">
      <c r="A78" s="3" t="s">
        <v>14</v>
      </c>
      <c r="B78" s="3">
        <v>0.9</v>
      </c>
      <c r="C78" s="3">
        <v>0.5</v>
      </c>
      <c r="D78" s="3">
        <v>0.6</v>
      </c>
      <c r="E78" s="3">
        <v>0.33</v>
      </c>
      <c r="F78" s="7">
        <v>367.32510400000001</v>
      </c>
      <c r="G78" s="3">
        <v>0</v>
      </c>
      <c r="I78" s="3" t="s">
        <v>14</v>
      </c>
      <c r="J78" s="3">
        <v>0.33</v>
      </c>
      <c r="K78" s="6">
        <v>366.77606200000002</v>
      </c>
      <c r="L78" s="3">
        <v>0</v>
      </c>
      <c r="M78" s="3">
        <f t="shared" si="8"/>
        <v>0.33</v>
      </c>
      <c r="N78" s="5"/>
      <c r="O78" s="5"/>
      <c r="P78" s="5"/>
      <c r="Q78" s="5"/>
      <c r="R78" s="1"/>
      <c r="S78" s="3" t="s">
        <v>14</v>
      </c>
      <c r="T78" s="3">
        <v>0.9</v>
      </c>
      <c r="U78" s="3">
        <v>0.5</v>
      </c>
      <c r="V78" s="3">
        <v>0.6</v>
      </c>
      <c r="W78" s="3">
        <v>0.31</v>
      </c>
      <c r="X78" s="7">
        <v>357.08395400000001</v>
      </c>
      <c r="Y78" s="3">
        <v>0</v>
      </c>
      <c r="AA78" s="3" t="s">
        <v>14</v>
      </c>
      <c r="AB78" s="3">
        <v>0.3</v>
      </c>
      <c r="AC78" s="6">
        <v>355.28875699999998</v>
      </c>
      <c r="AD78" s="3">
        <v>0</v>
      </c>
      <c r="AE78" s="3">
        <f t="shared" si="9"/>
        <v>0.44999999999999996</v>
      </c>
      <c r="AF78" s="5"/>
      <c r="AG78" s="5"/>
      <c r="AH78" s="5"/>
      <c r="AI78" s="5"/>
      <c r="AJ78" s="1"/>
      <c r="AK78" s="3" t="s">
        <v>15</v>
      </c>
      <c r="AL78" s="3">
        <v>0.9</v>
      </c>
      <c r="AM78" s="3">
        <v>0.5</v>
      </c>
      <c r="AN78" s="3">
        <v>0.6</v>
      </c>
      <c r="AO78" s="3">
        <v>0.32</v>
      </c>
      <c r="AP78" s="7">
        <v>737.26208499999996</v>
      </c>
      <c r="AQ78" s="3">
        <v>3.0000000000000001E-3</v>
      </c>
      <c r="AS78" s="3" t="s">
        <v>15</v>
      </c>
      <c r="AT78" s="3">
        <v>0.31</v>
      </c>
      <c r="AU78" s="6">
        <v>714.47845500000005</v>
      </c>
      <c r="AV78" s="3">
        <v>0</v>
      </c>
      <c r="AW78" s="3">
        <f t="shared" si="10"/>
        <v>0.315</v>
      </c>
      <c r="AX78" s="5"/>
      <c r="AY78" s="5"/>
      <c r="AZ78" s="5"/>
      <c r="BA78" s="5"/>
      <c r="BB78" s="1"/>
      <c r="BC78" s="3" t="s">
        <v>15</v>
      </c>
      <c r="BD78" s="3">
        <v>0.9</v>
      </c>
      <c r="BE78" s="3">
        <v>0.5</v>
      </c>
      <c r="BF78" s="3">
        <v>0.6</v>
      </c>
      <c r="BG78" s="3">
        <v>0.3</v>
      </c>
      <c r="BH78" s="7">
        <v>735.89562999999998</v>
      </c>
      <c r="BI78" s="3">
        <v>6.0000000000000001E-3</v>
      </c>
      <c r="BK78" s="3" t="s">
        <v>15</v>
      </c>
      <c r="BL78" s="3">
        <v>0.31</v>
      </c>
      <c r="BM78" s="6">
        <v>720.03716999999995</v>
      </c>
      <c r="BN78" s="3">
        <v>0</v>
      </c>
      <c r="BO78" s="3">
        <f t="shared" si="11"/>
        <v>0.30499999999999999</v>
      </c>
    </row>
    <row r="79" spans="1:71" x14ac:dyDescent="0.3">
      <c r="A79" s="3" t="s">
        <v>16</v>
      </c>
      <c r="B79" s="3">
        <v>0.9</v>
      </c>
      <c r="C79" s="3">
        <v>0.5</v>
      </c>
      <c r="D79" s="3">
        <v>0.6</v>
      </c>
      <c r="E79" s="3">
        <v>0.37</v>
      </c>
      <c r="F79" s="6">
        <v>394.36831699999999</v>
      </c>
      <c r="G79" s="3">
        <v>1E-3</v>
      </c>
      <c r="I79" s="3" t="s">
        <v>16</v>
      </c>
      <c r="J79" s="3">
        <v>0.33</v>
      </c>
      <c r="K79" s="7">
        <v>396.91195699999997</v>
      </c>
      <c r="L79" s="3">
        <v>1E-3</v>
      </c>
      <c r="M79" s="3">
        <f t="shared" si="8"/>
        <v>0.35</v>
      </c>
      <c r="N79" s="5"/>
      <c r="O79" s="5"/>
      <c r="P79" s="5"/>
      <c r="Q79" s="5"/>
      <c r="R79" s="1"/>
      <c r="S79" s="3" t="s">
        <v>16</v>
      </c>
      <c r="T79" s="3">
        <v>0.9</v>
      </c>
      <c r="U79" s="3">
        <v>0.5</v>
      </c>
      <c r="V79" s="3">
        <v>0.6</v>
      </c>
      <c r="W79" s="3">
        <v>0.3</v>
      </c>
      <c r="X79" s="7">
        <v>388.27044699999999</v>
      </c>
      <c r="Y79" s="3">
        <v>1E-3</v>
      </c>
      <c r="AA79" s="3" t="s">
        <v>16</v>
      </c>
      <c r="AB79" s="3">
        <v>0.35</v>
      </c>
      <c r="AC79" s="6">
        <v>384.92980999999997</v>
      </c>
      <c r="AD79" s="3">
        <v>0</v>
      </c>
      <c r="AE79" s="3">
        <f t="shared" si="9"/>
        <v>0.47499999999999998</v>
      </c>
      <c r="AF79" s="5"/>
      <c r="AG79" s="5"/>
      <c r="AH79" s="5"/>
      <c r="AI79" s="5"/>
      <c r="AJ79" s="1"/>
      <c r="AK79" s="3" t="s">
        <v>17</v>
      </c>
      <c r="AL79" s="3">
        <v>0.9</v>
      </c>
      <c r="AM79" s="3">
        <v>0.5</v>
      </c>
      <c r="AN79" s="3">
        <v>0.6</v>
      </c>
      <c r="AO79" s="3">
        <v>0.3</v>
      </c>
      <c r="AP79" s="7">
        <v>715.78576699999996</v>
      </c>
      <c r="AQ79" s="3">
        <v>3.0000000000000001E-3</v>
      </c>
      <c r="AS79" s="3" t="s">
        <v>17</v>
      </c>
      <c r="AT79" s="3">
        <v>0.3</v>
      </c>
      <c r="AU79" s="6">
        <v>711.24133300000005</v>
      </c>
      <c r="AV79" s="3">
        <v>0</v>
      </c>
      <c r="AW79" s="3">
        <f t="shared" si="10"/>
        <v>0.3</v>
      </c>
      <c r="AX79" s="5"/>
      <c r="AY79" s="5"/>
      <c r="AZ79" s="5"/>
      <c r="BA79" s="5"/>
      <c r="BB79" s="1"/>
      <c r="BC79" s="3" t="s">
        <v>17</v>
      </c>
      <c r="BD79" s="3">
        <v>0.9</v>
      </c>
      <c r="BE79" s="3">
        <v>0.5</v>
      </c>
      <c r="BF79" s="3">
        <v>0.6</v>
      </c>
      <c r="BG79" s="3">
        <v>0.32</v>
      </c>
      <c r="BH79" s="7">
        <v>714.46227999999996</v>
      </c>
      <c r="BI79" s="3">
        <v>5.0000000000000001E-3</v>
      </c>
      <c r="BK79" s="3" t="s">
        <v>17</v>
      </c>
      <c r="BL79" s="3">
        <v>0.3</v>
      </c>
      <c r="BM79" s="6">
        <v>701.98803699999996</v>
      </c>
      <c r="BN79" s="3">
        <v>0</v>
      </c>
      <c r="BO79" s="3">
        <f t="shared" si="11"/>
        <v>0.31</v>
      </c>
    </row>
    <row r="80" spans="1:71" x14ac:dyDescent="0.3">
      <c r="A80" s="3" t="s">
        <v>18</v>
      </c>
      <c r="B80" s="3">
        <v>0.9</v>
      </c>
      <c r="C80" s="3">
        <v>0.5</v>
      </c>
      <c r="D80" s="3">
        <v>0.6</v>
      </c>
      <c r="E80" s="3">
        <v>0.32</v>
      </c>
      <c r="F80" s="7">
        <v>347.80276500000002</v>
      </c>
      <c r="G80" s="3">
        <v>1E-3</v>
      </c>
      <c r="I80" s="3" t="s">
        <v>18</v>
      </c>
      <c r="J80" s="3">
        <v>0.33</v>
      </c>
      <c r="K80" s="6">
        <v>346.57351699999998</v>
      </c>
      <c r="L80" s="3">
        <v>0</v>
      </c>
      <c r="M80" s="3">
        <f t="shared" si="8"/>
        <v>0.32500000000000001</v>
      </c>
      <c r="N80" s="5"/>
      <c r="O80" s="5"/>
      <c r="P80" s="5"/>
      <c r="Q80" s="5"/>
      <c r="R80" s="1"/>
      <c r="S80" s="3" t="s">
        <v>18</v>
      </c>
      <c r="T80" s="3">
        <v>0.9</v>
      </c>
      <c r="U80" s="3">
        <v>0.5</v>
      </c>
      <c r="V80" s="3">
        <v>0.6</v>
      </c>
      <c r="W80" s="3">
        <v>0.32</v>
      </c>
      <c r="X80" s="6">
        <v>337.70214800000002</v>
      </c>
      <c r="Y80" s="3">
        <v>1E-3</v>
      </c>
      <c r="AA80" s="3" t="s">
        <v>18</v>
      </c>
      <c r="AB80" s="3">
        <v>0.34</v>
      </c>
      <c r="AC80" s="7">
        <v>338.14764400000001</v>
      </c>
      <c r="AD80" s="3">
        <v>0</v>
      </c>
      <c r="AE80" s="3">
        <f t="shared" si="9"/>
        <v>0.47</v>
      </c>
      <c r="AF80" s="5"/>
      <c r="AG80" s="5"/>
      <c r="AH80" s="5"/>
      <c r="AI80" s="5"/>
      <c r="AJ80" s="1"/>
      <c r="AK80" s="3" t="s">
        <v>19</v>
      </c>
      <c r="AL80" s="3">
        <v>0.9</v>
      </c>
      <c r="AM80" s="3">
        <v>0.5</v>
      </c>
      <c r="AN80" s="3">
        <v>0.6</v>
      </c>
      <c r="AO80" s="3">
        <v>0.31</v>
      </c>
      <c r="AP80" s="6">
        <v>757.83526600000005</v>
      </c>
      <c r="AQ80" s="3">
        <v>4.0000000000000001E-3</v>
      </c>
      <c r="AS80" s="3" t="s">
        <v>19</v>
      </c>
      <c r="AT80" s="3">
        <v>0.3</v>
      </c>
      <c r="AU80" s="7">
        <v>760.89361599999995</v>
      </c>
      <c r="AV80" s="3">
        <v>0</v>
      </c>
      <c r="AW80" s="3">
        <f t="shared" si="10"/>
        <v>0.30499999999999999</v>
      </c>
      <c r="AX80" s="5"/>
      <c r="AY80" s="5"/>
      <c r="AZ80" s="5"/>
      <c r="BA80" s="5"/>
      <c r="BB80" s="1"/>
      <c r="BC80" s="3" t="s">
        <v>19</v>
      </c>
      <c r="BD80" s="3">
        <v>0.9</v>
      </c>
      <c r="BE80" s="3">
        <v>0.5</v>
      </c>
      <c r="BF80" s="3">
        <v>0.6</v>
      </c>
      <c r="BG80" s="3">
        <v>0.32</v>
      </c>
      <c r="BH80" s="6">
        <v>741.10516399999995</v>
      </c>
      <c r="BI80" s="3">
        <v>5.0000000000000001E-3</v>
      </c>
      <c r="BK80" s="3" t="s">
        <v>19</v>
      </c>
      <c r="BL80" s="3">
        <v>0.32</v>
      </c>
      <c r="BM80" s="7">
        <v>743.30102499999998</v>
      </c>
      <c r="BN80" s="3">
        <v>0</v>
      </c>
      <c r="BO80" s="3">
        <f t="shared" si="11"/>
        <v>0.32</v>
      </c>
    </row>
    <row r="81" spans="1:67" x14ac:dyDescent="0.3">
      <c r="A81" s="3" t="s">
        <v>20</v>
      </c>
      <c r="B81" s="3">
        <v>0.9</v>
      </c>
      <c r="C81" s="3">
        <v>0.5</v>
      </c>
      <c r="D81" s="3">
        <v>0.6</v>
      </c>
      <c r="E81" s="3">
        <v>0.33</v>
      </c>
      <c r="F81" s="6">
        <v>412.04544099999998</v>
      </c>
      <c r="G81" s="3">
        <v>0</v>
      </c>
      <c r="I81" s="3" t="s">
        <v>20</v>
      </c>
      <c r="J81" s="3">
        <v>0.6</v>
      </c>
      <c r="K81" s="8">
        <v>412.73553500000003</v>
      </c>
      <c r="L81" s="3">
        <v>0</v>
      </c>
      <c r="M81" s="3">
        <f t="shared" si="8"/>
        <v>0.46499999999999997</v>
      </c>
      <c r="N81" s="5"/>
      <c r="O81" s="5"/>
      <c r="P81" s="5"/>
      <c r="Q81" s="5"/>
      <c r="R81" s="1"/>
      <c r="S81" s="3" t="s">
        <v>20</v>
      </c>
      <c r="T81" s="3">
        <v>0.9</v>
      </c>
      <c r="U81" s="3">
        <v>0.5</v>
      </c>
      <c r="V81" s="3">
        <v>0.6</v>
      </c>
      <c r="W81" s="3">
        <v>0.34</v>
      </c>
      <c r="X81" s="8">
        <v>404.81759599999998</v>
      </c>
      <c r="Y81" s="3">
        <v>0</v>
      </c>
      <c r="AA81" s="3" t="s">
        <v>20</v>
      </c>
      <c r="AB81" s="3">
        <v>0.35</v>
      </c>
      <c r="AC81" s="6">
        <v>404.17532299999999</v>
      </c>
      <c r="AD81" s="3">
        <v>0</v>
      </c>
      <c r="AE81" s="3">
        <f t="shared" si="9"/>
        <v>0.47499999999999998</v>
      </c>
      <c r="AF81" s="5"/>
      <c r="AG81" s="5"/>
      <c r="AH81" s="5"/>
      <c r="AI81" s="5"/>
      <c r="AJ81" s="1"/>
      <c r="AK81" s="3" t="s">
        <v>21</v>
      </c>
      <c r="AL81" s="3">
        <v>0.9</v>
      </c>
      <c r="AM81" s="3">
        <v>0.5</v>
      </c>
      <c r="AN81" s="3">
        <v>0.6</v>
      </c>
      <c r="AO81" s="3">
        <v>0.3</v>
      </c>
      <c r="AP81" s="7">
        <v>750.52612299999998</v>
      </c>
      <c r="AQ81" s="3">
        <v>3.0000000000000001E-3</v>
      </c>
      <c r="AS81" s="3" t="s">
        <v>21</v>
      </c>
      <c r="AT81" s="3">
        <v>0.33</v>
      </c>
      <c r="AU81" s="6">
        <v>740.865906</v>
      </c>
      <c r="AV81" s="3">
        <v>0</v>
      </c>
      <c r="AW81" s="3">
        <f t="shared" si="10"/>
        <v>0.315</v>
      </c>
      <c r="AX81" s="5"/>
      <c r="AY81" s="5"/>
      <c r="AZ81" s="5"/>
      <c r="BA81" s="5"/>
      <c r="BB81" s="1"/>
      <c r="BC81" s="3" t="s">
        <v>21</v>
      </c>
      <c r="BD81" s="3">
        <v>0.9</v>
      </c>
      <c r="BE81" s="3">
        <v>0.5</v>
      </c>
      <c r="BF81" s="3">
        <v>0.6</v>
      </c>
      <c r="BG81" s="3">
        <v>0.31</v>
      </c>
      <c r="BH81" s="6">
        <v>724.39593500000001</v>
      </c>
      <c r="BI81" s="3">
        <v>7.0000000000000001E-3</v>
      </c>
      <c r="BK81" s="3" t="s">
        <v>21</v>
      </c>
      <c r="BL81" s="3">
        <v>0.3</v>
      </c>
      <c r="BM81" s="7">
        <v>740.84887700000002</v>
      </c>
      <c r="BN81" s="3">
        <v>0</v>
      </c>
      <c r="BO81" s="3">
        <f t="shared" si="11"/>
        <v>0.30499999999999999</v>
      </c>
    </row>
    <row r="82" spans="1:67" x14ac:dyDescent="0.3">
      <c r="A82" s="3" t="s">
        <v>22</v>
      </c>
      <c r="B82" s="3">
        <v>0.9</v>
      </c>
      <c r="C82" s="3">
        <v>0.5</v>
      </c>
      <c r="D82" s="3">
        <v>0.6</v>
      </c>
      <c r="E82" s="3">
        <v>0.42</v>
      </c>
      <c r="F82" s="7">
        <v>390.87133799999998</v>
      </c>
      <c r="G82" s="3">
        <v>1E-3</v>
      </c>
      <c r="I82" s="3" t="s">
        <v>22</v>
      </c>
      <c r="J82" s="3">
        <v>0.36</v>
      </c>
      <c r="K82" s="6">
        <v>385.50747699999999</v>
      </c>
      <c r="L82" s="3">
        <v>0</v>
      </c>
      <c r="M82" s="3">
        <f t="shared" si="8"/>
        <v>0.39</v>
      </c>
      <c r="N82" s="5"/>
      <c r="O82" s="5"/>
      <c r="P82" s="5"/>
      <c r="Q82" s="5"/>
      <c r="R82" s="1"/>
      <c r="S82" s="3" t="s">
        <v>22</v>
      </c>
      <c r="T82" s="3">
        <v>0.9</v>
      </c>
      <c r="U82" s="3">
        <v>0.5</v>
      </c>
      <c r="V82" s="3">
        <v>0.6</v>
      </c>
      <c r="W82" s="3">
        <v>0.32</v>
      </c>
      <c r="X82" s="7">
        <v>378.59249899999998</v>
      </c>
      <c r="Y82" s="3">
        <v>1E-3</v>
      </c>
      <c r="AA82" s="3" t="s">
        <v>22</v>
      </c>
      <c r="AB82" s="3">
        <v>0.32</v>
      </c>
      <c r="AC82" s="6">
        <v>377.21435500000001</v>
      </c>
      <c r="AD82" s="3">
        <v>0</v>
      </c>
      <c r="AE82" s="3">
        <f t="shared" si="9"/>
        <v>0.45999999999999996</v>
      </c>
      <c r="AF82" s="5"/>
      <c r="AG82" s="5"/>
      <c r="AH82" s="5"/>
      <c r="AI82" s="5"/>
      <c r="AJ82" s="1"/>
      <c r="AK82" s="3" t="s">
        <v>23</v>
      </c>
      <c r="AL82" s="3">
        <v>0.9</v>
      </c>
      <c r="AM82" s="3">
        <v>0.5</v>
      </c>
      <c r="AN82" s="3">
        <v>0.6</v>
      </c>
      <c r="AO82" s="3">
        <v>0.34</v>
      </c>
      <c r="AP82" s="6">
        <v>743.80670199999997</v>
      </c>
      <c r="AQ82" s="3">
        <v>3.0000000000000001E-3</v>
      </c>
      <c r="AS82" s="3" t="s">
        <v>23</v>
      </c>
      <c r="AT82" s="3">
        <v>0.33</v>
      </c>
      <c r="AU82" s="7">
        <v>753.85681199999999</v>
      </c>
      <c r="AV82" s="3">
        <v>0</v>
      </c>
      <c r="AW82" s="3">
        <f t="shared" si="10"/>
        <v>0.33500000000000002</v>
      </c>
      <c r="AX82" s="5"/>
      <c r="AY82" s="5"/>
      <c r="AZ82" s="5"/>
      <c r="BA82" s="5"/>
      <c r="BB82" s="1"/>
      <c r="BC82" s="3" t="s">
        <v>23</v>
      </c>
      <c r="BD82" s="3">
        <v>0.9</v>
      </c>
      <c r="BE82" s="3">
        <v>0.5</v>
      </c>
      <c r="BF82" s="3">
        <v>0.6</v>
      </c>
      <c r="BG82" s="3">
        <v>0.3</v>
      </c>
      <c r="BH82" s="6">
        <v>717.65777600000001</v>
      </c>
      <c r="BI82" s="3">
        <v>6.0000000000000001E-3</v>
      </c>
      <c r="BK82" s="3" t="s">
        <v>23</v>
      </c>
      <c r="BL82" s="3">
        <v>0.32</v>
      </c>
      <c r="BM82" s="7">
        <v>727.20684800000004</v>
      </c>
      <c r="BN82" s="3">
        <v>0</v>
      </c>
      <c r="BO82" s="3">
        <f t="shared" si="11"/>
        <v>0.31</v>
      </c>
    </row>
    <row r="83" spans="1:67" x14ac:dyDescent="0.3">
      <c r="A83" s="3" t="s">
        <v>24</v>
      </c>
      <c r="B83" s="3">
        <v>0.9</v>
      </c>
      <c r="C83" s="3">
        <v>0.5</v>
      </c>
      <c r="D83" s="3">
        <v>0.6</v>
      </c>
      <c r="E83" s="3">
        <v>0.49</v>
      </c>
      <c r="F83" s="6">
        <v>466.09802200000001</v>
      </c>
      <c r="G83" s="3">
        <v>0</v>
      </c>
      <c r="I83" s="3" t="s">
        <v>24</v>
      </c>
      <c r="J83" s="3">
        <v>0.34</v>
      </c>
      <c r="K83" s="8">
        <v>466.89700299999998</v>
      </c>
      <c r="L83" s="3">
        <v>0</v>
      </c>
      <c r="M83" s="3">
        <f t="shared" si="8"/>
        <v>0.41500000000000004</v>
      </c>
      <c r="N83" s="5"/>
      <c r="O83" s="5"/>
      <c r="P83" s="5"/>
      <c r="Q83" s="5"/>
      <c r="R83" s="1"/>
      <c r="S83" s="3" t="s">
        <v>24</v>
      </c>
      <c r="T83" s="3">
        <v>0.9</v>
      </c>
      <c r="U83" s="3">
        <v>0.5</v>
      </c>
      <c r="V83" s="3">
        <v>0.6</v>
      </c>
      <c r="W83" s="3">
        <v>0.32</v>
      </c>
      <c r="X83" s="6">
        <v>451.84316999999999</v>
      </c>
      <c r="Y83" s="3">
        <v>0</v>
      </c>
      <c r="AA83" s="3" t="s">
        <v>24</v>
      </c>
      <c r="AB83" s="3">
        <v>0.34</v>
      </c>
      <c r="AC83" s="6">
        <v>451.84316999999999</v>
      </c>
      <c r="AD83" s="3">
        <v>0</v>
      </c>
      <c r="AE83" s="3">
        <f t="shared" si="9"/>
        <v>0.47</v>
      </c>
      <c r="AF83" s="5"/>
      <c r="AG83" s="5"/>
      <c r="AH83" s="5"/>
      <c r="AI83" s="5"/>
      <c r="AJ83" s="1"/>
      <c r="AK83" s="3" t="s">
        <v>25</v>
      </c>
      <c r="AL83" s="3">
        <v>0.9</v>
      </c>
      <c r="AM83" s="3">
        <v>0.5</v>
      </c>
      <c r="AN83" s="3">
        <v>0.6</v>
      </c>
      <c r="AO83" s="3">
        <v>0.32</v>
      </c>
      <c r="AP83" s="6">
        <v>760.89086899999995</v>
      </c>
      <c r="AQ83" s="3">
        <v>5.0000000000000001E-3</v>
      </c>
      <c r="AS83" s="3" t="s">
        <v>25</v>
      </c>
      <c r="AT83" s="3">
        <v>0.3</v>
      </c>
      <c r="AU83" s="7">
        <v>764.24298099999999</v>
      </c>
      <c r="AV83" s="3">
        <v>0</v>
      </c>
      <c r="AW83" s="3">
        <f t="shared" si="10"/>
        <v>0.31</v>
      </c>
      <c r="AX83" s="5"/>
      <c r="AY83" s="5"/>
      <c r="AZ83" s="5"/>
      <c r="BA83" s="5"/>
      <c r="BB83" s="1"/>
      <c r="BC83" s="3" t="s">
        <v>25</v>
      </c>
      <c r="BD83" s="3">
        <v>0.9</v>
      </c>
      <c r="BE83" s="3">
        <v>0.5</v>
      </c>
      <c r="BF83" s="3">
        <v>0.6</v>
      </c>
      <c r="BG83" s="3">
        <v>0.3</v>
      </c>
      <c r="BH83" s="6">
        <v>760.71978799999999</v>
      </c>
      <c r="BI83" s="3">
        <v>6.0000000000000001E-3</v>
      </c>
      <c r="BK83" s="3" t="s">
        <v>25</v>
      </c>
      <c r="BL83" s="3">
        <v>0.35</v>
      </c>
      <c r="BM83" s="7">
        <v>763.55389400000001</v>
      </c>
      <c r="BN83" s="3">
        <v>1E-3</v>
      </c>
      <c r="BO83" s="3">
        <f t="shared" si="11"/>
        <v>0.32499999999999996</v>
      </c>
    </row>
    <row r="84" spans="1:67" x14ac:dyDescent="0.3">
      <c r="A84" s="3" t="s">
        <v>26</v>
      </c>
      <c r="B84" s="3">
        <v>0.9</v>
      </c>
      <c r="C84" s="3">
        <v>0.5</v>
      </c>
      <c r="D84" s="3">
        <v>0.6</v>
      </c>
      <c r="E84" s="3">
        <v>0.35</v>
      </c>
      <c r="F84" s="6">
        <v>418.75277699999998</v>
      </c>
      <c r="G84" s="3">
        <v>0</v>
      </c>
      <c r="I84" s="3" t="s">
        <v>26</v>
      </c>
      <c r="J84" s="3">
        <v>0.45</v>
      </c>
      <c r="K84" s="7">
        <v>420.22039799999999</v>
      </c>
      <c r="L84" s="3">
        <v>0</v>
      </c>
      <c r="M84" s="3">
        <f t="shared" si="8"/>
        <v>0.4</v>
      </c>
      <c r="N84" s="5"/>
      <c r="O84" s="5"/>
      <c r="P84" s="5"/>
      <c r="Q84" s="5"/>
      <c r="R84" s="1"/>
      <c r="S84" s="3" t="s">
        <v>26</v>
      </c>
      <c r="T84" s="3">
        <v>0.9</v>
      </c>
      <c r="U84" s="3">
        <v>0.5</v>
      </c>
      <c r="V84" s="3">
        <v>0.6</v>
      </c>
      <c r="W84" s="3">
        <v>0.33</v>
      </c>
      <c r="X84" s="6">
        <v>410.80957000000001</v>
      </c>
      <c r="Y84" s="3">
        <v>1E-3</v>
      </c>
      <c r="AA84" s="3" t="s">
        <v>26</v>
      </c>
      <c r="AB84" s="3">
        <v>0.34</v>
      </c>
      <c r="AC84" s="7">
        <v>413.10314899999997</v>
      </c>
      <c r="AD84" s="3">
        <v>0</v>
      </c>
      <c r="AE84" s="3">
        <f t="shared" si="9"/>
        <v>0.47</v>
      </c>
      <c r="AF84" s="5"/>
      <c r="AG84" s="5"/>
      <c r="AH84" s="5"/>
      <c r="AI84" s="5"/>
      <c r="AJ84" s="1"/>
      <c r="AK84" s="3" t="s">
        <v>27</v>
      </c>
      <c r="AL84" s="3">
        <v>0.9</v>
      </c>
      <c r="AM84" s="3">
        <v>0.5</v>
      </c>
      <c r="AN84" s="3">
        <v>0.6</v>
      </c>
      <c r="AO84" s="3">
        <v>0.34</v>
      </c>
      <c r="AP84" s="7">
        <v>747.85253899999998</v>
      </c>
      <c r="AQ84" s="3">
        <v>4.0000000000000001E-3</v>
      </c>
      <c r="AS84" s="3" t="s">
        <v>27</v>
      </c>
      <c r="AT84" s="3">
        <v>0.31</v>
      </c>
      <c r="AU84" s="6">
        <v>714.19787599999995</v>
      </c>
      <c r="AV84" s="3">
        <v>0</v>
      </c>
      <c r="AW84" s="3">
        <f t="shared" si="10"/>
        <v>0.32500000000000001</v>
      </c>
      <c r="AX84" s="5"/>
      <c r="AY84" s="5"/>
      <c r="AZ84" s="5"/>
      <c r="BA84" s="5"/>
      <c r="BB84" s="1"/>
      <c r="BC84" s="3" t="s">
        <v>27</v>
      </c>
      <c r="BD84" s="3">
        <v>0.9</v>
      </c>
      <c r="BE84" s="3">
        <v>0.5</v>
      </c>
      <c r="BF84" s="3">
        <v>0.6</v>
      </c>
      <c r="BG84" s="3">
        <v>0.31</v>
      </c>
      <c r="BH84" s="7">
        <v>733.42687999999998</v>
      </c>
      <c r="BI84" s="3">
        <v>4.0000000000000001E-3</v>
      </c>
      <c r="BK84" s="3" t="s">
        <v>27</v>
      </c>
      <c r="BL84" s="3">
        <v>0.35</v>
      </c>
      <c r="BM84" s="6">
        <v>722.96801800000003</v>
      </c>
      <c r="BN84" s="3">
        <v>1E-3</v>
      </c>
      <c r="BO84" s="3">
        <f t="shared" si="11"/>
        <v>0.32999999999999996</v>
      </c>
    </row>
    <row r="85" spans="1:67" x14ac:dyDescent="0.3">
      <c r="A85" s="3" t="s">
        <v>28</v>
      </c>
      <c r="B85" s="3">
        <v>0.9</v>
      </c>
      <c r="C85" s="3">
        <v>0.5</v>
      </c>
      <c r="D85" s="3">
        <v>0.6</v>
      </c>
      <c r="E85" s="3">
        <v>0.33</v>
      </c>
      <c r="F85" s="6">
        <v>342.79367100000002</v>
      </c>
      <c r="G85" s="3">
        <v>0</v>
      </c>
      <c r="I85" s="3" t="s">
        <v>28</v>
      </c>
      <c r="J85" s="3">
        <v>0.35</v>
      </c>
      <c r="K85" s="6">
        <v>342.79367100000002</v>
      </c>
      <c r="L85" s="3">
        <v>0</v>
      </c>
      <c r="M85" s="3">
        <f t="shared" si="8"/>
        <v>0.33999999999999997</v>
      </c>
      <c r="N85" s="5"/>
      <c r="O85" s="5"/>
      <c r="P85" s="5"/>
      <c r="Q85" s="5"/>
      <c r="R85" s="1"/>
      <c r="S85" s="3" t="s">
        <v>28</v>
      </c>
      <c r="T85" s="3">
        <v>0.9</v>
      </c>
      <c r="U85" s="3">
        <v>0.5</v>
      </c>
      <c r="V85" s="3">
        <v>0.6</v>
      </c>
      <c r="W85" s="3">
        <v>0.4</v>
      </c>
      <c r="X85" s="7">
        <v>333.32995599999998</v>
      </c>
      <c r="Y85" s="3">
        <v>0</v>
      </c>
      <c r="AA85" s="3" t="s">
        <v>28</v>
      </c>
      <c r="AB85" s="3">
        <v>0.45</v>
      </c>
      <c r="AC85" s="6">
        <v>332.42855800000001</v>
      </c>
      <c r="AD85" s="3">
        <v>0</v>
      </c>
      <c r="AE85" s="3">
        <f t="shared" si="9"/>
        <v>0.52500000000000002</v>
      </c>
      <c r="AF85" s="5"/>
      <c r="AG85" s="5"/>
      <c r="AH85" s="5"/>
      <c r="AI85" s="5"/>
      <c r="AJ85" s="1"/>
      <c r="AK85" s="3" t="s">
        <v>29</v>
      </c>
      <c r="AL85" s="3">
        <v>0.9</v>
      </c>
      <c r="AM85" s="3">
        <v>0.5</v>
      </c>
      <c r="AN85" s="3">
        <v>0.6</v>
      </c>
      <c r="AO85" s="3">
        <v>0.32</v>
      </c>
      <c r="AP85" s="7">
        <v>760.686646</v>
      </c>
      <c r="AQ85" s="3">
        <v>3.0000000000000001E-3</v>
      </c>
      <c r="AS85" s="3" t="s">
        <v>29</v>
      </c>
      <c r="AT85" s="3">
        <v>0.32</v>
      </c>
      <c r="AU85" s="6">
        <v>745.17059300000005</v>
      </c>
      <c r="AV85" s="3">
        <v>0</v>
      </c>
      <c r="AW85" s="3">
        <f t="shared" si="10"/>
        <v>0.32</v>
      </c>
      <c r="AX85" s="5"/>
      <c r="AY85" s="5"/>
      <c r="AZ85" s="5"/>
      <c r="BA85" s="5"/>
      <c r="BB85" s="1"/>
      <c r="BC85" s="3" t="s">
        <v>29</v>
      </c>
      <c r="BD85" s="3">
        <v>0.9</v>
      </c>
      <c r="BE85" s="3">
        <v>0.5</v>
      </c>
      <c r="BF85" s="3">
        <v>0.6</v>
      </c>
      <c r="BG85" s="3">
        <v>0.31</v>
      </c>
      <c r="BH85" s="7">
        <v>749.69970699999999</v>
      </c>
      <c r="BI85" s="3">
        <v>6.0000000000000001E-3</v>
      </c>
      <c r="BK85" s="3" t="s">
        <v>29</v>
      </c>
      <c r="BL85" s="3">
        <v>0.39</v>
      </c>
      <c r="BM85" s="6">
        <v>745.14446999999996</v>
      </c>
      <c r="BN85" s="3">
        <v>0</v>
      </c>
      <c r="BO85" s="3">
        <f t="shared" si="11"/>
        <v>0.35</v>
      </c>
    </row>
    <row r="86" spans="1:67" x14ac:dyDescent="0.3">
      <c r="A86" s="3" t="s">
        <v>30</v>
      </c>
      <c r="B86" s="3">
        <v>0.9</v>
      </c>
      <c r="C86" s="3">
        <v>0.5</v>
      </c>
      <c r="D86" s="3">
        <v>0.6</v>
      </c>
      <c r="E86" s="3">
        <v>0.35</v>
      </c>
      <c r="F86" s="6">
        <v>549.63574200000005</v>
      </c>
      <c r="G86" s="3">
        <v>0</v>
      </c>
      <c r="I86" s="3" t="s">
        <v>30</v>
      </c>
      <c r="J86" s="3">
        <v>0.99</v>
      </c>
      <c r="K86" s="7">
        <v>554.65801999999996</v>
      </c>
      <c r="L86" s="3">
        <v>0</v>
      </c>
      <c r="M86" s="3">
        <f t="shared" si="8"/>
        <v>0.66999999999999993</v>
      </c>
      <c r="N86" s="5"/>
      <c r="O86" s="5"/>
      <c r="P86" s="5"/>
      <c r="Q86" s="5"/>
      <c r="R86" s="1"/>
      <c r="S86" s="3" t="s">
        <v>30</v>
      </c>
      <c r="T86" s="3">
        <v>0.9</v>
      </c>
      <c r="U86" s="3">
        <v>0.5</v>
      </c>
      <c r="V86" s="3">
        <v>0.6</v>
      </c>
      <c r="W86" s="3">
        <v>0.48</v>
      </c>
      <c r="X86" s="6">
        <v>545.56408699999997</v>
      </c>
      <c r="Y86" s="3">
        <v>1E-3</v>
      </c>
      <c r="AA86" s="3" t="s">
        <v>30</v>
      </c>
      <c r="AB86" s="3">
        <v>0.5</v>
      </c>
      <c r="AC86" s="7">
        <v>549.96862799999997</v>
      </c>
      <c r="AD86" s="3">
        <v>0</v>
      </c>
      <c r="AE86" s="3">
        <f t="shared" si="9"/>
        <v>0.55000000000000004</v>
      </c>
      <c r="AF86" s="5"/>
      <c r="AG86" s="5"/>
      <c r="AH86" s="5"/>
      <c r="AI86" s="5"/>
      <c r="AJ86" s="1"/>
      <c r="AK86" s="3" t="s">
        <v>31</v>
      </c>
      <c r="AL86" s="3">
        <v>0.9</v>
      </c>
      <c r="AM86" s="3">
        <v>0.5</v>
      </c>
      <c r="AN86" s="3">
        <v>0.6</v>
      </c>
      <c r="AO86" s="3">
        <v>0.31</v>
      </c>
      <c r="AP86" s="7">
        <v>888.32025099999998</v>
      </c>
      <c r="AQ86" s="3">
        <v>4.0000000000000001E-3</v>
      </c>
      <c r="AS86" s="3" t="s">
        <v>31</v>
      </c>
      <c r="AT86" s="3">
        <v>0.32</v>
      </c>
      <c r="AU86" s="6">
        <v>868.57049600000005</v>
      </c>
      <c r="AV86" s="3">
        <v>1E-3</v>
      </c>
      <c r="AW86" s="3">
        <f t="shared" si="10"/>
        <v>0.315</v>
      </c>
      <c r="AX86" s="5"/>
      <c r="AY86" s="5"/>
      <c r="AZ86" s="5"/>
      <c r="BA86" s="5"/>
      <c r="BB86" s="1"/>
      <c r="BC86" s="3" t="s">
        <v>31</v>
      </c>
      <c r="BD86" s="3">
        <v>0.9</v>
      </c>
      <c r="BE86" s="3">
        <v>0.5</v>
      </c>
      <c r="BF86" s="3">
        <v>0.6</v>
      </c>
      <c r="BG86" s="3">
        <v>0.31</v>
      </c>
      <c r="BH86" s="6">
        <v>842.49694799999997</v>
      </c>
      <c r="BI86" s="3">
        <v>8.0000000000000002E-3</v>
      </c>
      <c r="BK86" s="3" t="s">
        <v>31</v>
      </c>
      <c r="BL86" s="3">
        <v>0.31</v>
      </c>
      <c r="BM86" s="7">
        <v>878.51818800000001</v>
      </c>
      <c r="BN86" s="3">
        <v>1E-3</v>
      </c>
      <c r="BO86" s="3">
        <f t="shared" si="11"/>
        <v>0.31</v>
      </c>
    </row>
    <row r="87" spans="1:67" x14ac:dyDescent="0.3">
      <c r="A87" s="3" t="s">
        <v>32</v>
      </c>
      <c r="B87" s="3">
        <v>0.9</v>
      </c>
      <c r="C87" s="3">
        <v>0.5</v>
      </c>
      <c r="D87" s="3">
        <v>0.6</v>
      </c>
      <c r="E87" s="3">
        <v>0.34</v>
      </c>
      <c r="F87" s="6">
        <v>474.83212300000002</v>
      </c>
      <c r="G87" s="3">
        <v>0</v>
      </c>
      <c r="I87" s="3" t="s">
        <v>32</v>
      </c>
      <c r="J87" s="3">
        <v>0.35</v>
      </c>
      <c r="K87" s="6">
        <v>474.83212300000002</v>
      </c>
      <c r="L87" s="3">
        <v>0</v>
      </c>
      <c r="M87" s="3">
        <f t="shared" si="8"/>
        <v>0.34499999999999997</v>
      </c>
      <c r="N87" s="5"/>
      <c r="O87" s="5"/>
      <c r="P87" s="5"/>
      <c r="Q87" s="5"/>
      <c r="R87" s="1"/>
      <c r="S87" s="3" t="s">
        <v>32</v>
      </c>
      <c r="T87" s="3">
        <v>0.9</v>
      </c>
      <c r="U87" s="3">
        <v>0.5</v>
      </c>
      <c r="V87" s="3">
        <v>0.6</v>
      </c>
      <c r="W87" s="3">
        <v>0.36</v>
      </c>
      <c r="X87" s="6">
        <v>464.45480300000003</v>
      </c>
      <c r="Y87" s="3">
        <v>0</v>
      </c>
      <c r="AA87" s="3" t="s">
        <v>32</v>
      </c>
      <c r="AB87" s="3">
        <v>0.35</v>
      </c>
      <c r="AC87" s="6">
        <v>464.45480300000003</v>
      </c>
      <c r="AD87" s="3">
        <v>0</v>
      </c>
      <c r="AE87" s="3">
        <f t="shared" si="9"/>
        <v>0.47499999999999998</v>
      </c>
      <c r="AF87" s="5"/>
      <c r="AG87" s="5"/>
      <c r="AH87" s="5"/>
      <c r="AI87" s="5"/>
      <c r="AJ87" s="1"/>
      <c r="AK87" s="3" t="s">
        <v>33</v>
      </c>
      <c r="AL87" s="3">
        <v>0.9</v>
      </c>
      <c r="AM87" s="3">
        <v>0.5</v>
      </c>
      <c r="AN87" s="3">
        <v>0.6</v>
      </c>
      <c r="AO87" s="3">
        <v>0.32</v>
      </c>
      <c r="AP87" s="7">
        <v>818.50311299999998</v>
      </c>
      <c r="AQ87" s="3">
        <v>5.0000000000000001E-3</v>
      </c>
      <c r="AS87" s="3" t="s">
        <v>33</v>
      </c>
      <c r="AT87" s="3">
        <v>0.31</v>
      </c>
      <c r="AU87" s="6">
        <v>784.37219200000004</v>
      </c>
      <c r="AV87" s="3">
        <v>0</v>
      </c>
      <c r="AW87" s="3">
        <f t="shared" si="10"/>
        <v>0.315</v>
      </c>
      <c r="AX87" s="5"/>
      <c r="AY87" s="5"/>
      <c r="AZ87" s="5"/>
      <c r="BA87" s="5"/>
      <c r="BB87" s="1"/>
      <c r="BC87" s="3" t="s">
        <v>33</v>
      </c>
      <c r="BD87" s="3">
        <v>0.9</v>
      </c>
      <c r="BE87" s="3">
        <v>0.5</v>
      </c>
      <c r="BF87" s="3">
        <v>0.6</v>
      </c>
      <c r="BG87" s="3">
        <v>0.31</v>
      </c>
      <c r="BH87" s="7">
        <v>821.69158900000002</v>
      </c>
      <c r="BI87" s="3">
        <v>5.0000000000000001E-3</v>
      </c>
      <c r="BK87" s="3" t="s">
        <v>33</v>
      </c>
      <c r="BL87" s="3">
        <v>0.3</v>
      </c>
      <c r="BM87" s="6">
        <v>808.012024</v>
      </c>
      <c r="BN87" s="3">
        <v>0</v>
      </c>
      <c r="BO87" s="3">
        <f t="shared" si="11"/>
        <v>0.30499999999999999</v>
      </c>
    </row>
    <row r="88" spans="1:67" x14ac:dyDescent="0.3">
      <c r="A88" s="3" t="s">
        <v>34</v>
      </c>
      <c r="B88" s="3">
        <v>0.9</v>
      </c>
      <c r="C88" s="3">
        <v>0.5</v>
      </c>
      <c r="D88" s="3">
        <v>0.6</v>
      </c>
      <c r="E88" s="3">
        <v>0.35</v>
      </c>
      <c r="F88" s="6">
        <v>414.75891100000001</v>
      </c>
      <c r="G88" s="3">
        <v>1E-3</v>
      </c>
      <c r="I88" s="3" t="s">
        <v>34</v>
      </c>
      <c r="J88" s="3">
        <v>0.4</v>
      </c>
      <c r="K88" s="7">
        <v>415.12747200000001</v>
      </c>
      <c r="L88" s="3">
        <v>0</v>
      </c>
      <c r="M88" s="3">
        <f t="shared" si="8"/>
        <v>0.375</v>
      </c>
      <c r="N88" s="5"/>
      <c r="O88" s="5"/>
      <c r="P88" s="5"/>
      <c r="Q88" s="5"/>
      <c r="R88" s="1"/>
      <c r="S88" s="3" t="s">
        <v>34</v>
      </c>
      <c r="T88" s="3">
        <v>0.9</v>
      </c>
      <c r="U88" s="3">
        <v>0.5</v>
      </c>
      <c r="V88" s="3">
        <v>0.6</v>
      </c>
      <c r="W88" s="3">
        <v>0.3</v>
      </c>
      <c r="X88" s="6">
        <v>409.961792</v>
      </c>
      <c r="Y88" s="3">
        <v>1E-3</v>
      </c>
      <c r="AA88" s="3" t="s">
        <v>34</v>
      </c>
      <c r="AB88" s="3">
        <v>0.31</v>
      </c>
      <c r="AC88" s="7">
        <v>411.34255999999999</v>
      </c>
      <c r="AD88" s="3">
        <v>0</v>
      </c>
      <c r="AE88" s="3">
        <f t="shared" si="9"/>
        <v>0.45499999999999996</v>
      </c>
      <c r="AF88" s="5"/>
      <c r="AG88" s="5"/>
      <c r="AH88" s="5"/>
      <c r="AI88" s="5"/>
      <c r="AJ88" s="1"/>
      <c r="AK88" s="3" t="s">
        <v>35</v>
      </c>
      <c r="AL88" s="3">
        <v>0.9</v>
      </c>
      <c r="AM88" s="3">
        <v>0.5</v>
      </c>
      <c r="AN88" s="3">
        <v>0.6</v>
      </c>
      <c r="AO88" s="3">
        <v>0.36</v>
      </c>
      <c r="AP88" s="6">
        <v>835.92999299999997</v>
      </c>
      <c r="AQ88" s="3">
        <v>4.0000000000000001E-3</v>
      </c>
      <c r="AS88" s="3" t="s">
        <v>35</v>
      </c>
      <c r="AT88" s="3">
        <v>0.3</v>
      </c>
      <c r="AU88" s="7">
        <v>856.787598</v>
      </c>
      <c r="AV88" s="3">
        <v>0</v>
      </c>
      <c r="AW88" s="3">
        <f t="shared" si="10"/>
        <v>0.32999999999999996</v>
      </c>
      <c r="AX88" s="5"/>
      <c r="AY88" s="5"/>
      <c r="AZ88" s="5"/>
      <c r="BA88" s="5"/>
      <c r="BB88" s="1"/>
      <c r="BC88" s="3" t="s">
        <v>35</v>
      </c>
      <c r="BD88" s="3">
        <v>0.9</v>
      </c>
      <c r="BE88" s="3">
        <v>0.5</v>
      </c>
      <c r="BF88" s="3">
        <v>0.6</v>
      </c>
      <c r="BG88" s="3">
        <v>0.31</v>
      </c>
      <c r="BH88" s="6">
        <v>820.17059300000005</v>
      </c>
      <c r="BI88" s="3">
        <v>7.0000000000000001E-3</v>
      </c>
      <c r="BK88" s="3" t="s">
        <v>35</v>
      </c>
      <c r="BL88" s="3">
        <v>0.36</v>
      </c>
      <c r="BM88" s="7">
        <v>824.19854699999996</v>
      </c>
      <c r="BN88" s="3">
        <v>1E-3</v>
      </c>
      <c r="BO88" s="3">
        <f t="shared" si="11"/>
        <v>0.33499999999999996</v>
      </c>
    </row>
    <row r="89" spans="1:67" x14ac:dyDescent="0.3">
      <c r="A89" s="3" t="s">
        <v>36</v>
      </c>
      <c r="B89" s="3">
        <v>0.9</v>
      </c>
      <c r="C89" s="3">
        <v>0.5</v>
      </c>
      <c r="D89" s="3">
        <v>0.6</v>
      </c>
      <c r="E89" s="3">
        <v>0.55000000000000004</v>
      </c>
      <c r="F89" s="7">
        <v>529.52691700000003</v>
      </c>
      <c r="G89" s="3">
        <v>1E-3</v>
      </c>
      <c r="I89" s="3" t="s">
        <v>36</v>
      </c>
      <c r="J89" s="3">
        <v>0.36</v>
      </c>
      <c r="K89" s="6">
        <v>526.44598399999995</v>
      </c>
      <c r="L89" s="3">
        <v>0</v>
      </c>
      <c r="M89" s="3">
        <f t="shared" si="8"/>
        <v>0.45500000000000002</v>
      </c>
      <c r="N89" s="5"/>
      <c r="O89" s="5"/>
      <c r="P89" s="5"/>
      <c r="Q89" s="5"/>
      <c r="R89" s="1"/>
      <c r="S89" s="3" t="s">
        <v>36</v>
      </c>
      <c r="T89" s="3">
        <v>0.9</v>
      </c>
      <c r="U89" s="3">
        <v>0.5</v>
      </c>
      <c r="V89" s="3">
        <v>0.6</v>
      </c>
      <c r="W89" s="3">
        <v>0.34</v>
      </c>
      <c r="X89" s="8">
        <v>512.97534199999996</v>
      </c>
      <c r="Y89" s="3">
        <v>1E-3</v>
      </c>
      <c r="AA89" s="3" t="s">
        <v>36</v>
      </c>
      <c r="AB89" s="3">
        <v>0.56999999999999995</v>
      </c>
      <c r="AC89" s="6">
        <v>512.38647500000002</v>
      </c>
      <c r="AD89" s="3">
        <v>1E-3</v>
      </c>
      <c r="AE89" s="3">
        <f t="shared" si="9"/>
        <v>0.58499999999999996</v>
      </c>
      <c r="AF89" s="5"/>
      <c r="AG89" s="5"/>
      <c r="AH89" s="5"/>
      <c r="AI89" s="5"/>
      <c r="AJ89" s="1"/>
      <c r="AK89" s="3" t="s">
        <v>37</v>
      </c>
      <c r="AL89" s="3">
        <v>0.9</v>
      </c>
      <c r="AM89" s="3">
        <v>0.5</v>
      </c>
      <c r="AN89" s="3">
        <v>0.6</v>
      </c>
      <c r="AO89" s="3">
        <v>0.33</v>
      </c>
      <c r="AP89" s="8">
        <v>814.42926</v>
      </c>
      <c r="AQ89" s="3">
        <v>4.0000000000000001E-3</v>
      </c>
      <c r="AS89" s="3" t="s">
        <v>37</v>
      </c>
      <c r="AT89" s="3">
        <v>0.32</v>
      </c>
      <c r="AU89" s="6">
        <v>814.06042500000001</v>
      </c>
      <c r="AV89" s="3">
        <v>0</v>
      </c>
      <c r="AW89" s="3">
        <f t="shared" si="10"/>
        <v>0.32500000000000001</v>
      </c>
      <c r="AX89" s="5"/>
      <c r="AY89" s="5"/>
      <c r="AZ89" s="5"/>
      <c r="BA89" s="5"/>
      <c r="BB89" s="1"/>
      <c r="BC89" s="3" t="s">
        <v>37</v>
      </c>
      <c r="BD89" s="3">
        <v>0.9</v>
      </c>
      <c r="BE89" s="3">
        <v>0.5</v>
      </c>
      <c r="BF89" s="3">
        <v>0.6</v>
      </c>
      <c r="BG89" s="3">
        <v>0.35</v>
      </c>
      <c r="BH89" s="6">
        <v>788.20098900000005</v>
      </c>
      <c r="BI89" s="3">
        <v>5.0000000000000001E-3</v>
      </c>
      <c r="BK89" s="3" t="s">
        <v>37</v>
      </c>
      <c r="BL89" s="3">
        <v>0.36</v>
      </c>
      <c r="BM89" s="7">
        <v>797.06237799999997</v>
      </c>
      <c r="BN89" s="3">
        <v>0</v>
      </c>
      <c r="BO89" s="3">
        <f t="shared" si="11"/>
        <v>0.35499999999999998</v>
      </c>
    </row>
    <row r="90" spans="1:67" x14ac:dyDescent="0.3">
      <c r="A90" s="3" t="s">
        <v>38</v>
      </c>
      <c r="B90" s="3">
        <v>0.9</v>
      </c>
      <c r="C90" s="3">
        <v>0.5</v>
      </c>
      <c r="D90" s="3">
        <v>0.6</v>
      </c>
      <c r="E90" s="3">
        <v>0.51</v>
      </c>
      <c r="F90" s="7">
        <v>471.08462500000002</v>
      </c>
      <c r="G90" s="3">
        <v>2E-3</v>
      </c>
      <c r="I90" s="3" t="s">
        <v>38</v>
      </c>
      <c r="J90" s="3">
        <v>0.32</v>
      </c>
      <c r="K90" s="6">
        <v>465.100281</v>
      </c>
      <c r="L90" s="3">
        <v>0</v>
      </c>
      <c r="M90" s="3">
        <f t="shared" si="8"/>
        <v>0.41500000000000004</v>
      </c>
      <c r="N90" s="5"/>
      <c r="O90" s="5"/>
      <c r="P90" s="5"/>
      <c r="Q90" s="5"/>
      <c r="R90" s="1"/>
      <c r="S90" s="3" t="s">
        <v>38</v>
      </c>
      <c r="T90" s="3">
        <v>0.9</v>
      </c>
      <c r="U90" s="3">
        <v>0.5</v>
      </c>
      <c r="V90" s="3">
        <v>0.6</v>
      </c>
      <c r="W90" s="3">
        <v>0.3</v>
      </c>
      <c r="X90" s="6">
        <v>457.08355699999998</v>
      </c>
      <c r="Y90" s="3">
        <v>1E-3</v>
      </c>
      <c r="AA90" s="3" t="s">
        <v>38</v>
      </c>
      <c r="AB90" s="3">
        <v>0.39</v>
      </c>
      <c r="AC90" s="7">
        <v>462.10983299999998</v>
      </c>
      <c r="AD90" s="3">
        <v>0</v>
      </c>
      <c r="AE90" s="3">
        <f t="shared" si="9"/>
        <v>0.495</v>
      </c>
      <c r="AF90" s="5"/>
      <c r="AG90" s="5"/>
      <c r="AH90" s="5"/>
      <c r="AI90" s="5"/>
      <c r="AJ90" s="1"/>
      <c r="AK90" s="3" t="s">
        <v>39</v>
      </c>
      <c r="AL90" s="3">
        <v>0.9</v>
      </c>
      <c r="AM90" s="3">
        <v>0.5</v>
      </c>
      <c r="AN90" s="3">
        <v>0.6</v>
      </c>
      <c r="AO90" s="3">
        <v>0.3</v>
      </c>
      <c r="AP90" s="7">
        <v>824.86499000000003</v>
      </c>
      <c r="AQ90" s="3">
        <v>8.0000000000000002E-3</v>
      </c>
      <c r="AS90" s="3" t="s">
        <v>39</v>
      </c>
      <c r="AT90" s="3">
        <v>0.34</v>
      </c>
      <c r="AU90" s="6">
        <v>807.08227499999998</v>
      </c>
      <c r="AV90" s="3">
        <v>1E-3</v>
      </c>
      <c r="AW90" s="3">
        <f t="shared" si="10"/>
        <v>0.32</v>
      </c>
      <c r="AX90" s="5"/>
      <c r="AY90" s="5"/>
      <c r="AZ90" s="5"/>
      <c r="BA90" s="5"/>
      <c r="BB90" s="1"/>
      <c r="BC90" s="3" t="s">
        <v>39</v>
      </c>
      <c r="BD90" s="3">
        <v>0.9</v>
      </c>
      <c r="BE90" s="3">
        <v>0.5</v>
      </c>
      <c r="BF90" s="3">
        <v>0.6</v>
      </c>
      <c r="BG90" s="3">
        <v>0.3</v>
      </c>
      <c r="BH90" s="7">
        <v>819.98742700000003</v>
      </c>
      <c r="BI90" s="3">
        <v>5.0000000000000001E-3</v>
      </c>
      <c r="BK90" s="3" t="s">
        <v>39</v>
      </c>
      <c r="BL90" s="3">
        <v>0.3</v>
      </c>
      <c r="BM90" s="6">
        <v>792.86792000000003</v>
      </c>
      <c r="BN90" s="3">
        <v>1E-3</v>
      </c>
      <c r="BO90" s="3">
        <f t="shared" si="11"/>
        <v>0.3</v>
      </c>
    </row>
    <row r="91" spans="1:67" x14ac:dyDescent="0.3">
      <c r="A91" s="3" t="s">
        <v>40</v>
      </c>
      <c r="B91" s="3">
        <v>0.9</v>
      </c>
      <c r="C91" s="3">
        <v>0.5</v>
      </c>
      <c r="D91" s="3">
        <v>0.6</v>
      </c>
      <c r="E91" s="3">
        <v>0.46</v>
      </c>
      <c r="F91" s="6">
        <v>404.60012799999998</v>
      </c>
      <c r="G91" s="3">
        <v>0</v>
      </c>
      <c r="I91" s="3" t="s">
        <v>40</v>
      </c>
      <c r="J91" s="3">
        <v>0.31</v>
      </c>
      <c r="K91" s="6">
        <v>404.60012799999998</v>
      </c>
      <c r="L91" s="3">
        <v>0</v>
      </c>
      <c r="M91" s="3">
        <f t="shared" si="8"/>
        <v>0.38500000000000001</v>
      </c>
      <c r="N91" s="5"/>
      <c r="O91" s="5"/>
      <c r="P91" s="5"/>
      <c r="Q91" s="5"/>
      <c r="R91" s="1"/>
      <c r="S91" s="3" t="s">
        <v>40</v>
      </c>
      <c r="T91" s="3">
        <v>0.9</v>
      </c>
      <c r="U91" s="3">
        <v>0.5</v>
      </c>
      <c r="V91" s="3">
        <v>0.6</v>
      </c>
      <c r="W91" s="3">
        <v>0.37</v>
      </c>
      <c r="X91" s="6">
        <v>402.01260400000001</v>
      </c>
      <c r="Y91" s="3">
        <v>1E-3</v>
      </c>
      <c r="AA91" s="3" t="s">
        <v>40</v>
      </c>
      <c r="AB91" s="3">
        <v>0.31</v>
      </c>
      <c r="AC91" s="6">
        <v>402.01260400000001</v>
      </c>
      <c r="AD91" s="3">
        <v>0</v>
      </c>
      <c r="AE91" s="3">
        <f t="shared" si="9"/>
        <v>0.45499999999999996</v>
      </c>
      <c r="AF91" s="5"/>
      <c r="AG91" s="5"/>
      <c r="AH91" s="5"/>
      <c r="AI91" s="5"/>
      <c r="AJ91" s="1"/>
      <c r="AK91" s="3" t="s">
        <v>41</v>
      </c>
      <c r="AL91" s="3">
        <v>0.9</v>
      </c>
      <c r="AM91" s="3">
        <v>0.5</v>
      </c>
      <c r="AN91" s="3">
        <v>0.6</v>
      </c>
      <c r="AO91" s="3">
        <v>0.31</v>
      </c>
      <c r="AP91" s="7">
        <v>923.90753199999995</v>
      </c>
      <c r="AQ91" s="3">
        <v>4.0000000000000001E-3</v>
      </c>
      <c r="AS91" s="3" t="s">
        <v>41</v>
      </c>
      <c r="AT91" s="3">
        <v>0.31</v>
      </c>
      <c r="AU91" s="6">
        <v>906.06103499999995</v>
      </c>
      <c r="AV91" s="3">
        <v>0</v>
      </c>
      <c r="AW91" s="3">
        <f t="shared" si="10"/>
        <v>0.31</v>
      </c>
      <c r="AX91" s="5"/>
      <c r="AY91" s="5"/>
      <c r="AZ91" s="5"/>
      <c r="BA91" s="5"/>
      <c r="BB91" s="1"/>
      <c r="BC91" s="3" t="s">
        <v>41</v>
      </c>
      <c r="BD91" s="3">
        <v>0.9</v>
      </c>
      <c r="BE91" s="3">
        <v>0.5</v>
      </c>
      <c r="BF91" s="3">
        <v>0.6</v>
      </c>
      <c r="BG91" s="3">
        <v>0.31</v>
      </c>
      <c r="BH91" s="6">
        <v>914.69915800000001</v>
      </c>
      <c r="BI91" s="3">
        <v>6.0000000000000001E-3</v>
      </c>
      <c r="BK91" s="3" t="s">
        <v>41</v>
      </c>
      <c r="BL91" s="3">
        <v>0.33</v>
      </c>
      <c r="BM91" s="7">
        <v>929.504456</v>
      </c>
      <c r="BN91" s="3">
        <v>1E-3</v>
      </c>
      <c r="BO91" s="3">
        <f t="shared" si="11"/>
        <v>0.32</v>
      </c>
    </row>
    <row r="92" spans="1:67" x14ac:dyDescent="0.3">
      <c r="A92" s="3" t="s">
        <v>42</v>
      </c>
      <c r="B92" s="3">
        <v>0.9</v>
      </c>
      <c r="C92" s="3">
        <v>0.5</v>
      </c>
      <c r="D92" s="3">
        <v>0.6</v>
      </c>
      <c r="E92" s="3">
        <v>0.46</v>
      </c>
      <c r="F92" s="7">
        <v>429.55294800000001</v>
      </c>
      <c r="G92" s="3">
        <v>0</v>
      </c>
      <c r="I92" s="3" t="s">
        <v>42</v>
      </c>
      <c r="J92" s="3">
        <v>0.3</v>
      </c>
      <c r="K92" s="6">
        <v>423.66629</v>
      </c>
      <c r="L92" s="3">
        <v>0</v>
      </c>
      <c r="M92" s="3">
        <f t="shared" si="8"/>
        <v>0.38</v>
      </c>
      <c r="N92" s="5"/>
      <c r="O92" s="5"/>
      <c r="P92" s="5"/>
      <c r="Q92" s="5"/>
      <c r="R92" s="1"/>
      <c r="S92" s="3" t="s">
        <v>42</v>
      </c>
      <c r="T92" s="3">
        <v>0.9</v>
      </c>
      <c r="U92" s="3">
        <v>0.5</v>
      </c>
      <c r="V92" s="3">
        <v>0.6</v>
      </c>
      <c r="W92" s="3">
        <v>0.32</v>
      </c>
      <c r="X92" s="6">
        <v>416.69476300000002</v>
      </c>
      <c r="Y92" s="3">
        <v>1E-3</v>
      </c>
      <c r="AA92" s="3" t="s">
        <v>42</v>
      </c>
      <c r="AB92" s="3">
        <v>0.32</v>
      </c>
      <c r="AC92" s="7">
        <v>417.97772200000003</v>
      </c>
      <c r="AD92" s="3">
        <v>0</v>
      </c>
      <c r="AE92" s="3">
        <f t="shared" si="9"/>
        <v>0.45999999999999996</v>
      </c>
      <c r="AF92" s="5"/>
      <c r="AG92" s="5"/>
      <c r="AH92" s="5"/>
      <c r="AI92" s="5"/>
      <c r="AJ92" s="1"/>
      <c r="AK92" s="3" t="s">
        <v>43</v>
      </c>
      <c r="AL92" s="3">
        <v>0.9</v>
      </c>
      <c r="AM92" s="3">
        <v>0.5</v>
      </c>
      <c r="AN92" s="3">
        <v>0.6</v>
      </c>
      <c r="AO92" s="3">
        <v>0.34</v>
      </c>
      <c r="AP92" s="6">
        <v>816.24249299999997</v>
      </c>
      <c r="AQ92" s="3">
        <v>5.0000000000000001E-3</v>
      </c>
      <c r="AS92" s="3" t="s">
        <v>43</v>
      </c>
      <c r="AT92" s="3">
        <v>0.34</v>
      </c>
      <c r="AU92" s="7">
        <v>835.86224400000003</v>
      </c>
      <c r="AV92" s="3">
        <v>0</v>
      </c>
      <c r="AW92" s="3">
        <f t="shared" si="10"/>
        <v>0.34</v>
      </c>
      <c r="AX92" s="5"/>
      <c r="AY92" s="5"/>
      <c r="AZ92" s="5"/>
      <c r="BA92" s="5"/>
      <c r="BB92" s="1"/>
      <c r="BC92" s="3" t="s">
        <v>43</v>
      </c>
      <c r="BD92" s="3">
        <v>0.9</v>
      </c>
      <c r="BE92" s="3">
        <v>0.5</v>
      </c>
      <c r="BF92" s="3">
        <v>0.6</v>
      </c>
      <c r="BG92" s="3">
        <v>0.35</v>
      </c>
      <c r="BH92" s="7">
        <v>819.86828600000001</v>
      </c>
      <c r="BI92" s="3">
        <v>7.0000000000000001E-3</v>
      </c>
      <c r="BK92" s="3" t="s">
        <v>43</v>
      </c>
      <c r="BL92" s="3">
        <v>0.32</v>
      </c>
      <c r="BM92" s="6">
        <v>816.97100799999998</v>
      </c>
      <c r="BN92" s="3">
        <v>1E-3</v>
      </c>
      <c r="BO92" s="3">
        <f t="shared" si="11"/>
        <v>0.33499999999999996</v>
      </c>
    </row>
    <row r="93" spans="1:67" x14ac:dyDescent="0.3">
      <c r="A93" s="3" t="s">
        <v>44</v>
      </c>
      <c r="B93" s="3">
        <v>0.9</v>
      </c>
      <c r="C93" s="3">
        <v>0.5</v>
      </c>
      <c r="D93" s="3">
        <v>0.6</v>
      </c>
      <c r="E93" s="3">
        <v>0.48</v>
      </c>
      <c r="F93" s="7">
        <v>525.51599099999999</v>
      </c>
      <c r="G93" s="3">
        <v>1E-3</v>
      </c>
      <c r="I93" s="3" t="s">
        <v>44</v>
      </c>
      <c r="J93" s="3">
        <v>0.3</v>
      </c>
      <c r="K93" s="6">
        <v>517.701233</v>
      </c>
      <c r="L93" s="3">
        <v>0</v>
      </c>
      <c r="M93" s="3">
        <f t="shared" si="8"/>
        <v>0.39</v>
      </c>
      <c r="N93" s="5"/>
      <c r="O93" s="5"/>
      <c r="P93" s="5"/>
      <c r="Q93" s="5"/>
      <c r="R93" s="1"/>
      <c r="S93" s="3" t="s">
        <v>44</v>
      </c>
      <c r="T93" s="3">
        <v>0.9</v>
      </c>
      <c r="U93" s="3">
        <v>0.5</v>
      </c>
      <c r="V93" s="3">
        <v>0.6</v>
      </c>
      <c r="W93" s="3">
        <v>0.31</v>
      </c>
      <c r="X93" s="6">
        <v>518.333618</v>
      </c>
      <c r="Y93" s="3">
        <v>0</v>
      </c>
      <c r="AA93" s="3" t="s">
        <v>44</v>
      </c>
      <c r="AB93" s="3">
        <v>0.36</v>
      </c>
      <c r="AC93" s="7">
        <v>522.16430700000001</v>
      </c>
      <c r="AD93" s="3">
        <v>0</v>
      </c>
      <c r="AE93" s="3">
        <f t="shared" si="9"/>
        <v>0.48</v>
      </c>
      <c r="AF93" s="5"/>
      <c r="AG93" s="5"/>
      <c r="AH93" s="5"/>
      <c r="AI93" s="5"/>
      <c r="AJ93" s="1"/>
      <c r="AK93" s="3" t="s">
        <v>45</v>
      </c>
      <c r="AL93" s="3">
        <v>0.9</v>
      </c>
      <c r="AM93" s="3">
        <v>0.5</v>
      </c>
      <c r="AN93" s="3">
        <v>0.6</v>
      </c>
      <c r="AO93" s="3">
        <v>0.3</v>
      </c>
      <c r="AP93" s="7">
        <v>888.57098399999995</v>
      </c>
      <c r="AQ93" s="3">
        <v>5.0000000000000001E-3</v>
      </c>
      <c r="AS93" s="3" t="s">
        <v>45</v>
      </c>
      <c r="AT93" s="3">
        <v>0.35</v>
      </c>
      <c r="AU93" s="6">
        <v>871.81085199999995</v>
      </c>
      <c r="AV93" s="3">
        <v>1E-3</v>
      </c>
      <c r="AW93" s="3">
        <f t="shared" si="10"/>
        <v>0.32499999999999996</v>
      </c>
      <c r="AX93" s="5"/>
      <c r="AY93" s="5"/>
      <c r="AZ93" s="5"/>
      <c r="BA93" s="5"/>
      <c r="BB93" s="1"/>
      <c r="BC93" s="3" t="s">
        <v>45</v>
      </c>
      <c r="BD93" s="3">
        <v>0.9</v>
      </c>
      <c r="BE93" s="3">
        <v>0.5</v>
      </c>
      <c r="BF93" s="3">
        <v>0.6</v>
      </c>
      <c r="BG93" s="3">
        <v>0.33</v>
      </c>
      <c r="BH93" s="6">
        <v>894.14819299999999</v>
      </c>
      <c r="BI93" s="3">
        <v>5.0000000000000001E-3</v>
      </c>
      <c r="BK93" s="3" t="s">
        <v>45</v>
      </c>
      <c r="BL93" s="3">
        <v>0.3</v>
      </c>
      <c r="BM93" s="7">
        <v>895.04650900000001</v>
      </c>
      <c r="BN93" s="3">
        <v>0</v>
      </c>
      <c r="BO93" s="3">
        <f t="shared" si="11"/>
        <v>0.315</v>
      </c>
    </row>
    <row r="94" spans="1:67" x14ac:dyDescent="0.3">
      <c r="A94" s="3" t="s">
        <v>46</v>
      </c>
      <c r="B94" s="3">
        <v>0.9</v>
      </c>
      <c r="C94" s="3">
        <v>0.5</v>
      </c>
      <c r="D94" s="3">
        <v>0.6</v>
      </c>
      <c r="E94" s="3">
        <v>0.45</v>
      </c>
      <c r="F94" s="6">
        <v>499.078644</v>
      </c>
      <c r="G94" s="3">
        <v>1E-3</v>
      </c>
      <c r="I94" s="3" t="s">
        <v>46</v>
      </c>
      <c r="J94" s="3">
        <v>0.39</v>
      </c>
      <c r="K94" s="6">
        <v>499.078644</v>
      </c>
      <c r="L94" s="3">
        <v>0</v>
      </c>
      <c r="M94" s="3">
        <f t="shared" si="8"/>
        <v>0.42000000000000004</v>
      </c>
      <c r="N94" s="5"/>
      <c r="O94" s="5"/>
      <c r="P94" s="5"/>
      <c r="Q94" s="5"/>
      <c r="R94" s="1"/>
      <c r="S94" s="3" t="s">
        <v>46</v>
      </c>
      <c r="T94" s="3">
        <v>0.9</v>
      </c>
      <c r="U94" s="3">
        <v>0.5</v>
      </c>
      <c r="V94" s="3">
        <v>0.6</v>
      </c>
      <c r="W94" s="3">
        <v>0.31</v>
      </c>
      <c r="X94" s="6">
        <v>492.45419299999998</v>
      </c>
      <c r="Y94" s="3">
        <v>0</v>
      </c>
      <c r="AA94" s="3" t="s">
        <v>46</v>
      </c>
      <c r="AB94" s="3">
        <v>0.31</v>
      </c>
      <c r="AC94" s="6">
        <v>492.45419299999998</v>
      </c>
      <c r="AD94" s="3">
        <v>0</v>
      </c>
      <c r="AE94" s="3">
        <f t="shared" si="9"/>
        <v>0.45499999999999996</v>
      </c>
      <c r="AF94" s="5"/>
      <c r="AG94" s="5"/>
      <c r="AH94" s="5"/>
      <c r="AI94" s="5"/>
      <c r="AJ94" s="1"/>
      <c r="AK94" s="3" t="s">
        <v>47</v>
      </c>
      <c r="AL94" s="3">
        <v>0.9</v>
      </c>
      <c r="AM94" s="3">
        <v>0.5</v>
      </c>
      <c r="AN94" s="3">
        <v>0.6</v>
      </c>
      <c r="AO94" s="3">
        <v>0.31</v>
      </c>
      <c r="AP94" s="7">
        <v>798.12854000000004</v>
      </c>
      <c r="AQ94" s="3">
        <v>4.0000000000000001E-3</v>
      </c>
      <c r="AS94" s="3" t="s">
        <v>47</v>
      </c>
      <c r="AT94" s="3">
        <v>0.33</v>
      </c>
      <c r="AU94" s="6">
        <v>813.80792199999996</v>
      </c>
      <c r="AV94" s="3">
        <v>1E-3</v>
      </c>
      <c r="AW94" s="3">
        <f t="shared" si="10"/>
        <v>0.32</v>
      </c>
      <c r="AX94" s="5"/>
      <c r="AY94" s="5"/>
      <c r="AZ94" s="5"/>
      <c r="BA94" s="5"/>
      <c r="BB94" s="1"/>
      <c r="BC94" s="3" t="s">
        <v>47</v>
      </c>
      <c r="BD94" s="3">
        <v>0.9</v>
      </c>
      <c r="BE94" s="3">
        <v>0.5</v>
      </c>
      <c r="BF94" s="3">
        <v>0.6</v>
      </c>
      <c r="BG94" s="3">
        <v>0.3</v>
      </c>
      <c r="BH94" s="6">
        <v>788.20556599999998</v>
      </c>
      <c r="BI94" s="3">
        <v>5.0000000000000001E-3</v>
      </c>
      <c r="BK94" s="3" t="s">
        <v>47</v>
      </c>
      <c r="BL94" s="3">
        <v>0.31</v>
      </c>
      <c r="BM94" s="7">
        <v>797.64404300000001</v>
      </c>
      <c r="BN94" s="3">
        <v>0</v>
      </c>
      <c r="BO94" s="3">
        <f t="shared" si="11"/>
        <v>0.30499999999999999</v>
      </c>
    </row>
    <row r="95" spans="1:67" x14ac:dyDescent="0.3">
      <c r="A95" s="3" t="s">
        <v>48</v>
      </c>
      <c r="B95" s="3">
        <v>0.9</v>
      </c>
      <c r="C95" s="3">
        <v>0.5</v>
      </c>
      <c r="D95" s="3">
        <v>0.6</v>
      </c>
      <c r="E95" s="3">
        <v>0.44</v>
      </c>
      <c r="F95" s="7">
        <v>468.23364299999997</v>
      </c>
      <c r="G95" s="3">
        <v>1E-3</v>
      </c>
      <c r="I95" s="3" t="s">
        <v>48</v>
      </c>
      <c r="J95" s="3">
        <v>0.31</v>
      </c>
      <c r="K95" s="6">
        <v>466.52282700000001</v>
      </c>
      <c r="L95" s="3">
        <v>0</v>
      </c>
      <c r="M95" s="3">
        <f t="shared" si="8"/>
        <v>0.375</v>
      </c>
      <c r="N95" s="5"/>
      <c r="O95" s="5"/>
      <c r="P95" s="5"/>
      <c r="Q95" s="5"/>
      <c r="R95" s="1"/>
      <c r="S95" s="3" t="s">
        <v>48</v>
      </c>
      <c r="T95" s="3">
        <v>0.9</v>
      </c>
      <c r="U95" s="3">
        <v>0.5</v>
      </c>
      <c r="V95" s="3">
        <v>0.6</v>
      </c>
      <c r="W95" s="3">
        <v>0.32</v>
      </c>
      <c r="X95" s="6">
        <v>455.04409800000002</v>
      </c>
      <c r="Y95" s="3">
        <v>1E-3</v>
      </c>
      <c r="AA95" s="3" t="s">
        <v>48</v>
      </c>
      <c r="AB95" s="3">
        <v>0.35</v>
      </c>
      <c r="AC95" s="8">
        <v>455.065247</v>
      </c>
      <c r="AD95" s="3">
        <v>0</v>
      </c>
      <c r="AE95" s="3">
        <f t="shared" si="9"/>
        <v>0.47499999999999998</v>
      </c>
      <c r="AF95" s="5"/>
      <c r="AG95" s="5"/>
      <c r="AH95" s="5"/>
      <c r="AI95" s="5"/>
      <c r="AJ95" s="1"/>
      <c r="AK95" s="3" t="s">
        <v>49</v>
      </c>
      <c r="AL95" s="3">
        <v>0.9</v>
      </c>
      <c r="AM95" s="3">
        <v>0.5</v>
      </c>
      <c r="AN95" s="3">
        <v>0.6</v>
      </c>
      <c r="AO95" s="3">
        <v>0.33</v>
      </c>
      <c r="AP95" s="6">
        <v>835.72778300000004</v>
      </c>
      <c r="AQ95" s="3">
        <v>4.0000000000000001E-3</v>
      </c>
      <c r="AS95" s="3" t="s">
        <v>49</v>
      </c>
      <c r="AT95" s="3">
        <v>0.33</v>
      </c>
      <c r="AU95" s="7">
        <v>858.98113999999998</v>
      </c>
      <c r="AV95" s="3">
        <v>1E-3</v>
      </c>
      <c r="AW95" s="3">
        <f t="shared" si="10"/>
        <v>0.33</v>
      </c>
      <c r="AX95" s="5"/>
      <c r="AY95" s="5"/>
      <c r="AZ95" s="5"/>
      <c r="BA95" s="5"/>
      <c r="BB95" s="1"/>
      <c r="BC95" s="3" t="s">
        <v>49</v>
      </c>
      <c r="BD95" s="3">
        <v>0.9</v>
      </c>
      <c r="BE95" s="3">
        <v>0.5</v>
      </c>
      <c r="BF95" s="3">
        <v>0.6</v>
      </c>
      <c r="BG95" s="3">
        <v>0.34</v>
      </c>
      <c r="BH95" s="6">
        <v>829.05419900000004</v>
      </c>
      <c r="BI95" s="3">
        <v>5.0000000000000001E-3</v>
      </c>
      <c r="BK95" s="3" t="s">
        <v>49</v>
      </c>
      <c r="BL95" s="3">
        <v>0.3</v>
      </c>
      <c r="BM95" s="7">
        <v>839.13818400000002</v>
      </c>
      <c r="BN95" s="3">
        <v>1E-3</v>
      </c>
      <c r="BO95" s="3">
        <f t="shared" si="11"/>
        <v>0.32</v>
      </c>
    </row>
    <row r="96" spans="1:67" x14ac:dyDescent="0.3">
      <c r="A96" s="3" t="s">
        <v>50</v>
      </c>
      <c r="B96" s="3">
        <v>0.9</v>
      </c>
      <c r="C96" s="3">
        <v>0.5</v>
      </c>
      <c r="D96" s="3">
        <v>0.6</v>
      </c>
      <c r="E96" s="3">
        <v>0.48</v>
      </c>
      <c r="F96" s="6">
        <v>453.93545499999999</v>
      </c>
      <c r="G96" s="3">
        <v>1E-3</v>
      </c>
      <c r="I96" s="3" t="s">
        <v>50</v>
      </c>
      <c r="J96" s="3">
        <v>0.35</v>
      </c>
      <c r="K96" s="7">
        <v>464.104736</v>
      </c>
      <c r="L96" s="3">
        <v>0</v>
      </c>
      <c r="M96" s="3">
        <f t="shared" si="8"/>
        <v>0.41499999999999998</v>
      </c>
      <c r="N96" s="5"/>
      <c r="O96" s="5"/>
      <c r="P96" s="5"/>
      <c r="Q96" s="5"/>
      <c r="R96" s="1"/>
      <c r="S96" s="3" t="s">
        <v>50</v>
      </c>
      <c r="T96" s="3">
        <v>0.9</v>
      </c>
      <c r="U96" s="3">
        <v>0.5</v>
      </c>
      <c r="V96" s="3">
        <v>0.6</v>
      </c>
      <c r="W96" s="3">
        <v>0.43</v>
      </c>
      <c r="X96" s="6">
        <v>453.06878699999999</v>
      </c>
      <c r="Y96" s="3">
        <v>0</v>
      </c>
      <c r="AA96" s="3" t="s">
        <v>50</v>
      </c>
      <c r="AB96" s="3">
        <v>0.31</v>
      </c>
      <c r="AC96" s="7">
        <v>468.10369900000001</v>
      </c>
      <c r="AD96" s="3">
        <v>0</v>
      </c>
      <c r="AE96" s="3">
        <f t="shared" si="9"/>
        <v>0.45499999999999996</v>
      </c>
      <c r="AF96" s="5"/>
      <c r="AG96" s="5"/>
      <c r="AH96" s="5"/>
      <c r="AI96" s="5"/>
      <c r="AJ96" s="1"/>
      <c r="AK96" s="3" t="s">
        <v>51</v>
      </c>
      <c r="AL96" s="3">
        <v>0.9</v>
      </c>
      <c r="AM96" s="3">
        <v>0.5</v>
      </c>
      <c r="AN96" s="3">
        <v>0.6</v>
      </c>
      <c r="AO96" s="3">
        <v>0.3</v>
      </c>
      <c r="AP96" s="7">
        <v>1022.283203</v>
      </c>
      <c r="AQ96" s="3">
        <v>5.0000000000000001E-3</v>
      </c>
      <c r="AS96" s="3" t="s">
        <v>51</v>
      </c>
      <c r="AT96" s="3">
        <v>0.3</v>
      </c>
      <c r="AU96" s="6">
        <v>1019.676819</v>
      </c>
      <c r="AV96" s="3">
        <v>1E-3</v>
      </c>
      <c r="AW96" s="3">
        <f t="shared" si="10"/>
        <v>0.3</v>
      </c>
      <c r="AX96" s="5"/>
      <c r="AY96" s="5"/>
      <c r="AZ96" s="5"/>
      <c r="BA96" s="5"/>
      <c r="BB96" s="1"/>
      <c r="BC96" s="3" t="s">
        <v>51</v>
      </c>
      <c r="BD96" s="3">
        <v>0.9</v>
      </c>
      <c r="BE96" s="3">
        <v>0.5</v>
      </c>
      <c r="BF96" s="3">
        <v>0.6</v>
      </c>
      <c r="BG96" s="3">
        <v>0.3</v>
      </c>
      <c r="BH96" s="7">
        <v>1017.177734</v>
      </c>
      <c r="BI96" s="3">
        <v>5.0000000000000001E-3</v>
      </c>
      <c r="BK96" s="3" t="s">
        <v>51</v>
      </c>
      <c r="BL96" s="3">
        <v>0.38</v>
      </c>
      <c r="BM96" s="6">
        <v>1010.50415</v>
      </c>
      <c r="BN96" s="3">
        <v>1E-3</v>
      </c>
      <c r="BO96" s="3">
        <f t="shared" si="11"/>
        <v>0.33999999999999997</v>
      </c>
    </row>
    <row r="97" spans="1:71" x14ac:dyDescent="0.3">
      <c r="A97" s="3" t="s">
        <v>52</v>
      </c>
      <c r="B97" s="3">
        <v>0.9</v>
      </c>
      <c r="C97" s="3">
        <v>0.5</v>
      </c>
      <c r="D97" s="3">
        <v>0.6</v>
      </c>
      <c r="E97" s="3">
        <v>0.3</v>
      </c>
      <c r="F97" s="6">
        <v>468.975189</v>
      </c>
      <c r="G97" s="3">
        <v>1E-3</v>
      </c>
      <c r="I97" s="3" t="s">
        <v>52</v>
      </c>
      <c r="J97" s="3">
        <v>0.31</v>
      </c>
      <c r="K97" s="6">
        <v>468.975189</v>
      </c>
      <c r="L97" s="3">
        <v>0</v>
      </c>
      <c r="M97" s="3">
        <f t="shared" si="8"/>
        <v>0.30499999999999999</v>
      </c>
      <c r="N97" s="5"/>
      <c r="O97" s="5"/>
      <c r="P97" s="5"/>
      <c r="Q97" s="5"/>
      <c r="R97" s="1"/>
      <c r="S97" s="3" t="s">
        <v>52</v>
      </c>
      <c r="T97" s="3">
        <v>0.9</v>
      </c>
      <c r="U97" s="3">
        <v>0.5</v>
      </c>
      <c r="V97" s="3">
        <v>0.6</v>
      </c>
      <c r="W97" s="3">
        <v>0.3</v>
      </c>
      <c r="X97" s="6">
        <v>469.24471999999997</v>
      </c>
      <c r="Y97" s="3">
        <v>0</v>
      </c>
      <c r="AA97" s="3" t="s">
        <v>52</v>
      </c>
      <c r="AB97" s="3">
        <v>0.33</v>
      </c>
      <c r="AC97" s="6">
        <v>469.24471999999997</v>
      </c>
      <c r="AD97" s="3">
        <v>0</v>
      </c>
      <c r="AE97" s="3">
        <f t="shared" si="9"/>
        <v>0.46499999999999997</v>
      </c>
      <c r="AF97" s="5"/>
      <c r="AG97" s="5"/>
      <c r="AH97" s="5"/>
      <c r="AI97" s="5"/>
      <c r="AJ97" s="1"/>
      <c r="AK97" s="3" t="s">
        <v>53</v>
      </c>
      <c r="AL97" s="3">
        <v>0.9</v>
      </c>
      <c r="AM97" s="3">
        <v>0.5</v>
      </c>
      <c r="AN97" s="3">
        <v>0.6</v>
      </c>
      <c r="AO97" s="3">
        <v>0.31</v>
      </c>
      <c r="AP97" s="6">
        <v>970.07037400000002</v>
      </c>
      <c r="AQ97" s="3">
        <v>5.0000000000000001E-3</v>
      </c>
      <c r="AS97" s="3" t="s">
        <v>53</v>
      </c>
      <c r="AT97" s="3">
        <v>0.32</v>
      </c>
      <c r="AU97" s="7">
        <v>973.88696300000004</v>
      </c>
      <c r="AV97" s="3">
        <v>0</v>
      </c>
      <c r="AW97" s="3">
        <f t="shared" si="10"/>
        <v>0.315</v>
      </c>
      <c r="AX97" s="5"/>
      <c r="AY97" s="5"/>
      <c r="AZ97" s="5"/>
      <c r="BA97" s="5"/>
      <c r="BB97" s="1"/>
      <c r="BC97" s="3" t="s">
        <v>53</v>
      </c>
      <c r="BD97" s="3">
        <v>0.9</v>
      </c>
      <c r="BE97" s="3">
        <v>0.5</v>
      </c>
      <c r="BF97" s="3">
        <v>0.6</v>
      </c>
      <c r="BG97" s="3">
        <v>0.3</v>
      </c>
      <c r="BH97" s="6">
        <v>968.25335700000005</v>
      </c>
      <c r="BI97" s="3">
        <v>7.0000000000000001E-3</v>
      </c>
      <c r="BK97" s="3" t="s">
        <v>53</v>
      </c>
      <c r="BL97" s="3">
        <v>0.32</v>
      </c>
      <c r="BM97" s="7">
        <v>973.76983600000005</v>
      </c>
      <c r="BN97" s="3">
        <v>1E-3</v>
      </c>
      <c r="BO97" s="3">
        <f t="shared" si="11"/>
        <v>0.31</v>
      </c>
    </row>
    <row r="98" spans="1:71" x14ac:dyDescent="0.3">
      <c r="A98" s="3" t="s">
        <v>54</v>
      </c>
      <c r="B98" s="3">
        <v>0.9</v>
      </c>
      <c r="C98" s="3">
        <v>0.5</v>
      </c>
      <c r="D98" s="3">
        <v>0.6</v>
      </c>
      <c r="E98" s="3">
        <v>0.5</v>
      </c>
      <c r="F98" s="6">
        <v>551.785706</v>
      </c>
      <c r="G98" s="3">
        <v>1E-3</v>
      </c>
      <c r="I98" s="3" t="s">
        <v>54</v>
      </c>
      <c r="J98" s="3">
        <v>0.37</v>
      </c>
      <c r="K98" s="7">
        <v>564.399902</v>
      </c>
      <c r="L98" s="3">
        <v>0</v>
      </c>
      <c r="M98" s="3">
        <f t="shared" si="8"/>
        <v>0.435</v>
      </c>
      <c r="N98" s="5"/>
      <c r="O98" s="5"/>
      <c r="P98" s="5"/>
      <c r="Q98" s="5"/>
      <c r="R98" s="1"/>
      <c r="S98" s="3" t="s">
        <v>54</v>
      </c>
      <c r="T98" s="3">
        <v>0.9</v>
      </c>
      <c r="U98" s="3">
        <v>0.5</v>
      </c>
      <c r="V98" s="3">
        <v>0.6</v>
      </c>
      <c r="W98" s="3">
        <v>0.41</v>
      </c>
      <c r="X98" s="8">
        <v>549.54534899999999</v>
      </c>
      <c r="Y98" s="3">
        <v>1E-3</v>
      </c>
      <c r="AA98" s="3" t="s">
        <v>54</v>
      </c>
      <c r="AB98" s="3">
        <v>0.5</v>
      </c>
      <c r="AC98" s="6">
        <v>549.34674099999995</v>
      </c>
      <c r="AD98" s="3">
        <v>0</v>
      </c>
      <c r="AE98" s="3">
        <f t="shared" si="9"/>
        <v>0.55000000000000004</v>
      </c>
      <c r="AF98" s="5"/>
      <c r="AG98" s="5"/>
      <c r="AH98" s="5"/>
      <c r="AI98" s="5"/>
      <c r="AJ98" s="1"/>
      <c r="AK98" s="3" t="s">
        <v>55</v>
      </c>
      <c r="AL98" s="3">
        <v>0.9</v>
      </c>
      <c r="AM98" s="3">
        <v>0.5</v>
      </c>
      <c r="AN98" s="3">
        <v>0.6</v>
      </c>
      <c r="AO98" s="3">
        <v>0.31</v>
      </c>
      <c r="AP98" s="7">
        <v>989.58746299999996</v>
      </c>
      <c r="AQ98" s="3">
        <v>4.0000000000000001E-3</v>
      </c>
      <c r="AS98" s="3" t="s">
        <v>55</v>
      </c>
      <c r="AT98" s="3">
        <v>0.31</v>
      </c>
      <c r="AU98" s="6">
        <v>981.901611</v>
      </c>
      <c r="AV98" s="3">
        <v>0</v>
      </c>
      <c r="AW98" s="3">
        <f t="shared" si="10"/>
        <v>0.31</v>
      </c>
      <c r="AX98" s="5"/>
      <c r="AY98" s="5"/>
      <c r="AZ98" s="5"/>
      <c r="BA98" s="5"/>
      <c r="BB98" s="1"/>
      <c r="BC98" s="3" t="s">
        <v>55</v>
      </c>
      <c r="BD98" s="3">
        <v>0.9</v>
      </c>
      <c r="BE98" s="3">
        <v>0.5</v>
      </c>
      <c r="BF98" s="3">
        <v>0.6</v>
      </c>
      <c r="BG98" s="3">
        <v>0.31</v>
      </c>
      <c r="BH98" s="6">
        <v>980.73126200000002</v>
      </c>
      <c r="BI98" s="3">
        <v>6.0000000000000001E-3</v>
      </c>
      <c r="BK98" s="3" t="s">
        <v>55</v>
      </c>
      <c r="BL98" s="3">
        <v>0.31</v>
      </c>
      <c r="BM98" s="7">
        <v>991.671021</v>
      </c>
      <c r="BN98" s="3">
        <v>1E-3</v>
      </c>
      <c r="BO98" s="3">
        <f t="shared" si="11"/>
        <v>0.31</v>
      </c>
    </row>
    <row r="99" spans="1:71" x14ac:dyDescent="0.3">
      <c r="A99" s="3" t="s">
        <v>56</v>
      </c>
      <c r="B99" s="3">
        <v>0.9</v>
      </c>
      <c r="C99" s="3">
        <v>0.5</v>
      </c>
      <c r="D99" s="3">
        <v>0.6</v>
      </c>
      <c r="E99" s="3">
        <v>0.44</v>
      </c>
      <c r="F99" s="6">
        <v>463.83065800000003</v>
      </c>
      <c r="G99" s="3">
        <v>0</v>
      </c>
      <c r="I99" s="3" t="s">
        <v>56</v>
      </c>
      <c r="J99" s="3">
        <v>0.41</v>
      </c>
      <c r="K99" s="6">
        <v>463.83065800000003</v>
      </c>
      <c r="L99" s="3">
        <v>0</v>
      </c>
      <c r="M99" s="3">
        <f t="shared" si="8"/>
        <v>0.42499999999999999</v>
      </c>
      <c r="N99" s="5"/>
      <c r="O99" s="5"/>
      <c r="P99" s="5"/>
      <c r="Q99" s="5"/>
      <c r="R99" s="1"/>
      <c r="S99" s="3" t="s">
        <v>56</v>
      </c>
      <c r="T99" s="3">
        <v>0.9</v>
      </c>
      <c r="U99" s="3">
        <v>0.5</v>
      </c>
      <c r="V99" s="3">
        <v>0.6</v>
      </c>
      <c r="W99" s="3">
        <v>0.34</v>
      </c>
      <c r="X99" s="6">
        <v>463.59741200000002</v>
      </c>
      <c r="Y99" s="3">
        <v>1E-3</v>
      </c>
      <c r="AA99" s="3" t="s">
        <v>56</v>
      </c>
      <c r="AB99" s="3">
        <v>0.33</v>
      </c>
      <c r="AC99" s="8">
        <v>463.85235599999999</v>
      </c>
      <c r="AD99" s="3">
        <v>0</v>
      </c>
      <c r="AE99" s="3">
        <f t="shared" si="9"/>
        <v>0.46499999999999997</v>
      </c>
      <c r="AF99" s="5"/>
      <c r="AG99" s="5"/>
      <c r="AH99" s="5"/>
      <c r="AI99" s="5"/>
      <c r="AJ99" s="1"/>
      <c r="AK99" s="3" t="s">
        <v>57</v>
      </c>
      <c r="AL99" s="3">
        <v>0.9</v>
      </c>
      <c r="AM99" s="3">
        <v>0.5</v>
      </c>
      <c r="AN99" s="3">
        <v>0.6</v>
      </c>
      <c r="AO99" s="3">
        <v>0.3</v>
      </c>
      <c r="AP99" s="7">
        <v>965.99139400000001</v>
      </c>
      <c r="AQ99" s="3">
        <v>5.0000000000000001E-3</v>
      </c>
      <c r="AS99" s="3" t="s">
        <v>57</v>
      </c>
      <c r="AT99" s="3">
        <v>0.32</v>
      </c>
      <c r="AU99" s="6">
        <v>954.12493900000004</v>
      </c>
      <c r="AV99" s="3">
        <v>1E-3</v>
      </c>
      <c r="AW99" s="3">
        <f t="shared" si="10"/>
        <v>0.31</v>
      </c>
      <c r="AX99" s="5"/>
      <c r="AY99" s="5"/>
      <c r="AZ99" s="5"/>
      <c r="BA99" s="5"/>
      <c r="BB99" s="1"/>
      <c r="BC99" s="3" t="s">
        <v>57</v>
      </c>
      <c r="BD99" s="3">
        <v>0.9</v>
      </c>
      <c r="BE99" s="3">
        <v>0.5</v>
      </c>
      <c r="BF99" s="3">
        <v>0.6</v>
      </c>
      <c r="BG99" s="3">
        <v>0.31</v>
      </c>
      <c r="BH99" s="6">
        <v>947.33105499999999</v>
      </c>
      <c r="BI99" s="3">
        <v>8.9999999999999993E-3</v>
      </c>
      <c r="BK99" s="3" t="s">
        <v>57</v>
      </c>
      <c r="BL99" s="3">
        <v>0.34</v>
      </c>
      <c r="BM99" s="7">
        <v>963.730774</v>
      </c>
      <c r="BN99" s="3">
        <v>1E-3</v>
      </c>
      <c r="BO99" s="3">
        <f t="shared" si="11"/>
        <v>0.32500000000000001</v>
      </c>
    </row>
    <row r="100" spans="1:71" x14ac:dyDescent="0.3">
      <c r="A100" s="3" t="s">
        <v>58</v>
      </c>
      <c r="B100" s="3">
        <v>0.9</v>
      </c>
      <c r="C100" s="3">
        <v>0.5</v>
      </c>
      <c r="D100" s="3">
        <v>0.6</v>
      </c>
      <c r="E100" s="3">
        <v>0.3</v>
      </c>
      <c r="F100" s="6">
        <v>479.978973</v>
      </c>
      <c r="G100" s="3">
        <v>1E-3</v>
      </c>
      <c r="I100" s="3" t="s">
        <v>58</v>
      </c>
      <c r="J100" s="3">
        <v>0.38</v>
      </c>
      <c r="K100" s="7">
        <v>480.47689800000001</v>
      </c>
      <c r="L100" s="3">
        <v>0</v>
      </c>
      <c r="M100" s="3">
        <f t="shared" si="8"/>
        <v>0.33999999999999997</v>
      </c>
      <c r="N100" s="5"/>
      <c r="O100" s="5"/>
      <c r="P100" s="5"/>
      <c r="Q100" s="5"/>
      <c r="R100" s="1"/>
      <c r="S100" s="3" t="s">
        <v>58</v>
      </c>
      <c r="T100" s="3">
        <v>0.9</v>
      </c>
      <c r="U100" s="3">
        <v>0.5</v>
      </c>
      <c r="V100" s="3">
        <v>0.6</v>
      </c>
      <c r="W100" s="3">
        <v>0.31</v>
      </c>
      <c r="X100" s="6">
        <v>473.08017000000001</v>
      </c>
      <c r="Y100" s="3">
        <v>0</v>
      </c>
      <c r="AA100" s="3" t="s">
        <v>58</v>
      </c>
      <c r="AB100" s="3">
        <v>0.35</v>
      </c>
      <c r="AC100" s="7">
        <v>477.54183999999998</v>
      </c>
      <c r="AD100" s="3">
        <v>0</v>
      </c>
      <c r="AE100" s="3">
        <f t="shared" si="9"/>
        <v>0.47499999999999998</v>
      </c>
      <c r="AF100" s="5"/>
      <c r="AG100" s="5"/>
      <c r="AH100" s="5"/>
      <c r="AI100" s="5"/>
      <c r="AJ100" s="1"/>
      <c r="AK100" s="3" t="s">
        <v>59</v>
      </c>
      <c r="AL100" s="3">
        <v>0.9</v>
      </c>
      <c r="AM100" s="3">
        <v>0.5</v>
      </c>
      <c r="AN100" s="3">
        <v>0.6</v>
      </c>
      <c r="AO100" s="3">
        <v>0.3</v>
      </c>
      <c r="AP100" s="6">
        <v>876.41345200000001</v>
      </c>
      <c r="AQ100" s="3">
        <v>4.0000000000000001E-3</v>
      </c>
      <c r="AS100" s="3" t="s">
        <v>59</v>
      </c>
      <c r="AT100" s="3">
        <v>0.33</v>
      </c>
      <c r="AU100" s="7">
        <v>884.75561500000003</v>
      </c>
      <c r="AV100" s="3">
        <v>1E-3</v>
      </c>
      <c r="AW100" s="3">
        <f t="shared" si="10"/>
        <v>0.315</v>
      </c>
      <c r="AX100" s="5"/>
      <c r="AY100" s="5"/>
      <c r="AZ100" s="5"/>
      <c r="BA100" s="5"/>
      <c r="BB100" s="1"/>
      <c r="BC100" s="3" t="s">
        <v>59</v>
      </c>
      <c r="BD100" s="3">
        <v>0.9</v>
      </c>
      <c r="BE100" s="3">
        <v>0.5</v>
      </c>
      <c r="BF100" s="3">
        <v>0.6</v>
      </c>
      <c r="BG100" s="3">
        <v>0.32</v>
      </c>
      <c r="BH100" s="6">
        <v>876.904358</v>
      </c>
      <c r="BI100" s="3">
        <v>5.0000000000000001E-3</v>
      </c>
      <c r="BK100" s="3" t="s">
        <v>59</v>
      </c>
      <c r="BL100" s="3">
        <v>0.31</v>
      </c>
      <c r="BM100" s="7">
        <v>880.37194799999997</v>
      </c>
      <c r="BN100" s="3">
        <v>1E-3</v>
      </c>
      <c r="BO100" s="3">
        <f t="shared" si="11"/>
        <v>0.315</v>
      </c>
    </row>
    <row r="101" spans="1:71" x14ac:dyDescent="0.3">
      <c r="A101" s="3" t="s">
        <v>60</v>
      </c>
      <c r="B101" s="3">
        <v>0.9</v>
      </c>
      <c r="C101" s="3">
        <v>0.5</v>
      </c>
      <c r="D101" s="3">
        <v>0.6</v>
      </c>
      <c r="E101" s="3">
        <v>0.38</v>
      </c>
      <c r="F101" s="7">
        <v>595.24987799999997</v>
      </c>
      <c r="G101" s="3">
        <v>1E-3</v>
      </c>
      <c r="I101" s="3" t="s">
        <v>60</v>
      </c>
      <c r="J101" s="3">
        <v>0.39</v>
      </c>
      <c r="K101" s="6">
        <v>586.38220200000001</v>
      </c>
      <c r="L101" s="3">
        <v>0</v>
      </c>
      <c r="M101" s="3">
        <f t="shared" si="8"/>
        <v>0.38500000000000001</v>
      </c>
      <c r="N101" s="5"/>
      <c r="O101" s="5"/>
      <c r="P101" s="5"/>
      <c r="Q101" s="5"/>
      <c r="R101" s="1"/>
      <c r="S101" s="3" t="s">
        <v>60</v>
      </c>
      <c r="T101" s="3">
        <v>0.9</v>
      </c>
      <c r="U101" s="3">
        <v>0.5</v>
      </c>
      <c r="V101" s="3">
        <v>0.6</v>
      </c>
      <c r="W101" s="3">
        <v>0.3</v>
      </c>
      <c r="X101" s="6">
        <v>587.75176999999996</v>
      </c>
      <c r="Y101" s="3">
        <v>1E-3</v>
      </c>
      <c r="AA101" s="3" t="s">
        <v>60</v>
      </c>
      <c r="AB101" s="3">
        <v>0.3</v>
      </c>
      <c r="AC101" s="7">
        <v>597.36669900000004</v>
      </c>
      <c r="AD101" s="3">
        <v>0</v>
      </c>
      <c r="AE101" s="3">
        <f t="shared" si="9"/>
        <v>0.44999999999999996</v>
      </c>
      <c r="AF101" s="5"/>
      <c r="AG101" s="5"/>
      <c r="AH101" s="5"/>
      <c r="AI101" s="5"/>
      <c r="AJ101" s="1"/>
      <c r="AK101" s="3" t="s">
        <v>61</v>
      </c>
      <c r="AL101" s="3">
        <v>0.9</v>
      </c>
      <c r="AM101" s="3">
        <v>0.5</v>
      </c>
      <c r="AN101" s="3">
        <v>0.6</v>
      </c>
      <c r="AO101" s="3">
        <v>0.31</v>
      </c>
      <c r="AP101" s="7">
        <v>1023.433777</v>
      </c>
      <c r="AQ101" s="3">
        <v>4.0000000000000001E-3</v>
      </c>
      <c r="AS101" s="3" t="s">
        <v>61</v>
      </c>
      <c r="AT101" s="3">
        <v>0.33</v>
      </c>
      <c r="AU101" s="6">
        <v>1006.9904790000001</v>
      </c>
      <c r="AV101" s="3">
        <v>0</v>
      </c>
      <c r="AW101" s="3">
        <f t="shared" si="10"/>
        <v>0.32</v>
      </c>
      <c r="AX101" s="5"/>
      <c r="AY101" s="5"/>
      <c r="AZ101" s="5"/>
      <c r="BA101" s="5"/>
      <c r="BB101" s="1"/>
      <c r="BC101" s="3" t="s">
        <v>61</v>
      </c>
      <c r="BD101" s="3">
        <v>0.9</v>
      </c>
      <c r="BE101" s="3">
        <v>0.5</v>
      </c>
      <c r="BF101" s="3">
        <v>0.6</v>
      </c>
      <c r="BG101" s="3">
        <v>0.3</v>
      </c>
      <c r="BH101" s="6">
        <v>1019.385681</v>
      </c>
      <c r="BI101" s="3">
        <v>6.0000000000000001E-3</v>
      </c>
      <c r="BK101" s="3" t="s">
        <v>61</v>
      </c>
      <c r="BL101" s="3">
        <v>0.31</v>
      </c>
      <c r="BM101" s="8">
        <v>1019.4911499999999</v>
      </c>
      <c r="BN101" s="3">
        <v>1E-3</v>
      </c>
      <c r="BO101" s="3">
        <f t="shared" si="11"/>
        <v>0.30499999999999999</v>
      </c>
    </row>
    <row r="102" spans="1:71" x14ac:dyDescent="0.3">
      <c r="A102" s="3" t="s">
        <v>62</v>
      </c>
      <c r="B102" s="3">
        <v>0.9</v>
      </c>
      <c r="C102" s="3">
        <v>0.5</v>
      </c>
      <c r="D102" s="3">
        <v>0.6</v>
      </c>
      <c r="E102" s="3">
        <v>0.34</v>
      </c>
      <c r="F102" s="6">
        <v>399.97909499999997</v>
      </c>
      <c r="G102" s="3">
        <v>0</v>
      </c>
      <c r="I102" s="3" t="s">
        <v>62</v>
      </c>
      <c r="J102" s="3">
        <v>0.33</v>
      </c>
      <c r="K102" s="7">
        <v>400.43536399999999</v>
      </c>
      <c r="L102" s="3">
        <v>0</v>
      </c>
      <c r="M102" s="3">
        <f t="shared" si="8"/>
        <v>0.33500000000000002</v>
      </c>
      <c r="N102" s="5"/>
      <c r="O102" s="5"/>
      <c r="P102" s="5"/>
      <c r="Q102" s="5"/>
      <c r="R102" s="1"/>
      <c r="S102" s="3" t="s">
        <v>62</v>
      </c>
      <c r="T102" s="3">
        <v>0.9</v>
      </c>
      <c r="U102" s="3">
        <v>0.5</v>
      </c>
      <c r="V102" s="3">
        <v>0.6</v>
      </c>
      <c r="W102" s="3">
        <v>0.32</v>
      </c>
      <c r="X102" s="6">
        <v>396.15759300000002</v>
      </c>
      <c r="Y102" s="3">
        <v>1E-3</v>
      </c>
      <c r="AA102" s="3" t="s">
        <v>62</v>
      </c>
      <c r="AB102" s="3">
        <v>0.35</v>
      </c>
      <c r="AC102" s="6">
        <v>396.15759300000002</v>
      </c>
      <c r="AD102" s="3">
        <v>0</v>
      </c>
      <c r="AE102" s="3">
        <f t="shared" si="9"/>
        <v>0.47499999999999998</v>
      </c>
      <c r="AF102" s="5"/>
      <c r="AG102" s="5"/>
      <c r="AH102" s="5"/>
      <c r="AI102" s="5"/>
      <c r="AJ102" s="1"/>
      <c r="AK102" s="3" t="s">
        <v>63</v>
      </c>
      <c r="AL102" s="3">
        <v>0.9</v>
      </c>
      <c r="AM102" s="3">
        <v>0.5</v>
      </c>
      <c r="AN102" s="3">
        <v>0.6</v>
      </c>
      <c r="AO102" s="3">
        <v>0.37</v>
      </c>
      <c r="AP102" s="6">
        <v>992.51391599999999</v>
      </c>
      <c r="AQ102" s="3">
        <v>4.0000000000000001E-3</v>
      </c>
      <c r="AS102" s="3" t="s">
        <v>63</v>
      </c>
      <c r="AT102" s="3">
        <v>0.31</v>
      </c>
      <c r="AU102" s="7">
        <v>1004.850037</v>
      </c>
      <c r="AV102" s="3">
        <v>1E-3</v>
      </c>
      <c r="AW102" s="3">
        <f t="shared" si="10"/>
        <v>0.33999999999999997</v>
      </c>
      <c r="AX102" s="5"/>
      <c r="AY102" s="5"/>
      <c r="AZ102" s="5"/>
      <c r="BA102" s="5"/>
      <c r="BB102" s="1"/>
      <c r="BC102" s="3" t="s">
        <v>63</v>
      </c>
      <c r="BD102" s="3">
        <v>0.9</v>
      </c>
      <c r="BE102" s="3">
        <v>0.5</v>
      </c>
      <c r="BF102" s="3">
        <v>0.6</v>
      </c>
      <c r="BG102" s="3">
        <v>0.31</v>
      </c>
      <c r="BH102" s="7">
        <v>978.00402799999995</v>
      </c>
      <c r="BI102" s="3">
        <v>6.0000000000000001E-3</v>
      </c>
      <c r="BK102" s="3" t="s">
        <v>63</v>
      </c>
      <c r="BL102" s="3">
        <v>0.32</v>
      </c>
      <c r="BM102" s="6">
        <v>993.59075900000005</v>
      </c>
      <c r="BN102" s="3">
        <v>0</v>
      </c>
      <c r="BO102" s="3">
        <f t="shared" si="11"/>
        <v>0.315</v>
      </c>
    </row>
    <row r="103" spans="1:71" x14ac:dyDescent="0.3">
      <c r="A103" s="3" t="s">
        <v>64</v>
      </c>
      <c r="B103" s="3">
        <v>0.9</v>
      </c>
      <c r="C103" s="3">
        <v>0.5</v>
      </c>
      <c r="D103" s="3">
        <v>0.6</v>
      </c>
      <c r="E103" s="3">
        <v>0.3</v>
      </c>
      <c r="F103" s="6">
        <v>559.56286599999999</v>
      </c>
      <c r="G103" s="3">
        <v>1E-3</v>
      </c>
      <c r="I103" s="3" t="s">
        <v>64</v>
      </c>
      <c r="J103" s="3">
        <v>0.7</v>
      </c>
      <c r="K103" s="7">
        <v>564.37451199999998</v>
      </c>
      <c r="L103" s="3">
        <v>0</v>
      </c>
      <c r="M103" s="3">
        <f t="shared" si="8"/>
        <v>0.5</v>
      </c>
      <c r="N103" s="5"/>
      <c r="O103" s="5"/>
      <c r="P103" s="5"/>
      <c r="Q103" s="5"/>
      <c r="R103" s="1"/>
      <c r="S103" s="3" t="s">
        <v>64</v>
      </c>
      <c r="T103" s="3">
        <v>0.9</v>
      </c>
      <c r="U103" s="3">
        <v>0.5</v>
      </c>
      <c r="V103" s="3">
        <v>0.6</v>
      </c>
      <c r="W103" s="3">
        <v>0.3</v>
      </c>
      <c r="X103" s="6">
        <v>558.28326400000003</v>
      </c>
      <c r="Y103" s="3">
        <v>1E-3</v>
      </c>
      <c r="AA103" s="3" t="s">
        <v>64</v>
      </c>
      <c r="AB103" s="3">
        <v>0.39</v>
      </c>
      <c r="AC103" s="7">
        <v>566.73449700000003</v>
      </c>
      <c r="AD103" s="3">
        <v>0</v>
      </c>
      <c r="AE103" s="3">
        <f t="shared" si="9"/>
        <v>0.495</v>
      </c>
      <c r="AF103" s="5"/>
      <c r="AG103" s="5"/>
      <c r="AH103" s="5"/>
      <c r="AI103" s="5"/>
      <c r="AJ103" s="1"/>
      <c r="AK103" s="3" t="s">
        <v>65</v>
      </c>
      <c r="AL103" s="3">
        <v>0.9</v>
      </c>
      <c r="AM103" s="3">
        <v>0.5</v>
      </c>
      <c r="AN103" s="3">
        <v>0.6</v>
      </c>
      <c r="AO103" s="3">
        <v>0.44</v>
      </c>
      <c r="AP103" s="6">
        <v>932.12829599999998</v>
      </c>
      <c r="AQ103" s="3">
        <v>5.0000000000000001E-3</v>
      </c>
      <c r="AS103" s="3" t="s">
        <v>65</v>
      </c>
      <c r="AT103" s="3">
        <v>0.3</v>
      </c>
      <c r="AU103" s="7">
        <v>944.14013699999998</v>
      </c>
      <c r="AV103" s="3">
        <v>1E-3</v>
      </c>
      <c r="AW103" s="3">
        <f t="shared" si="10"/>
        <v>0.37</v>
      </c>
      <c r="AX103" s="5"/>
      <c r="AY103" s="5"/>
      <c r="AZ103" s="5"/>
      <c r="BA103" s="5"/>
      <c r="BB103" s="1"/>
      <c r="BC103" s="3" t="s">
        <v>65</v>
      </c>
      <c r="BD103" s="3">
        <v>0.9</v>
      </c>
      <c r="BE103" s="3">
        <v>0.5</v>
      </c>
      <c r="BF103" s="3">
        <v>0.6</v>
      </c>
      <c r="BG103" s="3">
        <v>0.3</v>
      </c>
      <c r="BH103" s="7">
        <v>937.78692599999999</v>
      </c>
      <c r="BI103" s="3">
        <v>6.0000000000000001E-3</v>
      </c>
      <c r="BK103" s="3" t="s">
        <v>65</v>
      </c>
      <c r="BL103" s="3">
        <v>0.3</v>
      </c>
      <c r="BM103" s="6">
        <v>935.30279499999995</v>
      </c>
      <c r="BN103" s="3">
        <v>0</v>
      </c>
      <c r="BO103" s="3">
        <f t="shared" si="11"/>
        <v>0.3</v>
      </c>
    </row>
    <row r="104" spans="1:71" x14ac:dyDescent="0.3">
      <c r="A104" s="3" t="s">
        <v>66</v>
      </c>
      <c r="B104" s="3">
        <v>0.9</v>
      </c>
      <c r="C104" s="3">
        <v>0.5</v>
      </c>
      <c r="D104" s="3">
        <v>0.6</v>
      </c>
      <c r="E104" s="3">
        <v>0.33</v>
      </c>
      <c r="F104" s="6">
        <v>513.70263699999998</v>
      </c>
      <c r="G104" s="3">
        <v>1E-3</v>
      </c>
      <c r="I104" s="3" t="s">
        <v>66</v>
      </c>
      <c r="J104" s="3">
        <v>0.32</v>
      </c>
      <c r="K104" s="7">
        <v>517.99755900000002</v>
      </c>
      <c r="L104" s="3">
        <v>0</v>
      </c>
      <c r="M104" s="3">
        <f t="shared" si="8"/>
        <v>0.32500000000000001</v>
      </c>
      <c r="N104" s="5"/>
      <c r="O104" s="5"/>
      <c r="P104" s="5"/>
      <c r="Q104" s="5"/>
      <c r="R104" s="1"/>
      <c r="S104" s="3" t="s">
        <v>66</v>
      </c>
      <c r="T104" s="3">
        <v>0.9</v>
      </c>
      <c r="U104" s="3">
        <v>0.5</v>
      </c>
      <c r="V104" s="3">
        <v>0.6</v>
      </c>
      <c r="W104" s="3">
        <v>0.33</v>
      </c>
      <c r="X104" s="8">
        <v>505.31863399999997</v>
      </c>
      <c r="Y104" s="3">
        <v>1E-3</v>
      </c>
      <c r="AA104" s="3" t="s">
        <v>66</v>
      </c>
      <c r="AB104" s="3">
        <v>0.36</v>
      </c>
      <c r="AC104" s="6">
        <v>505.226654</v>
      </c>
      <c r="AD104" s="3">
        <v>0</v>
      </c>
      <c r="AE104" s="3">
        <f t="shared" si="9"/>
        <v>0.48</v>
      </c>
      <c r="AF104" s="5"/>
      <c r="AG104" s="5"/>
      <c r="AH104" s="5"/>
      <c r="AI104" s="5"/>
      <c r="AJ104" s="1"/>
      <c r="AK104" s="3" t="s">
        <v>67</v>
      </c>
      <c r="AL104" s="3">
        <v>0.9</v>
      </c>
      <c r="AM104" s="3">
        <v>0.5</v>
      </c>
      <c r="AN104" s="3">
        <v>0.6</v>
      </c>
      <c r="AO104" s="3">
        <v>0.36</v>
      </c>
      <c r="AP104" s="6">
        <v>967.59783900000002</v>
      </c>
      <c r="AQ104" s="3">
        <v>5.0000000000000001E-3</v>
      </c>
      <c r="AS104" s="3" t="s">
        <v>67</v>
      </c>
      <c r="AT104" s="3">
        <v>0.31</v>
      </c>
      <c r="AU104" s="7">
        <v>984.44506799999999</v>
      </c>
      <c r="AV104" s="3">
        <v>1E-3</v>
      </c>
      <c r="AW104" s="3">
        <f t="shared" si="10"/>
        <v>0.33499999999999996</v>
      </c>
      <c r="AX104" s="5"/>
      <c r="AY104" s="5"/>
      <c r="AZ104" s="5"/>
      <c r="BA104" s="5"/>
      <c r="BB104" s="1"/>
      <c r="BC104" s="3" t="s">
        <v>67</v>
      </c>
      <c r="BD104" s="3">
        <v>0.9</v>
      </c>
      <c r="BE104" s="3">
        <v>0.5</v>
      </c>
      <c r="BF104" s="3">
        <v>0.6</v>
      </c>
      <c r="BG104" s="3">
        <v>0.31</v>
      </c>
      <c r="BH104" s="7">
        <v>995.30102499999998</v>
      </c>
      <c r="BI104" s="3">
        <v>6.0000000000000001E-3</v>
      </c>
      <c r="BK104" s="3" t="s">
        <v>67</v>
      </c>
      <c r="BL104" s="3">
        <v>0.3</v>
      </c>
      <c r="BM104" s="6">
        <v>982.60205099999996</v>
      </c>
      <c r="BN104" s="3">
        <v>0</v>
      </c>
      <c r="BO104" s="3">
        <f t="shared" si="11"/>
        <v>0.30499999999999999</v>
      </c>
    </row>
    <row r="105" spans="1:71" x14ac:dyDescent="0.3">
      <c r="A105" s="3" t="s">
        <v>68</v>
      </c>
      <c r="B105" s="3">
        <v>0.9</v>
      </c>
      <c r="C105" s="3">
        <v>0.5</v>
      </c>
      <c r="D105" s="3">
        <v>0.6</v>
      </c>
      <c r="E105" s="3">
        <v>0.37</v>
      </c>
      <c r="F105" s="6">
        <v>400.58245799999997</v>
      </c>
      <c r="G105" s="3">
        <v>1E-3</v>
      </c>
      <c r="I105" s="3" t="s">
        <v>68</v>
      </c>
      <c r="J105" s="3">
        <v>0.41</v>
      </c>
      <c r="K105" s="8">
        <v>400.59021000000001</v>
      </c>
      <c r="L105" s="3">
        <v>0</v>
      </c>
      <c r="M105" s="3">
        <f t="shared" si="8"/>
        <v>0.39</v>
      </c>
      <c r="N105" s="5"/>
      <c r="O105" s="5"/>
      <c r="P105" s="5"/>
      <c r="Q105" s="5"/>
      <c r="R105" s="1"/>
      <c r="S105" s="3" t="s">
        <v>68</v>
      </c>
      <c r="T105" s="3">
        <v>0.9</v>
      </c>
      <c r="U105" s="3">
        <v>0.5</v>
      </c>
      <c r="V105" s="3">
        <v>0.6</v>
      </c>
      <c r="W105" s="3">
        <v>0.34</v>
      </c>
      <c r="X105" s="6">
        <v>397.21749899999998</v>
      </c>
      <c r="Y105" s="3">
        <v>1E-3</v>
      </c>
      <c r="AA105" s="3" t="s">
        <v>68</v>
      </c>
      <c r="AB105" s="3">
        <v>0.3</v>
      </c>
      <c r="AC105" s="8">
        <v>397.25357100000002</v>
      </c>
      <c r="AD105" s="3">
        <v>0</v>
      </c>
      <c r="AE105" s="3">
        <f t="shared" si="9"/>
        <v>0.44999999999999996</v>
      </c>
      <c r="AF105" s="5"/>
      <c r="AG105" s="5"/>
      <c r="AH105" s="5"/>
      <c r="AI105" s="5"/>
      <c r="AJ105" s="1"/>
      <c r="AK105" s="3" t="s">
        <v>69</v>
      </c>
      <c r="AL105" s="3">
        <v>0.9</v>
      </c>
      <c r="AM105" s="3">
        <v>0.5</v>
      </c>
      <c r="AN105" s="3">
        <v>0.6</v>
      </c>
      <c r="AO105" s="3">
        <v>0.3</v>
      </c>
      <c r="AP105" s="6">
        <v>983.14709500000004</v>
      </c>
      <c r="AQ105" s="3">
        <v>5.0000000000000001E-3</v>
      </c>
      <c r="AS105" s="3" t="s">
        <v>69</v>
      </c>
      <c r="AT105" s="3">
        <v>0.31</v>
      </c>
      <c r="AU105" s="7">
        <v>993.27941899999996</v>
      </c>
      <c r="AV105" s="3">
        <v>0</v>
      </c>
      <c r="AW105" s="3">
        <f t="shared" si="10"/>
        <v>0.30499999999999999</v>
      </c>
      <c r="AX105" s="5"/>
      <c r="AY105" s="5"/>
      <c r="AZ105" s="5"/>
      <c r="BA105" s="5"/>
      <c r="BB105" s="1"/>
      <c r="BC105" s="3" t="s">
        <v>69</v>
      </c>
      <c r="BD105" s="3">
        <v>0.9</v>
      </c>
      <c r="BE105" s="3">
        <v>0.5</v>
      </c>
      <c r="BF105" s="3">
        <v>0.6</v>
      </c>
      <c r="BG105" s="3">
        <v>0.3</v>
      </c>
      <c r="BH105" s="7">
        <v>995.79925500000002</v>
      </c>
      <c r="BI105" s="3">
        <v>8.0000000000000002E-3</v>
      </c>
      <c r="BK105" s="3" t="s">
        <v>69</v>
      </c>
      <c r="BL105" s="3">
        <v>0.3</v>
      </c>
      <c r="BM105" s="6">
        <v>988.52258300000005</v>
      </c>
      <c r="BN105" s="3">
        <v>1E-3</v>
      </c>
      <c r="BO105" s="3">
        <f t="shared" si="11"/>
        <v>0.3</v>
      </c>
    </row>
    <row r="106" spans="1:71" x14ac:dyDescent="0.3">
      <c r="A106" s="3" t="s">
        <v>316</v>
      </c>
      <c r="E106" s="3">
        <f>AVERAGE(E76:E105)</f>
        <v>0.39366666666666672</v>
      </c>
      <c r="I106" s="9" t="s">
        <v>316</v>
      </c>
      <c r="J106" s="9">
        <f>AVERAGE(J76:J105)</f>
        <v>0.40933333333333338</v>
      </c>
      <c r="R106" s="1"/>
      <c r="S106" s="3" t="s">
        <v>316</v>
      </c>
      <c r="W106" s="3">
        <f>AVERAGE(W76:W105)</f>
        <v>0.34166666666666667</v>
      </c>
      <c r="AA106" s="9" t="s">
        <v>316</v>
      </c>
      <c r="AB106" s="9">
        <f>AVERAGE(AB76:AB105)</f>
        <v>0.36266666666666664</v>
      </c>
      <c r="AJ106" s="1"/>
      <c r="AK106" s="9" t="s">
        <v>316</v>
      </c>
      <c r="AO106" s="9">
        <f>AVERAGE(AO76:AO105)</f>
        <v>0.32566666666666655</v>
      </c>
      <c r="AS106" s="9" t="s">
        <v>316</v>
      </c>
      <c r="AT106" s="9">
        <f>AVERAGE(AT76:AT105)</f>
        <v>0.31666666666666671</v>
      </c>
      <c r="BB106" s="1"/>
      <c r="BC106" s="9" t="s">
        <v>316</v>
      </c>
      <c r="BG106" s="9">
        <f>AVERAGE(BG76:BG105)</f>
        <v>0.31366666666666665</v>
      </c>
      <c r="BK106" s="9" t="s">
        <v>316</v>
      </c>
      <c r="BL106" s="9">
        <f>AVERAGE(BL76:BL105)</f>
        <v>0.32133333333333342</v>
      </c>
    </row>
    <row r="107" spans="1:7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row>
    <row r="108" spans="1:71" x14ac:dyDescent="0.3">
      <c r="A108" s="19" t="s">
        <v>314</v>
      </c>
      <c r="B108" s="19"/>
      <c r="C108" s="19"/>
      <c r="D108" s="19"/>
      <c r="E108" s="19"/>
      <c r="F108" s="19"/>
      <c r="G108" s="19"/>
      <c r="I108" s="19" t="s">
        <v>315</v>
      </c>
      <c r="J108" s="19"/>
      <c r="K108" s="19"/>
      <c r="L108" s="19"/>
      <c r="M108" s="19"/>
      <c r="N108" s="11"/>
      <c r="O108" s="11"/>
      <c r="P108" s="11"/>
      <c r="Q108" s="11"/>
      <c r="R108" s="1"/>
      <c r="S108" s="19" t="s">
        <v>314</v>
      </c>
      <c r="T108" s="19"/>
      <c r="U108" s="19"/>
      <c r="V108" s="19"/>
      <c r="W108" s="19"/>
      <c r="X108" s="19"/>
      <c r="Y108" s="19"/>
      <c r="AA108" s="19" t="s">
        <v>315</v>
      </c>
      <c r="AB108" s="19"/>
      <c r="AC108" s="19"/>
      <c r="AD108" s="19"/>
      <c r="AE108" s="19"/>
      <c r="AF108" s="11"/>
      <c r="AG108" s="11"/>
      <c r="AH108" s="11"/>
      <c r="AI108" s="11"/>
      <c r="AJ108" s="1"/>
      <c r="AK108" s="19" t="s">
        <v>314</v>
      </c>
      <c r="AL108" s="19"/>
      <c r="AM108" s="19"/>
      <c r="AN108" s="19"/>
      <c r="AO108" s="19"/>
      <c r="AP108" s="19"/>
      <c r="AQ108" s="19"/>
      <c r="AS108" s="19" t="s">
        <v>315</v>
      </c>
      <c r="AT108" s="19"/>
      <c r="AU108" s="19"/>
      <c r="AV108" s="19"/>
      <c r="AW108" s="19"/>
      <c r="AX108" s="11"/>
      <c r="AY108" s="11"/>
      <c r="AZ108" s="11"/>
      <c r="BA108" s="11"/>
      <c r="BB108" s="1"/>
      <c r="BC108" s="19" t="s">
        <v>314</v>
      </c>
      <c r="BD108" s="19"/>
      <c r="BE108" s="19"/>
      <c r="BF108" s="19"/>
      <c r="BG108" s="19"/>
      <c r="BH108" s="19"/>
      <c r="BI108" s="19"/>
      <c r="BK108" s="19" t="s">
        <v>315</v>
      </c>
      <c r="BL108" s="19"/>
      <c r="BM108" s="19"/>
      <c r="BN108" s="19"/>
      <c r="BO108" s="19"/>
    </row>
    <row r="109" spans="1:71" x14ac:dyDescent="0.3">
      <c r="A109" s="19" t="s">
        <v>0</v>
      </c>
      <c r="B109" s="19"/>
      <c r="C109" s="19"/>
      <c r="D109" s="19"/>
      <c r="E109" s="19"/>
      <c r="F109" s="19"/>
      <c r="G109" s="19"/>
      <c r="I109" s="19" t="s">
        <v>0</v>
      </c>
      <c r="J109" s="19"/>
      <c r="K109" s="19"/>
      <c r="L109" s="19"/>
      <c r="M109" s="19"/>
      <c r="N109" s="11"/>
      <c r="O109" s="11"/>
      <c r="P109" s="11"/>
      <c r="Q109" s="11"/>
      <c r="R109" s="1"/>
      <c r="S109" s="19" t="s">
        <v>1</v>
      </c>
      <c r="T109" s="19"/>
      <c r="U109" s="19"/>
      <c r="V109" s="19"/>
      <c r="W109" s="19"/>
      <c r="X109" s="19"/>
      <c r="Y109" s="19"/>
      <c r="AA109" s="19" t="s">
        <v>1</v>
      </c>
      <c r="AB109" s="19"/>
      <c r="AC109" s="19"/>
      <c r="AD109" s="19"/>
      <c r="AE109" s="19"/>
      <c r="AF109" s="11"/>
      <c r="AG109" s="11"/>
      <c r="AH109" s="11"/>
      <c r="AI109" s="11"/>
      <c r="AJ109" s="1"/>
      <c r="AK109" s="19" t="s">
        <v>0</v>
      </c>
      <c r="AL109" s="19"/>
      <c r="AM109" s="19"/>
      <c r="AN109" s="19"/>
      <c r="AO109" s="19"/>
      <c r="AP109" s="19"/>
      <c r="AQ109" s="19"/>
      <c r="AS109" s="19" t="s">
        <v>0</v>
      </c>
      <c r="AT109" s="19"/>
      <c r="AU109" s="19"/>
      <c r="AV109" s="19"/>
      <c r="AW109" s="19"/>
      <c r="AX109" s="11"/>
      <c r="AY109" s="11"/>
      <c r="AZ109" s="11"/>
      <c r="BA109" s="11"/>
      <c r="BB109" s="1"/>
      <c r="BC109" s="19" t="s">
        <v>1</v>
      </c>
      <c r="BD109" s="19"/>
      <c r="BE109" s="19"/>
      <c r="BF109" s="19"/>
      <c r="BG109" s="19"/>
      <c r="BH109" s="19"/>
      <c r="BI109" s="19"/>
      <c r="BK109" s="19" t="s">
        <v>1</v>
      </c>
      <c r="BL109" s="19"/>
      <c r="BM109" s="19"/>
      <c r="BN109" s="19"/>
      <c r="BO109" s="19"/>
    </row>
    <row r="110" spans="1:71" x14ac:dyDescent="0.3">
      <c r="A110" s="3" t="s">
        <v>2</v>
      </c>
      <c r="B110" s="3" t="s">
        <v>3</v>
      </c>
      <c r="C110" s="3" t="s">
        <v>4</v>
      </c>
      <c r="D110" s="3" t="s">
        <v>5</v>
      </c>
      <c r="E110" s="3" t="s">
        <v>6</v>
      </c>
      <c r="F110" s="3" t="s">
        <v>7</v>
      </c>
      <c r="G110" s="3" t="s">
        <v>8</v>
      </c>
      <c r="I110" s="3" t="s">
        <v>2</v>
      </c>
      <c r="J110" s="3" t="s">
        <v>6</v>
      </c>
      <c r="K110" s="3" t="s">
        <v>7</v>
      </c>
      <c r="L110" s="3" t="s">
        <v>8</v>
      </c>
      <c r="M110" s="3" t="s">
        <v>9</v>
      </c>
      <c r="N110" s="3" t="s">
        <v>322</v>
      </c>
      <c r="O110" s="3" t="s">
        <v>323</v>
      </c>
      <c r="P110" s="3" t="s">
        <v>322</v>
      </c>
      <c r="Q110" s="3" t="s">
        <v>323</v>
      </c>
      <c r="R110" s="1"/>
      <c r="S110" s="3" t="s">
        <v>2</v>
      </c>
      <c r="T110" s="3" t="s">
        <v>3</v>
      </c>
      <c r="U110" s="3" t="s">
        <v>4</v>
      </c>
      <c r="V110" s="3" t="s">
        <v>5</v>
      </c>
      <c r="W110" s="3" t="s">
        <v>6</v>
      </c>
      <c r="X110" s="3" t="s">
        <v>7</v>
      </c>
      <c r="Y110" s="3" t="s">
        <v>8</v>
      </c>
      <c r="AA110" s="3" t="s">
        <v>2</v>
      </c>
      <c r="AB110" s="3" t="s">
        <v>6</v>
      </c>
      <c r="AC110" s="3" t="s">
        <v>7</v>
      </c>
      <c r="AD110" s="3" t="s">
        <v>8</v>
      </c>
      <c r="AE110" s="3" t="s">
        <v>9</v>
      </c>
      <c r="AF110" s="3" t="s">
        <v>322</v>
      </c>
      <c r="AG110" s="3" t="s">
        <v>323</v>
      </c>
      <c r="AH110" s="3" t="s">
        <v>322</v>
      </c>
      <c r="AI110" s="3" t="s">
        <v>323</v>
      </c>
      <c r="AJ110" s="1"/>
      <c r="AK110" s="3" t="s">
        <v>2</v>
      </c>
      <c r="AL110" s="3" t="s">
        <v>3</v>
      </c>
      <c r="AM110" s="3" t="s">
        <v>4</v>
      </c>
      <c r="AN110" s="3" t="s">
        <v>5</v>
      </c>
      <c r="AO110" s="3" t="s">
        <v>6</v>
      </c>
      <c r="AP110" s="3" t="s">
        <v>7</v>
      </c>
      <c r="AQ110" s="3" t="s">
        <v>8</v>
      </c>
      <c r="AS110" s="3" t="s">
        <v>2</v>
      </c>
      <c r="AT110" s="3" t="s">
        <v>6</v>
      </c>
      <c r="AU110" s="3" t="s">
        <v>7</v>
      </c>
      <c r="AV110" s="3" t="s">
        <v>8</v>
      </c>
      <c r="AW110" s="3" t="s">
        <v>9</v>
      </c>
      <c r="AX110" s="3" t="s">
        <v>322</v>
      </c>
      <c r="AY110" s="3" t="s">
        <v>323</v>
      </c>
      <c r="AZ110" s="3" t="s">
        <v>322</v>
      </c>
      <c r="BA110" s="3" t="s">
        <v>323</v>
      </c>
      <c r="BB110" s="1"/>
      <c r="BC110" s="3" t="s">
        <v>2</v>
      </c>
      <c r="BD110" s="3" t="s">
        <v>3</v>
      </c>
      <c r="BE110" s="3" t="s">
        <v>4</v>
      </c>
      <c r="BF110" s="3" t="s">
        <v>5</v>
      </c>
      <c r="BG110" s="3" t="s">
        <v>6</v>
      </c>
      <c r="BH110" s="3" t="s">
        <v>7</v>
      </c>
      <c r="BI110" s="3" t="s">
        <v>8</v>
      </c>
      <c r="BK110" s="3" t="s">
        <v>2</v>
      </c>
      <c r="BL110" s="3" t="s">
        <v>6</v>
      </c>
      <c r="BM110" s="3" t="s">
        <v>7</v>
      </c>
      <c r="BN110" s="3" t="s">
        <v>8</v>
      </c>
      <c r="BO110" s="3" t="s">
        <v>9</v>
      </c>
      <c r="BP110" s="3" t="s">
        <v>322</v>
      </c>
      <c r="BQ110" s="3" t="s">
        <v>323</v>
      </c>
      <c r="BR110" s="3" t="s">
        <v>322</v>
      </c>
      <c r="BS110" s="3" t="s">
        <v>323</v>
      </c>
    </row>
    <row r="111" spans="1:71" x14ac:dyDescent="0.3">
      <c r="A111" s="3" t="s">
        <v>74</v>
      </c>
      <c r="B111" s="3">
        <v>0.9</v>
      </c>
      <c r="C111" s="3">
        <v>0.5</v>
      </c>
      <c r="D111" s="3">
        <v>0.6</v>
      </c>
      <c r="E111" s="3">
        <v>0.3</v>
      </c>
      <c r="F111" s="6">
        <v>404.11584499999998</v>
      </c>
      <c r="G111" s="3">
        <v>2E-3</v>
      </c>
      <c r="I111" s="3" t="s">
        <v>74</v>
      </c>
      <c r="J111" s="3">
        <v>0.3</v>
      </c>
      <c r="K111" s="7">
        <v>405.61071800000002</v>
      </c>
      <c r="L111" s="3">
        <v>0</v>
      </c>
      <c r="M111" s="3">
        <f t="shared" ref="M111:M140" si="12">AVERAGE(E111,J111)</f>
        <v>0.3</v>
      </c>
      <c r="N111" s="4" t="s">
        <v>320</v>
      </c>
      <c r="O111" s="4" t="s">
        <v>320</v>
      </c>
      <c r="P111" s="4" t="s">
        <v>321</v>
      </c>
      <c r="Q111" s="4" t="s">
        <v>321</v>
      </c>
      <c r="R111" s="1"/>
      <c r="S111" s="3" t="s">
        <v>74</v>
      </c>
      <c r="T111" s="3">
        <v>0.9</v>
      </c>
      <c r="U111" s="3">
        <v>0.5</v>
      </c>
      <c r="V111" s="3">
        <v>0.6</v>
      </c>
      <c r="W111" s="3">
        <v>0.33</v>
      </c>
      <c r="X111" s="6">
        <v>369.545074</v>
      </c>
      <c r="Y111" s="3">
        <v>1E-3</v>
      </c>
      <c r="AA111" s="3" t="s">
        <v>74</v>
      </c>
      <c r="AB111" s="3">
        <v>0.32</v>
      </c>
      <c r="AC111" s="7">
        <v>373.08126800000002</v>
      </c>
      <c r="AD111" s="3">
        <v>0</v>
      </c>
      <c r="AE111" s="3">
        <f t="shared" ref="AE111:AE140" si="13">AVERAGE(V111,AB111)</f>
        <v>0.45999999999999996</v>
      </c>
      <c r="AF111" s="4" t="s">
        <v>320</v>
      </c>
      <c r="AG111" s="4" t="s">
        <v>320</v>
      </c>
      <c r="AH111" s="4" t="s">
        <v>321</v>
      </c>
      <c r="AI111" s="4" t="s">
        <v>321</v>
      </c>
      <c r="AJ111" s="1"/>
      <c r="AK111" s="3" t="s">
        <v>75</v>
      </c>
      <c r="AL111" s="3">
        <v>0.9</v>
      </c>
      <c r="AM111" s="3">
        <v>0.5</v>
      </c>
      <c r="AN111" s="3">
        <v>0.6</v>
      </c>
      <c r="AO111" s="3">
        <v>0.3</v>
      </c>
      <c r="AP111" s="7">
        <v>740.00640899999996</v>
      </c>
      <c r="AQ111" s="3">
        <v>4.0000000000000001E-3</v>
      </c>
      <c r="AS111" s="3" t="s">
        <v>75</v>
      </c>
      <c r="AT111" s="3">
        <v>0.31</v>
      </c>
      <c r="AU111" s="6">
        <v>730.41235400000005</v>
      </c>
      <c r="AV111" s="3">
        <v>0</v>
      </c>
      <c r="AW111" s="3">
        <f t="shared" ref="AW111:AW140" si="14">AVERAGE(AO111,AT111)</f>
        <v>0.30499999999999999</v>
      </c>
      <c r="AX111" s="4" t="s">
        <v>320</v>
      </c>
      <c r="AY111" s="4" t="s">
        <v>320</v>
      </c>
      <c r="AZ111" s="4" t="s">
        <v>321</v>
      </c>
      <c r="BA111" s="4" t="s">
        <v>321</v>
      </c>
      <c r="BB111" s="1"/>
      <c r="BC111" s="3" t="s">
        <v>75</v>
      </c>
      <c r="BD111" s="3">
        <v>0.9</v>
      </c>
      <c r="BE111" s="3">
        <v>0.5</v>
      </c>
      <c r="BF111" s="3">
        <v>0.6</v>
      </c>
      <c r="BG111" s="3">
        <v>0.31</v>
      </c>
      <c r="BH111" s="7">
        <v>708.80426</v>
      </c>
      <c r="BI111" s="3">
        <v>6.0000000000000001E-3</v>
      </c>
      <c r="BK111" s="3" t="s">
        <v>75</v>
      </c>
      <c r="BL111" s="3">
        <v>0.31</v>
      </c>
      <c r="BM111" s="6">
        <v>698.61224400000003</v>
      </c>
      <c r="BN111" s="3">
        <v>0</v>
      </c>
      <c r="BO111" s="3">
        <f t="shared" ref="BO111:BO140" si="15">AVERAGE(BG111,BL111)</f>
        <v>0.31</v>
      </c>
      <c r="BP111" s="4" t="s">
        <v>320</v>
      </c>
      <c r="BQ111" s="4" t="s">
        <v>320</v>
      </c>
      <c r="BR111" s="4" t="s">
        <v>321</v>
      </c>
      <c r="BS111" s="4" t="s">
        <v>321</v>
      </c>
    </row>
    <row r="112" spans="1:71" x14ac:dyDescent="0.3">
      <c r="A112" s="3" t="s">
        <v>76</v>
      </c>
      <c r="B112" s="3">
        <v>0.9</v>
      </c>
      <c r="C112" s="3">
        <v>0.5</v>
      </c>
      <c r="D112" s="3">
        <v>0.6</v>
      </c>
      <c r="E112" s="3">
        <v>0.3</v>
      </c>
      <c r="F112" s="7">
        <v>444.69982900000002</v>
      </c>
      <c r="G112" s="3">
        <v>1E-3</v>
      </c>
      <c r="I112" s="3" t="s">
        <v>76</v>
      </c>
      <c r="J112" s="3">
        <v>0.49</v>
      </c>
      <c r="K112" s="6">
        <v>432.844269</v>
      </c>
      <c r="L112" s="3">
        <v>0</v>
      </c>
      <c r="M112" s="3">
        <f t="shared" si="12"/>
        <v>0.39500000000000002</v>
      </c>
      <c r="N112" s="3">
        <f>COUNT(F111,F113,F117,F119,F121:F122,F124,F126,F128,F130,F132,F134:F138)</f>
        <v>16</v>
      </c>
      <c r="O112" s="3">
        <f>30-N112</f>
        <v>14</v>
      </c>
      <c r="P112" s="3">
        <f>COUNT(K112,K114:K116,K118:K120,K123,K125,K127,K129,K131:K133,K139:K140)</f>
        <v>16</v>
      </c>
      <c r="Q112" s="3">
        <f>30-P112</f>
        <v>14</v>
      </c>
      <c r="R112" s="1"/>
      <c r="S112" s="3" t="s">
        <v>76</v>
      </c>
      <c r="T112" s="3">
        <v>0.9</v>
      </c>
      <c r="U112" s="3">
        <v>0.5</v>
      </c>
      <c r="V112" s="3">
        <v>0.6</v>
      </c>
      <c r="W112" s="3">
        <v>0.34</v>
      </c>
      <c r="X112" s="6">
        <v>406.33590700000002</v>
      </c>
      <c r="Y112" s="3">
        <v>1E-3</v>
      </c>
      <c r="AA112" s="3" t="s">
        <v>76</v>
      </c>
      <c r="AB112" s="3">
        <v>0.52</v>
      </c>
      <c r="AC112" s="8">
        <v>406.38897700000001</v>
      </c>
      <c r="AD112" s="3">
        <v>0</v>
      </c>
      <c r="AE112" s="3">
        <f t="shared" si="13"/>
        <v>0.56000000000000005</v>
      </c>
      <c r="AF112" s="3">
        <f>COUNT(X111:X116,X122,X124:X125,X127:X129,X131:X133,X135)</f>
        <v>16</v>
      </c>
      <c r="AG112" s="3">
        <f>30-AF112</f>
        <v>14</v>
      </c>
      <c r="AH112" s="3">
        <f>COUNT(AC112,AC114,AC117:AC121,AC123,AC126,AC128,AC130,AC134,AC136:AC140)</f>
        <v>17</v>
      </c>
      <c r="AI112" s="3">
        <f>30-AH112</f>
        <v>13</v>
      </c>
      <c r="AJ112" s="1"/>
      <c r="AK112" s="3" t="s">
        <v>77</v>
      </c>
      <c r="AL112" s="3">
        <v>0.9</v>
      </c>
      <c r="AM112" s="3">
        <v>0.5</v>
      </c>
      <c r="AN112" s="3">
        <v>0.6</v>
      </c>
      <c r="AO112" s="3">
        <v>0.3</v>
      </c>
      <c r="AP112" s="7">
        <v>847.78204300000004</v>
      </c>
      <c r="AQ112" s="3">
        <v>4.0000000000000001E-3</v>
      </c>
      <c r="AS112" s="3" t="s">
        <v>77</v>
      </c>
      <c r="AT112" s="3">
        <v>0.33</v>
      </c>
      <c r="AU112" s="6">
        <v>838.22418200000004</v>
      </c>
      <c r="AV112" s="3">
        <v>0</v>
      </c>
      <c r="AW112" s="3">
        <f t="shared" si="14"/>
        <v>0.315</v>
      </c>
      <c r="AX112" s="3">
        <f>COUNT(AP113:AP115,AP120:AP122,AP124:AP125,AP128:AP129,AP131:AP132,AP134,AP136:AP140)</f>
        <v>18</v>
      </c>
      <c r="AY112" s="3">
        <f>30-AX112</f>
        <v>12</v>
      </c>
      <c r="AZ112" s="3">
        <f>COUNT(AU111:AU112,AU116:AU119,AU123,AU126:AU127,AU130,AU133,AU135,AU138)</f>
        <v>13</v>
      </c>
      <c r="BA112" s="3">
        <f>30-AZ112</f>
        <v>17</v>
      </c>
      <c r="BB112" s="1"/>
      <c r="BC112" s="3" t="s">
        <v>77</v>
      </c>
      <c r="BD112" s="3">
        <v>0.9</v>
      </c>
      <c r="BE112" s="3">
        <v>0.5</v>
      </c>
      <c r="BF112" s="3">
        <v>0.6</v>
      </c>
      <c r="BG112" s="3">
        <v>0.33</v>
      </c>
      <c r="BH112" s="7">
        <v>792.84680200000003</v>
      </c>
      <c r="BI112" s="3">
        <v>4.0000000000000001E-3</v>
      </c>
      <c r="BK112" s="3" t="s">
        <v>77</v>
      </c>
      <c r="BL112" s="3">
        <v>0.32</v>
      </c>
      <c r="BM112" s="6">
        <v>790.81555200000003</v>
      </c>
      <c r="BN112" s="3">
        <v>0</v>
      </c>
      <c r="BO112" s="3">
        <f t="shared" si="15"/>
        <v>0.32500000000000001</v>
      </c>
      <c r="BP112" s="3">
        <f>COUNT(BH113,BH117,BH123:BH125,BH127,BH129:BH130,BH132:BH137,BH139:BH140)</f>
        <v>16</v>
      </c>
      <c r="BQ112" s="3">
        <f>30-BP112</f>
        <v>14</v>
      </c>
      <c r="BR112" s="3">
        <f>COUNT(BM111:BM112,BM114:BM116,BM118:BM122,BM124,BM126,BM128,BM131,BM138)</f>
        <v>15</v>
      </c>
      <c r="BS112" s="3">
        <f>30-BR112</f>
        <v>15</v>
      </c>
    </row>
    <row r="113" spans="1:67" x14ac:dyDescent="0.3">
      <c r="A113" s="3" t="s">
        <v>78</v>
      </c>
      <c r="B113" s="3">
        <v>0.9</v>
      </c>
      <c r="C113" s="3">
        <v>0.5</v>
      </c>
      <c r="D113" s="3">
        <v>0.6</v>
      </c>
      <c r="E113" s="3">
        <v>0.3</v>
      </c>
      <c r="F113" s="6">
        <v>430.92837500000002</v>
      </c>
      <c r="G113" s="3">
        <v>1E-3</v>
      </c>
      <c r="I113" s="3" t="s">
        <v>78</v>
      </c>
      <c r="J113" s="3">
        <v>0.37</v>
      </c>
      <c r="K113" s="7">
        <v>432.68515000000002</v>
      </c>
      <c r="L113" s="3">
        <v>0</v>
      </c>
      <c r="M113" s="3">
        <f t="shared" si="12"/>
        <v>0.33499999999999996</v>
      </c>
      <c r="N113" s="5"/>
      <c r="O113" s="5"/>
      <c r="P113" s="5"/>
      <c r="Q113" s="5"/>
      <c r="R113" s="1"/>
      <c r="S113" s="3" t="s">
        <v>78</v>
      </c>
      <c r="T113" s="3">
        <v>0.9</v>
      </c>
      <c r="U113" s="3">
        <v>0.5</v>
      </c>
      <c r="V113" s="3">
        <v>0.6</v>
      </c>
      <c r="W113" s="3">
        <v>0.3</v>
      </c>
      <c r="X113" s="6">
        <v>389.59921300000002</v>
      </c>
      <c r="Y113" s="3">
        <v>1E-3</v>
      </c>
      <c r="AA113" s="3" t="s">
        <v>78</v>
      </c>
      <c r="AB113" s="3">
        <v>0.42</v>
      </c>
      <c r="AC113" s="7">
        <v>395.07406600000002</v>
      </c>
      <c r="AD113" s="3">
        <v>0</v>
      </c>
      <c r="AE113" s="3">
        <f t="shared" si="13"/>
        <v>0.51</v>
      </c>
      <c r="AF113" s="5"/>
      <c r="AG113" s="5"/>
      <c r="AH113" s="5"/>
      <c r="AI113" s="5"/>
      <c r="AJ113" s="1"/>
      <c r="AK113" s="3" t="s">
        <v>79</v>
      </c>
      <c r="AL113" s="3">
        <v>0.9</v>
      </c>
      <c r="AM113" s="3">
        <v>0.5</v>
      </c>
      <c r="AN113" s="3">
        <v>0.6</v>
      </c>
      <c r="AO113" s="3">
        <v>0.3</v>
      </c>
      <c r="AP113" s="6">
        <v>797.51934800000004</v>
      </c>
      <c r="AQ113" s="3">
        <v>5.0000000000000001E-3</v>
      </c>
      <c r="AS113" s="3" t="s">
        <v>79</v>
      </c>
      <c r="AT113" s="3">
        <v>0.31</v>
      </c>
      <c r="AU113" s="7">
        <v>811.83227499999998</v>
      </c>
      <c r="AV113" s="3">
        <v>0</v>
      </c>
      <c r="AW113" s="3">
        <f t="shared" si="14"/>
        <v>0.30499999999999999</v>
      </c>
      <c r="AX113" s="5"/>
      <c r="AY113" s="5"/>
      <c r="AZ113" s="5"/>
      <c r="BA113" s="5"/>
      <c r="BB113" s="1"/>
      <c r="BC113" s="3" t="s">
        <v>79</v>
      </c>
      <c r="BD113" s="3">
        <v>0.9</v>
      </c>
      <c r="BE113" s="3">
        <v>0.5</v>
      </c>
      <c r="BF113" s="3">
        <v>0.6</v>
      </c>
      <c r="BG113" s="3">
        <v>0.32</v>
      </c>
      <c r="BH113" s="6">
        <v>734.31726100000003</v>
      </c>
      <c r="BI113" s="3">
        <v>4.0000000000000001E-3</v>
      </c>
      <c r="BK113" s="3" t="s">
        <v>79</v>
      </c>
      <c r="BL113" s="3">
        <v>0.32</v>
      </c>
      <c r="BM113" s="7">
        <v>754.65368699999999</v>
      </c>
      <c r="BN113" s="3">
        <v>1E-3</v>
      </c>
      <c r="BO113" s="3">
        <f t="shared" si="15"/>
        <v>0.32</v>
      </c>
    </row>
    <row r="114" spans="1:67" x14ac:dyDescent="0.3">
      <c r="A114" s="3" t="s">
        <v>80</v>
      </c>
      <c r="B114" s="3">
        <v>0.9</v>
      </c>
      <c r="C114" s="3">
        <v>0.5</v>
      </c>
      <c r="D114" s="3">
        <v>0.6</v>
      </c>
      <c r="E114" s="3">
        <v>0.37</v>
      </c>
      <c r="F114" s="7">
        <v>464.92394999999999</v>
      </c>
      <c r="G114" s="3">
        <v>1E-3</v>
      </c>
      <c r="I114" s="3" t="s">
        <v>80</v>
      </c>
      <c r="J114" s="3">
        <v>0.34</v>
      </c>
      <c r="K114" s="6">
        <v>456.00851399999999</v>
      </c>
      <c r="L114" s="3">
        <v>0</v>
      </c>
      <c r="M114" s="3">
        <f t="shared" si="12"/>
        <v>0.35499999999999998</v>
      </c>
      <c r="N114" s="5"/>
      <c r="O114" s="5"/>
      <c r="P114" s="5"/>
      <c r="Q114" s="5"/>
      <c r="R114" s="1"/>
      <c r="S114" s="3" t="s">
        <v>80</v>
      </c>
      <c r="T114" s="3">
        <v>0.9</v>
      </c>
      <c r="U114" s="3">
        <v>0.5</v>
      </c>
      <c r="V114" s="3">
        <v>0.6</v>
      </c>
      <c r="W114" s="3">
        <v>0.3</v>
      </c>
      <c r="X114" s="6">
        <v>413.60144000000003</v>
      </c>
      <c r="Y114" s="3">
        <v>1E-3</v>
      </c>
      <c r="AA114" s="3" t="s">
        <v>80</v>
      </c>
      <c r="AB114" s="3">
        <v>0.32</v>
      </c>
      <c r="AC114" s="8">
        <v>413.60485799999998</v>
      </c>
      <c r="AD114" s="3">
        <v>0</v>
      </c>
      <c r="AE114" s="3">
        <f t="shared" si="13"/>
        <v>0.45999999999999996</v>
      </c>
      <c r="AF114" s="5"/>
      <c r="AG114" s="5"/>
      <c r="AH114" s="5"/>
      <c r="AI114" s="5"/>
      <c r="AJ114" s="1"/>
      <c r="AK114" s="3" t="s">
        <v>81</v>
      </c>
      <c r="AL114" s="3">
        <v>0.9</v>
      </c>
      <c r="AM114" s="3">
        <v>0.5</v>
      </c>
      <c r="AN114" s="3">
        <v>0.6</v>
      </c>
      <c r="AO114" s="3">
        <v>0.32</v>
      </c>
      <c r="AP114" s="6">
        <v>750.23406999999997</v>
      </c>
      <c r="AQ114" s="3">
        <v>4.0000000000000001E-3</v>
      </c>
      <c r="AS114" s="3" t="s">
        <v>81</v>
      </c>
      <c r="AT114" s="3">
        <v>0.3</v>
      </c>
      <c r="AU114" s="7">
        <v>754.22869900000001</v>
      </c>
      <c r="AV114" s="3">
        <v>0</v>
      </c>
      <c r="AW114" s="3">
        <f t="shared" si="14"/>
        <v>0.31</v>
      </c>
      <c r="AX114" s="5"/>
      <c r="AY114" s="5"/>
      <c r="AZ114" s="5"/>
      <c r="BA114" s="5"/>
      <c r="BB114" s="1"/>
      <c r="BC114" s="3" t="s">
        <v>81</v>
      </c>
      <c r="BD114" s="3">
        <v>0.9</v>
      </c>
      <c r="BE114" s="3">
        <v>0.5</v>
      </c>
      <c r="BF114" s="3">
        <v>0.6</v>
      </c>
      <c r="BG114" s="3">
        <v>0.31</v>
      </c>
      <c r="BH114" s="7">
        <v>712.08752400000003</v>
      </c>
      <c r="BI114" s="3">
        <v>4.0000000000000001E-3</v>
      </c>
      <c r="BK114" s="3" t="s">
        <v>81</v>
      </c>
      <c r="BL114" s="3">
        <v>0.32</v>
      </c>
      <c r="BM114" s="6">
        <v>703.23175000000003</v>
      </c>
      <c r="BN114" s="3">
        <v>0</v>
      </c>
      <c r="BO114" s="3">
        <f t="shared" si="15"/>
        <v>0.315</v>
      </c>
    </row>
    <row r="115" spans="1:67" x14ac:dyDescent="0.3">
      <c r="A115" s="3" t="s">
        <v>82</v>
      </c>
      <c r="B115" s="3">
        <v>0.9</v>
      </c>
      <c r="C115" s="3">
        <v>0.5</v>
      </c>
      <c r="D115" s="3">
        <v>0.6</v>
      </c>
      <c r="E115" s="3">
        <v>0.37</v>
      </c>
      <c r="F115" s="7">
        <v>423.14672899999999</v>
      </c>
      <c r="G115" s="3">
        <v>1E-3</v>
      </c>
      <c r="I115" s="3" t="s">
        <v>82</v>
      </c>
      <c r="J115" s="3">
        <v>0.37</v>
      </c>
      <c r="K115" s="6">
        <v>420.80825800000002</v>
      </c>
      <c r="L115" s="3">
        <v>0</v>
      </c>
      <c r="M115" s="3">
        <f t="shared" si="12"/>
        <v>0.37</v>
      </c>
      <c r="N115" s="5"/>
      <c r="O115" s="5"/>
      <c r="P115" s="5"/>
      <c r="Q115" s="5"/>
      <c r="R115" s="1"/>
      <c r="S115" s="3" t="s">
        <v>82</v>
      </c>
      <c r="T115" s="3">
        <v>0.9</v>
      </c>
      <c r="U115" s="3">
        <v>0.5</v>
      </c>
      <c r="V115" s="3">
        <v>0.6</v>
      </c>
      <c r="W115" s="3">
        <v>0.34</v>
      </c>
      <c r="X115" s="6">
        <v>390.92746</v>
      </c>
      <c r="Y115" s="3">
        <v>1E-3</v>
      </c>
      <c r="AA115" s="3" t="s">
        <v>82</v>
      </c>
      <c r="AB115" s="3">
        <v>0.3</v>
      </c>
      <c r="AC115" s="7">
        <v>397.91513099999997</v>
      </c>
      <c r="AD115" s="3">
        <v>0</v>
      </c>
      <c r="AE115" s="3">
        <f t="shared" si="13"/>
        <v>0.44999999999999996</v>
      </c>
      <c r="AF115" s="5"/>
      <c r="AG115" s="5"/>
      <c r="AH115" s="5"/>
      <c r="AI115" s="5"/>
      <c r="AJ115" s="1"/>
      <c r="AK115" s="3" t="s">
        <v>83</v>
      </c>
      <c r="AL115" s="3">
        <v>0.9</v>
      </c>
      <c r="AM115" s="3">
        <v>0.5</v>
      </c>
      <c r="AN115" s="3">
        <v>0.6</v>
      </c>
      <c r="AO115" s="3">
        <v>0.33</v>
      </c>
      <c r="AP115" s="6">
        <v>764.42687999999998</v>
      </c>
      <c r="AQ115" s="3">
        <v>4.0000000000000001E-3</v>
      </c>
      <c r="AS115" s="3" t="s">
        <v>83</v>
      </c>
      <c r="AT115" s="3">
        <v>0.3</v>
      </c>
      <c r="AU115" s="7">
        <v>777.48992899999996</v>
      </c>
      <c r="AV115" s="3">
        <v>0</v>
      </c>
      <c r="AW115" s="3">
        <f t="shared" si="14"/>
        <v>0.315</v>
      </c>
      <c r="AX115" s="5"/>
      <c r="AY115" s="5"/>
      <c r="AZ115" s="5"/>
      <c r="BA115" s="5"/>
      <c r="BB115" s="1"/>
      <c r="BC115" s="3" t="s">
        <v>83</v>
      </c>
      <c r="BD115" s="3">
        <v>0.9</v>
      </c>
      <c r="BE115" s="3">
        <v>0.5</v>
      </c>
      <c r="BF115" s="3">
        <v>0.6</v>
      </c>
      <c r="BG115" s="3">
        <v>0.3</v>
      </c>
      <c r="BH115" s="7">
        <v>726.19879200000003</v>
      </c>
      <c r="BI115" s="3">
        <v>4.0000000000000001E-3</v>
      </c>
      <c r="BK115" s="3" t="s">
        <v>83</v>
      </c>
      <c r="BL115" s="3">
        <v>0.32</v>
      </c>
      <c r="BM115" s="6">
        <v>722.96075399999995</v>
      </c>
      <c r="BN115" s="3">
        <v>0</v>
      </c>
      <c r="BO115" s="3">
        <f t="shared" si="15"/>
        <v>0.31</v>
      </c>
    </row>
    <row r="116" spans="1:67" x14ac:dyDescent="0.3">
      <c r="A116" s="3" t="s">
        <v>84</v>
      </c>
      <c r="B116" s="3">
        <v>0.9</v>
      </c>
      <c r="C116" s="3">
        <v>0.5</v>
      </c>
      <c r="D116" s="3">
        <v>0.6</v>
      </c>
      <c r="E116" s="3">
        <v>0.32</v>
      </c>
      <c r="F116" s="7">
        <v>546.52374299999997</v>
      </c>
      <c r="G116" s="3">
        <v>1E-3</v>
      </c>
      <c r="I116" s="3" t="s">
        <v>84</v>
      </c>
      <c r="J116" s="3">
        <v>0.33</v>
      </c>
      <c r="K116" s="6">
        <v>524.11840800000004</v>
      </c>
      <c r="L116" s="3">
        <v>0</v>
      </c>
      <c r="M116" s="3">
        <f t="shared" si="12"/>
        <v>0.32500000000000001</v>
      </c>
      <c r="N116" s="5"/>
      <c r="O116" s="5"/>
      <c r="P116" s="5"/>
      <c r="Q116" s="5"/>
      <c r="R116" s="1"/>
      <c r="S116" s="3" t="s">
        <v>84</v>
      </c>
      <c r="T116" s="3">
        <v>0.9</v>
      </c>
      <c r="U116" s="3">
        <v>0.5</v>
      </c>
      <c r="V116" s="3">
        <v>0.6</v>
      </c>
      <c r="W116" s="3">
        <v>0.34</v>
      </c>
      <c r="X116" s="6">
        <v>478.70352200000002</v>
      </c>
      <c r="Y116" s="3">
        <v>1E-3</v>
      </c>
      <c r="AA116" s="3" t="s">
        <v>84</v>
      </c>
      <c r="AB116" s="3">
        <v>0.3</v>
      </c>
      <c r="AC116" s="7">
        <v>502.07724000000002</v>
      </c>
      <c r="AD116" s="3">
        <v>1E-3</v>
      </c>
      <c r="AE116" s="3">
        <f t="shared" si="13"/>
        <v>0.44999999999999996</v>
      </c>
      <c r="AF116" s="5"/>
      <c r="AG116" s="5"/>
      <c r="AH116" s="5"/>
      <c r="AI116" s="5"/>
      <c r="AJ116" s="1"/>
      <c r="AK116" s="3" t="s">
        <v>85</v>
      </c>
      <c r="AL116" s="3">
        <v>0.9</v>
      </c>
      <c r="AM116" s="3">
        <v>0.5</v>
      </c>
      <c r="AN116" s="3">
        <v>0.6</v>
      </c>
      <c r="AO116" s="3">
        <v>0.31</v>
      </c>
      <c r="AP116" s="7">
        <v>896.339294</v>
      </c>
      <c r="AQ116" s="3">
        <v>4.0000000000000001E-3</v>
      </c>
      <c r="AS116" s="3" t="s">
        <v>85</v>
      </c>
      <c r="AT116" s="3">
        <v>0.34</v>
      </c>
      <c r="AU116" s="6">
        <v>891.603027</v>
      </c>
      <c r="AV116" s="3">
        <v>0</v>
      </c>
      <c r="AW116" s="3">
        <f t="shared" si="14"/>
        <v>0.32500000000000001</v>
      </c>
      <c r="AX116" s="5"/>
      <c r="AY116" s="5"/>
      <c r="AZ116" s="5"/>
      <c r="BA116" s="5"/>
      <c r="BB116" s="1"/>
      <c r="BC116" s="3" t="s">
        <v>85</v>
      </c>
      <c r="BD116" s="3">
        <v>0.9</v>
      </c>
      <c r="BE116" s="3">
        <v>0.5</v>
      </c>
      <c r="BF116" s="3">
        <v>0.6</v>
      </c>
      <c r="BG116" s="3">
        <v>0.32</v>
      </c>
      <c r="BH116" s="7">
        <v>859.64386000000002</v>
      </c>
      <c r="BI116" s="3">
        <v>5.0000000000000001E-3</v>
      </c>
      <c r="BK116" s="3" t="s">
        <v>85</v>
      </c>
      <c r="BL116" s="3">
        <v>0.32</v>
      </c>
      <c r="BM116" s="6">
        <v>838.713257</v>
      </c>
      <c r="BN116" s="3">
        <v>1E-3</v>
      </c>
      <c r="BO116" s="3">
        <f t="shared" si="15"/>
        <v>0.32</v>
      </c>
    </row>
    <row r="117" spans="1:67" x14ac:dyDescent="0.3">
      <c r="A117" s="3" t="s">
        <v>86</v>
      </c>
      <c r="B117" s="3">
        <v>0.9</v>
      </c>
      <c r="C117" s="3">
        <v>0.5</v>
      </c>
      <c r="D117" s="3">
        <v>0.6</v>
      </c>
      <c r="E117" s="3">
        <v>0.31</v>
      </c>
      <c r="F117" s="6">
        <v>576.66253700000004</v>
      </c>
      <c r="G117" s="3">
        <v>1E-3</v>
      </c>
      <c r="I117" s="3" t="s">
        <v>86</v>
      </c>
      <c r="J117" s="3">
        <v>0.37</v>
      </c>
      <c r="K117" s="7">
        <v>579.086365</v>
      </c>
      <c r="L117" s="3">
        <v>0</v>
      </c>
      <c r="M117" s="3">
        <f t="shared" si="12"/>
        <v>0.33999999999999997</v>
      </c>
      <c r="N117" s="5"/>
      <c r="O117" s="5"/>
      <c r="P117" s="5"/>
      <c r="Q117" s="5"/>
      <c r="R117" s="1"/>
      <c r="S117" s="3" t="s">
        <v>86</v>
      </c>
      <c r="T117" s="3">
        <v>0.9</v>
      </c>
      <c r="U117" s="3">
        <v>0.5</v>
      </c>
      <c r="V117" s="3">
        <v>0.6</v>
      </c>
      <c r="W117" s="3">
        <v>0.35</v>
      </c>
      <c r="X117" s="7">
        <v>518.72546399999999</v>
      </c>
      <c r="Y117" s="3">
        <v>1E-3</v>
      </c>
      <c r="AA117" s="3" t="s">
        <v>86</v>
      </c>
      <c r="AB117" s="3">
        <v>0.32</v>
      </c>
      <c r="AC117" s="6">
        <v>512.36071800000002</v>
      </c>
      <c r="AD117" s="3">
        <v>0</v>
      </c>
      <c r="AE117" s="3">
        <f t="shared" si="13"/>
        <v>0.45999999999999996</v>
      </c>
      <c r="AF117" s="5"/>
      <c r="AG117" s="5"/>
      <c r="AH117" s="5"/>
      <c r="AI117" s="5"/>
      <c r="AJ117" s="1"/>
      <c r="AK117" s="3" t="s">
        <v>87</v>
      </c>
      <c r="AL117" s="3">
        <v>0.9</v>
      </c>
      <c r="AM117" s="3">
        <v>0.5</v>
      </c>
      <c r="AN117" s="3">
        <v>0.6</v>
      </c>
      <c r="AO117" s="3">
        <v>0.3</v>
      </c>
      <c r="AP117" s="7">
        <v>827.04736300000002</v>
      </c>
      <c r="AQ117" s="3">
        <v>5.0000000000000001E-3</v>
      </c>
      <c r="AS117" s="3" t="s">
        <v>87</v>
      </c>
      <c r="AT117" s="3">
        <v>0.32</v>
      </c>
      <c r="AU117" s="6">
        <v>775.98767099999998</v>
      </c>
      <c r="AV117" s="3">
        <v>1E-3</v>
      </c>
      <c r="AW117" s="3">
        <f t="shared" si="14"/>
        <v>0.31</v>
      </c>
      <c r="AX117" s="5"/>
      <c r="AY117" s="5"/>
      <c r="AZ117" s="5"/>
      <c r="BA117" s="5"/>
      <c r="BB117" s="1"/>
      <c r="BC117" s="3" t="s">
        <v>87</v>
      </c>
      <c r="BD117" s="3">
        <v>0.9</v>
      </c>
      <c r="BE117" s="3">
        <v>0.5</v>
      </c>
      <c r="BF117" s="3">
        <v>0.6</v>
      </c>
      <c r="BG117" s="3">
        <v>0.31</v>
      </c>
      <c r="BH117" s="6">
        <v>755.50299099999995</v>
      </c>
      <c r="BI117" s="3">
        <v>5.0000000000000001E-3</v>
      </c>
      <c r="BK117" s="3" t="s">
        <v>87</v>
      </c>
      <c r="BL117" s="3">
        <v>0.32</v>
      </c>
      <c r="BM117" s="7">
        <v>763.10504200000003</v>
      </c>
      <c r="BN117" s="3">
        <v>1E-3</v>
      </c>
      <c r="BO117" s="3">
        <f t="shared" si="15"/>
        <v>0.315</v>
      </c>
    </row>
    <row r="118" spans="1:67" x14ac:dyDescent="0.3">
      <c r="A118" s="3" t="s">
        <v>88</v>
      </c>
      <c r="B118" s="3">
        <v>0.9</v>
      </c>
      <c r="C118" s="3">
        <v>0.5</v>
      </c>
      <c r="D118" s="3">
        <v>0.6</v>
      </c>
      <c r="E118" s="3">
        <v>0.31</v>
      </c>
      <c r="F118" s="7">
        <v>498.79675300000002</v>
      </c>
      <c r="G118" s="3">
        <v>0</v>
      </c>
      <c r="I118" s="3" t="s">
        <v>88</v>
      </c>
      <c r="J118" s="3">
        <v>0.42</v>
      </c>
      <c r="K118" s="6">
        <v>495.15173299999998</v>
      </c>
      <c r="L118" s="3">
        <v>0</v>
      </c>
      <c r="M118" s="3">
        <f t="shared" si="12"/>
        <v>0.36499999999999999</v>
      </c>
      <c r="N118" s="5"/>
      <c r="O118" s="5"/>
      <c r="P118" s="5"/>
      <c r="Q118" s="5"/>
      <c r="R118" s="1"/>
      <c r="S118" s="3" t="s">
        <v>88</v>
      </c>
      <c r="T118" s="3">
        <v>0.9</v>
      </c>
      <c r="U118" s="3">
        <v>0.5</v>
      </c>
      <c r="V118" s="3">
        <v>0.6</v>
      </c>
      <c r="W118" s="3">
        <v>0.31</v>
      </c>
      <c r="X118" s="7">
        <v>443.48443600000002</v>
      </c>
      <c r="Y118" s="3">
        <v>0</v>
      </c>
      <c r="AA118" s="3" t="s">
        <v>88</v>
      </c>
      <c r="AB118" s="3">
        <v>0.32</v>
      </c>
      <c r="AC118" s="6">
        <v>425.70639</v>
      </c>
      <c r="AD118" s="3">
        <v>0</v>
      </c>
      <c r="AE118" s="3">
        <f t="shared" si="13"/>
        <v>0.45999999999999996</v>
      </c>
      <c r="AF118" s="5"/>
      <c r="AG118" s="5"/>
      <c r="AH118" s="5"/>
      <c r="AI118" s="5"/>
      <c r="AJ118" s="1"/>
      <c r="AK118" s="3" t="s">
        <v>89</v>
      </c>
      <c r="AL118" s="3">
        <v>0.9</v>
      </c>
      <c r="AM118" s="3">
        <v>0.5</v>
      </c>
      <c r="AN118" s="3">
        <v>0.6</v>
      </c>
      <c r="AO118" s="3">
        <v>0.3</v>
      </c>
      <c r="AP118" s="7">
        <v>818.80304000000001</v>
      </c>
      <c r="AQ118" s="3">
        <v>5.0000000000000001E-3</v>
      </c>
      <c r="AS118" s="3" t="s">
        <v>89</v>
      </c>
      <c r="AT118" s="3">
        <v>0.33</v>
      </c>
      <c r="AU118" s="6">
        <v>814.73480199999995</v>
      </c>
      <c r="AV118" s="3">
        <v>1E-3</v>
      </c>
      <c r="AW118" s="3">
        <f t="shared" si="14"/>
        <v>0.315</v>
      </c>
      <c r="AX118" s="5"/>
      <c r="AY118" s="5"/>
      <c r="AZ118" s="5"/>
      <c r="BA118" s="5"/>
      <c r="BB118" s="1"/>
      <c r="BC118" s="3" t="s">
        <v>89</v>
      </c>
      <c r="BD118" s="3">
        <v>0.9</v>
      </c>
      <c r="BE118" s="3">
        <v>0.5</v>
      </c>
      <c r="BF118" s="3">
        <v>0.6</v>
      </c>
      <c r="BG118" s="3">
        <v>0.3</v>
      </c>
      <c r="BH118" s="7">
        <v>784.81518600000004</v>
      </c>
      <c r="BI118" s="3">
        <v>4.0000000000000001E-3</v>
      </c>
      <c r="BK118" s="3" t="s">
        <v>89</v>
      </c>
      <c r="BL118" s="3">
        <v>0.31</v>
      </c>
      <c r="BM118" s="6">
        <v>772.03015100000005</v>
      </c>
      <c r="BN118" s="3">
        <v>0</v>
      </c>
      <c r="BO118" s="3">
        <f t="shared" si="15"/>
        <v>0.30499999999999999</v>
      </c>
    </row>
    <row r="119" spans="1:67" x14ac:dyDescent="0.3">
      <c r="A119" s="3" t="s">
        <v>90</v>
      </c>
      <c r="B119" s="3">
        <v>0.9</v>
      </c>
      <c r="C119" s="3">
        <v>0.5</v>
      </c>
      <c r="D119" s="3">
        <v>0.6</v>
      </c>
      <c r="E119" s="3">
        <v>0.34</v>
      </c>
      <c r="F119" s="8">
        <v>444.79968300000002</v>
      </c>
      <c r="G119" s="3">
        <v>1E-3</v>
      </c>
      <c r="I119" s="3" t="s">
        <v>90</v>
      </c>
      <c r="J119" s="3">
        <v>0.37</v>
      </c>
      <c r="K119" s="6">
        <v>444.59204099999999</v>
      </c>
      <c r="L119" s="3">
        <v>0</v>
      </c>
      <c r="M119" s="3">
        <f t="shared" si="12"/>
        <v>0.35499999999999998</v>
      </c>
      <c r="N119" s="5"/>
      <c r="O119" s="5"/>
      <c r="P119" s="5"/>
      <c r="Q119" s="5"/>
      <c r="R119" s="1"/>
      <c r="S119" s="3" t="s">
        <v>90</v>
      </c>
      <c r="T119" s="3">
        <v>0.9</v>
      </c>
      <c r="U119" s="3">
        <v>0.5</v>
      </c>
      <c r="V119" s="3">
        <v>0.6</v>
      </c>
      <c r="W119" s="3">
        <v>0.31</v>
      </c>
      <c r="X119" s="7">
        <v>408.78964200000001</v>
      </c>
      <c r="Y119" s="3">
        <v>1E-3</v>
      </c>
      <c r="AA119" s="3" t="s">
        <v>90</v>
      </c>
      <c r="AB119" s="3">
        <v>0.31</v>
      </c>
      <c r="AC119" s="6">
        <v>403.25430299999999</v>
      </c>
      <c r="AD119" s="3">
        <v>0</v>
      </c>
      <c r="AE119" s="3">
        <f t="shared" si="13"/>
        <v>0.45499999999999996</v>
      </c>
      <c r="AF119" s="5"/>
      <c r="AG119" s="5"/>
      <c r="AH119" s="5"/>
      <c r="AI119" s="5"/>
      <c r="AJ119" s="1"/>
      <c r="AK119" s="3" t="s">
        <v>91</v>
      </c>
      <c r="AL119" s="3">
        <v>0.9</v>
      </c>
      <c r="AM119" s="3">
        <v>0.5</v>
      </c>
      <c r="AN119" s="3">
        <v>0.6</v>
      </c>
      <c r="AO119" s="3">
        <v>0.3</v>
      </c>
      <c r="AP119" s="7">
        <v>827.49511700000005</v>
      </c>
      <c r="AQ119" s="3">
        <v>6.0000000000000001E-3</v>
      </c>
      <c r="AS119" s="3" t="s">
        <v>91</v>
      </c>
      <c r="AT119" s="3">
        <v>0.31</v>
      </c>
      <c r="AU119" s="6">
        <v>791.32141100000001</v>
      </c>
      <c r="AV119" s="3">
        <v>1E-3</v>
      </c>
      <c r="AW119" s="3">
        <f t="shared" si="14"/>
        <v>0.30499999999999999</v>
      </c>
      <c r="AX119" s="5"/>
      <c r="AY119" s="5"/>
      <c r="AZ119" s="5"/>
      <c r="BA119" s="5"/>
      <c r="BB119" s="1"/>
      <c r="BC119" s="3" t="s">
        <v>91</v>
      </c>
      <c r="BD119" s="3">
        <v>0.9</v>
      </c>
      <c r="BE119" s="3">
        <v>0.5</v>
      </c>
      <c r="BF119" s="3">
        <v>0.6</v>
      </c>
      <c r="BG119" s="3">
        <v>0.3</v>
      </c>
      <c r="BH119" s="7">
        <v>762.36230499999999</v>
      </c>
      <c r="BI119" s="3">
        <v>4.0000000000000001E-3</v>
      </c>
      <c r="BK119" s="3" t="s">
        <v>91</v>
      </c>
      <c r="BL119" s="3">
        <v>0.3</v>
      </c>
      <c r="BM119" s="6">
        <v>743.22540300000003</v>
      </c>
      <c r="BN119" s="3">
        <v>1E-3</v>
      </c>
      <c r="BO119" s="3">
        <f t="shared" si="15"/>
        <v>0.3</v>
      </c>
    </row>
    <row r="120" spans="1:67" x14ac:dyDescent="0.3">
      <c r="A120" s="3" t="s">
        <v>92</v>
      </c>
      <c r="B120" s="3">
        <v>0.9</v>
      </c>
      <c r="C120" s="3">
        <v>0.5</v>
      </c>
      <c r="D120" s="3">
        <v>0.6</v>
      </c>
      <c r="E120" s="3">
        <v>0.31</v>
      </c>
      <c r="F120" s="7">
        <v>563.186646</v>
      </c>
      <c r="G120" s="3">
        <v>1E-3</v>
      </c>
      <c r="I120" s="3" t="s">
        <v>92</v>
      </c>
      <c r="J120" s="3">
        <v>0.37</v>
      </c>
      <c r="K120" s="6">
        <v>558.33892800000001</v>
      </c>
      <c r="L120" s="3">
        <v>0</v>
      </c>
      <c r="M120" s="3">
        <f t="shared" si="12"/>
        <v>0.33999999999999997</v>
      </c>
      <c r="N120" s="5"/>
      <c r="O120" s="5"/>
      <c r="P120" s="5"/>
      <c r="Q120" s="5"/>
      <c r="R120" s="1"/>
      <c r="S120" s="3" t="s">
        <v>92</v>
      </c>
      <c r="T120" s="3">
        <v>0.9</v>
      </c>
      <c r="U120" s="3">
        <v>0.5</v>
      </c>
      <c r="V120" s="3">
        <v>0.6</v>
      </c>
      <c r="W120" s="3">
        <v>0.33</v>
      </c>
      <c r="X120" s="7">
        <v>490.313782</v>
      </c>
      <c r="Y120" s="3">
        <v>1E-3</v>
      </c>
      <c r="AA120" s="3" t="s">
        <v>92</v>
      </c>
      <c r="AB120" s="3">
        <v>0.35</v>
      </c>
      <c r="AC120" s="6">
        <v>480.61361699999998</v>
      </c>
      <c r="AD120" s="3">
        <v>0</v>
      </c>
      <c r="AE120" s="3">
        <f t="shared" si="13"/>
        <v>0.47499999999999998</v>
      </c>
      <c r="AF120" s="5"/>
      <c r="AG120" s="5"/>
      <c r="AH120" s="5"/>
      <c r="AI120" s="5"/>
      <c r="AJ120" s="1"/>
      <c r="AK120" s="3" t="s">
        <v>93</v>
      </c>
      <c r="AL120" s="3">
        <v>0.9</v>
      </c>
      <c r="AM120" s="3">
        <v>0.5</v>
      </c>
      <c r="AN120" s="3">
        <v>0.6</v>
      </c>
      <c r="AO120" s="3">
        <v>0.31</v>
      </c>
      <c r="AP120" s="6">
        <v>758.79504399999996</v>
      </c>
      <c r="AQ120" s="3">
        <v>4.0000000000000001E-3</v>
      </c>
      <c r="AS120" s="3" t="s">
        <v>93</v>
      </c>
      <c r="AT120" s="3">
        <v>0.39</v>
      </c>
      <c r="AU120" s="7">
        <v>769.94671600000004</v>
      </c>
      <c r="AV120" s="3">
        <v>0</v>
      </c>
      <c r="AW120" s="3">
        <f t="shared" si="14"/>
        <v>0.35</v>
      </c>
      <c r="AX120" s="5"/>
      <c r="AY120" s="5"/>
      <c r="AZ120" s="5"/>
      <c r="BA120" s="5"/>
      <c r="BB120" s="1"/>
      <c r="BC120" s="3" t="s">
        <v>93</v>
      </c>
      <c r="BD120" s="3">
        <v>0.9</v>
      </c>
      <c r="BE120" s="3">
        <v>0.5</v>
      </c>
      <c r="BF120" s="3">
        <v>0.6</v>
      </c>
      <c r="BG120" s="3">
        <v>0.3</v>
      </c>
      <c r="BH120" s="7">
        <v>719.65856900000006</v>
      </c>
      <c r="BI120" s="3">
        <v>4.0000000000000001E-3</v>
      </c>
      <c r="BK120" s="3" t="s">
        <v>93</v>
      </c>
      <c r="BL120" s="3">
        <v>0.3</v>
      </c>
      <c r="BM120" s="6">
        <v>715.186646</v>
      </c>
      <c r="BN120" s="3">
        <v>1E-3</v>
      </c>
      <c r="BO120" s="3">
        <f t="shared" si="15"/>
        <v>0.3</v>
      </c>
    </row>
    <row r="121" spans="1:67" x14ac:dyDescent="0.3">
      <c r="A121" s="3" t="s">
        <v>94</v>
      </c>
      <c r="B121" s="3">
        <v>0.9</v>
      </c>
      <c r="C121" s="3">
        <v>0.5</v>
      </c>
      <c r="D121" s="3">
        <v>0.6</v>
      </c>
      <c r="E121" s="3">
        <v>0.32</v>
      </c>
      <c r="F121" s="6">
        <v>462.340057</v>
      </c>
      <c r="G121" s="3">
        <v>1E-3</v>
      </c>
      <c r="I121" s="3" t="s">
        <v>94</v>
      </c>
      <c r="J121" s="3">
        <v>0.4</v>
      </c>
      <c r="K121" s="7">
        <v>495.11737099999999</v>
      </c>
      <c r="L121" s="3">
        <v>0</v>
      </c>
      <c r="M121" s="3">
        <f t="shared" si="12"/>
        <v>0.36</v>
      </c>
      <c r="N121" s="5"/>
      <c r="O121" s="5"/>
      <c r="P121" s="5"/>
      <c r="Q121" s="5"/>
      <c r="R121" s="1"/>
      <c r="S121" s="3" t="s">
        <v>94</v>
      </c>
      <c r="T121" s="3">
        <v>0.9</v>
      </c>
      <c r="U121" s="3">
        <v>0.5</v>
      </c>
      <c r="V121" s="3">
        <v>0.6</v>
      </c>
      <c r="W121" s="3">
        <v>0.31</v>
      </c>
      <c r="X121" s="7">
        <v>441.841339</v>
      </c>
      <c r="Y121" s="3">
        <v>1E-3</v>
      </c>
      <c r="AA121" s="3" t="s">
        <v>94</v>
      </c>
      <c r="AB121" s="3">
        <v>0.35</v>
      </c>
      <c r="AC121" s="6">
        <v>432.848297</v>
      </c>
      <c r="AD121" s="3">
        <v>0</v>
      </c>
      <c r="AE121" s="3">
        <f t="shared" si="13"/>
        <v>0.47499999999999998</v>
      </c>
      <c r="AF121" s="5"/>
      <c r="AG121" s="5"/>
      <c r="AH121" s="5"/>
      <c r="AI121" s="5"/>
      <c r="AJ121" s="1"/>
      <c r="AK121" s="3" t="s">
        <v>95</v>
      </c>
      <c r="AL121" s="3">
        <v>0.9</v>
      </c>
      <c r="AM121" s="3">
        <v>0.5</v>
      </c>
      <c r="AN121" s="3">
        <v>0.6</v>
      </c>
      <c r="AO121" s="3">
        <v>0.32</v>
      </c>
      <c r="AP121" s="6">
        <v>846.48864700000001</v>
      </c>
      <c r="AQ121" s="3">
        <v>5.0000000000000001E-3</v>
      </c>
      <c r="AS121" s="3" t="s">
        <v>95</v>
      </c>
      <c r="AT121" s="3">
        <v>0.31</v>
      </c>
      <c r="AU121" s="7">
        <v>852.06689500000005</v>
      </c>
      <c r="AV121" s="3">
        <v>1E-3</v>
      </c>
      <c r="AW121" s="3">
        <f t="shared" si="14"/>
        <v>0.315</v>
      </c>
      <c r="AX121" s="5"/>
      <c r="AY121" s="5"/>
      <c r="AZ121" s="5"/>
      <c r="BA121" s="5"/>
      <c r="BB121" s="1"/>
      <c r="BC121" s="3" t="s">
        <v>95</v>
      </c>
      <c r="BD121" s="3">
        <v>0.9</v>
      </c>
      <c r="BE121" s="3">
        <v>0.5</v>
      </c>
      <c r="BF121" s="3">
        <v>0.6</v>
      </c>
      <c r="BG121" s="3">
        <v>0.3</v>
      </c>
      <c r="BH121" s="7">
        <v>820.42718500000001</v>
      </c>
      <c r="BI121" s="3">
        <v>5.0000000000000001E-3</v>
      </c>
      <c r="BK121" s="3" t="s">
        <v>95</v>
      </c>
      <c r="BL121" s="3">
        <v>0.33</v>
      </c>
      <c r="BM121" s="6">
        <v>802.06494099999998</v>
      </c>
      <c r="BN121" s="3">
        <v>0</v>
      </c>
      <c r="BO121" s="3">
        <f t="shared" si="15"/>
        <v>0.315</v>
      </c>
    </row>
    <row r="122" spans="1:67" x14ac:dyDescent="0.3">
      <c r="A122" s="3" t="s">
        <v>96</v>
      </c>
      <c r="B122" s="3">
        <v>0.9</v>
      </c>
      <c r="C122" s="3">
        <v>0.5</v>
      </c>
      <c r="D122" s="3">
        <v>0.6</v>
      </c>
      <c r="E122" s="3">
        <v>0.33</v>
      </c>
      <c r="F122" s="6">
        <v>583.15667699999995</v>
      </c>
      <c r="G122" s="3">
        <v>1E-3</v>
      </c>
      <c r="I122" s="3" t="s">
        <v>96</v>
      </c>
      <c r="J122" s="3">
        <v>0.3</v>
      </c>
      <c r="K122" s="7">
        <v>612.78448500000002</v>
      </c>
      <c r="L122" s="3">
        <v>0</v>
      </c>
      <c r="M122" s="3">
        <f t="shared" si="12"/>
        <v>0.315</v>
      </c>
      <c r="N122" s="5"/>
      <c r="O122" s="5"/>
      <c r="P122" s="5"/>
      <c r="Q122" s="5"/>
      <c r="R122" s="1"/>
      <c r="S122" s="3" t="s">
        <v>96</v>
      </c>
      <c r="T122" s="3">
        <v>0.9</v>
      </c>
      <c r="U122" s="3">
        <v>0.5</v>
      </c>
      <c r="V122" s="3">
        <v>0.6</v>
      </c>
      <c r="W122" s="3">
        <v>0.3</v>
      </c>
      <c r="X122" s="6">
        <v>559.05523700000003</v>
      </c>
      <c r="Y122" s="3">
        <v>1E-3</v>
      </c>
      <c r="AA122" s="3" t="s">
        <v>96</v>
      </c>
      <c r="AB122" s="3">
        <v>0.33</v>
      </c>
      <c r="AC122" s="7">
        <v>560.050659</v>
      </c>
      <c r="AD122" s="3">
        <v>0</v>
      </c>
      <c r="AE122" s="3">
        <f t="shared" si="13"/>
        <v>0.46499999999999997</v>
      </c>
      <c r="AF122" s="5"/>
      <c r="AG122" s="5"/>
      <c r="AH122" s="5"/>
      <c r="AI122" s="5"/>
      <c r="AJ122" s="1"/>
      <c r="AK122" s="3" t="s">
        <v>97</v>
      </c>
      <c r="AL122" s="3">
        <v>0.9</v>
      </c>
      <c r="AM122" s="3">
        <v>0.5</v>
      </c>
      <c r="AN122" s="3">
        <v>0.6</v>
      </c>
      <c r="AO122" s="3">
        <v>0.3</v>
      </c>
      <c r="AP122" s="6">
        <v>966.325378</v>
      </c>
      <c r="AQ122" s="3">
        <v>5.0000000000000001E-3</v>
      </c>
      <c r="AS122" s="3" t="s">
        <v>97</v>
      </c>
      <c r="AT122" s="3">
        <v>0.31</v>
      </c>
      <c r="AU122" s="7">
        <v>980.97155799999996</v>
      </c>
      <c r="AV122" s="3">
        <v>1E-3</v>
      </c>
      <c r="AW122" s="3">
        <f t="shared" si="14"/>
        <v>0.30499999999999999</v>
      </c>
      <c r="AX122" s="5"/>
      <c r="AY122" s="5"/>
      <c r="AZ122" s="5"/>
      <c r="BA122" s="5"/>
      <c r="BB122" s="1"/>
      <c r="BC122" s="3" t="s">
        <v>97</v>
      </c>
      <c r="BD122" s="3">
        <v>0.9</v>
      </c>
      <c r="BE122" s="3">
        <v>0.5</v>
      </c>
      <c r="BF122" s="3">
        <v>0.6</v>
      </c>
      <c r="BG122" s="3">
        <v>0.3</v>
      </c>
      <c r="BH122" s="7">
        <v>946.75286900000003</v>
      </c>
      <c r="BI122" s="3">
        <v>5.0000000000000001E-3</v>
      </c>
      <c r="BK122" s="3" t="s">
        <v>97</v>
      </c>
      <c r="BL122" s="3">
        <v>0.3</v>
      </c>
      <c r="BM122" s="6">
        <v>927.07025099999998</v>
      </c>
      <c r="BN122" s="3">
        <v>1E-3</v>
      </c>
      <c r="BO122" s="3">
        <f t="shared" si="15"/>
        <v>0.3</v>
      </c>
    </row>
    <row r="123" spans="1:67" x14ac:dyDescent="0.3">
      <c r="A123" s="3" t="s">
        <v>98</v>
      </c>
      <c r="B123" s="3">
        <v>0.9</v>
      </c>
      <c r="C123" s="3">
        <v>0.5</v>
      </c>
      <c r="D123" s="3">
        <v>0.6</v>
      </c>
      <c r="E123" s="3">
        <v>0.35</v>
      </c>
      <c r="F123" s="7">
        <v>474.41699199999999</v>
      </c>
      <c r="G123" s="3">
        <v>1E-3</v>
      </c>
      <c r="I123" s="3" t="s">
        <v>98</v>
      </c>
      <c r="J123" s="3">
        <v>0.31</v>
      </c>
      <c r="K123" s="6">
        <v>471.81146200000001</v>
      </c>
      <c r="L123" s="3">
        <v>0</v>
      </c>
      <c r="M123" s="3">
        <f t="shared" si="12"/>
        <v>0.32999999999999996</v>
      </c>
      <c r="N123" s="5"/>
      <c r="O123" s="5"/>
      <c r="P123" s="5"/>
      <c r="Q123" s="5"/>
      <c r="R123" s="1"/>
      <c r="S123" s="3" t="s">
        <v>98</v>
      </c>
      <c r="T123" s="3">
        <v>0.9</v>
      </c>
      <c r="U123" s="3">
        <v>0.5</v>
      </c>
      <c r="V123" s="3">
        <v>0.6</v>
      </c>
      <c r="W123" s="3">
        <v>0.35</v>
      </c>
      <c r="X123" s="7">
        <v>440.73159800000002</v>
      </c>
      <c r="Y123" s="3">
        <v>1E-3</v>
      </c>
      <c r="AA123" s="3" t="s">
        <v>98</v>
      </c>
      <c r="AB123" s="3">
        <v>0.52</v>
      </c>
      <c r="AC123" s="6">
        <v>438.36233499999997</v>
      </c>
      <c r="AD123" s="3">
        <v>0</v>
      </c>
      <c r="AE123" s="3">
        <f t="shared" si="13"/>
        <v>0.56000000000000005</v>
      </c>
      <c r="AF123" s="5"/>
      <c r="AG123" s="5"/>
      <c r="AH123" s="5"/>
      <c r="AI123" s="5"/>
      <c r="AJ123" s="1"/>
      <c r="AK123" s="3" t="s">
        <v>99</v>
      </c>
      <c r="AL123" s="3">
        <v>0.9</v>
      </c>
      <c r="AM123" s="3">
        <v>0.5</v>
      </c>
      <c r="AN123" s="3">
        <v>0.6</v>
      </c>
      <c r="AO123" s="3">
        <v>0.36</v>
      </c>
      <c r="AP123" s="7">
        <v>951.66296399999999</v>
      </c>
      <c r="AQ123" s="3">
        <v>5.0000000000000001E-3</v>
      </c>
      <c r="AS123" s="3" t="s">
        <v>99</v>
      </c>
      <c r="AT123" s="3">
        <v>0.31</v>
      </c>
      <c r="AU123" s="6">
        <v>941.96966599999996</v>
      </c>
      <c r="AV123" s="3">
        <v>1E-3</v>
      </c>
      <c r="AW123" s="3">
        <f t="shared" si="14"/>
        <v>0.33499999999999996</v>
      </c>
      <c r="AX123" s="5"/>
      <c r="AY123" s="5"/>
      <c r="AZ123" s="5"/>
      <c r="BA123" s="5"/>
      <c r="BB123" s="1"/>
      <c r="BC123" s="3" t="s">
        <v>99</v>
      </c>
      <c r="BD123" s="3">
        <v>0.9</v>
      </c>
      <c r="BE123" s="3">
        <v>0.5</v>
      </c>
      <c r="BF123" s="3">
        <v>0.6</v>
      </c>
      <c r="BG123" s="3">
        <v>0.33</v>
      </c>
      <c r="BH123" s="6">
        <v>884.21148700000003</v>
      </c>
      <c r="BI123" s="3">
        <v>5.0000000000000001E-3</v>
      </c>
      <c r="BK123" s="3" t="s">
        <v>99</v>
      </c>
      <c r="BL123" s="3">
        <v>0.32</v>
      </c>
      <c r="BM123" s="7">
        <v>897.30602999999996</v>
      </c>
      <c r="BN123" s="3">
        <v>0</v>
      </c>
      <c r="BO123" s="3">
        <f t="shared" si="15"/>
        <v>0.32500000000000001</v>
      </c>
    </row>
    <row r="124" spans="1:67" x14ac:dyDescent="0.3">
      <c r="A124" s="3" t="s">
        <v>100</v>
      </c>
      <c r="B124" s="3">
        <v>0.9</v>
      </c>
      <c r="C124" s="3">
        <v>0.5</v>
      </c>
      <c r="D124" s="3">
        <v>0.6</v>
      </c>
      <c r="E124" s="3">
        <v>0.3</v>
      </c>
      <c r="F124" s="6">
        <v>610.109375</v>
      </c>
      <c r="G124" s="3">
        <v>2E-3</v>
      </c>
      <c r="I124" s="3" t="s">
        <v>100</v>
      </c>
      <c r="J124" s="3">
        <v>0.3</v>
      </c>
      <c r="K124" s="7">
        <v>613.26312299999995</v>
      </c>
      <c r="L124" s="3">
        <v>0</v>
      </c>
      <c r="M124" s="3">
        <f t="shared" si="12"/>
        <v>0.3</v>
      </c>
      <c r="N124" s="5"/>
      <c r="O124" s="5"/>
      <c r="P124" s="5"/>
      <c r="Q124" s="5"/>
      <c r="R124" s="1"/>
      <c r="S124" s="3" t="s">
        <v>100</v>
      </c>
      <c r="T124" s="3">
        <v>0.9</v>
      </c>
      <c r="U124" s="3">
        <v>0.5</v>
      </c>
      <c r="V124" s="3">
        <v>0.6</v>
      </c>
      <c r="W124" s="3">
        <v>0.31</v>
      </c>
      <c r="X124" s="6">
        <v>611.44476299999997</v>
      </c>
      <c r="Y124" s="3">
        <v>1E-3</v>
      </c>
      <c r="AA124" s="3" t="s">
        <v>100</v>
      </c>
      <c r="AB124" s="3">
        <v>0.31</v>
      </c>
      <c r="AC124" s="7">
        <v>613.60314900000003</v>
      </c>
      <c r="AD124" s="3">
        <v>0</v>
      </c>
      <c r="AE124" s="3">
        <f t="shared" si="13"/>
        <v>0.45499999999999996</v>
      </c>
      <c r="AF124" s="5"/>
      <c r="AG124" s="5"/>
      <c r="AH124" s="5"/>
      <c r="AI124" s="5"/>
      <c r="AJ124" s="1"/>
      <c r="AK124" s="3" t="s">
        <v>101</v>
      </c>
      <c r="AL124" s="3">
        <v>0.9</v>
      </c>
      <c r="AM124" s="3">
        <v>0.5</v>
      </c>
      <c r="AN124" s="3">
        <v>0.6</v>
      </c>
      <c r="AO124" s="3">
        <v>0.34</v>
      </c>
      <c r="AP124" s="6">
        <v>847.98498500000005</v>
      </c>
      <c r="AQ124" s="3">
        <v>5.0000000000000001E-3</v>
      </c>
      <c r="AS124" s="3" t="s">
        <v>101</v>
      </c>
      <c r="AT124" s="3">
        <v>0.3</v>
      </c>
      <c r="AU124" s="7">
        <v>862.70709199999999</v>
      </c>
      <c r="AV124" s="3">
        <v>0</v>
      </c>
      <c r="AW124" s="3">
        <f t="shared" si="14"/>
        <v>0.32</v>
      </c>
      <c r="AX124" s="5"/>
      <c r="AY124" s="5"/>
      <c r="AZ124" s="5"/>
      <c r="BA124" s="5"/>
      <c r="BB124" s="1"/>
      <c r="BC124" s="3" t="s">
        <v>101</v>
      </c>
      <c r="BD124" s="3">
        <v>0.9</v>
      </c>
      <c r="BE124" s="3">
        <v>0.5</v>
      </c>
      <c r="BF124" s="3">
        <v>0.6</v>
      </c>
      <c r="BG124" s="3">
        <v>0.31</v>
      </c>
      <c r="BH124" s="8">
        <v>798.69805899999994</v>
      </c>
      <c r="BI124" s="3">
        <v>4.0000000000000001E-3</v>
      </c>
      <c r="BK124" s="3" t="s">
        <v>101</v>
      </c>
      <c r="BL124" s="3">
        <v>0.32</v>
      </c>
      <c r="BM124" s="6">
        <v>798.274719</v>
      </c>
      <c r="BN124" s="3">
        <v>1E-3</v>
      </c>
      <c r="BO124" s="3">
        <f t="shared" si="15"/>
        <v>0.315</v>
      </c>
    </row>
    <row r="125" spans="1:67" x14ac:dyDescent="0.3">
      <c r="A125" s="3" t="s">
        <v>102</v>
      </c>
      <c r="B125" s="3">
        <v>0.9</v>
      </c>
      <c r="C125" s="3">
        <v>0.5</v>
      </c>
      <c r="D125" s="3">
        <v>0.6</v>
      </c>
      <c r="E125" s="3">
        <v>0.32</v>
      </c>
      <c r="F125" s="7">
        <v>612.33050500000002</v>
      </c>
      <c r="G125" s="3">
        <v>1E-3</v>
      </c>
      <c r="I125" s="3" t="s">
        <v>102</v>
      </c>
      <c r="J125" s="3">
        <v>0.35</v>
      </c>
      <c r="K125" s="6">
        <v>609.76293899999996</v>
      </c>
      <c r="L125" s="3">
        <v>0</v>
      </c>
      <c r="M125" s="3">
        <f t="shared" si="12"/>
        <v>0.33499999999999996</v>
      </c>
      <c r="N125" s="5"/>
      <c r="O125" s="5"/>
      <c r="P125" s="5"/>
      <c r="Q125" s="5"/>
      <c r="R125" s="1"/>
      <c r="S125" s="3" t="s">
        <v>102</v>
      </c>
      <c r="T125" s="3">
        <v>0.9</v>
      </c>
      <c r="U125" s="3">
        <v>0.5</v>
      </c>
      <c r="V125" s="3">
        <v>0.6</v>
      </c>
      <c r="W125" s="3">
        <v>0.34</v>
      </c>
      <c r="X125" s="6">
        <v>593.92486599999995</v>
      </c>
      <c r="Y125" s="3">
        <v>1E-3</v>
      </c>
      <c r="AA125" s="3" t="s">
        <v>102</v>
      </c>
      <c r="AB125" s="3">
        <v>0.32</v>
      </c>
      <c r="AC125" s="7">
        <v>614.98309300000005</v>
      </c>
      <c r="AD125" s="3">
        <v>0</v>
      </c>
      <c r="AE125" s="3">
        <f t="shared" si="13"/>
        <v>0.45999999999999996</v>
      </c>
      <c r="AF125" s="5"/>
      <c r="AG125" s="5"/>
      <c r="AH125" s="5"/>
      <c r="AI125" s="5"/>
      <c r="AJ125" s="1"/>
      <c r="AK125" s="3" t="s">
        <v>103</v>
      </c>
      <c r="AL125" s="3">
        <v>0.9</v>
      </c>
      <c r="AM125" s="3">
        <v>0.5</v>
      </c>
      <c r="AN125" s="3">
        <v>0.6</v>
      </c>
      <c r="AO125" s="3">
        <v>0.32</v>
      </c>
      <c r="AP125" s="6">
        <v>883.11364700000001</v>
      </c>
      <c r="AQ125" s="3">
        <v>5.0000000000000001E-3</v>
      </c>
      <c r="AS125" s="3" t="s">
        <v>103</v>
      </c>
      <c r="AT125" s="3">
        <v>0.31</v>
      </c>
      <c r="AU125" s="7">
        <v>904.48620600000004</v>
      </c>
      <c r="AV125" s="3">
        <v>1E-3</v>
      </c>
      <c r="AW125" s="3">
        <f t="shared" si="14"/>
        <v>0.315</v>
      </c>
      <c r="AX125" s="5"/>
      <c r="AY125" s="5"/>
      <c r="AZ125" s="5"/>
      <c r="BA125" s="5"/>
      <c r="BB125" s="1"/>
      <c r="BC125" s="3" t="s">
        <v>103</v>
      </c>
      <c r="BD125" s="3">
        <v>0.9</v>
      </c>
      <c r="BE125" s="3">
        <v>0.5</v>
      </c>
      <c r="BF125" s="3">
        <v>0.6</v>
      </c>
      <c r="BG125" s="3">
        <v>0.3</v>
      </c>
      <c r="BH125" s="6">
        <v>830.97644000000003</v>
      </c>
      <c r="BI125" s="3">
        <v>4.0000000000000001E-3</v>
      </c>
      <c r="BK125" s="3" t="s">
        <v>103</v>
      </c>
      <c r="BL125" s="3">
        <v>0.31</v>
      </c>
      <c r="BM125" s="7">
        <v>850.80108600000005</v>
      </c>
      <c r="BN125" s="3">
        <v>0</v>
      </c>
      <c r="BO125" s="3">
        <f t="shared" si="15"/>
        <v>0.30499999999999999</v>
      </c>
    </row>
    <row r="126" spans="1:67" x14ac:dyDescent="0.3">
      <c r="A126" s="3" t="s">
        <v>104</v>
      </c>
      <c r="B126" s="3">
        <v>0.9</v>
      </c>
      <c r="C126" s="3">
        <v>0.5</v>
      </c>
      <c r="D126" s="3">
        <v>0.6</v>
      </c>
      <c r="E126" s="3">
        <v>0.34</v>
      </c>
      <c r="F126" s="6">
        <v>601.25073199999997</v>
      </c>
      <c r="G126" s="3">
        <v>1E-3</v>
      </c>
      <c r="I126" s="3" t="s">
        <v>104</v>
      </c>
      <c r="J126" s="3">
        <v>0.41</v>
      </c>
      <c r="K126" s="7">
        <v>604.98046899999997</v>
      </c>
      <c r="L126" s="3">
        <v>0</v>
      </c>
      <c r="M126" s="3">
        <f t="shared" si="12"/>
        <v>0.375</v>
      </c>
      <c r="N126" s="5"/>
      <c r="O126" s="5"/>
      <c r="P126" s="5"/>
      <c r="Q126" s="5"/>
      <c r="R126" s="1"/>
      <c r="S126" s="3" t="s">
        <v>104</v>
      </c>
      <c r="T126" s="3">
        <v>0.9</v>
      </c>
      <c r="U126" s="3">
        <v>0.5</v>
      </c>
      <c r="V126" s="3">
        <v>0.6</v>
      </c>
      <c r="W126" s="3">
        <v>0.52</v>
      </c>
      <c r="X126" s="7">
        <v>593.38348399999995</v>
      </c>
      <c r="Y126" s="3">
        <v>1E-3</v>
      </c>
      <c r="AA126" s="3" t="s">
        <v>104</v>
      </c>
      <c r="AB126" s="3">
        <v>0.35</v>
      </c>
      <c r="AC126" s="6">
        <v>587.70214799999997</v>
      </c>
      <c r="AD126" s="3">
        <v>0</v>
      </c>
      <c r="AE126" s="3">
        <f t="shared" si="13"/>
        <v>0.47499999999999998</v>
      </c>
      <c r="AF126" s="5"/>
      <c r="AG126" s="5"/>
      <c r="AH126" s="5"/>
      <c r="AI126" s="5"/>
      <c r="AJ126" s="1"/>
      <c r="AK126" s="3" t="s">
        <v>105</v>
      </c>
      <c r="AL126" s="3">
        <v>0.9</v>
      </c>
      <c r="AM126" s="3">
        <v>0.5</v>
      </c>
      <c r="AN126" s="3">
        <v>0.6</v>
      </c>
      <c r="AO126" s="3">
        <v>0.31</v>
      </c>
      <c r="AP126" s="7">
        <v>995.50012200000003</v>
      </c>
      <c r="AQ126" s="3">
        <v>6.0000000000000001E-3</v>
      </c>
      <c r="AS126" s="3" t="s">
        <v>105</v>
      </c>
      <c r="AT126" s="3">
        <v>0.31</v>
      </c>
      <c r="AU126" s="6">
        <v>972.25</v>
      </c>
      <c r="AV126" s="3">
        <v>0</v>
      </c>
      <c r="AW126" s="3">
        <f t="shared" si="14"/>
        <v>0.31</v>
      </c>
      <c r="AX126" s="5"/>
      <c r="AY126" s="5"/>
      <c r="AZ126" s="5"/>
      <c r="BA126" s="5"/>
      <c r="BB126" s="1"/>
      <c r="BC126" s="3" t="s">
        <v>105</v>
      </c>
      <c r="BD126" s="3">
        <v>0.9</v>
      </c>
      <c r="BE126" s="3">
        <v>0.5</v>
      </c>
      <c r="BF126" s="3">
        <v>0.6</v>
      </c>
      <c r="BG126" s="3">
        <v>0.33</v>
      </c>
      <c r="BH126" s="7">
        <v>951.48577899999998</v>
      </c>
      <c r="BI126" s="3">
        <v>5.0000000000000001E-3</v>
      </c>
      <c r="BK126" s="3" t="s">
        <v>105</v>
      </c>
      <c r="BL126" s="3">
        <v>0.3</v>
      </c>
      <c r="BM126" s="6">
        <v>941.02612299999998</v>
      </c>
      <c r="BN126" s="3">
        <v>1E-3</v>
      </c>
      <c r="BO126" s="3">
        <f t="shared" si="15"/>
        <v>0.315</v>
      </c>
    </row>
    <row r="127" spans="1:67" x14ac:dyDescent="0.3">
      <c r="A127" s="3" t="s">
        <v>106</v>
      </c>
      <c r="B127" s="3">
        <v>0.9</v>
      </c>
      <c r="C127" s="3">
        <v>0.5</v>
      </c>
      <c r="D127" s="3">
        <v>0.6</v>
      </c>
      <c r="E127" s="3">
        <v>0.34</v>
      </c>
      <c r="F127" s="7">
        <v>563.65118399999994</v>
      </c>
      <c r="G127" s="3">
        <v>1E-3</v>
      </c>
      <c r="I127" s="3" t="s">
        <v>106</v>
      </c>
      <c r="J127" s="3">
        <v>0.3</v>
      </c>
      <c r="K127" s="6">
        <v>559.81304899999998</v>
      </c>
      <c r="L127" s="3">
        <v>0</v>
      </c>
      <c r="M127" s="3">
        <f t="shared" si="12"/>
        <v>0.32</v>
      </c>
      <c r="N127" s="5"/>
      <c r="O127" s="5"/>
      <c r="P127" s="5"/>
      <c r="Q127" s="5"/>
      <c r="R127" s="1"/>
      <c r="S127" s="3" t="s">
        <v>106</v>
      </c>
      <c r="T127" s="3">
        <v>0.9</v>
      </c>
      <c r="U127" s="3">
        <v>0.5</v>
      </c>
      <c r="V127" s="3">
        <v>0.6</v>
      </c>
      <c r="W127" s="3">
        <v>0.31</v>
      </c>
      <c r="X127" s="6">
        <v>534.15765399999998</v>
      </c>
      <c r="Y127" s="3">
        <v>1E-3</v>
      </c>
      <c r="AA127" s="3" t="s">
        <v>106</v>
      </c>
      <c r="AB127" s="3">
        <v>0.32</v>
      </c>
      <c r="AC127" s="7">
        <v>538.36840800000004</v>
      </c>
      <c r="AD127" s="3">
        <v>0</v>
      </c>
      <c r="AE127" s="3">
        <f t="shared" si="13"/>
        <v>0.45999999999999996</v>
      </c>
      <c r="AF127" s="5"/>
      <c r="AG127" s="5"/>
      <c r="AH127" s="5"/>
      <c r="AI127" s="5"/>
      <c r="AJ127" s="1"/>
      <c r="AK127" s="3" t="s">
        <v>107</v>
      </c>
      <c r="AL127" s="3">
        <v>0.9</v>
      </c>
      <c r="AM127" s="3">
        <v>0.5</v>
      </c>
      <c r="AN127" s="3">
        <v>0.6</v>
      </c>
      <c r="AO127" s="3">
        <v>0.33</v>
      </c>
      <c r="AP127" s="7">
        <v>1071.7769780000001</v>
      </c>
      <c r="AQ127" s="3">
        <v>6.0000000000000001E-3</v>
      </c>
      <c r="AS127" s="3" t="s">
        <v>107</v>
      </c>
      <c r="AT127" s="3">
        <v>0.32</v>
      </c>
      <c r="AU127" s="6">
        <v>1064.0493160000001</v>
      </c>
      <c r="AV127" s="3">
        <v>1E-3</v>
      </c>
      <c r="AW127" s="3">
        <f t="shared" si="14"/>
        <v>0.32500000000000001</v>
      </c>
      <c r="AX127" s="5"/>
      <c r="AY127" s="5"/>
      <c r="AZ127" s="5"/>
      <c r="BA127" s="5"/>
      <c r="BB127" s="1"/>
      <c r="BC127" s="3" t="s">
        <v>107</v>
      </c>
      <c r="BD127" s="3">
        <v>0.9</v>
      </c>
      <c r="BE127" s="3">
        <v>0.5</v>
      </c>
      <c r="BF127" s="3">
        <v>0.6</v>
      </c>
      <c r="BG127" s="3">
        <v>0.3</v>
      </c>
      <c r="BH127" s="6">
        <v>1035.7303469999999</v>
      </c>
      <c r="BI127" s="3">
        <v>5.0000000000000001E-3</v>
      </c>
      <c r="BK127" s="3" t="s">
        <v>107</v>
      </c>
      <c r="BL127" s="3">
        <v>0.33</v>
      </c>
      <c r="BM127" s="7">
        <v>1040.7739260000001</v>
      </c>
      <c r="BN127" s="3">
        <v>1E-3</v>
      </c>
      <c r="BO127" s="3">
        <f t="shared" si="15"/>
        <v>0.315</v>
      </c>
    </row>
    <row r="128" spans="1:67" x14ac:dyDescent="0.3">
      <c r="A128" s="3" t="s">
        <v>108</v>
      </c>
      <c r="B128" s="3">
        <v>0.9</v>
      </c>
      <c r="C128" s="3">
        <v>0.5</v>
      </c>
      <c r="D128" s="3">
        <v>0.6</v>
      </c>
      <c r="E128" s="3">
        <v>0.32</v>
      </c>
      <c r="F128" s="6">
        <v>601.30621299999996</v>
      </c>
      <c r="G128" s="3">
        <v>1E-3</v>
      </c>
      <c r="I128" s="3" t="s">
        <v>108</v>
      </c>
      <c r="J128" s="3">
        <v>0.36</v>
      </c>
      <c r="K128" s="7">
        <v>614.80621299999996</v>
      </c>
      <c r="L128" s="3">
        <v>1E-3</v>
      </c>
      <c r="M128" s="3">
        <f t="shared" si="12"/>
        <v>0.33999999999999997</v>
      </c>
      <c r="N128" s="5"/>
      <c r="O128" s="5"/>
      <c r="P128" s="5"/>
      <c r="Q128" s="5"/>
      <c r="R128" s="1"/>
      <c r="S128" s="3" t="s">
        <v>108</v>
      </c>
      <c r="T128" s="3">
        <v>0.9</v>
      </c>
      <c r="U128" s="3">
        <v>0.5</v>
      </c>
      <c r="V128" s="3">
        <v>0.6</v>
      </c>
      <c r="W128" s="3">
        <v>0.33</v>
      </c>
      <c r="X128" s="8">
        <v>572.92175299999997</v>
      </c>
      <c r="Y128" s="3">
        <v>1E-3</v>
      </c>
      <c r="AA128" s="3" t="s">
        <v>108</v>
      </c>
      <c r="AB128" s="3">
        <v>0.32</v>
      </c>
      <c r="AC128" s="6">
        <v>572.90704300000004</v>
      </c>
      <c r="AD128" s="3">
        <v>0</v>
      </c>
      <c r="AE128" s="3">
        <f t="shared" si="13"/>
        <v>0.45999999999999996</v>
      </c>
      <c r="AF128" s="5"/>
      <c r="AG128" s="5"/>
      <c r="AH128" s="5"/>
      <c r="AI128" s="5"/>
      <c r="AJ128" s="1"/>
      <c r="AK128" s="3" t="s">
        <v>109</v>
      </c>
      <c r="AL128" s="3">
        <v>0.9</v>
      </c>
      <c r="AM128" s="3">
        <v>0.5</v>
      </c>
      <c r="AN128" s="3">
        <v>0.6</v>
      </c>
      <c r="AO128" s="3">
        <v>0.36</v>
      </c>
      <c r="AP128" s="6">
        <v>914.65228300000001</v>
      </c>
      <c r="AQ128" s="3">
        <v>5.0000000000000001E-3</v>
      </c>
      <c r="AS128" s="3" t="s">
        <v>109</v>
      </c>
      <c r="AT128" s="3">
        <v>0.31</v>
      </c>
      <c r="AU128" s="7">
        <v>922.325378</v>
      </c>
      <c r="AV128" s="3">
        <v>0</v>
      </c>
      <c r="AW128" s="3">
        <f t="shared" si="14"/>
        <v>0.33499999999999996</v>
      </c>
      <c r="AX128" s="5"/>
      <c r="AY128" s="5"/>
      <c r="AZ128" s="5"/>
      <c r="BA128" s="5"/>
      <c r="BB128" s="1"/>
      <c r="BC128" s="3" t="s">
        <v>109</v>
      </c>
      <c r="BD128" s="3">
        <v>0.9</v>
      </c>
      <c r="BE128" s="3">
        <v>0.5</v>
      </c>
      <c r="BF128" s="3">
        <v>0.6</v>
      </c>
      <c r="BG128" s="3">
        <v>0.38</v>
      </c>
      <c r="BH128" s="7">
        <v>909.95892300000003</v>
      </c>
      <c r="BI128" s="3">
        <v>6.0000000000000001E-3</v>
      </c>
      <c r="BK128" s="3" t="s">
        <v>109</v>
      </c>
      <c r="BL128" s="3">
        <v>0.34</v>
      </c>
      <c r="BM128" s="6">
        <v>869.75061000000005</v>
      </c>
      <c r="BN128" s="3">
        <v>1E-3</v>
      </c>
      <c r="BO128" s="3">
        <f t="shared" si="15"/>
        <v>0.36</v>
      </c>
    </row>
    <row r="129" spans="1:67" x14ac:dyDescent="0.3">
      <c r="A129" s="3" t="s">
        <v>110</v>
      </c>
      <c r="B129" s="3">
        <v>0.9</v>
      </c>
      <c r="C129" s="3">
        <v>0.5</v>
      </c>
      <c r="D129" s="3">
        <v>0.6</v>
      </c>
      <c r="E129" s="3">
        <v>0.3</v>
      </c>
      <c r="F129" s="7">
        <v>608.27484100000004</v>
      </c>
      <c r="G129" s="3">
        <v>2E-3</v>
      </c>
      <c r="I129" s="3" t="s">
        <v>110</v>
      </c>
      <c r="J129" s="3">
        <v>0.32</v>
      </c>
      <c r="K129" s="6">
        <v>607.76971400000002</v>
      </c>
      <c r="L129" s="3">
        <v>0</v>
      </c>
      <c r="M129" s="3">
        <f t="shared" si="12"/>
        <v>0.31</v>
      </c>
      <c r="N129" s="5"/>
      <c r="O129" s="5"/>
      <c r="P129" s="5"/>
      <c r="Q129" s="5"/>
      <c r="R129" s="1"/>
      <c r="S129" s="3" t="s">
        <v>110</v>
      </c>
      <c r="T129" s="3">
        <v>0.9</v>
      </c>
      <c r="U129" s="3">
        <v>0.5</v>
      </c>
      <c r="V129" s="3">
        <v>0.6</v>
      </c>
      <c r="W129" s="3">
        <v>0.35</v>
      </c>
      <c r="X129" s="6">
        <v>561.89392099999998</v>
      </c>
      <c r="Y129" s="3">
        <v>1E-3</v>
      </c>
      <c r="AA129" s="3" t="s">
        <v>110</v>
      </c>
      <c r="AB129" s="3">
        <v>0.32</v>
      </c>
      <c r="AC129" s="7">
        <v>587.135132</v>
      </c>
      <c r="AD129" s="3">
        <v>0</v>
      </c>
      <c r="AE129" s="3">
        <f t="shared" si="13"/>
        <v>0.45999999999999996</v>
      </c>
      <c r="AF129" s="5"/>
      <c r="AG129" s="5"/>
      <c r="AH129" s="5"/>
      <c r="AI129" s="5"/>
      <c r="AJ129" s="1"/>
      <c r="AK129" s="3" t="s">
        <v>111</v>
      </c>
      <c r="AL129" s="3">
        <v>0.9</v>
      </c>
      <c r="AM129" s="3">
        <v>0.5</v>
      </c>
      <c r="AN129" s="3">
        <v>0.6</v>
      </c>
      <c r="AO129" s="3">
        <v>0.3</v>
      </c>
      <c r="AP129" s="6">
        <v>1024.6417240000001</v>
      </c>
      <c r="AQ129" s="3">
        <v>7.0000000000000001E-3</v>
      </c>
      <c r="AS129" s="3" t="s">
        <v>111</v>
      </c>
      <c r="AT129" s="3">
        <v>0.31</v>
      </c>
      <c r="AU129" s="7">
        <v>1025.2639160000001</v>
      </c>
      <c r="AV129" s="3">
        <v>1E-3</v>
      </c>
      <c r="AW129" s="3">
        <f t="shared" si="14"/>
        <v>0.30499999999999999</v>
      </c>
      <c r="AX129" s="5"/>
      <c r="AY129" s="5"/>
      <c r="AZ129" s="5"/>
      <c r="BA129" s="5"/>
      <c r="BB129" s="1"/>
      <c r="BC129" s="3" t="s">
        <v>111</v>
      </c>
      <c r="BD129" s="3">
        <v>0.9</v>
      </c>
      <c r="BE129" s="3">
        <v>0.5</v>
      </c>
      <c r="BF129" s="3">
        <v>0.6</v>
      </c>
      <c r="BG129" s="3">
        <v>0.33</v>
      </c>
      <c r="BH129" s="6">
        <v>992.40087900000003</v>
      </c>
      <c r="BI129" s="3">
        <v>6.0000000000000001E-3</v>
      </c>
      <c r="BK129" s="3" t="s">
        <v>111</v>
      </c>
      <c r="BL129" s="3">
        <v>0.33</v>
      </c>
      <c r="BM129" s="7">
        <v>1000.943237</v>
      </c>
      <c r="BN129" s="3">
        <v>1E-3</v>
      </c>
      <c r="BO129" s="3">
        <f t="shared" si="15"/>
        <v>0.33</v>
      </c>
    </row>
    <row r="130" spans="1:67" x14ac:dyDescent="0.3">
      <c r="A130" s="3" t="s">
        <v>112</v>
      </c>
      <c r="B130" s="3">
        <v>0.9</v>
      </c>
      <c r="C130" s="3">
        <v>0.5</v>
      </c>
      <c r="D130" s="3">
        <v>0.6</v>
      </c>
      <c r="E130" s="3">
        <v>0.3</v>
      </c>
      <c r="F130" s="6">
        <v>474.47961400000003</v>
      </c>
      <c r="G130" s="3">
        <v>1E-3</v>
      </c>
      <c r="I130" s="3" t="s">
        <v>112</v>
      </c>
      <c r="J130" s="3">
        <v>0.35</v>
      </c>
      <c r="K130" s="7">
        <v>475.13970899999998</v>
      </c>
      <c r="L130" s="3">
        <v>0</v>
      </c>
      <c r="M130" s="3">
        <f t="shared" si="12"/>
        <v>0.32499999999999996</v>
      </c>
      <c r="N130" s="5"/>
      <c r="O130" s="5"/>
      <c r="P130" s="5"/>
      <c r="Q130" s="5"/>
      <c r="R130" s="1"/>
      <c r="S130" s="3" t="s">
        <v>112</v>
      </c>
      <c r="T130" s="3">
        <v>0.9</v>
      </c>
      <c r="U130" s="3">
        <v>0.5</v>
      </c>
      <c r="V130" s="3">
        <v>0.6</v>
      </c>
      <c r="W130" s="3">
        <v>0.35</v>
      </c>
      <c r="X130" s="7">
        <v>420.12194799999997</v>
      </c>
      <c r="Y130" s="3">
        <v>0</v>
      </c>
      <c r="AA130" s="3" t="s">
        <v>112</v>
      </c>
      <c r="AB130" s="3">
        <v>0.31</v>
      </c>
      <c r="AC130" s="6">
        <v>419.46957400000002</v>
      </c>
      <c r="AD130" s="3">
        <v>0</v>
      </c>
      <c r="AE130" s="3">
        <f t="shared" si="13"/>
        <v>0.45499999999999996</v>
      </c>
      <c r="AF130" s="5"/>
      <c r="AG130" s="5"/>
      <c r="AH130" s="5"/>
      <c r="AI130" s="5"/>
      <c r="AJ130" s="1"/>
      <c r="AK130" s="3" t="s">
        <v>113</v>
      </c>
      <c r="AL130" s="3">
        <v>0.9</v>
      </c>
      <c r="AM130" s="3">
        <v>0.5</v>
      </c>
      <c r="AN130" s="3">
        <v>0.6</v>
      </c>
      <c r="AO130" s="3">
        <v>0.3</v>
      </c>
      <c r="AP130" s="7">
        <v>934.56555200000003</v>
      </c>
      <c r="AQ130" s="3">
        <v>5.0000000000000001E-3</v>
      </c>
      <c r="AS130" s="3" t="s">
        <v>113</v>
      </c>
      <c r="AT130" s="3">
        <v>0.34</v>
      </c>
      <c r="AU130" s="6">
        <v>921.89703399999996</v>
      </c>
      <c r="AV130" s="3">
        <v>1E-3</v>
      </c>
      <c r="AW130" s="3">
        <f t="shared" si="14"/>
        <v>0.32</v>
      </c>
      <c r="AX130" s="5"/>
      <c r="AY130" s="5"/>
      <c r="AZ130" s="5"/>
      <c r="BA130" s="5"/>
      <c r="BB130" s="1"/>
      <c r="BC130" s="3" t="s">
        <v>113</v>
      </c>
      <c r="BD130" s="3">
        <v>0.9</v>
      </c>
      <c r="BE130" s="3">
        <v>0.5</v>
      </c>
      <c r="BF130" s="3">
        <v>0.6</v>
      </c>
      <c r="BG130" s="3">
        <v>0.35</v>
      </c>
      <c r="BH130" s="6">
        <v>883.25469999999996</v>
      </c>
      <c r="BI130" s="3">
        <v>5.0000000000000001E-3</v>
      </c>
      <c r="BK130" s="3" t="s">
        <v>113</v>
      </c>
      <c r="BL130" s="3">
        <v>0.32</v>
      </c>
      <c r="BM130" s="7">
        <v>890.75164800000005</v>
      </c>
      <c r="BN130" s="3">
        <v>1E-3</v>
      </c>
      <c r="BO130" s="3">
        <f t="shared" si="15"/>
        <v>0.33499999999999996</v>
      </c>
    </row>
    <row r="131" spans="1:67" x14ac:dyDescent="0.3">
      <c r="A131" s="3" t="s">
        <v>114</v>
      </c>
      <c r="B131" s="3">
        <v>0.9</v>
      </c>
      <c r="C131" s="3">
        <v>0.5</v>
      </c>
      <c r="D131" s="3">
        <v>0.6</v>
      </c>
      <c r="E131" s="3">
        <v>0.32</v>
      </c>
      <c r="F131" s="7">
        <v>605.30358899999999</v>
      </c>
      <c r="G131" s="3">
        <v>2E-3</v>
      </c>
      <c r="I131" s="3" t="s">
        <v>114</v>
      </c>
      <c r="J131" s="3">
        <v>0.3</v>
      </c>
      <c r="K131" s="6">
        <v>602.03479000000004</v>
      </c>
      <c r="L131" s="3">
        <v>0</v>
      </c>
      <c r="M131" s="3">
        <f t="shared" si="12"/>
        <v>0.31</v>
      </c>
      <c r="N131" s="5"/>
      <c r="O131" s="5"/>
      <c r="P131" s="5"/>
      <c r="Q131" s="5"/>
      <c r="R131" s="1"/>
      <c r="S131" s="3" t="s">
        <v>114</v>
      </c>
      <c r="T131" s="3">
        <v>0.9</v>
      </c>
      <c r="U131" s="3">
        <v>0.5</v>
      </c>
      <c r="V131" s="3">
        <v>0.6</v>
      </c>
      <c r="W131" s="3">
        <v>0.36</v>
      </c>
      <c r="X131" s="6">
        <v>581.57067900000004</v>
      </c>
      <c r="Y131" s="3">
        <v>1E-3</v>
      </c>
      <c r="AA131" s="3" t="s">
        <v>114</v>
      </c>
      <c r="AB131" s="3">
        <v>0.52</v>
      </c>
      <c r="AC131" s="7">
        <v>594.96691899999996</v>
      </c>
      <c r="AD131" s="3">
        <v>0</v>
      </c>
      <c r="AE131" s="3">
        <f t="shared" si="13"/>
        <v>0.56000000000000005</v>
      </c>
      <c r="AF131" s="5"/>
      <c r="AG131" s="5"/>
      <c r="AH131" s="5"/>
      <c r="AI131" s="5"/>
      <c r="AJ131" s="1"/>
      <c r="AK131" s="3" t="s">
        <v>115</v>
      </c>
      <c r="AL131" s="3">
        <v>0.9</v>
      </c>
      <c r="AM131" s="3">
        <v>0.5</v>
      </c>
      <c r="AN131" s="3">
        <v>0.6</v>
      </c>
      <c r="AO131" s="3">
        <v>0.34</v>
      </c>
      <c r="AP131" s="6">
        <v>1033.6420900000001</v>
      </c>
      <c r="AQ131" s="3">
        <v>1.2999999999999999E-2</v>
      </c>
      <c r="AS131" s="3" t="s">
        <v>115</v>
      </c>
      <c r="AT131" s="3">
        <v>0.3</v>
      </c>
      <c r="AU131" s="7">
        <v>1054.3657229999999</v>
      </c>
      <c r="AV131" s="3">
        <v>0</v>
      </c>
      <c r="AW131" s="3">
        <f t="shared" si="14"/>
        <v>0.32</v>
      </c>
      <c r="AX131" s="5"/>
      <c r="AY131" s="5"/>
      <c r="AZ131" s="5"/>
      <c r="BA131" s="5"/>
      <c r="BB131" s="1"/>
      <c r="BC131" s="3" t="s">
        <v>115</v>
      </c>
      <c r="BD131" s="3">
        <v>0.9</v>
      </c>
      <c r="BE131" s="3">
        <v>0.5</v>
      </c>
      <c r="BF131" s="3">
        <v>0.6</v>
      </c>
      <c r="BG131" s="3">
        <v>0.3</v>
      </c>
      <c r="BH131" s="7">
        <v>1021.9140619999999</v>
      </c>
      <c r="BI131" s="3">
        <v>8.0000000000000002E-3</v>
      </c>
      <c r="BK131" s="3" t="s">
        <v>115</v>
      </c>
      <c r="BL131" s="3">
        <v>0.32</v>
      </c>
      <c r="BM131" s="6">
        <v>1019.627258</v>
      </c>
      <c r="BN131" s="3">
        <v>1E-3</v>
      </c>
      <c r="BO131" s="3">
        <f t="shared" si="15"/>
        <v>0.31</v>
      </c>
    </row>
    <row r="132" spans="1:67" x14ac:dyDescent="0.3">
      <c r="A132" s="3" t="s">
        <v>116</v>
      </c>
      <c r="B132" s="3">
        <v>0.9</v>
      </c>
      <c r="C132" s="3">
        <v>0.5</v>
      </c>
      <c r="D132" s="3">
        <v>0.6</v>
      </c>
      <c r="E132" s="3">
        <v>0.31</v>
      </c>
      <c r="F132" s="6">
        <v>656.59576400000003</v>
      </c>
      <c r="G132" s="3">
        <v>1E-3</v>
      </c>
      <c r="I132" s="3" t="s">
        <v>116</v>
      </c>
      <c r="J132" s="3">
        <v>0.32</v>
      </c>
      <c r="K132" s="8">
        <v>656.66015600000003</v>
      </c>
      <c r="L132" s="3">
        <v>0</v>
      </c>
      <c r="M132" s="3">
        <f t="shared" si="12"/>
        <v>0.315</v>
      </c>
      <c r="N132" s="5"/>
      <c r="O132" s="5"/>
      <c r="P132" s="5"/>
      <c r="Q132" s="5"/>
      <c r="R132" s="1"/>
      <c r="S132" s="3" t="s">
        <v>116</v>
      </c>
      <c r="T132" s="3">
        <v>0.9</v>
      </c>
      <c r="U132" s="3">
        <v>0.5</v>
      </c>
      <c r="V132" s="3">
        <v>0.6</v>
      </c>
      <c r="W132" s="3">
        <v>0.3</v>
      </c>
      <c r="X132" s="6">
        <v>627.42004399999996</v>
      </c>
      <c r="Y132" s="3">
        <v>1E-3</v>
      </c>
      <c r="AA132" s="3" t="s">
        <v>116</v>
      </c>
      <c r="AB132" s="3">
        <v>0.3</v>
      </c>
      <c r="AC132" s="7">
        <v>632.63842799999998</v>
      </c>
      <c r="AD132" s="3">
        <v>0</v>
      </c>
      <c r="AE132" s="3">
        <f t="shared" si="13"/>
        <v>0.44999999999999996</v>
      </c>
      <c r="AF132" s="5"/>
      <c r="AG132" s="5"/>
      <c r="AH132" s="5"/>
      <c r="AI132" s="5"/>
      <c r="AJ132" s="1"/>
      <c r="AK132" s="3" t="s">
        <v>117</v>
      </c>
      <c r="AL132" s="3">
        <v>0.9</v>
      </c>
      <c r="AM132" s="3">
        <v>0.5</v>
      </c>
      <c r="AN132" s="3">
        <v>0.6</v>
      </c>
      <c r="AO132" s="3">
        <v>0.34</v>
      </c>
      <c r="AP132" s="6">
        <v>991.94964600000003</v>
      </c>
      <c r="AQ132" s="3">
        <v>5.0000000000000001E-3</v>
      </c>
      <c r="AS132" s="3" t="s">
        <v>117</v>
      </c>
      <c r="AT132" s="3">
        <v>0.31</v>
      </c>
      <c r="AU132" s="7">
        <v>1008.623108</v>
      </c>
      <c r="AV132" s="3">
        <v>0</v>
      </c>
      <c r="AW132" s="3">
        <f t="shared" si="14"/>
        <v>0.32500000000000001</v>
      </c>
      <c r="AX132" s="5"/>
      <c r="AY132" s="5"/>
      <c r="AZ132" s="5"/>
      <c r="BA132" s="5"/>
      <c r="BB132" s="1"/>
      <c r="BC132" s="3" t="s">
        <v>117</v>
      </c>
      <c r="BD132" s="3">
        <v>0.9</v>
      </c>
      <c r="BE132" s="3">
        <v>0.5</v>
      </c>
      <c r="BF132" s="3">
        <v>0.6</v>
      </c>
      <c r="BG132" s="3">
        <v>0.31</v>
      </c>
      <c r="BH132" s="6">
        <v>951.56506300000001</v>
      </c>
      <c r="BI132" s="3">
        <v>6.0000000000000001E-3</v>
      </c>
      <c r="BK132" s="3" t="s">
        <v>117</v>
      </c>
      <c r="BL132" s="3">
        <v>0.31</v>
      </c>
      <c r="BM132" s="7">
        <v>969.15448000000004</v>
      </c>
      <c r="BN132" s="3">
        <v>1E-3</v>
      </c>
      <c r="BO132" s="3">
        <f t="shared" si="15"/>
        <v>0.31</v>
      </c>
    </row>
    <row r="133" spans="1:67" x14ac:dyDescent="0.3">
      <c r="A133" s="3" t="s">
        <v>118</v>
      </c>
      <c r="B133" s="3">
        <v>0.9</v>
      </c>
      <c r="C133" s="3">
        <v>0.5</v>
      </c>
      <c r="D133" s="3">
        <v>0.6</v>
      </c>
      <c r="E133" s="3">
        <v>0.31</v>
      </c>
      <c r="F133" s="7">
        <v>576.58062700000005</v>
      </c>
      <c r="G133" s="3">
        <v>1E-3</v>
      </c>
      <c r="I133" s="3" t="s">
        <v>118</v>
      </c>
      <c r="J133" s="3">
        <v>0.32</v>
      </c>
      <c r="K133" s="6">
        <v>565.21417199999996</v>
      </c>
      <c r="L133" s="3">
        <v>0</v>
      </c>
      <c r="M133" s="3">
        <f t="shared" si="12"/>
        <v>0.315</v>
      </c>
      <c r="N133" s="5"/>
      <c r="O133" s="5"/>
      <c r="P133" s="5"/>
      <c r="Q133" s="5"/>
      <c r="R133" s="1"/>
      <c r="S133" s="3" t="s">
        <v>118</v>
      </c>
      <c r="T133" s="3">
        <v>0.9</v>
      </c>
      <c r="U133" s="3">
        <v>0.5</v>
      </c>
      <c r="V133" s="3">
        <v>0.6</v>
      </c>
      <c r="W133" s="3">
        <v>0.32</v>
      </c>
      <c r="X133" s="6">
        <v>542.29913299999998</v>
      </c>
      <c r="Y133" s="3">
        <v>1E-3</v>
      </c>
      <c r="AA133" s="3" t="s">
        <v>118</v>
      </c>
      <c r="AB133" s="3">
        <v>0.34</v>
      </c>
      <c r="AC133" s="7">
        <v>561.54058799999996</v>
      </c>
      <c r="AD133" s="3">
        <v>0</v>
      </c>
      <c r="AE133" s="3">
        <f t="shared" si="13"/>
        <v>0.47</v>
      </c>
      <c r="AF133" s="5"/>
      <c r="AG133" s="5"/>
      <c r="AH133" s="5"/>
      <c r="AI133" s="5"/>
      <c r="AJ133" s="1"/>
      <c r="AK133" s="3" t="s">
        <v>119</v>
      </c>
      <c r="AL133" s="3">
        <v>0.9</v>
      </c>
      <c r="AM133" s="3">
        <v>0.5</v>
      </c>
      <c r="AN133" s="3">
        <v>0.6</v>
      </c>
      <c r="AO133" s="3">
        <v>0.32</v>
      </c>
      <c r="AP133" s="7">
        <v>1013.20752</v>
      </c>
      <c r="AQ133" s="3">
        <v>6.0000000000000001E-3</v>
      </c>
      <c r="AS133" s="3" t="s">
        <v>119</v>
      </c>
      <c r="AT133" s="3">
        <v>0.31</v>
      </c>
      <c r="AU133" s="6">
        <v>993.69689900000003</v>
      </c>
      <c r="AV133" s="3">
        <v>0</v>
      </c>
      <c r="AW133" s="3">
        <f t="shared" si="14"/>
        <v>0.315</v>
      </c>
      <c r="AX133" s="5"/>
      <c r="AY133" s="5"/>
      <c r="AZ133" s="5"/>
      <c r="BA133" s="5"/>
      <c r="BB133" s="1"/>
      <c r="BC133" s="3" t="s">
        <v>119</v>
      </c>
      <c r="BD133" s="3">
        <v>0.9</v>
      </c>
      <c r="BE133" s="3">
        <v>0.5</v>
      </c>
      <c r="BF133" s="3">
        <v>0.6</v>
      </c>
      <c r="BG133" s="3">
        <v>0.32</v>
      </c>
      <c r="BH133" s="6">
        <v>991.27618399999994</v>
      </c>
      <c r="BI133" s="3">
        <v>6.0000000000000001E-3</v>
      </c>
      <c r="BK133" s="3" t="s">
        <v>119</v>
      </c>
      <c r="BL133" s="3">
        <v>0.32</v>
      </c>
      <c r="BM133" s="7">
        <v>1032.4289550000001</v>
      </c>
      <c r="BN133" s="3">
        <v>1E-3</v>
      </c>
      <c r="BO133" s="3">
        <f t="shared" si="15"/>
        <v>0.32</v>
      </c>
    </row>
    <row r="134" spans="1:67" x14ac:dyDescent="0.3">
      <c r="A134" s="3" t="s">
        <v>120</v>
      </c>
      <c r="B134" s="3">
        <v>0.9</v>
      </c>
      <c r="C134" s="3">
        <v>0.5</v>
      </c>
      <c r="D134" s="3">
        <v>0.6</v>
      </c>
      <c r="E134" s="3">
        <v>0.33</v>
      </c>
      <c r="F134" s="6">
        <v>709.82324200000005</v>
      </c>
      <c r="G134" s="3">
        <v>2E-3</v>
      </c>
      <c r="I134" s="3" t="s">
        <v>120</v>
      </c>
      <c r="J134" s="3">
        <v>0.44</v>
      </c>
      <c r="K134" s="7">
        <v>719.85974099999999</v>
      </c>
      <c r="L134" s="3">
        <v>0</v>
      </c>
      <c r="M134" s="3">
        <f t="shared" si="12"/>
        <v>0.38500000000000001</v>
      </c>
      <c r="N134" s="5"/>
      <c r="O134" s="5"/>
      <c r="P134" s="5"/>
      <c r="Q134" s="5"/>
      <c r="R134" s="1"/>
      <c r="S134" s="3" t="s">
        <v>120</v>
      </c>
      <c r="T134" s="3">
        <v>0.9</v>
      </c>
      <c r="U134" s="3">
        <v>0.5</v>
      </c>
      <c r="V134" s="3">
        <v>0.6</v>
      </c>
      <c r="W134" s="3">
        <v>0.3</v>
      </c>
      <c r="X134" s="7">
        <v>715.97485400000005</v>
      </c>
      <c r="Y134" s="3">
        <v>1E-3</v>
      </c>
      <c r="AA134" s="3" t="s">
        <v>120</v>
      </c>
      <c r="AB134" s="3">
        <v>0.31</v>
      </c>
      <c r="AC134" s="6">
        <v>714.25988800000005</v>
      </c>
      <c r="AD134" s="3">
        <v>0</v>
      </c>
      <c r="AE134" s="3">
        <f t="shared" si="13"/>
        <v>0.45499999999999996</v>
      </c>
      <c r="AF134" s="5"/>
      <c r="AG134" s="5"/>
      <c r="AH134" s="5"/>
      <c r="AI134" s="5"/>
      <c r="AJ134" s="1"/>
      <c r="AK134" s="3" t="s">
        <v>121</v>
      </c>
      <c r="AL134" s="3">
        <v>0.9</v>
      </c>
      <c r="AM134" s="3">
        <v>0.5</v>
      </c>
      <c r="AN134" s="3">
        <v>0.6</v>
      </c>
      <c r="AO134" s="3">
        <v>0.37</v>
      </c>
      <c r="AP134" s="6">
        <v>1058.6573490000001</v>
      </c>
      <c r="AQ134" s="3">
        <v>5.0000000000000001E-3</v>
      </c>
      <c r="AS134" s="3" t="s">
        <v>121</v>
      </c>
      <c r="AT134" s="3">
        <v>0.31</v>
      </c>
      <c r="AU134" s="7">
        <v>1059.328857</v>
      </c>
      <c r="AV134" s="3">
        <v>0</v>
      </c>
      <c r="AW134" s="3">
        <f t="shared" si="14"/>
        <v>0.33999999999999997</v>
      </c>
      <c r="AX134" s="5"/>
      <c r="AY134" s="5"/>
      <c r="AZ134" s="5"/>
      <c r="BA134" s="5"/>
      <c r="BB134" s="1"/>
      <c r="BC134" s="3" t="s">
        <v>121</v>
      </c>
      <c r="BD134" s="3">
        <v>0.9</v>
      </c>
      <c r="BE134" s="3">
        <v>0.5</v>
      </c>
      <c r="BF134" s="3">
        <v>0.6</v>
      </c>
      <c r="BG134" s="3">
        <v>0.3</v>
      </c>
      <c r="BH134" s="6">
        <v>1028.45874</v>
      </c>
      <c r="BI134" s="3">
        <v>8.0000000000000002E-3</v>
      </c>
      <c r="BK134" s="3" t="s">
        <v>121</v>
      </c>
      <c r="BL134" s="3">
        <v>0.3</v>
      </c>
      <c r="BM134" s="7">
        <v>1044.422241</v>
      </c>
      <c r="BN134" s="3">
        <v>0</v>
      </c>
      <c r="BO134" s="3">
        <f t="shared" si="15"/>
        <v>0.3</v>
      </c>
    </row>
    <row r="135" spans="1:67" x14ac:dyDescent="0.3">
      <c r="A135" s="3" t="s">
        <v>122</v>
      </c>
      <c r="B135" s="3">
        <v>0.9</v>
      </c>
      <c r="C135" s="3">
        <v>0.5</v>
      </c>
      <c r="D135" s="3">
        <v>0.6</v>
      </c>
      <c r="E135" s="3">
        <v>0.35</v>
      </c>
      <c r="F135" s="6">
        <v>657.38525400000003</v>
      </c>
      <c r="G135" s="3">
        <v>2E-3</v>
      </c>
      <c r="I135" s="3" t="s">
        <v>122</v>
      </c>
      <c r="J135" s="3">
        <v>0.3</v>
      </c>
      <c r="K135" s="7">
        <v>659.96490500000004</v>
      </c>
      <c r="L135" s="3">
        <v>0</v>
      </c>
      <c r="M135" s="3">
        <f t="shared" si="12"/>
        <v>0.32499999999999996</v>
      </c>
      <c r="N135" s="5"/>
      <c r="O135" s="5"/>
      <c r="P135" s="5"/>
      <c r="Q135" s="5"/>
      <c r="R135" s="1"/>
      <c r="S135" s="3" t="s">
        <v>122</v>
      </c>
      <c r="T135" s="3">
        <v>0.9</v>
      </c>
      <c r="U135" s="3">
        <v>0.5</v>
      </c>
      <c r="V135" s="3">
        <v>0.6</v>
      </c>
      <c r="W135" s="3">
        <v>0.39</v>
      </c>
      <c r="X135" s="6">
        <v>640.44140600000003</v>
      </c>
      <c r="Y135" s="3">
        <v>1E-3</v>
      </c>
      <c r="AA135" s="3" t="s">
        <v>122</v>
      </c>
      <c r="AB135" s="3">
        <v>0.38</v>
      </c>
      <c r="AC135" s="7">
        <v>650.25878899999998</v>
      </c>
      <c r="AD135" s="3">
        <v>1E-3</v>
      </c>
      <c r="AE135" s="3">
        <f t="shared" si="13"/>
        <v>0.49</v>
      </c>
      <c r="AF135" s="5"/>
      <c r="AG135" s="5"/>
      <c r="AH135" s="5"/>
      <c r="AI135" s="5"/>
      <c r="AJ135" s="1"/>
      <c r="AK135" s="3" t="s">
        <v>123</v>
      </c>
      <c r="AL135" s="3">
        <v>0.9</v>
      </c>
      <c r="AM135" s="3">
        <v>0.5</v>
      </c>
      <c r="AN135" s="3">
        <v>0.6</v>
      </c>
      <c r="AO135" s="3">
        <v>0.35</v>
      </c>
      <c r="AP135" s="7">
        <v>1003.645386</v>
      </c>
      <c r="AQ135" s="3">
        <v>6.0000000000000001E-3</v>
      </c>
      <c r="AS135" s="3" t="s">
        <v>123</v>
      </c>
      <c r="AT135" s="3">
        <v>0.3</v>
      </c>
      <c r="AU135" s="6">
        <v>993.98669400000006</v>
      </c>
      <c r="AV135" s="3">
        <v>1E-3</v>
      </c>
      <c r="AW135" s="3">
        <f t="shared" si="14"/>
        <v>0.32499999999999996</v>
      </c>
      <c r="AX135" s="5"/>
      <c r="AY135" s="5"/>
      <c r="AZ135" s="5"/>
      <c r="BA135" s="5"/>
      <c r="BB135" s="1"/>
      <c r="BC135" s="3" t="s">
        <v>123</v>
      </c>
      <c r="BD135" s="3">
        <v>0.9</v>
      </c>
      <c r="BE135" s="3">
        <v>0.5</v>
      </c>
      <c r="BF135" s="3">
        <v>0.6</v>
      </c>
      <c r="BG135" s="3">
        <v>0.3</v>
      </c>
      <c r="BH135" s="6">
        <v>996.879639</v>
      </c>
      <c r="BI135" s="3">
        <v>8.0000000000000002E-3</v>
      </c>
      <c r="BK135" s="3" t="s">
        <v>123</v>
      </c>
      <c r="BL135" s="3">
        <v>0.3</v>
      </c>
      <c r="BM135" s="7">
        <v>1012.6243899999999</v>
      </c>
      <c r="BN135" s="3">
        <v>1E-3</v>
      </c>
      <c r="BO135" s="3">
        <f t="shared" si="15"/>
        <v>0.3</v>
      </c>
    </row>
    <row r="136" spans="1:67" x14ac:dyDescent="0.3">
      <c r="A136" s="3" t="s">
        <v>124</v>
      </c>
      <c r="B136" s="3">
        <v>0.9</v>
      </c>
      <c r="C136" s="3">
        <v>0.5</v>
      </c>
      <c r="D136" s="3">
        <v>0.6</v>
      </c>
      <c r="E136" s="3">
        <v>0.32</v>
      </c>
      <c r="F136" s="6">
        <v>553.33111599999995</v>
      </c>
      <c r="G136" s="3">
        <v>1E-3</v>
      </c>
      <c r="I136" s="3" t="s">
        <v>124</v>
      </c>
      <c r="J136" s="3">
        <v>0.33</v>
      </c>
      <c r="K136" s="7">
        <v>572.99224900000002</v>
      </c>
      <c r="L136" s="3">
        <v>0</v>
      </c>
      <c r="M136" s="3">
        <f t="shared" si="12"/>
        <v>0.32500000000000001</v>
      </c>
      <c r="N136" s="5"/>
      <c r="O136" s="5"/>
      <c r="P136" s="5"/>
      <c r="Q136" s="5"/>
      <c r="R136" s="1"/>
      <c r="S136" s="3" t="s">
        <v>124</v>
      </c>
      <c r="T136" s="3">
        <v>0.9</v>
      </c>
      <c r="U136" s="3">
        <v>0.5</v>
      </c>
      <c r="V136" s="3">
        <v>0.6</v>
      </c>
      <c r="W136" s="3">
        <v>0.39</v>
      </c>
      <c r="X136" s="7">
        <v>546.83569299999999</v>
      </c>
      <c r="Y136" s="3">
        <v>1E-3</v>
      </c>
      <c r="AA136" s="3" t="s">
        <v>124</v>
      </c>
      <c r="AB136" s="3">
        <v>0.36</v>
      </c>
      <c r="AC136" s="6">
        <v>544.76995799999997</v>
      </c>
      <c r="AD136" s="3">
        <v>1E-3</v>
      </c>
      <c r="AE136" s="3">
        <f t="shared" si="13"/>
        <v>0.48</v>
      </c>
      <c r="AF136" s="5"/>
      <c r="AG136" s="5"/>
      <c r="AH136" s="5"/>
      <c r="AI136" s="5"/>
      <c r="AJ136" s="1"/>
      <c r="AK136" s="3" t="s">
        <v>125</v>
      </c>
      <c r="AL136" s="3">
        <v>0.9</v>
      </c>
      <c r="AM136" s="3">
        <v>0.5</v>
      </c>
      <c r="AN136" s="3">
        <v>0.6</v>
      </c>
      <c r="AO136" s="3">
        <v>0.33</v>
      </c>
      <c r="AP136" s="6">
        <v>1057.5261230000001</v>
      </c>
      <c r="AQ136" s="3">
        <v>6.0000000000000001E-3</v>
      </c>
      <c r="AS136" s="3" t="s">
        <v>125</v>
      </c>
      <c r="AT136" s="3">
        <v>0.3</v>
      </c>
      <c r="AU136" s="7">
        <v>1071.554443</v>
      </c>
      <c r="AV136" s="3">
        <v>1E-3</v>
      </c>
      <c r="AW136" s="3">
        <f t="shared" si="14"/>
        <v>0.315</v>
      </c>
      <c r="AX136" s="5"/>
      <c r="AY136" s="5"/>
      <c r="AZ136" s="5"/>
      <c r="BA136" s="5"/>
      <c r="BB136" s="1"/>
      <c r="BC136" s="3" t="s">
        <v>125</v>
      </c>
      <c r="BD136" s="3">
        <v>0.9</v>
      </c>
      <c r="BE136" s="3">
        <v>0.5</v>
      </c>
      <c r="BF136" s="3">
        <v>0.6</v>
      </c>
      <c r="BG136" s="3">
        <v>0.3</v>
      </c>
      <c r="BH136" s="6">
        <v>1042.001953</v>
      </c>
      <c r="BI136" s="3">
        <v>0.01</v>
      </c>
      <c r="BK136" s="3" t="s">
        <v>125</v>
      </c>
      <c r="BL136" s="3">
        <v>0.32</v>
      </c>
      <c r="BM136" s="7">
        <v>1047.503784</v>
      </c>
      <c r="BN136" s="3">
        <v>1E-3</v>
      </c>
      <c r="BO136" s="3">
        <f t="shared" si="15"/>
        <v>0.31</v>
      </c>
    </row>
    <row r="137" spans="1:67" x14ac:dyDescent="0.3">
      <c r="A137" s="3" t="s">
        <v>126</v>
      </c>
      <c r="B137" s="3">
        <v>0.9</v>
      </c>
      <c r="C137" s="3">
        <v>0.5</v>
      </c>
      <c r="D137" s="3">
        <v>0.6</v>
      </c>
      <c r="E137" s="3">
        <v>0.3</v>
      </c>
      <c r="F137" s="6">
        <v>630.25396699999999</v>
      </c>
      <c r="G137" s="3">
        <v>1E-3</v>
      </c>
      <c r="I137" s="3" t="s">
        <v>126</v>
      </c>
      <c r="J137" s="3">
        <v>0.31</v>
      </c>
      <c r="K137" s="7">
        <v>651.84375</v>
      </c>
      <c r="L137" s="3">
        <v>0</v>
      </c>
      <c r="M137" s="3">
        <f t="shared" si="12"/>
        <v>0.30499999999999999</v>
      </c>
      <c r="N137" s="5"/>
      <c r="O137" s="5"/>
      <c r="P137" s="5"/>
      <c r="Q137" s="5"/>
      <c r="R137" s="1"/>
      <c r="S137" s="3" t="s">
        <v>126</v>
      </c>
      <c r="T137" s="3">
        <v>0.9</v>
      </c>
      <c r="U137" s="3">
        <v>0.5</v>
      </c>
      <c r="V137" s="3">
        <v>0.6</v>
      </c>
      <c r="W137" s="3">
        <v>0.36</v>
      </c>
      <c r="X137" s="7">
        <v>628.83703600000001</v>
      </c>
      <c r="Y137" s="3">
        <v>2E-3</v>
      </c>
      <c r="AA137" s="3" t="s">
        <v>126</v>
      </c>
      <c r="AB137" s="3">
        <v>0.34</v>
      </c>
      <c r="AC137" s="6">
        <v>616.337402</v>
      </c>
      <c r="AD137" s="3">
        <v>0</v>
      </c>
      <c r="AE137" s="3">
        <f t="shared" si="13"/>
        <v>0.47</v>
      </c>
      <c r="AF137" s="5"/>
      <c r="AG137" s="5"/>
      <c r="AH137" s="5"/>
      <c r="AI137" s="5"/>
      <c r="AJ137" s="1"/>
      <c r="AK137" s="3" t="s">
        <v>127</v>
      </c>
      <c r="AL137" s="3">
        <v>0.9</v>
      </c>
      <c r="AM137" s="3">
        <v>0.5</v>
      </c>
      <c r="AN137" s="3">
        <v>0.6</v>
      </c>
      <c r="AO137" s="3">
        <v>0.3</v>
      </c>
      <c r="AP137" s="6">
        <v>1062.272217</v>
      </c>
      <c r="AQ137" s="3">
        <v>7.0000000000000001E-3</v>
      </c>
      <c r="AS137" s="3" t="s">
        <v>127</v>
      </c>
      <c r="AT137" s="3">
        <v>0.3</v>
      </c>
      <c r="AU137" s="7">
        <v>1066.747803</v>
      </c>
      <c r="AV137" s="3">
        <v>1E-3</v>
      </c>
      <c r="AW137" s="3">
        <f t="shared" si="14"/>
        <v>0.3</v>
      </c>
      <c r="AX137" s="5"/>
      <c r="AY137" s="5"/>
      <c r="AZ137" s="5"/>
      <c r="BA137" s="5"/>
      <c r="BB137" s="1"/>
      <c r="BC137" s="3" t="s">
        <v>127</v>
      </c>
      <c r="BD137" s="3">
        <v>0.9</v>
      </c>
      <c r="BE137" s="3">
        <v>0.5</v>
      </c>
      <c r="BF137" s="3">
        <v>0.6</v>
      </c>
      <c r="BG137" s="3">
        <v>0.36</v>
      </c>
      <c r="BH137" s="6">
        <v>1045.3675539999999</v>
      </c>
      <c r="BI137" s="3">
        <v>5.0000000000000001E-3</v>
      </c>
      <c r="BK137" s="3" t="s">
        <v>127</v>
      </c>
      <c r="BL137" s="3">
        <v>0.32</v>
      </c>
      <c r="BM137" s="7">
        <v>1049.986206</v>
      </c>
      <c r="BN137" s="3">
        <v>1E-3</v>
      </c>
      <c r="BO137" s="3">
        <f t="shared" si="15"/>
        <v>0.33999999999999997</v>
      </c>
    </row>
    <row r="138" spans="1:67" x14ac:dyDescent="0.3">
      <c r="A138" s="3" t="s">
        <v>128</v>
      </c>
      <c r="B138" s="3">
        <v>0.9</v>
      </c>
      <c r="C138" s="3">
        <v>0.5</v>
      </c>
      <c r="D138" s="3">
        <v>0.6</v>
      </c>
      <c r="E138" s="3">
        <v>0.32</v>
      </c>
      <c r="F138" s="6">
        <v>587.75598100000002</v>
      </c>
      <c r="G138" s="3">
        <v>2E-3</v>
      </c>
      <c r="I138" s="3" t="s">
        <v>128</v>
      </c>
      <c r="J138" s="3">
        <v>0.3</v>
      </c>
      <c r="K138" s="7">
        <v>600.66986099999997</v>
      </c>
      <c r="L138" s="3">
        <v>1E-3</v>
      </c>
      <c r="M138" s="3">
        <f t="shared" si="12"/>
        <v>0.31</v>
      </c>
      <c r="N138" s="5"/>
      <c r="O138" s="5"/>
      <c r="P138" s="5"/>
      <c r="Q138" s="5"/>
      <c r="R138" s="1"/>
      <c r="S138" s="3" t="s">
        <v>128</v>
      </c>
      <c r="T138" s="3">
        <v>0.9</v>
      </c>
      <c r="U138" s="3">
        <v>0.5</v>
      </c>
      <c r="V138" s="3">
        <v>0.6</v>
      </c>
      <c r="W138" s="3">
        <v>0.32</v>
      </c>
      <c r="X138" s="7">
        <v>598.39324999999997</v>
      </c>
      <c r="Y138" s="3">
        <v>1E-3</v>
      </c>
      <c r="AA138" s="3" t="s">
        <v>128</v>
      </c>
      <c r="AB138" s="3">
        <v>0.31</v>
      </c>
      <c r="AC138" s="6">
        <v>596.78961200000003</v>
      </c>
      <c r="AD138" s="3">
        <v>0</v>
      </c>
      <c r="AE138" s="3">
        <f t="shared" si="13"/>
        <v>0.45499999999999996</v>
      </c>
      <c r="AF138" s="5"/>
      <c r="AG138" s="5"/>
      <c r="AH138" s="5"/>
      <c r="AI138" s="5"/>
      <c r="AJ138" s="1"/>
      <c r="AK138" s="3" t="s">
        <v>129</v>
      </c>
      <c r="AL138" s="3">
        <v>0.9</v>
      </c>
      <c r="AM138" s="3">
        <v>0.5</v>
      </c>
      <c r="AN138" s="3">
        <v>0.6</v>
      </c>
      <c r="AO138" s="3">
        <v>0.3</v>
      </c>
      <c r="AP138" s="6">
        <v>1025.6298830000001</v>
      </c>
      <c r="AQ138" s="3">
        <v>6.0000000000000001E-3</v>
      </c>
      <c r="AS138" s="3" t="s">
        <v>129</v>
      </c>
      <c r="AT138" s="3">
        <v>0.31</v>
      </c>
      <c r="AU138" s="8">
        <v>1025.641846</v>
      </c>
      <c r="AV138" s="3">
        <v>1E-3</v>
      </c>
      <c r="AW138" s="3">
        <f t="shared" si="14"/>
        <v>0.30499999999999999</v>
      </c>
      <c r="AX138" s="5"/>
      <c r="AY138" s="5"/>
      <c r="AZ138" s="5"/>
      <c r="BA138" s="5"/>
      <c r="BB138" s="1"/>
      <c r="BC138" s="3" t="s">
        <v>129</v>
      </c>
      <c r="BD138" s="3">
        <v>0.9</v>
      </c>
      <c r="BE138" s="3">
        <v>0.5</v>
      </c>
      <c r="BF138" s="3">
        <v>0.6</v>
      </c>
      <c r="BG138" s="3">
        <v>0.3</v>
      </c>
      <c r="BH138" s="7">
        <v>1021.59906</v>
      </c>
      <c r="BI138" s="3">
        <v>6.0000000000000001E-3</v>
      </c>
      <c r="BK138" s="3" t="s">
        <v>129</v>
      </c>
      <c r="BL138" s="3">
        <v>0.3</v>
      </c>
      <c r="BM138" s="6">
        <v>1020.187988</v>
      </c>
      <c r="BN138" s="3">
        <v>1E-3</v>
      </c>
      <c r="BO138" s="3">
        <f t="shared" si="15"/>
        <v>0.3</v>
      </c>
    </row>
    <row r="139" spans="1:67" x14ac:dyDescent="0.3">
      <c r="A139" s="3" t="s">
        <v>130</v>
      </c>
      <c r="B139" s="3">
        <v>0.9</v>
      </c>
      <c r="C139" s="3">
        <v>0.5</v>
      </c>
      <c r="D139" s="3">
        <v>0.6</v>
      </c>
      <c r="E139" s="3">
        <v>0.3</v>
      </c>
      <c r="F139" s="7">
        <v>656.67535399999997</v>
      </c>
      <c r="G139" s="3">
        <v>3.0000000000000001E-3</v>
      </c>
      <c r="I139" s="3" t="s">
        <v>130</v>
      </c>
      <c r="J139" s="3">
        <v>0.52</v>
      </c>
      <c r="K139" s="6">
        <v>645.14813200000003</v>
      </c>
      <c r="L139" s="3">
        <v>0</v>
      </c>
      <c r="M139" s="3">
        <f t="shared" si="12"/>
        <v>0.41000000000000003</v>
      </c>
      <c r="N139" s="5"/>
      <c r="O139" s="5"/>
      <c r="P139" s="5"/>
      <c r="Q139" s="5"/>
      <c r="R139" s="1"/>
      <c r="S139" s="3" t="s">
        <v>130</v>
      </c>
      <c r="T139" s="3">
        <v>0.9</v>
      </c>
      <c r="U139" s="3">
        <v>0.5</v>
      </c>
      <c r="V139" s="3">
        <v>0.6</v>
      </c>
      <c r="W139" s="3">
        <v>0.34</v>
      </c>
      <c r="X139" s="7">
        <v>648.15527299999997</v>
      </c>
      <c r="Y139" s="3">
        <v>1E-3</v>
      </c>
      <c r="AA139" s="3" t="s">
        <v>130</v>
      </c>
      <c r="AB139" s="3">
        <v>0.38</v>
      </c>
      <c r="AC139" s="6">
        <v>640.11547900000005</v>
      </c>
      <c r="AD139" s="3">
        <v>0</v>
      </c>
      <c r="AE139" s="3">
        <f t="shared" si="13"/>
        <v>0.49</v>
      </c>
      <c r="AF139" s="5"/>
      <c r="AG139" s="5"/>
      <c r="AH139" s="5"/>
      <c r="AI139" s="5"/>
      <c r="AJ139" s="1"/>
      <c r="AK139" s="3" t="s">
        <v>131</v>
      </c>
      <c r="AL139" s="3">
        <v>0.9</v>
      </c>
      <c r="AM139" s="3">
        <v>0.5</v>
      </c>
      <c r="AN139" s="3">
        <v>0.6</v>
      </c>
      <c r="AO139" s="3">
        <v>0.3</v>
      </c>
      <c r="AP139" s="6">
        <v>1029.2089840000001</v>
      </c>
      <c r="AQ139" s="3">
        <v>7.0000000000000001E-3</v>
      </c>
      <c r="AS139" s="3" t="s">
        <v>131</v>
      </c>
      <c r="AT139" s="3">
        <v>0.31</v>
      </c>
      <c r="AU139" s="7">
        <v>1044.8642580000001</v>
      </c>
      <c r="AV139" s="3">
        <v>1E-3</v>
      </c>
      <c r="AW139" s="3">
        <f t="shared" si="14"/>
        <v>0.30499999999999999</v>
      </c>
      <c r="AX139" s="5"/>
      <c r="AY139" s="5"/>
      <c r="AZ139" s="5"/>
      <c r="BA139" s="5"/>
      <c r="BB139" s="1"/>
      <c r="BC139" s="3" t="s">
        <v>131</v>
      </c>
      <c r="BD139" s="3">
        <v>0.9</v>
      </c>
      <c r="BE139" s="3">
        <v>0.5</v>
      </c>
      <c r="BF139" s="3">
        <v>0.6</v>
      </c>
      <c r="BG139" s="3">
        <v>0.3</v>
      </c>
      <c r="BH139" s="6">
        <v>1045.5421140000001</v>
      </c>
      <c r="BI139" s="3">
        <v>8.0000000000000002E-3</v>
      </c>
      <c r="BK139" s="3" t="s">
        <v>131</v>
      </c>
      <c r="BL139" s="3">
        <v>0.3</v>
      </c>
      <c r="BM139" s="7">
        <v>1070.5611570000001</v>
      </c>
      <c r="BN139" s="3">
        <v>0</v>
      </c>
      <c r="BO139" s="3">
        <f t="shared" si="15"/>
        <v>0.3</v>
      </c>
    </row>
    <row r="140" spans="1:67" x14ac:dyDescent="0.3">
      <c r="A140" s="3" t="s">
        <v>132</v>
      </c>
      <c r="B140" s="3">
        <v>0.9</v>
      </c>
      <c r="C140" s="3">
        <v>0.5</v>
      </c>
      <c r="D140" s="3">
        <v>0.6</v>
      </c>
      <c r="E140" s="3">
        <v>0.3</v>
      </c>
      <c r="F140" s="7">
        <v>568.16583300000002</v>
      </c>
      <c r="G140" s="3">
        <v>1E-3</v>
      </c>
      <c r="I140" s="3" t="s">
        <v>132</v>
      </c>
      <c r="J140" s="3">
        <v>0.3</v>
      </c>
      <c r="K140" s="6">
        <v>535.77044699999999</v>
      </c>
      <c r="L140" s="3">
        <v>0</v>
      </c>
      <c r="M140" s="3">
        <f t="shared" si="12"/>
        <v>0.3</v>
      </c>
      <c r="N140" s="5"/>
      <c r="O140" s="5"/>
      <c r="P140" s="5"/>
      <c r="Q140" s="5"/>
      <c r="R140" s="1"/>
      <c r="S140" s="3" t="s">
        <v>132</v>
      </c>
      <c r="T140" s="3">
        <v>0.9</v>
      </c>
      <c r="U140" s="3">
        <v>0.5</v>
      </c>
      <c r="V140" s="3">
        <v>0.6</v>
      </c>
      <c r="W140" s="3">
        <v>0.35</v>
      </c>
      <c r="X140" s="7">
        <v>560.28118900000004</v>
      </c>
      <c r="Y140" s="3">
        <v>1E-3</v>
      </c>
      <c r="AA140" s="3" t="s">
        <v>132</v>
      </c>
      <c r="AB140" s="3">
        <v>0.32</v>
      </c>
      <c r="AC140" s="6">
        <v>547.01238999999998</v>
      </c>
      <c r="AD140" s="3">
        <v>1E-3</v>
      </c>
      <c r="AE140" s="3">
        <f t="shared" si="13"/>
        <v>0.45999999999999996</v>
      </c>
      <c r="AF140" s="5"/>
      <c r="AG140" s="5"/>
      <c r="AH140" s="5"/>
      <c r="AI140" s="5"/>
      <c r="AJ140" s="1"/>
      <c r="AK140" s="3" t="s">
        <v>133</v>
      </c>
      <c r="AL140" s="3">
        <v>0.9</v>
      </c>
      <c r="AM140" s="3">
        <v>0.5</v>
      </c>
      <c r="AN140" s="3">
        <v>0.6</v>
      </c>
      <c r="AO140" s="3">
        <v>0.3</v>
      </c>
      <c r="AP140" s="6">
        <v>1058.2346190000001</v>
      </c>
      <c r="AQ140" s="3">
        <v>6.0000000000000001E-3</v>
      </c>
      <c r="AS140" s="3" t="s">
        <v>133</v>
      </c>
      <c r="AT140" s="3">
        <v>0.3</v>
      </c>
      <c r="AU140" s="7">
        <v>1072.2624510000001</v>
      </c>
      <c r="AV140" s="3">
        <v>0</v>
      </c>
      <c r="AW140" s="3">
        <f t="shared" si="14"/>
        <v>0.3</v>
      </c>
      <c r="AX140" s="5"/>
      <c r="AY140" s="5"/>
      <c r="AZ140" s="5"/>
      <c r="BA140" s="5"/>
      <c r="BB140" s="1"/>
      <c r="BC140" s="3" t="s">
        <v>133</v>
      </c>
      <c r="BD140" s="3">
        <v>0.9</v>
      </c>
      <c r="BE140" s="3">
        <v>0.5</v>
      </c>
      <c r="BF140" s="3">
        <v>0.6</v>
      </c>
      <c r="BG140" s="3">
        <v>0.32</v>
      </c>
      <c r="BH140" s="6">
        <v>1044.474121</v>
      </c>
      <c r="BI140" s="3">
        <v>0.01</v>
      </c>
      <c r="BK140" s="3" t="s">
        <v>133</v>
      </c>
      <c r="BL140" s="3">
        <v>0.3</v>
      </c>
      <c r="BM140" s="7">
        <v>1046.269043</v>
      </c>
      <c r="BN140" s="3">
        <v>0</v>
      </c>
      <c r="BO140" s="3">
        <f t="shared" si="15"/>
        <v>0.31</v>
      </c>
    </row>
    <row r="141" spans="1:67" x14ac:dyDescent="0.3">
      <c r="A141" s="9" t="s">
        <v>316</v>
      </c>
      <c r="E141" s="9">
        <f>AVERAGE(E111:E140)</f>
        <v>0.32033333333333336</v>
      </c>
      <c r="I141" s="9" t="s">
        <v>316</v>
      </c>
      <c r="J141" s="9">
        <f>AVERAGE(J111:J140)</f>
        <v>0.35233333333333339</v>
      </c>
      <c r="R141" s="1"/>
      <c r="S141" s="9" t="s">
        <v>316</v>
      </c>
      <c r="W141" s="9">
        <f>AVERAGE(W111:W140)</f>
        <v>0.33833333333333326</v>
      </c>
      <c r="AA141" s="9" t="s">
        <v>316</v>
      </c>
      <c r="AB141" s="9">
        <f>AVERAGE(AB111:AB140)</f>
        <v>0.34966666666666674</v>
      </c>
      <c r="AJ141" s="1"/>
      <c r="AK141" s="9" t="s">
        <v>316</v>
      </c>
      <c r="AO141" s="9">
        <f>AVERAGE(AO111:AO140)</f>
        <v>0.31866666666666676</v>
      </c>
      <c r="AS141" s="9" t="s">
        <v>316</v>
      </c>
      <c r="AT141" s="9">
        <f>AVERAGE(AT111:AT140)</f>
        <v>0.314</v>
      </c>
      <c r="BB141" s="1"/>
      <c r="BC141" s="9" t="s">
        <v>316</v>
      </c>
      <c r="BG141" s="9">
        <f>AVERAGE(BG111:BG140)</f>
        <v>0.31466666666666665</v>
      </c>
      <c r="BK141" s="9" t="s">
        <v>316</v>
      </c>
      <c r="BL141" s="9">
        <f>AVERAGE(BL111:BL140)</f>
        <v>0.31433333333333341</v>
      </c>
    </row>
    <row r="142" spans="1:67" x14ac:dyDescent="0.3">
      <c r="R142" s="1"/>
      <c r="AJ142" s="1"/>
      <c r="BB142" s="1"/>
    </row>
    <row r="143" spans="1:67" x14ac:dyDescent="0.3">
      <c r="R143" s="1"/>
      <c r="AJ143" s="1"/>
      <c r="BB143" s="1"/>
    </row>
    <row r="144" spans="1:67" x14ac:dyDescent="0.3">
      <c r="A144" s="19" t="s">
        <v>314</v>
      </c>
      <c r="B144" s="19"/>
      <c r="C144" s="19"/>
      <c r="D144" s="19"/>
      <c r="E144" s="19"/>
      <c r="F144" s="19"/>
      <c r="G144" s="19"/>
      <c r="I144" s="19" t="s">
        <v>315</v>
      </c>
      <c r="J144" s="19"/>
      <c r="K144" s="19"/>
      <c r="L144" s="19"/>
      <c r="M144" s="19"/>
      <c r="N144" s="11"/>
      <c r="O144" s="11"/>
      <c r="P144" s="11"/>
      <c r="Q144" s="11"/>
      <c r="R144" s="1"/>
      <c r="S144" s="19" t="s">
        <v>314</v>
      </c>
      <c r="T144" s="19"/>
      <c r="U144" s="19"/>
      <c r="V144" s="19"/>
      <c r="W144" s="19"/>
      <c r="X144" s="19"/>
      <c r="Y144" s="19"/>
      <c r="AA144" s="19" t="s">
        <v>315</v>
      </c>
      <c r="AB144" s="19"/>
      <c r="AC144" s="19"/>
      <c r="AD144" s="19"/>
      <c r="AE144" s="19"/>
      <c r="AF144" s="11"/>
      <c r="AG144" s="11"/>
      <c r="AH144" s="11"/>
      <c r="AI144" s="11"/>
      <c r="AJ144" s="1"/>
      <c r="AK144" s="19" t="s">
        <v>314</v>
      </c>
      <c r="AL144" s="19"/>
      <c r="AM144" s="19"/>
      <c r="AN144" s="19"/>
      <c r="AO144" s="19"/>
      <c r="AP144" s="19"/>
      <c r="AQ144" s="19"/>
      <c r="AS144" s="19" t="s">
        <v>315</v>
      </c>
      <c r="AT144" s="19"/>
      <c r="AU144" s="19"/>
      <c r="AV144" s="19"/>
      <c r="AW144" s="19"/>
      <c r="AX144" s="11"/>
      <c r="AY144" s="11"/>
      <c r="AZ144" s="11"/>
      <c r="BA144" s="11"/>
      <c r="BB144" s="1"/>
      <c r="BC144" s="19" t="s">
        <v>314</v>
      </c>
      <c r="BD144" s="19"/>
      <c r="BE144" s="19"/>
      <c r="BF144" s="19"/>
      <c r="BG144" s="19"/>
      <c r="BH144" s="19"/>
      <c r="BI144" s="19"/>
      <c r="BK144" s="19" t="s">
        <v>315</v>
      </c>
      <c r="BL144" s="19"/>
      <c r="BM144" s="19"/>
      <c r="BN144" s="19"/>
      <c r="BO144" s="19"/>
    </row>
    <row r="145" spans="1:71" x14ac:dyDescent="0.3">
      <c r="A145" s="19" t="s">
        <v>70</v>
      </c>
      <c r="B145" s="19"/>
      <c r="C145" s="19"/>
      <c r="D145" s="19"/>
      <c r="E145" s="19"/>
      <c r="F145" s="19"/>
      <c r="G145" s="19"/>
      <c r="I145" s="19" t="s">
        <v>70</v>
      </c>
      <c r="J145" s="19"/>
      <c r="K145" s="19"/>
      <c r="L145" s="19"/>
      <c r="M145" s="19"/>
      <c r="N145" s="11"/>
      <c r="O145" s="11"/>
      <c r="P145" s="11"/>
      <c r="Q145" s="11"/>
      <c r="R145" s="1"/>
      <c r="S145" s="19" t="s">
        <v>71</v>
      </c>
      <c r="T145" s="19"/>
      <c r="U145" s="19"/>
      <c r="V145" s="19"/>
      <c r="W145" s="19"/>
      <c r="X145" s="19"/>
      <c r="Y145" s="19"/>
      <c r="AA145" s="19" t="s">
        <v>71</v>
      </c>
      <c r="AB145" s="19"/>
      <c r="AC145" s="19"/>
      <c r="AD145" s="19"/>
      <c r="AE145" s="19"/>
      <c r="AF145" s="11"/>
      <c r="AG145" s="11"/>
      <c r="AH145" s="11"/>
      <c r="AI145" s="11"/>
      <c r="AJ145" s="1"/>
      <c r="AK145" s="19" t="s">
        <v>70</v>
      </c>
      <c r="AL145" s="19"/>
      <c r="AM145" s="19"/>
      <c r="AN145" s="19"/>
      <c r="AO145" s="19"/>
      <c r="AP145" s="19"/>
      <c r="AQ145" s="19"/>
      <c r="AS145" s="19" t="s">
        <v>70</v>
      </c>
      <c r="AT145" s="19"/>
      <c r="AU145" s="19"/>
      <c r="AV145" s="19"/>
      <c r="AW145" s="19"/>
      <c r="AX145" s="11"/>
      <c r="AY145" s="11"/>
      <c r="AZ145" s="11"/>
      <c r="BA145" s="11"/>
      <c r="BB145" s="1"/>
      <c r="BC145" s="19" t="s">
        <v>71</v>
      </c>
      <c r="BD145" s="19"/>
      <c r="BE145" s="19"/>
      <c r="BF145" s="19"/>
      <c r="BG145" s="19"/>
      <c r="BH145" s="19"/>
      <c r="BI145" s="19"/>
      <c r="BK145" s="19" t="s">
        <v>71</v>
      </c>
      <c r="BL145" s="19"/>
      <c r="BM145" s="19"/>
      <c r="BN145" s="19"/>
      <c r="BO145" s="19"/>
    </row>
    <row r="146" spans="1:71" x14ac:dyDescent="0.3">
      <c r="A146" s="3" t="s">
        <v>2</v>
      </c>
      <c r="B146" s="3" t="s">
        <v>3</v>
      </c>
      <c r="C146" s="3" t="s">
        <v>4</v>
      </c>
      <c r="D146" s="3" t="s">
        <v>5</v>
      </c>
      <c r="E146" s="3" t="s">
        <v>6</v>
      </c>
      <c r="F146" s="3" t="s">
        <v>7</v>
      </c>
      <c r="G146" s="3" t="s">
        <v>8</v>
      </c>
      <c r="I146" s="3" t="s">
        <v>2</v>
      </c>
      <c r="J146" s="3" t="s">
        <v>6</v>
      </c>
      <c r="K146" s="3" t="s">
        <v>7</v>
      </c>
      <c r="L146" s="3" t="s">
        <v>8</v>
      </c>
      <c r="M146" s="3" t="s">
        <v>9</v>
      </c>
      <c r="N146" s="3" t="s">
        <v>322</v>
      </c>
      <c r="O146" s="3" t="s">
        <v>323</v>
      </c>
      <c r="P146" s="3" t="s">
        <v>322</v>
      </c>
      <c r="Q146" s="3" t="s">
        <v>323</v>
      </c>
      <c r="R146" s="1"/>
      <c r="S146" s="3" t="s">
        <v>2</v>
      </c>
      <c r="T146" s="3" t="s">
        <v>3</v>
      </c>
      <c r="U146" s="3" t="s">
        <v>4</v>
      </c>
      <c r="V146" s="3" t="s">
        <v>5</v>
      </c>
      <c r="W146" s="3" t="s">
        <v>6</v>
      </c>
      <c r="X146" s="3" t="s">
        <v>7</v>
      </c>
      <c r="Y146" s="3" t="s">
        <v>8</v>
      </c>
      <c r="AA146" s="3" t="s">
        <v>2</v>
      </c>
      <c r="AB146" s="3" t="s">
        <v>6</v>
      </c>
      <c r="AC146" s="3" t="s">
        <v>7</v>
      </c>
      <c r="AD146" s="3" t="s">
        <v>8</v>
      </c>
      <c r="AE146" s="3" t="s">
        <v>9</v>
      </c>
      <c r="AF146" s="3" t="s">
        <v>322</v>
      </c>
      <c r="AG146" s="3" t="s">
        <v>323</v>
      </c>
      <c r="AH146" s="3" t="s">
        <v>322</v>
      </c>
      <c r="AI146" s="3" t="s">
        <v>323</v>
      </c>
      <c r="AJ146" s="1"/>
      <c r="AK146" s="3" t="s">
        <v>2</v>
      </c>
      <c r="AL146" s="3" t="s">
        <v>3</v>
      </c>
      <c r="AM146" s="3" t="s">
        <v>4</v>
      </c>
      <c r="AN146" s="3" t="s">
        <v>5</v>
      </c>
      <c r="AO146" s="3" t="s">
        <v>6</v>
      </c>
      <c r="AP146" s="3" t="s">
        <v>7</v>
      </c>
      <c r="AQ146" s="3" t="s">
        <v>8</v>
      </c>
      <c r="AS146" s="3" t="s">
        <v>2</v>
      </c>
      <c r="AT146" s="3" t="s">
        <v>6</v>
      </c>
      <c r="AU146" s="3" t="s">
        <v>7</v>
      </c>
      <c r="AV146" s="3" t="s">
        <v>8</v>
      </c>
      <c r="AW146" s="3" t="s">
        <v>9</v>
      </c>
      <c r="AX146" s="3" t="s">
        <v>322</v>
      </c>
      <c r="AY146" s="3" t="s">
        <v>323</v>
      </c>
      <c r="AZ146" s="3" t="s">
        <v>322</v>
      </c>
      <c r="BA146" s="3" t="s">
        <v>323</v>
      </c>
      <c r="BB146" s="1"/>
      <c r="BC146" s="3" t="s">
        <v>2</v>
      </c>
      <c r="BD146" s="3" t="s">
        <v>3</v>
      </c>
      <c r="BE146" s="3" t="s">
        <v>4</v>
      </c>
      <c r="BF146" s="3" t="s">
        <v>5</v>
      </c>
      <c r="BG146" s="3" t="s">
        <v>6</v>
      </c>
      <c r="BH146" s="3" t="s">
        <v>7</v>
      </c>
      <c r="BI146" s="3" t="s">
        <v>8</v>
      </c>
      <c r="BK146" s="3" t="s">
        <v>2</v>
      </c>
      <c r="BL146" s="3" t="s">
        <v>6</v>
      </c>
      <c r="BM146" s="3" t="s">
        <v>7</v>
      </c>
      <c r="BN146" s="3" t="s">
        <v>8</v>
      </c>
      <c r="BO146" s="3" t="s">
        <v>9</v>
      </c>
      <c r="BP146" s="3" t="s">
        <v>322</v>
      </c>
      <c r="BQ146" s="3" t="s">
        <v>323</v>
      </c>
      <c r="BR146" s="3" t="s">
        <v>322</v>
      </c>
      <c r="BS146" s="3" t="s">
        <v>323</v>
      </c>
    </row>
    <row r="147" spans="1:71" x14ac:dyDescent="0.3">
      <c r="A147" s="3" t="s">
        <v>74</v>
      </c>
      <c r="B147" s="3">
        <v>0.9</v>
      </c>
      <c r="C147" s="3">
        <v>0.5</v>
      </c>
      <c r="D147" s="3">
        <v>0.6</v>
      </c>
      <c r="E147" s="3">
        <v>0.3</v>
      </c>
      <c r="F147" s="6">
        <v>404.11584499999998</v>
      </c>
      <c r="G147" s="3">
        <v>1E-3</v>
      </c>
      <c r="I147" s="3" t="s">
        <v>74</v>
      </c>
      <c r="J147" s="3">
        <v>0.3</v>
      </c>
      <c r="K147" s="7">
        <v>405.61071800000002</v>
      </c>
      <c r="L147" s="3">
        <v>0</v>
      </c>
      <c r="M147" s="3">
        <f t="shared" ref="M147:M176" si="16">AVERAGE(E147,J147)</f>
        <v>0.3</v>
      </c>
      <c r="N147" s="4" t="s">
        <v>320</v>
      </c>
      <c r="O147" s="4" t="s">
        <v>320</v>
      </c>
      <c r="P147" s="4" t="s">
        <v>321</v>
      </c>
      <c r="Q147" s="4" t="s">
        <v>321</v>
      </c>
      <c r="R147" s="1"/>
      <c r="S147" s="3" t="s">
        <v>74</v>
      </c>
      <c r="T147" s="3">
        <v>0.9</v>
      </c>
      <c r="U147" s="3">
        <v>0.5</v>
      </c>
      <c r="V147" s="3">
        <v>0.6</v>
      </c>
      <c r="W147" s="3">
        <v>0.36</v>
      </c>
      <c r="X147" s="6">
        <v>379.26654100000002</v>
      </c>
      <c r="Y147" s="3">
        <v>0</v>
      </c>
      <c r="AA147" s="3" t="s">
        <v>74</v>
      </c>
      <c r="AB147" s="3">
        <v>0.32</v>
      </c>
      <c r="AC147" s="7">
        <v>385.20059199999997</v>
      </c>
      <c r="AD147" s="3">
        <v>0</v>
      </c>
      <c r="AE147" s="3">
        <f t="shared" ref="AE147:AE176" si="17">AVERAGE(V147,AB147)</f>
        <v>0.45999999999999996</v>
      </c>
      <c r="AF147" s="4" t="s">
        <v>320</v>
      </c>
      <c r="AG147" s="4" t="s">
        <v>320</v>
      </c>
      <c r="AH147" s="4" t="s">
        <v>321</v>
      </c>
      <c r="AI147" s="4" t="s">
        <v>321</v>
      </c>
      <c r="AJ147" s="1"/>
      <c r="AK147" s="3" t="s">
        <v>75</v>
      </c>
      <c r="AL147" s="3">
        <v>0.9</v>
      </c>
      <c r="AM147" s="3">
        <v>0.5</v>
      </c>
      <c r="AN147" s="3">
        <v>0.6</v>
      </c>
      <c r="AO147" s="3">
        <v>0.3</v>
      </c>
      <c r="AP147" s="6">
        <v>740.92761199999995</v>
      </c>
      <c r="AQ147" s="3">
        <v>6.0000000000000001E-3</v>
      </c>
      <c r="AS147" s="3" t="s">
        <v>75</v>
      </c>
      <c r="AT147" s="3">
        <v>0.3</v>
      </c>
      <c r="AU147" s="7">
        <v>743.12609899999995</v>
      </c>
      <c r="AV147" s="3">
        <v>1E-3</v>
      </c>
      <c r="AW147" s="3">
        <f t="shared" ref="AW147:AW176" si="18">AVERAGE(AO147,AT147)</f>
        <v>0.3</v>
      </c>
      <c r="AX147" s="4" t="s">
        <v>320</v>
      </c>
      <c r="AY147" s="4" t="s">
        <v>320</v>
      </c>
      <c r="AZ147" s="4" t="s">
        <v>321</v>
      </c>
      <c r="BA147" s="4" t="s">
        <v>321</v>
      </c>
      <c r="BB147" s="1"/>
      <c r="BC147" s="3" t="s">
        <v>75</v>
      </c>
      <c r="BD147" s="3">
        <v>0.9</v>
      </c>
      <c r="BE147" s="3">
        <v>0.5</v>
      </c>
      <c r="BF147" s="3">
        <v>0.6</v>
      </c>
      <c r="BG147" s="3">
        <v>0.31</v>
      </c>
      <c r="BH147" s="6">
        <v>707.48303199999998</v>
      </c>
      <c r="BI147" s="3">
        <v>4.0000000000000001E-3</v>
      </c>
      <c r="BK147" s="3" t="s">
        <v>75</v>
      </c>
      <c r="BL147" s="3">
        <v>0.3</v>
      </c>
      <c r="BM147" s="7">
        <v>721.42999299999997</v>
      </c>
      <c r="BN147" s="3">
        <v>0</v>
      </c>
      <c r="BO147" s="3">
        <f t="shared" ref="BO147:BO176" si="19">AVERAGE(BG147,BL147)</f>
        <v>0.30499999999999999</v>
      </c>
      <c r="BP147" s="4" t="s">
        <v>320</v>
      </c>
      <c r="BQ147" s="4" t="s">
        <v>320</v>
      </c>
      <c r="BR147" s="4" t="s">
        <v>321</v>
      </c>
      <c r="BS147" s="4" t="s">
        <v>321</v>
      </c>
    </row>
    <row r="148" spans="1:71" x14ac:dyDescent="0.3">
      <c r="A148" s="3" t="s">
        <v>76</v>
      </c>
      <c r="B148" s="3">
        <v>0.9</v>
      </c>
      <c r="C148" s="3">
        <v>0.5</v>
      </c>
      <c r="D148" s="3">
        <v>0.6</v>
      </c>
      <c r="E148" s="3">
        <v>0.31</v>
      </c>
      <c r="F148" s="6">
        <v>442.72726399999999</v>
      </c>
      <c r="G148" s="3">
        <v>1E-3</v>
      </c>
      <c r="I148" s="3" t="s">
        <v>76</v>
      </c>
      <c r="J148" s="3">
        <v>0.32</v>
      </c>
      <c r="K148" s="7">
        <v>443.53234900000001</v>
      </c>
      <c r="L148" s="3">
        <v>0</v>
      </c>
      <c r="M148" s="3">
        <f t="shared" si="16"/>
        <v>0.315</v>
      </c>
      <c r="N148" s="3">
        <f>COUNT(F147:F149,F152:F153,F155,F158,F161,F163:F167,F171:F172)</f>
        <v>15</v>
      </c>
      <c r="O148" s="3">
        <f>30-N148</f>
        <v>15</v>
      </c>
      <c r="P148" s="3">
        <f>COUNT(K150:K151,K154,K156:K157,K159:K160,K162:K163,K168:K171,K173:K176)</f>
        <v>17</v>
      </c>
      <c r="Q148" s="3">
        <f>30-P148</f>
        <v>13</v>
      </c>
      <c r="R148" s="1"/>
      <c r="S148" s="3" t="s">
        <v>76</v>
      </c>
      <c r="T148" s="3">
        <v>0.9</v>
      </c>
      <c r="U148" s="3">
        <v>0.5</v>
      </c>
      <c r="V148" s="3">
        <v>0.6</v>
      </c>
      <c r="W148" s="3">
        <v>0.3</v>
      </c>
      <c r="X148" s="6">
        <v>413.67385899999999</v>
      </c>
      <c r="Y148" s="3">
        <v>1E-3</v>
      </c>
      <c r="AA148" s="3" t="s">
        <v>76</v>
      </c>
      <c r="AB148" s="3">
        <v>0.37</v>
      </c>
      <c r="AC148" s="7">
        <v>416.55395499999997</v>
      </c>
      <c r="AD148" s="3">
        <v>0</v>
      </c>
      <c r="AE148" s="3">
        <f t="shared" si="17"/>
        <v>0.48499999999999999</v>
      </c>
      <c r="AF148" s="3">
        <f>COUNT(X147:X151,X155:X157,X161:X162,X164,X166:X168,X171,X175:X176)</f>
        <v>17</v>
      </c>
      <c r="AG148" s="3">
        <f>30-AF148</f>
        <v>13</v>
      </c>
      <c r="AH148" s="3">
        <f>COUNT(AC151:AC154,AC158:AC160,AC163,AC165,AC169:AC170,AC172:AC174)</f>
        <v>14</v>
      </c>
      <c r="AI148" s="3">
        <f>30-AH148</f>
        <v>16</v>
      </c>
      <c r="AJ148" s="1"/>
      <c r="AK148" s="3" t="s">
        <v>77</v>
      </c>
      <c r="AL148" s="3">
        <v>0.9</v>
      </c>
      <c r="AM148" s="3">
        <v>0.5</v>
      </c>
      <c r="AN148" s="3">
        <v>0.6</v>
      </c>
      <c r="AO148" s="3">
        <v>0.34</v>
      </c>
      <c r="AP148" s="6">
        <v>820.79418899999996</v>
      </c>
      <c r="AQ148" s="3">
        <v>6.0000000000000001E-3</v>
      </c>
      <c r="AS148" s="3" t="s">
        <v>77</v>
      </c>
      <c r="AT148" s="3">
        <v>0.3</v>
      </c>
      <c r="AU148" s="7">
        <v>833.32104500000003</v>
      </c>
      <c r="AV148" s="3">
        <v>1E-3</v>
      </c>
      <c r="AW148" s="3">
        <f t="shared" si="18"/>
        <v>0.32</v>
      </c>
      <c r="AX148" s="3">
        <f>COUNT(AP147:AP148,AP150:AP151,AP153:AP154,AP159:AP160,AP162,AP164:AP169,AP171:AP172,AP174:AP176)</f>
        <v>20</v>
      </c>
      <c r="AY148" s="3">
        <f>30-AX148</f>
        <v>10</v>
      </c>
      <c r="AZ148" s="3">
        <f>COUNT(AU149,AU151:AU152,AU155:AU158,AU161,AU163,AU170,AU173)</f>
        <v>11</v>
      </c>
      <c r="BA148" s="3">
        <f>30-AZ148</f>
        <v>19</v>
      </c>
      <c r="BB148" s="1"/>
      <c r="BC148" s="3" t="s">
        <v>77</v>
      </c>
      <c r="BD148" s="3">
        <v>0.9</v>
      </c>
      <c r="BE148" s="3">
        <v>0.5</v>
      </c>
      <c r="BF148" s="3">
        <v>0.6</v>
      </c>
      <c r="BG148" s="3">
        <v>0.32</v>
      </c>
      <c r="BH148" s="6">
        <v>778.41570999999999</v>
      </c>
      <c r="BI148" s="3">
        <v>5.0000000000000001E-3</v>
      </c>
      <c r="BK148" s="3" t="s">
        <v>77</v>
      </c>
      <c r="BL148" s="3">
        <v>0.3</v>
      </c>
      <c r="BM148" s="7">
        <v>818.462219</v>
      </c>
      <c r="BN148" s="3">
        <v>0</v>
      </c>
      <c r="BO148" s="3">
        <f t="shared" si="19"/>
        <v>0.31</v>
      </c>
      <c r="BP148" s="3">
        <f>COUNT(BH147:BH148,BH152:BH153,BH156:BH157,BH163:BH164,BH167:BH168,BH173:BH176)</f>
        <v>14</v>
      </c>
      <c r="BQ148" s="3">
        <f>30-BP148</f>
        <v>16</v>
      </c>
      <c r="BR148" s="3">
        <f>COUNT(BM149:BM151,BM154:BM155,BM158:BM162,BM165:BM166,BM169:BM172)</f>
        <v>16</v>
      </c>
      <c r="BS148" s="3">
        <f>30-BR148</f>
        <v>14</v>
      </c>
    </row>
    <row r="149" spans="1:71" x14ac:dyDescent="0.3">
      <c r="A149" s="3" t="s">
        <v>78</v>
      </c>
      <c r="B149" s="3">
        <v>0.9</v>
      </c>
      <c r="C149" s="3">
        <v>0.5</v>
      </c>
      <c r="D149" s="3">
        <v>0.6</v>
      </c>
      <c r="E149" s="3">
        <v>0.3</v>
      </c>
      <c r="F149" s="6">
        <v>430.92837500000002</v>
      </c>
      <c r="G149" s="3">
        <v>1E-3</v>
      </c>
      <c r="I149" s="3" t="s">
        <v>78</v>
      </c>
      <c r="J149" s="3">
        <v>0.37</v>
      </c>
      <c r="K149" s="7">
        <v>432.68515000000002</v>
      </c>
      <c r="L149" s="3">
        <v>0</v>
      </c>
      <c r="M149" s="3">
        <f t="shared" si="16"/>
        <v>0.33499999999999996</v>
      </c>
      <c r="N149" s="5"/>
      <c r="O149" s="5"/>
      <c r="P149" s="5"/>
      <c r="Q149" s="5"/>
      <c r="R149" s="1"/>
      <c r="S149" s="3" t="s">
        <v>78</v>
      </c>
      <c r="T149" s="3">
        <v>0.9</v>
      </c>
      <c r="U149" s="3">
        <v>0.5</v>
      </c>
      <c r="V149" s="3">
        <v>0.6</v>
      </c>
      <c r="W149" s="3">
        <v>0.33</v>
      </c>
      <c r="X149" s="6">
        <v>405.70871</v>
      </c>
      <c r="Y149" s="3">
        <v>1E-3</v>
      </c>
      <c r="AA149" s="3" t="s">
        <v>78</v>
      </c>
      <c r="AB149" s="3">
        <v>0.32</v>
      </c>
      <c r="AC149" s="7">
        <v>406.29434199999997</v>
      </c>
      <c r="AD149" s="3">
        <v>0</v>
      </c>
      <c r="AE149" s="3">
        <f t="shared" si="17"/>
        <v>0.45999999999999996</v>
      </c>
      <c r="AF149" s="5"/>
      <c r="AG149" s="5"/>
      <c r="AH149" s="5"/>
      <c r="AI149" s="5"/>
      <c r="AJ149" s="1"/>
      <c r="AK149" s="3" t="s">
        <v>79</v>
      </c>
      <c r="AL149" s="3">
        <v>0.9</v>
      </c>
      <c r="AM149" s="3">
        <v>0.5</v>
      </c>
      <c r="AN149" s="3">
        <v>0.6</v>
      </c>
      <c r="AO149" s="3">
        <v>0.3</v>
      </c>
      <c r="AP149" s="7">
        <v>809.052368</v>
      </c>
      <c r="AQ149" s="3">
        <v>7.0000000000000001E-3</v>
      </c>
      <c r="AS149" s="3" t="s">
        <v>79</v>
      </c>
      <c r="AT149" s="3">
        <v>0.31</v>
      </c>
      <c r="AU149" s="6">
        <v>792.82482900000002</v>
      </c>
      <c r="AV149" s="3">
        <v>0</v>
      </c>
      <c r="AW149" s="3">
        <f t="shared" si="18"/>
        <v>0.30499999999999999</v>
      </c>
      <c r="AX149" s="5"/>
      <c r="AY149" s="5"/>
      <c r="AZ149" s="5"/>
      <c r="BA149" s="5"/>
      <c r="BB149" s="1"/>
      <c r="BC149" s="3" t="s">
        <v>79</v>
      </c>
      <c r="BD149" s="3">
        <v>0.9</v>
      </c>
      <c r="BE149" s="3">
        <v>0.5</v>
      </c>
      <c r="BF149" s="3">
        <v>0.6</v>
      </c>
      <c r="BG149" s="3">
        <v>0.31</v>
      </c>
      <c r="BH149" s="7">
        <v>768.84368900000004</v>
      </c>
      <c r="BI149" s="3">
        <v>4.0000000000000001E-3</v>
      </c>
      <c r="BK149" s="3" t="s">
        <v>79</v>
      </c>
      <c r="BL149" s="3">
        <v>0.31</v>
      </c>
      <c r="BM149" s="6">
        <v>766.91876200000002</v>
      </c>
      <c r="BN149" s="3">
        <v>0</v>
      </c>
      <c r="BO149" s="3">
        <f t="shared" si="19"/>
        <v>0.31</v>
      </c>
    </row>
    <row r="150" spans="1:71" x14ac:dyDescent="0.3">
      <c r="A150" s="3" t="s">
        <v>80</v>
      </c>
      <c r="B150" s="3">
        <v>0.9</v>
      </c>
      <c r="C150" s="3">
        <v>0.5</v>
      </c>
      <c r="D150" s="3">
        <v>0.6</v>
      </c>
      <c r="E150" s="3">
        <v>0.36</v>
      </c>
      <c r="F150" s="7">
        <v>469.467804</v>
      </c>
      <c r="G150" s="3">
        <v>1E-3</v>
      </c>
      <c r="I150" s="3" t="s">
        <v>80</v>
      </c>
      <c r="J150" s="3">
        <v>0.38</v>
      </c>
      <c r="K150" s="6">
        <v>458.30954000000003</v>
      </c>
      <c r="L150" s="3">
        <v>0</v>
      </c>
      <c r="M150" s="3">
        <f t="shared" si="16"/>
        <v>0.37</v>
      </c>
      <c r="N150" s="5"/>
      <c r="O150" s="5"/>
      <c r="P150" s="5"/>
      <c r="Q150" s="5"/>
      <c r="R150" s="1"/>
      <c r="S150" s="3" t="s">
        <v>80</v>
      </c>
      <c r="T150" s="3">
        <v>0.9</v>
      </c>
      <c r="U150" s="3">
        <v>0.5</v>
      </c>
      <c r="V150" s="3">
        <v>0.6</v>
      </c>
      <c r="W150" s="3">
        <v>0.34</v>
      </c>
      <c r="X150" s="6">
        <v>424.53918499999997</v>
      </c>
      <c r="Y150" s="3">
        <v>1E-3</v>
      </c>
      <c r="AA150" s="3" t="s">
        <v>80</v>
      </c>
      <c r="AB150" s="3">
        <v>0.31</v>
      </c>
      <c r="AC150" s="7">
        <v>427.39132699999999</v>
      </c>
      <c r="AD150" s="3">
        <v>0</v>
      </c>
      <c r="AE150" s="3">
        <f t="shared" si="17"/>
        <v>0.45499999999999996</v>
      </c>
      <c r="AF150" s="5"/>
      <c r="AG150" s="5"/>
      <c r="AH150" s="5"/>
      <c r="AI150" s="5"/>
      <c r="AJ150" s="1"/>
      <c r="AK150" s="3" t="s">
        <v>81</v>
      </c>
      <c r="AL150" s="3">
        <v>0.9</v>
      </c>
      <c r="AM150" s="3">
        <v>0.5</v>
      </c>
      <c r="AN150" s="3">
        <v>0.6</v>
      </c>
      <c r="AO150" s="3">
        <v>0.32</v>
      </c>
      <c r="AP150" s="6">
        <v>754.72351100000003</v>
      </c>
      <c r="AQ150" s="3">
        <v>5.0000000000000001E-3</v>
      </c>
      <c r="AS150" s="3" t="s">
        <v>81</v>
      </c>
      <c r="AT150" s="3">
        <v>0.3</v>
      </c>
      <c r="AU150" s="7">
        <v>755.61132799999996</v>
      </c>
      <c r="AV150" s="3">
        <v>0</v>
      </c>
      <c r="AW150" s="3">
        <f t="shared" si="18"/>
        <v>0.31</v>
      </c>
      <c r="AX150" s="5"/>
      <c r="AY150" s="5"/>
      <c r="AZ150" s="5"/>
      <c r="BA150" s="5"/>
      <c r="BB150" s="1"/>
      <c r="BC150" s="3" t="s">
        <v>81</v>
      </c>
      <c r="BD150" s="3">
        <v>0.9</v>
      </c>
      <c r="BE150" s="3">
        <v>0.5</v>
      </c>
      <c r="BF150" s="3">
        <v>0.6</v>
      </c>
      <c r="BG150" s="3">
        <v>0.31</v>
      </c>
      <c r="BH150" s="7">
        <v>717.15136700000005</v>
      </c>
      <c r="BI150" s="3">
        <v>4.0000000000000001E-3</v>
      </c>
      <c r="BK150" s="3" t="s">
        <v>81</v>
      </c>
      <c r="BL150" s="3">
        <v>0.31</v>
      </c>
      <c r="BM150" s="6">
        <v>711.89257799999996</v>
      </c>
      <c r="BN150" s="3">
        <v>0</v>
      </c>
      <c r="BO150" s="3">
        <f t="shared" si="19"/>
        <v>0.31</v>
      </c>
    </row>
    <row r="151" spans="1:71" x14ac:dyDescent="0.3">
      <c r="A151" s="3" t="s">
        <v>82</v>
      </c>
      <c r="B151" s="3">
        <v>0.9</v>
      </c>
      <c r="C151" s="3">
        <v>0.5</v>
      </c>
      <c r="D151" s="3">
        <v>0.6</v>
      </c>
      <c r="E151" s="3">
        <v>0.37</v>
      </c>
      <c r="F151" s="7">
        <v>429.70715300000001</v>
      </c>
      <c r="G151" s="3">
        <v>2E-3</v>
      </c>
      <c r="I151" s="3" t="s">
        <v>82</v>
      </c>
      <c r="J151" s="3">
        <v>0.32</v>
      </c>
      <c r="K151" s="6">
        <v>426.49679600000002</v>
      </c>
      <c r="L151" s="3">
        <v>0</v>
      </c>
      <c r="M151" s="3">
        <f t="shared" si="16"/>
        <v>0.34499999999999997</v>
      </c>
      <c r="N151" s="5"/>
      <c r="O151" s="5"/>
      <c r="P151" s="5"/>
      <c r="Q151" s="5"/>
      <c r="R151" s="1"/>
      <c r="S151" s="3" t="s">
        <v>82</v>
      </c>
      <c r="T151" s="3">
        <v>0.9</v>
      </c>
      <c r="U151" s="3">
        <v>0.5</v>
      </c>
      <c r="V151" s="3">
        <v>0.6</v>
      </c>
      <c r="W151" s="3">
        <v>0.36</v>
      </c>
      <c r="X151" s="6">
        <v>407.24176</v>
      </c>
      <c r="Y151" s="3">
        <v>2E-3</v>
      </c>
      <c r="AA151" s="3" t="s">
        <v>82</v>
      </c>
      <c r="AB151" s="3">
        <v>0.31</v>
      </c>
      <c r="AC151" s="8">
        <v>407.44702100000001</v>
      </c>
      <c r="AD151" s="3">
        <v>0</v>
      </c>
      <c r="AE151" s="3">
        <f t="shared" si="17"/>
        <v>0.45499999999999996</v>
      </c>
      <c r="AF151" s="5"/>
      <c r="AG151" s="5"/>
      <c r="AH151" s="5"/>
      <c r="AI151" s="5"/>
      <c r="AJ151" s="1"/>
      <c r="AK151" s="3" t="s">
        <v>83</v>
      </c>
      <c r="AL151" s="3">
        <v>0.9</v>
      </c>
      <c r="AM151" s="3">
        <v>0.5</v>
      </c>
      <c r="AN151" s="3">
        <v>0.6</v>
      </c>
      <c r="AO151" s="3">
        <v>0.35</v>
      </c>
      <c r="AP151" s="6">
        <v>775.46264599999995</v>
      </c>
      <c r="AQ151" s="3">
        <v>6.0000000000000001E-3</v>
      </c>
      <c r="AS151" s="3" t="s">
        <v>83</v>
      </c>
      <c r="AT151" s="3">
        <v>0.33</v>
      </c>
      <c r="AU151" s="8">
        <v>775.569031</v>
      </c>
      <c r="AV151" s="3">
        <v>0</v>
      </c>
      <c r="AW151" s="3">
        <f t="shared" si="18"/>
        <v>0.33999999999999997</v>
      </c>
      <c r="AX151" s="5"/>
      <c r="AY151" s="5"/>
      <c r="AZ151" s="5"/>
      <c r="BA151" s="5"/>
      <c r="BB151" s="1"/>
      <c r="BC151" s="3" t="s">
        <v>83</v>
      </c>
      <c r="BD151" s="3">
        <v>0.9</v>
      </c>
      <c r="BE151" s="3">
        <v>0.5</v>
      </c>
      <c r="BF151" s="3">
        <v>0.6</v>
      </c>
      <c r="BG151" s="3">
        <v>0.33</v>
      </c>
      <c r="BH151" s="7">
        <v>744.37591599999996</v>
      </c>
      <c r="BI151" s="3">
        <v>4.0000000000000001E-3</v>
      </c>
      <c r="BK151" s="3" t="s">
        <v>83</v>
      </c>
      <c r="BL151" s="3">
        <v>0.32</v>
      </c>
      <c r="BM151" s="6">
        <v>731.41192599999999</v>
      </c>
      <c r="BN151" s="3">
        <v>1E-3</v>
      </c>
      <c r="BO151" s="3">
        <f t="shared" si="19"/>
        <v>0.32500000000000001</v>
      </c>
    </row>
    <row r="152" spans="1:71" x14ac:dyDescent="0.3">
      <c r="A152" s="3" t="s">
        <v>84</v>
      </c>
      <c r="B152" s="3">
        <v>0.9</v>
      </c>
      <c r="C152" s="3">
        <v>0.5</v>
      </c>
      <c r="D152" s="3">
        <v>0.6</v>
      </c>
      <c r="E152" s="3">
        <v>0.35</v>
      </c>
      <c r="F152" s="6">
        <v>537.17108199999996</v>
      </c>
      <c r="G152" s="3">
        <v>1E-3</v>
      </c>
      <c r="I152" s="3" t="s">
        <v>84</v>
      </c>
      <c r="J152" s="3">
        <v>0.31</v>
      </c>
      <c r="K152" s="7">
        <v>544.66973900000005</v>
      </c>
      <c r="L152" s="3">
        <v>0</v>
      </c>
      <c r="M152" s="3">
        <f t="shared" si="16"/>
        <v>0.32999999999999996</v>
      </c>
      <c r="N152" s="5"/>
      <c r="O152" s="5"/>
      <c r="P152" s="5"/>
      <c r="Q152" s="5"/>
      <c r="R152" s="1"/>
      <c r="S152" s="3" t="s">
        <v>84</v>
      </c>
      <c r="T152" s="3">
        <v>0.9</v>
      </c>
      <c r="U152" s="3">
        <v>0.5</v>
      </c>
      <c r="V152" s="3">
        <v>0.6</v>
      </c>
      <c r="W152" s="3">
        <v>0.31</v>
      </c>
      <c r="X152" s="7">
        <v>506.08660900000001</v>
      </c>
      <c r="Y152" s="3">
        <v>1E-3</v>
      </c>
      <c r="AA152" s="3" t="s">
        <v>84</v>
      </c>
      <c r="AB152" s="3">
        <v>0.3</v>
      </c>
      <c r="AC152" s="6">
        <v>502.00460800000002</v>
      </c>
      <c r="AD152" s="3">
        <v>0</v>
      </c>
      <c r="AE152" s="3">
        <f t="shared" si="17"/>
        <v>0.44999999999999996</v>
      </c>
      <c r="AF152" s="5"/>
      <c r="AG152" s="5"/>
      <c r="AH152" s="5"/>
      <c r="AI152" s="5"/>
      <c r="AJ152" s="1"/>
      <c r="AK152" s="3" t="s">
        <v>85</v>
      </c>
      <c r="AL152" s="3">
        <v>0.9</v>
      </c>
      <c r="AM152" s="3">
        <v>0.5</v>
      </c>
      <c r="AN152" s="3">
        <v>0.6</v>
      </c>
      <c r="AO152" s="3">
        <v>0.31</v>
      </c>
      <c r="AP152" s="7">
        <v>914.57281499999999</v>
      </c>
      <c r="AQ152" s="3">
        <v>1.2E-2</v>
      </c>
      <c r="AS152" s="3" t="s">
        <v>85</v>
      </c>
      <c r="AT152" s="3">
        <v>0.3</v>
      </c>
      <c r="AU152" s="6">
        <v>893.17193599999996</v>
      </c>
      <c r="AV152" s="3">
        <v>1E-3</v>
      </c>
      <c r="AW152" s="3">
        <f t="shared" si="18"/>
        <v>0.30499999999999999</v>
      </c>
      <c r="AX152" s="5"/>
      <c r="AY152" s="5"/>
      <c r="AZ152" s="5"/>
      <c r="BA152" s="5"/>
      <c r="BB152" s="1"/>
      <c r="BC152" s="3" t="s">
        <v>85</v>
      </c>
      <c r="BD152" s="3">
        <v>0.9</v>
      </c>
      <c r="BE152" s="3">
        <v>0.5</v>
      </c>
      <c r="BF152" s="3">
        <v>0.6</v>
      </c>
      <c r="BG152" s="3">
        <v>0.33</v>
      </c>
      <c r="BH152" s="6">
        <v>875.89587400000005</v>
      </c>
      <c r="BI152" s="3">
        <v>6.0000000000000001E-3</v>
      </c>
      <c r="BK152" s="3" t="s">
        <v>85</v>
      </c>
      <c r="BL152" s="3">
        <v>0.3</v>
      </c>
      <c r="BM152" s="7">
        <v>881.85693400000002</v>
      </c>
      <c r="BN152" s="3">
        <v>1E-3</v>
      </c>
      <c r="BO152" s="3">
        <f t="shared" si="19"/>
        <v>0.315</v>
      </c>
    </row>
    <row r="153" spans="1:71" x14ac:dyDescent="0.3">
      <c r="A153" s="3" t="s">
        <v>86</v>
      </c>
      <c r="B153" s="3">
        <v>0.9</v>
      </c>
      <c r="C153" s="3">
        <v>0.5</v>
      </c>
      <c r="D153" s="3">
        <v>0.6</v>
      </c>
      <c r="E153" s="3">
        <v>0.32</v>
      </c>
      <c r="F153" s="6">
        <v>575.388733</v>
      </c>
      <c r="G153" s="3">
        <v>1E-3</v>
      </c>
      <c r="I153" s="3" t="s">
        <v>86</v>
      </c>
      <c r="J153" s="3">
        <v>0.32</v>
      </c>
      <c r="K153" s="7">
        <v>581.76092500000004</v>
      </c>
      <c r="L153" s="3">
        <v>0</v>
      </c>
      <c r="M153" s="3">
        <f t="shared" si="16"/>
        <v>0.32</v>
      </c>
      <c r="N153" s="5"/>
      <c r="O153" s="5"/>
      <c r="P153" s="5"/>
      <c r="Q153" s="5"/>
      <c r="R153" s="1"/>
      <c r="S153" s="3" t="s">
        <v>86</v>
      </c>
      <c r="T153" s="3">
        <v>0.9</v>
      </c>
      <c r="U153" s="3">
        <v>0.5</v>
      </c>
      <c r="V153" s="3">
        <v>0.6</v>
      </c>
      <c r="W153" s="3">
        <v>0.3</v>
      </c>
      <c r="X153" s="7">
        <v>553.70422399999995</v>
      </c>
      <c r="Y153" s="3">
        <v>1E-3</v>
      </c>
      <c r="AA153" s="3" t="s">
        <v>86</v>
      </c>
      <c r="AB153" s="3">
        <v>0.33</v>
      </c>
      <c r="AC153" s="6">
        <v>549.40014599999995</v>
      </c>
      <c r="AD153" s="3">
        <v>0</v>
      </c>
      <c r="AE153" s="3">
        <f t="shared" si="17"/>
        <v>0.46499999999999997</v>
      </c>
      <c r="AF153" s="5"/>
      <c r="AG153" s="5"/>
      <c r="AH153" s="5"/>
      <c r="AI153" s="5"/>
      <c r="AJ153" s="1"/>
      <c r="AK153" s="3" t="s">
        <v>87</v>
      </c>
      <c r="AL153" s="3">
        <v>0.9</v>
      </c>
      <c r="AM153" s="3">
        <v>0.5</v>
      </c>
      <c r="AN153" s="3">
        <v>0.6</v>
      </c>
      <c r="AO153" s="3">
        <v>0.3</v>
      </c>
      <c r="AP153" s="6">
        <v>807.087402</v>
      </c>
      <c r="AQ153" s="3">
        <v>8.9999999999999993E-3</v>
      </c>
      <c r="AS153" s="3" t="s">
        <v>87</v>
      </c>
      <c r="AT153" s="3">
        <v>0.39</v>
      </c>
      <c r="AU153" s="7">
        <v>832.18505900000002</v>
      </c>
      <c r="AV153" s="3">
        <v>1E-3</v>
      </c>
      <c r="AW153" s="3">
        <f t="shared" si="18"/>
        <v>0.34499999999999997</v>
      </c>
      <c r="AX153" s="5"/>
      <c r="AY153" s="5"/>
      <c r="AZ153" s="5"/>
      <c r="BA153" s="5"/>
      <c r="BB153" s="1"/>
      <c r="BC153" s="3" t="s">
        <v>87</v>
      </c>
      <c r="BD153" s="3">
        <v>0.9</v>
      </c>
      <c r="BE153" s="3">
        <v>0.5</v>
      </c>
      <c r="BF153" s="3">
        <v>0.6</v>
      </c>
      <c r="BG153" s="3">
        <v>0.3</v>
      </c>
      <c r="BH153" s="6">
        <v>776.323669</v>
      </c>
      <c r="BI153" s="3">
        <v>4.0000000000000001E-3</v>
      </c>
      <c r="BK153" s="3" t="s">
        <v>87</v>
      </c>
      <c r="BL153" s="3">
        <v>0.31</v>
      </c>
      <c r="BM153" s="7">
        <v>801.707764</v>
      </c>
      <c r="BN153" s="3">
        <v>0</v>
      </c>
      <c r="BO153" s="3">
        <f t="shared" si="19"/>
        <v>0.30499999999999999</v>
      </c>
    </row>
    <row r="154" spans="1:71" x14ac:dyDescent="0.3">
      <c r="A154" s="3" t="s">
        <v>88</v>
      </c>
      <c r="B154" s="3">
        <v>0.9</v>
      </c>
      <c r="C154" s="3">
        <v>0.5</v>
      </c>
      <c r="D154" s="3">
        <v>0.6</v>
      </c>
      <c r="E154" s="3">
        <v>0.3</v>
      </c>
      <c r="F154" s="7">
        <v>506.49737499999998</v>
      </c>
      <c r="G154" s="3">
        <v>1E-3</v>
      </c>
      <c r="I154" s="3" t="s">
        <v>88</v>
      </c>
      <c r="J154" s="3">
        <v>0.31</v>
      </c>
      <c r="K154" s="6">
        <v>500.21829200000002</v>
      </c>
      <c r="L154" s="3">
        <v>0</v>
      </c>
      <c r="M154" s="3">
        <f t="shared" si="16"/>
        <v>0.30499999999999999</v>
      </c>
      <c r="N154" s="5"/>
      <c r="O154" s="5"/>
      <c r="P154" s="5"/>
      <c r="Q154" s="5"/>
      <c r="R154" s="1"/>
      <c r="S154" s="3" t="s">
        <v>88</v>
      </c>
      <c r="T154" s="3">
        <v>0.9</v>
      </c>
      <c r="U154" s="3">
        <v>0.5</v>
      </c>
      <c r="V154" s="3">
        <v>0.6</v>
      </c>
      <c r="W154" s="3">
        <v>0.41</v>
      </c>
      <c r="X154" s="7">
        <v>469.24456800000002</v>
      </c>
      <c r="Y154" s="3">
        <v>2E-3</v>
      </c>
      <c r="AA154" s="3" t="s">
        <v>88</v>
      </c>
      <c r="AB154" s="3">
        <v>0.31</v>
      </c>
      <c r="AC154" s="6">
        <v>450.33960000000002</v>
      </c>
      <c r="AD154" s="3">
        <v>0</v>
      </c>
      <c r="AE154" s="3">
        <f t="shared" si="17"/>
        <v>0.45499999999999996</v>
      </c>
      <c r="AF154" s="5"/>
      <c r="AG154" s="5"/>
      <c r="AH154" s="5"/>
      <c r="AI154" s="5"/>
      <c r="AJ154" s="1"/>
      <c r="AK154" s="3" t="s">
        <v>89</v>
      </c>
      <c r="AL154" s="3">
        <v>0.9</v>
      </c>
      <c r="AM154" s="3">
        <v>0.5</v>
      </c>
      <c r="AN154" s="3">
        <v>0.6</v>
      </c>
      <c r="AO154" s="3">
        <v>0.32</v>
      </c>
      <c r="AP154" s="6">
        <v>818.59716800000001</v>
      </c>
      <c r="AQ154" s="3">
        <v>7.0000000000000001E-3</v>
      </c>
      <c r="AS154" s="3" t="s">
        <v>89</v>
      </c>
      <c r="AT154" s="3">
        <v>0.34</v>
      </c>
      <c r="AU154" s="7">
        <v>820.71716300000003</v>
      </c>
      <c r="AV154" s="3">
        <v>0</v>
      </c>
      <c r="AW154" s="3">
        <f t="shared" si="18"/>
        <v>0.33</v>
      </c>
      <c r="AX154" s="5"/>
      <c r="AY154" s="5"/>
      <c r="AZ154" s="5"/>
      <c r="BA154" s="5"/>
      <c r="BB154" s="1"/>
      <c r="BC154" s="3" t="s">
        <v>89</v>
      </c>
      <c r="BD154" s="3">
        <v>0.9</v>
      </c>
      <c r="BE154" s="3">
        <v>0.5</v>
      </c>
      <c r="BF154" s="3">
        <v>0.6</v>
      </c>
      <c r="BG154" s="3">
        <v>0.31</v>
      </c>
      <c r="BH154" s="7">
        <v>811.46765100000005</v>
      </c>
      <c r="BI154" s="3">
        <v>5.0000000000000001E-3</v>
      </c>
      <c r="BK154" s="3" t="s">
        <v>89</v>
      </c>
      <c r="BL154" s="3">
        <v>0.3</v>
      </c>
      <c r="BM154" s="6">
        <v>772.72576900000001</v>
      </c>
      <c r="BN154" s="3">
        <v>1E-3</v>
      </c>
      <c r="BO154" s="3">
        <f t="shared" si="19"/>
        <v>0.30499999999999999</v>
      </c>
    </row>
    <row r="155" spans="1:71" x14ac:dyDescent="0.3">
      <c r="A155" s="3" t="s">
        <v>90</v>
      </c>
      <c r="B155" s="3">
        <v>0.9</v>
      </c>
      <c r="C155" s="3">
        <v>0.5</v>
      </c>
      <c r="D155" s="3">
        <v>0.6</v>
      </c>
      <c r="E155" s="3">
        <v>0.32</v>
      </c>
      <c r="F155" s="6">
        <v>434.68905599999999</v>
      </c>
      <c r="G155" s="3">
        <v>0</v>
      </c>
      <c r="I155" s="3" t="s">
        <v>90</v>
      </c>
      <c r="J155" s="3">
        <v>0.32</v>
      </c>
      <c r="K155" s="7">
        <v>454.36660799999999</v>
      </c>
      <c r="L155" s="3">
        <v>0</v>
      </c>
      <c r="M155" s="3">
        <f t="shared" si="16"/>
        <v>0.32</v>
      </c>
      <c r="N155" s="5"/>
      <c r="O155" s="5"/>
      <c r="P155" s="5"/>
      <c r="Q155" s="5"/>
      <c r="R155" s="1"/>
      <c r="S155" s="3" t="s">
        <v>90</v>
      </c>
      <c r="T155" s="3">
        <v>0.9</v>
      </c>
      <c r="U155" s="3">
        <v>0.5</v>
      </c>
      <c r="V155" s="3">
        <v>0.6</v>
      </c>
      <c r="W155" s="3">
        <v>0.3</v>
      </c>
      <c r="X155" s="6">
        <v>425.32205199999999</v>
      </c>
      <c r="Y155" s="3">
        <v>1E-3</v>
      </c>
      <c r="AA155" s="3" t="s">
        <v>90</v>
      </c>
      <c r="AB155" s="3">
        <v>0.3</v>
      </c>
      <c r="AC155" s="7">
        <v>426.54363999999998</v>
      </c>
      <c r="AD155" s="3">
        <v>0</v>
      </c>
      <c r="AE155" s="3">
        <f t="shared" si="17"/>
        <v>0.44999999999999996</v>
      </c>
      <c r="AF155" s="5"/>
      <c r="AG155" s="5"/>
      <c r="AH155" s="5"/>
      <c r="AI155" s="5"/>
      <c r="AJ155" s="1"/>
      <c r="AK155" s="3" t="s">
        <v>91</v>
      </c>
      <c r="AL155" s="3">
        <v>0.9</v>
      </c>
      <c r="AM155" s="3">
        <v>0.5</v>
      </c>
      <c r="AN155" s="3">
        <v>0.6</v>
      </c>
      <c r="AO155" s="3">
        <v>0.3</v>
      </c>
      <c r="AP155" s="7">
        <v>817.78961200000003</v>
      </c>
      <c r="AQ155" s="3">
        <v>5.0000000000000001E-3</v>
      </c>
      <c r="AS155" s="3" t="s">
        <v>91</v>
      </c>
      <c r="AT155" s="3">
        <v>0.3</v>
      </c>
      <c r="AU155" s="6">
        <v>816.49285899999995</v>
      </c>
      <c r="AV155" s="3">
        <v>1E-3</v>
      </c>
      <c r="AW155" s="3">
        <f t="shared" si="18"/>
        <v>0.3</v>
      </c>
      <c r="AX155" s="5"/>
      <c r="AY155" s="5"/>
      <c r="AZ155" s="5"/>
      <c r="BA155" s="5"/>
      <c r="BB155" s="1"/>
      <c r="BC155" s="3" t="s">
        <v>91</v>
      </c>
      <c r="BD155" s="3">
        <v>0.9</v>
      </c>
      <c r="BE155" s="3">
        <v>0.5</v>
      </c>
      <c r="BF155" s="3">
        <v>0.6</v>
      </c>
      <c r="BG155" s="3">
        <v>0.34</v>
      </c>
      <c r="BH155" s="7">
        <v>779.92028800000003</v>
      </c>
      <c r="BI155" s="3">
        <v>5.0000000000000001E-3</v>
      </c>
      <c r="BK155" s="3" t="s">
        <v>91</v>
      </c>
      <c r="BL155" s="3">
        <v>0.31</v>
      </c>
      <c r="BM155" s="6">
        <v>764.04870600000004</v>
      </c>
      <c r="BN155" s="3">
        <v>0</v>
      </c>
      <c r="BO155" s="3">
        <f t="shared" si="19"/>
        <v>0.32500000000000001</v>
      </c>
    </row>
    <row r="156" spans="1:71" x14ac:dyDescent="0.3">
      <c r="A156" s="3" t="s">
        <v>92</v>
      </c>
      <c r="B156" s="3">
        <v>0.9</v>
      </c>
      <c r="C156" s="3">
        <v>0.5</v>
      </c>
      <c r="D156" s="3">
        <v>0.6</v>
      </c>
      <c r="E156" s="3">
        <v>0.3</v>
      </c>
      <c r="F156" s="7">
        <v>568.74169900000004</v>
      </c>
      <c r="G156" s="3">
        <v>1E-3</v>
      </c>
      <c r="I156" s="3" t="s">
        <v>92</v>
      </c>
      <c r="J156" s="3">
        <v>0.42</v>
      </c>
      <c r="K156" s="6">
        <v>560.28790300000003</v>
      </c>
      <c r="L156" s="3">
        <v>0</v>
      </c>
      <c r="M156" s="3">
        <f t="shared" si="16"/>
        <v>0.36</v>
      </c>
      <c r="N156" s="5"/>
      <c r="O156" s="5"/>
      <c r="P156" s="5"/>
      <c r="Q156" s="5"/>
      <c r="R156" s="1"/>
      <c r="S156" s="3" t="s">
        <v>92</v>
      </c>
      <c r="T156" s="3">
        <v>0.9</v>
      </c>
      <c r="U156" s="3">
        <v>0.5</v>
      </c>
      <c r="V156" s="3">
        <v>0.6</v>
      </c>
      <c r="W156" s="3">
        <v>0.31</v>
      </c>
      <c r="X156" s="6">
        <v>538.08831799999996</v>
      </c>
      <c r="Y156" s="3">
        <v>1E-3</v>
      </c>
      <c r="AA156" s="3" t="s">
        <v>92</v>
      </c>
      <c r="AB156" s="3">
        <v>0.45</v>
      </c>
      <c r="AC156" s="7">
        <v>542.32305899999994</v>
      </c>
      <c r="AD156" s="3">
        <v>0</v>
      </c>
      <c r="AE156" s="3">
        <f t="shared" si="17"/>
        <v>0.52500000000000002</v>
      </c>
      <c r="AF156" s="5"/>
      <c r="AG156" s="5"/>
      <c r="AH156" s="5"/>
      <c r="AI156" s="5"/>
      <c r="AJ156" s="1"/>
      <c r="AK156" s="3" t="s">
        <v>93</v>
      </c>
      <c r="AL156" s="3">
        <v>0.9</v>
      </c>
      <c r="AM156" s="3">
        <v>0.5</v>
      </c>
      <c r="AN156" s="3">
        <v>0.6</v>
      </c>
      <c r="AO156" s="3">
        <v>0.32</v>
      </c>
      <c r="AP156" s="7">
        <v>763.55212400000005</v>
      </c>
      <c r="AQ156" s="3">
        <v>6.0000000000000001E-3</v>
      </c>
      <c r="AS156" s="3" t="s">
        <v>93</v>
      </c>
      <c r="AT156" s="3">
        <v>0.3</v>
      </c>
      <c r="AU156" s="6">
        <v>759.19940199999996</v>
      </c>
      <c r="AV156" s="3">
        <v>0</v>
      </c>
      <c r="AW156" s="3">
        <f t="shared" si="18"/>
        <v>0.31</v>
      </c>
      <c r="AX156" s="5"/>
      <c r="AY156" s="5"/>
      <c r="AZ156" s="5"/>
      <c r="BA156" s="5"/>
      <c r="BB156" s="1"/>
      <c r="BC156" s="3" t="s">
        <v>93</v>
      </c>
      <c r="BD156" s="3">
        <v>0.9</v>
      </c>
      <c r="BE156" s="3">
        <v>0.5</v>
      </c>
      <c r="BF156" s="3">
        <v>0.6</v>
      </c>
      <c r="BG156" s="3">
        <v>0.3</v>
      </c>
      <c r="BH156" s="6">
        <v>734.26715100000001</v>
      </c>
      <c r="BI156" s="3">
        <v>4.0000000000000001E-3</v>
      </c>
      <c r="BK156" s="3" t="s">
        <v>93</v>
      </c>
      <c r="BL156" s="3">
        <v>0.3</v>
      </c>
      <c r="BM156" s="7">
        <v>738.311646</v>
      </c>
      <c r="BN156" s="3">
        <v>0</v>
      </c>
      <c r="BO156" s="3">
        <f t="shared" si="19"/>
        <v>0.3</v>
      </c>
    </row>
    <row r="157" spans="1:71" x14ac:dyDescent="0.3">
      <c r="A157" s="3" t="s">
        <v>94</v>
      </c>
      <c r="B157" s="3">
        <v>0.9</v>
      </c>
      <c r="C157" s="3">
        <v>0.5</v>
      </c>
      <c r="D157" s="3">
        <v>0.6</v>
      </c>
      <c r="E157" s="3">
        <v>0.3</v>
      </c>
      <c r="F157" s="7">
        <v>491.68090799999999</v>
      </c>
      <c r="G157" s="3">
        <v>1E-3</v>
      </c>
      <c r="I157" s="3" t="s">
        <v>94</v>
      </c>
      <c r="J157" s="3">
        <v>0.39</v>
      </c>
      <c r="K157" s="6">
        <v>454.949524</v>
      </c>
      <c r="L157" s="3">
        <v>0</v>
      </c>
      <c r="M157" s="3">
        <f t="shared" si="16"/>
        <v>0.34499999999999997</v>
      </c>
      <c r="N157" s="5"/>
      <c r="O157" s="5"/>
      <c r="P157" s="5"/>
      <c r="Q157" s="5"/>
      <c r="R157" s="1"/>
      <c r="S157" s="3" t="s">
        <v>94</v>
      </c>
      <c r="T157" s="3">
        <v>0.9</v>
      </c>
      <c r="U157" s="3">
        <v>0.5</v>
      </c>
      <c r="V157" s="3">
        <v>0.6</v>
      </c>
      <c r="W157" s="3">
        <v>0.31</v>
      </c>
      <c r="X157" s="6">
        <v>447.151093</v>
      </c>
      <c r="Y157" s="3">
        <v>2E-3</v>
      </c>
      <c r="AA157" s="3" t="s">
        <v>94</v>
      </c>
      <c r="AB157" s="3">
        <v>0.33</v>
      </c>
      <c r="AC157" s="7">
        <v>468.143036</v>
      </c>
      <c r="AD157" s="3">
        <v>1E-3</v>
      </c>
      <c r="AE157" s="3">
        <f t="shared" si="17"/>
        <v>0.46499999999999997</v>
      </c>
      <c r="AF157" s="5"/>
      <c r="AG157" s="5"/>
      <c r="AH157" s="5"/>
      <c r="AI157" s="5"/>
      <c r="AJ157" s="1"/>
      <c r="AK157" s="3" t="s">
        <v>95</v>
      </c>
      <c r="AL157" s="3">
        <v>0.9</v>
      </c>
      <c r="AM157" s="3">
        <v>0.5</v>
      </c>
      <c r="AN157" s="3">
        <v>0.6</v>
      </c>
      <c r="AO157" s="3">
        <v>0.3</v>
      </c>
      <c r="AP157" s="7">
        <v>860.31951900000001</v>
      </c>
      <c r="AQ157" s="3">
        <v>6.0000000000000001E-3</v>
      </c>
      <c r="AS157" s="3" t="s">
        <v>95</v>
      </c>
      <c r="AT157" s="3">
        <v>0.3</v>
      </c>
      <c r="AU157" s="6">
        <v>830.34918200000004</v>
      </c>
      <c r="AV157" s="3">
        <v>1E-3</v>
      </c>
      <c r="AW157" s="3">
        <f t="shared" si="18"/>
        <v>0.3</v>
      </c>
      <c r="AX157" s="5"/>
      <c r="AY157" s="5"/>
      <c r="AZ157" s="5"/>
      <c r="BA157" s="5"/>
      <c r="BB157" s="1"/>
      <c r="BC157" s="3" t="s">
        <v>95</v>
      </c>
      <c r="BD157" s="3">
        <v>0.9</v>
      </c>
      <c r="BE157" s="3">
        <v>0.5</v>
      </c>
      <c r="BF157" s="3">
        <v>0.6</v>
      </c>
      <c r="BG157" s="3">
        <v>0.31</v>
      </c>
      <c r="BH157" s="6">
        <v>818.88415499999996</v>
      </c>
      <c r="BI157" s="3">
        <v>5.0000000000000001E-3</v>
      </c>
      <c r="BK157" s="3" t="s">
        <v>95</v>
      </c>
      <c r="BL157" s="3">
        <v>0.35</v>
      </c>
      <c r="BM157" s="7">
        <v>837.89306599999998</v>
      </c>
      <c r="BN157" s="3">
        <v>1E-3</v>
      </c>
      <c r="BO157" s="3">
        <f t="shared" si="19"/>
        <v>0.32999999999999996</v>
      </c>
    </row>
    <row r="158" spans="1:71" x14ac:dyDescent="0.3">
      <c r="A158" s="3" t="s">
        <v>96</v>
      </c>
      <c r="B158" s="3">
        <v>0.9</v>
      </c>
      <c r="C158" s="3">
        <v>0.5</v>
      </c>
      <c r="D158" s="3">
        <v>0.6</v>
      </c>
      <c r="E158" s="3">
        <v>0.3</v>
      </c>
      <c r="F158" s="6">
        <v>598.90344200000004</v>
      </c>
      <c r="G158" s="3">
        <v>1E-3</v>
      </c>
      <c r="I158" s="3" t="s">
        <v>96</v>
      </c>
      <c r="J158" s="3">
        <v>0.32</v>
      </c>
      <c r="K158" s="7">
        <v>599.59228499999995</v>
      </c>
      <c r="L158" s="3">
        <v>0</v>
      </c>
      <c r="M158" s="3">
        <f t="shared" si="16"/>
        <v>0.31</v>
      </c>
      <c r="N158" s="5"/>
      <c r="O158" s="5"/>
      <c r="P158" s="5"/>
      <c r="Q158" s="5"/>
      <c r="R158" s="1"/>
      <c r="S158" s="3" t="s">
        <v>96</v>
      </c>
      <c r="T158" s="3">
        <v>0.9</v>
      </c>
      <c r="U158" s="3">
        <v>0.5</v>
      </c>
      <c r="V158" s="3">
        <v>0.6</v>
      </c>
      <c r="W158" s="3">
        <v>0.32</v>
      </c>
      <c r="X158" s="7">
        <v>595.24273700000003</v>
      </c>
      <c r="Y158" s="3">
        <v>2E-3</v>
      </c>
      <c r="AA158" s="3" t="s">
        <v>96</v>
      </c>
      <c r="AB158" s="3">
        <v>0.37</v>
      </c>
      <c r="AC158" s="6">
        <v>579.32458499999996</v>
      </c>
      <c r="AD158" s="3">
        <v>0</v>
      </c>
      <c r="AE158" s="3">
        <f t="shared" si="17"/>
        <v>0.48499999999999999</v>
      </c>
      <c r="AF158" s="5"/>
      <c r="AG158" s="5"/>
      <c r="AH158" s="5"/>
      <c r="AI158" s="5"/>
      <c r="AJ158" s="1"/>
      <c r="AK158" s="3" t="s">
        <v>97</v>
      </c>
      <c r="AL158" s="3">
        <v>0.9</v>
      </c>
      <c r="AM158" s="3">
        <v>0.5</v>
      </c>
      <c r="AN158" s="3">
        <v>0.6</v>
      </c>
      <c r="AO158" s="3">
        <v>0.34</v>
      </c>
      <c r="AP158" s="7">
        <v>987.600281</v>
      </c>
      <c r="AQ158" s="3">
        <v>5.0000000000000001E-3</v>
      </c>
      <c r="AS158" s="3" t="s">
        <v>97</v>
      </c>
      <c r="AT158" s="3">
        <v>0.32</v>
      </c>
      <c r="AU158" s="6">
        <v>967.64324999999997</v>
      </c>
      <c r="AV158" s="3">
        <v>1E-3</v>
      </c>
      <c r="AW158" s="3">
        <f t="shared" si="18"/>
        <v>0.33</v>
      </c>
      <c r="AX158" s="5"/>
      <c r="AY158" s="5"/>
      <c r="AZ158" s="5"/>
      <c r="BA158" s="5"/>
      <c r="BB158" s="1"/>
      <c r="BC158" s="3" t="s">
        <v>97</v>
      </c>
      <c r="BD158" s="3">
        <v>0.9</v>
      </c>
      <c r="BE158" s="3">
        <v>0.5</v>
      </c>
      <c r="BF158" s="3">
        <v>0.6</v>
      </c>
      <c r="BG158" s="3">
        <v>0.31</v>
      </c>
      <c r="BH158" s="7">
        <v>976.24780299999998</v>
      </c>
      <c r="BI158" s="3">
        <v>7.0000000000000001E-3</v>
      </c>
      <c r="BK158" s="3" t="s">
        <v>97</v>
      </c>
      <c r="BL158" s="3">
        <v>0.32</v>
      </c>
      <c r="BM158" s="6">
        <v>971.44512899999995</v>
      </c>
      <c r="BN158" s="3">
        <v>0</v>
      </c>
      <c r="BO158" s="3">
        <f t="shared" si="19"/>
        <v>0.315</v>
      </c>
    </row>
    <row r="159" spans="1:71" x14ac:dyDescent="0.3">
      <c r="A159" s="3" t="s">
        <v>98</v>
      </c>
      <c r="B159" s="3">
        <v>0.9</v>
      </c>
      <c r="C159" s="3">
        <v>0.5</v>
      </c>
      <c r="D159" s="3">
        <v>0.6</v>
      </c>
      <c r="E159" s="3">
        <v>0.3</v>
      </c>
      <c r="F159" s="7">
        <v>495.15078699999998</v>
      </c>
      <c r="G159" s="3">
        <v>1E-3</v>
      </c>
      <c r="I159" s="3" t="s">
        <v>98</v>
      </c>
      <c r="J159" s="3">
        <v>0.35</v>
      </c>
      <c r="K159" s="6">
        <v>474.77023300000002</v>
      </c>
      <c r="L159" s="3">
        <v>0</v>
      </c>
      <c r="M159" s="3">
        <f t="shared" si="16"/>
        <v>0.32499999999999996</v>
      </c>
      <c r="N159" s="5"/>
      <c r="O159" s="5"/>
      <c r="P159" s="5"/>
      <c r="Q159" s="5"/>
      <c r="R159" s="1"/>
      <c r="S159" s="3" t="s">
        <v>98</v>
      </c>
      <c r="T159" s="3">
        <v>0.9</v>
      </c>
      <c r="U159" s="3">
        <v>0.5</v>
      </c>
      <c r="V159" s="3">
        <v>0.6</v>
      </c>
      <c r="W159" s="3">
        <v>0.43</v>
      </c>
      <c r="X159" s="7">
        <v>472.13714599999997</v>
      </c>
      <c r="Y159" s="3">
        <v>2E-3</v>
      </c>
      <c r="AA159" s="3" t="s">
        <v>98</v>
      </c>
      <c r="AB159" s="3">
        <v>0.33</v>
      </c>
      <c r="AC159" s="6">
        <v>466.083099</v>
      </c>
      <c r="AD159" s="3">
        <v>0</v>
      </c>
      <c r="AE159" s="3">
        <f t="shared" si="17"/>
        <v>0.46499999999999997</v>
      </c>
      <c r="AF159" s="5"/>
      <c r="AG159" s="5"/>
      <c r="AH159" s="5"/>
      <c r="AI159" s="5"/>
      <c r="AJ159" s="1"/>
      <c r="AK159" s="3" t="s">
        <v>99</v>
      </c>
      <c r="AL159" s="3">
        <v>0.9</v>
      </c>
      <c r="AM159" s="3">
        <v>0.5</v>
      </c>
      <c r="AN159" s="3">
        <v>0.6</v>
      </c>
      <c r="AO159" s="3">
        <v>0.35</v>
      </c>
      <c r="AP159" s="6">
        <v>948.69232199999999</v>
      </c>
      <c r="AQ159" s="3">
        <v>6.0000000000000001E-3</v>
      </c>
      <c r="AS159" s="3" t="s">
        <v>99</v>
      </c>
      <c r="AT159" s="3">
        <v>0.3</v>
      </c>
      <c r="AU159" s="7">
        <v>961.357483</v>
      </c>
      <c r="AV159" s="3">
        <v>1E-3</v>
      </c>
      <c r="AW159" s="3">
        <f t="shared" si="18"/>
        <v>0.32499999999999996</v>
      </c>
      <c r="AX159" s="5"/>
      <c r="AY159" s="5"/>
      <c r="AZ159" s="5"/>
      <c r="BA159" s="5"/>
      <c r="BB159" s="1"/>
      <c r="BC159" s="3" t="s">
        <v>99</v>
      </c>
      <c r="BD159" s="3">
        <v>0.9</v>
      </c>
      <c r="BE159" s="3">
        <v>0.5</v>
      </c>
      <c r="BF159" s="3">
        <v>0.6</v>
      </c>
      <c r="BG159" s="3">
        <v>0.31</v>
      </c>
      <c r="BH159" s="7">
        <v>939.76654099999996</v>
      </c>
      <c r="BI159" s="3">
        <v>5.0000000000000001E-3</v>
      </c>
      <c r="BK159" s="3" t="s">
        <v>99</v>
      </c>
      <c r="BL159" s="3">
        <v>0.31</v>
      </c>
      <c r="BM159" s="6">
        <v>918.39569100000006</v>
      </c>
      <c r="BN159" s="3">
        <v>1E-3</v>
      </c>
      <c r="BO159" s="3">
        <f t="shared" si="19"/>
        <v>0.31</v>
      </c>
    </row>
    <row r="160" spans="1:71" x14ac:dyDescent="0.3">
      <c r="A160" s="3" t="s">
        <v>100</v>
      </c>
      <c r="B160" s="3">
        <v>0.9</v>
      </c>
      <c r="C160" s="3">
        <v>0.5</v>
      </c>
      <c r="D160" s="3">
        <v>0.6</v>
      </c>
      <c r="E160" s="3">
        <v>0.34</v>
      </c>
      <c r="F160" s="7">
        <v>623.48120100000006</v>
      </c>
      <c r="G160" s="3">
        <v>1E-3</v>
      </c>
      <c r="I160" s="3" t="s">
        <v>100</v>
      </c>
      <c r="J160" s="3">
        <v>0.31</v>
      </c>
      <c r="K160" s="6">
        <v>621.153503</v>
      </c>
      <c r="L160" s="3">
        <v>1E-3</v>
      </c>
      <c r="M160" s="3">
        <f t="shared" si="16"/>
        <v>0.32500000000000001</v>
      </c>
      <c r="N160" s="5"/>
      <c r="O160" s="5"/>
      <c r="P160" s="5"/>
      <c r="Q160" s="5"/>
      <c r="R160" s="1"/>
      <c r="S160" s="3" t="s">
        <v>100</v>
      </c>
      <c r="T160" s="3">
        <v>0.9</v>
      </c>
      <c r="U160" s="3">
        <v>0.5</v>
      </c>
      <c r="V160" s="3">
        <v>0.6</v>
      </c>
      <c r="W160" s="3">
        <v>0.33</v>
      </c>
      <c r="X160" s="7">
        <v>617.18414299999995</v>
      </c>
      <c r="Y160" s="3">
        <v>2E-3</v>
      </c>
      <c r="AA160" s="3" t="s">
        <v>100</v>
      </c>
      <c r="AB160" s="3">
        <v>0.3</v>
      </c>
      <c r="AC160" s="6">
        <v>614.13324</v>
      </c>
      <c r="AD160" s="3">
        <v>0</v>
      </c>
      <c r="AE160" s="3">
        <f t="shared" si="17"/>
        <v>0.44999999999999996</v>
      </c>
      <c r="AF160" s="5"/>
      <c r="AG160" s="5"/>
      <c r="AH160" s="5"/>
      <c r="AI160" s="5"/>
      <c r="AJ160" s="1"/>
      <c r="AK160" s="3" t="s">
        <v>101</v>
      </c>
      <c r="AL160" s="3">
        <v>0.9</v>
      </c>
      <c r="AM160" s="3">
        <v>0.5</v>
      </c>
      <c r="AN160" s="3">
        <v>0.6</v>
      </c>
      <c r="AO160" s="3">
        <v>0.31</v>
      </c>
      <c r="AP160" s="6">
        <v>851.28832999999997</v>
      </c>
      <c r="AQ160" s="3">
        <v>5.0000000000000001E-3</v>
      </c>
      <c r="AS160" s="3" t="s">
        <v>101</v>
      </c>
      <c r="AT160" s="3">
        <v>0.33</v>
      </c>
      <c r="AU160" s="7">
        <v>859.08288600000003</v>
      </c>
      <c r="AV160" s="3">
        <v>1E-3</v>
      </c>
      <c r="AW160" s="3">
        <f t="shared" si="18"/>
        <v>0.32</v>
      </c>
      <c r="AX160" s="5"/>
      <c r="AY160" s="5"/>
      <c r="AZ160" s="5"/>
      <c r="BA160" s="5"/>
      <c r="BB160" s="1"/>
      <c r="BC160" s="3" t="s">
        <v>101</v>
      </c>
      <c r="BD160" s="3">
        <v>0.9</v>
      </c>
      <c r="BE160" s="3">
        <v>0.5</v>
      </c>
      <c r="BF160" s="3">
        <v>0.6</v>
      </c>
      <c r="BG160" s="3">
        <v>0.3</v>
      </c>
      <c r="BH160" s="7">
        <v>843.42797900000005</v>
      </c>
      <c r="BI160" s="3">
        <v>4.0000000000000001E-3</v>
      </c>
      <c r="BK160" s="3" t="s">
        <v>101</v>
      </c>
      <c r="BL160" s="3">
        <v>0.3</v>
      </c>
      <c r="BM160" s="6">
        <v>805.58331299999998</v>
      </c>
      <c r="BN160" s="3">
        <v>1E-3</v>
      </c>
      <c r="BO160" s="3">
        <f t="shared" si="19"/>
        <v>0.3</v>
      </c>
    </row>
    <row r="161" spans="1:67" x14ac:dyDescent="0.3">
      <c r="A161" s="3" t="s">
        <v>102</v>
      </c>
      <c r="B161" s="3">
        <v>0.9</v>
      </c>
      <c r="C161" s="3">
        <v>0.5</v>
      </c>
      <c r="D161" s="3">
        <v>0.6</v>
      </c>
      <c r="E161" s="3">
        <v>0.31</v>
      </c>
      <c r="F161" s="6">
        <v>609.95062299999995</v>
      </c>
      <c r="G161" s="3">
        <v>1E-3</v>
      </c>
      <c r="I161" s="3" t="s">
        <v>102</v>
      </c>
      <c r="J161" s="3">
        <v>0.32</v>
      </c>
      <c r="K161" s="7">
        <v>620.53637700000002</v>
      </c>
      <c r="L161" s="3">
        <v>0</v>
      </c>
      <c r="M161" s="3">
        <f t="shared" si="16"/>
        <v>0.315</v>
      </c>
      <c r="N161" s="5"/>
      <c r="O161" s="5"/>
      <c r="P161" s="5"/>
      <c r="Q161" s="5"/>
      <c r="R161" s="1"/>
      <c r="S161" s="3" t="s">
        <v>102</v>
      </c>
      <c r="T161" s="3">
        <v>0.9</v>
      </c>
      <c r="U161" s="3">
        <v>0.5</v>
      </c>
      <c r="V161" s="3">
        <v>0.6</v>
      </c>
      <c r="W161" s="3">
        <v>0.34</v>
      </c>
      <c r="X161" s="6">
        <v>607.58245799999997</v>
      </c>
      <c r="Y161" s="3">
        <v>1E-3</v>
      </c>
      <c r="AA161" s="3" t="s">
        <v>102</v>
      </c>
      <c r="AB161" s="3">
        <v>0.33</v>
      </c>
      <c r="AC161" s="7">
        <v>620.98956299999998</v>
      </c>
      <c r="AD161" s="3">
        <v>1E-3</v>
      </c>
      <c r="AE161" s="3">
        <f t="shared" si="17"/>
        <v>0.46499999999999997</v>
      </c>
      <c r="AF161" s="5"/>
      <c r="AG161" s="5"/>
      <c r="AH161" s="5"/>
      <c r="AI161" s="5"/>
      <c r="AJ161" s="1"/>
      <c r="AK161" s="3" t="s">
        <v>103</v>
      </c>
      <c r="AL161" s="3">
        <v>0.9</v>
      </c>
      <c r="AM161" s="3">
        <v>0.5</v>
      </c>
      <c r="AN161" s="3">
        <v>0.6</v>
      </c>
      <c r="AO161" s="3">
        <v>0.3</v>
      </c>
      <c r="AP161" s="7">
        <v>914.24310300000002</v>
      </c>
      <c r="AQ161" s="3">
        <v>6.0000000000000001E-3</v>
      </c>
      <c r="AS161" s="3" t="s">
        <v>103</v>
      </c>
      <c r="AT161" s="3">
        <v>0.3</v>
      </c>
      <c r="AU161" s="6">
        <v>892.65997300000004</v>
      </c>
      <c r="AV161" s="3">
        <v>1E-3</v>
      </c>
      <c r="AW161" s="3">
        <f t="shared" si="18"/>
        <v>0.3</v>
      </c>
      <c r="AX161" s="5"/>
      <c r="AY161" s="5"/>
      <c r="AZ161" s="5"/>
      <c r="BA161" s="5"/>
      <c r="BB161" s="1"/>
      <c r="BC161" s="3" t="s">
        <v>103</v>
      </c>
      <c r="BD161" s="3">
        <v>0.9</v>
      </c>
      <c r="BE161" s="3">
        <v>0.5</v>
      </c>
      <c r="BF161" s="3">
        <v>0.6</v>
      </c>
      <c r="BG161" s="3">
        <v>0.33</v>
      </c>
      <c r="BH161" s="7">
        <v>881.25317399999994</v>
      </c>
      <c r="BI161" s="3">
        <v>5.0000000000000001E-3</v>
      </c>
      <c r="BK161" s="3" t="s">
        <v>103</v>
      </c>
      <c r="BL161" s="3">
        <v>0.31</v>
      </c>
      <c r="BM161" s="6">
        <v>869.47222899999997</v>
      </c>
      <c r="BN161" s="3">
        <v>1E-3</v>
      </c>
      <c r="BO161" s="3">
        <f t="shared" si="19"/>
        <v>0.32</v>
      </c>
    </row>
    <row r="162" spans="1:67" x14ac:dyDescent="0.3">
      <c r="A162" s="3" t="s">
        <v>104</v>
      </c>
      <c r="B162" s="3">
        <v>0.9</v>
      </c>
      <c r="C162" s="3">
        <v>0.5</v>
      </c>
      <c r="D162" s="3">
        <v>0.6</v>
      </c>
      <c r="E162" s="3">
        <v>0.31</v>
      </c>
      <c r="F162" s="7">
        <v>614.06683299999997</v>
      </c>
      <c r="G162" s="3">
        <v>1E-3</v>
      </c>
      <c r="I162" s="3" t="s">
        <v>104</v>
      </c>
      <c r="J162" s="3">
        <v>0.33</v>
      </c>
      <c r="K162" s="6">
        <v>608.95275900000001</v>
      </c>
      <c r="L162" s="3">
        <v>0</v>
      </c>
      <c r="M162" s="3">
        <f t="shared" si="16"/>
        <v>0.32</v>
      </c>
      <c r="N162" s="5"/>
      <c r="O162" s="5"/>
      <c r="P162" s="5"/>
      <c r="Q162" s="5"/>
      <c r="R162" s="1"/>
      <c r="S162" s="3" t="s">
        <v>104</v>
      </c>
      <c r="T162" s="3">
        <v>0.9</v>
      </c>
      <c r="U162" s="3">
        <v>0.5</v>
      </c>
      <c r="V162" s="3">
        <v>0.6</v>
      </c>
      <c r="W162" s="3">
        <v>0.34</v>
      </c>
      <c r="X162" s="6">
        <v>603.28198199999997</v>
      </c>
      <c r="Y162" s="3">
        <v>1E-3</v>
      </c>
      <c r="AA162" s="3" t="s">
        <v>104</v>
      </c>
      <c r="AB162" s="3">
        <v>0.33</v>
      </c>
      <c r="AC162" s="7">
        <v>619.28826900000001</v>
      </c>
      <c r="AD162" s="3">
        <v>0</v>
      </c>
      <c r="AE162" s="3">
        <f t="shared" si="17"/>
        <v>0.46499999999999997</v>
      </c>
      <c r="AF162" s="5"/>
      <c r="AG162" s="5"/>
      <c r="AH162" s="5"/>
      <c r="AI162" s="5"/>
      <c r="AJ162" s="1"/>
      <c r="AK162" s="3" t="s">
        <v>105</v>
      </c>
      <c r="AL162" s="3">
        <v>0.9</v>
      </c>
      <c r="AM162" s="3">
        <v>0.5</v>
      </c>
      <c r="AN162" s="3">
        <v>0.6</v>
      </c>
      <c r="AO162" s="3">
        <v>0.32</v>
      </c>
      <c r="AP162" s="6">
        <v>1015.423584</v>
      </c>
      <c r="AQ162" s="3">
        <v>8.0000000000000002E-3</v>
      </c>
      <c r="AS162" s="3" t="s">
        <v>105</v>
      </c>
      <c r="AT162" s="3">
        <v>0.31</v>
      </c>
      <c r="AU162" s="7">
        <v>1018.526062</v>
      </c>
      <c r="AV162" s="3">
        <v>1E-3</v>
      </c>
      <c r="AW162" s="3">
        <f t="shared" si="18"/>
        <v>0.315</v>
      </c>
      <c r="AX162" s="5"/>
      <c r="AY162" s="5"/>
      <c r="AZ162" s="5"/>
      <c r="BA162" s="5"/>
      <c r="BB162" s="1"/>
      <c r="BC162" s="3" t="s">
        <v>105</v>
      </c>
      <c r="BD162" s="3">
        <v>0.9</v>
      </c>
      <c r="BE162" s="3">
        <v>0.5</v>
      </c>
      <c r="BF162" s="3">
        <v>0.6</v>
      </c>
      <c r="BG162" s="3">
        <v>0.31</v>
      </c>
      <c r="BH162" s="7">
        <v>1004.921082</v>
      </c>
      <c r="BI162" s="3">
        <v>5.0000000000000001E-3</v>
      </c>
      <c r="BK162" s="3" t="s">
        <v>105</v>
      </c>
      <c r="BL162" s="3">
        <v>0.31</v>
      </c>
      <c r="BM162" s="6">
        <v>983.85205099999996</v>
      </c>
      <c r="BN162" s="3">
        <v>0</v>
      </c>
      <c r="BO162" s="3">
        <f t="shared" si="19"/>
        <v>0.31</v>
      </c>
    </row>
    <row r="163" spans="1:67" x14ac:dyDescent="0.3">
      <c r="A163" s="3" t="s">
        <v>106</v>
      </c>
      <c r="B163" s="3">
        <v>0.9</v>
      </c>
      <c r="C163" s="3">
        <v>0.5</v>
      </c>
      <c r="D163" s="3">
        <v>0.6</v>
      </c>
      <c r="E163" s="3">
        <v>0.31</v>
      </c>
      <c r="F163" s="6">
        <v>564.21716300000003</v>
      </c>
      <c r="G163" s="3">
        <v>1E-3</v>
      </c>
      <c r="I163" s="3" t="s">
        <v>106</v>
      </c>
      <c r="J163" s="3">
        <v>0.31</v>
      </c>
      <c r="K163" s="8">
        <v>564.28564500000005</v>
      </c>
      <c r="L163" s="3">
        <v>0</v>
      </c>
      <c r="M163" s="3">
        <f t="shared" si="16"/>
        <v>0.31</v>
      </c>
      <c r="N163" s="5"/>
      <c r="O163" s="5"/>
      <c r="P163" s="5"/>
      <c r="Q163" s="5"/>
      <c r="R163" s="1"/>
      <c r="S163" s="3" t="s">
        <v>106</v>
      </c>
      <c r="T163" s="3">
        <v>0.9</v>
      </c>
      <c r="U163" s="3">
        <v>0.5</v>
      </c>
      <c r="V163" s="3">
        <v>0.6</v>
      </c>
      <c r="W163" s="3">
        <v>0.31</v>
      </c>
      <c r="X163" s="7">
        <v>572.47955300000001</v>
      </c>
      <c r="Y163" s="3">
        <v>1E-3</v>
      </c>
      <c r="AA163" s="3" t="s">
        <v>106</v>
      </c>
      <c r="AB163" s="3">
        <v>0.33</v>
      </c>
      <c r="AC163" s="6">
        <v>558.23455799999999</v>
      </c>
      <c r="AD163" s="3">
        <v>0</v>
      </c>
      <c r="AE163" s="3">
        <f t="shared" si="17"/>
        <v>0.46499999999999997</v>
      </c>
      <c r="AF163" s="5"/>
      <c r="AG163" s="5"/>
      <c r="AH163" s="5"/>
      <c r="AI163" s="5"/>
      <c r="AJ163" s="1"/>
      <c r="AK163" s="3" t="s">
        <v>107</v>
      </c>
      <c r="AL163" s="3">
        <v>0.9</v>
      </c>
      <c r="AM163" s="3">
        <v>0.5</v>
      </c>
      <c r="AN163" s="3">
        <v>0.6</v>
      </c>
      <c r="AO163" s="3">
        <v>0.34</v>
      </c>
      <c r="AP163" s="7">
        <v>1062.802612</v>
      </c>
      <c r="AQ163" s="3">
        <v>6.0000000000000001E-3</v>
      </c>
      <c r="AS163" s="3" t="s">
        <v>107</v>
      </c>
      <c r="AT163" s="3">
        <v>0.3</v>
      </c>
      <c r="AU163" s="6">
        <v>1059.4289550000001</v>
      </c>
      <c r="AV163" s="3">
        <v>1E-3</v>
      </c>
      <c r="AW163" s="3">
        <f t="shared" si="18"/>
        <v>0.32</v>
      </c>
      <c r="AX163" s="5"/>
      <c r="AY163" s="5"/>
      <c r="AZ163" s="5"/>
      <c r="BA163" s="5"/>
      <c r="BB163" s="1"/>
      <c r="BC163" s="3" t="s">
        <v>107</v>
      </c>
      <c r="BD163" s="3">
        <v>0.9</v>
      </c>
      <c r="BE163" s="3">
        <v>0.5</v>
      </c>
      <c r="BF163" s="3">
        <v>0.6</v>
      </c>
      <c r="BG163" s="3">
        <v>0.3</v>
      </c>
      <c r="BH163" s="6">
        <v>1027.905029</v>
      </c>
      <c r="BI163" s="3">
        <v>6.0000000000000001E-3</v>
      </c>
      <c r="BK163" s="3" t="s">
        <v>107</v>
      </c>
      <c r="BL163" s="3">
        <v>0.32</v>
      </c>
      <c r="BM163" s="7">
        <v>1032.0802000000001</v>
      </c>
      <c r="BN163" s="3">
        <v>1E-3</v>
      </c>
      <c r="BO163" s="3">
        <f t="shared" si="19"/>
        <v>0.31</v>
      </c>
    </row>
    <row r="164" spans="1:67" x14ac:dyDescent="0.3">
      <c r="A164" s="3" t="s">
        <v>108</v>
      </c>
      <c r="B164" s="3">
        <v>0.9</v>
      </c>
      <c r="C164" s="3">
        <v>0.5</v>
      </c>
      <c r="D164" s="3">
        <v>0.6</v>
      </c>
      <c r="E164" s="3">
        <v>0.31</v>
      </c>
      <c r="F164" s="6">
        <v>609.84387200000003</v>
      </c>
      <c r="G164" s="3">
        <v>1E-3</v>
      </c>
      <c r="I164" s="3" t="s">
        <v>108</v>
      </c>
      <c r="J164" s="3">
        <v>0.32</v>
      </c>
      <c r="K164" s="7">
        <v>617.52410899999995</v>
      </c>
      <c r="L164" s="3">
        <v>0</v>
      </c>
      <c r="M164" s="3">
        <f t="shared" si="16"/>
        <v>0.315</v>
      </c>
      <c r="N164" s="5"/>
      <c r="O164" s="5"/>
      <c r="P164" s="5"/>
      <c r="Q164" s="5"/>
      <c r="R164" s="1"/>
      <c r="S164" s="3" t="s">
        <v>108</v>
      </c>
      <c r="T164" s="3">
        <v>0.9</v>
      </c>
      <c r="U164" s="3">
        <v>0.5</v>
      </c>
      <c r="V164" s="3">
        <v>0.6</v>
      </c>
      <c r="W164" s="3">
        <v>0.32</v>
      </c>
      <c r="X164" s="6">
        <v>598.33752400000003</v>
      </c>
      <c r="Y164" s="3">
        <v>2E-3</v>
      </c>
      <c r="AA164" s="3" t="s">
        <v>108</v>
      </c>
      <c r="AB164" s="3">
        <v>0.32</v>
      </c>
      <c r="AC164" s="7">
        <v>603.63464399999998</v>
      </c>
      <c r="AD164" s="3">
        <v>0</v>
      </c>
      <c r="AE164" s="3">
        <f t="shared" si="17"/>
        <v>0.45999999999999996</v>
      </c>
      <c r="AF164" s="5"/>
      <c r="AG164" s="5"/>
      <c r="AH164" s="5"/>
      <c r="AI164" s="5"/>
      <c r="AJ164" s="1"/>
      <c r="AK164" s="3" t="s">
        <v>109</v>
      </c>
      <c r="AL164" s="3">
        <v>0.9</v>
      </c>
      <c r="AM164" s="3">
        <v>0.5</v>
      </c>
      <c r="AN164" s="3">
        <v>0.6</v>
      </c>
      <c r="AO164" s="3">
        <v>0.31</v>
      </c>
      <c r="AP164" s="6">
        <v>924.37371800000005</v>
      </c>
      <c r="AQ164" s="3">
        <v>5.0000000000000001E-3</v>
      </c>
      <c r="AS164" s="3" t="s">
        <v>109</v>
      </c>
      <c r="AT164" s="3">
        <v>0.31</v>
      </c>
      <c r="AU164" s="7">
        <v>935.257385</v>
      </c>
      <c r="AV164" s="3">
        <v>1E-3</v>
      </c>
      <c r="AW164" s="3">
        <f t="shared" si="18"/>
        <v>0.31</v>
      </c>
      <c r="AX164" s="5"/>
      <c r="AY164" s="5"/>
      <c r="AZ164" s="5"/>
      <c r="BA164" s="5"/>
      <c r="BB164" s="1"/>
      <c r="BC164" s="3" t="s">
        <v>109</v>
      </c>
      <c r="BD164" s="3">
        <v>0.9</v>
      </c>
      <c r="BE164" s="3">
        <v>0.5</v>
      </c>
      <c r="BF164" s="3">
        <v>0.6</v>
      </c>
      <c r="BG164" s="3">
        <v>0.3</v>
      </c>
      <c r="BH164" s="6">
        <v>914.49548300000004</v>
      </c>
      <c r="BI164" s="3">
        <v>5.0000000000000001E-3</v>
      </c>
      <c r="BK164" s="3" t="s">
        <v>109</v>
      </c>
      <c r="BL164" s="3">
        <v>0.31</v>
      </c>
      <c r="BM164" s="7">
        <v>923.51800500000002</v>
      </c>
      <c r="BN164" s="3">
        <v>1E-3</v>
      </c>
      <c r="BO164" s="3">
        <f t="shared" si="19"/>
        <v>0.30499999999999999</v>
      </c>
    </row>
    <row r="165" spans="1:67" x14ac:dyDescent="0.3">
      <c r="A165" s="3" t="s">
        <v>110</v>
      </c>
      <c r="B165" s="3">
        <v>0.9</v>
      </c>
      <c r="C165" s="3">
        <v>0.5</v>
      </c>
      <c r="D165" s="3">
        <v>0.6</v>
      </c>
      <c r="E165" s="3">
        <v>0.46</v>
      </c>
      <c r="F165" s="6">
        <v>585.01507600000002</v>
      </c>
      <c r="G165" s="3">
        <v>1E-3</v>
      </c>
      <c r="I165" s="3" t="s">
        <v>110</v>
      </c>
      <c r="J165" s="3">
        <v>0.33</v>
      </c>
      <c r="K165" s="7">
        <v>595.810608</v>
      </c>
      <c r="L165" s="3">
        <v>0</v>
      </c>
      <c r="M165" s="3">
        <f t="shared" si="16"/>
        <v>0.39500000000000002</v>
      </c>
      <c r="N165" s="5"/>
      <c r="O165" s="5"/>
      <c r="P165" s="5"/>
      <c r="Q165" s="5"/>
      <c r="R165" s="1"/>
      <c r="S165" s="3" t="s">
        <v>110</v>
      </c>
      <c r="T165" s="3">
        <v>0.9</v>
      </c>
      <c r="U165" s="3">
        <v>0.5</v>
      </c>
      <c r="V165" s="3">
        <v>0.6</v>
      </c>
      <c r="W165" s="3">
        <v>0.3</v>
      </c>
      <c r="X165" s="7">
        <v>594.47930899999994</v>
      </c>
      <c r="Y165" s="3">
        <v>1E-3</v>
      </c>
      <c r="AA165" s="3" t="s">
        <v>110</v>
      </c>
      <c r="AB165" s="3">
        <v>0.3</v>
      </c>
      <c r="AC165" s="6">
        <v>592.93280000000004</v>
      </c>
      <c r="AD165" s="3">
        <v>0</v>
      </c>
      <c r="AE165" s="3">
        <f t="shared" si="17"/>
        <v>0.44999999999999996</v>
      </c>
      <c r="AF165" s="5"/>
      <c r="AG165" s="5"/>
      <c r="AH165" s="5"/>
      <c r="AI165" s="5"/>
      <c r="AJ165" s="1"/>
      <c r="AK165" s="3" t="s">
        <v>111</v>
      </c>
      <c r="AL165" s="3">
        <v>0.9</v>
      </c>
      <c r="AM165" s="3">
        <v>0.5</v>
      </c>
      <c r="AN165" s="3">
        <v>0.6</v>
      </c>
      <c r="AO165" s="3">
        <v>0.31</v>
      </c>
      <c r="AP165" s="6">
        <v>999.56781000000001</v>
      </c>
      <c r="AQ165" s="3">
        <v>0.01</v>
      </c>
      <c r="AS165" s="3" t="s">
        <v>111</v>
      </c>
      <c r="AT165" s="3">
        <v>0.3</v>
      </c>
      <c r="AU165" s="7">
        <v>1025.9956050000001</v>
      </c>
      <c r="AV165" s="3">
        <v>1E-3</v>
      </c>
      <c r="AW165" s="3">
        <f t="shared" si="18"/>
        <v>0.30499999999999999</v>
      </c>
      <c r="AX165" s="5"/>
      <c r="AY165" s="5"/>
      <c r="AZ165" s="5"/>
      <c r="BA165" s="5"/>
      <c r="BB165" s="1"/>
      <c r="BC165" s="3" t="s">
        <v>111</v>
      </c>
      <c r="BD165" s="3">
        <v>0.9</v>
      </c>
      <c r="BE165" s="3">
        <v>0.5</v>
      </c>
      <c r="BF165" s="3">
        <v>0.6</v>
      </c>
      <c r="BG165" s="3">
        <v>0.31</v>
      </c>
      <c r="BH165" s="7">
        <v>1017.0591429999999</v>
      </c>
      <c r="BI165" s="3">
        <v>6.0000000000000001E-3</v>
      </c>
      <c r="BK165" s="3" t="s">
        <v>111</v>
      </c>
      <c r="BL165" s="3">
        <v>0.3</v>
      </c>
      <c r="BM165" s="6">
        <v>981.02856399999996</v>
      </c>
      <c r="BN165" s="3">
        <v>0</v>
      </c>
      <c r="BO165" s="3">
        <f t="shared" si="19"/>
        <v>0.30499999999999999</v>
      </c>
    </row>
    <row r="166" spans="1:67" x14ac:dyDescent="0.3">
      <c r="A166" s="3" t="s">
        <v>112</v>
      </c>
      <c r="B166" s="3">
        <v>0.9</v>
      </c>
      <c r="C166" s="3">
        <v>0.5</v>
      </c>
      <c r="D166" s="3">
        <v>0.6</v>
      </c>
      <c r="E166" s="3">
        <v>0.36</v>
      </c>
      <c r="F166" s="6">
        <v>472.01461799999998</v>
      </c>
      <c r="G166" s="3">
        <v>1E-3</v>
      </c>
      <c r="I166" s="3" t="s">
        <v>112</v>
      </c>
      <c r="J166" s="3">
        <v>0.36</v>
      </c>
      <c r="K166" s="7">
        <v>486.44055200000003</v>
      </c>
      <c r="L166" s="3">
        <v>1E-3</v>
      </c>
      <c r="M166" s="3">
        <f t="shared" si="16"/>
        <v>0.36</v>
      </c>
      <c r="N166" s="5"/>
      <c r="O166" s="5"/>
      <c r="P166" s="5"/>
      <c r="Q166" s="5"/>
      <c r="R166" s="1"/>
      <c r="S166" s="3" t="s">
        <v>112</v>
      </c>
      <c r="T166" s="3">
        <v>0.9</v>
      </c>
      <c r="U166" s="3">
        <v>0.5</v>
      </c>
      <c r="V166" s="3">
        <v>0.6</v>
      </c>
      <c r="W166" s="3">
        <v>0.3</v>
      </c>
      <c r="X166" s="6">
        <v>446.33166499999999</v>
      </c>
      <c r="Y166" s="3">
        <v>2E-3</v>
      </c>
      <c r="AA166" s="3" t="s">
        <v>112</v>
      </c>
      <c r="AB166" s="3">
        <v>0.3</v>
      </c>
      <c r="AC166" s="7">
        <v>458.24182100000002</v>
      </c>
      <c r="AD166" s="3">
        <v>0</v>
      </c>
      <c r="AE166" s="3">
        <f t="shared" si="17"/>
        <v>0.44999999999999996</v>
      </c>
      <c r="AF166" s="5"/>
      <c r="AG166" s="5"/>
      <c r="AH166" s="5"/>
      <c r="AI166" s="5"/>
      <c r="AJ166" s="1"/>
      <c r="AK166" s="3" t="s">
        <v>113</v>
      </c>
      <c r="AL166" s="3">
        <v>0.9</v>
      </c>
      <c r="AM166" s="3">
        <v>0.5</v>
      </c>
      <c r="AN166" s="3">
        <v>0.6</v>
      </c>
      <c r="AO166" s="3">
        <v>0.3</v>
      </c>
      <c r="AP166" s="6">
        <v>920.98638900000003</v>
      </c>
      <c r="AQ166" s="3">
        <v>5.0000000000000001E-3</v>
      </c>
      <c r="AS166" s="3" t="s">
        <v>113</v>
      </c>
      <c r="AT166" s="3">
        <v>0.3</v>
      </c>
      <c r="AU166" s="7">
        <v>941.16503899999998</v>
      </c>
      <c r="AV166" s="3">
        <v>0</v>
      </c>
      <c r="AW166" s="3">
        <f t="shared" si="18"/>
        <v>0.3</v>
      </c>
      <c r="AX166" s="5"/>
      <c r="AY166" s="5"/>
      <c r="AZ166" s="5"/>
      <c r="BA166" s="5"/>
      <c r="BB166" s="1"/>
      <c r="BC166" s="3" t="s">
        <v>113</v>
      </c>
      <c r="BD166" s="3">
        <v>0.9</v>
      </c>
      <c r="BE166" s="3">
        <v>0.5</v>
      </c>
      <c r="BF166" s="3">
        <v>0.6</v>
      </c>
      <c r="BG166" s="3">
        <v>0.31</v>
      </c>
      <c r="BH166" s="7">
        <v>928.340149</v>
      </c>
      <c r="BI166" s="3">
        <v>5.0000000000000001E-3</v>
      </c>
      <c r="BK166" s="3" t="s">
        <v>113</v>
      </c>
      <c r="BL166" s="3">
        <v>0.37</v>
      </c>
      <c r="BM166" s="6">
        <v>907.16210899999999</v>
      </c>
      <c r="BN166" s="3">
        <v>0</v>
      </c>
      <c r="BO166" s="3">
        <f t="shared" si="19"/>
        <v>0.33999999999999997</v>
      </c>
    </row>
    <row r="167" spans="1:67" x14ac:dyDescent="0.3">
      <c r="A167" s="3" t="s">
        <v>114</v>
      </c>
      <c r="B167" s="3">
        <v>0.9</v>
      </c>
      <c r="C167" s="3">
        <v>0.5</v>
      </c>
      <c r="D167" s="3">
        <v>0.6</v>
      </c>
      <c r="E167" s="3">
        <v>0.3</v>
      </c>
      <c r="F167" s="6">
        <v>602.620544</v>
      </c>
      <c r="G167" s="3">
        <v>1E-3</v>
      </c>
      <c r="I167" s="3" t="s">
        <v>114</v>
      </c>
      <c r="J167" s="3">
        <v>0.31</v>
      </c>
      <c r="K167" s="7">
        <v>618.13378899999998</v>
      </c>
      <c r="L167" s="3">
        <v>0</v>
      </c>
      <c r="M167" s="3">
        <f t="shared" si="16"/>
        <v>0.30499999999999999</v>
      </c>
      <c r="N167" s="5"/>
      <c r="O167" s="5"/>
      <c r="P167" s="5"/>
      <c r="Q167" s="5"/>
      <c r="R167" s="1"/>
      <c r="S167" s="3" t="s">
        <v>114</v>
      </c>
      <c r="T167" s="3">
        <v>0.9</v>
      </c>
      <c r="U167" s="3">
        <v>0.5</v>
      </c>
      <c r="V167" s="3">
        <v>0.6</v>
      </c>
      <c r="W167" s="3">
        <v>0.33</v>
      </c>
      <c r="X167" s="6">
        <v>597.57690400000001</v>
      </c>
      <c r="Y167" s="3">
        <v>1E-3</v>
      </c>
      <c r="AA167" s="3" t="s">
        <v>114</v>
      </c>
      <c r="AB167" s="3">
        <v>0.37</v>
      </c>
      <c r="AC167" s="7">
        <v>602.49786400000005</v>
      </c>
      <c r="AD167" s="3">
        <v>0</v>
      </c>
      <c r="AE167" s="3">
        <f t="shared" si="17"/>
        <v>0.48499999999999999</v>
      </c>
      <c r="AF167" s="5"/>
      <c r="AG167" s="5"/>
      <c r="AH167" s="5"/>
      <c r="AI167" s="5"/>
      <c r="AJ167" s="1"/>
      <c r="AK167" s="3" t="s">
        <v>115</v>
      </c>
      <c r="AL167" s="3">
        <v>0.9</v>
      </c>
      <c r="AM167" s="3">
        <v>0.5</v>
      </c>
      <c r="AN167" s="3">
        <v>0.6</v>
      </c>
      <c r="AO167" s="3">
        <v>0.34</v>
      </c>
      <c r="AP167" s="6">
        <v>1029.0471190000001</v>
      </c>
      <c r="AQ167" s="3">
        <v>6.0000000000000001E-3</v>
      </c>
      <c r="AS167" s="3" t="s">
        <v>115</v>
      </c>
      <c r="AT167" s="3">
        <v>0.37</v>
      </c>
      <c r="AU167" s="7">
        <v>1066.597534</v>
      </c>
      <c r="AV167" s="3">
        <v>2E-3</v>
      </c>
      <c r="AW167" s="3">
        <f t="shared" si="18"/>
        <v>0.35499999999999998</v>
      </c>
      <c r="AX167" s="5"/>
      <c r="AY167" s="5"/>
      <c r="AZ167" s="5"/>
      <c r="BA167" s="5"/>
      <c r="BB167" s="1"/>
      <c r="BC167" s="3" t="s">
        <v>115</v>
      </c>
      <c r="BD167" s="3">
        <v>0.9</v>
      </c>
      <c r="BE167" s="3">
        <v>0.5</v>
      </c>
      <c r="BF167" s="3">
        <v>0.6</v>
      </c>
      <c r="BG167" s="3">
        <v>0.3</v>
      </c>
      <c r="BH167" s="6">
        <v>1022.843628</v>
      </c>
      <c r="BI167" s="3">
        <v>6.0000000000000001E-3</v>
      </c>
      <c r="BK167" s="3" t="s">
        <v>115</v>
      </c>
      <c r="BL167" s="3">
        <v>0.31</v>
      </c>
      <c r="BM167" s="7">
        <v>1025.920288</v>
      </c>
      <c r="BN167" s="3">
        <v>1E-3</v>
      </c>
      <c r="BO167" s="3">
        <f t="shared" si="19"/>
        <v>0.30499999999999999</v>
      </c>
    </row>
    <row r="168" spans="1:67" x14ac:dyDescent="0.3">
      <c r="A168" s="3" t="s">
        <v>116</v>
      </c>
      <c r="B168" s="3">
        <v>0.9</v>
      </c>
      <c r="C168" s="3">
        <v>0.5</v>
      </c>
      <c r="D168" s="3">
        <v>0.6</v>
      </c>
      <c r="E168" s="3">
        <v>0.38</v>
      </c>
      <c r="F168" s="7">
        <v>664.10217299999999</v>
      </c>
      <c r="G168" s="3">
        <v>1E-3</v>
      </c>
      <c r="I168" s="3" t="s">
        <v>116</v>
      </c>
      <c r="J168" s="3">
        <v>0.3</v>
      </c>
      <c r="K168" s="6">
        <v>649.32495100000006</v>
      </c>
      <c r="L168" s="3">
        <v>0</v>
      </c>
      <c r="M168" s="3">
        <f t="shared" si="16"/>
        <v>0.33999999999999997</v>
      </c>
      <c r="N168" s="5"/>
      <c r="O168" s="5"/>
      <c r="P168" s="5"/>
      <c r="Q168" s="5"/>
      <c r="R168" s="1"/>
      <c r="S168" s="3" t="s">
        <v>116</v>
      </c>
      <c r="T168" s="3">
        <v>0.9</v>
      </c>
      <c r="U168" s="3">
        <v>0.5</v>
      </c>
      <c r="V168" s="3">
        <v>0.6</v>
      </c>
      <c r="W168" s="3">
        <v>0.3</v>
      </c>
      <c r="X168" s="6">
        <v>642.09844999999996</v>
      </c>
      <c r="Y168" s="3">
        <v>1E-3</v>
      </c>
      <c r="AA168" s="3" t="s">
        <v>116</v>
      </c>
      <c r="AB168" s="3">
        <v>0.39</v>
      </c>
      <c r="AC168" s="7">
        <v>648.759094</v>
      </c>
      <c r="AD168" s="3">
        <v>0</v>
      </c>
      <c r="AE168" s="3">
        <f t="shared" si="17"/>
        <v>0.495</v>
      </c>
      <c r="AF168" s="5"/>
      <c r="AG168" s="5"/>
      <c r="AH168" s="5"/>
      <c r="AI168" s="5"/>
      <c r="AJ168" s="1"/>
      <c r="AK168" s="3" t="s">
        <v>117</v>
      </c>
      <c r="AL168" s="3">
        <v>0.9</v>
      </c>
      <c r="AM168" s="3">
        <v>0.5</v>
      </c>
      <c r="AN168" s="3">
        <v>0.6</v>
      </c>
      <c r="AO168" s="3">
        <v>0.37</v>
      </c>
      <c r="AP168" s="6">
        <v>1009.486755</v>
      </c>
      <c r="AQ168" s="3">
        <v>6.0000000000000001E-3</v>
      </c>
      <c r="AS168" s="3" t="s">
        <v>117</v>
      </c>
      <c r="AT168" s="3">
        <v>0.34</v>
      </c>
      <c r="AU168" s="7">
        <v>1015.179504</v>
      </c>
      <c r="AV168" s="3">
        <v>1E-3</v>
      </c>
      <c r="AW168" s="3">
        <f t="shared" si="18"/>
        <v>0.35499999999999998</v>
      </c>
      <c r="AX168" s="5"/>
      <c r="AY168" s="5"/>
      <c r="AZ168" s="5"/>
      <c r="BA168" s="5"/>
      <c r="BB168" s="1"/>
      <c r="BC168" s="3" t="s">
        <v>117</v>
      </c>
      <c r="BD168" s="3">
        <v>0.9</v>
      </c>
      <c r="BE168" s="3">
        <v>0.5</v>
      </c>
      <c r="BF168" s="3">
        <v>0.6</v>
      </c>
      <c r="BG168" s="3">
        <v>0.3</v>
      </c>
      <c r="BH168" s="6">
        <v>979.59704599999998</v>
      </c>
      <c r="BI168" s="3">
        <v>6.0000000000000001E-3</v>
      </c>
      <c r="BK168" s="3" t="s">
        <v>117</v>
      </c>
      <c r="BL168" s="3">
        <v>0.3</v>
      </c>
      <c r="BM168" s="7">
        <v>986.74224900000002</v>
      </c>
      <c r="BN168" s="3">
        <v>1E-3</v>
      </c>
      <c r="BO168" s="3">
        <f t="shared" si="19"/>
        <v>0.3</v>
      </c>
    </row>
    <row r="169" spans="1:67" x14ac:dyDescent="0.3">
      <c r="A169" s="3" t="s">
        <v>118</v>
      </c>
      <c r="B169" s="3">
        <v>0.9</v>
      </c>
      <c r="C169" s="3">
        <v>0.5</v>
      </c>
      <c r="D169" s="3">
        <v>0.6</v>
      </c>
      <c r="E169" s="3">
        <v>0.41</v>
      </c>
      <c r="F169" s="7">
        <v>581.69366500000001</v>
      </c>
      <c r="G169" s="3">
        <v>1E-3</v>
      </c>
      <c r="I169" s="3" t="s">
        <v>118</v>
      </c>
      <c r="J169" s="3">
        <v>0.4</v>
      </c>
      <c r="K169" s="6">
        <v>578.478882</v>
      </c>
      <c r="L169" s="3">
        <v>0</v>
      </c>
      <c r="M169" s="3">
        <f t="shared" si="16"/>
        <v>0.40500000000000003</v>
      </c>
      <c r="N169" s="5"/>
      <c r="O169" s="5"/>
      <c r="P169" s="5"/>
      <c r="Q169" s="5"/>
      <c r="R169" s="1"/>
      <c r="S169" s="3" t="s">
        <v>118</v>
      </c>
      <c r="T169" s="3">
        <v>0.9</v>
      </c>
      <c r="U169" s="3">
        <v>0.5</v>
      </c>
      <c r="V169" s="3">
        <v>0.6</v>
      </c>
      <c r="W169" s="3">
        <v>0.33</v>
      </c>
      <c r="X169" s="7">
        <v>574.32305899999994</v>
      </c>
      <c r="Y169" s="3">
        <v>1E-3</v>
      </c>
      <c r="AA169" s="3" t="s">
        <v>118</v>
      </c>
      <c r="AB169" s="3">
        <v>0.31</v>
      </c>
      <c r="AC169" s="6">
        <v>565.40362500000003</v>
      </c>
      <c r="AD169" s="3">
        <v>0</v>
      </c>
      <c r="AE169" s="3">
        <f t="shared" si="17"/>
        <v>0.45499999999999996</v>
      </c>
      <c r="AF169" s="5"/>
      <c r="AG169" s="5"/>
      <c r="AH169" s="5"/>
      <c r="AI169" s="5"/>
      <c r="AJ169" s="1"/>
      <c r="AK169" s="3" t="s">
        <v>119</v>
      </c>
      <c r="AL169" s="3">
        <v>0.9</v>
      </c>
      <c r="AM169" s="3">
        <v>0.5</v>
      </c>
      <c r="AN169" s="3">
        <v>0.6</v>
      </c>
      <c r="AO169" s="3">
        <v>0.3</v>
      </c>
      <c r="AP169" s="6">
        <v>1023.5859380000001</v>
      </c>
      <c r="AQ169" s="3">
        <v>8.9999999999999993E-3</v>
      </c>
      <c r="AS169" s="3" t="s">
        <v>119</v>
      </c>
      <c r="AT169" s="3">
        <v>0.3</v>
      </c>
      <c r="AU169" s="7">
        <v>1030.222168</v>
      </c>
      <c r="AV169" s="3">
        <v>1E-3</v>
      </c>
      <c r="AW169" s="3">
        <f t="shared" si="18"/>
        <v>0.3</v>
      </c>
      <c r="AX169" s="5"/>
      <c r="AY169" s="5"/>
      <c r="AZ169" s="5"/>
      <c r="BA169" s="5"/>
      <c r="BB169" s="1"/>
      <c r="BC169" s="3" t="s">
        <v>119</v>
      </c>
      <c r="BD169" s="3">
        <v>0.9</v>
      </c>
      <c r="BE169" s="3">
        <v>0.5</v>
      </c>
      <c r="BF169" s="3">
        <v>0.6</v>
      </c>
      <c r="BG169" s="3">
        <v>0.4</v>
      </c>
      <c r="BH169" s="7">
        <v>1019.048401</v>
      </c>
      <c r="BI169" s="3">
        <v>6.0000000000000001E-3</v>
      </c>
      <c r="BK169" s="3" t="s">
        <v>119</v>
      </c>
      <c r="BL169" s="3">
        <v>0.32</v>
      </c>
      <c r="BM169" s="6">
        <v>1009.494873</v>
      </c>
      <c r="BN169" s="3">
        <v>1E-3</v>
      </c>
      <c r="BO169" s="3">
        <f t="shared" si="19"/>
        <v>0.36</v>
      </c>
    </row>
    <row r="170" spans="1:67" x14ac:dyDescent="0.3">
      <c r="A170" s="3" t="s">
        <v>120</v>
      </c>
      <c r="B170" s="3">
        <v>0.9</v>
      </c>
      <c r="C170" s="3">
        <v>0.5</v>
      </c>
      <c r="D170" s="3">
        <v>0.6</v>
      </c>
      <c r="E170" s="3">
        <v>0.33</v>
      </c>
      <c r="F170" s="7">
        <v>718.14733899999999</v>
      </c>
      <c r="G170" s="3">
        <v>2E-3</v>
      </c>
      <c r="I170" s="3" t="s">
        <v>120</v>
      </c>
      <c r="J170" s="3">
        <v>0.31</v>
      </c>
      <c r="K170" s="6">
        <v>711.04760699999997</v>
      </c>
      <c r="L170" s="3">
        <v>0</v>
      </c>
      <c r="M170" s="3">
        <f t="shared" si="16"/>
        <v>0.32</v>
      </c>
      <c r="N170" s="5"/>
      <c r="O170" s="5"/>
      <c r="P170" s="5"/>
      <c r="Q170" s="5"/>
      <c r="R170" s="1"/>
      <c r="S170" s="3" t="s">
        <v>120</v>
      </c>
      <c r="T170" s="3">
        <v>0.9</v>
      </c>
      <c r="U170" s="3">
        <v>0.5</v>
      </c>
      <c r="V170" s="3">
        <v>0.6</v>
      </c>
      <c r="W170" s="3">
        <v>0.3</v>
      </c>
      <c r="X170" s="7">
        <v>713.49054000000001</v>
      </c>
      <c r="Y170" s="3">
        <v>1E-3</v>
      </c>
      <c r="AA170" s="3" t="s">
        <v>120</v>
      </c>
      <c r="AB170" s="3">
        <v>0.32</v>
      </c>
      <c r="AC170" s="6">
        <v>711.41015600000003</v>
      </c>
      <c r="AD170" s="3">
        <v>0</v>
      </c>
      <c r="AE170" s="3">
        <f t="shared" si="17"/>
        <v>0.45999999999999996</v>
      </c>
      <c r="AF170" s="5"/>
      <c r="AG170" s="5"/>
      <c r="AH170" s="5"/>
      <c r="AI170" s="5"/>
      <c r="AJ170" s="1"/>
      <c r="AK170" s="3" t="s">
        <v>121</v>
      </c>
      <c r="AL170" s="3">
        <v>0.9</v>
      </c>
      <c r="AM170" s="3">
        <v>0.5</v>
      </c>
      <c r="AN170" s="3">
        <v>0.6</v>
      </c>
      <c r="AO170" s="3">
        <v>0.3</v>
      </c>
      <c r="AP170" s="7">
        <v>1068.928345</v>
      </c>
      <c r="AQ170" s="3">
        <v>8.0000000000000002E-3</v>
      </c>
      <c r="AS170" s="3" t="s">
        <v>121</v>
      </c>
      <c r="AT170" s="3">
        <v>0.32</v>
      </c>
      <c r="AU170" s="6">
        <v>1068.9151609999999</v>
      </c>
      <c r="AV170" s="3">
        <v>1E-3</v>
      </c>
      <c r="AW170" s="3">
        <f t="shared" si="18"/>
        <v>0.31</v>
      </c>
      <c r="AX170" s="5"/>
      <c r="AY170" s="5"/>
      <c r="AZ170" s="5"/>
      <c r="BA170" s="5"/>
      <c r="BB170" s="1"/>
      <c r="BC170" s="3" t="s">
        <v>121</v>
      </c>
      <c r="BD170" s="3">
        <v>0.9</v>
      </c>
      <c r="BE170" s="3">
        <v>0.5</v>
      </c>
      <c r="BF170" s="3">
        <v>0.6</v>
      </c>
      <c r="BG170" s="3">
        <v>0.31</v>
      </c>
      <c r="BH170" s="7">
        <v>1056.6529539999999</v>
      </c>
      <c r="BI170" s="3">
        <v>7.0000000000000001E-3</v>
      </c>
      <c r="BK170" s="3" t="s">
        <v>121</v>
      </c>
      <c r="BL170" s="3">
        <v>0.3</v>
      </c>
      <c r="BM170" s="6">
        <v>1022.197815</v>
      </c>
      <c r="BN170" s="3">
        <v>1E-3</v>
      </c>
      <c r="BO170" s="3">
        <f t="shared" si="19"/>
        <v>0.30499999999999999</v>
      </c>
    </row>
    <row r="171" spans="1:67" x14ac:dyDescent="0.3">
      <c r="A171" s="3" t="s">
        <v>122</v>
      </c>
      <c r="B171" s="3">
        <v>0.9</v>
      </c>
      <c r="C171" s="3">
        <v>0.5</v>
      </c>
      <c r="D171" s="3">
        <v>0.6</v>
      </c>
      <c r="E171" s="3">
        <v>0.32</v>
      </c>
      <c r="F171" s="8">
        <v>661.61749299999997</v>
      </c>
      <c r="G171" s="3">
        <v>1E-3</v>
      </c>
      <c r="I171" s="3" t="s">
        <v>122</v>
      </c>
      <c r="J171" s="3">
        <v>0.34</v>
      </c>
      <c r="K171" s="6">
        <v>661.31848100000002</v>
      </c>
      <c r="L171" s="3">
        <v>0</v>
      </c>
      <c r="M171" s="3">
        <f t="shared" si="16"/>
        <v>0.33</v>
      </c>
      <c r="N171" s="5"/>
      <c r="O171" s="5"/>
      <c r="P171" s="5"/>
      <c r="Q171" s="5"/>
      <c r="R171" s="1"/>
      <c r="S171" s="3" t="s">
        <v>122</v>
      </c>
      <c r="T171" s="3">
        <v>0.9</v>
      </c>
      <c r="U171" s="3">
        <v>0.5</v>
      </c>
      <c r="V171" s="3">
        <v>0.6</v>
      </c>
      <c r="W171" s="3">
        <v>0.52</v>
      </c>
      <c r="X171" s="6">
        <v>650.76336700000002</v>
      </c>
      <c r="Y171" s="3">
        <v>1E-3</v>
      </c>
      <c r="AA171" s="3" t="s">
        <v>122</v>
      </c>
      <c r="AB171" s="3">
        <v>0.31</v>
      </c>
      <c r="AC171" s="7">
        <v>652.39544699999999</v>
      </c>
      <c r="AD171" s="3">
        <v>0</v>
      </c>
      <c r="AE171" s="3">
        <f t="shared" si="17"/>
        <v>0.45499999999999996</v>
      </c>
      <c r="AF171" s="5"/>
      <c r="AG171" s="5"/>
      <c r="AH171" s="5"/>
      <c r="AI171" s="5"/>
      <c r="AJ171" s="1"/>
      <c r="AK171" s="3" t="s">
        <v>123</v>
      </c>
      <c r="AL171" s="3">
        <v>0.9</v>
      </c>
      <c r="AM171" s="3">
        <v>0.5</v>
      </c>
      <c r="AN171" s="3">
        <v>0.6</v>
      </c>
      <c r="AO171" s="3">
        <v>0.31</v>
      </c>
      <c r="AP171" s="6">
        <v>1016.541138</v>
      </c>
      <c r="AQ171" s="3">
        <v>6.0000000000000001E-3</v>
      </c>
      <c r="AS171" s="3" t="s">
        <v>123</v>
      </c>
      <c r="AT171" s="3">
        <v>0.3</v>
      </c>
      <c r="AU171" s="7">
        <v>1029.0557859999999</v>
      </c>
      <c r="AV171" s="3">
        <v>1E-3</v>
      </c>
      <c r="AW171" s="3">
        <f t="shared" si="18"/>
        <v>0.30499999999999999</v>
      </c>
      <c r="AX171" s="5"/>
      <c r="AY171" s="5"/>
      <c r="AZ171" s="5"/>
      <c r="BA171" s="5"/>
      <c r="BB171" s="1"/>
      <c r="BC171" s="3" t="s">
        <v>123</v>
      </c>
      <c r="BD171" s="3">
        <v>0.9</v>
      </c>
      <c r="BE171" s="3">
        <v>0.5</v>
      </c>
      <c r="BF171" s="3">
        <v>0.6</v>
      </c>
      <c r="BG171" s="3">
        <v>0.3</v>
      </c>
      <c r="BH171" s="7">
        <v>1016.4537350000001</v>
      </c>
      <c r="BI171" s="3">
        <v>6.0000000000000001E-3</v>
      </c>
      <c r="BK171" s="3" t="s">
        <v>123</v>
      </c>
      <c r="BL171" s="3">
        <v>0.35</v>
      </c>
      <c r="BM171" s="6">
        <v>1001.953308</v>
      </c>
      <c r="BN171" s="3">
        <v>0</v>
      </c>
      <c r="BO171" s="3">
        <f t="shared" si="19"/>
        <v>0.32499999999999996</v>
      </c>
    </row>
    <row r="172" spans="1:67" x14ac:dyDescent="0.3">
      <c r="A172" s="3" t="s">
        <v>124</v>
      </c>
      <c r="B172" s="3">
        <v>0.9</v>
      </c>
      <c r="C172" s="3">
        <v>0.5</v>
      </c>
      <c r="D172" s="3">
        <v>0.6</v>
      </c>
      <c r="E172" s="3">
        <v>0.32</v>
      </c>
      <c r="F172" s="6">
        <v>576.68908699999997</v>
      </c>
      <c r="G172" s="3">
        <v>1E-3</v>
      </c>
      <c r="I172" s="3" t="s">
        <v>124</v>
      </c>
      <c r="J172" s="3">
        <v>0.32</v>
      </c>
      <c r="K172" s="7">
        <v>577.82403599999998</v>
      </c>
      <c r="L172" s="3">
        <v>0</v>
      </c>
      <c r="M172" s="3">
        <f t="shared" si="16"/>
        <v>0.32</v>
      </c>
      <c r="N172" s="5"/>
      <c r="O172" s="5"/>
      <c r="P172" s="5"/>
      <c r="Q172" s="5"/>
      <c r="R172" s="1"/>
      <c r="S172" s="3" t="s">
        <v>124</v>
      </c>
      <c r="T172" s="3">
        <v>0.9</v>
      </c>
      <c r="U172" s="3">
        <v>0.5</v>
      </c>
      <c r="V172" s="3">
        <v>0.6</v>
      </c>
      <c r="W172" s="3">
        <v>0.32</v>
      </c>
      <c r="X172" s="7">
        <v>574.85742200000004</v>
      </c>
      <c r="Y172" s="3">
        <v>2E-3</v>
      </c>
      <c r="AA172" s="3" t="s">
        <v>124</v>
      </c>
      <c r="AB172" s="3">
        <v>0.31</v>
      </c>
      <c r="AC172" s="6">
        <v>571.36657700000001</v>
      </c>
      <c r="AD172" s="3">
        <v>0</v>
      </c>
      <c r="AE172" s="3">
        <f t="shared" si="17"/>
        <v>0.45499999999999996</v>
      </c>
      <c r="AF172" s="5"/>
      <c r="AG172" s="5"/>
      <c r="AH172" s="5"/>
      <c r="AI172" s="5"/>
      <c r="AJ172" s="1"/>
      <c r="AK172" s="3" t="s">
        <v>125</v>
      </c>
      <c r="AL172" s="3">
        <v>0.9</v>
      </c>
      <c r="AM172" s="3">
        <v>0.5</v>
      </c>
      <c r="AN172" s="3">
        <v>0.6</v>
      </c>
      <c r="AO172" s="3">
        <v>0.3</v>
      </c>
      <c r="AP172" s="6">
        <v>1067.5063479999999</v>
      </c>
      <c r="AQ172" s="3">
        <v>6.0000000000000001E-3</v>
      </c>
      <c r="AS172" s="3" t="s">
        <v>125</v>
      </c>
      <c r="AT172" s="3">
        <v>0.3</v>
      </c>
      <c r="AU172" s="7">
        <v>1086.7607419999999</v>
      </c>
      <c r="AV172" s="3">
        <v>1E-3</v>
      </c>
      <c r="AW172" s="3">
        <f t="shared" si="18"/>
        <v>0.3</v>
      </c>
      <c r="AX172" s="5"/>
      <c r="AY172" s="5"/>
      <c r="AZ172" s="5"/>
      <c r="BA172" s="5"/>
      <c r="BB172" s="1"/>
      <c r="BC172" s="3" t="s">
        <v>125</v>
      </c>
      <c r="BD172" s="3">
        <v>0.9</v>
      </c>
      <c r="BE172" s="3">
        <v>0.5</v>
      </c>
      <c r="BF172" s="3">
        <v>0.6</v>
      </c>
      <c r="BG172" s="3">
        <v>0.33</v>
      </c>
      <c r="BH172" s="7">
        <v>1071.3294679999999</v>
      </c>
      <c r="BI172" s="3">
        <v>6.0000000000000001E-3</v>
      </c>
      <c r="BK172" s="3" t="s">
        <v>125</v>
      </c>
      <c r="BL172" s="3">
        <v>0.36</v>
      </c>
      <c r="BM172" s="6">
        <v>1064.051514</v>
      </c>
      <c r="BN172" s="3">
        <v>0</v>
      </c>
      <c r="BO172" s="3">
        <f t="shared" si="19"/>
        <v>0.34499999999999997</v>
      </c>
    </row>
    <row r="173" spans="1:67" x14ac:dyDescent="0.3">
      <c r="A173" s="3" t="s">
        <v>126</v>
      </c>
      <c r="B173" s="3">
        <v>0.9</v>
      </c>
      <c r="C173" s="3">
        <v>0.5</v>
      </c>
      <c r="D173" s="3">
        <v>0.6</v>
      </c>
      <c r="E173" s="3">
        <v>0.32</v>
      </c>
      <c r="F173" s="7">
        <v>629.24627699999996</v>
      </c>
      <c r="G173" s="3">
        <v>2E-3</v>
      </c>
      <c r="I173" s="3" t="s">
        <v>126</v>
      </c>
      <c r="J173" s="3">
        <v>0.33</v>
      </c>
      <c r="K173" s="6">
        <v>621.59747300000004</v>
      </c>
      <c r="L173" s="3">
        <v>1E-3</v>
      </c>
      <c r="M173" s="3">
        <f t="shared" si="16"/>
        <v>0.32500000000000001</v>
      </c>
      <c r="N173" s="5"/>
      <c r="O173" s="5"/>
      <c r="P173" s="5"/>
      <c r="Q173" s="5"/>
      <c r="R173" s="1"/>
      <c r="S173" s="3" t="s">
        <v>126</v>
      </c>
      <c r="T173" s="3">
        <v>0.9</v>
      </c>
      <c r="U173" s="3">
        <v>0.5</v>
      </c>
      <c r="V173" s="3">
        <v>0.6</v>
      </c>
      <c r="W173" s="3">
        <v>0.3</v>
      </c>
      <c r="X173" s="7">
        <v>627.94281000000001</v>
      </c>
      <c r="Y173" s="3">
        <v>1E-3</v>
      </c>
      <c r="AA173" s="3" t="s">
        <v>126</v>
      </c>
      <c r="AB173" s="3">
        <v>0.33</v>
      </c>
      <c r="AC173" s="6">
        <v>616.66803000000004</v>
      </c>
      <c r="AD173" s="3">
        <v>1E-3</v>
      </c>
      <c r="AE173" s="3">
        <f t="shared" si="17"/>
        <v>0.46499999999999997</v>
      </c>
      <c r="AF173" s="5"/>
      <c r="AG173" s="5"/>
      <c r="AH173" s="5"/>
      <c r="AI173" s="5"/>
      <c r="AJ173" s="1"/>
      <c r="AK173" s="3" t="s">
        <v>127</v>
      </c>
      <c r="AL173" s="3">
        <v>0.9</v>
      </c>
      <c r="AM173" s="3">
        <v>0.5</v>
      </c>
      <c r="AN173" s="3">
        <v>0.6</v>
      </c>
      <c r="AO173" s="3">
        <v>0.3</v>
      </c>
      <c r="AP173" s="7">
        <v>1082.9754640000001</v>
      </c>
      <c r="AQ173" s="3">
        <v>7.0000000000000001E-3</v>
      </c>
      <c r="AS173" s="3" t="s">
        <v>127</v>
      </c>
      <c r="AT173" s="3">
        <v>0.3</v>
      </c>
      <c r="AU173" s="6">
        <v>1051.363525</v>
      </c>
      <c r="AV173" s="3">
        <v>1E-3</v>
      </c>
      <c r="AW173" s="3">
        <f t="shared" si="18"/>
        <v>0.3</v>
      </c>
      <c r="AX173" s="5"/>
      <c r="AY173" s="5"/>
      <c r="AZ173" s="5"/>
      <c r="BA173" s="5"/>
      <c r="BB173" s="1"/>
      <c r="BC173" s="3" t="s">
        <v>127</v>
      </c>
      <c r="BD173" s="3">
        <v>0.9</v>
      </c>
      <c r="BE173" s="3">
        <v>0.5</v>
      </c>
      <c r="BF173" s="3">
        <v>0.6</v>
      </c>
      <c r="BG173" s="3">
        <v>0.3</v>
      </c>
      <c r="BH173" s="6">
        <v>1042.0086670000001</v>
      </c>
      <c r="BI173" s="3">
        <v>8.9999999999999993E-3</v>
      </c>
      <c r="BK173" s="3" t="s">
        <v>127</v>
      </c>
      <c r="BL173" s="3">
        <v>0.32</v>
      </c>
      <c r="BM173" s="7">
        <v>1074.488525</v>
      </c>
      <c r="BN173" s="3">
        <v>0</v>
      </c>
      <c r="BO173" s="3">
        <f t="shared" si="19"/>
        <v>0.31</v>
      </c>
    </row>
    <row r="174" spans="1:67" x14ac:dyDescent="0.3">
      <c r="A174" s="3" t="s">
        <v>128</v>
      </c>
      <c r="B174" s="3">
        <v>0.9</v>
      </c>
      <c r="C174" s="3">
        <v>0.5</v>
      </c>
      <c r="D174" s="3">
        <v>0.6</v>
      </c>
      <c r="E174" s="3">
        <v>0.35</v>
      </c>
      <c r="F174" s="7">
        <v>605.24377400000003</v>
      </c>
      <c r="G174" s="3">
        <v>1E-3</v>
      </c>
      <c r="I174" s="3" t="s">
        <v>128</v>
      </c>
      <c r="J174" s="3">
        <v>0.36</v>
      </c>
      <c r="K174" s="6">
        <v>604.482483</v>
      </c>
      <c r="L174" s="3">
        <v>0</v>
      </c>
      <c r="M174" s="3">
        <f t="shared" si="16"/>
        <v>0.35499999999999998</v>
      </c>
      <c r="N174" s="5"/>
      <c r="O174" s="5"/>
      <c r="P174" s="5"/>
      <c r="Q174" s="5"/>
      <c r="R174" s="1"/>
      <c r="S174" s="3" t="s">
        <v>128</v>
      </c>
      <c r="T174" s="3">
        <v>0.9</v>
      </c>
      <c r="U174" s="3">
        <v>0.5</v>
      </c>
      <c r="V174" s="3">
        <v>0.6</v>
      </c>
      <c r="W174" s="3">
        <v>0.34</v>
      </c>
      <c r="X174" s="7">
        <v>601.95727499999998</v>
      </c>
      <c r="Y174" s="3">
        <v>1E-3</v>
      </c>
      <c r="AA174" s="3" t="s">
        <v>128</v>
      </c>
      <c r="AB174" s="3">
        <v>0.35</v>
      </c>
      <c r="AC174" s="6">
        <v>589.25341800000001</v>
      </c>
      <c r="AD174" s="3">
        <v>0</v>
      </c>
      <c r="AE174" s="3">
        <f t="shared" si="17"/>
        <v>0.47499999999999998</v>
      </c>
      <c r="AF174" s="5"/>
      <c r="AG174" s="5"/>
      <c r="AH174" s="5"/>
      <c r="AI174" s="5"/>
      <c r="AJ174" s="1"/>
      <c r="AK174" s="3" t="s">
        <v>129</v>
      </c>
      <c r="AL174" s="3">
        <v>0.9</v>
      </c>
      <c r="AM174" s="3">
        <v>0.5</v>
      </c>
      <c r="AN174" s="3">
        <v>0.6</v>
      </c>
      <c r="AO174" s="3">
        <v>0.3</v>
      </c>
      <c r="AP174" s="6">
        <v>1031.5447999999999</v>
      </c>
      <c r="AQ174" s="3">
        <v>5.0000000000000001E-3</v>
      </c>
      <c r="AS174" s="3" t="s">
        <v>129</v>
      </c>
      <c r="AT174" s="3">
        <v>0.37</v>
      </c>
      <c r="AU174" s="7">
        <v>1043.5395510000001</v>
      </c>
      <c r="AV174" s="3">
        <v>1E-3</v>
      </c>
      <c r="AW174" s="3">
        <f t="shared" si="18"/>
        <v>0.33499999999999996</v>
      </c>
      <c r="AX174" s="5"/>
      <c r="AY174" s="5"/>
      <c r="AZ174" s="5"/>
      <c r="BA174" s="5"/>
      <c r="BB174" s="1"/>
      <c r="BC174" s="3" t="s">
        <v>129</v>
      </c>
      <c r="BD174" s="3">
        <v>0.9</v>
      </c>
      <c r="BE174" s="3">
        <v>0.5</v>
      </c>
      <c r="BF174" s="3">
        <v>0.6</v>
      </c>
      <c r="BG174" s="3">
        <v>0.31</v>
      </c>
      <c r="BH174" s="6">
        <v>1011.360596</v>
      </c>
      <c r="BI174" s="3">
        <v>6.0000000000000001E-3</v>
      </c>
      <c r="BK174" s="3" t="s">
        <v>129</v>
      </c>
      <c r="BL174" s="3">
        <v>0.32</v>
      </c>
      <c r="BM174" s="7">
        <v>1037.2308350000001</v>
      </c>
      <c r="BN174" s="3">
        <v>0</v>
      </c>
      <c r="BO174" s="3">
        <f t="shared" si="19"/>
        <v>0.315</v>
      </c>
    </row>
    <row r="175" spans="1:67" x14ac:dyDescent="0.3">
      <c r="A175" s="3" t="s">
        <v>130</v>
      </c>
      <c r="B175" s="3">
        <v>0.9</v>
      </c>
      <c r="C175" s="3">
        <v>0.5</v>
      </c>
      <c r="D175" s="3">
        <v>0.6</v>
      </c>
      <c r="E175" s="3">
        <v>0.31</v>
      </c>
      <c r="F175" s="7">
        <v>637.45678699999996</v>
      </c>
      <c r="G175" s="3">
        <v>1E-3</v>
      </c>
      <c r="I175" s="3" t="s">
        <v>130</v>
      </c>
      <c r="J175" s="3">
        <v>0.35</v>
      </c>
      <c r="K175" s="6">
        <v>631.53649900000005</v>
      </c>
      <c r="L175" s="3">
        <v>0</v>
      </c>
      <c r="M175" s="3">
        <f t="shared" si="16"/>
        <v>0.32999999999999996</v>
      </c>
      <c r="N175" s="5"/>
      <c r="O175" s="5"/>
      <c r="P175" s="5"/>
      <c r="Q175" s="5"/>
      <c r="R175" s="1"/>
      <c r="S175" s="3" t="s">
        <v>130</v>
      </c>
      <c r="T175" s="3">
        <v>0.9</v>
      </c>
      <c r="U175" s="3">
        <v>0.5</v>
      </c>
      <c r="V175" s="3">
        <v>0.6</v>
      </c>
      <c r="W175" s="3">
        <v>0.32</v>
      </c>
      <c r="X175" s="6">
        <v>633.169128</v>
      </c>
      <c r="Y175" s="3">
        <v>2E-3</v>
      </c>
      <c r="AA175" s="3" t="s">
        <v>130</v>
      </c>
      <c r="AB175" s="3">
        <v>0.39</v>
      </c>
      <c r="AC175" s="7">
        <v>644.69757100000004</v>
      </c>
      <c r="AD175" s="3">
        <v>0</v>
      </c>
      <c r="AE175" s="3">
        <f t="shared" si="17"/>
        <v>0.495</v>
      </c>
      <c r="AF175" s="5"/>
      <c r="AG175" s="5"/>
      <c r="AH175" s="5"/>
      <c r="AI175" s="5"/>
      <c r="AJ175" s="1"/>
      <c r="AK175" s="3" t="s">
        <v>131</v>
      </c>
      <c r="AL175" s="3">
        <v>0.9</v>
      </c>
      <c r="AM175" s="3">
        <v>0.5</v>
      </c>
      <c r="AN175" s="3">
        <v>0.6</v>
      </c>
      <c r="AO175" s="3">
        <v>0.3</v>
      </c>
      <c r="AP175" s="6">
        <v>1058.80188</v>
      </c>
      <c r="AQ175" s="3">
        <v>6.0000000000000001E-3</v>
      </c>
      <c r="AS175" s="3" t="s">
        <v>131</v>
      </c>
      <c r="AT175" s="3">
        <v>0.33</v>
      </c>
      <c r="AU175" s="7">
        <v>1066.0820309999999</v>
      </c>
      <c r="AV175" s="3">
        <v>1E-3</v>
      </c>
      <c r="AW175" s="3">
        <f t="shared" si="18"/>
        <v>0.315</v>
      </c>
      <c r="AX175" s="5"/>
      <c r="AY175" s="5"/>
      <c r="AZ175" s="5"/>
      <c r="BA175" s="5"/>
      <c r="BB175" s="1"/>
      <c r="BC175" s="3" t="s">
        <v>131</v>
      </c>
      <c r="BD175" s="3">
        <v>0.9</v>
      </c>
      <c r="BE175" s="3">
        <v>0.5</v>
      </c>
      <c r="BF175" s="3">
        <v>0.6</v>
      </c>
      <c r="BG175" s="3">
        <v>0.32</v>
      </c>
      <c r="BH175" s="6">
        <v>1036.397095</v>
      </c>
      <c r="BI175" s="3">
        <v>7.0000000000000001E-3</v>
      </c>
      <c r="BK175" s="3" t="s">
        <v>131</v>
      </c>
      <c r="BL175" s="3">
        <v>0.3</v>
      </c>
      <c r="BM175" s="7">
        <v>1073.9876710000001</v>
      </c>
      <c r="BN175" s="3">
        <v>1E-3</v>
      </c>
      <c r="BO175" s="3">
        <f t="shared" si="19"/>
        <v>0.31</v>
      </c>
    </row>
    <row r="176" spans="1:67" x14ac:dyDescent="0.3">
      <c r="A176" s="3" t="s">
        <v>132</v>
      </c>
      <c r="B176" s="3">
        <v>0.9</v>
      </c>
      <c r="C176" s="3">
        <v>0.5</v>
      </c>
      <c r="D176" s="3">
        <v>0.6</v>
      </c>
      <c r="E176" s="3">
        <v>0.32</v>
      </c>
      <c r="F176" s="7">
        <v>574.47839399999998</v>
      </c>
      <c r="G176" s="3">
        <v>1E-3</v>
      </c>
      <c r="I176" s="3" t="s">
        <v>132</v>
      </c>
      <c r="J176" s="3">
        <v>0.35</v>
      </c>
      <c r="K176" s="6">
        <v>558.64312700000005</v>
      </c>
      <c r="L176" s="3">
        <v>0</v>
      </c>
      <c r="M176" s="3">
        <f t="shared" si="16"/>
        <v>0.33499999999999996</v>
      </c>
      <c r="N176" s="5"/>
      <c r="O176" s="5"/>
      <c r="P176" s="5"/>
      <c r="Q176" s="5"/>
      <c r="R176" s="1"/>
      <c r="S176" s="3" t="s">
        <v>132</v>
      </c>
      <c r="T176" s="3">
        <v>0.9</v>
      </c>
      <c r="U176" s="3">
        <v>0.5</v>
      </c>
      <c r="V176" s="3">
        <v>0.6</v>
      </c>
      <c r="W176" s="3">
        <v>0.31</v>
      </c>
      <c r="X176" s="6">
        <v>577.66937299999995</v>
      </c>
      <c r="Y176" s="3">
        <v>2E-3</v>
      </c>
      <c r="AA176" s="3" t="s">
        <v>132</v>
      </c>
      <c r="AB176" s="3">
        <v>0.3</v>
      </c>
      <c r="AC176" s="7">
        <v>579.4375</v>
      </c>
      <c r="AD176" s="3">
        <v>0</v>
      </c>
      <c r="AE176" s="3">
        <f t="shared" si="17"/>
        <v>0.44999999999999996</v>
      </c>
      <c r="AF176" s="5"/>
      <c r="AG176" s="5"/>
      <c r="AH176" s="5"/>
      <c r="AI176" s="5"/>
      <c r="AJ176" s="1"/>
      <c r="AK176" s="3" t="s">
        <v>133</v>
      </c>
      <c r="AL176" s="3">
        <v>0.9</v>
      </c>
      <c r="AM176" s="3">
        <v>0.5</v>
      </c>
      <c r="AN176" s="3">
        <v>0.6</v>
      </c>
      <c r="AO176" s="3">
        <v>0.3</v>
      </c>
      <c r="AP176" s="6">
        <v>1066.7554929999999</v>
      </c>
      <c r="AQ176" s="3">
        <v>6.0000000000000001E-3</v>
      </c>
      <c r="AS176" s="3" t="s">
        <v>133</v>
      </c>
      <c r="AT176" s="3">
        <v>0.3</v>
      </c>
      <c r="AU176" s="7">
        <v>1084.159302</v>
      </c>
      <c r="AV176" s="3">
        <v>1E-3</v>
      </c>
      <c r="AW176" s="3">
        <f t="shared" si="18"/>
        <v>0.3</v>
      </c>
      <c r="AX176" s="5"/>
      <c r="AY176" s="5"/>
      <c r="AZ176" s="5"/>
      <c r="BA176" s="5"/>
      <c r="BB176" s="1"/>
      <c r="BC176" s="3" t="s">
        <v>133</v>
      </c>
      <c r="BD176" s="3">
        <v>0.9</v>
      </c>
      <c r="BE176" s="3">
        <v>0.5</v>
      </c>
      <c r="BF176" s="3">
        <v>0.6</v>
      </c>
      <c r="BG176" s="3">
        <v>0.35</v>
      </c>
      <c r="BH176" s="6">
        <v>1063.3481449999999</v>
      </c>
      <c r="BI176" s="3">
        <v>6.0000000000000001E-3</v>
      </c>
      <c r="BK176" s="3" t="s">
        <v>133</v>
      </c>
      <c r="BL176" s="3">
        <v>0.3</v>
      </c>
      <c r="BM176" s="7">
        <v>1074.0157469999999</v>
      </c>
      <c r="BN176" s="3">
        <v>1E-3</v>
      </c>
      <c r="BO176" s="3">
        <f t="shared" si="19"/>
        <v>0.32499999999999996</v>
      </c>
    </row>
    <row r="177" spans="1:71" x14ac:dyDescent="0.3">
      <c r="A177" s="9" t="s">
        <v>316</v>
      </c>
      <c r="E177" s="9">
        <f>AVERAGE(E147:E176)</f>
        <v>0.32966666666666661</v>
      </c>
      <c r="I177" s="9" t="s">
        <v>316</v>
      </c>
      <c r="J177" s="9">
        <f>AVERAGE(J147:J176)</f>
        <v>0.33599999999999997</v>
      </c>
      <c r="R177" s="1"/>
      <c r="S177" s="9" t="s">
        <v>316</v>
      </c>
      <c r="W177" s="9">
        <f>AVERAGE(W147:W176)</f>
        <v>0.33300000000000002</v>
      </c>
      <c r="AA177" s="9" t="s">
        <v>316</v>
      </c>
      <c r="AB177" s="9">
        <f>AVERAGE(AB147:AB176)</f>
        <v>0.33133333333333337</v>
      </c>
      <c r="AJ177" s="1"/>
      <c r="AK177" s="9" t="s">
        <v>316</v>
      </c>
      <c r="AO177" s="9">
        <f>AVERAGE(AO147:AO176)</f>
        <v>0.3153333333333333</v>
      </c>
      <c r="AS177" s="9" t="s">
        <v>316</v>
      </c>
      <c r="AT177" s="9">
        <f>AVERAGE(AT147:AT176)</f>
        <v>0.31566666666666665</v>
      </c>
      <c r="BB177" s="1"/>
      <c r="BC177" s="9" t="s">
        <v>316</v>
      </c>
      <c r="BG177" s="9">
        <f>AVERAGE(BG147:BG176)</f>
        <v>0.31566666666666665</v>
      </c>
      <c r="BK177" s="9" t="s">
        <v>316</v>
      </c>
      <c r="BL177" s="9">
        <f>AVERAGE(BL147:BL176)</f>
        <v>0.31466666666666665</v>
      </c>
    </row>
    <row r="178" spans="1:71" x14ac:dyDescent="0.3">
      <c r="A178" s="5"/>
      <c r="E178" s="5"/>
      <c r="R178" s="1"/>
      <c r="S178" s="5"/>
      <c r="W178" s="5"/>
      <c r="AJ178" s="1"/>
      <c r="BB178" s="1"/>
    </row>
    <row r="179" spans="1:71" x14ac:dyDescent="0.3">
      <c r="A179" s="5"/>
      <c r="E179" s="5"/>
      <c r="R179" s="1"/>
      <c r="S179" s="5"/>
      <c r="W179" s="5"/>
      <c r="AJ179" s="1"/>
      <c r="BB179" s="1"/>
    </row>
    <row r="180" spans="1:71" x14ac:dyDescent="0.3">
      <c r="A180" s="19" t="s">
        <v>314</v>
      </c>
      <c r="B180" s="19"/>
      <c r="C180" s="19"/>
      <c r="D180" s="19"/>
      <c r="E180" s="19"/>
      <c r="F180" s="19"/>
      <c r="G180" s="19"/>
      <c r="I180" s="19" t="s">
        <v>315</v>
      </c>
      <c r="J180" s="19"/>
      <c r="K180" s="19"/>
      <c r="L180" s="19"/>
      <c r="M180" s="19"/>
      <c r="N180" s="11"/>
      <c r="O180" s="11"/>
      <c r="P180" s="11"/>
      <c r="Q180" s="11"/>
      <c r="R180" s="1"/>
      <c r="S180" s="19" t="s">
        <v>314</v>
      </c>
      <c r="T180" s="19"/>
      <c r="U180" s="19"/>
      <c r="V180" s="19"/>
      <c r="W180" s="19"/>
      <c r="X180" s="19"/>
      <c r="Y180" s="19"/>
      <c r="AA180" s="19" t="s">
        <v>315</v>
      </c>
      <c r="AB180" s="19"/>
      <c r="AC180" s="19"/>
      <c r="AD180" s="19"/>
      <c r="AE180" s="19"/>
      <c r="AF180" s="11"/>
      <c r="AG180" s="11"/>
      <c r="AH180" s="11"/>
      <c r="AI180" s="11"/>
      <c r="AJ180" s="1"/>
      <c r="AK180" s="19" t="s">
        <v>314</v>
      </c>
      <c r="AL180" s="19"/>
      <c r="AM180" s="19"/>
      <c r="AN180" s="19"/>
      <c r="AO180" s="19"/>
      <c r="AP180" s="19"/>
      <c r="AQ180" s="19"/>
      <c r="AS180" s="19" t="s">
        <v>315</v>
      </c>
      <c r="AT180" s="19"/>
      <c r="AU180" s="19"/>
      <c r="AV180" s="19"/>
      <c r="AW180" s="19"/>
      <c r="AX180" s="11"/>
      <c r="AY180" s="11"/>
      <c r="AZ180" s="11"/>
      <c r="BA180" s="11"/>
      <c r="BB180" s="1"/>
      <c r="BC180" s="19" t="s">
        <v>314</v>
      </c>
      <c r="BD180" s="19"/>
      <c r="BE180" s="19"/>
      <c r="BF180" s="19"/>
      <c r="BG180" s="19"/>
      <c r="BH180" s="19"/>
      <c r="BI180" s="19"/>
      <c r="BK180" s="19" t="s">
        <v>315</v>
      </c>
      <c r="BL180" s="19"/>
      <c r="BM180" s="19"/>
      <c r="BN180" s="19"/>
      <c r="BO180" s="19"/>
    </row>
    <row r="181" spans="1:71" x14ac:dyDescent="0.3">
      <c r="A181" s="19" t="s">
        <v>72</v>
      </c>
      <c r="B181" s="19"/>
      <c r="C181" s="19"/>
      <c r="D181" s="19"/>
      <c r="E181" s="19"/>
      <c r="F181" s="19"/>
      <c r="G181" s="19"/>
      <c r="I181" s="19" t="s">
        <v>72</v>
      </c>
      <c r="J181" s="19"/>
      <c r="K181" s="19"/>
      <c r="L181" s="19"/>
      <c r="M181" s="19"/>
      <c r="N181" s="11"/>
      <c r="O181" s="11"/>
      <c r="P181" s="11"/>
      <c r="Q181" s="11"/>
      <c r="R181" s="1"/>
      <c r="S181" s="19" t="s">
        <v>73</v>
      </c>
      <c r="T181" s="19"/>
      <c r="U181" s="19"/>
      <c r="V181" s="19"/>
      <c r="W181" s="19"/>
      <c r="X181" s="19"/>
      <c r="Y181" s="19"/>
      <c r="AA181" s="19" t="s">
        <v>73</v>
      </c>
      <c r="AB181" s="19"/>
      <c r="AC181" s="19"/>
      <c r="AD181" s="19"/>
      <c r="AE181" s="19"/>
      <c r="AF181" s="11"/>
      <c r="AG181" s="11"/>
      <c r="AH181" s="11"/>
      <c r="AI181" s="11"/>
      <c r="AJ181" s="1"/>
      <c r="AK181" s="19" t="s">
        <v>72</v>
      </c>
      <c r="AL181" s="19"/>
      <c r="AM181" s="19"/>
      <c r="AN181" s="19"/>
      <c r="AO181" s="19"/>
      <c r="AP181" s="19"/>
      <c r="AQ181" s="19"/>
      <c r="AS181" s="19" t="s">
        <v>72</v>
      </c>
      <c r="AT181" s="19"/>
      <c r="AU181" s="19"/>
      <c r="AV181" s="19"/>
      <c r="AW181" s="19"/>
      <c r="AX181" s="11"/>
      <c r="AY181" s="11"/>
      <c r="AZ181" s="11"/>
      <c r="BA181" s="11"/>
      <c r="BB181" s="1"/>
      <c r="BC181" s="19" t="s">
        <v>73</v>
      </c>
      <c r="BD181" s="19"/>
      <c r="BE181" s="19"/>
      <c r="BF181" s="19"/>
      <c r="BG181" s="19"/>
      <c r="BH181" s="19"/>
      <c r="BI181" s="19"/>
      <c r="BK181" s="19" t="s">
        <v>73</v>
      </c>
      <c r="BL181" s="19"/>
      <c r="BM181" s="19"/>
      <c r="BN181" s="19"/>
      <c r="BO181" s="19"/>
    </row>
    <row r="182" spans="1:71" x14ac:dyDescent="0.3">
      <c r="A182" s="3" t="s">
        <v>2</v>
      </c>
      <c r="B182" s="3" t="s">
        <v>3</v>
      </c>
      <c r="C182" s="3" t="s">
        <v>4</v>
      </c>
      <c r="D182" s="3" t="s">
        <v>5</v>
      </c>
      <c r="E182" s="3" t="s">
        <v>6</v>
      </c>
      <c r="F182" s="3" t="s">
        <v>7</v>
      </c>
      <c r="G182" s="3" t="s">
        <v>8</v>
      </c>
      <c r="I182" s="3" t="s">
        <v>2</v>
      </c>
      <c r="J182" s="3" t="s">
        <v>6</v>
      </c>
      <c r="K182" s="3" t="s">
        <v>7</v>
      </c>
      <c r="L182" s="3" t="s">
        <v>8</v>
      </c>
      <c r="M182" s="3" t="s">
        <v>9</v>
      </c>
      <c r="N182" s="3" t="s">
        <v>322</v>
      </c>
      <c r="O182" s="3" t="s">
        <v>323</v>
      </c>
      <c r="P182" s="3" t="s">
        <v>322</v>
      </c>
      <c r="Q182" s="3" t="s">
        <v>323</v>
      </c>
      <c r="R182" s="1"/>
      <c r="S182" s="3" t="s">
        <v>2</v>
      </c>
      <c r="T182" s="3" t="s">
        <v>3</v>
      </c>
      <c r="U182" s="3" t="s">
        <v>4</v>
      </c>
      <c r="V182" s="3" t="s">
        <v>5</v>
      </c>
      <c r="W182" s="3" t="s">
        <v>6</v>
      </c>
      <c r="X182" s="3" t="s">
        <v>7</v>
      </c>
      <c r="Y182" s="3" t="s">
        <v>8</v>
      </c>
      <c r="AA182" s="3" t="s">
        <v>2</v>
      </c>
      <c r="AB182" s="3" t="s">
        <v>6</v>
      </c>
      <c r="AC182" s="3" t="s">
        <v>7</v>
      </c>
      <c r="AD182" s="3" t="s">
        <v>8</v>
      </c>
      <c r="AE182" s="3" t="s">
        <v>9</v>
      </c>
      <c r="AF182" s="3" t="s">
        <v>322</v>
      </c>
      <c r="AG182" s="3" t="s">
        <v>323</v>
      </c>
      <c r="AH182" s="3" t="s">
        <v>322</v>
      </c>
      <c r="AI182" s="3" t="s">
        <v>323</v>
      </c>
      <c r="AJ182" s="1"/>
      <c r="AK182" s="3" t="s">
        <v>2</v>
      </c>
      <c r="AL182" s="3" t="s">
        <v>3</v>
      </c>
      <c r="AM182" s="3" t="s">
        <v>4</v>
      </c>
      <c r="AN182" s="3" t="s">
        <v>5</v>
      </c>
      <c r="AO182" s="3" t="s">
        <v>6</v>
      </c>
      <c r="AP182" s="3" t="s">
        <v>7</v>
      </c>
      <c r="AQ182" s="3" t="s">
        <v>8</v>
      </c>
      <c r="AS182" s="3" t="s">
        <v>2</v>
      </c>
      <c r="AT182" s="3" t="s">
        <v>6</v>
      </c>
      <c r="AU182" s="3" t="s">
        <v>7</v>
      </c>
      <c r="AV182" s="3" t="s">
        <v>8</v>
      </c>
      <c r="AW182" s="3" t="s">
        <v>9</v>
      </c>
      <c r="AX182" s="3" t="s">
        <v>322</v>
      </c>
      <c r="AY182" s="3" t="s">
        <v>323</v>
      </c>
      <c r="AZ182" s="3" t="s">
        <v>322</v>
      </c>
      <c r="BA182" s="3" t="s">
        <v>323</v>
      </c>
      <c r="BB182" s="1"/>
      <c r="BC182" s="3" t="s">
        <v>2</v>
      </c>
      <c r="BD182" s="3" t="s">
        <v>3</v>
      </c>
      <c r="BE182" s="3" t="s">
        <v>4</v>
      </c>
      <c r="BF182" s="3" t="s">
        <v>5</v>
      </c>
      <c r="BG182" s="3" t="s">
        <v>6</v>
      </c>
      <c r="BH182" s="3" t="s">
        <v>7</v>
      </c>
      <c r="BI182" s="3" t="s">
        <v>8</v>
      </c>
      <c r="BK182" s="3" t="s">
        <v>2</v>
      </c>
      <c r="BL182" s="3" t="s">
        <v>6</v>
      </c>
      <c r="BM182" s="3" t="s">
        <v>7</v>
      </c>
      <c r="BN182" s="3" t="s">
        <v>8</v>
      </c>
      <c r="BO182" s="3" t="s">
        <v>9</v>
      </c>
      <c r="BP182" s="3" t="s">
        <v>322</v>
      </c>
      <c r="BQ182" s="3" t="s">
        <v>323</v>
      </c>
      <c r="BR182" s="3" t="s">
        <v>322</v>
      </c>
      <c r="BS182" s="3" t="s">
        <v>323</v>
      </c>
    </row>
    <row r="183" spans="1:71" x14ac:dyDescent="0.3">
      <c r="A183" s="3" t="s">
        <v>74</v>
      </c>
      <c r="B183" s="3">
        <v>0.9</v>
      </c>
      <c r="C183" s="3">
        <v>0.5</v>
      </c>
      <c r="D183" s="3">
        <v>0.6</v>
      </c>
      <c r="E183" s="3">
        <v>0.3</v>
      </c>
      <c r="F183" s="6">
        <v>404.11584499999998</v>
      </c>
      <c r="G183" s="3">
        <v>0</v>
      </c>
      <c r="I183" s="3" t="s">
        <v>74</v>
      </c>
      <c r="J183" s="3">
        <v>0.3</v>
      </c>
      <c r="K183" s="7">
        <v>405.61071800000002</v>
      </c>
      <c r="L183" s="3">
        <v>0</v>
      </c>
      <c r="M183" s="3">
        <f t="shared" ref="M183:M212" si="20">AVERAGE(E183,J183)</f>
        <v>0.3</v>
      </c>
      <c r="N183" s="4" t="s">
        <v>320</v>
      </c>
      <c r="O183" s="4" t="s">
        <v>320</v>
      </c>
      <c r="P183" s="4" t="s">
        <v>321</v>
      </c>
      <c r="Q183" s="4" t="s">
        <v>321</v>
      </c>
      <c r="R183" s="1"/>
      <c r="S183" s="3" t="s">
        <v>74</v>
      </c>
      <c r="T183" s="3">
        <v>0.9</v>
      </c>
      <c r="U183" s="3">
        <v>0.5</v>
      </c>
      <c r="V183" s="3">
        <v>0.6</v>
      </c>
      <c r="W183" s="3">
        <v>0.35</v>
      </c>
      <c r="X183" s="6">
        <v>393.37597699999998</v>
      </c>
      <c r="Y183" s="3">
        <v>1E-3</v>
      </c>
      <c r="AA183" s="3" t="s">
        <v>74</v>
      </c>
      <c r="AB183" s="3">
        <v>0.32</v>
      </c>
      <c r="AC183" s="7">
        <v>395.05078099999997</v>
      </c>
      <c r="AD183" s="3">
        <v>0</v>
      </c>
      <c r="AE183" s="3">
        <f t="shared" ref="AE183:AE212" si="21">AVERAGE(V183,AB183)</f>
        <v>0.45999999999999996</v>
      </c>
      <c r="AF183" s="4" t="s">
        <v>320</v>
      </c>
      <c r="AG183" s="4" t="s">
        <v>320</v>
      </c>
      <c r="AH183" s="4" t="s">
        <v>321</v>
      </c>
      <c r="AI183" s="4" t="s">
        <v>321</v>
      </c>
      <c r="AJ183" s="1"/>
      <c r="AK183" s="3" t="s">
        <v>75</v>
      </c>
      <c r="AL183" s="3">
        <v>0.9</v>
      </c>
      <c r="AM183" s="3">
        <v>0.5</v>
      </c>
      <c r="AN183" s="3">
        <v>0.6</v>
      </c>
      <c r="AO183" s="3">
        <v>0.31</v>
      </c>
      <c r="AP183" s="7">
        <v>752.83947799999999</v>
      </c>
      <c r="AQ183" s="3">
        <v>4.0000000000000001E-3</v>
      </c>
      <c r="AS183" s="3" t="s">
        <v>75</v>
      </c>
      <c r="AT183" s="3">
        <v>0.35</v>
      </c>
      <c r="AU183" s="6">
        <v>744.27484100000004</v>
      </c>
      <c r="AV183" s="3">
        <v>0</v>
      </c>
      <c r="AW183" s="3">
        <f t="shared" ref="AW183:AW212" si="22">AVERAGE(AO183,AT183)</f>
        <v>0.32999999999999996</v>
      </c>
      <c r="AX183" s="4" t="s">
        <v>320</v>
      </c>
      <c r="AY183" s="4" t="s">
        <v>320</v>
      </c>
      <c r="AZ183" s="4" t="s">
        <v>321</v>
      </c>
      <c r="BA183" s="4" t="s">
        <v>321</v>
      </c>
      <c r="BB183" s="1"/>
      <c r="BC183" s="3" t="s">
        <v>75</v>
      </c>
      <c r="BD183" s="3">
        <v>0.9</v>
      </c>
      <c r="BE183" s="3">
        <v>0.5</v>
      </c>
      <c r="BF183" s="3">
        <v>0.6</v>
      </c>
      <c r="BG183" s="3">
        <v>0.3</v>
      </c>
      <c r="BH183" s="6">
        <v>728.62469499999997</v>
      </c>
      <c r="BI183" s="3">
        <v>5.0000000000000001E-3</v>
      </c>
      <c r="BK183" s="3" t="s">
        <v>75</v>
      </c>
      <c r="BL183" s="3">
        <v>0.31</v>
      </c>
      <c r="BM183" s="7">
        <v>745.04675299999997</v>
      </c>
      <c r="BN183" s="3">
        <v>1E-3</v>
      </c>
      <c r="BO183" s="3">
        <f t="shared" ref="BO183:BO212" si="23">AVERAGE(BG183,BL183)</f>
        <v>0.30499999999999999</v>
      </c>
      <c r="BP183" s="4" t="s">
        <v>320</v>
      </c>
      <c r="BQ183" s="4" t="s">
        <v>320</v>
      </c>
      <c r="BR183" s="4" t="s">
        <v>321</v>
      </c>
      <c r="BS183" s="4" t="s">
        <v>321</v>
      </c>
    </row>
    <row r="184" spans="1:71" x14ac:dyDescent="0.3">
      <c r="A184" s="3" t="s">
        <v>76</v>
      </c>
      <c r="B184" s="3">
        <v>0.9</v>
      </c>
      <c r="C184" s="3">
        <v>0.5</v>
      </c>
      <c r="D184" s="3">
        <v>0.6</v>
      </c>
      <c r="E184" s="3">
        <v>0.34</v>
      </c>
      <c r="F184" s="7">
        <v>442.65103099999999</v>
      </c>
      <c r="G184" s="3">
        <v>1E-3</v>
      </c>
      <c r="I184" s="3" t="s">
        <v>76</v>
      </c>
      <c r="J184" s="3">
        <v>0.31</v>
      </c>
      <c r="K184" s="6">
        <v>439.08004799999998</v>
      </c>
      <c r="L184" s="3">
        <v>0</v>
      </c>
      <c r="M184" s="3">
        <f t="shared" si="20"/>
        <v>0.32500000000000001</v>
      </c>
      <c r="N184" s="3">
        <f>COUNT(F183,F185:F186,F192:F193,F198:F199,F203,F205:F209,F211:F212)</f>
        <v>15</v>
      </c>
      <c r="O184" s="3">
        <f>30-N184</f>
        <v>15</v>
      </c>
      <c r="P184" s="3">
        <f>COUNT(K184:K185,K187:K191,K194:K197,K200:K202,K204:K205,K210)</f>
        <v>17</v>
      </c>
      <c r="Q184" s="3">
        <f>30-P184</f>
        <v>13</v>
      </c>
      <c r="R184" s="1"/>
      <c r="S184" s="3" t="s">
        <v>76</v>
      </c>
      <c r="T184" s="3">
        <v>0.9</v>
      </c>
      <c r="U184" s="3">
        <v>0.5</v>
      </c>
      <c r="V184" s="3">
        <v>0.6</v>
      </c>
      <c r="W184" s="3">
        <v>0.32</v>
      </c>
      <c r="X184" s="6">
        <v>428.43444799999997</v>
      </c>
      <c r="Y184" s="3">
        <v>1E-3</v>
      </c>
      <c r="AA184" s="3" t="s">
        <v>76</v>
      </c>
      <c r="AB184" s="3">
        <v>0.3</v>
      </c>
      <c r="AC184" s="7">
        <v>432.55557299999998</v>
      </c>
      <c r="AD184" s="3">
        <v>1E-3</v>
      </c>
      <c r="AE184" s="3">
        <f t="shared" si="21"/>
        <v>0.44999999999999996</v>
      </c>
      <c r="AF184" s="3">
        <f>COUNT(X183:X185,X189,X191:X196,X199:X203,X206,X208:X211)</f>
        <v>20</v>
      </c>
      <c r="AG184" s="3">
        <f>30-AF184</f>
        <v>10</v>
      </c>
      <c r="AH184" s="3">
        <f>COUNT(AC185:AC188,AC190,AC197:AC198,AC204:AC205,AC207:AC208,AC210,AC212)</f>
        <v>13</v>
      </c>
      <c r="AI184" s="3">
        <f>30-AH184</f>
        <v>17</v>
      </c>
      <c r="AJ184" s="1"/>
      <c r="AK184" s="3" t="s">
        <v>77</v>
      </c>
      <c r="AL184" s="3">
        <v>0.9</v>
      </c>
      <c r="AM184" s="3">
        <v>0.5</v>
      </c>
      <c r="AN184" s="3">
        <v>0.6</v>
      </c>
      <c r="AO184" s="3">
        <v>0.32</v>
      </c>
      <c r="AP184" s="7">
        <v>852.20782499999996</v>
      </c>
      <c r="AQ184" s="3">
        <v>4.0000000000000001E-3</v>
      </c>
      <c r="AS184" s="3" t="s">
        <v>77</v>
      </c>
      <c r="AT184" s="3">
        <v>0.32</v>
      </c>
      <c r="AU184" s="6">
        <v>809.63067599999999</v>
      </c>
      <c r="AV184" s="3">
        <v>0</v>
      </c>
      <c r="AW184" s="3">
        <f t="shared" si="22"/>
        <v>0.32</v>
      </c>
      <c r="AX184" s="3">
        <f>COUNT(AP186,AP188:AP201,AP204,AP208:AP209,AP211)</f>
        <v>19</v>
      </c>
      <c r="AY184" s="3">
        <f>30-AX184</f>
        <v>11</v>
      </c>
      <c r="AZ184" s="3">
        <f>COUNT(AU183:AU187,AU202,AU204:AU207,AU210:AU212)</f>
        <v>13</v>
      </c>
      <c r="BA184" s="3">
        <f>30-AZ184</f>
        <v>17</v>
      </c>
      <c r="BB184" s="1"/>
      <c r="BC184" s="3" t="s">
        <v>77</v>
      </c>
      <c r="BD184" s="3">
        <v>0.9</v>
      </c>
      <c r="BE184" s="3">
        <v>0.5</v>
      </c>
      <c r="BF184" s="3">
        <v>0.6</v>
      </c>
      <c r="BG184" s="3">
        <v>0.31</v>
      </c>
      <c r="BH184" s="6">
        <v>819.70898399999999</v>
      </c>
      <c r="BI184" s="3">
        <v>8.9999999999999993E-3</v>
      </c>
      <c r="BK184" s="3" t="s">
        <v>77</v>
      </c>
      <c r="BL184" s="3">
        <v>0.3</v>
      </c>
      <c r="BM184" s="7">
        <v>820.10833700000001</v>
      </c>
      <c r="BN184" s="3">
        <v>1E-3</v>
      </c>
      <c r="BO184" s="3">
        <f t="shared" si="23"/>
        <v>0.30499999999999999</v>
      </c>
      <c r="BP184" s="3">
        <f>COUNT(BH183:BH184,BH187:BH189,BH193,BH195:BH196,BH198:BH199,BH203,BH206,BH209,BH212)</f>
        <v>14</v>
      </c>
      <c r="BQ184" s="3">
        <f>30-BP184</f>
        <v>16</v>
      </c>
      <c r="BR184" s="3">
        <f>COUNT(BM185:BM186,BM190:BM192,BM194,BM200:BM202,BM204:BM205,BM207:BM208,BM210:BM211)</f>
        <v>15</v>
      </c>
      <c r="BS184" s="3">
        <f>30-BR184</f>
        <v>15</v>
      </c>
    </row>
    <row r="185" spans="1:71" x14ac:dyDescent="0.3">
      <c r="A185" s="3" t="s">
        <v>78</v>
      </c>
      <c r="B185" s="3">
        <v>0.9</v>
      </c>
      <c r="C185" s="3">
        <v>0.5</v>
      </c>
      <c r="D185" s="3">
        <v>0.6</v>
      </c>
      <c r="E185" s="3">
        <v>0.31</v>
      </c>
      <c r="F185" s="8">
        <v>430.96078499999999</v>
      </c>
      <c r="G185" s="3">
        <v>1E-3</v>
      </c>
      <c r="I185" s="3" t="s">
        <v>78</v>
      </c>
      <c r="J185" s="3">
        <v>0.35</v>
      </c>
      <c r="K185" s="6">
        <v>430.35003699999999</v>
      </c>
      <c r="L185" s="3">
        <v>0</v>
      </c>
      <c r="M185" s="3">
        <f t="shared" si="20"/>
        <v>0.32999999999999996</v>
      </c>
      <c r="N185" s="5"/>
      <c r="O185" s="5"/>
      <c r="P185" s="5"/>
      <c r="Q185" s="5"/>
      <c r="R185" s="1"/>
      <c r="S185" s="3" t="s">
        <v>78</v>
      </c>
      <c r="T185" s="3">
        <v>0.9</v>
      </c>
      <c r="U185" s="3">
        <v>0.5</v>
      </c>
      <c r="V185" s="3">
        <v>0.6</v>
      </c>
      <c r="W185" s="3">
        <v>0.34</v>
      </c>
      <c r="X185" s="6">
        <v>416.37710600000003</v>
      </c>
      <c r="Y185" s="3">
        <v>1E-3</v>
      </c>
      <c r="AA185" s="3" t="s">
        <v>78</v>
      </c>
      <c r="AB185" s="3">
        <v>0.33</v>
      </c>
      <c r="AC185" s="8">
        <v>416.86636399999998</v>
      </c>
      <c r="AD185" s="3">
        <v>0</v>
      </c>
      <c r="AE185" s="3">
        <f t="shared" si="21"/>
        <v>0.46499999999999997</v>
      </c>
      <c r="AF185" s="5"/>
      <c r="AG185" s="5"/>
      <c r="AH185" s="5"/>
      <c r="AI185" s="5"/>
      <c r="AJ185" s="1"/>
      <c r="AK185" s="3" t="s">
        <v>79</v>
      </c>
      <c r="AL185" s="3">
        <v>0.9</v>
      </c>
      <c r="AM185" s="3">
        <v>0.5</v>
      </c>
      <c r="AN185" s="3">
        <v>0.6</v>
      </c>
      <c r="AO185" s="3">
        <v>0.31</v>
      </c>
      <c r="AP185" s="7">
        <v>798.03832999999997</v>
      </c>
      <c r="AQ185" s="3">
        <v>6.0000000000000001E-3</v>
      </c>
      <c r="AS185" s="3" t="s">
        <v>79</v>
      </c>
      <c r="AT185" s="3">
        <v>0.32</v>
      </c>
      <c r="AU185" s="6">
        <v>755.51464799999997</v>
      </c>
      <c r="AV185" s="3">
        <v>0</v>
      </c>
      <c r="AW185" s="3">
        <f t="shared" si="22"/>
        <v>0.315</v>
      </c>
      <c r="AX185" s="5"/>
      <c r="AY185" s="5"/>
      <c r="AZ185" s="5"/>
      <c r="BA185" s="5"/>
      <c r="BB185" s="1"/>
      <c r="BC185" s="3" t="s">
        <v>79</v>
      </c>
      <c r="BD185" s="3">
        <v>0.9</v>
      </c>
      <c r="BE185" s="3">
        <v>0.5</v>
      </c>
      <c r="BF185" s="3">
        <v>0.6</v>
      </c>
      <c r="BG185" s="3">
        <v>0.32</v>
      </c>
      <c r="BH185" s="7">
        <v>784.17297399999995</v>
      </c>
      <c r="BI185" s="3">
        <v>8.9999999999999993E-3</v>
      </c>
      <c r="BK185" s="3" t="s">
        <v>79</v>
      </c>
      <c r="BL185" s="3">
        <v>0.3</v>
      </c>
      <c r="BM185" s="6">
        <v>773.12042199999996</v>
      </c>
      <c r="BN185" s="3">
        <v>1E-3</v>
      </c>
      <c r="BO185" s="3">
        <f t="shared" si="23"/>
        <v>0.31</v>
      </c>
    </row>
    <row r="186" spans="1:71" x14ac:dyDescent="0.3">
      <c r="A186" s="3" t="s">
        <v>80</v>
      </c>
      <c r="B186" s="3">
        <v>0.9</v>
      </c>
      <c r="C186" s="3">
        <v>0.5</v>
      </c>
      <c r="D186" s="3">
        <v>0.6</v>
      </c>
      <c r="E186" s="3">
        <v>0.31</v>
      </c>
      <c r="F186" s="6">
        <v>462.183289</v>
      </c>
      <c r="G186" s="3">
        <v>1E-3</v>
      </c>
      <c r="I186" s="3" t="s">
        <v>80</v>
      </c>
      <c r="J186" s="3">
        <v>0.31</v>
      </c>
      <c r="K186" s="7">
        <v>465.52313199999998</v>
      </c>
      <c r="L186" s="3">
        <v>0</v>
      </c>
      <c r="M186" s="3">
        <f t="shared" si="20"/>
        <v>0.31</v>
      </c>
      <c r="N186" s="5"/>
      <c r="O186" s="5"/>
      <c r="P186" s="5"/>
      <c r="Q186" s="5"/>
      <c r="R186" s="1"/>
      <c r="S186" s="3" t="s">
        <v>80</v>
      </c>
      <c r="T186" s="3">
        <v>0.9</v>
      </c>
      <c r="U186" s="3">
        <v>0.5</v>
      </c>
      <c r="V186" s="3">
        <v>0.6</v>
      </c>
      <c r="W186" s="3">
        <v>0.32</v>
      </c>
      <c r="X186" s="7">
        <v>448.30267300000003</v>
      </c>
      <c r="Y186" s="3">
        <v>0</v>
      </c>
      <c r="AA186" s="3" t="s">
        <v>80</v>
      </c>
      <c r="AB186" s="3">
        <v>0.38</v>
      </c>
      <c r="AC186" s="6">
        <v>447.34008799999998</v>
      </c>
      <c r="AD186" s="3">
        <v>0</v>
      </c>
      <c r="AE186" s="3">
        <f t="shared" si="21"/>
        <v>0.49</v>
      </c>
      <c r="AF186" s="5"/>
      <c r="AG186" s="5"/>
      <c r="AH186" s="5"/>
      <c r="AI186" s="5"/>
      <c r="AJ186" s="1"/>
      <c r="AK186" s="3" t="s">
        <v>81</v>
      </c>
      <c r="AL186" s="3">
        <v>0.9</v>
      </c>
      <c r="AM186" s="3">
        <v>0.5</v>
      </c>
      <c r="AN186" s="3">
        <v>0.6</v>
      </c>
      <c r="AO186" s="3">
        <v>0.3</v>
      </c>
      <c r="AP186" s="8">
        <v>752.66625999999997</v>
      </c>
      <c r="AQ186" s="3">
        <v>4.0000000000000001E-3</v>
      </c>
      <c r="AS186" s="3" t="s">
        <v>81</v>
      </c>
      <c r="AT186" s="3">
        <v>0.3</v>
      </c>
      <c r="AU186" s="6">
        <v>752.091858</v>
      </c>
      <c r="AV186" s="3">
        <v>0</v>
      </c>
      <c r="AW186" s="3">
        <f t="shared" si="22"/>
        <v>0.3</v>
      </c>
      <c r="AX186" s="5"/>
      <c r="AY186" s="5"/>
      <c r="AZ186" s="5"/>
      <c r="BA186" s="5"/>
      <c r="BB186" s="1"/>
      <c r="BC186" s="3" t="s">
        <v>81</v>
      </c>
      <c r="BD186" s="3">
        <v>0.9</v>
      </c>
      <c r="BE186" s="3">
        <v>0.5</v>
      </c>
      <c r="BF186" s="3">
        <v>0.6</v>
      </c>
      <c r="BG186" s="3">
        <v>0.31</v>
      </c>
      <c r="BH186" s="7">
        <v>739.42877199999998</v>
      </c>
      <c r="BI186" s="3">
        <v>0.01</v>
      </c>
      <c r="BK186" s="3" t="s">
        <v>81</v>
      </c>
      <c r="BL186" s="3">
        <v>0.32</v>
      </c>
      <c r="BM186" s="6">
        <v>730.74481200000002</v>
      </c>
      <c r="BN186" s="3">
        <v>1E-3</v>
      </c>
      <c r="BO186" s="3">
        <f t="shared" si="23"/>
        <v>0.315</v>
      </c>
    </row>
    <row r="187" spans="1:71" x14ac:dyDescent="0.3">
      <c r="A187" s="3" t="s">
        <v>82</v>
      </c>
      <c r="B187" s="3">
        <v>0.9</v>
      </c>
      <c r="C187" s="3">
        <v>0.5</v>
      </c>
      <c r="D187" s="3">
        <v>0.6</v>
      </c>
      <c r="E187" s="3">
        <v>0.39</v>
      </c>
      <c r="F187" s="7">
        <v>431.33407599999998</v>
      </c>
      <c r="G187" s="3">
        <v>1E-3</v>
      </c>
      <c r="I187" s="3" t="s">
        <v>82</v>
      </c>
      <c r="J187" s="3">
        <v>0.36</v>
      </c>
      <c r="K187" s="6">
        <v>426.28491200000002</v>
      </c>
      <c r="L187" s="3">
        <v>0</v>
      </c>
      <c r="M187" s="3">
        <f t="shared" si="20"/>
        <v>0.375</v>
      </c>
      <c r="N187" s="5"/>
      <c r="O187" s="5"/>
      <c r="P187" s="5"/>
      <c r="Q187" s="5"/>
      <c r="R187" s="1"/>
      <c r="S187" s="3" t="s">
        <v>82</v>
      </c>
      <c r="T187" s="3">
        <v>0.9</v>
      </c>
      <c r="U187" s="3">
        <v>0.5</v>
      </c>
      <c r="V187" s="3">
        <v>0.6</v>
      </c>
      <c r="W187" s="3">
        <v>0.33</v>
      </c>
      <c r="X187" s="7">
        <v>416.52825899999999</v>
      </c>
      <c r="Y187" s="3">
        <v>1E-3</v>
      </c>
      <c r="AA187" s="3" t="s">
        <v>82</v>
      </c>
      <c r="AB187" s="3">
        <v>0.37</v>
      </c>
      <c r="AC187" s="6">
        <v>414.96078499999999</v>
      </c>
      <c r="AD187" s="3">
        <v>0</v>
      </c>
      <c r="AE187" s="3">
        <f t="shared" si="21"/>
        <v>0.48499999999999999</v>
      </c>
      <c r="AF187" s="5"/>
      <c r="AG187" s="5"/>
      <c r="AH187" s="5"/>
      <c r="AI187" s="5"/>
      <c r="AJ187" s="1"/>
      <c r="AK187" s="3" t="s">
        <v>83</v>
      </c>
      <c r="AL187" s="3">
        <v>0.9</v>
      </c>
      <c r="AM187" s="3">
        <v>0.5</v>
      </c>
      <c r="AN187" s="3">
        <v>0.6</v>
      </c>
      <c r="AO187" s="3">
        <v>0.37</v>
      </c>
      <c r="AP187" s="7">
        <v>771.85949700000003</v>
      </c>
      <c r="AQ187" s="3">
        <v>4.0000000000000001E-3</v>
      </c>
      <c r="AS187" s="3" t="s">
        <v>83</v>
      </c>
      <c r="AT187" s="3">
        <v>0.33</v>
      </c>
      <c r="AU187" s="6">
        <v>761.355591</v>
      </c>
      <c r="AV187" s="3">
        <v>0</v>
      </c>
      <c r="AW187" s="3">
        <f t="shared" si="22"/>
        <v>0.35</v>
      </c>
      <c r="AX187" s="5"/>
      <c r="AY187" s="5"/>
      <c r="AZ187" s="5"/>
      <c r="BA187" s="5"/>
      <c r="BB187" s="1"/>
      <c r="BC187" s="3" t="s">
        <v>83</v>
      </c>
      <c r="BD187" s="3">
        <v>0.9</v>
      </c>
      <c r="BE187" s="3">
        <v>0.5</v>
      </c>
      <c r="BF187" s="3">
        <v>0.6</v>
      </c>
      <c r="BG187" s="3">
        <v>0.3</v>
      </c>
      <c r="BH187" s="6">
        <v>759.23754899999994</v>
      </c>
      <c r="BI187" s="3">
        <v>5.0000000000000001E-3</v>
      </c>
      <c r="BK187" s="3" t="s">
        <v>83</v>
      </c>
      <c r="BL187" s="3">
        <v>0.32</v>
      </c>
      <c r="BM187" s="7">
        <v>766.63244599999996</v>
      </c>
      <c r="BN187" s="3">
        <v>1E-3</v>
      </c>
      <c r="BO187" s="3">
        <f t="shared" si="23"/>
        <v>0.31</v>
      </c>
    </row>
    <row r="188" spans="1:71" x14ac:dyDescent="0.3">
      <c r="A188" s="3" t="s">
        <v>84</v>
      </c>
      <c r="B188" s="3">
        <v>0.9</v>
      </c>
      <c r="C188" s="3">
        <v>0.5</v>
      </c>
      <c r="D188" s="3">
        <v>0.6</v>
      </c>
      <c r="E188" s="3">
        <v>0.35</v>
      </c>
      <c r="F188" s="7">
        <v>542.32739300000003</v>
      </c>
      <c r="G188" s="3">
        <v>1E-3</v>
      </c>
      <c r="I188" s="3" t="s">
        <v>84</v>
      </c>
      <c r="J188" s="3">
        <v>0.35</v>
      </c>
      <c r="K188" s="6">
        <v>540.56231700000001</v>
      </c>
      <c r="L188" s="3">
        <v>0</v>
      </c>
      <c r="M188" s="3">
        <f t="shared" si="20"/>
        <v>0.35</v>
      </c>
      <c r="N188" s="5"/>
      <c r="O188" s="5"/>
      <c r="P188" s="5"/>
      <c r="Q188" s="5"/>
      <c r="R188" s="1"/>
      <c r="S188" s="3" t="s">
        <v>84</v>
      </c>
      <c r="T188" s="3">
        <v>0.9</v>
      </c>
      <c r="U188" s="3">
        <v>0.5</v>
      </c>
      <c r="V188" s="3">
        <v>0.6</v>
      </c>
      <c r="W188" s="3">
        <v>0.32</v>
      </c>
      <c r="X188" s="7">
        <v>533.54058799999996</v>
      </c>
      <c r="Y188" s="3">
        <v>1E-3</v>
      </c>
      <c r="AA188" s="3" t="s">
        <v>84</v>
      </c>
      <c r="AB188" s="3">
        <v>0.32</v>
      </c>
      <c r="AC188" s="6">
        <v>522.33776899999998</v>
      </c>
      <c r="AD188" s="3">
        <v>1E-3</v>
      </c>
      <c r="AE188" s="3">
        <f t="shared" si="21"/>
        <v>0.45999999999999996</v>
      </c>
      <c r="AF188" s="5"/>
      <c r="AG188" s="5"/>
      <c r="AH188" s="5"/>
      <c r="AI188" s="5"/>
      <c r="AJ188" s="1"/>
      <c r="AK188" s="3" t="s">
        <v>85</v>
      </c>
      <c r="AL188" s="3">
        <v>0.9</v>
      </c>
      <c r="AM188" s="3">
        <v>0.5</v>
      </c>
      <c r="AN188" s="3">
        <v>0.6</v>
      </c>
      <c r="AO188" s="3">
        <v>0.44</v>
      </c>
      <c r="AP188" s="6">
        <v>904.44348100000002</v>
      </c>
      <c r="AQ188" s="3">
        <v>5.0000000000000001E-3</v>
      </c>
      <c r="AS188" s="3" t="s">
        <v>85</v>
      </c>
      <c r="AT188" s="3">
        <v>0.37</v>
      </c>
      <c r="AU188" s="7">
        <v>905.27685499999995</v>
      </c>
      <c r="AV188" s="3">
        <v>0</v>
      </c>
      <c r="AW188" s="3">
        <f t="shared" si="22"/>
        <v>0.40500000000000003</v>
      </c>
      <c r="AX188" s="5"/>
      <c r="AY188" s="5"/>
      <c r="AZ188" s="5"/>
      <c r="BA188" s="5"/>
      <c r="BB188" s="1"/>
      <c r="BC188" s="3" t="s">
        <v>85</v>
      </c>
      <c r="BD188" s="3">
        <v>0.9</v>
      </c>
      <c r="BE188" s="3">
        <v>0.5</v>
      </c>
      <c r="BF188" s="3">
        <v>0.6</v>
      </c>
      <c r="BG188" s="3">
        <v>0.3</v>
      </c>
      <c r="BH188" s="6">
        <v>884.730591</v>
      </c>
      <c r="BI188" s="3">
        <v>5.0000000000000001E-3</v>
      </c>
      <c r="BK188" s="3" t="s">
        <v>85</v>
      </c>
      <c r="BL188" s="3">
        <v>0.3</v>
      </c>
      <c r="BM188" s="7">
        <v>901.70068400000002</v>
      </c>
      <c r="BN188" s="3">
        <v>1E-3</v>
      </c>
      <c r="BO188" s="3">
        <f t="shared" si="23"/>
        <v>0.3</v>
      </c>
    </row>
    <row r="189" spans="1:71" x14ac:dyDescent="0.3">
      <c r="A189" s="3" t="s">
        <v>86</v>
      </c>
      <c r="B189" s="3">
        <v>0.9</v>
      </c>
      <c r="C189" s="3">
        <v>0.5</v>
      </c>
      <c r="D189" s="3">
        <v>0.6</v>
      </c>
      <c r="E189" s="3">
        <v>0.32</v>
      </c>
      <c r="F189" s="7">
        <v>578.99816899999996</v>
      </c>
      <c r="G189" s="3">
        <v>1E-3</v>
      </c>
      <c r="I189" s="3" t="s">
        <v>86</v>
      </c>
      <c r="J189" s="3">
        <v>0.34</v>
      </c>
      <c r="K189" s="6">
        <v>577.27233899999999</v>
      </c>
      <c r="L189" s="3">
        <v>0</v>
      </c>
      <c r="M189" s="3">
        <f t="shared" si="20"/>
        <v>0.33</v>
      </c>
      <c r="N189" s="5"/>
      <c r="O189" s="5"/>
      <c r="P189" s="5"/>
      <c r="Q189" s="5"/>
      <c r="R189" s="1"/>
      <c r="S189" s="3" t="s">
        <v>86</v>
      </c>
      <c r="T189" s="3">
        <v>0.9</v>
      </c>
      <c r="U189" s="3">
        <v>0.5</v>
      </c>
      <c r="V189" s="3">
        <v>0.6</v>
      </c>
      <c r="W189" s="3">
        <v>0.32</v>
      </c>
      <c r="X189" s="6">
        <v>564.99883999999997</v>
      </c>
      <c r="Y189" s="3">
        <v>1E-3</v>
      </c>
      <c r="AA189" s="3" t="s">
        <v>86</v>
      </c>
      <c r="AB189" s="3">
        <v>0.36</v>
      </c>
      <c r="AC189" s="7">
        <v>570.55761700000005</v>
      </c>
      <c r="AD189" s="3">
        <v>0</v>
      </c>
      <c r="AE189" s="3">
        <f t="shared" si="21"/>
        <v>0.48</v>
      </c>
      <c r="AF189" s="5"/>
      <c r="AG189" s="5"/>
      <c r="AH189" s="5"/>
      <c r="AI189" s="5"/>
      <c r="AJ189" s="1"/>
      <c r="AK189" s="3" t="s">
        <v>87</v>
      </c>
      <c r="AL189" s="3">
        <v>0.9</v>
      </c>
      <c r="AM189" s="3">
        <v>0.5</v>
      </c>
      <c r="AN189" s="3">
        <v>0.6</v>
      </c>
      <c r="AO189" s="3">
        <v>0.32</v>
      </c>
      <c r="AP189" s="6">
        <v>822.16558799999996</v>
      </c>
      <c r="AQ189" s="3">
        <v>5.0000000000000001E-3</v>
      </c>
      <c r="AS189" s="3" t="s">
        <v>87</v>
      </c>
      <c r="AT189" s="3">
        <v>0.3</v>
      </c>
      <c r="AU189" s="7">
        <v>827.95361300000002</v>
      </c>
      <c r="AV189" s="3">
        <v>1E-3</v>
      </c>
      <c r="AW189" s="3">
        <f t="shared" si="22"/>
        <v>0.31</v>
      </c>
      <c r="AX189" s="5"/>
      <c r="AY189" s="5"/>
      <c r="AZ189" s="5"/>
      <c r="BA189" s="5"/>
      <c r="BB189" s="1"/>
      <c r="BC189" s="3" t="s">
        <v>87</v>
      </c>
      <c r="BD189" s="3">
        <v>0.9</v>
      </c>
      <c r="BE189" s="3">
        <v>0.5</v>
      </c>
      <c r="BF189" s="3">
        <v>0.6</v>
      </c>
      <c r="BG189" s="3">
        <v>0.3</v>
      </c>
      <c r="BH189" s="6">
        <v>796.83819600000004</v>
      </c>
      <c r="BI189" s="3">
        <v>8.9999999999999993E-3</v>
      </c>
      <c r="BK189" s="3" t="s">
        <v>87</v>
      </c>
      <c r="BL189" s="3">
        <v>0.3</v>
      </c>
      <c r="BM189" s="7">
        <v>802.76861599999995</v>
      </c>
      <c r="BN189" s="3">
        <v>1E-3</v>
      </c>
      <c r="BO189" s="3">
        <f t="shared" si="23"/>
        <v>0.3</v>
      </c>
    </row>
    <row r="190" spans="1:71" x14ac:dyDescent="0.3">
      <c r="A190" s="3" t="s">
        <v>88</v>
      </c>
      <c r="B190" s="3">
        <v>0.9</v>
      </c>
      <c r="C190" s="3">
        <v>0.5</v>
      </c>
      <c r="D190" s="3">
        <v>0.6</v>
      </c>
      <c r="E190" s="3">
        <v>0.38</v>
      </c>
      <c r="F190" s="7">
        <v>505.50060999999999</v>
      </c>
      <c r="G190" s="3">
        <v>1E-3</v>
      </c>
      <c r="I190" s="3" t="s">
        <v>88</v>
      </c>
      <c r="J190" s="3">
        <v>0.35</v>
      </c>
      <c r="K190" s="6">
        <v>494.25366200000002</v>
      </c>
      <c r="L190" s="3">
        <v>0</v>
      </c>
      <c r="M190" s="3">
        <f t="shared" si="20"/>
        <v>0.36499999999999999</v>
      </c>
      <c r="N190" s="5"/>
      <c r="O190" s="5"/>
      <c r="P190" s="5"/>
      <c r="Q190" s="5"/>
      <c r="R190" s="1"/>
      <c r="S190" s="3" t="s">
        <v>88</v>
      </c>
      <c r="T190" s="3">
        <v>0.9</v>
      </c>
      <c r="U190" s="3">
        <v>0.5</v>
      </c>
      <c r="V190" s="3">
        <v>0.6</v>
      </c>
      <c r="W190" s="3">
        <v>0.31</v>
      </c>
      <c r="X190" s="7">
        <v>491.07955900000002</v>
      </c>
      <c r="Y190" s="3">
        <v>1E-3</v>
      </c>
      <c r="AA190" s="3" t="s">
        <v>88</v>
      </c>
      <c r="AB190" s="3">
        <v>0.37</v>
      </c>
      <c r="AC190" s="6">
        <v>475.74377399999997</v>
      </c>
      <c r="AD190" s="3">
        <v>0</v>
      </c>
      <c r="AE190" s="3">
        <f t="shared" si="21"/>
        <v>0.48499999999999999</v>
      </c>
      <c r="AF190" s="5"/>
      <c r="AG190" s="5"/>
      <c r="AH190" s="5"/>
      <c r="AI190" s="5"/>
      <c r="AJ190" s="1"/>
      <c r="AK190" s="3" t="s">
        <v>89</v>
      </c>
      <c r="AL190" s="3">
        <v>0.9</v>
      </c>
      <c r="AM190" s="3">
        <v>0.5</v>
      </c>
      <c r="AN190" s="3">
        <v>0.6</v>
      </c>
      <c r="AO190" s="3">
        <v>0.3</v>
      </c>
      <c r="AP190" s="6">
        <v>823.79486099999997</v>
      </c>
      <c r="AQ190" s="3">
        <v>5.0000000000000001E-3</v>
      </c>
      <c r="AS190" s="3" t="s">
        <v>89</v>
      </c>
      <c r="AT190" s="3">
        <v>0.33</v>
      </c>
      <c r="AU190" s="7">
        <v>836.11993399999994</v>
      </c>
      <c r="AV190" s="3">
        <v>1E-3</v>
      </c>
      <c r="AW190" s="3">
        <f t="shared" si="22"/>
        <v>0.315</v>
      </c>
      <c r="AX190" s="5"/>
      <c r="AY190" s="5"/>
      <c r="AZ190" s="5"/>
      <c r="BA190" s="5"/>
      <c r="BB190" s="1"/>
      <c r="BC190" s="3" t="s">
        <v>89</v>
      </c>
      <c r="BD190" s="3">
        <v>0.9</v>
      </c>
      <c r="BE190" s="3">
        <v>0.5</v>
      </c>
      <c r="BF190" s="3">
        <v>0.6</v>
      </c>
      <c r="BG190" s="3">
        <v>0.31</v>
      </c>
      <c r="BH190" s="7">
        <v>816.67156999999997</v>
      </c>
      <c r="BI190" s="3">
        <v>6.0000000000000001E-3</v>
      </c>
      <c r="BK190" s="3" t="s">
        <v>89</v>
      </c>
      <c r="BL190" s="3">
        <v>0.37</v>
      </c>
      <c r="BM190" s="6">
        <v>815.953125</v>
      </c>
      <c r="BN190" s="3">
        <v>1E-3</v>
      </c>
      <c r="BO190" s="3">
        <f t="shared" si="23"/>
        <v>0.33999999999999997</v>
      </c>
    </row>
    <row r="191" spans="1:71" x14ac:dyDescent="0.3">
      <c r="A191" s="3" t="s">
        <v>90</v>
      </c>
      <c r="B191" s="3">
        <v>0.9</v>
      </c>
      <c r="C191" s="3">
        <v>0.5</v>
      </c>
      <c r="D191" s="3">
        <v>0.6</v>
      </c>
      <c r="E191" s="3">
        <v>0.35</v>
      </c>
      <c r="F191" s="7">
        <v>449.83169600000002</v>
      </c>
      <c r="G191" s="3">
        <v>1E-3</v>
      </c>
      <c r="I191" s="3" t="s">
        <v>90</v>
      </c>
      <c r="J191" s="3">
        <v>0.3</v>
      </c>
      <c r="K191" s="6">
        <v>446.80285600000002</v>
      </c>
      <c r="L191" s="3">
        <v>0</v>
      </c>
      <c r="M191" s="3">
        <f t="shared" si="20"/>
        <v>0.32499999999999996</v>
      </c>
      <c r="N191" s="5"/>
      <c r="O191" s="5"/>
      <c r="P191" s="5"/>
      <c r="Q191" s="5"/>
      <c r="R191" s="1"/>
      <c r="S191" s="3" t="s">
        <v>90</v>
      </c>
      <c r="T191" s="3">
        <v>0.9</v>
      </c>
      <c r="U191" s="3">
        <v>0.5</v>
      </c>
      <c r="V191" s="3">
        <v>0.6</v>
      </c>
      <c r="W191" s="3">
        <v>0.31</v>
      </c>
      <c r="X191" s="6">
        <v>430.15756199999998</v>
      </c>
      <c r="Y191" s="3">
        <v>0</v>
      </c>
      <c r="AA191" s="3" t="s">
        <v>90</v>
      </c>
      <c r="AB191" s="3">
        <v>0.3</v>
      </c>
      <c r="AC191" s="7">
        <v>443.65585299999998</v>
      </c>
      <c r="AD191" s="3">
        <v>0</v>
      </c>
      <c r="AE191" s="3">
        <f t="shared" si="21"/>
        <v>0.44999999999999996</v>
      </c>
      <c r="AF191" s="5"/>
      <c r="AG191" s="5"/>
      <c r="AH191" s="5"/>
      <c r="AI191" s="5"/>
      <c r="AJ191" s="1"/>
      <c r="AK191" s="3" t="s">
        <v>91</v>
      </c>
      <c r="AL191" s="3">
        <v>0.9</v>
      </c>
      <c r="AM191" s="3">
        <v>0.5</v>
      </c>
      <c r="AN191" s="3">
        <v>0.6</v>
      </c>
      <c r="AO191" s="3">
        <v>0.32</v>
      </c>
      <c r="AP191" s="6">
        <v>805.19232199999999</v>
      </c>
      <c r="AQ191" s="3">
        <v>8.0000000000000002E-3</v>
      </c>
      <c r="AS191" s="3" t="s">
        <v>91</v>
      </c>
      <c r="AT191" s="3">
        <v>0.3</v>
      </c>
      <c r="AU191" s="7">
        <v>818.64788799999997</v>
      </c>
      <c r="AV191" s="3">
        <v>1E-3</v>
      </c>
      <c r="AW191" s="3">
        <f t="shared" si="22"/>
        <v>0.31</v>
      </c>
      <c r="AX191" s="5"/>
      <c r="AY191" s="5"/>
      <c r="AZ191" s="5"/>
      <c r="BA191" s="5"/>
      <c r="BB191" s="1"/>
      <c r="BC191" s="3" t="s">
        <v>91</v>
      </c>
      <c r="BD191" s="3">
        <v>0.9</v>
      </c>
      <c r="BE191" s="3">
        <v>0.5</v>
      </c>
      <c r="BF191" s="3">
        <v>0.6</v>
      </c>
      <c r="BG191" s="3">
        <v>0.3</v>
      </c>
      <c r="BH191" s="7">
        <v>815.38928199999998</v>
      </c>
      <c r="BI191" s="3">
        <v>5.0000000000000001E-3</v>
      </c>
      <c r="BK191" s="3" t="s">
        <v>91</v>
      </c>
      <c r="BL191" s="3">
        <v>0.36</v>
      </c>
      <c r="BM191" s="6">
        <v>804.53564500000005</v>
      </c>
      <c r="BN191" s="3">
        <v>0</v>
      </c>
      <c r="BO191" s="3">
        <f t="shared" si="23"/>
        <v>0.32999999999999996</v>
      </c>
    </row>
    <row r="192" spans="1:71" x14ac:dyDescent="0.3">
      <c r="A192" s="3" t="s">
        <v>92</v>
      </c>
      <c r="B192" s="3">
        <v>0.9</v>
      </c>
      <c r="C192" s="3">
        <v>0.5</v>
      </c>
      <c r="D192" s="3">
        <v>0.6</v>
      </c>
      <c r="E192" s="3">
        <v>0.32</v>
      </c>
      <c r="F192" s="6">
        <v>570.75750700000003</v>
      </c>
      <c r="G192" s="3">
        <v>1E-3</v>
      </c>
      <c r="I192" s="3" t="s">
        <v>92</v>
      </c>
      <c r="J192" s="3">
        <v>0.34</v>
      </c>
      <c r="K192" s="7">
        <v>574.43395999999996</v>
      </c>
      <c r="L192" s="3">
        <v>0</v>
      </c>
      <c r="M192" s="3">
        <f t="shared" si="20"/>
        <v>0.33</v>
      </c>
      <c r="N192" s="5"/>
      <c r="O192" s="5"/>
      <c r="P192" s="5"/>
      <c r="Q192" s="5"/>
      <c r="R192" s="1"/>
      <c r="S192" s="3" t="s">
        <v>92</v>
      </c>
      <c r="T192" s="3">
        <v>0.9</v>
      </c>
      <c r="U192" s="3">
        <v>0.5</v>
      </c>
      <c r="V192" s="3">
        <v>0.6</v>
      </c>
      <c r="W192" s="3">
        <v>0.42</v>
      </c>
      <c r="X192" s="6">
        <v>557.35961899999995</v>
      </c>
      <c r="Y192" s="3">
        <v>1E-3</v>
      </c>
      <c r="AA192" s="3" t="s">
        <v>92</v>
      </c>
      <c r="AB192" s="3">
        <v>0.32</v>
      </c>
      <c r="AC192" s="7">
        <v>558.94921899999997</v>
      </c>
      <c r="AD192" s="3">
        <v>0</v>
      </c>
      <c r="AE192" s="3">
        <f t="shared" si="21"/>
        <v>0.45999999999999996</v>
      </c>
      <c r="AF192" s="5"/>
      <c r="AG192" s="5"/>
      <c r="AH192" s="5"/>
      <c r="AI192" s="5"/>
      <c r="AJ192" s="1"/>
      <c r="AK192" s="3" t="s">
        <v>93</v>
      </c>
      <c r="AL192" s="3">
        <v>0.9</v>
      </c>
      <c r="AM192" s="3">
        <v>0.5</v>
      </c>
      <c r="AN192" s="3">
        <v>0.6</v>
      </c>
      <c r="AO192" s="3">
        <v>0.32</v>
      </c>
      <c r="AP192" s="6">
        <v>753.79382299999997</v>
      </c>
      <c r="AQ192" s="3">
        <v>4.0000000000000001E-3</v>
      </c>
      <c r="AS192" s="3" t="s">
        <v>93</v>
      </c>
      <c r="AT192" s="3">
        <v>0.31</v>
      </c>
      <c r="AU192" s="7">
        <v>755.50677499999995</v>
      </c>
      <c r="AV192" s="3">
        <v>1E-3</v>
      </c>
      <c r="AW192" s="3">
        <f t="shared" si="22"/>
        <v>0.315</v>
      </c>
      <c r="AX192" s="5"/>
      <c r="AY192" s="5"/>
      <c r="AZ192" s="5"/>
      <c r="BA192" s="5"/>
      <c r="BB192" s="1"/>
      <c r="BC192" s="3" t="s">
        <v>93</v>
      </c>
      <c r="BD192" s="3">
        <v>0.9</v>
      </c>
      <c r="BE192" s="3">
        <v>0.5</v>
      </c>
      <c r="BF192" s="3">
        <v>0.6</v>
      </c>
      <c r="BG192" s="3">
        <v>0.3</v>
      </c>
      <c r="BH192" s="7">
        <v>753.69787599999995</v>
      </c>
      <c r="BI192" s="3">
        <v>4.0000000000000001E-3</v>
      </c>
      <c r="BK192" s="3" t="s">
        <v>93</v>
      </c>
      <c r="BL192" s="3">
        <v>0.3</v>
      </c>
      <c r="BM192" s="6">
        <v>742.00183100000004</v>
      </c>
      <c r="BN192" s="3">
        <v>0</v>
      </c>
      <c r="BO192" s="3">
        <f t="shared" si="23"/>
        <v>0.3</v>
      </c>
    </row>
    <row r="193" spans="1:67" x14ac:dyDescent="0.3">
      <c r="A193" s="3" t="s">
        <v>94</v>
      </c>
      <c r="B193" s="3">
        <v>0.9</v>
      </c>
      <c r="C193" s="3">
        <v>0.5</v>
      </c>
      <c r="D193" s="3">
        <v>0.6</v>
      </c>
      <c r="E193" s="3">
        <v>0.32</v>
      </c>
      <c r="F193" s="6">
        <v>492.85751299999998</v>
      </c>
      <c r="G193" s="3">
        <v>1E-3</v>
      </c>
      <c r="I193" s="3" t="s">
        <v>94</v>
      </c>
      <c r="J193" s="3">
        <v>0.31</v>
      </c>
      <c r="K193" s="7">
        <v>515.23773200000005</v>
      </c>
      <c r="L193" s="3">
        <v>0</v>
      </c>
      <c r="M193" s="3">
        <f t="shared" si="20"/>
        <v>0.315</v>
      </c>
      <c r="N193" s="5"/>
      <c r="O193" s="5"/>
      <c r="P193" s="5"/>
      <c r="Q193" s="5"/>
      <c r="R193" s="1"/>
      <c r="S193" s="3" t="s">
        <v>94</v>
      </c>
      <c r="T193" s="3">
        <v>0.9</v>
      </c>
      <c r="U193" s="3">
        <v>0.5</v>
      </c>
      <c r="V193" s="3">
        <v>0.6</v>
      </c>
      <c r="W193" s="3">
        <v>0.39</v>
      </c>
      <c r="X193" s="6">
        <v>461.24389600000001</v>
      </c>
      <c r="Y193" s="3">
        <v>1E-3</v>
      </c>
      <c r="AA193" s="3" t="s">
        <v>94</v>
      </c>
      <c r="AB193" s="3">
        <v>0.32</v>
      </c>
      <c r="AC193" s="7">
        <v>497.77432299999998</v>
      </c>
      <c r="AD193" s="3">
        <v>0</v>
      </c>
      <c r="AE193" s="3">
        <f t="shared" si="21"/>
        <v>0.45999999999999996</v>
      </c>
      <c r="AF193" s="5"/>
      <c r="AG193" s="5"/>
      <c r="AH193" s="5"/>
      <c r="AI193" s="5"/>
      <c r="AJ193" s="1"/>
      <c r="AK193" s="3" t="s">
        <v>95</v>
      </c>
      <c r="AL193" s="3">
        <v>0.9</v>
      </c>
      <c r="AM193" s="3">
        <v>0.5</v>
      </c>
      <c r="AN193" s="3">
        <v>0.6</v>
      </c>
      <c r="AO193" s="3">
        <v>0.31</v>
      </c>
      <c r="AP193" s="6">
        <v>858.38269000000003</v>
      </c>
      <c r="AQ193" s="3">
        <v>5.0000000000000001E-3</v>
      </c>
      <c r="AS193" s="3" t="s">
        <v>95</v>
      </c>
      <c r="AT193" s="3">
        <v>0.35</v>
      </c>
      <c r="AU193" s="7">
        <v>862.42199700000003</v>
      </c>
      <c r="AV193" s="3">
        <v>1E-3</v>
      </c>
      <c r="AW193" s="3">
        <f t="shared" si="22"/>
        <v>0.32999999999999996</v>
      </c>
      <c r="AX193" s="5"/>
      <c r="AY193" s="5"/>
      <c r="AZ193" s="5"/>
      <c r="BA193" s="5"/>
      <c r="BB193" s="1"/>
      <c r="BC193" s="3" t="s">
        <v>95</v>
      </c>
      <c r="BD193" s="3">
        <v>0.9</v>
      </c>
      <c r="BE193" s="3">
        <v>0.5</v>
      </c>
      <c r="BF193" s="3">
        <v>0.6</v>
      </c>
      <c r="BG193" s="3">
        <v>0.32</v>
      </c>
      <c r="BH193" s="6">
        <v>846.85339399999998</v>
      </c>
      <c r="BI193" s="3">
        <v>8.0000000000000002E-3</v>
      </c>
      <c r="BK193" s="3" t="s">
        <v>95</v>
      </c>
      <c r="BL193" s="3">
        <v>0.3</v>
      </c>
      <c r="BM193" s="7">
        <v>858.457581</v>
      </c>
      <c r="BN193" s="3">
        <v>1E-3</v>
      </c>
      <c r="BO193" s="3">
        <f t="shared" si="23"/>
        <v>0.31</v>
      </c>
    </row>
    <row r="194" spans="1:67" x14ac:dyDescent="0.3">
      <c r="A194" s="3" t="s">
        <v>96</v>
      </c>
      <c r="B194" s="3">
        <v>0.9</v>
      </c>
      <c r="C194" s="3">
        <v>0.5</v>
      </c>
      <c r="D194" s="3">
        <v>0.6</v>
      </c>
      <c r="E194" s="3">
        <v>0.33</v>
      </c>
      <c r="F194" s="7">
        <v>612.248108</v>
      </c>
      <c r="G194" s="3">
        <v>1E-3</v>
      </c>
      <c r="I194" s="3" t="s">
        <v>96</v>
      </c>
      <c r="J194" s="3">
        <v>0.4</v>
      </c>
      <c r="K194" s="6">
        <v>601.84643600000004</v>
      </c>
      <c r="L194" s="3">
        <v>0</v>
      </c>
      <c r="M194" s="3">
        <f t="shared" si="20"/>
        <v>0.36499999999999999</v>
      </c>
      <c r="N194" s="5"/>
      <c r="O194" s="5"/>
      <c r="P194" s="5"/>
      <c r="Q194" s="5"/>
      <c r="R194" s="1"/>
      <c r="S194" s="3" t="s">
        <v>96</v>
      </c>
      <c r="T194" s="3">
        <v>0.9</v>
      </c>
      <c r="U194" s="3">
        <v>0.5</v>
      </c>
      <c r="V194" s="3">
        <v>0.6</v>
      </c>
      <c r="W194" s="3">
        <v>0.3</v>
      </c>
      <c r="X194" s="6">
        <v>597.36407499999996</v>
      </c>
      <c r="Y194" s="3">
        <v>1E-3</v>
      </c>
      <c r="AA194" s="3" t="s">
        <v>96</v>
      </c>
      <c r="AB194" s="3">
        <v>0.3</v>
      </c>
      <c r="AC194" s="7">
        <v>600.840149</v>
      </c>
      <c r="AD194" s="3">
        <v>0</v>
      </c>
      <c r="AE194" s="3">
        <f t="shared" si="21"/>
        <v>0.44999999999999996</v>
      </c>
      <c r="AF194" s="5"/>
      <c r="AG194" s="5"/>
      <c r="AH194" s="5"/>
      <c r="AI194" s="5"/>
      <c r="AJ194" s="1"/>
      <c r="AK194" s="3" t="s">
        <v>97</v>
      </c>
      <c r="AL194" s="3">
        <v>0.9</v>
      </c>
      <c r="AM194" s="3">
        <v>0.5</v>
      </c>
      <c r="AN194" s="3">
        <v>0.6</v>
      </c>
      <c r="AO194" s="3">
        <v>0.31</v>
      </c>
      <c r="AP194" s="6">
        <v>995.67285200000003</v>
      </c>
      <c r="AQ194" s="3">
        <v>5.0000000000000001E-3</v>
      </c>
      <c r="AS194" s="3" t="s">
        <v>97</v>
      </c>
      <c r="AT194" s="3">
        <v>0.31</v>
      </c>
      <c r="AU194" s="7">
        <v>1001.007263</v>
      </c>
      <c r="AV194" s="3">
        <v>0</v>
      </c>
      <c r="AW194" s="3">
        <f t="shared" si="22"/>
        <v>0.31</v>
      </c>
      <c r="AX194" s="5"/>
      <c r="AY194" s="5"/>
      <c r="AZ194" s="5"/>
      <c r="BA194" s="5"/>
      <c r="BB194" s="1"/>
      <c r="BC194" s="3" t="s">
        <v>97</v>
      </c>
      <c r="BD194" s="3">
        <v>0.9</v>
      </c>
      <c r="BE194" s="3">
        <v>0.5</v>
      </c>
      <c r="BF194" s="3">
        <v>0.6</v>
      </c>
      <c r="BG194" s="3">
        <v>0.32</v>
      </c>
      <c r="BH194" s="7">
        <v>990.84936500000003</v>
      </c>
      <c r="BI194" s="3">
        <v>8.0000000000000002E-3</v>
      </c>
      <c r="BK194" s="3" t="s">
        <v>97</v>
      </c>
      <c r="BL194" s="3">
        <v>0.36</v>
      </c>
      <c r="BM194" s="6">
        <v>984.72222899999997</v>
      </c>
      <c r="BN194" s="3">
        <v>2E-3</v>
      </c>
      <c r="BO194" s="3">
        <f t="shared" si="23"/>
        <v>0.33999999999999997</v>
      </c>
    </row>
    <row r="195" spans="1:67" x14ac:dyDescent="0.3">
      <c r="A195" s="3" t="s">
        <v>98</v>
      </c>
      <c r="B195" s="3">
        <v>0.9</v>
      </c>
      <c r="C195" s="3">
        <v>0.5</v>
      </c>
      <c r="D195" s="3">
        <v>0.6</v>
      </c>
      <c r="E195" s="3">
        <v>0.32</v>
      </c>
      <c r="F195" s="7">
        <v>501.096588</v>
      </c>
      <c r="G195" s="3">
        <v>1E-3</v>
      </c>
      <c r="I195" s="3" t="s">
        <v>98</v>
      </c>
      <c r="J195" s="3">
        <v>0.32</v>
      </c>
      <c r="K195" s="6">
        <v>481.28344700000002</v>
      </c>
      <c r="L195" s="3">
        <v>0</v>
      </c>
      <c r="M195" s="3">
        <f t="shared" si="20"/>
        <v>0.32</v>
      </c>
      <c r="N195" s="5"/>
      <c r="O195" s="5"/>
      <c r="P195" s="5"/>
      <c r="Q195" s="5"/>
      <c r="R195" s="1"/>
      <c r="S195" s="3" t="s">
        <v>98</v>
      </c>
      <c r="T195" s="3">
        <v>0.9</v>
      </c>
      <c r="U195" s="3">
        <v>0.5</v>
      </c>
      <c r="V195" s="3">
        <v>0.6</v>
      </c>
      <c r="W195" s="3">
        <v>0.36</v>
      </c>
      <c r="X195" s="6">
        <v>490.02441399999998</v>
      </c>
      <c r="Y195" s="3">
        <v>1E-3</v>
      </c>
      <c r="AA195" s="3" t="s">
        <v>98</v>
      </c>
      <c r="AB195" s="3">
        <v>0.3</v>
      </c>
      <c r="AC195" s="7">
        <v>491.54702800000001</v>
      </c>
      <c r="AD195" s="3">
        <v>0</v>
      </c>
      <c r="AE195" s="3">
        <f t="shared" si="21"/>
        <v>0.44999999999999996</v>
      </c>
      <c r="AF195" s="5"/>
      <c r="AG195" s="5"/>
      <c r="AH195" s="5"/>
      <c r="AI195" s="5"/>
      <c r="AJ195" s="1"/>
      <c r="AK195" s="3" t="s">
        <v>99</v>
      </c>
      <c r="AL195" s="3">
        <v>0.9</v>
      </c>
      <c r="AM195" s="3">
        <v>0.5</v>
      </c>
      <c r="AN195" s="3">
        <v>0.6</v>
      </c>
      <c r="AO195" s="3">
        <v>0.31</v>
      </c>
      <c r="AP195" s="6">
        <v>948.37786900000003</v>
      </c>
      <c r="AQ195" s="3">
        <v>7.0000000000000001E-3</v>
      </c>
      <c r="AS195" s="3" t="s">
        <v>99</v>
      </c>
      <c r="AT195" s="3">
        <v>0.31</v>
      </c>
      <c r="AU195" s="7">
        <v>959.43914800000005</v>
      </c>
      <c r="AV195" s="3">
        <v>0</v>
      </c>
      <c r="AW195" s="3">
        <f t="shared" si="22"/>
        <v>0.31</v>
      </c>
      <c r="AX195" s="5"/>
      <c r="AY195" s="5"/>
      <c r="AZ195" s="5"/>
      <c r="BA195" s="5"/>
      <c r="BB195" s="1"/>
      <c r="BC195" s="3" t="s">
        <v>99</v>
      </c>
      <c r="BD195" s="3">
        <v>0.9</v>
      </c>
      <c r="BE195" s="3">
        <v>0.5</v>
      </c>
      <c r="BF195" s="3">
        <v>0.6</v>
      </c>
      <c r="BG195" s="3">
        <v>0.3</v>
      </c>
      <c r="BH195" s="6">
        <v>944.84509300000002</v>
      </c>
      <c r="BI195" s="3">
        <v>8.9999999999999993E-3</v>
      </c>
      <c r="BK195" s="3" t="s">
        <v>99</v>
      </c>
      <c r="BL195" s="3">
        <v>0.3</v>
      </c>
      <c r="BM195" s="7">
        <v>946.503784</v>
      </c>
      <c r="BN195" s="3">
        <v>1E-3</v>
      </c>
      <c r="BO195" s="3">
        <f t="shared" si="23"/>
        <v>0.3</v>
      </c>
    </row>
    <row r="196" spans="1:67" x14ac:dyDescent="0.3">
      <c r="A196" s="3" t="s">
        <v>100</v>
      </c>
      <c r="B196" s="3">
        <v>0.9</v>
      </c>
      <c r="C196" s="3">
        <v>0.5</v>
      </c>
      <c r="D196" s="3">
        <v>0.6</v>
      </c>
      <c r="E196" s="3">
        <v>0.3</v>
      </c>
      <c r="F196" s="7">
        <v>621.19030799999996</v>
      </c>
      <c r="G196" s="3">
        <v>1E-3</v>
      </c>
      <c r="I196" s="3" t="s">
        <v>100</v>
      </c>
      <c r="J196" s="3">
        <v>0.31</v>
      </c>
      <c r="K196" s="6">
        <v>620.45202600000005</v>
      </c>
      <c r="L196" s="3">
        <v>0</v>
      </c>
      <c r="M196" s="3">
        <f t="shared" si="20"/>
        <v>0.30499999999999999</v>
      </c>
      <c r="N196" s="5"/>
      <c r="O196" s="5"/>
      <c r="P196" s="5"/>
      <c r="Q196" s="5"/>
      <c r="R196" s="1"/>
      <c r="S196" s="3" t="s">
        <v>100</v>
      </c>
      <c r="T196" s="3">
        <v>0.9</v>
      </c>
      <c r="U196" s="3">
        <v>0.5</v>
      </c>
      <c r="V196" s="3">
        <v>0.6</v>
      </c>
      <c r="W196" s="3">
        <v>0.3</v>
      </c>
      <c r="X196" s="6">
        <v>624.34954800000003</v>
      </c>
      <c r="Y196" s="3">
        <v>1E-3</v>
      </c>
      <c r="AA196" s="3" t="s">
        <v>100</v>
      </c>
      <c r="AB196" s="3">
        <v>0.3</v>
      </c>
      <c r="AC196" s="7">
        <v>627.88732900000002</v>
      </c>
      <c r="AD196" s="3">
        <v>0</v>
      </c>
      <c r="AE196" s="3">
        <f t="shared" si="21"/>
        <v>0.44999999999999996</v>
      </c>
      <c r="AF196" s="5"/>
      <c r="AG196" s="5"/>
      <c r="AH196" s="5"/>
      <c r="AI196" s="5"/>
      <c r="AJ196" s="1"/>
      <c r="AK196" s="3" t="s">
        <v>101</v>
      </c>
      <c r="AL196" s="3">
        <v>0.9</v>
      </c>
      <c r="AM196" s="3">
        <v>0.5</v>
      </c>
      <c r="AN196" s="3">
        <v>0.6</v>
      </c>
      <c r="AO196" s="3">
        <v>0.32</v>
      </c>
      <c r="AP196" s="6">
        <v>865.01776099999995</v>
      </c>
      <c r="AQ196" s="3">
        <v>4.0000000000000001E-3</v>
      </c>
      <c r="AS196" s="3" t="s">
        <v>101</v>
      </c>
      <c r="AT196" s="3">
        <v>0.31</v>
      </c>
      <c r="AU196" s="7">
        <v>872.84472700000003</v>
      </c>
      <c r="AV196" s="3">
        <v>0</v>
      </c>
      <c r="AW196" s="3">
        <f t="shared" si="22"/>
        <v>0.315</v>
      </c>
      <c r="AX196" s="5"/>
      <c r="AY196" s="5"/>
      <c r="AZ196" s="5"/>
      <c r="BA196" s="5"/>
      <c r="BB196" s="1"/>
      <c r="BC196" s="3" t="s">
        <v>101</v>
      </c>
      <c r="BD196" s="3">
        <v>0.9</v>
      </c>
      <c r="BE196" s="3">
        <v>0.5</v>
      </c>
      <c r="BF196" s="3">
        <v>0.6</v>
      </c>
      <c r="BG196" s="3">
        <v>0.3</v>
      </c>
      <c r="BH196" s="6">
        <v>857.73065199999996</v>
      </c>
      <c r="BI196" s="3">
        <v>8.9999999999999993E-3</v>
      </c>
      <c r="BK196" s="3" t="s">
        <v>101</v>
      </c>
      <c r="BL196" s="3">
        <v>0.3</v>
      </c>
      <c r="BM196" s="7">
        <v>872.544128</v>
      </c>
      <c r="BN196" s="3">
        <v>0</v>
      </c>
      <c r="BO196" s="3">
        <f t="shared" si="23"/>
        <v>0.3</v>
      </c>
    </row>
    <row r="197" spans="1:67" x14ac:dyDescent="0.3">
      <c r="A197" s="3" t="s">
        <v>102</v>
      </c>
      <c r="B197" s="3">
        <v>0.9</v>
      </c>
      <c r="C197" s="3">
        <v>0.5</v>
      </c>
      <c r="D197" s="3">
        <v>0.6</v>
      </c>
      <c r="E197" s="3">
        <v>0.42</v>
      </c>
      <c r="F197" s="7">
        <v>621.00225799999998</v>
      </c>
      <c r="G197" s="3">
        <v>1E-3</v>
      </c>
      <c r="I197" s="3" t="s">
        <v>102</v>
      </c>
      <c r="J197" s="3">
        <v>0.3</v>
      </c>
      <c r="K197" s="6">
        <v>620.04492200000004</v>
      </c>
      <c r="L197" s="3">
        <v>0</v>
      </c>
      <c r="M197" s="3">
        <f t="shared" si="20"/>
        <v>0.36</v>
      </c>
      <c r="N197" s="5"/>
      <c r="O197" s="5"/>
      <c r="P197" s="5"/>
      <c r="Q197" s="5"/>
      <c r="R197" s="1"/>
      <c r="S197" s="3" t="s">
        <v>102</v>
      </c>
      <c r="T197" s="3">
        <v>0.9</v>
      </c>
      <c r="U197" s="3">
        <v>0.5</v>
      </c>
      <c r="V197" s="3">
        <v>0.6</v>
      </c>
      <c r="W197" s="3">
        <v>0.35</v>
      </c>
      <c r="X197" s="7">
        <v>625.17913799999997</v>
      </c>
      <c r="Y197" s="3">
        <v>1E-3</v>
      </c>
      <c r="AA197" s="3" t="s">
        <v>102</v>
      </c>
      <c r="AB197" s="3">
        <v>0.39</v>
      </c>
      <c r="AC197" s="6">
        <v>620.56738299999995</v>
      </c>
      <c r="AD197" s="3">
        <v>0</v>
      </c>
      <c r="AE197" s="3">
        <f t="shared" si="21"/>
        <v>0.495</v>
      </c>
      <c r="AF197" s="5"/>
      <c r="AG197" s="5"/>
      <c r="AH197" s="5"/>
      <c r="AI197" s="5"/>
      <c r="AJ197" s="1"/>
      <c r="AK197" s="3" t="s">
        <v>103</v>
      </c>
      <c r="AL197" s="3">
        <v>0.9</v>
      </c>
      <c r="AM197" s="3">
        <v>0.5</v>
      </c>
      <c r="AN197" s="3">
        <v>0.6</v>
      </c>
      <c r="AO197" s="3">
        <v>0.3</v>
      </c>
      <c r="AP197" s="6">
        <v>890.98584000000005</v>
      </c>
      <c r="AQ197" s="3">
        <v>5.0000000000000001E-3</v>
      </c>
      <c r="AS197" s="3" t="s">
        <v>103</v>
      </c>
      <c r="AT197" s="3">
        <v>0.33</v>
      </c>
      <c r="AU197" s="7">
        <v>891.62347399999999</v>
      </c>
      <c r="AV197" s="3">
        <v>0</v>
      </c>
      <c r="AW197" s="3">
        <f t="shared" si="22"/>
        <v>0.315</v>
      </c>
      <c r="AX197" s="5"/>
      <c r="AY197" s="5"/>
      <c r="AZ197" s="5"/>
      <c r="BA197" s="5"/>
      <c r="BB197" s="1"/>
      <c r="BC197" s="3" t="s">
        <v>103</v>
      </c>
      <c r="BD197" s="3">
        <v>0.9</v>
      </c>
      <c r="BE197" s="3">
        <v>0.5</v>
      </c>
      <c r="BF197" s="3">
        <v>0.6</v>
      </c>
      <c r="BG197" s="3">
        <v>0.33</v>
      </c>
      <c r="BH197" s="7">
        <v>878.36749299999997</v>
      </c>
      <c r="BI197" s="3">
        <v>7.0000000000000001E-3</v>
      </c>
      <c r="BK197" s="3" t="s">
        <v>103</v>
      </c>
      <c r="BL197" s="3">
        <v>0.36</v>
      </c>
      <c r="BM197" s="7">
        <v>891.76861599999995</v>
      </c>
      <c r="BN197" s="3">
        <v>0</v>
      </c>
      <c r="BO197" s="3">
        <f t="shared" si="23"/>
        <v>0.34499999999999997</v>
      </c>
    </row>
    <row r="198" spans="1:67" x14ac:dyDescent="0.3">
      <c r="A198" s="3" t="s">
        <v>104</v>
      </c>
      <c r="B198" s="3">
        <v>0.9</v>
      </c>
      <c r="C198" s="3">
        <v>0.5</v>
      </c>
      <c r="D198" s="3">
        <v>0.6</v>
      </c>
      <c r="E198" s="3">
        <v>0.36</v>
      </c>
      <c r="F198" s="6">
        <v>611.07507299999997</v>
      </c>
      <c r="G198" s="3">
        <v>1E-3</v>
      </c>
      <c r="I198" s="3" t="s">
        <v>104</v>
      </c>
      <c r="J198" s="3">
        <v>0.35</v>
      </c>
      <c r="K198" s="7">
        <v>615.671021</v>
      </c>
      <c r="L198" s="3">
        <v>0</v>
      </c>
      <c r="M198" s="3">
        <f t="shared" si="20"/>
        <v>0.35499999999999998</v>
      </c>
      <c r="N198" s="5"/>
      <c r="O198" s="5"/>
      <c r="P198" s="5"/>
      <c r="Q198" s="5"/>
      <c r="R198" s="1"/>
      <c r="S198" s="3" t="s">
        <v>104</v>
      </c>
      <c r="T198" s="3">
        <v>0.9</v>
      </c>
      <c r="U198" s="3">
        <v>0.5</v>
      </c>
      <c r="V198" s="3">
        <v>0.6</v>
      </c>
      <c r="W198" s="3">
        <v>0.32</v>
      </c>
      <c r="X198" s="7">
        <v>618.05316200000004</v>
      </c>
      <c r="Y198" s="3">
        <v>1E-3</v>
      </c>
      <c r="AA198" s="3" t="s">
        <v>104</v>
      </c>
      <c r="AB198" s="3">
        <v>0.3</v>
      </c>
      <c r="AC198" s="6">
        <v>613.19152799999995</v>
      </c>
      <c r="AD198" s="3">
        <v>0</v>
      </c>
      <c r="AE198" s="3">
        <f t="shared" si="21"/>
        <v>0.44999999999999996</v>
      </c>
      <c r="AF198" s="5"/>
      <c r="AG198" s="5"/>
      <c r="AH198" s="5"/>
      <c r="AI198" s="5"/>
      <c r="AJ198" s="1"/>
      <c r="AK198" s="3" t="s">
        <v>105</v>
      </c>
      <c r="AL198" s="3">
        <v>0.9</v>
      </c>
      <c r="AM198" s="3">
        <v>0.5</v>
      </c>
      <c r="AN198" s="3">
        <v>0.6</v>
      </c>
      <c r="AO198" s="3">
        <v>0.33</v>
      </c>
      <c r="AP198" s="6">
        <v>1001.615112</v>
      </c>
      <c r="AQ198" s="3">
        <v>5.0000000000000001E-3</v>
      </c>
      <c r="AS198" s="3" t="s">
        <v>105</v>
      </c>
      <c r="AT198" s="3">
        <v>0.32</v>
      </c>
      <c r="AU198" s="7">
        <v>1009.709412</v>
      </c>
      <c r="AV198" s="3">
        <v>0</v>
      </c>
      <c r="AW198" s="3">
        <f t="shared" si="22"/>
        <v>0.32500000000000001</v>
      </c>
      <c r="AX198" s="5"/>
      <c r="AY198" s="5"/>
      <c r="AZ198" s="5"/>
      <c r="BA198" s="5"/>
      <c r="BB198" s="1"/>
      <c r="BC198" s="3" t="s">
        <v>105</v>
      </c>
      <c r="BD198" s="3">
        <v>0.9</v>
      </c>
      <c r="BE198" s="3">
        <v>0.5</v>
      </c>
      <c r="BF198" s="3">
        <v>0.6</v>
      </c>
      <c r="BG198" s="3">
        <v>0.32</v>
      </c>
      <c r="BH198" s="6">
        <v>1013.7323</v>
      </c>
      <c r="BI198" s="3">
        <v>8.0000000000000002E-3</v>
      </c>
      <c r="BK198" s="3" t="s">
        <v>105</v>
      </c>
      <c r="BL198" s="3">
        <v>0.31</v>
      </c>
      <c r="BM198" s="7">
        <v>1022.7597050000001</v>
      </c>
      <c r="BN198" s="3">
        <v>1E-3</v>
      </c>
      <c r="BO198" s="3">
        <f t="shared" si="23"/>
        <v>0.315</v>
      </c>
    </row>
    <row r="199" spans="1:67" x14ac:dyDescent="0.3">
      <c r="A199" s="3" t="s">
        <v>106</v>
      </c>
      <c r="B199" s="3">
        <v>0.9</v>
      </c>
      <c r="C199" s="3">
        <v>0.5</v>
      </c>
      <c r="D199" s="3">
        <v>0.6</v>
      </c>
      <c r="E199" s="3">
        <v>0.36</v>
      </c>
      <c r="F199" s="6">
        <v>569.10693400000002</v>
      </c>
      <c r="G199" s="3">
        <v>1E-3</v>
      </c>
      <c r="I199" s="3" t="s">
        <v>106</v>
      </c>
      <c r="J199" s="3">
        <v>0.3</v>
      </c>
      <c r="K199" s="7">
        <v>571.59448199999997</v>
      </c>
      <c r="L199" s="3">
        <v>1E-3</v>
      </c>
      <c r="M199" s="3">
        <f t="shared" si="20"/>
        <v>0.32999999999999996</v>
      </c>
      <c r="N199" s="5"/>
      <c r="O199" s="5"/>
      <c r="P199" s="5"/>
      <c r="Q199" s="5"/>
      <c r="R199" s="1"/>
      <c r="S199" s="3" t="s">
        <v>106</v>
      </c>
      <c r="T199" s="3">
        <v>0.9</v>
      </c>
      <c r="U199" s="3">
        <v>0.5</v>
      </c>
      <c r="V199" s="3">
        <v>0.6</v>
      </c>
      <c r="W199" s="3">
        <v>0.31</v>
      </c>
      <c r="X199" s="6">
        <v>565.73449700000003</v>
      </c>
      <c r="Y199" s="3">
        <v>1E-3</v>
      </c>
      <c r="AA199" s="3" t="s">
        <v>106</v>
      </c>
      <c r="AB199" s="3">
        <v>0.31</v>
      </c>
      <c r="AC199" s="7">
        <v>569.17083700000001</v>
      </c>
      <c r="AD199" s="3">
        <v>0</v>
      </c>
      <c r="AE199" s="3">
        <f t="shared" si="21"/>
        <v>0.45499999999999996</v>
      </c>
      <c r="AF199" s="5"/>
      <c r="AG199" s="5"/>
      <c r="AH199" s="5"/>
      <c r="AI199" s="5"/>
      <c r="AJ199" s="1"/>
      <c r="AK199" s="3" t="s">
        <v>107</v>
      </c>
      <c r="AL199" s="3">
        <v>0.9</v>
      </c>
      <c r="AM199" s="3">
        <v>0.5</v>
      </c>
      <c r="AN199" s="3">
        <v>0.6</v>
      </c>
      <c r="AO199" s="3">
        <v>0.31</v>
      </c>
      <c r="AP199" s="6">
        <v>1055.0595699999999</v>
      </c>
      <c r="AQ199" s="3">
        <v>7.0000000000000001E-3</v>
      </c>
      <c r="AS199" s="3" t="s">
        <v>107</v>
      </c>
      <c r="AT199" s="3">
        <v>0.3</v>
      </c>
      <c r="AU199" s="7">
        <v>1081.365601</v>
      </c>
      <c r="AV199" s="3">
        <v>0</v>
      </c>
      <c r="AW199" s="3">
        <f t="shared" si="22"/>
        <v>0.30499999999999999</v>
      </c>
      <c r="AX199" s="5"/>
      <c r="AY199" s="5"/>
      <c r="AZ199" s="5"/>
      <c r="BA199" s="5"/>
      <c r="BB199" s="1"/>
      <c r="BC199" s="3" t="s">
        <v>107</v>
      </c>
      <c r="BD199" s="3">
        <v>0.9</v>
      </c>
      <c r="BE199" s="3">
        <v>0.5</v>
      </c>
      <c r="BF199" s="3">
        <v>0.6</v>
      </c>
      <c r="BG199" s="3">
        <v>0.31</v>
      </c>
      <c r="BH199" s="6">
        <v>1069.0131839999999</v>
      </c>
      <c r="BI199" s="3">
        <v>7.0000000000000001E-3</v>
      </c>
      <c r="BK199" s="3" t="s">
        <v>107</v>
      </c>
      <c r="BL199" s="3">
        <v>0.33</v>
      </c>
      <c r="BM199" s="7">
        <v>1074.30835</v>
      </c>
      <c r="BN199" s="3">
        <v>0</v>
      </c>
      <c r="BO199" s="3">
        <f t="shared" si="23"/>
        <v>0.32</v>
      </c>
    </row>
    <row r="200" spans="1:67" x14ac:dyDescent="0.3">
      <c r="A200" s="3" t="s">
        <v>108</v>
      </c>
      <c r="B200" s="3">
        <v>0.9</v>
      </c>
      <c r="C200" s="3">
        <v>0.5</v>
      </c>
      <c r="D200" s="3">
        <v>0.6</v>
      </c>
      <c r="E200" s="3">
        <v>0.45</v>
      </c>
      <c r="F200" s="7">
        <v>616.53454599999998</v>
      </c>
      <c r="G200" s="3">
        <v>1E-3</v>
      </c>
      <c r="I200" s="3" t="s">
        <v>108</v>
      </c>
      <c r="J200" s="3">
        <v>0.47</v>
      </c>
      <c r="K200" s="6">
        <v>606.82379200000003</v>
      </c>
      <c r="L200" s="3">
        <v>0</v>
      </c>
      <c r="M200" s="3">
        <f t="shared" si="20"/>
        <v>0.45999999999999996</v>
      </c>
      <c r="N200" s="5"/>
      <c r="O200" s="5"/>
      <c r="P200" s="5"/>
      <c r="Q200" s="5"/>
      <c r="R200" s="1"/>
      <c r="S200" s="3" t="s">
        <v>108</v>
      </c>
      <c r="T200" s="3">
        <v>0.9</v>
      </c>
      <c r="U200" s="3">
        <v>0.5</v>
      </c>
      <c r="V200" s="3">
        <v>0.6</v>
      </c>
      <c r="W200" s="3">
        <v>0.44</v>
      </c>
      <c r="X200" s="6">
        <v>590.64221199999997</v>
      </c>
      <c r="Y200" s="3">
        <v>1E-3</v>
      </c>
      <c r="AA200" s="3" t="s">
        <v>108</v>
      </c>
      <c r="AB200" s="3">
        <v>0.31</v>
      </c>
      <c r="AC200" s="7">
        <v>596.95001200000002</v>
      </c>
      <c r="AD200" s="3">
        <v>0</v>
      </c>
      <c r="AE200" s="3">
        <f t="shared" si="21"/>
        <v>0.45499999999999996</v>
      </c>
      <c r="AF200" s="5"/>
      <c r="AG200" s="5"/>
      <c r="AH200" s="5"/>
      <c r="AI200" s="5"/>
      <c r="AJ200" s="1"/>
      <c r="AK200" s="3" t="s">
        <v>109</v>
      </c>
      <c r="AL200" s="3">
        <v>0.9</v>
      </c>
      <c r="AM200" s="3">
        <v>0.5</v>
      </c>
      <c r="AN200" s="3">
        <v>0.6</v>
      </c>
      <c r="AO200" s="3">
        <v>0.3</v>
      </c>
      <c r="AP200" s="6">
        <v>899.44390899999996</v>
      </c>
      <c r="AQ200" s="3">
        <v>6.7000000000000004E-2</v>
      </c>
      <c r="AS200" s="3" t="s">
        <v>109</v>
      </c>
      <c r="AT200" s="3">
        <v>0.35</v>
      </c>
      <c r="AU200" s="7">
        <v>925.77734399999997</v>
      </c>
      <c r="AV200" s="3">
        <v>0</v>
      </c>
      <c r="AW200" s="3">
        <f t="shared" si="22"/>
        <v>0.32499999999999996</v>
      </c>
      <c r="AX200" s="5"/>
      <c r="AY200" s="5"/>
      <c r="AZ200" s="5"/>
      <c r="BA200" s="5"/>
      <c r="BB200" s="1"/>
      <c r="BC200" s="3" t="s">
        <v>109</v>
      </c>
      <c r="BD200" s="3">
        <v>0.9</v>
      </c>
      <c r="BE200" s="3">
        <v>0.5</v>
      </c>
      <c r="BF200" s="3">
        <v>0.6</v>
      </c>
      <c r="BG200" s="3">
        <v>0.32</v>
      </c>
      <c r="BH200" s="7">
        <v>932.87847899999997</v>
      </c>
      <c r="BI200" s="3">
        <v>7.0000000000000001E-3</v>
      </c>
      <c r="BK200" s="3" t="s">
        <v>109</v>
      </c>
      <c r="BL200" s="3">
        <v>0.32</v>
      </c>
      <c r="BM200" s="6">
        <v>931.24926800000003</v>
      </c>
      <c r="BN200" s="3">
        <v>1E-3</v>
      </c>
      <c r="BO200" s="3">
        <f t="shared" si="23"/>
        <v>0.32</v>
      </c>
    </row>
    <row r="201" spans="1:67" x14ac:dyDescent="0.3">
      <c r="A201" s="3" t="s">
        <v>110</v>
      </c>
      <c r="B201" s="3">
        <v>0.9</v>
      </c>
      <c r="C201" s="3">
        <v>0.5</v>
      </c>
      <c r="D201" s="3">
        <v>0.6</v>
      </c>
      <c r="E201" s="3">
        <v>0.39</v>
      </c>
      <c r="F201" s="7">
        <v>608.02533000000005</v>
      </c>
      <c r="G201" s="3">
        <v>1E-3</v>
      </c>
      <c r="I201" s="3" t="s">
        <v>110</v>
      </c>
      <c r="J201" s="3">
        <v>0.32</v>
      </c>
      <c r="K201" s="6">
        <v>604.91857900000002</v>
      </c>
      <c r="L201" s="3">
        <v>0</v>
      </c>
      <c r="M201" s="3">
        <f t="shared" si="20"/>
        <v>0.35499999999999998</v>
      </c>
      <c r="N201" s="5"/>
      <c r="O201" s="5"/>
      <c r="P201" s="5"/>
      <c r="Q201" s="5"/>
      <c r="R201" s="1"/>
      <c r="S201" s="3" t="s">
        <v>110</v>
      </c>
      <c r="T201" s="3">
        <v>0.9</v>
      </c>
      <c r="U201" s="3">
        <v>0.5</v>
      </c>
      <c r="V201" s="3">
        <v>0.6</v>
      </c>
      <c r="W201" s="3">
        <v>0.3</v>
      </c>
      <c r="X201" s="6">
        <v>608.77398700000003</v>
      </c>
      <c r="Y201" s="3">
        <v>1E-3</v>
      </c>
      <c r="AA201" s="3" t="s">
        <v>110</v>
      </c>
      <c r="AB201" s="3">
        <v>0.4</v>
      </c>
      <c r="AC201" s="7">
        <v>617.682861</v>
      </c>
      <c r="AD201" s="3">
        <v>1E-3</v>
      </c>
      <c r="AE201" s="3">
        <f t="shared" si="21"/>
        <v>0.5</v>
      </c>
      <c r="AF201" s="5"/>
      <c r="AG201" s="5"/>
      <c r="AH201" s="5"/>
      <c r="AI201" s="5"/>
      <c r="AJ201" s="1"/>
      <c r="AK201" s="3" t="s">
        <v>111</v>
      </c>
      <c r="AL201" s="3">
        <v>0.9</v>
      </c>
      <c r="AM201" s="3">
        <v>0.5</v>
      </c>
      <c r="AN201" s="3">
        <v>0.6</v>
      </c>
      <c r="AO201" s="3">
        <v>0.32</v>
      </c>
      <c r="AP201" s="6">
        <v>1034.003418</v>
      </c>
      <c r="AQ201" s="3">
        <v>5.0000000000000001E-3</v>
      </c>
      <c r="AS201" s="3" t="s">
        <v>111</v>
      </c>
      <c r="AT201" s="3">
        <v>0.32</v>
      </c>
      <c r="AU201" s="7">
        <v>1039.368164</v>
      </c>
      <c r="AV201" s="3">
        <v>0</v>
      </c>
      <c r="AW201" s="3">
        <f t="shared" si="22"/>
        <v>0.32</v>
      </c>
      <c r="AX201" s="5"/>
      <c r="AY201" s="5"/>
      <c r="AZ201" s="5"/>
      <c r="BA201" s="5"/>
      <c r="BB201" s="1"/>
      <c r="BC201" s="3" t="s">
        <v>111</v>
      </c>
      <c r="BD201" s="3">
        <v>0.9</v>
      </c>
      <c r="BE201" s="3">
        <v>0.5</v>
      </c>
      <c r="BF201" s="3">
        <v>0.6</v>
      </c>
      <c r="BG201" s="3">
        <v>0.31</v>
      </c>
      <c r="BH201" s="7">
        <v>1025.9023440000001</v>
      </c>
      <c r="BI201" s="3">
        <v>8.0000000000000002E-3</v>
      </c>
      <c r="BK201" s="3" t="s">
        <v>111</v>
      </c>
      <c r="BL201" s="3">
        <v>0.31</v>
      </c>
      <c r="BM201" s="6">
        <v>1012.4748540000001</v>
      </c>
      <c r="BN201" s="3">
        <v>1E-3</v>
      </c>
      <c r="BO201" s="3">
        <f t="shared" si="23"/>
        <v>0.31</v>
      </c>
    </row>
    <row r="202" spans="1:67" x14ac:dyDescent="0.3">
      <c r="A202" s="3" t="s">
        <v>112</v>
      </c>
      <c r="B202" s="3">
        <v>0.9</v>
      </c>
      <c r="C202" s="3">
        <v>0.5</v>
      </c>
      <c r="D202" s="3">
        <v>0.6</v>
      </c>
      <c r="E202" s="3">
        <v>0.33</v>
      </c>
      <c r="F202" s="7">
        <v>485.53790300000003</v>
      </c>
      <c r="G202" s="3">
        <v>1E-3</v>
      </c>
      <c r="I202" s="3" t="s">
        <v>112</v>
      </c>
      <c r="J202" s="3">
        <v>0.31</v>
      </c>
      <c r="K202" s="6">
        <v>478.221497</v>
      </c>
      <c r="L202" s="3">
        <v>0</v>
      </c>
      <c r="M202" s="3">
        <f t="shared" si="20"/>
        <v>0.32</v>
      </c>
      <c r="N202" s="5"/>
      <c r="O202" s="5"/>
      <c r="P202" s="5"/>
      <c r="Q202" s="5"/>
      <c r="R202" s="1"/>
      <c r="S202" s="3" t="s">
        <v>112</v>
      </c>
      <c r="T202" s="3">
        <v>0.9</v>
      </c>
      <c r="U202" s="3">
        <v>0.5</v>
      </c>
      <c r="V202" s="3">
        <v>0.6</v>
      </c>
      <c r="W202" s="3">
        <v>0.46</v>
      </c>
      <c r="X202" s="6">
        <v>465.01599099999999</v>
      </c>
      <c r="Y202" s="3">
        <v>0</v>
      </c>
      <c r="AA202" s="3" t="s">
        <v>112</v>
      </c>
      <c r="AB202" s="3">
        <v>0.31</v>
      </c>
      <c r="AC202" s="7">
        <v>467.274475</v>
      </c>
      <c r="AD202" s="3">
        <v>0</v>
      </c>
      <c r="AE202" s="3">
        <f t="shared" si="21"/>
        <v>0.45499999999999996</v>
      </c>
      <c r="AF202" s="5"/>
      <c r="AG202" s="5"/>
      <c r="AH202" s="5"/>
      <c r="AI202" s="5"/>
      <c r="AJ202" s="1"/>
      <c r="AK202" s="3" t="s">
        <v>113</v>
      </c>
      <c r="AL202" s="3">
        <v>0.9</v>
      </c>
      <c r="AM202" s="3">
        <v>0.5</v>
      </c>
      <c r="AN202" s="3">
        <v>0.6</v>
      </c>
      <c r="AO202" s="3">
        <v>0.3</v>
      </c>
      <c r="AP202" s="7">
        <v>935.31433100000004</v>
      </c>
      <c r="AQ202" s="3">
        <v>8.0000000000000002E-3</v>
      </c>
      <c r="AS202" s="3" t="s">
        <v>113</v>
      </c>
      <c r="AT202" s="3">
        <v>0.3</v>
      </c>
      <c r="AU202" s="6">
        <v>926.31604000000004</v>
      </c>
      <c r="AV202" s="3">
        <v>1E-3</v>
      </c>
      <c r="AW202" s="3">
        <f t="shared" si="22"/>
        <v>0.3</v>
      </c>
      <c r="AX202" s="5"/>
      <c r="AY202" s="5"/>
      <c r="AZ202" s="5"/>
      <c r="BA202" s="5"/>
      <c r="BB202" s="1"/>
      <c r="BC202" s="3" t="s">
        <v>113</v>
      </c>
      <c r="BD202" s="3">
        <v>0.9</v>
      </c>
      <c r="BE202" s="3">
        <v>0.5</v>
      </c>
      <c r="BF202" s="3">
        <v>0.6</v>
      </c>
      <c r="BG202" s="3">
        <v>0.31</v>
      </c>
      <c r="BH202" s="7">
        <v>936.152649</v>
      </c>
      <c r="BI202" s="3">
        <v>8.0000000000000002E-3</v>
      </c>
      <c r="BK202" s="3" t="s">
        <v>113</v>
      </c>
      <c r="BL202" s="3">
        <v>0.34</v>
      </c>
      <c r="BM202" s="6">
        <v>928.70452899999998</v>
      </c>
      <c r="BN202" s="3">
        <v>1E-3</v>
      </c>
      <c r="BO202" s="3">
        <f t="shared" si="23"/>
        <v>0.32500000000000001</v>
      </c>
    </row>
    <row r="203" spans="1:67" x14ac:dyDescent="0.3">
      <c r="A203" s="3" t="s">
        <v>114</v>
      </c>
      <c r="B203" s="3">
        <v>0.9</v>
      </c>
      <c r="C203" s="3">
        <v>0.5</v>
      </c>
      <c r="D203" s="3">
        <v>0.6</v>
      </c>
      <c r="E203" s="3">
        <v>0.31</v>
      </c>
      <c r="F203" s="6">
        <v>604.51617399999998</v>
      </c>
      <c r="G203" s="3">
        <v>1E-3</v>
      </c>
      <c r="I203" s="3" t="s">
        <v>114</v>
      </c>
      <c r="J203" s="3">
        <v>0.34</v>
      </c>
      <c r="K203" s="7">
        <v>613.42590299999995</v>
      </c>
      <c r="L203" s="3">
        <v>0</v>
      </c>
      <c r="M203" s="3">
        <f t="shared" si="20"/>
        <v>0.32500000000000001</v>
      </c>
      <c r="N203" s="5"/>
      <c r="O203" s="5"/>
      <c r="P203" s="5"/>
      <c r="Q203" s="5"/>
      <c r="R203" s="1"/>
      <c r="S203" s="3" t="s">
        <v>114</v>
      </c>
      <c r="T203" s="3">
        <v>0.9</v>
      </c>
      <c r="U203" s="3">
        <v>0.5</v>
      </c>
      <c r="V203" s="3">
        <v>0.6</v>
      </c>
      <c r="W203" s="3">
        <v>0.3</v>
      </c>
      <c r="X203" s="6">
        <v>603.61676</v>
      </c>
      <c r="Y203" s="3">
        <v>1E-3</v>
      </c>
      <c r="AA203" s="3" t="s">
        <v>114</v>
      </c>
      <c r="AB203" s="3">
        <v>0.42</v>
      </c>
      <c r="AC203" s="7">
        <v>606.38867200000004</v>
      </c>
      <c r="AD203" s="3">
        <v>0</v>
      </c>
      <c r="AE203" s="3">
        <f t="shared" si="21"/>
        <v>0.51</v>
      </c>
      <c r="AF203" s="5"/>
      <c r="AG203" s="5"/>
      <c r="AH203" s="5"/>
      <c r="AI203" s="5"/>
      <c r="AJ203" s="1"/>
      <c r="AK203" s="3" t="s">
        <v>115</v>
      </c>
      <c r="AL203" s="3">
        <v>0.9</v>
      </c>
      <c r="AM203" s="3">
        <v>0.5</v>
      </c>
      <c r="AN203" s="3">
        <v>0.6</v>
      </c>
      <c r="AO203" s="3">
        <v>0.31</v>
      </c>
      <c r="AP203" s="7">
        <v>1055.8446039999999</v>
      </c>
      <c r="AQ203" s="3">
        <v>8.0000000000000002E-3</v>
      </c>
      <c r="AS203" s="3" t="s">
        <v>115</v>
      </c>
      <c r="AT203" s="3">
        <v>0.3</v>
      </c>
      <c r="AU203" s="7">
        <v>1039.344116</v>
      </c>
      <c r="AV203" s="3">
        <v>2E-3</v>
      </c>
      <c r="AW203" s="3">
        <f t="shared" si="22"/>
        <v>0.30499999999999999</v>
      </c>
      <c r="AX203" s="5"/>
      <c r="AY203" s="5"/>
      <c r="AZ203" s="5"/>
      <c r="BA203" s="5"/>
      <c r="BB203" s="1"/>
      <c r="BC203" s="3" t="s">
        <v>115</v>
      </c>
      <c r="BD203" s="3">
        <v>0.9</v>
      </c>
      <c r="BE203" s="3">
        <v>0.5</v>
      </c>
      <c r="BF203" s="3">
        <v>0.6</v>
      </c>
      <c r="BG203" s="3">
        <v>0.33</v>
      </c>
      <c r="BH203" s="6">
        <v>1064.889038</v>
      </c>
      <c r="BI203" s="3">
        <v>8.0000000000000002E-3</v>
      </c>
      <c r="BK203" s="3" t="s">
        <v>115</v>
      </c>
      <c r="BL203" s="3">
        <v>0.3</v>
      </c>
      <c r="BM203" s="7">
        <v>1070.8244629999999</v>
      </c>
      <c r="BN203" s="3">
        <v>1E-3</v>
      </c>
      <c r="BO203" s="3">
        <f t="shared" si="23"/>
        <v>0.315</v>
      </c>
    </row>
    <row r="204" spans="1:67" x14ac:dyDescent="0.3">
      <c r="A204" s="3" t="s">
        <v>116</v>
      </c>
      <c r="B204" s="3">
        <v>0.9</v>
      </c>
      <c r="C204" s="3">
        <v>0.5</v>
      </c>
      <c r="D204" s="3">
        <v>0.6</v>
      </c>
      <c r="E204" s="3">
        <v>0.3</v>
      </c>
      <c r="F204" s="7">
        <v>649.48010299999999</v>
      </c>
      <c r="G204" s="3">
        <v>1E-3</v>
      </c>
      <c r="I204" s="3" t="s">
        <v>116</v>
      </c>
      <c r="J204" s="3">
        <v>0.38</v>
      </c>
      <c r="K204" s="6">
        <v>645.68804899999998</v>
      </c>
      <c r="L204" s="3">
        <v>0</v>
      </c>
      <c r="M204" s="3">
        <f t="shared" si="20"/>
        <v>0.33999999999999997</v>
      </c>
      <c r="N204" s="5"/>
      <c r="O204" s="5"/>
      <c r="P204" s="5"/>
      <c r="Q204" s="5"/>
      <c r="R204" s="1"/>
      <c r="S204" s="3" t="s">
        <v>116</v>
      </c>
      <c r="T204" s="3">
        <v>0.9</v>
      </c>
      <c r="U204" s="3">
        <v>0.5</v>
      </c>
      <c r="V204" s="3">
        <v>0.6</v>
      </c>
      <c r="W204" s="3">
        <v>0.3</v>
      </c>
      <c r="X204" s="7">
        <v>650.02648899999997</v>
      </c>
      <c r="Y204" s="3">
        <v>1E-3</v>
      </c>
      <c r="AA204" s="3" t="s">
        <v>116</v>
      </c>
      <c r="AB204" s="3">
        <v>0.3</v>
      </c>
      <c r="AC204" s="6">
        <v>647.36968999999999</v>
      </c>
      <c r="AD204" s="3">
        <v>0</v>
      </c>
      <c r="AE204" s="3">
        <f t="shared" si="21"/>
        <v>0.44999999999999996</v>
      </c>
      <c r="AF204" s="5"/>
      <c r="AG204" s="5"/>
      <c r="AH204" s="5"/>
      <c r="AI204" s="5"/>
      <c r="AJ204" s="1"/>
      <c r="AK204" s="3" t="s">
        <v>117</v>
      </c>
      <c r="AL204" s="3">
        <v>0.9</v>
      </c>
      <c r="AM204" s="3">
        <v>0.5</v>
      </c>
      <c r="AN204" s="3">
        <v>0.6</v>
      </c>
      <c r="AO204" s="3">
        <v>0.3</v>
      </c>
      <c r="AP204" s="6">
        <v>1008.569885</v>
      </c>
      <c r="AQ204" s="3">
        <v>8.9999999999999993E-3</v>
      </c>
      <c r="AS204" s="3" t="s">
        <v>117</v>
      </c>
      <c r="AT204" s="3">
        <v>0.32</v>
      </c>
      <c r="AU204" s="8">
        <v>1008.604004</v>
      </c>
      <c r="AV204" s="3">
        <v>1E-3</v>
      </c>
      <c r="AW204" s="3">
        <f t="shared" si="22"/>
        <v>0.31</v>
      </c>
      <c r="AX204" s="5"/>
      <c r="AY204" s="5"/>
      <c r="AZ204" s="5"/>
      <c r="BA204" s="5"/>
      <c r="BB204" s="1"/>
      <c r="BC204" s="3" t="s">
        <v>117</v>
      </c>
      <c r="BD204" s="3">
        <v>0.9</v>
      </c>
      <c r="BE204" s="3">
        <v>0.5</v>
      </c>
      <c r="BF204" s="3">
        <v>0.6</v>
      </c>
      <c r="BG204" s="3">
        <v>0.31</v>
      </c>
      <c r="BH204" s="7">
        <v>1010.422791</v>
      </c>
      <c r="BI204" s="3">
        <v>8.0000000000000002E-3</v>
      </c>
      <c r="BK204" s="3" t="s">
        <v>117</v>
      </c>
      <c r="BL204" s="3">
        <v>0.38</v>
      </c>
      <c r="BM204" s="6">
        <v>995.17016599999999</v>
      </c>
      <c r="BN204" s="3">
        <v>1E-3</v>
      </c>
      <c r="BO204" s="3">
        <f t="shared" si="23"/>
        <v>0.34499999999999997</v>
      </c>
    </row>
    <row r="205" spans="1:67" x14ac:dyDescent="0.3">
      <c r="A205" s="3" t="s">
        <v>118</v>
      </c>
      <c r="B205" s="3">
        <v>0.9</v>
      </c>
      <c r="C205" s="3">
        <v>0.5</v>
      </c>
      <c r="D205" s="3">
        <v>0.6</v>
      </c>
      <c r="E205" s="3">
        <v>0.32</v>
      </c>
      <c r="F205" s="6">
        <v>590.42388900000003</v>
      </c>
      <c r="G205" s="3">
        <v>1E-3</v>
      </c>
      <c r="I205" s="3" t="s">
        <v>118</v>
      </c>
      <c r="J205" s="3">
        <v>0.32</v>
      </c>
      <c r="K205" s="8">
        <v>590.52453600000001</v>
      </c>
      <c r="L205" s="3">
        <v>0</v>
      </c>
      <c r="M205" s="3">
        <f t="shared" si="20"/>
        <v>0.32</v>
      </c>
      <c r="N205" s="5"/>
      <c r="O205" s="5"/>
      <c r="P205" s="5"/>
      <c r="Q205" s="5"/>
      <c r="R205" s="1"/>
      <c r="S205" s="3" t="s">
        <v>118</v>
      </c>
      <c r="T205" s="3">
        <v>0.9</v>
      </c>
      <c r="U205" s="3">
        <v>0.5</v>
      </c>
      <c r="V205" s="3">
        <v>0.6</v>
      </c>
      <c r="W205" s="3">
        <v>0.34</v>
      </c>
      <c r="X205" s="7">
        <v>583.39367700000003</v>
      </c>
      <c r="Y205" s="3">
        <v>1E-3</v>
      </c>
      <c r="AA205" s="3" t="s">
        <v>118</v>
      </c>
      <c r="AB205" s="3">
        <v>0.31</v>
      </c>
      <c r="AC205" s="6">
        <v>582.87976100000003</v>
      </c>
      <c r="AD205" s="3">
        <v>0</v>
      </c>
      <c r="AE205" s="3">
        <f t="shared" si="21"/>
        <v>0.45499999999999996</v>
      </c>
      <c r="AF205" s="5"/>
      <c r="AG205" s="5"/>
      <c r="AH205" s="5"/>
      <c r="AI205" s="5"/>
      <c r="AJ205" s="1"/>
      <c r="AK205" s="3" t="s">
        <v>119</v>
      </c>
      <c r="AL205" s="3">
        <v>0.9</v>
      </c>
      <c r="AM205" s="3">
        <v>0.5</v>
      </c>
      <c r="AN205" s="3">
        <v>0.6</v>
      </c>
      <c r="AO205" s="3">
        <v>0.32</v>
      </c>
      <c r="AP205" s="7">
        <v>1037.4406739999999</v>
      </c>
      <c r="AQ205" s="3">
        <v>7.0000000000000001E-3</v>
      </c>
      <c r="AS205" s="3" t="s">
        <v>119</v>
      </c>
      <c r="AT205" s="3">
        <v>0.33</v>
      </c>
      <c r="AU205" s="6">
        <v>1027.8756100000001</v>
      </c>
      <c r="AV205" s="3">
        <v>1E-3</v>
      </c>
      <c r="AW205" s="3">
        <f t="shared" si="22"/>
        <v>0.32500000000000001</v>
      </c>
      <c r="AX205" s="5"/>
      <c r="AY205" s="5"/>
      <c r="AZ205" s="5"/>
      <c r="BA205" s="5"/>
      <c r="BB205" s="1"/>
      <c r="BC205" s="3" t="s">
        <v>119</v>
      </c>
      <c r="BD205" s="3">
        <v>0.9</v>
      </c>
      <c r="BE205" s="3">
        <v>0.5</v>
      </c>
      <c r="BF205" s="3">
        <v>0.6</v>
      </c>
      <c r="BG205" s="3">
        <v>0.33</v>
      </c>
      <c r="BH205" s="7">
        <v>1045.7803960000001</v>
      </c>
      <c r="BI205" s="3">
        <v>7.0000000000000001E-3</v>
      </c>
      <c r="BK205" s="3" t="s">
        <v>119</v>
      </c>
      <c r="BL205" s="3">
        <v>0.33</v>
      </c>
      <c r="BM205" s="6">
        <v>1026.984741</v>
      </c>
      <c r="BN205" s="3">
        <v>1E-3</v>
      </c>
      <c r="BO205" s="3">
        <f t="shared" si="23"/>
        <v>0.33</v>
      </c>
    </row>
    <row r="206" spans="1:67" x14ac:dyDescent="0.3">
      <c r="A206" s="3" t="s">
        <v>120</v>
      </c>
      <c r="B206" s="3">
        <v>0.9</v>
      </c>
      <c r="C206" s="3">
        <v>0.5</v>
      </c>
      <c r="D206" s="3">
        <v>0.6</v>
      </c>
      <c r="E206" s="3">
        <v>0.34</v>
      </c>
      <c r="F206" s="6">
        <v>716.17553699999996</v>
      </c>
      <c r="G206" s="3">
        <v>2E-3</v>
      </c>
      <c r="I206" s="3" t="s">
        <v>120</v>
      </c>
      <c r="J206" s="3">
        <v>0.36</v>
      </c>
      <c r="K206" s="7">
        <v>718.12969999999996</v>
      </c>
      <c r="L206" s="3">
        <v>0</v>
      </c>
      <c r="M206" s="3">
        <f t="shared" si="20"/>
        <v>0.35</v>
      </c>
      <c r="N206" s="5"/>
      <c r="O206" s="5"/>
      <c r="P206" s="5"/>
      <c r="Q206" s="5"/>
      <c r="R206" s="1"/>
      <c r="S206" s="3" t="s">
        <v>120</v>
      </c>
      <c r="T206" s="3">
        <v>0.9</v>
      </c>
      <c r="U206" s="3">
        <v>0.5</v>
      </c>
      <c r="V206" s="3">
        <v>0.6</v>
      </c>
      <c r="W206" s="3">
        <v>0.35</v>
      </c>
      <c r="X206" s="6">
        <v>723.703125</v>
      </c>
      <c r="Y206" s="3">
        <v>2E-3</v>
      </c>
      <c r="AA206" s="3" t="s">
        <v>120</v>
      </c>
      <c r="AB206" s="3">
        <v>0.3</v>
      </c>
      <c r="AC206" s="7">
        <v>724.63330099999996</v>
      </c>
      <c r="AD206" s="3">
        <v>0</v>
      </c>
      <c r="AE206" s="3">
        <f t="shared" si="21"/>
        <v>0.44999999999999996</v>
      </c>
      <c r="AF206" s="5"/>
      <c r="AG206" s="5"/>
      <c r="AH206" s="5"/>
      <c r="AI206" s="5"/>
      <c r="AJ206" s="1"/>
      <c r="AK206" s="3" t="s">
        <v>121</v>
      </c>
      <c r="AL206" s="3">
        <v>0.9</v>
      </c>
      <c r="AM206" s="3">
        <v>0.5</v>
      </c>
      <c r="AN206" s="3">
        <v>0.6</v>
      </c>
      <c r="AO206" s="3">
        <v>0.3</v>
      </c>
      <c r="AP206" s="7">
        <v>1062.094116</v>
      </c>
      <c r="AQ206" s="3">
        <v>8.0000000000000002E-3</v>
      </c>
      <c r="AS206" s="3" t="s">
        <v>121</v>
      </c>
      <c r="AT206" s="3">
        <v>0.3</v>
      </c>
      <c r="AU206" s="6">
        <v>1044.3614500000001</v>
      </c>
      <c r="AV206" s="3">
        <v>0</v>
      </c>
      <c r="AW206" s="3">
        <f t="shared" si="22"/>
        <v>0.3</v>
      </c>
      <c r="AX206" s="5"/>
      <c r="AY206" s="5"/>
      <c r="AZ206" s="5"/>
      <c r="BA206" s="5"/>
      <c r="BB206" s="1"/>
      <c r="BC206" s="3" t="s">
        <v>121</v>
      </c>
      <c r="BD206" s="3">
        <v>0.9</v>
      </c>
      <c r="BE206" s="3">
        <v>0.5</v>
      </c>
      <c r="BF206" s="3">
        <v>0.6</v>
      </c>
      <c r="BG206" s="3">
        <v>0.31</v>
      </c>
      <c r="BH206" s="6">
        <v>1024.606567</v>
      </c>
      <c r="BI206" s="3">
        <v>0.01</v>
      </c>
      <c r="BK206" s="3" t="s">
        <v>121</v>
      </c>
      <c r="BL206" s="3">
        <v>0.32</v>
      </c>
      <c r="BM206" s="7">
        <v>1049.393677</v>
      </c>
      <c r="BN206" s="3">
        <v>1E-3</v>
      </c>
      <c r="BO206" s="3">
        <f t="shared" si="23"/>
        <v>0.315</v>
      </c>
    </row>
    <row r="207" spans="1:67" x14ac:dyDescent="0.3">
      <c r="A207" s="3" t="s">
        <v>122</v>
      </c>
      <c r="B207" s="3">
        <v>0.9</v>
      </c>
      <c r="C207" s="3">
        <v>0.5</v>
      </c>
      <c r="D207" s="3">
        <v>0.6</v>
      </c>
      <c r="E207" s="3">
        <v>0.3</v>
      </c>
      <c r="F207" s="6">
        <v>663.31213400000001</v>
      </c>
      <c r="G207" s="3">
        <v>1E-3</v>
      </c>
      <c r="I207" s="3" t="s">
        <v>122</v>
      </c>
      <c r="J207" s="3">
        <v>0.34</v>
      </c>
      <c r="K207" s="7">
        <v>664.48632799999996</v>
      </c>
      <c r="L207" s="3">
        <v>0</v>
      </c>
      <c r="M207" s="3">
        <f t="shared" si="20"/>
        <v>0.32</v>
      </c>
      <c r="N207" s="5"/>
      <c r="O207" s="5"/>
      <c r="P207" s="5"/>
      <c r="Q207" s="5"/>
      <c r="R207" s="1"/>
      <c r="S207" s="3" t="s">
        <v>122</v>
      </c>
      <c r="T207" s="3">
        <v>0.9</v>
      </c>
      <c r="U207" s="3">
        <v>0.5</v>
      </c>
      <c r="V207" s="3">
        <v>0.6</v>
      </c>
      <c r="W207" s="3">
        <v>0.3</v>
      </c>
      <c r="X207" s="7">
        <v>659.36822500000005</v>
      </c>
      <c r="Y207" s="3">
        <v>1E-3</v>
      </c>
      <c r="AA207" s="3" t="s">
        <v>122</v>
      </c>
      <c r="AB207" s="3">
        <v>0.44</v>
      </c>
      <c r="AC207" s="6">
        <v>642.60418700000002</v>
      </c>
      <c r="AD207" s="3">
        <v>0</v>
      </c>
      <c r="AE207" s="3">
        <f t="shared" si="21"/>
        <v>0.52</v>
      </c>
      <c r="AF207" s="5"/>
      <c r="AG207" s="5"/>
      <c r="AH207" s="5"/>
      <c r="AI207" s="5"/>
      <c r="AJ207" s="1"/>
      <c r="AK207" s="3" t="s">
        <v>123</v>
      </c>
      <c r="AL207" s="3">
        <v>0.9</v>
      </c>
      <c r="AM207" s="3">
        <v>0.5</v>
      </c>
      <c r="AN207" s="3">
        <v>0.6</v>
      </c>
      <c r="AO207" s="3">
        <v>0.3</v>
      </c>
      <c r="AP207" s="7">
        <v>1041.674927</v>
      </c>
      <c r="AQ207" s="3">
        <v>6.0000000000000001E-3</v>
      </c>
      <c r="AS207" s="3" t="s">
        <v>123</v>
      </c>
      <c r="AT207" s="3">
        <v>0.3</v>
      </c>
      <c r="AU207" s="6">
        <v>1039.9334719999999</v>
      </c>
      <c r="AV207" s="3">
        <v>1E-3</v>
      </c>
      <c r="AW207" s="3">
        <f t="shared" si="22"/>
        <v>0.3</v>
      </c>
      <c r="AX207" s="5"/>
      <c r="AY207" s="5"/>
      <c r="AZ207" s="5"/>
      <c r="BA207" s="5"/>
      <c r="BB207" s="1"/>
      <c r="BC207" s="3" t="s">
        <v>123</v>
      </c>
      <c r="BD207" s="3">
        <v>0.9</v>
      </c>
      <c r="BE207" s="3">
        <v>0.5</v>
      </c>
      <c r="BF207" s="3">
        <v>0.6</v>
      </c>
      <c r="BG207" s="3">
        <v>0.3</v>
      </c>
      <c r="BH207" s="7">
        <v>1043.7647710000001</v>
      </c>
      <c r="BI207" s="3">
        <v>0.01</v>
      </c>
      <c r="BK207" s="3" t="s">
        <v>123</v>
      </c>
      <c r="BL207" s="3">
        <v>0.33</v>
      </c>
      <c r="BM207" s="6">
        <v>1021.3452150000001</v>
      </c>
      <c r="BN207" s="3">
        <v>1E-3</v>
      </c>
      <c r="BO207" s="3">
        <f t="shared" si="23"/>
        <v>0.315</v>
      </c>
    </row>
    <row r="208" spans="1:67" x14ac:dyDescent="0.3">
      <c r="A208" s="3" t="s">
        <v>124</v>
      </c>
      <c r="B208" s="3">
        <v>0.9</v>
      </c>
      <c r="C208" s="3">
        <v>0.5</v>
      </c>
      <c r="D208" s="3">
        <v>0.6</v>
      </c>
      <c r="E208" s="3">
        <v>0.37</v>
      </c>
      <c r="F208" s="6">
        <v>570.58508300000005</v>
      </c>
      <c r="G208" s="3">
        <v>1E-3</v>
      </c>
      <c r="I208" s="3" t="s">
        <v>124</v>
      </c>
      <c r="J208" s="3">
        <v>0.32</v>
      </c>
      <c r="K208" s="7">
        <v>578.17175299999997</v>
      </c>
      <c r="L208" s="3">
        <v>0</v>
      </c>
      <c r="M208" s="3">
        <f t="shared" si="20"/>
        <v>0.34499999999999997</v>
      </c>
      <c r="N208" s="5"/>
      <c r="O208" s="5"/>
      <c r="P208" s="5"/>
      <c r="Q208" s="5"/>
      <c r="R208" s="1"/>
      <c r="S208" s="3" t="s">
        <v>124</v>
      </c>
      <c r="T208" s="3">
        <v>0.9</v>
      </c>
      <c r="U208" s="3">
        <v>0.5</v>
      </c>
      <c r="V208" s="3">
        <v>0.6</v>
      </c>
      <c r="W208" s="3">
        <v>0.31</v>
      </c>
      <c r="X208" s="8">
        <v>579.44378700000004</v>
      </c>
      <c r="Y208" s="3">
        <v>1E-3</v>
      </c>
      <c r="AA208" s="3" t="s">
        <v>124</v>
      </c>
      <c r="AB208" s="3">
        <v>0.41</v>
      </c>
      <c r="AC208" s="6">
        <v>579.16204800000003</v>
      </c>
      <c r="AD208" s="3">
        <v>0</v>
      </c>
      <c r="AE208" s="3">
        <f t="shared" si="21"/>
        <v>0.505</v>
      </c>
      <c r="AF208" s="5"/>
      <c r="AG208" s="5"/>
      <c r="AH208" s="5"/>
      <c r="AI208" s="5"/>
      <c r="AJ208" s="1"/>
      <c r="AK208" s="3" t="s">
        <v>125</v>
      </c>
      <c r="AL208" s="3">
        <v>0.9</v>
      </c>
      <c r="AM208" s="3">
        <v>0.5</v>
      </c>
      <c r="AN208" s="3">
        <v>0.6</v>
      </c>
      <c r="AO208" s="3">
        <v>0.3</v>
      </c>
      <c r="AP208" s="6">
        <v>1079.1647949999999</v>
      </c>
      <c r="AQ208" s="3">
        <v>7.0000000000000001E-3</v>
      </c>
      <c r="AS208" s="3" t="s">
        <v>125</v>
      </c>
      <c r="AT208" s="3">
        <v>0.3</v>
      </c>
      <c r="AU208" s="7">
        <v>1085.6152340000001</v>
      </c>
      <c r="AV208" s="3">
        <v>2E-3</v>
      </c>
      <c r="AW208" s="3">
        <f t="shared" si="22"/>
        <v>0.3</v>
      </c>
      <c r="AX208" s="5"/>
      <c r="AY208" s="5"/>
      <c r="AZ208" s="5"/>
      <c r="BA208" s="5"/>
      <c r="BB208" s="1"/>
      <c r="BC208" s="3" t="s">
        <v>125</v>
      </c>
      <c r="BD208" s="3">
        <v>0.9</v>
      </c>
      <c r="BE208" s="3">
        <v>0.5</v>
      </c>
      <c r="BF208" s="3">
        <v>0.6</v>
      </c>
      <c r="BG208" s="3">
        <v>0.3</v>
      </c>
      <c r="BH208" s="7">
        <v>1086.602783</v>
      </c>
      <c r="BI208" s="3">
        <v>7.0000000000000001E-3</v>
      </c>
      <c r="BK208" s="3" t="s">
        <v>125</v>
      </c>
      <c r="BL208" s="3">
        <v>0.31</v>
      </c>
      <c r="BM208" s="6">
        <v>1082.1785890000001</v>
      </c>
      <c r="BN208" s="3">
        <v>1E-3</v>
      </c>
      <c r="BO208" s="3">
        <f t="shared" si="23"/>
        <v>0.30499999999999999</v>
      </c>
    </row>
    <row r="209" spans="1:71" x14ac:dyDescent="0.3">
      <c r="A209" s="3" t="s">
        <v>126</v>
      </c>
      <c r="B209" s="3">
        <v>0.9</v>
      </c>
      <c r="C209" s="3">
        <v>0.5</v>
      </c>
      <c r="D209" s="3">
        <v>0.6</v>
      </c>
      <c r="E209" s="3">
        <v>0.32</v>
      </c>
      <c r="F209" s="6">
        <v>628.33019999999999</v>
      </c>
      <c r="G209" s="3">
        <v>1E-3</v>
      </c>
      <c r="I209" s="3" t="s">
        <v>126</v>
      </c>
      <c r="J209" s="3">
        <v>0.32</v>
      </c>
      <c r="K209" s="7">
        <v>637.15325900000005</v>
      </c>
      <c r="L209" s="3">
        <v>0</v>
      </c>
      <c r="M209" s="3">
        <f t="shared" si="20"/>
        <v>0.32</v>
      </c>
      <c r="N209" s="5"/>
      <c r="O209" s="5"/>
      <c r="P209" s="5"/>
      <c r="Q209" s="5"/>
      <c r="R209" s="1"/>
      <c r="S209" s="3" t="s">
        <v>126</v>
      </c>
      <c r="T209" s="3">
        <v>0.9</v>
      </c>
      <c r="U209" s="3">
        <v>0.5</v>
      </c>
      <c r="V209" s="3">
        <v>0.6</v>
      </c>
      <c r="W209" s="3">
        <v>0.31</v>
      </c>
      <c r="X209" s="6">
        <v>631.71112100000005</v>
      </c>
      <c r="Y209" s="3">
        <v>1E-3</v>
      </c>
      <c r="AA209" s="3" t="s">
        <v>126</v>
      </c>
      <c r="AB209" s="3">
        <v>0.32</v>
      </c>
      <c r="AC209" s="7">
        <v>634.67382799999996</v>
      </c>
      <c r="AD209" s="3">
        <v>0</v>
      </c>
      <c r="AE209" s="3">
        <f t="shared" si="21"/>
        <v>0.45999999999999996</v>
      </c>
      <c r="AF209" s="5"/>
      <c r="AG209" s="5"/>
      <c r="AH209" s="5"/>
      <c r="AI209" s="5"/>
      <c r="AJ209" s="1"/>
      <c r="AK209" s="3" t="s">
        <v>127</v>
      </c>
      <c r="AL209" s="3">
        <v>0.9</v>
      </c>
      <c r="AM209" s="3">
        <v>0.5</v>
      </c>
      <c r="AN209" s="3">
        <v>0.6</v>
      </c>
      <c r="AO209" s="3">
        <v>0.3</v>
      </c>
      <c r="AP209" s="6">
        <v>1062.2045900000001</v>
      </c>
      <c r="AQ209" s="3">
        <v>6.0000000000000001E-3</v>
      </c>
      <c r="AS209" s="3" t="s">
        <v>127</v>
      </c>
      <c r="AT209" s="3">
        <v>0.3</v>
      </c>
      <c r="AU209" s="7">
        <v>1067.0898440000001</v>
      </c>
      <c r="AV209" s="3">
        <v>1E-3</v>
      </c>
      <c r="AW209" s="3">
        <f t="shared" si="22"/>
        <v>0.3</v>
      </c>
      <c r="AX209" s="5"/>
      <c r="AY209" s="5"/>
      <c r="AZ209" s="5"/>
      <c r="BA209" s="5"/>
      <c r="BB209" s="1"/>
      <c r="BC209" s="3" t="s">
        <v>127</v>
      </c>
      <c r="BD209" s="3">
        <v>0.9</v>
      </c>
      <c r="BE209" s="3">
        <v>0.5</v>
      </c>
      <c r="BF209" s="3">
        <v>0.6</v>
      </c>
      <c r="BG209" s="3">
        <v>0.3</v>
      </c>
      <c r="BH209" s="6">
        <v>1070.4510499999999</v>
      </c>
      <c r="BI209" s="3">
        <v>6.0000000000000001E-3</v>
      </c>
      <c r="BK209" s="3" t="s">
        <v>127</v>
      </c>
      <c r="BL209" s="3">
        <v>0.3</v>
      </c>
      <c r="BM209" s="7">
        <v>1077.342529</v>
      </c>
      <c r="BN209" s="3">
        <v>1E-3</v>
      </c>
      <c r="BO209" s="3">
        <f t="shared" si="23"/>
        <v>0.3</v>
      </c>
    </row>
    <row r="210" spans="1:71" x14ac:dyDescent="0.3">
      <c r="A210" s="3" t="s">
        <v>128</v>
      </c>
      <c r="B210" s="3">
        <v>0.9</v>
      </c>
      <c r="C210" s="3">
        <v>0.5</v>
      </c>
      <c r="D210" s="3">
        <v>0.6</v>
      </c>
      <c r="E210" s="3">
        <v>0.3</v>
      </c>
      <c r="F210" s="7">
        <v>610.79852300000005</v>
      </c>
      <c r="G210" s="3">
        <v>1E-3</v>
      </c>
      <c r="I210" s="3" t="s">
        <v>128</v>
      </c>
      <c r="J210" s="3">
        <v>0.31</v>
      </c>
      <c r="K210" s="6">
        <v>600.40667699999995</v>
      </c>
      <c r="L210" s="3">
        <v>0</v>
      </c>
      <c r="M210" s="3">
        <f t="shared" si="20"/>
        <v>0.30499999999999999</v>
      </c>
      <c r="N210" s="5"/>
      <c r="O210" s="5"/>
      <c r="P210" s="5"/>
      <c r="Q210" s="5"/>
      <c r="R210" s="1"/>
      <c r="S210" s="3" t="s">
        <v>128</v>
      </c>
      <c r="T210" s="3">
        <v>0.9</v>
      </c>
      <c r="U210" s="3">
        <v>0.5</v>
      </c>
      <c r="V210" s="3">
        <v>0.6</v>
      </c>
      <c r="W210" s="3">
        <v>0.38</v>
      </c>
      <c r="X210" s="8">
        <v>603.79528800000003</v>
      </c>
      <c r="Y210" s="3">
        <v>1E-3</v>
      </c>
      <c r="AA210" s="3" t="s">
        <v>128</v>
      </c>
      <c r="AB210" s="3">
        <v>0.32</v>
      </c>
      <c r="AC210" s="6">
        <v>603.06597899999997</v>
      </c>
      <c r="AD210" s="3">
        <v>0</v>
      </c>
      <c r="AE210" s="3">
        <f t="shared" si="21"/>
        <v>0.45999999999999996</v>
      </c>
      <c r="AF210" s="5"/>
      <c r="AG210" s="5"/>
      <c r="AH210" s="5"/>
      <c r="AI210" s="5"/>
      <c r="AJ210" s="1"/>
      <c r="AK210" s="3" t="s">
        <v>129</v>
      </c>
      <c r="AL210" s="3">
        <v>0.9</v>
      </c>
      <c r="AM210" s="3">
        <v>0.5</v>
      </c>
      <c r="AN210" s="3">
        <v>0.6</v>
      </c>
      <c r="AO210" s="3">
        <v>0.32</v>
      </c>
      <c r="AP210" s="7">
        <v>1061.0407709999999</v>
      </c>
      <c r="AQ210" s="3">
        <v>0.01</v>
      </c>
      <c r="AS210" s="3" t="s">
        <v>129</v>
      </c>
      <c r="AT210" s="3">
        <v>0.3</v>
      </c>
      <c r="AU210" s="6">
        <v>1016.946838</v>
      </c>
      <c r="AV210" s="3">
        <v>1E-3</v>
      </c>
      <c r="AW210" s="3">
        <f t="shared" si="22"/>
        <v>0.31</v>
      </c>
      <c r="AX210" s="5"/>
      <c r="AY210" s="5"/>
      <c r="AZ210" s="5"/>
      <c r="BA210" s="5"/>
      <c r="BB210" s="1"/>
      <c r="BC210" s="3" t="s">
        <v>129</v>
      </c>
      <c r="BD210" s="3">
        <v>0.9</v>
      </c>
      <c r="BE210" s="3">
        <v>0.5</v>
      </c>
      <c r="BF210" s="3">
        <v>0.6</v>
      </c>
      <c r="BG210" s="3">
        <v>0.32</v>
      </c>
      <c r="BH210" s="7">
        <v>1022.855713</v>
      </c>
      <c r="BI210" s="3">
        <v>8.9999999999999993E-3</v>
      </c>
      <c r="BK210" s="3" t="s">
        <v>129</v>
      </c>
      <c r="BL210" s="3">
        <v>0.3</v>
      </c>
      <c r="BM210" s="6">
        <v>1007.511658</v>
      </c>
      <c r="BN210" s="3">
        <v>0</v>
      </c>
      <c r="BO210" s="3">
        <f t="shared" si="23"/>
        <v>0.31</v>
      </c>
    </row>
    <row r="211" spans="1:71" x14ac:dyDescent="0.3">
      <c r="A211" s="3" t="s">
        <v>130</v>
      </c>
      <c r="B211" s="3">
        <v>0.9</v>
      </c>
      <c r="C211" s="3">
        <v>0.5</v>
      </c>
      <c r="D211" s="3">
        <v>0.6</v>
      </c>
      <c r="E211" s="3">
        <v>0.37</v>
      </c>
      <c r="F211" s="6">
        <v>653.62506099999996</v>
      </c>
      <c r="G211" s="3">
        <v>1E-3</v>
      </c>
      <c r="I211" s="3" t="s">
        <v>130</v>
      </c>
      <c r="J211" s="3">
        <v>0.34</v>
      </c>
      <c r="K211" s="7">
        <v>655.95696999999996</v>
      </c>
      <c r="L211" s="3">
        <v>0</v>
      </c>
      <c r="M211" s="3">
        <f t="shared" si="20"/>
        <v>0.35499999999999998</v>
      </c>
      <c r="N211" s="5"/>
      <c r="O211" s="5"/>
      <c r="P211" s="5"/>
      <c r="Q211" s="5"/>
      <c r="R211" s="1"/>
      <c r="S211" s="3" t="s">
        <v>130</v>
      </c>
      <c r="T211" s="3">
        <v>0.9</v>
      </c>
      <c r="U211" s="3">
        <v>0.5</v>
      </c>
      <c r="V211" s="3">
        <v>0.6</v>
      </c>
      <c r="W211" s="3">
        <v>0.32</v>
      </c>
      <c r="X211" s="6">
        <v>649.43957499999999</v>
      </c>
      <c r="Y211" s="3">
        <v>1E-3</v>
      </c>
      <c r="AA211" s="3" t="s">
        <v>130</v>
      </c>
      <c r="AB211" s="3">
        <v>0.3</v>
      </c>
      <c r="AC211" s="7">
        <v>652.52563499999997</v>
      </c>
      <c r="AD211" s="3">
        <v>0</v>
      </c>
      <c r="AE211" s="3">
        <f t="shared" si="21"/>
        <v>0.44999999999999996</v>
      </c>
      <c r="AF211" s="5"/>
      <c r="AG211" s="5"/>
      <c r="AH211" s="5"/>
      <c r="AI211" s="5"/>
      <c r="AJ211" s="1"/>
      <c r="AK211" s="3" t="s">
        <v>131</v>
      </c>
      <c r="AL211" s="3">
        <v>0.9</v>
      </c>
      <c r="AM211" s="3">
        <v>0.5</v>
      </c>
      <c r="AN211" s="3">
        <v>0.6</v>
      </c>
      <c r="AO211" s="3">
        <v>0.3</v>
      </c>
      <c r="AP211" s="6">
        <v>1059.180664</v>
      </c>
      <c r="AQ211" s="3">
        <v>1.0999999999999999E-2</v>
      </c>
      <c r="AS211" s="3" t="s">
        <v>131</v>
      </c>
      <c r="AT211" s="3">
        <v>0.32</v>
      </c>
      <c r="AU211" s="8">
        <v>1059.950317</v>
      </c>
      <c r="AV211" s="3">
        <v>0</v>
      </c>
      <c r="AW211" s="3">
        <f t="shared" si="22"/>
        <v>0.31</v>
      </c>
      <c r="AX211" s="5"/>
      <c r="AY211" s="5"/>
      <c r="AZ211" s="5"/>
      <c r="BA211" s="5"/>
      <c r="BB211" s="1"/>
      <c r="BC211" s="3" t="s">
        <v>131</v>
      </c>
      <c r="BD211" s="3">
        <v>0.9</v>
      </c>
      <c r="BE211" s="3">
        <v>0.5</v>
      </c>
      <c r="BF211" s="3">
        <v>0.6</v>
      </c>
      <c r="BG211" s="3">
        <v>0.31</v>
      </c>
      <c r="BH211" s="7">
        <v>1060.7937010000001</v>
      </c>
      <c r="BI211" s="3">
        <v>0.01</v>
      </c>
      <c r="BK211" s="3" t="s">
        <v>131</v>
      </c>
      <c r="BL211" s="3">
        <v>0.3</v>
      </c>
      <c r="BM211" s="6">
        <v>1043.395996</v>
      </c>
      <c r="BN211" s="3">
        <v>1E-3</v>
      </c>
      <c r="BO211" s="3">
        <f t="shared" si="23"/>
        <v>0.30499999999999999</v>
      </c>
    </row>
    <row r="212" spans="1:71" x14ac:dyDescent="0.3">
      <c r="A212" s="3" t="s">
        <v>132</v>
      </c>
      <c r="B212" s="3">
        <v>0.9</v>
      </c>
      <c r="C212" s="3">
        <v>0.5</v>
      </c>
      <c r="D212" s="3">
        <v>0.6</v>
      </c>
      <c r="E212" s="3">
        <v>0.3</v>
      </c>
      <c r="F212" s="6">
        <v>566.98541299999999</v>
      </c>
      <c r="G212" s="3">
        <v>2E-3</v>
      </c>
      <c r="I212" s="3" t="s">
        <v>132</v>
      </c>
      <c r="J212" s="3">
        <v>0.3</v>
      </c>
      <c r="K212" s="7">
        <v>581.07098399999995</v>
      </c>
      <c r="L212" s="3">
        <v>0</v>
      </c>
      <c r="M212" s="3">
        <f t="shared" si="20"/>
        <v>0.3</v>
      </c>
      <c r="N212" s="5"/>
      <c r="O212" s="5"/>
      <c r="P212" s="5"/>
      <c r="Q212" s="5"/>
      <c r="R212" s="1"/>
      <c r="S212" s="3" t="s">
        <v>132</v>
      </c>
      <c r="T212" s="3">
        <v>0.9</v>
      </c>
      <c r="U212" s="3">
        <v>0.5</v>
      </c>
      <c r="V212" s="3">
        <v>0.6</v>
      </c>
      <c r="W212" s="3">
        <v>0.33</v>
      </c>
      <c r="X212" s="7">
        <v>573.10961899999995</v>
      </c>
      <c r="Y212" s="3">
        <v>1E-3</v>
      </c>
      <c r="AA212" s="3" t="s">
        <v>132</v>
      </c>
      <c r="AB212" s="3">
        <v>0.35</v>
      </c>
      <c r="AC212" s="6">
        <v>560.14862100000005</v>
      </c>
      <c r="AD212" s="3">
        <v>0</v>
      </c>
      <c r="AE212" s="3">
        <f t="shared" si="21"/>
        <v>0.47499999999999998</v>
      </c>
      <c r="AF212" s="5"/>
      <c r="AG212" s="5"/>
      <c r="AH212" s="5"/>
      <c r="AI212" s="5"/>
      <c r="AJ212" s="1"/>
      <c r="AK212" s="3" t="s">
        <v>133</v>
      </c>
      <c r="AL212" s="3">
        <v>0.9</v>
      </c>
      <c r="AM212" s="3">
        <v>0.5</v>
      </c>
      <c r="AN212" s="3">
        <v>0.6</v>
      </c>
      <c r="AO212" s="3">
        <v>0.37</v>
      </c>
      <c r="AP212" s="7">
        <v>1087.109741</v>
      </c>
      <c r="AQ212" s="3">
        <v>1.2E-2</v>
      </c>
      <c r="AS212" s="3" t="s">
        <v>133</v>
      </c>
      <c r="AT212" s="3">
        <v>0.34</v>
      </c>
      <c r="AU212" s="6">
        <v>1082.7933350000001</v>
      </c>
      <c r="AV212" s="3">
        <v>1E-3</v>
      </c>
      <c r="AW212" s="3">
        <f t="shared" si="22"/>
        <v>0.35499999999999998</v>
      </c>
      <c r="AX212" s="5"/>
      <c r="AY212" s="5"/>
      <c r="AZ212" s="5"/>
      <c r="BA212" s="5"/>
      <c r="BB212" s="1"/>
      <c r="BC212" s="3" t="s">
        <v>133</v>
      </c>
      <c r="BD212" s="3">
        <v>0.9</v>
      </c>
      <c r="BE212" s="3">
        <v>0.5</v>
      </c>
      <c r="BF212" s="3">
        <v>0.6</v>
      </c>
      <c r="BG212" s="3">
        <v>0.3</v>
      </c>
      <c r="BH212" s="6">
        <v>1089.430908</v>
      </c>
      <c r="BI212" s="3">
        <v>8.9999999999999993E-3</v>
      </c>
      <c r="BK212" s="3" t="s">
        <v>133</v>
      </c>
      <c r="BL212" s="3">
        <v>0.31</v>
      </c>
      <c r="BM212" s="7">
        <v>1104.114014</v>
      </c>
      <c r="BN212" s="3">
        <v>1E-3</v>
      </c>
      <c r="BO212" s="3">
        <f t="shared" si="23"/>
        <v>0.30499999999999999</v>
      </c>
    </row>
    <row r="213" spans="1:71" x14ac:dyDescent="0.3">
      <c r="A213" s="9" t="s">
        <v>316</v>
      </c>
      <c r="E213" s="9">
        <f>AVERAGE(E183:E212)</f>
        <v>0.33933333333333338</v>
      </c>
      <c r="I213" s="9" t="s">
        <v>316</v>
      </c>
      <c r="J213" s="9">
        <f>AVERAGE(J183:J212)</f>
        <v>0.33433333333333332</v>
      </c>
      <c r="R213" s="1"/>
      <c r="S213" s="9" t="s">
        <v>316</v>
      </c>
      <c r="W213" s="9">
        <f>AVERAGE(W183:W212)</f>
        <v>0.33700000000000008</v>
      </c>
      <c r="AA213" s="9" t="s">
        <v>316</v>
      </c>
      <c r="AB213" s="9">
        <f>AVERAGE(AB183:AB212)</f>
        <v>0.33599999999999997</v>
      </c>
      <c r="AJ213" s="1"/>
      <c r="AK213" s="9" t="s">
        <v>316</v>
      </c>
      <c r="AO213" s="9">
        <f>AVERAGE(AO183:AO212)</f>
        <v>0.31799999999999995</v>
      </c>
      <c r="AS213" s="9" t="s">
        <v>316</v>
      </c>
      <c r="AT213" s="9">
        <f>AVERAGE(AT183:AT212)</f>
        <v>0.318</v>
      </c>
      <c r="BB213" s="1"/>
      <c r="BC213" s="9" t="s">
        <v>316</v>
      </c>
      <c r="BG213" s="9">
        <f>AVERAGE(BG183:BG212)</f>
        <v>0.31</v>
      </c>
      <c r="BK213" s="9" t="s">
        <v>316</v>
      </c>
      <c r="BL213" s="9">
        <f>AVERAGE(BL183:BL212)</f>
        <v>0.31966666666666671</v>
      </c>
    </row>
    <row r="214" spans="1:7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row>
    <row r="215" spans="1:71" x14ac:dyDescent="0.3">
      <c r="A215" s="19" t="s">
        <v>314</v>
      </c>
      <c r="B215" s="19"/>
      <c r="C215" s="19"/>
      <c r="D215" s="19"/>
      <c r="E215" s="19"/>
      <c r="F215" s="19"/>
      <c r="G215" s="19"/>
      <c r="I215" s="19" t="s">
        <v>315</v>
      </c>
      <c r="J215" s="19"/>
      <c r="K215" s="19"/>
      <c r="L215" s="19"/>
      <c r="M215" s="19"/>
      <c r="N215" s="11"/>
      <c r="O215" s="11"/>
      <c r="P215" s="11"/>
      <c r="Q215" s="11"/>
      <c r="R215" s="1"/>
      <c r="S215" s="19" t="s">
        <v>314</v>
      </c>
      <c r="T215" s="19"/>
      <c r="U215" s="19"/>
      <c r="V215" s="19"/>
      <c r="W215" s="19"/>
      <c r="X215" s="19"/>
      <c r="Y215" s="19"/>
      <c r="AA215" s="19" t="s">
        <v>315</v>
      </c>
      <c r="AB215" s="19"/>
      <c r="AC215" s="19"/>
      <c r="AD215" s="19"/>
      <c r="AE215" s="19"/>
      <c r="AF215" s="11"/>
      <c r="AG215" s="11"/>
      <c r="AH215" s="11"/>
      <c r="AI215" s="11"/>
      <c r="AJ215" s="1"/>
      <c r="AK215" s="19" t="s">
        <v>314</v>
      </c>
      <c r="AL215" s="19"/>
      <c r="AM215" s="19"/>
      <c r="AN215" s="19"/>
      <c r="AO215" s="19"/>
      <c r="AP215" s="19"/>
      <c r="AQ215" s="19"/>
      <c r="AS215" s="19" t="s">
        <v>315</v>
      </c>
      <c r="AT215" s="19"/>
      <c r="AU215" s="19"/>
      <c r="AV215" s="19"/>
      <c r="AW215" s="19"/>
      <c r="AX215" s="11"/>
      <c r="AY215" s="11"/>
      <c r="AZ215" s="11"/>
      <c r="BA215" s="11"/>
      <c r="BB215" s="1"/>
      <c r="BC215" s="19" t="s">
        <v>314</v>
      </c>
      <c r="BD215" s="19"/>
      <c r="BE215" s="19"/>
      <c r="BF215" s="19"/>
      <c r="BG215" s="19"/>
      <c r="BH215" s="19"/>
      <c r="BI215" s="19"/>
      <c r="BK215" s="19" t="s">
        <v>315</v>
      </c>
      <c r="BL215" s="19"/>
      <c r="BM215" s="19"/>
      <c r="BN215" s="19"/>
      <c r="BO215" s="19"/>
    </row>
    <row r="216" spans="1:71" x14ac:dyDescent="0.3">
      <c r="A216" s="19" t="s">
        <v>0</v>
      </c>
      <c r="B216" s="19"/>
      <c r="C216" s="19"/>
      <c r="D216" s="19"/>
      <c r="E216" s="19"/>
      <c r="F216" s="19"/>
      <c r="G216" s="19"/>
      <c r="I216" s="20" t="s">
        <v>0</v>
      </c>
      <c r="J216" s="21"/>
      <c r="K216" s="21"/>
      <c r="L216" s="21"/>
      <c r="M216" s="22"/>
      <c r="N216" s="11"/>
      <c r="O216" s="11"/>
      <c r="P216" s="11"/>
      <c r="Q216" s="11"/>
      <c r="R216" s="1"/>
      <c r="S216" s="19" t="s">
        <v>1</v>
      </c>
      <c r="T216" s="19"/>
      <c r="U216" s="19"/>
      <c r="V216" s="19"/>
      <c r="W216" s="19"/>
      <c r="X216" s="19"/>
      <c r="Y216" s="19"/>
      <c r="AA216" s="20" t="s">
        <v>1</v>
      </c>
      <c r="AB216" s="21"/>
      <c r="AC216" s="21"/>
      <c r="AD216" s="21"/>
      <c r="AE216" s="22"/>
      <c r="AF216" s="11"/>
      <c r="AG216" s="11"/>
      <c r="AH216" s="11"/>
      <c r="AI216" s="11"/>
      <c r="AJ216" s="1"/>
      <c r="AK216" s="19" t="s">
        <v>0</v>
      </c>
      <c r="AL216" s="19"/>
      <c r="AM216" s="19"/>
      <c r="AN216" s="19"/>
      <c r="AO216" s="19"/>
      <c r="AP216" s="19"/>
      <c r="AQ216" s="19"/>
      <c r="AS216" s="19" t="s">
        <v>0</v>
      </c>
      <c r="AT216" s="19"/>
      <c r="AU216" s="19"/>
      <c r="AV216" s="19"/>
      <c r="AW216" s="19"/>
      <c r="AX216" s="11"/>
      <c r="AY216" s="11"/>
      <c r="AZ216" s="11"/>
      <c r="BA216" s="11"/>
      <c r="BB216" s="1"/>
      <c r="BC216" s="19" t="s">
        <v>1</v>
      </c>
      <c r="BD216" s="19"/>
      <c r="BE216" s="19"/>
      <c r="BF216" s="19"/>
      <c r="BG216" s="19"/>
      <c r="BH216" s="19"/>
      <c r="BI216" s="19"/>
      <c r="BK216" s="19" t="s">
        <v>1</v>
      </c>
      <c r="BL216" s="19"/>
      <c r="BM216" s="19"/>
      <c r="BN216" s="19"/>
      <c r="BO216" s="19"/>
    </row>
    <row r="217" spans="1:71" x14ac:dyDescent="0.3">
      <c r="A217" s="3" t="s">
        <v>2</v>
      </c>
      <c r="B217" s="3" t="s">
        <v>3</v>
      </c>
      <c r="C217" s="3" t="s">
        <v>4</v>
      </c>
      <c r="D217" s="3" t="s">
        <v>5</v>
      </c>
      <c r="E217" s="3" t="s">
        <v>6</v>
      </c>
      <c r="F217" s="3" t="s">
        <v>7</v>
      </c>
      <c r="G217" s="3" t="s">
        <v>8</v>
      </c>
      <c r="I217" s="3" t="s">
        <v>2</v>
      </c>
      <c r="J217" s="3" t="s">
        <v>6</v>
      </c>
      <c r="K217" s="3" t="s">
        <v>7</v>
      </c>
      <c r="L217" s="3" t="s">
        <v>8</v>
      </c>
      <c r="M217" s="3" t="s">
        <v>9</v>
      </c>
      <c r="N217" s="3" t="s">
        <v>322</v>
      </c>
      <c r="O217" s="3" t="s">
        <v>323</v>
      </c>
      <c r="P217" s="3" t="s">
        <v>322</v>
      </c>
      <c r="Q217" s="3" t="s">
        <v>323</v>
      </c>
      <c r="R217" s="1"/>
      <c r="S217" s="3" t="s">
        <v>2</v>
      </c>
      <c r="T217" s="3" t="s">
        <v>3</v>
      </c>
      <c r="U217" s="3" t="s">
        <v>4</v>
      </c>
      <c r="V217" s="3" t="s">
        <v>5</v>
      </c>
      <c r="W217" s="3" t="s">
        <v>6</v>
      </c>
      <c r="X217" s="3" t="s">
        <v>7</v>
      </c>
      <c r="Y217" s="3" t="s">
        <v>8</v>
      </c>
      <c r="AA217" s="3" t="s">
        <v>2</v>
      </c>
      <c r="AB217" s="3" t="s">
        <v>6</v>
      </c>
      <c r="AC217" s="3" t="s">
        <v>7</v>
      </c>
      <c r="AD217" s="3" t="s">
        <v>8</v>
      </c>
      <c r="AE217" s="3" t="s">
        <v>9</v>
      </c>
      <c r="AF217" s="3" t="s">
        <v>322</v>
      </c>
      <c r="AG217" s="3" t="s">
        <v>323</v>
      </c>
      <c r="AH217" s="3" t="s">
        <v>322</v>
      </c>
      <c r="AI217" s="3" t="s">
        <v>323</v>
      </c>
      <c r="AJ217" s="1"/>
      <c r="AK217" s="3" t="s">
        <v>2</v>
      </c>
      <c r="AL217" s="3" t="s">
        <v>3</v>
      </c>
      <c r="AM217" s="3" t="s">
        <v>4</v>
      </c>
      <c r="AN217" s="3" t="s">
        <v>5</v>
      </c>
      <c r="AO217" s="3" t="s">
        <v>6</v>
      </c>
      <c r="AP217" s="3" t="s">
        <v>7</v>
      </c>
      <c r="AQ217" s="3" t="s">
        <v>8</v>
      </c>
      <c r="AS217" s="3" t="s">
        <v>2</v>
      </c>
      <c r="AT217" s="3" t="s">
        <v>6</v>
      </c>
      <c r="AU217" s="3" t="s">
        <v>7</v>
      </c>
      <c r="AV217" s="3" t="s">
        <v>8</v>
      </c>
      <c r="AW217" s="3" t="s">
        <v>9</v>
      </c>
      <c r="AX217" s="3" t="s">
        <v>322</v>
      </c>
      <c r="AY217" s="3" t="s">
        <v>323</v>
      </c>
      <c r="AZ217" s="3" t="s">
        <v>322</v>
      </c>
      <c r="BA217" s="3" t="s">
        <v>323</v>
      </c>
      <c r="BB217" s="1"/>
      <c r="BC217" s="3" t="s">
        <v>2</v>
      </c>
      <c r="BD217" s="3" t="s">
        <v>3</v>
      </c>
      <c r="BE217" s="3" t="s">
        <v>4</v>
      </c>
      <c r="BF217" s="3" t="s">
        <v>5</v>
      </c>
      <c r="BG217" s="3" t="s">
        <v>6</v>
      </c>
      <c r="BH217" s="3" t="s">
        <v>7</v>
      </c>
      <c r="BI217" s="3" t="s">
        <v>8</v>
      </c>
      <c r="BK217" s="3" t="s">
        <v>2</v>
      </c>
      <c r="BL217" s="3" t="s">
        <v>6</v>
      </c>
      <c r="BM217" s="3" t="s">
        <v>7</v>
      </c>
      <c r="BN217" s="3" t="s">
        <v>8</v>
      </c>
      <c r="BO217" s="3" t="s">
        <v>9</v>
      </c>
      <c r="BP217" s="3" t="s">
        <v>322</v>
      </c>
      <c r="BQ217" s="3" t="s">
        <v>323</v>
      </c>
      <c r="BR217" s="3" t="s">
        <v>322</v>
      </c>
      <c r="BS217" s="3" t="s">
        <v>323</v>
      </c>
    </row>
    <row r="218" spans="1:71" x14ac:dyDescent="0.3">
      <c r="A218" s="3" t="s">
        <v>134</v>
      </c>
      <c r="B218" s="3">
        <v>0.9</v>
      </c>
      <c r="C218" s="3">
        <v>0.5</v>
      </c>
      <c r="D218" s="3">
        <v>0.6</v>
      </c>
      <c r="E218" s="3">
        <v>0.34</v>
      </c>
      <c r="F218" s="7">
        <v>612.113159</v>
      </c>
      <c r="G218" s="3">
        <v>1E-3</v>
      </c>
      <c r="I218" s="3" t="s">
        <v>134</v>
      </c>
      <c r="J218" s="3">
        <v>0.33</v>
      </c>
      <c r="K218" s="6">
        <v>592.66516100000001</v>
      </c>
      <c r="L218" s="3">
        <v>0</v>
      </c>
      <c r="M218" s="3">
        <f t="shared" ref="M218:M247" si="24">AVERAGE(E218,J218)</f>
        <v>0.33500000000000002</v>
      </c>
      <c r="N218" s="4" t="s">
        <v>320</v>
      </c>
      <c r="O218" s="4" t="s">
        <v>320</v>
      </c>
      <c r="P218" s="4" t="s">
        <v>321</v>
      </c>
      <c r="Q218" s="4" t="s">
        <v>321</v>
      </c>
      <c r="R218" s="1"/>
      <c r="S218" s="3" t="s">
        <v>134</v>
      </c>
      <c r="T218" s="3">
        <v>0.9</v>
      </c>
      <c r="U218" s="3">
        <v>0.5</v>
      </c>
      <c r="V218" s="3">
        <v>0.6</v>
      </c>
      <c r="W218" s="3">
        <v>0.32</v>
      </c>
      <c r="X218" s="6">
        <v>554.870544</v>
      </c>
      <c r="Y218" s="3">
        <v>2E-3</v>
      </c>
      <c r="AA218" s="3" t="s">
        <v>134</v>
      </c>
      <c r="AB218" s="3">
        <v>0.3</v>
      </c>
      <c r="AC218" s="7">
        <v>566.40155000000004</v>
      </c>
      <c r="AD218" s="3">
        <v>0</v>
      </c>
      <c r="AE218" s="3">
        <f t="shared" ref="AE218:AE247" si="25">AVERAGE(W218,AB218)</f>
        <v>0.31</v>
      </c>
      <c r="AF218" s="4" t="s">
        <v>320</v>
      </c>
      <c r="AG218" s="4" t="s">
        <v>320</v>
      </c>
      <c r="AH218" s="4" t="s">
        <v>321</v>
      </c>
      <c r="AI218" s="4" t="s">
        <v>321</v>
      </c>
      <c r="AJ218" s="1"/>
      <c r="AK218" s="3" t="s">
        <v>135</v>
      </c>
      <c r="AL218" s="3">
        <v>0.9</v>
      </c>
      <c r="AM218" s="3">
        <v>0.5</v>
      </c>
      <c r="AN218" s="3">
        <v>0.6</v>
      </c>
      <c r="AO218" s="3">
        <v>0.3</v>
      </c>
      <c r="AP218" s="7">
        <v>819.18054199999995</v>
      </c>
      <c r="AQ218" s="3">
        <v>6.0000000000000001E-3</v>
      </c>
      <c r="AS218" s="3" t="s">
        <v>135</v>
      </c>
      <c r="AT218" s="3">
        <v>0.31</v>
      </c>
      <c r="AU218" s="6">
        <v>799.90649399999995</v>
      </c>
      <c r="AV218" s="3">
        <v>1E-3</v>
      </c>
      <c r="AW218" s="3">
        <f t="shared" ref="AW218:AW247" si="26">AVERAGE(AO218,AT218)</f>
        <v>0.30499999999999999</v>
      </c>
      <c r="AX218" s="4" t="s">
        <v>320</v>
      </c>
      <c r="AY218" s="4" t="s">
        <v>320</v>
      </c>
      <c r="AZ218" s="4" t="s">
        <v>321</v>
      </c>
      <c r="BA218" s="4" t="s">
        <v>321</v>
      </c>
      <c r="BB218" s="1"/>
      <c r="BC218" s="3" t="s">
        <v>135</v>
      </c>
      <c r="BD218" s="3">
        <v>0.9</v>
      </c>
      <c r="BE218" s="3">
        <v>0.5</v>
      </c>
      <c r="BF218" s="3">
        <v>0.6</v>
      </c>
      <c r="BG218" s="3">
        <v>0.3</v>
      </c>
      <c r="BH218" s="6">
        <v>745.13568099999998</v>
      </c>
      <c r="BI218" s="3">
        <v>5.0000000000000001E-3</v>
      </c>
      <c r="BK218" s="3" t="s">
        <v>135</v>
      </c>
      <c r="BL218" s="3">
        <v>0.32</v>
      </c>
      <c r="BM218" s="7">
        <v>746.17401099999995</v>
      </c>
      <c r="BN218" s="3">
        <v>0</v>
      </c>
      <c r="BO218" s="3">
        <f t="shared" ref="BO218:BO247" si="27">AVERAGE(BG218,BL218)</f>
        <v>0.31</v>
      </c>
      <c r="BP218" s="4" t="s">
        <v>320</v>
      </c>
      <c r="BQ218" s="4" t="s">
        <v>320</v>
      </c>
      <c r="BR218" s="4" t="s">
        <v>321</v>
      </c>
      <c r="BS218" s="4" t="s">
        <v>321</v>
      </c>
    </row>
    <row r="219" spans="1:71" x14ac:dyDescent="0.3">
      <c r="A219" s="3" t="s">
        <v>136</v>
      </c>
      <c r="B219" s="3">
        <v>0.9</v>
      </c>
      <c r="C219" s="3">
        <v>0.5</v>
      </c>
      <c r="D219" s="3">
        <v>0.6</v>
      </c>
      <c r="E219" s="3">
        <v>0.35</v>
      </c>
      <c r="F219" s="6">
        <v>538.90173300000004</v>
      </c>
      <c r="G219" s="3">
        <v>1E-3</v>
      </c>
      <c r="I219" s="3" t="s">
        <v>136</v>
      </c>
      <c r="J219" s="3">
        <v>0.3</v>
      </c>
      <c r="K219" s="7">
        <v>547.20288100000005</v>
      </c>
      <c r="L219" s="3">
        <v>1E-3</v>
      </c>
      <c r="M219" s="3">
        <f t="shared" si="24"/>
        <v>0.32499999999999996</v>
      </c>
      <c r="N219" s="3">
        <f>COUNT(F219,F221:F225,F227:F228,F230,F232,F234:F235,F237,F240,F242:F244,F246)</f>
        <v>18</v>
      </c>
      <c r="O219" s="3">
        <f>30-N219</f>
        <v>12</v>
      </c>
      <c r="P219" s="3">
        <f>COUNT(K218,K220,K226,K229,K231,K233,K236,K238:K239,K241,K245,K247)</f>
        <v>12</v>
      </c>
      <c r="Q219" s="3">
        <f>30-P219</f>
        <v>18</v>
      </c>
      <c r="R219" s="1"/>
      <c r="S219" s="3" t="s">
        <v>136</v>
      </c>
      <c r="T219" s="3">
        <v>0.9</v>
      </c>
      <c r="U219" s="3">
        <v>0.5</v>
      </c>
      <c r="V219" s="3">
        <v>0.6</v>
      </c>
      <c r="W219" s="3">
        <v>0.35</v>
      </c>
      <c r="X219" s="6">
        <v>458.216431</v>
      </c>
      <c r="Y219" s="3">
        <v>1E-3</v>
      </c>
      <c r="AA219" s="3" t="s">
        <v>136</v>
      </c>
      <c r="AB219" s="3">
        <v>0.32</v>
      </c>
      <c r="AC219" s="7">
        <v>467.10522500000002</v>
      </c>
      <c r="AD219" s="3">
        <v>0</v>
      </c>
      <c r="AE219" s="3">
        <f t="shared" si="25"/>
        <v>0.33499999999999996</v>
      </c>
      <c r="AF219" s="3">
        <f>COUNT(X218:X219,X223:X224,X227:X230,X232,X235:X238,X240:X242,X244:X245,X247)</f>
        <v>19</v>
      </c>
      <c r="AG219" s="3">
        <f>30-AF219</f>
        <v>11</v>
      </c>
      <c r="AH219" s="3">
        <f>COUNT(AC220:AC222,AC225:AC226,AC228,AC231,AC233:AC234,AC239,AC243,AC245:AC246)</f>
        <v>13</v>
      </c>
      <c r="AI219" s="3">
        <f>30-AH219</f>
        <v>17</v>
      </c>
      <c r="AJ219" s="1"/>
      <c r="AK219" s="3" t="s">
        <v>137</v>
      </c>
      <c r="AL219" s="3">
        <v>0.9</v>
      </c>
      <c r="AM219" s="3">
        <v>0.5</v>
      </c>
      <c r="AN219" s="3">
        <v>0.6</v>
      </c>
      <c r="AO219" s="3">
        <v>0.35</v>
      </c>
      <c r="AP219" s="6">
        <v>898.25585899999999</v>
      </c>
      <c r="AQ219" s="3">
        <v>7.0000000000000001E-3</v>
      </c>
      <c r="AS219" s="3" t="s">
        <v>137</v>
      </c>
      <c r="AT219" s="3">
        <v>0.31</v>
      </c>
      <c r="AU219" s="7">
        <v>899.589294</v>
      </c>
      <c r="AV219" s="3">
        <v>1E-3</v>
      </c>
      <c r="AW219" s="3">
        <f t="shared" si="26"/>
        <v>0.32999999999999996</v>
      </c>
      <c r="AX219" s="3">
        <f>COUNT(AP219:AP220,AP223:AP225,AP227,AP230:AP232,AP234,AP237:AP241,AP243:AP245,AP247)</f>
        <v>19</v>
      </c>
      <c r="AY219" s="3">
        <f>30-AX219</f>
        <v>11</v>
      </c>
      <c r="AZ219" s="3">
        <f>COUNT(AU218,AU221:AU222,AU226,AU228:AU229,AU233,AU235:AU236,AU242,AU246:AU247)</f>
        <v>12</v>
      </c>
      <c r="BA219" s="3">
        <f>30-AZ219</f>
        <v>18</v>
      </c>
      <c r="BB219" s="1"/>
      <c r="BC219" s="3" t="s">
        <v>137</v>
      </c>
      <c r="BD219" s="3">
        <v>0.9</v>
      </c>
      <c r="BE219" s="3">
        <v>0.5</v>
      </c>
      <c r="BF219" s="3">
        <v>0.6</v>
      </c>
      <c r="BG219" s="3">
        <v>0.31</v>
      </c>
      <c r="BH219" s="7">
        <v>848.069031</v>
      </c>
      <c r="BI219" s="3">
        <v>6.0000000000000001E-3</v>
      </c>
      <c r="BK219" s="3" t="s">
        <v>137</v>
      </c>
      <c r="BL219" s="3">
        <v>0.31</v>
      </c>
      <c r="BM219" s="6">
        <v>844.10150099999998</v>
      </c>
      <c r="BN219" s="3">
        <v>1E-3</v>
      </c>
      <c r="BO219" s="3">
        <f t="shared" si="27"/>
        <v>0.31</v>
      </c>
      <c r="BP219" s="3">
        <f>COUNT(BH218,BH220,BH222:BH227,BH229:BH230,BH232,BH234:BH235,BH237:BH239,BH242,BH245:BH247)</f>
        <v>20</v>
      </c>
      <c r="BQ219" s="3">
        <f>30-BP219</f>
        <v>10</v>
      </c>
      <c r="BR219" s="3">
        <f>COUNT(BM219,BM221,BM228,BM231:BM233,BM236,BM240:BM241,BM243:BM244)</f>
        <v>11</v>
      </c>
      <c r="BS219" s="3">
        <f>30-BR219</f>
        <v>19</v>
      </c>
    </row>
    <row r="220" spans="1:71" x14ac:dyDescent="0.3">
      <c r="A220" s="3" t="s">
        <v>138</v>
      </c>
      <c r="B220" s="3">
        <v>0.9</v>
      </c>
      <c r="C220" s="3">
        <v>0.5</v>
      </c>
      <c r="D220" s="3">
        <v>0.6</v>
      </c>
      <c r="E220" s="3">
        <v>0.34</v>
      </c>
      <c r="F220" s="7">
        <v>610.80566399999998</v>
      </c>
      <c r="G220" s="3">
        <v>2E-3</v>
      </c>
      <c r="I220" s="3" t="s">
        <v>138</v>
      </c>
      <c r="J220" s="3">
        <v>0.3</v>
      </c>
      <c r="K220" s="6">
        <v>607.13934300000005</v>
      </c>
      <c r="L220" s="3">
        <v>0</v>
      </c>
      <c r="M220" s="3">
        <f t="shared" si="24"/>
        <v>0.32</v>
      </c>
      <c r="N220" s="5"/>
      <c r="O220" s="5"/>
      <c r="P220" s="5"/>
      <c r="Q220" s="5"/>
      <c r="R220" s="1"/>
      <c r="S220" s="3" t="s">
        <v>138</v>
      </c>
      <c r="T220" s="3">
        <v>0.9</v>
      </c>
      <c r="U220" s="3">
        <v>0.5</v>
      </c>
      <c r="V220" s="3">
        <v>0.6</v>
      </c>
      <c r="W220" s="3">
        <v>0.36</v>
      </c>
      <c r="X220" s="7">
        <v>574.13793899999996</v>
      </c>
      <c r="Y220" s="3">
        <v>1E-3</v>
      </c>
      <c r="AA220" s="3" t="s">
        <v>138</v>
      </c>
      <c r="AB220" s="3">
        <v>0.36</v>
      </c>
      <c r="AC220" s="6">
        <v>561.94537400000002</v>
      </c>
      <c r="AD220" s="3">
        <v>0</v>
      </c>
      <c r="AE220" s="3">
        <f t="shared" si="25"/>
        <v>0.36</v>
      </c>
      <c r="AF220" s="5"/>
      <c r="AG220" s="5"/>
      <c r="AH220" s="5"/>
      <c r="AI220" s="5"/>
      <c r="AJ220" s="1"/>
      <c r="AK220" s="3" t="s">
        <v>139</v>
      </c>
      <c r="AL220" s="3">
        <v>0.9</v>
      </c>
      <c r="AM220" s="3">
        <v>0.5</v>
      </c>
      <c r="AN220" s="3">
        <v>0.6</v>
      </c>
      <c r="AO220" s="3">
        <v>0.35</v>
      </c>
      <c r="AP220" s="6">
        <v>909.79162599999995</v>
      </c>
      <c r="AQ220" s="3">
        <v>8.0000000000000002E-3</v>
      </c>
      <c r="AS220" s="3" t="s">
        <v>139</v>
      </c>
      <c r="AT220" s="3">
        <v>0.3</v>
      </c>
      <c r="AU220" s="7">
        <v>912.93206799999996</v>
      </c>
      <c r="AV220" s="3">
        <v>0</v>
      </c>
      <c r="AW220" s="3">
        <f t="shared" si="26"/>
        <v>0.32499999999999996</v>
      </c>
      <c r="AX220" s="5"/>
      <c r="AY220" s="5"/>
      <c r="AZ220" s="5"/>
      <c r="BA220" s="5"/>
      <c r="BB220" s="1"/>
      <c r="BC220" s="3" t="s">
        <v>139</v>
      </c>
      <c r="BD220" s="3">
        <v>0.9</v>
      </c>
      <c r="BE220" s="3">
        <v>0.5</v>
      </c>
      <c r="BF220" s="3">
        <v>0.6</v>
      </c>
      <c r="BG220" s="3">
        <v>0.31</v>
      </c>
      <c r="BH220" s="6">
        <v>852.17553699999996</v>
      </c>
      <c r="BI220" s="3">
        <v>6.0000000000000001E-3</v>
      </c>
      <c r="BK220" s="3" t="s">
        <v>139</v>
      </c>
      <c r="BL220" s="3">
        <v>0.3</v>
      </c>
      <c r="BM220" s="7">
        <v>868.29968299999996</v>
      </c>
      <c r="BN220" s="3">
        <v>1E-3</v>
      </c>
      <c r="BO220" s="3">
        <f t="shared" si="27"/>
        <v>0.30499999999999999</v>
      </c>
    </row>
    <row r="221" spans="1:71" x14ac:dyDescent="0.3">
      <c r="A221" s="3" t="s">
        <v>140</v>
      </c>
      <c r="B221" s="3">
        <v>0.9</v>
      </c>
      <c r="C221" s="3">
        <v>0.5</v>
      </c>
      <c r="D221" s="3">
        <v>0.6</v>
      </c>
      <c r="E221" s="3">
        <v>0.32</v>
      </c>
      <c r="F221" s="6">
        <v>597.69976799999995</v>
      </c>
      <c r="G221" s="3">
        <v>2E-3</v>
      </c>
      <c r="I221" s="3" t="s">
        <v>140</v>
      </c>
      <c r="J221" s="3">
        <v>0.3</v>
      </c>
      <c r="K221" s="7">
        <v>601.75116000000003</v>
      </c>
      <c r="L221" s="3">
        <v>1E-3</v>
      </c>
      <c r="M221" s="3">
        <f t="shared" si="24"/>
        <v>0.31</v>
      </c>
      <c r="N221" s="5"/>
      <c r="O221" s="5"/>
      <c r="P221" s="5"/>
      <c r="Q221" s="5"/>
      <c r="R221" s="1"/>
      <c r="S221" s="3" t="s">
        <v>140</v>
      </c>
      <c r="T221" s="3">
        <v>0.9</v>
      </c>
      <c r="U221" s="3">
        <v>0.5</v>
      </c>
      <c r="V221" s="3">
        <v>0.6</v>
      </c>
      <c r="W221" s="3">
        <v>0.39</v>
      </c>
      <c r="X221" s="7">
        <v>580.28814699999998</v>
      </c>
      <c r="Y221" s="3">
        <v>2E-3</v>
      </c>
      <c r="AA221" s="3" t="s">
        <v>140</v>
      </c>
      <c r="AB221" s="3">
        <v>0.36</v>
      </c>
      <c r="AC221" s="6">
        <v>567.04083300000002</v>
      </c>
      <c r="AD221" s="3">
        <v>0</v>
      </c>
      <c r="AE221" s="3">
        <f t="shared" si="25"/>
        <v>0.375</v>
      </c>
      <c r="AF221" s="5"/>
      <c r="AG221" s="5"/>
      <c r="AH221" s="5"/>
      <c r="AI221" s="5"/>
      <c r="AJ221" s="1"/>
      <c r="AK221" s="3" t="s">
        <v>141</v>
      </c>
      <c r="AL221" s="3">
        <v>0.9</v>
      </c>
      <c r="AM221" s="3">
        <v>0.5</v>
      </c>
      <c r="AN221" s="3">
        <v>0.6</v>
      </c>
      <c r="AO221" s="3">
        <v>0.32</v>
      </c>
      <c r="AP221" s="7">
        <v>955.86755400000004</v>
      </c>
      <c r="AQ221" s="3">
        <v>7.0000000000000001E-3</v>
      </c>
      <c r="AS221" s="3" t="s">
        <v>141</v>
      </c>
      <c r="AT221" s="3">
        <v>0.31</v>
      </c>
      <c r="AU221" s="6">
        <v>953.47833300000002</v>
      </c>
      <c r="AV221" s="3">
        <v>0</v>
      </c>
      <c r="AW221" s="3">
        <f t="shared" si="26"/>
        <v>0.315</v>
      </c>
      <c r="AX221" s="5"/>
      <c r="AY221" s="5"/>
      <c r="AZ221" s="5"/>
      <c r="BA221" s="5"/>
      <c r="BB221" s="1"/>
      <c r="BC221" s="3" t="s">
        <v>141</v>
      </c>
      <c r="BD221" s="3">
        <v>0.9</v>
      </c>
      <c r="BE221" s="3">
        <v>0.5</v>
      </c>
      <c r="BF221" s="3">
        <v>0.6</v>
      </c>
      <c r="BG221" s="3">
        <v>0.3</v>
      </c>
      <c r="BH221" s="7">
        <v>922.22393799999998</v>
      </c>
      <c r="BI221" s="3">
        <v>5.0000000000000001E-3</v>
      </c>
      <c r="BK221" s="3" t="s">
        <v>141</v>
      </c>
      <c r="BL221" s="3">
        <v>0.3</v>
      </c>
      <c r="BM221" s="6">
        <v>913.39532499999996</v>
      </c>
      <c r="BN221" s="3">
        <v>0</v>
      </c>
      <c r="BO221" s="3">
        <f t="shared" si="27"/>
        <v>0.3</v>
      </c>
    </row>
    <row r="222" spans="1:71" x14ac:dyDescent="0.3">
      <c r="A222" s="3" t="s">
        <v>142</v>
      </c>
      <c r="B222" s="3">
        <v>0.9</v>
      </c>
      <c r="C222" s="3">
        <v>0.5</v>
      </c>
      <c r="D222" s="3">
        <v>0.6</v>
      </c>
      <c r="E222" s="3">
        <v>0.33</v>
      </c>
      <c r="F222" s="6">
        <v>542.69671600000004</v>
      </c>
      <c r="G222" s="3">
        <v>2E-3</v>
      </c>
      <c r="I222" s="3" t="s">
        <v>142</v>
      </c>
      <c r="J222" s="3">
        <v>0.32</v>
      </c>
      <c r="K222" s="7">
        <v>544.70544400000006</v>
      </c>
      <c r="L222" s="3">
        <v>0</v>
      </c>
      <c r="M222" s="3">
        <f t="shared" si="24"/>
        <v>0.32500000000000001</v>
      </c>
      <c r="N222" s="5"/>
      <c r="O222" s="5"/>
      <c r="P222" s="5"/>
      <c r="Q222" s="5"/>
      <c r="R222" s="1"/>
      <c r="S222" s="3" t="s">
        <v>142</v>
      </c>
      <c r="T222" s="3">
        <v>0.9</v>
      </c>
      <c r="U222" s="3">
        <v>0.5</v>
      </c>
      <c r="V222" s="3">
        <v>0.6</v>
      </c>
      <c r="W222" s="3">
        <v>0.31</v>
      </c>
      <c r="X222" s="7">
        <v>452.684845</v>
      </c>
      <c r="Y222" s="3">
        <v>3.0000000000000001E-3</v>
      </c>
      <c r="AA222" s="3" t="s">
        <v>142</v>
      </c>
      <c r="AB222" s="3">
        <v>0.42</v>
      </c>
      <c r="AC222" s="6">
        <v>442.19589200000001</v>
      </c>
      <c r="AD222" s="3">
        <v>0</v>
      </c>
      <c r="AE222" s="3">
        <f t="shared" si="25"/>
        <v>0.36499999999999999</v>
      </c>
      <c r="AF222" s="5"/>
      <c r="AG222" s="5"/>
      <c r="AH222" s="5"/>
      <c r="AI222" s="5"/>
      <c r="AJ222" s="1"/>
      <c r="AK222" s="3" t="s">
        <v>143</v>
      </c>
      <c r="AL222" s="3">
        <v>0.9</v>
      </c>
      <c r="AM222" s="3">
        <v>0.5</v>
      </c>
      <c r="AN222" s="3">
        <v>0.6</v>
      </c>
      <c r="AO222" s="3">
        <v>0.3</v>
      </c>
      <c r="AP222" s="7">
        <v>923.76434300000005</v>
      </c>
      <c r="AQ222" s="3">
        <v>6.0000000000000001E-3</v>
      </c>
      <c r="AS222" s="3" t="s">
        <v>143</v>
      </c>
      <c r="AT222" s="3">
        <v>0.32</v>
      </c>
      <c r="AU222" s="6">
        <v>915.29699700000003</v>
      </c>
      <c r="AV222" s="3">
        <v>1E-3</v>
      </c>
      <c r="AW222" s="3">
        <f t="shared" si="26"/>
        <v>0.31</v>
      </c>
      <c r="AX222" s="5"/>
      <c r="AY222" s="5"/>
      <c r="AZ222" s="5"/>
      <c r="BA222" s="5"/>
      <c r="BB222" s="1"/>
      <c r="BC222" s="3" t="s">
        <v>143</v>
      </c>
      <c r="BD222" s="3">
        <v>0.9</v>
      </c>
      <c r="BE222" s="3">
        <v>0.5</v>
      </c>
      <c r="BF222" s="3">
        <v>0.6</v>
      </c>
      <c r="BG222" s="3">
        <v>0.3</v>
      </c>
      <c r="BH222" s="6">
        <v>851.886841</v>
      </c>
      <c r="BI222" s="3">
        <v>8.0000000000000002E-3</v>
      </c>
      <c r="BK222" s="3" t="s">
        <v>143</v>
      </c>
      <c r="BL222" s="3">
        <v>0.31</v>
      </c>
      <c r="BM222" s="7">
        <v>873.94433600000002</v>
      </c>
      <c r="BN222" s="3">
        <v>1E-3</v>
      </c>
      <c r="BO222" s="3">
        <f t="shared" si="27"/>
        <v>0.30499999999999999</v>
      </c>
    </row>
    <row r="223" spans="1:71" x14ac:dyDescent="0.3">
      <c r="A223" s="3" t="s">
        <v>144</v>
      </c>
      <c r="B223" s="3">
        <v>0.9</v>
      </c>
      <c r="C223" s="3">
        <v>0.5</v>
      </c>
      <c r="D223" s="3">
        <v>0.6</v>
      </c>
      <c r="E223" s="3">
        <v>0.34</v>
      </c>
      <c r="F223" s="6">
        <v>630.65838599999995</v>
      </c>
      <c r="G223" s="3">
        <v>2E-3</v>
      </c>
      <c r="I223" s="3" t="s">
        <v>144</v>
      </c>
      <c r="J223" s="3">
        <v>0.32</v>
      </c>
      <c r="K223" s="7">
        <v>631.06091300000003</v>
      </c>
      <c r="L223" s="3">
        <v>1E-3</v>
      </c>
      <c r="M223" s="3">
        <f t="shared" si="24"/>
        <v>0.33</v>
      </c>
      <c r="N223" s="5"/>
      <c r="O223" s="5"/>
      <c r="P223" s="5"/>
      <c r="Q223" s="5"/>
      <c r="R223" s="1"/>
      <c r="S223" s="3" t="s">
        <v>144</v>
      </c>
      <c r="T223" s="3">
        <v>0.9</v>
      </c>
      <c r="U223" s="3">
        <v>0.5</v>
      </c>
      <c r="V223" s="3">
        <v>0.6</v>
      </c>
      <c r="W223" s="3">
        <v>0.3</v>
      </c>
      <c r="X223" s="6">
        <v>580.29516599999999</v>
      </c>
      <c r="Y223" s="3">
        <v>1E-3</v>
      </c>
      <c r="AA223" s="3" t="s">
        <v>144</v>
      </c>
      <c r="AB223" s="3">
        <v>0.32</v>
      </c>
      <c r="AC223" s="7">
        <v>591.59857199999999</v>
      </c>
      <c r="AD223" s="3">
        <v>0</v>
      </c>
      <c r="AE223" s="3">
        <f t="shared" si="25"/>
        <v>0.31</v>
      </c>
      <c r="AF223" s="5"/>
      <c r="AG223" s="5"/>
      <c r="AH223" s="5"/>
      <c r="AI223" s="5"/>
      <c r="AJ223" s="1"/>
      <c r="AK223" s="3" t="s">
        <v>145</v>
      </c>
      <c r="AL223" s="3">
        <v>0.9</v>
      </c>
      <c r="AM223" s="3">
        <v>0.5</v>
      </c>
      <c r="AN223" s="3">
        <v>0.6</v>
      </c>
      <c r="AO223" s="3">
        <v>0.34</v>
      </c>
      <c r="AP223" s="6">
        <v>912.169128</v>
      </c>
      <c r="AQ223" s="3">
        <v>8.9999999999999993E-3</v>
      </c>
      <c r="AS223" s="3" t="s">
        <v>145</v>
      </c>
      <c r="AT223" s="3">
        <v>0.34</v>
      </c>
      <c r="AU223" s="7">
        <v>926.54193099999998</v>
      </c>
      <c r="AV223" s="3">
        <v>0</v>
      </c>
      <c r="AW223" s="3">
        <f t="shared" si="26"/>
        <v>0.34</v>
      </c>
      <c r="AX223" s="5"/>
      <c r="AY223" s="5"/>
      <c r="AZ223" s="5"/>
      <c r="BA223" s="5"/>
      <c r="BB223" s="1"/>
      <c r="BC223" s="3" t="s">
        <v>145</v>
      </c>
      <c r="BD223" s="3">
        <v>0.9</v>
      </c>
      <c r="BE223" s="3">
        <v>0.5</v>
      </c>
      <c r="BF223" s="3">
        <v>0.6</v>
      </c>
      <c r="BG223" s="3">
        <v>0.33</v>
      </c>
      <c r="BH223" s="6">
        <v>874.55828899999995</v>
      </c>
      <c r="BI223" s="3">
        <v>5.0000000000000001E-3</v>
      </c>
      <c r="BK223" s="3" t="s">
        <v>145</v>
      </c>
      <c r="BL223" s="3">
        <v>0.33</v>
      </c>
      <c r="BM223" s="7">
        <v>876.26300000000003</v>
      </c>
      <c r="BN223" s="3">
        <v>1E-3</v>
      </c>
      <c r="BO223" s="3">
        <f t="shared" si="27"/>
        <v>0.33</v>
      </c>
    </row>
    <row r="224" spans="1:71" x14ac:dyDescent="0.3">
      <c r="A224" s="3" t="s">
        <v>146</v>
      </c>
      <c r="B224" s="3">
        <v>0.9</v>
      </c>
      <c r="C224" s="3">
        <v>0.5</v>
      </c>
      <c r="D224" s="3">
        <v>0.6</v>
      </c>
      <c r="E224" s="3">
        <v>0.35</v>
      </c>
      <c r="F224" s="6">
        <v>560.43963599999995</v>
      </c>
      <c r="G224" s="3">
        <v>1E-3</v>
      </c>
      <c r="I224" s="3" t="s">
        <v>146</v>
      </c>
      <c r="J224" s="3">
        <v>0.3</v>
      </c>
      <c r="K224" s="7">
        <v>571.00451699999996</v>
      </c>
      <c r="L224" s="3">
        <v>1E-3</v>
      </c>
      <c r="M224" s="3">
        <f t="shared" si="24"/>
        <v>0.32499999999999996</v>
      </c>
      <c r="N224" s="5"/>
      <c r="O224" s="5"/>
      <c r="P224" s="5"/>
      <c r="Q224" s="5"/>
      <c r="R224" s="1"/>
      <c r="S224" s="3" t="s">
        <v>146</v>
      </c>
      <c r="T224" s="3">
        <v>0.9</v>
      </c>
      <c r="U224" s="3">
        <v>0.5</v>
      </c>
      <c r="V224" s="3">
        <v>0.6</v>
      </c>
      <c r="W224" s="3">
        <v>0.3</v>
      </c>
      <c r="X224" s="6">
        <v>500.38897700000001</v>
      </c>
      <c r="Y224" s="3">
        <v>2E-3</v>
      </c>
      <c r="AA224" s="3" t="s">
        <v>146</v>
      </c>
      <c r="AB224" s="3">
        <v>0.32</v>
      </c>
      <c r="AC224" s="7">
        <v>510.762787</v>
      </c>
      <c r="AD224" s="3">
        <v>0</v>
      </c>
      <c r="AE224" s="3">
        <f t="shared" si="25"/>
        <v>0.31</v>
      </c>
      <c r="AF224" s="5"/>
      <c r="AG224" s="5"/>
      <c r="AH224" s="5"/>
      <c r="AI224" s="5"/>
      <c r="AJ224" s="1"/>
      <c r="AK224" s="3" t="s">
        <v>147</v>
      </c>
      <c r="AL224" s="3">
        <v>0.9</v>
      </c>
      <c r="AM224" s="3">
        <v>0.5</v>
      </c>
      <c r="AN224" s="3">
        <v>0.6</v>
      </c>
      <c r="AO224" s="3">
        <v>0.3</v>
      </c>
      <c r="AP224" s="6">
        <v>885.20202600000005</v>
      </c>
      <c r="AQ224" s="3">
        <v>6.0000000000000001E-3</v>
      </c>
      <c r="AS224" s="3" t="s">
        <v>147</v>
      </c>
      <c r="AT224" s="3">
        <v>0.3</v>
      </c>
      <c r="AU224" s="7">
        <v>891.92919900000004</v>
      </c>
      <c r="AV224" s="3">
        <v>0</v>
      </c>
      <c r="AW224" s="3">
        <f t="shared" si="26"/>
        <v>0.3</v>
      </c>
      <c r="AX224" s="5"/>
      <c r="AY224" s="5"/>
      <c r="AZ224" s="5"/>
      <c r="BA224" s="5"/>
      <c r="BB224" s="1"/>
      <c r="BC224" s="3" t="s">
        <v>147</v>
      </c>
      <c r="BD224" s="3">
        <v>0.9</v>
      </c>
      <c r="BE224" s="3">
        <v>0.5</v>
      </c>
      <c r="BF224" s="3">
        <v>0.6</v>
      </c>
      <c r="BG224" s="3">
        <v>0.3</v>
      </c>
      <c r="BH224" s="6">
        <v>815.22760000000005</v>
      </c>
      <c r="BI224" s="3">
        <v>0.01</v>
      </c>
      <c r="BK224" s="3" t="s">
        <v>147</v>
      </c>
      <c r="BL224" s="3">
        <v>0.32</v>
      </c>
      <c r="BM224" s="7">
        <v>829.73486300000002</v>
      </c>
      <c r="BN224" s="3">
        <v>1E-3</v>
      </c>
      <c r="BO224" s="3">
        <f t="shared" si="27"/>
        <v>0.31</v>
      </c>
    </row>
    <row r="225" spans="1:67" x14ac:dyDescent="0.3">
      <c r="A225" s="3" t="s">
        <v>148</v>
      </c>
      <c r="B225" s="3">
        <v>0.9</v>
      </c>
      <c r="C225" s="3">
        <v>0.5</v>
      </c>
      <c r="D225" s="3">
        <v>0.6</v>
      </c>
      <c r="E225" s="3">
        <v>0.32</v>
      </c>
      <c r="F225" s="6">
        <v>604.33557099999996</v>
      </c>
      <c r="G225" s="3">
        <v>2E-3</v>
      </c>
      <c r="I225" s="3" t="s">
        <v>148</v>
      </c>
      <c r="J225" s="3">
        <v>0.32</v>
      </c>
      <c r="K225" s="7">
        <v>607.06994599999996</v>
      </c>
      <c r="L225" s="3">
        <v>0</v>
      </c>
      <c r="M225" s="3">
        <f t="shared" si="24"/>
        <v>0.32</v>
      </c>
      <c r="N225" s="5"/>
      <c r="O225" s="5"/>
      <c r="P225" s="5"/>
      <c r="Q225" s="5"/>
      <c r="R225" s="1"/>
      <c r="S225" s="3" t="s">
        <v>148</v>
      </c>
      <c r="T225" s="3">
        <v>0.9</v>
      </c>
      <c r="U225" s="3">
        <v>0.5</v>
      </c>
      <c r="V225" s="3">
        <v>0.6</v>
      </c>
      <c r="W225" s="3">
        <v>0.31</v>
      </c>
      <c r="X225" s="7">
        <v>572.03344700000002</v>
      </c>
      <c r="Y225" s="3">
        <v>2E-3</v>
      </c>
      <c r="AA225" s="3" t="s">
        <v>148</v>
      </c>
      <c r="AB225" s="3">
        <v>0.32</v>
      </c>
      <c r="AC225" s="6">
        <v>552.70660399999997</v>
      </c>
      <c r="AD225" s="3">
        <v>0</v>
      </c>
      <c r="AE225" s="3">
        <f t="shared" si="25"/>
        <v>0.315</v>
      </c>
      <c r="AF225" s="5"/>
      <c r="AG225" s="5"/>
      <c r="AH225" s="5"/>
      <c r="AI225" s="5"/>
      <c r="AJ225" s="1"/>
      <c r="AK225" s="3" t="s">
        <v>149</v>
      </c>
      <c r="AL225" s="3">
        <v>0.9</v>
      </c>
      <c r="AM225" s="3">
        <v>0.5</v>
      </c>
      <c r="AN225" s="3">
        <v>0.6</v>
      </c>
      <c r="AO225" s="3">
        <v>0.33</v>
      </c>
      <c r="AP225" s="6">
        <v>895.31732199999999</v>
      </c>
      <c r="AQ225" s="3">
        <v>7.0000000000000001E-3</v>
      </c>
      <c r="AS225" s="3" t="s">
        <v>149</v>
      </c>
      <c r="AT225" s="3">
        <v>0.3</v>
      </c>
      <c r="AU225" s="7">
        <v>907.51989700000001</v>
      </c>
      <c r="AV225" s="3">
        <v>1E-3</v>
      </c>
      <c r="AW225" s="3">
        <f t="shared" si="26"/>
        <v>0.315</v>
      </c>
      <c r="AX225" s="5"/>
      <c r="AY225" s="5"/>
      <c r="AZ225" s="5"/>
      <c r="BA225" s="5"/>
      <c r="BB225" s="1"/>
      <c r="BC225" s="3" t="s">
        <v>149</v>
      </c>
      <c r="BD225" s="3">
        <v>0.9</v>
      </c>
      <c r="BE225" s="3">
        <v>0.5</v>
      </c>
      <c r="BF225" s="3">
        <v>0.6</v>
      </c>
      <c r="BG225" s="3">
        <v>0.3</v>
      </c>
      <c r="BH225" s="6">
        <v>816.277466</v>
      </c>
      <c r="BI225" s="3">
        <v>6.0000000000000001E-3</v>
      </c>
      <c r="BK225" s="3" t="s">
        <v>149</v>
      </c>
      <c r="BL225" s="3">
        <v>0.3</v>
      </c>
      <c r="BM225" s="7">
        <v>858.41894500000001</v>
      </c>
      <c r="BN225" s="3">
        <v>1E-3</v>
      </c>
      <c r="BO225" s="3">
        <f t="shared" si="27"/>
        <v>0.3</v>
      </c>
    </row>
    <row r="226" spans="1:67" x14ac:dyDescent="0.3">
      <c r="A226" s="3" t="s">
        <v>150</v>
      </c>
      <c r="B226" s="3">
        <v>0.9</v>
      </c>
      <c r="C226" s="3">
        <v>0.5</v>
      </c>
      <c r="D226" s="3">
        <v>0.6</v>
      </c>
      <c r="E226" s="3">
        <v>0.34</v>
      </c>
      <c r="F226" s="7">
        <v>549.73461899999995</v>
      </c>
      <c r="G226" s="3">
        <v>3.0000000000000001E-3</v>
      </c>
      <c r="I226" s="3" t="s">
        <v>150</v>
      </c>
      <c r="J226" s="3">
        <v>0.39</v>
      </c>
      <c r="K226" s="6">
        <v>545.79193099999998</v>
      </c>
      <c r="L226" s="3">
        <v>1E-3</v>
      </c>
      <c r="M226" s="3">
        <f t="shared" si="24"/>
        <v>0.36499999999999999</v>
      </c>
      <c r="N226" s="5"/>
      <c r="O226" s="5"/>
      <c r="P226" s="5"/>
      <c r="Q226" s="5"/>
      <c r="R226" s="1"/>
      <c r="S226" s="3" t="s">
        <v>150</v>
      </c>
      <c r="T226" s="3">
        <v>0.9</v>
      </c>
      <c r="U226" s="3">
        <v>0.5</v>
      </c>
      <c r="V226" s="3">
        <v>0.6</v>
      </c>
      <c r="W226" s="3">
        <v>0.3</v>
      </c>
      <c r="X226" s="7">
        <v>473.03066999999999</v>
      </c>
      <c r="Y226" s="3">
        <v>2E-3</v>
      </c>
      <c r="AA226" s="3" t="s">
        <v>150</v>
      </c>
      <c r="AB226" s="3">
        <v>0.39</v>
      </c>
      <c r="AC226" s="6">
        <v>468.53472900000003</v>
      </c>
      <c r="AD226" s="3">
        <v>0</v>
      </c>
      <c r="AE226" s="3">
        <f t="shared" si="25"/>
        <v>0.34499999999999997</v>
      </c>
      <c r="AF226" s="5"/>
      <c r="AG226" s="5"/>
      <c r="AH226" s="5"/>
      <c r="AI226" s="5"/>
      <c r="AJ226" s="1"/>
      <c r="AK226" s="3" t="s">
        <v>151</v>
      </c>
      <c r="AL226" s="3">
        <v>0.9</v>
      </c>
      <c r="AM226" s="3">
        <v>0.5</v>
      </c>
      <c r="AN226" s="3">
        <v>0.6</v>
      </c>
      <c r="AO226" s="3">
        <v>0.3</v>
      </c>
      <c r="AP226" s="7">
        <v>826.88195800000005</v>
      </c>
      <c r="AQ226" s="3">
        <v>8.0000000000000002E-3</v>
      </c>
      <c r="AS226" s="3" t="s">
        <v>151</v>
      </c>
      <c r="AT226" s="3">
        <v>0.31</v>
      </c>
      <c r="AU226" s="6">
        <v>777.50854500000003</v>
      </c>
      <c r="AV226" s="3">
        <v>1E-3</v>
      </c>
      <c r="AW226" s="3">
        <f t="shared" si="26"/>
        <v>0.30499999999999999</v>
      </c>
      <c r="AX226" s="5"/>
      <c r="AY226" s="5"/>
      <c r="AZ226" s="5"/>
      <c r="BA226" s="5"/>
      <c r="BB226" s="1"/>
      <c r="BC226" s="3" t="s">
        <v>151</v>
      </c>
      <c r="BD226" s="3">
        <v>0.9</v>
      </c>
      <c r="BE226" s="3">
        <v>0.5</v>
      </c>
      <c r="BF226" s="3">
        <v>0.6</v>
      </c>
      <c r="BG226" s="3">
        <v>0.3</v>
      </c>
      <c r="BH226" s="6">
        <v>746.89660600000002</v>
      </c>
      <c r="BI226" s="3">
        <v>5.0000000000000001E-3</v>
      </c>
      <c r="BK226" s="3" t="s">
        <v>151</v>
      </c>
      <c r="BL226" s="3">
        <v>0.3</v>
      </c>
      <c r="BM226" s="7">
        <v>748.44244400000002</v>
      </c>
      <c r="BN226" s="3">
        <v>1E-3</v>
      </c>
      <c r="BO226" s="3">
        <f t="shared" si="27"/>
        <v>0.3</v>
      </c>
    </row>
    <row r="227" spans="1:67" x14ac:dyDescent="0.3">
      <c r="A227" s="3" t="s">
        <v>152</v>
      </c>
      <c r="B227" s="3">
        <v>0.9</v>
      </c>
      <c r="C227" s="3">
        <v>0.5</v>
      </c>
      <c r="D227" s="3">
        <v>0.6</v>
      </c>
      <c r="E227" s="3">
        <v>0.3</v>
      </c>
      <c r="F227" s="6">
        <v>590.42382799999996</v>
      </c>
      <c r="G227" s="3">
        <v>2E-3</v>
      </c>
      <c r="I227" s="3" t="s">
        <v>152</v>
      </c>
      <c r="J227" s="3">
        <v>0.3</v>
      </c>
      <c r="K227" s="7">
        <v>595.23681599999998</v>
      </c>
      <c r="L227" s="3">
        <v>0</v>
      </c>
      <c r="M227" s="3">
        <f t="shared" si="24"/>
        <v>0.3</v>
      </c>
      <c r="N227" s="5"/>
      <c r="O227" s="5"/>
      <c r="P227" s="5"/>
      <c r="Q227" s="5"/>
      <c r="R227" s="1"/>
      <c r="S227" s="3" t="s">
        <v>152</v>
      </c>
      <c r="T227" s="3">
        <v>0.9</v>
      </c>
      <c r="U227" s="3">
        <v>0.5</v>
      </c>
      <c r="V227" s="3">
        <v>0.6</v>
      </c>
      <c r="W227" s="3">
        <v>0.36</v>
      </c>
      <c r="X227" s="6">
        <v>553.47735599999999</v>
      </c>
      <c r="Y227" s="3">
        <v>1E-3</v>
      </c>
      <c r="AA227" s="3" t="s">
        <v>152</v>
      </c>
      <c r="AB227" s="3">
        <v>0.34</v>
      </c>
      <c r="AC227" s="7">
        <v>562.46234100000004</v>
      </c>
      <c r="AD227" s="3">
        <v>0</v>
      </c>
      <c r="AE227" s="3">
        <f t="shared" si="25"/>
        <v>0.35</v>
      </c>
      <c r="AF227" s="5"/>
      <c r="AG227" s="5"/>
      <c r="AH227" s="5"/>
      <c r="AI227" s="5"/>
      <c r="AJ227" s="1"/>
      <c r="AK227" s="3" t="s">
        <v>153</v>
      </c>
      <c r="AL227" s="3">
        <v>0.9</v>
      </c>
      <c r="AM227" s="3">
        <v>0.5</v>
      </c>
      <c r="AN227" s="3">
        <v>0.6</v>
      </c>
      <c r="AO227" s="3">
        <v>0.31</v>
      </c>
      <c r="AP227" s="6">
        <v>887.00897199999997</v>
      </c>
      <c r="AQ227" s="3">
        <v>6.0000000000000001E-3</v>
      </c>
      <c r="AS227" s="3" t="s">
        <v>153</v>
      </c>
      <c r="AT227" s="3">
        <v>0.3</v>
      </c>
      <c r="AU227" s="7">
        <v>890.32257100000004</v>
      </c>
      <c r="AV227" s="3">
        <v>0</v>
      </c>
      <c r="AW227" s="3">
        <f t="shared" si="26"/>
        <v>0.30499999999999999</v>
      </c>
      <c r="AX227" s="5"/>
      <c r="AY227" s="5"/>
      <c r="AZ227" s="5"/>
      <c r="BA227" s="5"/>
      <c r="BB227" s="1"/>
      <c r="BC227" s="3" t="s">
        <v>153</v>
      </c>
      <c r="BD227" s="3">
        <v>0.9</v>
      </c>
      <c r="BE227" s="3">
        <v>0.5</v>
      </c>
      <c r="BF227" s="3">
        <v>0.6</v>
      </c>
      <c r="BG227" s="3">
        <v>0.36</v>
      </c>
      <c r="BH227" s="6">
        <v>830.96936000000005</v>
      </c>
      <c r="BI227" s="3">
        <v>6.0000000000000001E-3</v>
      </c>
      <c r="BK227" s="3" t="s">
        <v>153</v>
      </c>
      <c r="BL227" s="3">
        <v>0.33</v>
      </c>
      <c r="BM227" s="7">
        <v>832.73559599999999</v>
      </c>
      <c r="BN227" s="3">
        <v>1E-3</v>
      </c>
      <c r="BO227" s="3">
        <f t="shared" si="27"/>
        <v>0.34499999999999997</v>
      </c>
    </row>
    <row r="228" spans="1:67" x14ac:dyDescent="0.3">
      <c r="A228" s="3" t="s">
        <v>154</v>
      </c>
      <c r="B228" s="3">
        <v>0.9</v>
      </c>
      <c r="C228" s="3">
        <v>0.5</v>
      </c>
      <c r="D228" s="3">
        <v>0.6</v>
      </c>
      <c r="E228" s="3">
        <v>0.3</v>
      </c>
      <c r="F228" s="6">
        <v>605.48040800000001</v>
      </c>
      <c r="G228" s="3">
        <v>2E-3</v>
      </c>
      <c r="I228" s="3" t="s">
        <v>154</v>
      </c>
      <c r="J228" s="3">
        <v>0.32</v>
      </c>
      <c r="K228" s="7">
        <v>616.68957499999999</v>
      </c>
      <c r="L228" s="3">
        <v>0</v>
      </c>
      <c r="M228" s="3">
        <f t="shared" si="24"/>
        <v>0.31</v>
      </c>
      <c r="N228" s="5"/>
      <c r="O228" s="5"/>
      <c r="P228" s="5"/>
      <c r="Q228" s="5"/>
      <c r="R228" s="1"/>
      <c r="S228" s="3" t="s">
        <v>154</v>
      </c>
      <c r="T228" s="3">
        <v>0.9</v>
      </c>
      <c r="U228" s="3">
        <v>0.5</v>
      </c>
      <c r="V228" s="3">
        <v>0.6</v>
      </c>
      <c r="W228" s="3">
        <v>0.32</v>
      </c>
      <c r="X228" s="8">
        <v>579.47393799999998</v>
      </c>
      <c r="Y228" s="3">
        <v>1E-3</v>
      </c>
      <c r="AA228" s="3" t="s">
        <v>154</v>
      </c>
      <c r="AB228" s="3">
        <v>0.32</v>
      </c>
      <c r="AC228" s="6">
        <v>579.11413600000003</v>
      </c>
      <c r="AD228" s="3">
        <v>0</v>
      </c>
      <c r="AE228" s="3">
        <f t="shared" si="25"/>
        <v>0.32</v>
      </c>
      <c r="AF228" s="5"/>
      <c r="AG228" s="5"/>
      <c r="AH228" s="5"/>
      <c r="AI228" s="5"/>
      <c r="AJ228" s="1"/>
      <c r="AK228" s="3" t="s">
        <v>155</v>
      </c>
      <c r="AL228" s="3">
        <v>0.9</v>
      </c>
      <c r="AM228" s="3">
        <v>0.5</v>
      </c>
      <c r="AN228" s="3">
        <v>0.6</v>
      </c>
      <c r="AO228" s="3">
        <v>0.31</v>
      </c>
      <c r="AP228" s="7">
        <v>1122.306885</v>
      </c>
      <c r="AQ228" s="3">
        <v>6.0000000000000001E-3</v>
      </c>
      <c r="AS228" s="3" t="s">
        <v>155</v>
      </c>
      <c r="AT228" s="3">
        <v>0.3</v>
      </c>
      <c r="AU228" s="6">
        <v>1121.623047</v>
      </c>
      <c r="AV228" s="3">
        <v>1E-3</v>
      </c>
      <c r="AW228" s="3">
        <f t="shared" si="26"/>
        <v>0.30499999999999999</v>
      </c>
      <c r="AX228" s="5"/>
      <c r="AY228" s="5"/>
      <c r="AZ228" s="5"/>
      <c r="BA228" s="5"/>
      <c r="BB228" s="1"/>
      <c r="BC228" s="3" t="s">
        <v>155</v>
      </c>
      <c r="BD228" s="3">
        <v>0.9</v>
      </c>
      <c r="BE228" s="3">
        <v>0.5</v>
      </c>
      <c r="BF228" s="3">
        <v>0.6</v>
      </c>
      <c r="BG228" s="3">
        <v>0.31</v>
      </c>
      <c r="BH228" s="7">
        <v>1096.5539550000001</v>
      </c>
      <c r="BI228" s="3">
        <v>8.9999999999999993E-3</v>
      </c>
      <c r="BK228" s="3" t="s">
        <v>155</v>
      </c>
      <c r="BL228" s="3">
        <v>0.32</v>
      </c>
      <c r="BM228" s="6">
        <v>1074.8428960000001</v>
      </c>
      <c r="BN228" s="3">
        <v>1E-3</v>
      </c>
      <c r="BO228" s="3">
        <f t="shared" si="27"/>
        <v>0.315</v>
      </c>
    </row>
    <row r="229" spans="1:67" x14ac:dyDescent="0.3">
      <c r="A229" s="3" t="s">
        <v>156</v>
      </c>
      <c r="B229" s="3">
        <v>0.9</v>
      </c>
      <c r="C229" s="3">
        <v>0.5</v>
      </c>
      <c r="D229" s="3">
        <v>0.6</v>
      </c>
      <c r="E229" s="3">
        <v>0.3</v>
      </c>
      <c r="F229" s="7">
        <v>670.37805200000003</v>
      </c>
      <c r="G229" s="3">
        <v>3.0000000000000001E-3</v>
      </c>
      <c r="I229" s="3" t="s">
        <v>156</v>
      </c>
      <c r="J229" s="3">
        <v>0.3</v>
      </c>
      <c r="K229" s="6">
        <v>660.01800500000002</v>
      </c>
      <c r="L229" s="3">
        <v>1E-3</v>
      </c>
      <c r="M229" s="3">
        <f t="shared" si="24"/>
        <v>0.3</v>
      </c>
      <c r="N229" s="5"/>
      <c r="O229" s="5"/>
      <c r="P229" s="5"/>
      <c r="Q229" s="5"/>
      <c r="R229" s="1"/>
      <c r="S229" s="3" t="s">
        <v>156</v>
      </c>
      <c r="T229" s="3">
        <v>0.9</v>
      </c>
      <c r="U229" s="3">
        <v>0.5</v>
      </c>
      <c r="V229" s="3">
        <v>0.6</v>
      </c>
      <c r="W229" s="3">
        <v>0.34</v>
      </c>
      <c r="X229" s="6">
        <v>633.01062000000002</v>
      </c>
      <c r="Y229" s="3">
        <v>2E-3</v>
      </c>
      <c r="AA229" s="3" t="s">
        <v>156</v>
      </c>
      <c r="AB229" s="3">
        <v>0.34</v>
      </c>
      <c r="AC229" s="7">
        <v>637.61377000000005</v>
      </c>
      <c r="AD229" s="3">
        <v>1E-3</v>
      </c>
      <c r="AE229" s="3">
        <f t="shared" si="25"/>
        <v>0.34</v>
      </c>
      <c r="AF229" s="5"/>
      <c r="AG229" s="5"/>
      <c r="AH229" s="5"/>
      <c r="AI229" s="5"/>
      <c r="AJ229" s="1"/>
      <c r="AK229" s="3" t="s">
        <v>157</v>
      </c>
      <c r="AL229" s="3">
        <v>0.9</v>
      </c>
      <c r="AM229" s="3">
        <v>0.5</v>
      </c>
      <c r="AN229" s="3">
        <v>0.6</v>
      </c>
      <c r="AO229" s="3">
        <v>0.35</v>
      </c>
      <c r="AP229" s="7">
        <v>1047.655029</v>
      </c>
      <c r="AQ229" s="3">
        <v>7.0000000000000001E-3</v>
      </c>
      <c r="AS229" s="3" t="s">
        <v>157</v>
      </c>
      <c r="AT229" s="3">
        <v>0.31</v>
      </c>
      <c r="AU229" s="6">
        <v>1033.5006100000001</v>
      </c>
      <c r="AV229" s="3">
        <v>0</v>
      </c>
      <c r="AW229" s="3">
        <f t="shared" si="26"/>
        <v>0.32999999999999996</v>
      </c>
      <c r="AX229" s="5"/>
      <c r="AY229" s="5"/>
      <c r="AZ229" s="5"/>
      <c r="BA229" s="5"/>
      <c r="BB229" s="1"/>
      <c r="BC229" s="3" t="s">
        <v>157</v>
      </c>
      <c r="BD229" s="3">
        <v>0.9</v>
      </c>
      <c r="BE229" s="3">
        <v>0.5</v>
      </c>
      <c r="BF229" s="3">
        <v>0.6</v>
      </c>
      <c r="BG229" s="3">
        <v>0.32</v>
      </c>
      <c r="BH229" s="6">
        <v>1017.451904</v>
      </c>
      <c r="BI229" s="3">
        <v>7.0000000000000001E-3</v>
      </c>
      <c r="BK229" s="3" t="s">
        <v>157</v>
      </c>
      <c r="BL229" s="3">
        <v>0.3</v>
      </c>
      <c r="BM229" s="7">
        <v>1025.7680660000001</v>
      </c>
      <c r="BN229" s="3">
        <v>1E-3</v>
      </c>
      <c r="BO229" s="3">
        <f t="shared" si="27"/>
        <v>0.31</v>
      </c>
    </row>
    <row r="230" spans="1:67" x14ac:dyDescent="0.3">
      <c r="A230" s="3" t="s">
        <v>158</v>
      </c>
      <c r="B230" s="3">
        <v>0.9</v>
      </c>
      <c r="C230" s="3">
        <v>0.5</v>
      </c>
      <c r="D230" s="3">
        <v>0.6</v>
      </c>
      <c r="E230" s="3">
        <v>0.32</v>
      </c>
      <c r="F230" s="6">
        <v>671.40429700000004</v>
      </c>
      <c r="G230" s="3">
        <v>3.0000000000000001E-3</v>
      </c>
      <c r="I230" s="3" t="s">
        <v>158</v>
      </c>
      <c r="J230" s="3">
        <v>0.32</v>
      </c>
      <c r="K230" s="7">
        <v>672.964966</v>
      </c>
      <c r="L230" s="3">
        <v>0</v>
      </c>
      <c r="M230" s="3">
        <f t="shared" si="24"/>
        <v>0.32</v>
      </c>
      <c r="N230" s="5"/>
      <c r="O230" s="5"/>
      <c r="P230" s="5"/>
      <c r="Q230" s="5"/>
      <c r="R230" s="1"/>
      <c r="S230" s="3" t="s">
        <v>158</v>
      </c>
      <c r="T230" s="3">
        <v>0.9</v>
      </c>
      <c r="U230" s="3">
        <v>0.5</v>
      </c>
      <c r="V230" s="3">
        <v>0.6</v>
      </c>
      <c r="W230" s="3">
        <v>0.33</v>
      </c>
      <c r="X230" s="6">
        <v>651.52154499999995</v>
      </c>
      <c r="Y230" s="3">
        <v>2E-3</v>
      </c>
      <c r="AA230" s="3" t="s">
        <v>158</v>
      </c>
      <c r="AB230" s="3">
        <v>0.31</v>
      </c>
      <c r="AC230" s="7">
        <v>655.67980999999997</v>
      </c>
      <c r="AD230" s="3">
        <v>0</v>
      </c>
      <c r="AE230" s="3">
        <f t="shared" si="25"/>
        <v>0.32</v>
      </c>
      <c r="AF230" s="5"/>
      <c r="AG230" s="5"/>
      <c r="AH230" s="5"/>
      <c r="AI230" s="5"/>
      <c r="AJ230" s="1"/>
      <c r="AK230" s="3" t="s">
        <v>159</v>
      </c>
      <c r="AL230" s="3">
        <v>0.9</v>
      </c>
      <c r="AM230" s="3">
        <v>0.5</v>
      </c>
      <c r="AN230" s="3">
        <v>0.6</v>
      </c>
      <c r="AO230" s="3">
        <v>0.3</v>
      </c>
      <c r="AP230" s="6">
        <v>950.34789999999998</v>
      </c>
      <c r="AQ230" s="3">
        <v>7.0000000000000001E-3</v>
      </c>
      <c r="AS230" s="3" t="s">
        <v>159</v>
      </c>
      <c r="AT230" s="3">
        <v>0.31</v>
      </c>
      <c r="AU230" s="7">
        <v>983.29522699999995</v>
      </c>
      <c r="AV230" s="3">
        <v>1E-3</v>
      </c>
      <c r="AW230" s="3">
        <f t="shared" si="26"/>
        <v>0.30499999999999999</v>
      </c>
      <c r="AX230" s="5"/>
      <c r="AY230" s="5"/>
      <c r="AZ230" s="5"/>
      <c r="BA230" s="5"/>
      <c r="BB230" s="1"/>
      <c r="BC230" s="3" t="s">
        <v>159</v>
      </c>
      <c r="BD230" s="3">
        <v>0.9</v>
      </c>
      <c r="BE230" s="3">
        <v>0.5</v>
      </c>
      <c r="BF230" s="3">
        <v>0.6</v>
      </c>
      <c r="BG230" s="3">
        <v>0.34</v>
      </c>
      <c r="BH230" s="6">
        <v>951.02032499999996</v>
      </c>
      <c r="BI230" s="3">
        <v>8.0000000000000002E-3</v>
      </c>
      <c r="BK230" s="3" t="s">
        <v>159</v>
      </c>
      <c r="BL230" s="3">
        <v>0.32</v>
      </c>
      <c r="BM230" s="7">
        <v>966.60943599999996</v>
      </c>
      <c r="BN230" s="3">
        <v>1E-3</v>
      </c>
      <c r="BO230" s="3">
        <f t="shared" si="27"/>
        <v>0.33</v>
      </c>
    </row>
    <row r="231" spans="1:67" x14ac:dyDescent="0.3">
      <c r="A231" s="3" t="s">
        <v>160</v>
      </c>
      <c r="B231" s="3">
        <v>0.9</v>
      </c>
      <c r="C231" s="3">
        <v>0.5</v>
      </c>
      <c r="D231" s="3">
        <v>0.6</v>
      </c>
      <c r="E231" s="3">
        <v>0.31</v>
      </c>
      <c r="F231" s="7">
        <v>606.30432099999996</v>
      </c>
      <c r="G231" s="3">
        <v>2E-3</v>
      </c>
      <c r="I231" s="3" t="s">
        <v>160</v>
      </c>
      <c r="J231" s="3">
        <v>0.33</v>
      </c>
      <c r="K231" s="6">
        <v>603.84631300000001</v>
      </c>
      <c r="L231" s="3">
        <v>0</v>
      </c>
      <c r="M231" s="3">
        <f t="shared" si="24"/>
        <v>0.32</v>
      </c>
      <c r="N231" s="5"/>
      <c r="O231" s="5"/>
      <c r="P231" s="5"/>
      <c r="Q231" s="5"/>
      <c r="R231" s="1"/>
      <c r="S231" s="3" t="s">
        <v>160</v>
      </c>
      <c r="T231" s="3">
        <v>0.9</v>
      </c>
      <c r="U231" s="3">
        <v>0.5</v>
      </c>
      <c r="V231" s="3">
        <v>0.6</v>
      </c>
      <c r="W231" s="3">
        <v>0.45</v>
      </c>
      <c r="X231" s="7">
        <v>560.692139</v>
      </c>
      <c r="Y231" s="3">
        <v>2E-3</v>
      </c>
      <c r="AA231" s="3" t="s">
        <v>160</v>
      </c>
      <c r="AB231" s="3">
        <v>0.33</v>
      </c>
      <c r="AC231" s="6">
        <v>541.83605999999997</v>
      </c>
      <c r="AD231" s="3">
        <v>0</v>
      </c>
      <c r="AE231" s="3">
        <f t="shared" si="25"/>
        <v>0.39</v>
      </c>
      <c r="AF231" s="5"/>
      <c r="AG231" s="5"/>
      <c r="AH231" s="5"/>
      <c r="AI231" s="5"/>
      <c r="AJ231" s="1"/>
      <c r="AK231" s="3" t="s">
        <v>161</v>
      </c>
      <c r="AL231" s="3">
        <v>0.9</v>
      </c>
      <c r="AM231" s="3">
        <v>0.5</v>
      </c>
      <c r="AN231" s="3">
        <v>0.6</v>
      </c>
      <c r="AO231" s="3">
        <v>0.3</v>
      </c>
      <c r="AP231" s="6">
        <v>1040.8348390000001</v>
      </c>
      <c r="AQ231" s="3">
        <v>7.0000000000000001E-3</v>
      </c>
      <c r="AS231" s="3" t="s">
        <v>161</v>
      </c>
      <c r="AT231" s="3">
        <v>0.33</v>
      </c>
      <c r="AU231" s="7">
        <v>1062.7873540000001</v>
      </c>
      <c r="AV231" s="3">
        <v>1E-3</v>
      </c>
      <c r="AW231" s="3">
        <f t="shared" si="26"/>
        <v>0.315</v>
      </c>
      <c r="AX231" s="5"/>
      <c r="AY231" s="5"/>
      <c r="AZ231" s="5"/>
      <c r="BA231" s="5"/>
      <c r="BB231" s="1"/>
      <c r="BC231" s="3" t="s">
        <v>161</v>
      </c>
      <c r="BD231" s="3">
        <v>0.9</v>
      </c>
      <c r="BE231" s="3">
        <v>0.5</v>
      </c>
      <c r="BF231" s="3">
        <v>0.6</v>
      </c>
      <c r="BG231" s="3">
        <v>0.31</v>
      </c>
      <c r="BH231" s="7">
        <v>1023.967346</v>
      </c>
      <c r="BI231" s="3">
        <v>7.0000000000000001E-3</v>
      </c>
      <c r="BK231" s="3" t="s">
        <v>161</v>
      </c>
      <c r="BL231" s="3">
        <v>0.34</v>
      </c>
      <c r="BM231" s="6">
        <v>1006.044006</v>
      </c>
      <c r="BN231" s="3">
        <v>1E-3</v>
      </c>
      <c r="BO231" s="3">
        <f t="shared" si="27"/>
        <v>0.32500000000000001</v>
      </c>
    </row>
    <row r="232" spans="1:67" x14ac:dyDescent="0.3">
      <c r="A232" s="3" t="s">
        <v>162</v>
      </c>
      <c r="B232" s="3">
        <v>0.9</v>
      </c>
      <c r="C232" s="3">
        <v>0.5</v>
      </c>
      <c r="D232" s="3">
        <v>0.6</v>
      </c>
      <c r="E232" s="3">
        <v>0.3</v>
      </c>
      <c r="F232" s="6">
        <v>624.60339399999998</v>
      </c>
      <c r="G232" s="3">
        <v>2E-3</v>
      </c>
      <c r="I232" s="3" t="s">
        <v>162</v>
      </c>
      <c r="J232" s="3">
        <v>0.3</v>
      </c>
      <c r="K232" s="7">
        <v>625.228882</v>
      </c>
      <c r="L232" s="3">
        <v>0</v>
      </c>
      <c r="M232" s="3">
        <f t="shared" si="24"/>
        <v>0.3</v>
      </c>
      <c r="N232" s="5"/>
      <c r="O232" s="5"/>
      <c r="P232" s="5"/>
      <c r="Q232" s="5"/>
      <c r="R232" s="1"/>
      <c r="S232" s="3" t="s">
        <v>162</v>
      </c>
      <c r="T232" s="3">
        <v>0.9</v>
      </c>
      <c r="U232" s="3">
        <v>0.5</v>
      </c>
      <c r="V232" s="3">
        <v>0.6</v>
      </c>
      <c r="W232" s="3">
        <v>0.3</v>
      </c>
      <c r="X232" s="6">
        <v>589.535706</v>
      </c>
      <c r="Y232" s="3">
        <v>1E-3</v>
      </c>
      <c r="AA232" s="3" t="s">
        <v>162</v>
      </c>
      <c r="AB232" s="3">
        <v>0.32</v>
      </c>
      <c r="AC232" s="7">
        <v>594.90118399999994</v>
      </c>
      <c r="AD232" s="3">
        <v>0</v>
      </c>
      <c r="AE232" s="3">
        <f t="shared" si="25"/>
        <v>0.31</v>
      </c>
      <c r="AF232" s="5"/>
      <c r="AG232" s="5"/>
      <c r="AH232" s="5"/>
      <c r="AI232" s="5"/>
      <c r="AJ232" s="1"/>
      <c r="AK232" s="3" t="s">
        <v>163</v>
      </c>
      <c r="AL232" s="3">
        <v>0.9</v>
      </c>
      <c r="AM232" s="3">
        <v>0.5</v>
      </c>
      <c r="AN232" s="3">
        <v>0.6</v>
      </c>
      <c r="AO232" s="3">
        <v>0.3</v>
      </c>
      <c r="AP232" s="6">
        <v>1051.9219969999999</v>
      </c>
      <c r="AQ232" s="3">
        <v>7.0000000000000001E-3</v>
      </c>
      <c r="AS232" s="3" t="s">
        <v>163</v>
      </c>
      <c r="AT232" s="3">
        <v>0.3</v>
      </c>
      <c r="AU232" s="7">
        <v>1054.613525</v>
      </c>
      <c r="AV232" s="3">
        <v>1E-3</v>
      </c>
      <c r="AW232" s="3">
        <f t="shared" si="26"/>
        <v>0.3</v>
      </c>
      <c r="AX232" s="5"/>
      <c r="AY232" s="5"/>
      <c r="AZ232" s="5"/>
      <c r="BA232" s="5"/>
      <c r="BB232" s="1"/>
      <c r="BC232" s="3" t="s">
        <v>163</v>
      </c>
      <c r="BD232" s="3">
        <v>0.9</v>
      </c>
      <c r="BE232" s="3">
        <v>0.5</v>
      </c>
      <c r="BF232" s="3">
        <v>0.6</v>
      </c>
      <c r="BG232" s="3">
        <v>0.31</v>
      </c>
      <c r="BH232" s="8">
        <v>1026.50647</v>
      </c>
      <c r="BI232" s="3">
        <v>7.0000000000000001E-3</v>
      </c>
      <c r="BK232" s="3" t="s">
        <v>163</v>
      </c>
      <c r="BL232" s="3">
        <v>0.3</v>
      </c>
      <c r="BM232" s="6">
        <v>1026.205933</v>
      </c>
      <c r="BN232" s="3">
        <v>1E-3</v>
      </c>
      <c r="BO232" s="3">
        <f t="shared" si="27"/>
        <v>0.30499999999999999</v>
      </c>
    </row>
    <row r="233" spans="1:67" x14ac:dyDescent="0.3">
      <c r="A233" s="3" t="s">
        <v>164</v>
      </c>
      <c r="B233" s="3">
        <v>0.9</v>
      </c>
      <c r="C233" s="3">
        <v>0.5</v>
      </c>
      <c r="D233" s="3">
        <v>0.6</v>
      </c>
      <c r="E233" s="3">
        <v>0.33</v>
      </c>
      <c r="F233" s="7">
        <v>556.20477300000005</v>
      </c>
      <c r="G233" s="3">
        <v>3.0000000000000001E-3</v>
      </c>
      <c r="I233" s="3" t="s">
        <v>164</v>
      </c>
      <c r="J233" s="3">
        <v>0.34</v>
      </c>
      <c r="K233" s="6">
        <v>549.903503</v>
      </c>
      <c r="L233" s="3">
        <v>0</v>
      </c>
      <c r="M233" s="3">
        <f t="shared" si="24"/>
        <v>0.33500000000000002</v>
      </c>
      <c r="N233" s="5"/>
      <c r="O233" s="5"/>
      <c r="P233" s="5"/>
      <c r="Q233" s="5"/>
      <c r="R233" s="1"/>
      <c r="S233" s="3" t="s">
        <v>164</v>
      </c>
      <c r="T233" s="3">
        <v>0.9</v>
      </c>
      <c r="U233" s="3">
        <v>0.5</v>
      </c>
      <c r="V233" s="3">
        <v>0.6</v>
      </c>
      <c r="W233" s="3">
        <v>0.33</v>
      </c>
      <c r="X233" s="7">
        <v>496.98263500000002</v>
      </c>
      <c r="Y233" s="3">
        <v>1E-3</v>
      </c>
      <c r="AA233" s="3" t="s">
        <v>164</v>
      </c>
      <c r="AB233" s="3">
        <v>0.31</v>
      </c>
      <c r="AC233" s="6">
        <v>478.96493500000003</v>
      </c>
      <c r="AD233" s="3">
        <v>0</v>
      </c>
      <c r="AE233" s="3">
        <f t="shared" si="25"/>
        <v>0.32</v>
      </c>
      <c r="AF233" s="5"/>
      <c r="AG233" s="5"/>
      <c r="AH233" s="5"/>
      <c r="AI233" s="5"/>
      <c r="AJ233" s="1"/>
      <c r="AK233" s="3" t="s">
        <v>165</v>
      </c>
      <c r="AL233" s="3">
        <v>0.9</v>
      </c>
      <c r="AM233" s="3">
        <v>0.5</v>
      </c>
      <c r="AN233" s="3">
        <v>0.6</v>
      </c>
      <c r="AO233" s="3">
        <v>0.31</v>
      </c>
      <c r="AP233" s="7">
        <v>967.75616500000001</v>
      </c>
      <c r="AQ233" s="3">
        <v>6.0000000000000001E-3</v>
      </c>
      <c r="AS233" s="3" t="s">
        <v>165</v>
      </c>
      <c r="AT233" s="3">
        <v>0.32</v>
      </c>
      <c r="AU233" s="6">
        <v>951.33850099999995</v>
      </c>
      <c r="AV233" s="3">
        <v>0</v>
      </c>
      <c r="AW233" s="3">
        <f t="shared" si="26"/>
        <v>0.315</v>
      </c>
      <c r="AX233" s="5"/>
      <c r="AY233" s="5"/>
      <c r="AZ233" s="5"/>
      <c r="BA233" s="5"/>
      <c r="BB233" s="1"/>
      <c r="BC233" s="3" t="s">
        <v>165</v>
      </c>
      <c r="BD233" s="3">
        <v>0.9</v>
      </c>
      <c r="BE233" s="3">
        <v>0.5</v>
      </c>
      <c r="BF233" s="3">
        <v>0.6</v>
      </c>
      <c r="BG233" s="3">
        <v>0.3</v>
      </c>
      <c r="BH233" s="7">
        <v>949.02227800000003</v>
      </c>
      <c r="BI233" s="3">
        <v>6.0000000000000001E-3</v>
      </c>
      <c r="BK233" s="3" t="s">
        <v>165</v>
      </c>
      <c r="BL233" s="3">
        <v>0.33</v>
      </c>
      <c r="BM233" s="6">
        <v>924.40643299999999</v>
      </c>
      <c r="BN233" s="3">
        <v>1E-3</v>
      </c>
      <c r="BO233" s="3">
        <f t="shared" si="27"/>
        <v>0.315</v>
      </c>
    </row>
    <row r="234" spans="1:67" x14ac:dyDescent="0.3">
      <c r="A234" s="3" t="s">
        <v>166</v>
      </c>
      <c r="B234" s="3">
        <v>0.9</v>
      </c>
      <c r="C234" s="3">
        <v>0.5</v>
      </c>
      <c r="D234" s="3">
        <v>0.6</v>
      </c>
      <c r="E234" s="3">
        <v>0.32</v>
      </c>
      <c r="F234" s="6">
        <v>742.38793899999996</v>
      </c>
      <c r="G234" s="3">
        <v>2E-3</v>
      </c>
      <c r="I234" s="3" t="s">
        <v>166</v>
      </c>
      <c r="J234" s="3">
        <v>0.33</v>
      </c>
      <c r="K234" s="7">
        <v>750.70495600000004</v>
      </c>
      <c r="L234" s="3">
        <v>0</v>
      </c>
      <c r="M234" s="3">
        <f t="shared" si="24"/>
        <v>0.32500000000000001</v>
      </c>
      <c r="N234" s="5"/>
      <c r="O234" s="5"/>
      <c r="P234" s="5"/>
      <c r="Q234" s="5"/>
      <c r="R234" s="1"/>
      <c r="S234" s="3" t="s">
        <v>166</v>
      </c>
      <c r="T234" s="3">
        <v>0.9</v>
      </c>
      <c r="U234" s="3">
        <v>0.5</v>
      </c>
      <c r="V234" s="3">
        <v>0.6</v>
      </c>
      <c r="W234" s="3">
        <v>0.31</v>
      </c>
      <c r="X234" s="7">
        <v>737.93859899999995</v>
      </c>
      <c r="Y234" s="3">
        <v>2E-3</v>
      </c>
      <c r="AA234" s="3" t="s">
        <v>166</v>
      </c>
      <c r="AB234" s="3">
        <v>0.42</v>
      </c>
      <c r="AC234" s="6">
        <v>726.79766800000004</v>
      </c>
      <c r="AD234" s="3">
        <v>1E-3</v>
      </c>
      <c r="AE234" s="3">
        <f t="shared" si="25"/>
        <v>0.36499999999999999</v>
      </c>
      <c r="AF234" s="5"/>
      <c r="AG234" s="5"/>
      <c r="AH234" s="5"/>
      <c r="AI234" s="5"/>
      <c r="AJ234" s="1"/>
      <c r="AK234" s="3" t="s">
        <v>167</v>
      </c>
      <c r="AL234" s="3">
        <v>0.9</v>
      </c>
      <c r="AM234" s="3">
        <v>0.5</v>
      </c>
      <c r="AN234" s="3">
        <v>0.6</v>
      </c>
      <c r="AO234" s="3">
        <v>0.31</v>
      </c>
      <c r="AP234" s="6">
        <v>958.03558299999997</v>
      </c>
      <c r="AQ234" s="3">
        <v>7.0000000000000001E-3</v>
      </c>
      <c r="AS234" s="3" t="s">
        <v>167</v>
      </c>
      <c r="AT234" s="3">
        <v>0.33</v>
      </c>
      <c r="AU234" s="7">
        <v>981.83776899999998</v>
      </c>
      <c r="AV234" s="3">
        <v>1E-3</v>
      </c>
      <c r="AW234" s="3">
        <f t="shared" si="26"/>
        <v>0.32</v>
      </c>
      <c r="AX234" s="5"/>
      <c r="AY234" s="5"/>
      <c r="AZ234" s="5"/>
      <c r="BA234" s="5"/>
      <c r="BB234" s="1"/>
      <c r="BC234" s="3" t="s">
        <v>167</v>
      </c>
      <c r="BD234" s="3">
        <v>0.9</v>
      </c>
      <c r="BE234" s="3">
        <v>0.5</v>
      </c>
      <c r="BF234" s="3">
        <v>0.6</v>
      </c>
      <c r="BG234" s="3">
        <v>0.3</v>
      </c>
      <c r="BH234" s="6">
        <v>974.27734399999997</v>
      </c>
      <c r="BI234" s="3">
        <v>7.0000000000000001E-3</v>
      </c>
      <c r="BK234" s="3" t="s">
        <v>167</v>
      </c>
      <c r="BL234" s="3">
        <v>0.33</v>
      </c>
      <c r="BM234" s="7">
        <v>983.06359899999995</v>
      </c>
      <c r="BN234" s="3">
        <v>1E-3</v>
      </c>
      <c r="BO234" s="3">
        <f t="shared" si="27"/>
        <v>0.315</v>
      </c>
    </row>
    <row r="235" spans="1:67" x14ac:dyDescent="0.3">
      <c r="A235" s="3" t="s">
        <v>168</v>
      </c>
      <c r="B235" s="3">
        <v>0.9</v>
      </c>
      <c r="C235" s="3">
        <v>0.5</v>
      </c>
      <c r="D235" s="3">
        <v>0.6</v>
      </c>
      <c r="E235" s="3">
        <v>0.31</v>
      </c>
      <c r="F235" s="6">
        <v>668.19482400000004</v>
      </c>
      <c r="G235" s="3">
        <v>2E-3</v>
      </c>
      <c r="I235" s="3" t="s">
        <v>168</v>
      </c>
      <c r="J235" s="3">
        <v>0.3</v>
      </c>
      <c r="K235" s="7">
        <v>684.74560499999995</v>
      </c>
      <c r="L235" s="3">
        <v>0</v>
      </c>
      <c r="M235" s="3">
        <f t="shared" si="24"/>
        <v>0.30499999999999999</v>
      </c>
      <c r="N235" s="5"/>
      <c r="O235" s="5"/>
      <c r="P235" s="5"/>
      <c r="Q235" s="5"/>
      <c r="R235" s="1"/>
      <c r="S235" s="3" t="s">
        <v>168</v>
      </c>
      <c r="T235" s="3">
        <v>0.9</v>
      </c>
      <c r="U235" s="3">
        <v>0.5</v>
      </c>
      <c r="V235" s="3">
        <v>0.6</v>
      </c>
      <c r="W235" s="3">
        <v>0.36</v>
      </c>
      <c r="X235" s="6">
        <v>657.41082800000004</v>
      </c>
      <c r="Y235" s="3">
        <v>2E-3</v>
      </c>
      <c r="AA235" s="3" t="s">
        <v>168</v>
      </c>
      <c r="AB235" s="3">
        <v>0.33</v>
      </c>
      <c r="AC235" s="7">
        <v>664.77002000000005</v>
      </c>
      <c r="AD235" s="3">
        <v>0</v>
      </c>
      <c r="AE235" s="3">
        <f t="shared" si="25"/>
        <v>0.34499999999999997</v>
      </c>
      <c r="AF235" s="5"/>
      <c r="AG235" s="5"/>
      <c r="AH235" s="5"/>
      <c r="AI235" s="5"/>
      <c r="AJ235" s="1"/>
      <c r="AK235" s="3" t="s">
        <v>169</v>
      </c>
      <c r="AL235" s="3">
        <v>0.9</v>
      </c>
      <c r="AM235" s="3">
        <v>0.5</v>
      </c>
      <c r="AN235" s="3">
        <v>0.6</v>
      </c>
      <c r="AO235" s="3">
        <v>0.33</v>
      </c>
      <c r="AP235" s="7">
        <v>1029.346436</v>
      </c>
      <c r="AQ235" s="3">
        <v>0.01</v>
      </c>
      <c r="AS235" s="3" t="s">
        <v>169</v>
      </c>
      <c r="AT235" s="3">
        <v>0.3</v>
      </c>
      <c r="AU235" s="6">
        <v>1018.09137</v>
      </c>
      <c r="AV235" s="3">
        <v>1E-3</v>
      </c>
      <c r="AW235" s="3">
        <f t="shared" si="26"/>
        <v>0.315</v>
      </c>
      <c r="AX235" s="5"/>
      <c r="AY235" s="5"/>
      <c r="AZ235" s="5"/>
      <c r="BA235" s="5"/>
      <c r="BB235" s="1"/>
      <c r="BC235" s="3" t="s">
        <v>169</v>
      </c>
      <c r="BD235" s="3">
        <v>0.9</v>
      </c>
      <c r="BE235" s="3">
        <v>0.5</v>
      </c>
      <c r="BF235" s="3">
        <v>0.6</v>
      </c>
      <c r="BG235" s="3">
        <v>0.3</v>
      </c>
      <c r="BH235" s="6">
        <v>989.01275599999997</v>
      </c>
      <c r="BI235" s="3">
        <v>6.0000000000000001E-3</v>
      </c>
      <c r="BK235" s="3" t="s">
        <v>169</v>
      </c>
      <c r="BL235" s="3">
        <v>0.31</v>
      </c>
      <c r="BM235" s="7">
        <v>1009.023743</v>
      </c>
      <c r="BN235" s="3">
        <v>1E-3</v>
      </c>
      <c r="BO235" s="3">
        <f t="shared" si="27"/>
        <v>0.30499999999999999</v>
      </c>
    </row>
    <row r="236" spans="1:67" x14ac:dyDescent="0.3">
      <c r="A236" s="3" t="s">
        <v>170</v>
      </c>
      <c r="B236" s="3">
        <v>0.9</v>
      </c>
      <c r="C236" s="3">
        <v>0.5</v>
      </c>
      <c r="D236" s="3">
        <v>0.6</v>
      </c>
      <c r="E236" s="3">
        <v>0.37</v>
      </c>
      <c r="F236" s="7">
        <v>706.88122599999997</v>
      </c>
      <c r="G236" s="3">
        <v>3.0000000000000001E-3</v>
      </c>
      <c r="I236" s="3" t="s">
        <v>170</v>
      </c>
      <c r="J236" s="3">
        <v>0.34</v>
      </c>
      <c r="K236" s="6">
        <v>705.06811500000003</v>
      </c>
      <c r="L236" s="3">
        <v>0</v>
      </c>
      <c r="M236" s="3">
        <f t="shared" si="24"/>
        <v>0.35499999999999998</v>
      </c>
      <c r="N236" s="5"/>
      <c r="O236" s="5"/>
      <c r="P236" s="5"/>
      <c r="Q236" s="5"/>
      <c r="R236" s="1"/>
      <c r="S236" s="3" t="s">
        <v>170</v>
      </c>
      <c r="T236" s="3">
        <v>0.9</v>
      </c>
      <c r="U236" s="3">
        <v>0.5</v>
      </c>
      <c r="V236" s="3">
        <v>0.6</v>
      </c>
      <c r="W236" s="3">
        <v>0.31</v>
      </c>
      <c r="X236" s="6">
        <v>672.21191399999998</v>
      </c>
      <c r="Y236" s="3">
        <v>2E-3</v>
      </c>
      <c r="AA236" s="3" t="s">
        <v>170</v>
      </c>
      <c r="AB236" s="3">
        <v>0.34</v>
      </c>
      <c r="AC236" s="7">
        <v>675.85089100000005</v>
      </c>
      <c r="AD236" s="3">
        <v>1E-3</v>
      </c>
      <c r="AE236" s="3">
        <f t="shared" si="25"/>
        <v>0.32500000000000001</v>
      </c>
      <c r="AF236" s="5"/>
      <c r="AG236" s="5"/>
      <c r="AH236" s="5"/>
      <c r="AI236" s="5"/>
      <c r="AJ236" s="1"/>
      <c r="AK236" s="3" t="s">
        <v>171</v>
      </c>
      <c r="AL236" s="3">
        <v>0.9</v>
      </c>
      <c r="AM236" s="3">
        <v>0.5</v>
      </c>
      <c r="AN236" s="3">
        <v>0.6</v>
      </c>
      <c r="AO236" s="3">
        <v>0.33</v>
      </c>
      <c r="AP236" s="7">
        <v>956.63922100000002</v>
      </c>
      <c r="AQ236" s="3">
        <v>7.0000000000000001E-3</v>
      </c>
      <c r="AS236" s="3" t="s">
        <v>171</v>
      </c>
      <c r="AT236" s="3">
        <v>0.32</v>
      </c>
      <c r="AU236" s="6">
        <v>949.40747099999999</v>
      </c>
      <c r="AV236" s="3">
        <v>1E-3</v>
      </c>
      <c r="AW236" s="3">
        <f t="shared" si="26"/>
        <v>0.32500000000000001</v>
      </c>
      <c r="AX236" s="5"/>
      <c r="AY236" s="5"/>
      <c r="AZ236" s="5"/>
      <c r="BA236" s="5"/>
      <c r="BB236" s="1"/>
      <c r="BC236" s="3" t="s">
        <v>171</v>
      </c>
      <c r="BD236" s="3">
        <v>0.9</v>
      </c>
      <c r="BE236" s="3">
        <v>0.5</v>
      </c>
      <c r="BF236" s="3">
        <v>0.6</v>
      </c>
      <c r="BG236" s="3">
        <v>0.31</v>
      </c>
      <c r="BH236" s="7">
        <v>936.03363000000002</v>
      </c>
      <c r="BI236" s="3">
        <v>6.0000000000000001E-3</v>
      </c>
      <c r="BK236" s="3" t="s">
        <v>171</v>
      </c>
      <c r="BL236" s="3">
        <v>0.3</v>
      </c>
      <c r="BM236" s="6">
        <v>914.28344700000002</v>
      </c>
      <c r="BN236" s="3">
        <v>1E-3</v>
      </c>
      <c r="BO236" s="3">
        <f t="shared" si="27"/>
        <v>0.30499999999999999</v>
      </c>
    </row>
    <row r="237" spans="1:67" x14ac:dyDescent="0.3">
      <c r="A237" s="3" t="s">
        <v>172</v>
      </c>
      <c r="B237" s="3">
        <v>0.9</v>
      </c>
      <c r="C237" s="3">
        <v>0.5</v>
      </c>
      <c r="D237" s="3">
        <v>0.6</v>
      </c>
      <c r="E237" s="3">
        <v>0.32</v>
      </c>
      <c r="F237" s="6">
        <v>682.96215800000004</v>
      </c>
      <c r="G237" s="3">
        <v>2E-3</v>
      </c>
      <c r="I237" s="3" t="s">
        <v>172</v>
      </c>
      <c r="J237" s="3">
        <v>0.3</v>
      </c>
      <c r="K237" s="7">
        <v>694.73309300000005</v>
      </c>
      <c r="L237" s="3">
        <v>0</v>
      </c>
      <c r="M237" s="3">
        <f t="shared" si="24"/>
        <v>0.31</v>
      </c>
      <c r="N237" s="5"/>
      <c r="O237" s="5"/>
      <c r="P237" s="5"/>
      <c r="Q237" s="5"/>
      <c r="R237" s="1"/>
      <c r="S237" s="3" t="s">
        <v>172</v>
      </c>
      <c r="T237" s="3">
        <v>0.9</v>
      </c>
      <c r="U237" s="3">
        <v>0.5</v>
      </c>
      <c r="V237" s="3">
        <v>0.6</v>
      </c>
      <c r="W237" s="3">
        <v>0.37</v>
      </c>
      <c r="X237" s="6">
        <v>657.97699</v>
      </c>
      <c r="Y237" s="3">
        <v>2E-3</v>
      </c>
      <c r="AA237" s="3" t="s">
        <v>172</v>
      </c>
      <c r="AB237" s="3">
        <v>0.38</v>
      </c>
      <c r="AC237" s="7">
        <v>669.11541699999998</v>
      </c>
      <c r="AD237" s="3">
        <v>0</v>
      </c>
      <c r="AE237" s="3">
        <f t="shared" si="25"/>
        <v>0.375</v>
      </c>
      <c r="AF237" s="5"/>
      <c r="AG237" s="5"/>
      <c r="AH237" s="5"/>
      <c r="AI237" s="5"/>
      <c r="AJ237" s="1"/>
      <c r="AK237" s="3" t="s">
        <v>173</v>
      </c>
      <c r="AL237" s="3">
        <v>0.9</v>
      </c>
      <c r="AM237" s="3">
        <v>0.5</v>
      </c>
      <c r="AN237" s="3">
        <v>0.6</v>
      </c>
      <c r="AO237" s="3">
        <v>0.31</v>
      </c>
      <c r="AP237" s="6">
        <v>1006.865845</v>
      </c>
      <c r="AQ237" s="3">
        <v>8.0000000000000002E-3</v>
      </c>
      <c r="AS237" s="3" t="s">
        <v>173</v>
      </c>
      <c r="AT237" s="3">
        <v>0.31</v>
      </c>
      <c r="AU237" s="7">
        <v>1029.5545649999999</v>
      </c>
      <c r="AV237" s="3">
        <v>1E-3</v>
      </c>
      <c r="AW237" s="3">
        <f t="shared" si="26"/>
        <v>0.31</v>
      </c>
      <c r="AX237" s="5"/>
      <c r="AY237" s="5"/>
      <c r="AZ237" s="5"/>
      <c r="BA237" s="5"/>
      <c r="BB237" s="1"/>
      <c r="BC237" s="3" t="s">
        <v>173</v>
      </c>
      <c r="BD237" s="3">
        <v>0.9</v>
      </c>
      <c r="BE237" s="3">
        <v>0.5</v>
      </c>
      <c r="BF237" s="3">
        <v>0.6</v>
      </c>
      <c r="BG237" s="3">
        <v>0.3</v>
      </c>
      <c r="BH237" s="6">
        <v>987.189392</v>
      </c>
      <c r="BI237" s="3">
        <v>7.0000000000000001E-3</v>
      </c>
      <c r="BK237" s="3" t="s">
        <v>173</v>
      </c>
      <c r="BL237" s="3">
        <v>0.3</v>
      </c>
      <c r="BM237" s="7">
        <v>1001.346497</v>
      </c>
      <c r="BN237" s="3">
        <v>1E-3</v>
      </c>
      <c r="BO237" s="3">
        <f t="shared" si="27"/>
        <v>0.3</v>
      </c>
    </row>
    <row r="238" spans="1:67" x14ac:dyDescent="0.3">
      <c r="A238" s="3" t="s">
        <v>174</v>
      </c>
      <c r="B238" s="3">
        <v>0.9</v>
      </c>
      <c r="C238" s="3">
        <v>0.5</v>
      </c>
      <c r="D238" s="3">
        <v>0.6</v>
      </c>
      <c r="E238" s="3">
        <v>0.36</v>
      </c>
      <c r="F238" s="7">
        <v>696.17199700000003</v>
      </c>
      <c r="G238" s="3">
        <v>6.0000000000000001E-3</v>
      </c>
      <c r="I238" s="3" t="s">
        <v>174</v>
      </c>
      <c r="J238" s="3">
        <v>0.32</v>
      </c>
      <c r="K238" s="6">
        <v>692.65020800000002</v>
      </c>
      <c r="L238" s="3">
        <v>0</v>
      </c>
      <c r="M238" s="3">
        <f t="shared" si="24"/>
        <v>0.33999999999999997</v>
      </c>
      <c r="N238" s="5"/>
      <c r="O238" s="5"/>
      <c r="P238" s="5"/>
      <c r="Q238" s="5"/>
      <c r="R238" s="1"/>
      <c r="S238" s="3" t="s">
        <v>174</v>
      </c>
      <c r="T238" s="3">
        <v>0.9</v>
      </c>
      <c r="U238" s="3">
        <v>0.5</v>
      </c>
      <c r="V238" s="3">
        <v>0.6</v>
      </c>
      <c r="W238" s="3">
        <v>0.37</v>
      </c>
      <c r="X238" s="6">
        <v>677.462219</v>
      </c>
      <c r="Y238" s="3">
        <v>1E-3</v>
      </c>
      <c r="AA238" s="3" t="s">
        <v>174</v>
      </c>
      <c r="AB238" s="3">
        <v>0.31</v>
      </c>
      <c r="AC238" s="7">
        <v>678.79211399999997</v>
      </c>
      <c r="AD238" s="3">
        <v>0</v>
      </c>
      <c r="AE238" s="3">
        <f t="shared" si="25"/>
        <v>0.33999999999999997</v>
      </c>
      <c r="AF238" s="5"/>
      <c r="AG238" s="5"/>
      <c r="AH238" s="5"/>
      <c r="AI238" s="5"/>
      <c r="AJ238" s="1"/>
      <c r="AK238" s="3" t="s">
        <v>175</v>
      </c>
      <c r="AL238" s="3">
        <v>0.9</v>
      </c>
      <c r="AM238" s="3">
        <v>0.5</v>
      </c>
      <c r="AN238" s="3">
        <v>0.6</v>
      </c>
      <c r="AO238" s="3">
        <v>0.32</v>
      </c>
      <c r="AP238" s="6">
        <v>1001.236145</v>
      </c>
      <c r="AQ238" s="3">
        <v>6.0000000000000001E-3</v>
      </c>
      <c r="AS238" s="3" t="s">
        <v>175</v>
      </c>
      <c r="AT238" s="3">
        <v>0.3</v>
      </c>
      <c r="AU238" s="7">
        <v>1002.137878</v>
      </c>
      <c r="AV238" s="3">
        <v>0</v>
      </c>
      <c r="AW238" s="3">
        <f t="shared" si="26"/>
        <v>0.31</v>
      </c>
      <c r="AX238" s="5"/>
      <c r="AY238" s="5"/>
      <c r="AZ238" s="5"/>
      <c r="BA238" s="5"/>
      <c r="BB238" s="1"/>
      <c r="BC238" s="3" t="s">
        <v>175</v>
      </c>
      <c r="BD238" s="3">
        <v>0.9</v>
      </c>
      <c r="BE238" s="3">
        <v>0.5</v>
      </c>
      <c r="BF238" s="3">
        <v>0.6</v>
      </c>
      <c r="BG238" s="3">
        <v>0.3</v>
      </c>
      <c r="BH238" s="6">
        <v>984.30633499999999</v>
      </c>
      <c r="BI238" s="3">
        <v>6.0000000000000001E-3</v>
      </c>
      <c r="BK238" s="3" t="s">
        <v>175</v>
      </c>
      <c r="BL238" s="3">
        <v>0.31</v>
      </c>
      <c r="BM238" s="7">
        <v>998.51122999999995</v>
      </c>
      <c r="BN238" s="3">
        <v>1E-3</v>
      </c>
      <c r="BO238" s="3">
        <f t="shared" si="27"/>
        <v>0.30499999999999999</v>
      </c>
    </row>
    <row r="239" spans="1:67" x14ac:dyDescent="0.3">
      <c r="A239" s="3" t="s">
        <v>176</v>
      </c>
      <c r="B239" s="3">
        <v>0.9</v>
      </c>
      <c r="C239" s="3">
        <v>0.5</v>
      </c>
      <c r="D239" s="3">
        <v>0.6</v>
      </c>
      <c r="E239" s="3">
        <v>0.42</v>
      </c>
      <c r="F239" s="7">
        <v>716.91778599999998</v>
      </c>
      <c r="G239" s="3">
        <v>2E-3</v>
      </c>
      <c r="I239" s="3" t="s">
        <v>176</v>
      </c>
      <c r="J239" s="3">
        <v>0.31</v>
      </c>
      <c r="K239" s="6">
        <v>711.73919699999999</v>
      </c>
      <c r="L239" s="3">
        <v>0</v>
      </c>
      <c r="M239" s="3">
        <f t="shared" si="24"/>
        <v>0.36499999999999999</v>
      </c>
      <c r="N239" s="5"/>
      <c r="O239" s="5"/>
      <c r="P239" s="5"/>
      <c r="Q239" s="5"/>
      <c r="R239" s="1"/>
      <c r="S239" s="3" t="s">
        <v>176</v>
      </c>
      <c r="T239" s="3">
        <v>0.9</v>
      </c>
      <c r="U239" s="3">
        <v>0.5</v>
      </c>
      <c r="V239" s="3">
        <v>0.6</v>
      </c>
      <c r="W239" s="3">
        <v>0.33</v>
      </c>
      <c r="X239" s="7">
        <v>715.91223100000002</v>
      </c>
      <c r="Y239" s="3">
        <v>2E-3</v>
      </c>
      <c r="AA239" s="3" t="s">
        <v>176</v>
      </c>
      <c r="AB239" s="3">
        <v>0.34</v>
      </c>
      <c r="AC239" s="6">
        <v>703.33404499999995</v>
      </c>
      <c r="AD239" s="3">
        <v>0</v>
      </c>
      <c r="AE239" s="3">
        <f t="shared" si="25"/>
        <v>0.33500000000000002</v>
      </c>
      <c r="AF239" s="5"/>
      <c r="AG239" s="5"/>
      <c r="AH239" s="5"/>
      <c r="AI239" s="5"/>
      <c r="AJ239" s="1"/>
      <c r="AK239" s="3" t="s">
        <v>177</v>
      </c>
      <c r="AL239" s="3">
        <v>0.9</v>
      </c>
      <c r="AM239" s="3">
        <v>0.5</v>
      </c>
      <c r="AN239" s="3">
        <v>0.6</v>
      </c>
      <c r="AO239" s="3">
        <v>0.31</v>
      </c>
      <c r="AP239" s="6">
        <v>1103.0185550000001</v>
      </c>
      <c r="AQ239" s="3">
        <v>7.0000000000000001E-3</v>
      </c>
      <c r="AS239" s="3" t="s">
        <v>177</v>
      </c>
      <c r="AT239" s="3">
        <v>0.31</v>
      </c>
      <c r="AU239" s="7">
        <v>1104.099731</v>
      </c>
      <c r="AV239" s="3">
        <v>1E-3</v>
      </c>
      <c r="AW239" s="3">
        <f t="shared" si="26"/>
        <v>0.31</v>
      </c>
      <c r="AX239" s="5"/>
      <c r="AY239" s="5"/>
      <c r="AZ239" s="5"/>
      <c r="BA239" s="5"/>
      <c r="BB239" s="1"/>
      <c r="BC239" s="3" t="s">
        <v>177</v>
      </c>
      <c r="BD239" s="3">
        <v>0.9</v>
      </c>
      <c r="BE239" s="3">
        <v>0.5</v>
      </c>
      <c r="BF239" s="3">
        <v>0.6</v>
      </c>
      <c r="BG239" s="3">
        <v>0.32</v>
      </c>
      <c r="BH239" s="6">
        <v>1060.020264</v>
      </c>
      <c r="BI239" s="3">
        <v>8.0000000000000002E-3</v>
      </c>
      <c r="BK239" s="3" t="s">
        <v>177</v>
      </c>
      <c r="BL239" s="3">
        <v>0.35</v>
      </c>
      <c r="BM239" s="7">
        <v>1095.227905</v>
      </c>
      <c r="BN239" s="3">
        <v>0</v>
      </c>
      <c r="BO239" s="3">
        <f t="shared" si="27"/>
        <v>0.33499999999999996</v>
      </c>
    </row>
    <row r="240" spans="1:67" x14ac:dyDescent="0.3">
      <c r="A240" s="3" t="s">
        <v>178</v>
      </c>
      <c r="B240" s="3">
        <v>0.9</v>
      </c>
      <c r="C240" s="3">
        <v>0.5</v>
      </c>
      <c r="D240" s="3">
        <v>0.6</v>
      </c>
      <c r="E240" s="3">
        <v>0.31</v>
      </c>
      <c r="F240" s="6">
        <v>671.08325200000002</v>
      </c>
      <c r="G240" s="3">
        <v>2E-3</v>
      </c>
      <c r="I240" s="3" t="s">
        <v>178</v>
      </c>
      <c r="J240" s="3">
        <v>0.31</v>
      </c>
      <c r="K240" s="7">
        <v>692.07281499999999</v>
      </c>
      <c r="L240" s="3">
        <v>0</v>
      </c>
      <c r="M240" s="3">
        <f t="shared" si="24"/>
        <v>0.31</v>
      </c>
      <c r="N240" s="5"/>
      <c r="O240" s="5"/>
      <c r="P240" s="5"/>
      <c r="Q240" s="5"/>
      <c r="R240" s="1"/>
      <c r="S240" s="3" t="s">
        <v>178</v>
      </c>
      <c r="T240" s="3">
        <v>0.9</v>
      </c>
      <c r="U240" s="3">
        <v>0.5</v>
      </c>
      <c r="V240" s="3">
        <v>0.6</v>
      </c>
      <c r="W240" s="3">
        <v>0.39</v>
      </c>
      <c r="X240" s="6">
        <v>670.89703399999996</v>
      </c>
      <c r="Y240" s="3">
        <v>2E-3</v>
      </c>
      <c r="AA240" s="3" t="s">
        <v>178</v>
      </c>
      <c r="AB240" s="3">
        <v>0.3</v>
      </c>
      <c r="AC240" s="7">
        <v>681.02477999999996</v>
      </c>
      <c r="AD240" s="3">
        <v>0</v>
      </c>
      <c r="AE240" s="3">
        <f t="shared" si="25"/>
        <v>0.34499999999999997</v>
      </c>
      <c r="AF240" s="5"/>
      <c r="AG240" s="5"/>
      <c r="AH240" s="5"/>
      <c r="AI240" s="5"/>
      <c r="AJ240" s="1"/>
      <c r="AK240" s="3" t="s">
        <v>179</v>
      </c>
      <c r="AL240" s="3">
        <v>0.9</v>
      </c>
      <c r="AM240" s="3">
        <v>0.5</v>
      </c>
      <c r="AN240" s="3">
        <v>0.6</v>
      </c>
      <c r="AO240" s="3">
        <v>0.3</v>
      </c>
      <c r="AP240" s="6">
        <v>1085.345581</v>
      </c>
      <c r="AQ240" s="3">
        <v>8.0000000000000002E-3</v>
      </c>
      <c r="AS240" s="3" t="s">
        <v>179</v>
      </c>
      <c r="AT240" s="3">
        <v>0.31</v>
      </c>
      <c r="AU240" s="7">
        <v>1092.1403809999999</v>
      </c>
      <c r="AV240" s="3">
        <v>1E-3</v>
      </c>
      <c r="AW240" s="3">
        <f t="shared" si="26"/>
        <v>0.30499999999999999</v>
      </c>
      <c r="AX240" s="5"/>
      <c r="AY240" s="5"/>
      <c r="AZ240" s="5"/>
      <c r="BA240" s="5"/>
      <c r="BB240" s="1"/>
      <c r="BC240" s="3" t="s">
        <v>179</v>
      </c>
      <c r="BD240" s="3">
        <v>0.9</v>
      </c>
      <c r="BE240" s="3">
        <v>0.5</v>
      </c>
      <c r="BF240" s="3">
        <v>0.6</v>
      </c>
      <c r="BG240" s="3">
        <v>0.32</v>
      </c>
      <c r="BH240" s="7">
        <v>1076.2319339999999</v>
      </c>
      <c r="BI240" s="3">
        <v>7.0000000000000001E-3</v>
      </c>
      <c r="BK240" s="3" t="s">
        <v>179</v>
      </c>
      <c r="BL240" s="3">
        <v>0.3</v>
      </c>
      <c r="BM240" s="6">
        <v>1061.855591</v>
      </c>
      <c r="BN240" s="3">
        <v>1E-3</v>
      </c>
      <c r="BO240" s="3">
        <f t="shared" si="27"/>
        <v>0.31</v>
      </c>
    </row>
    <row r="241" spans="1:71" x14ac:dyDescent="0.3">
      <c r="A241" s="3" t="s">
        <v>180</v>
      </c>
      <c r="B241" s="3">
        <v>0.9</v>
      </c>
      <c r="C241" s="3">
        <v>0.5</v>
      </c>
      <c r="D241" s="3">
        <v>0.6</v>
      </c>
      <c r="E241" s="3">
        <v>0.34</v>
      </c>
      <c r="F241" s="7">
        <v>699.52410899999995</v>
      </c>
      <c r="G241" s="3">
        <v>3.0000000000000001E-3</v>
      </c>
      <c r="I241" s="3" t="s">
        <v>180</v>
      </c>
      <c r="J241" s="3">
        <v>0.3</v>
      </c>
      <c r="K241" s="6">
        <v>685.51757799999996</v>
      </c>
      <c r="L241" s="3">
        <v>0</v>
      </c>
      <c r="M241" s="3">
        <f t="shared" si="24"/>
        <v>0.32</v>
      </c>
      <c r="N241" s="5"/>
      <c r="O241" s="5"/>
      <c r="P241" s="5"/>
      <c r="Q241" s="5"/>
      <c r="R241" s="1"/>
      <c r="S241" s="3" t="s">
        <v>180</v>
      </c>
      <c r="T241" s="3">
        <v>0.9</v>
      </c>
      <c r="U241" s="3">
        <v>0.5</v>
      </c>
      <c r="V241" s="3">
        <v>0.6</v>
      </c>
      <c r="W241" s="3">
        <v>0.33</v>
      </c>
      <c r="X241" s="6">
        <v>663.16900599999997</v>
      </c>
      <c r="Y241" s="3">
        <v>1E-3</v>
      </c>
      <c r="AA241" s="3" t="s">
        <v>180</v>
      </c>
      <c r="AB241" s="3">
        <v>0.3</v>
      </c>
      <c r="AC241" s="7">
        <v>681.66192599999999</v>
      </c>
      <c r="AD241" s="3">
        <v>0</v>
      </c>
      <c r="AE241" s="3">
        <f t="shared" si="25"/>
        <v>0.315</v>
      </c>
      <c r="AF241" s="5"/>
      <c r="AG241" s="5"/>
      <c r="AH241" s="5"/>
      <c r="AI241" s="5"/>
      <c r="AJ241" s="1"/>
      <c r="AK241" s="3" t="s">
        <v>181</v>
      </c>
      <c r="AL241" s="3">
        <v>0.9</v>
      </c>
      <c r="AM241" s="3">
        <v>0.5</v>
      </c>
      <c r="AN241" s="3">
        <v>0.6</v>
      </c>
      <c r="AO241" s="3">
        <v>0.33</v>
      </c>
      <c r="AP241" s="6">
        <v>1080.086914</v>
      </c>
      <c r="AQ241" s="3">
        <v>7.0000000000000001E-3</v>
      </c>
      <c r="AS241" s="3" t="s">
        <v>181</v>
      </c>
      <c r="AT241" s="3">
        <v>0.3</v>
      </c>
      <c r="AU241" s="7">
        <v>1099.795288</v>
      </c>
      <c r="AV241" s="3">
        <v>0</v>
      </c>
      <c r="AW241" s="3">
        <f t="shared" si="26"/>
        <v>0.315</v>
      </c>
      <c r="AX241" s="5"/>
      <c r="AY241" s="5"/>
      <c r="AZ241" s="5"/>
      <c r="BA241" s="5"/>
      <c r="BB241" s="1"/>
      <c r="BC241" s="3" t="s">
        <v>181</v>
      </c>
      <c r="BD241" s="3">
        <v>0.9</v>
      </c>
      <c r="BE241" s="3">
        <v>0.5</v>
      </c>
      <c r="BF241" s="3">
        <v>0.6</v>
      </c>
      <c r="BG241" s="3">
        <v>0.3</v>
      </c>
      <c r="BH241" s="7">
        <v>1028.0272219999999</v>
      </c>
      <c r="BI241" s="3">
        <v>8.0000000000000002E-3</v>
      </c>
      <c r="BK241" s="3" t="s">
        <v>181</v>
      </c>
      <c r="BL241" s="3">
        <v>0.33</v>
      </c>
      <c r="BM241" s="6">
        <v>1015.573608</v>
      </c>
      <c r="BN241" s="3">
        <v>1E-3</v>
      </c>
      <c r="BO241" s="3">
        <f t="shared" si="27"/>
        <v>0.315</v>
      </c>
    </row>
    <row r="242" spans="1:71" x14ac:dyDescent="0.3">
      <c r="A242" s="3" t="s">
        <v>182</v>
      </c>
      <c r="B242" s="3">
        <v>0.9</v>
      </c>
      <c r="C242" s="3">
        <v>0.5</v>
      </c>
      <c r="D242" s="3">
        <v>0.6</v>
      </c>
      <c r="E242" s="3">
        <v>0.32</v>
      </c>
      <c r="F242" s="6">
        <v>633.80480999999997</v>
      </c>
      <c r="G242" s="3">
        <v>1E-3</v>
      </c>
      <c r="I242" s="3" t="s">
        <v>182</v>
      </c>
      <c r="J242" s="3">
        <v>0.37</v>
      </c>
      <c r="K242" s="7">
        <v>653.75970500000005</v>
      </c>
      <c r="L242" s="3">
        <v>0</v>
      </c>
      <c r="M242" s="3">
        <f t="shared" si="24"/>
        <v>0.34499999999999997</v>
      </c>
      <c r="N242" s="5"/>
      <c r="O242" s="5"/>
      <c r="P242" s="5"/>
      <c r="Q242" s="5"/>
      <c r="R242" s="1"/>
      <c r="S242" s="3" t="s">
        <v>182</v>
      </c>
      <c r="T242" s="3">
        <v>0.9</v>
      </c>
      <c r="U242" s="3">
        <v>0.5</v>
      </c>
      <c r="V242" s="3">
        <v>0.6</v>
      </c>
      <c r="W242" s="3">
        <v>0.3</v>
      </c>
      <c r="X242" s="6">
        <v>633.10961899999995</v>
      </c>
      <c r="Y242" s="3">
        <v>1E-3</v>
      </c>
      <c r="AA242" s="3" t="s">
        <v>182</v>
      </c>
      <c r="AB242" s="3">
        <v>0.3</v>
      </c>
      <c r="AC242" s="7">
        <v>658.09088099999997</v>
      </c>
      <c r="AD242" s="3">
        <v>0</v>
      </c>
      <c r="AE242" s="3">
        <f t="shared" si="25"/>
        <v>0.3</v>
      </c>
      <c r="AF242" s="5"/>
      <c r="AG242" s="5"/>
      <c r="AH242" s="5"/>
      <c r="AI242" s="5"/>
      <c r="AJ242" s="1"/>
      <c r="AK242" s="3" t="s">
        <v>183</v>
      </c>
      <c r="AL242" s="3">
        <v>0.9</v>
      </c>
      <c r="AM242" s="3">
        <v>0.5</v>
      </c>
      <c r="AN242" s="3">
        <v>0.6</v>
      </c>
      <c r="AO242" s="3">
        <v>0.33</v>
      </c>
      <c r="AP242" s="7">
        <v>1107.4366460000001</v>
      </c>
      <c r="AQ242" s="3">
        <v>7.0000000000000001E-3</v>
      </c>
      <c r="AS242" s="3" t="s">
        <v>183</v>
      </c>
      <c r="AT242" s="3">
        <v>0.34</v>
      </c>
      <c r="AU242" s="6">
        <v>1090.3160399999999</v>
      </c>
      <c r="AV242" s="3">
        <v>0</v>
      </c>
      <c r="AW242" s="3">
        <f t="shared" si="26"/>
        <v>0.33500000000000002</v>
      </c>
      <c r="AX242" s="5"/>
      <c r="AY242" s="5"/>
      <c r="AZ242" s="5"/>
      <c r="BA242" s="5"/>
      <c r="BB242" s="1"/>
      <c r="BC242" s="3" t="s">
        <v>183</v>
      </c>
      <c r="BD242" s="3">
        <v>0.9</v>
      </c>
      <c r="BE242" s="3">
        <v>0.5</v>
      </c>
      <c r="BF242" s="3">
        <v>0.6</v>
      </c>
      <c r="BG242" s="3">
        <v>0.37</v>
      </c>
      <c r="BH242" s="6">
        <v>1052.793823</v>
      </c>
      <c r="BI242" s="3">
        <v>7.0000000000000001E-3</v>
      </c>
      <c r="BK242" s="3" t="s">
        <v>183</v>
      </c>
      <c r="BL242" s="3">
        <v>0.34</v>
      </c>
      <c r="BM242" s="7">
        <v>1068.7962649999999</v>
      </c>
      <c r="BN242" s="3">
        <v>1E-3</v>
      </c>
      <c r="BO242" s="3">
        <f t="shared" si="27"/>
        <v>0.35499999999999998</v>
      </c>
    </row>
    <row r="243" spans="1:71" x14ac:dyDescent="0.3">
      <c r="A243" s="3" t="s">
        <v>184</v>
      </c>
      <c r="B243" s="3">
        <v>0.9</v>
      </c>
      <c r="C243" s="3">
        <v>0.5</v>
      </c>
      <c r="D243" s="3">
        <v>0.6</v>
      </c>
      <c r="E243" s="3">
        <v>0.3</v>
      </c>
      <c r="F243" s="6">
        <v>665.057007</v>
      </c>
      <c r="G243" s="3">
        <v>2E-3</v>
      </c>
      <c r="I243" s="3" t="s">
        <v>184</v>
      </c>
      <c r="J243" s="3">
        <v>0.3</v>
      </c>
      <c r="K243" s="7">
        <v>669.42956500000003</v>
      </c>
      <c r="L243" s="3">
        <v>0</v>
      </c>
      <c r="M243" s="3">
        <f t="shared" si="24"/>
        <v>0.3</v>
      </c>
      <c r="N243" s="5"/>
      <c r="O243" s="5"/>
      <c r="P243" s="5"/>
      <c r="Q243" s="5"/>
      <c r="R243" s="1"/>
      <c r="S243" s="3" t="s">
        <v>184</v>
      </c>
      <c r="T243" s="3">
        <v>0.9</v>
      </c>
      <c r="U243" s="3">
        <v>0.5</v>
      </c>
      <c r="V243" s="3">
        <v>0.6</v>
      </c>
      <c r="W243" s="3">
        <v>0.35</v>
      </c>
      <c r="X243" s="7">
        <v>646.14105199999995</v>
      </c>
      <c r="Y243" s="3">
        <v>1E-3</v>
      </c>
      <c r="AA243" s="3" t="s">
        <v>184</v>
      </c>
      <c r="AB243" s="3">
        <v>0.3</v>
      </c>
      <c r="AC243" s="6">
        <v>642.77417000000003</v>
      </c>
      <c r="AD243" s="3">
        <v>0</v>
      </c>
      <c r="AE243" s="3">
        <f t="shared" si="25"/>
        <v>0.32499999999999996</v>
      </c>
      <c r="AF243" s="5"/>
      <c r="AG243" s="5"/>
      <c r="AH243" s="5"/>
      <c r="AI243" s="5"/>
      <c r="AJ243" s="1"/>
      <c r="AK243" s="3" t="s">
        <v>185</v>
      </c>
      <c r="AL243" s="3">
        <v>0.9</v>
      </c>
      <c r="AM243" s="3">
        <v>0.5</v>
      </c>
      <c r="AN243" s="3">
        <v>0.6</v>
      </c>
      <c r="AO243" s="3">
        <v>0.32</v>
      </c>
      <c r="AP243" s="6">
        <v>1037.9038089999999</v>
      </c>
      <c r="AQ243" s="3">
        <v>7.0000000000000001E-3</v>
      </c>
      <c r="AS243" s="3" t="s">
        <v>185</v>
      </c>
      <c r="AT243" s="3">
        <v>0.3</v>
      </c>
      <c r="AU243" s="7">
        <v>1042.497437</v>
      </c>
      <c r="AV243" s="3">
        <v>1E-3</v>
      </c>
      <c r="AW243" s="3">
        <f t="shared" si="26"/>
        <v>0.31</v>
      </c>
      <c r="AX243" s="5"/>
      <c r="AY243" s="5"/>
      <c r="AZ243" s="5"/>
      <c r="BA243" s="5"/>
      <c r="BB243" s="1"/>
      <c r="BC243" s="3" t="s">
        <v>185</v>
      </c>
      <c r="BD243" s="3">
        <v>0.9</v>
      </c>
      <c r="BE243" s="3">
        <v>0.5</v>
      </c>
      <c r="BF243" s="3">
        <v>0.6</v>
      </c>
      <c r="BG243" s="3">
        <v>0.3</v>
      </c>
      <c r="BH243" s="7">
        <v>1048.267578</v>
      </c>
      <c r="BI243" s="3">
        <v>7.0000000000000001E-3</v>
      </c>
      <c r="BK243" s="3" t="s">
        <v>185</v>
      </c>
      <c r="BL243" s="3">
        <v>0.33</v>
      </c>
      <c r="BM243" s="6">
        <v>1007.971802</v>
      </c>
      <c r="BN243" s="3">
        <v>1E-3</v>
      </c>
      <c r="BO243" s="3">
        <f t="shared" si="27"/>
        <v>0.315</v>
      </c>
    </row>
    <row r="244" spans="1:71" x14ac:dyDescent="0.3">
      <c r="A244" s="3" t="s">
        <v>186</v>
      </c>
      <c r="B244" s="3">
        <v>0.9</v>
      </c>
      <c r="C244" s="3">
        <v>0.5</v>
      </c>
      <c r="D244" s="3">
        <v>0.6</v>
      </c>
      <c r="E244" s="3">
        <v>0.3</v>
      </c>
      <c r="F244" s="6">
        <v>779.13262899999995</v>
      </c>
      <c r="G244" s="3">
        <v>2E-3</v>
      </c>
      <c r="I244" s="3" t="s">
        <v>186</v>
      </c>
      <c r="J244" s="3">
        <v>0.4</v>
      </c>
      <c r="K244" s="7">
        <v>790.32550000000003</v>
      </c>
      <c r="L244" s="3">
        <v>1E-3</v>
      </c>
      <c r="M244" s="3">
        <f t="shared" si="24"/>
        <v>0.35</v>
      </c>
      <c r="N244" s="5"/>
      <c r="O244" s="5"/>
      <c r="P244" s="5"/>
      <c r="Q244" s="5"/>
      <c r="R244" s="1"/>
      <c r="S244" s="3" t="s">
        <v>186</v>
      </c>
      <c r="T244" s="3">
        <v>0.9</v>
      </c>
      <c r="U244" s="3">
        <v>0.5</v>
      </c>
      <c r="V244" s="3">
        <v>0.6</v>
      </c>
      <c r="W244" s="3">
        <v>0.3</v>
      </c>
      <c r="X244" s="6">
        <v>770.07708700000001</v>
      </c>
      <c r="Y244" s="3">
        <v>1E-3</v>
      </c>
      <c r="AA244" s="3" t="s">
        <v>186</v>
      </c>
      <c r="AB244" s="3">
        <v>0.31</v>
      </c>
      <c r="AC244" s="7">
        <v>776.057007</v>
      </c>
      <c r="AD244" s="3">
        <v>0</v>
      </c>
      <c r="AE244" s="3">
        <f t="shared" si="25"/>
        <v>0.30499999999999999</v>
      </c>
      <c r="AF244" s="5"/>
      <c r="AG244" s="5"/>
      <c r="AH244" s="5"/>
      <c r="AI244" s="5"/>
      <c r="AJ244" s="1"/>
      <c r="AK244" s="3" t="s">
        <v>187</v>
      </c>
      <c r="AL244" s="3">
        <v>0.9</v>
      </c>
      <c r="AM244" s="3">
        <v>0.5</v>
      </c>
      <c r="AN244" s="3">
        <v>0.6</v>
      </c>
      <c r="AO244" s="3">
        <v>0.32</v>
      </c>
      <c r="AP244" s="6">
        <v>1134.196899</v>
      </c>
      <c r="AQ244" s="3">
        <v>7.0000000000000001E-3</v>
      </c>
      <c r="AS244" s="3" t="s">
        <v>187</v>
      </c>
      <c r="AT244" s="3">
        <v>0.33</v>
      </c>
      <c r="AU244" s="7">
        <v>1177.465942</v>
      </c>
      <c r="AV244" s="3">
        <v>1E-3</v>
      </c>
      <c r="AW244" s="3">
        <f t="shared" si="26"/>
        <v>0.32500000000000001</v>
      </c>
      <c r="AX244" s="5"/>
      <c r="AY244" s="5"/>
      <c r="AZ244" s="5"/>
      <c r="BA244" s="5"/>
      <c r="BB244" s="1"/>
      <c r="BC244" s="3" t="s">
        <v>187</v>
      </c>
      <c r="BD244" s="3">
        <v>0.9</v>
      </c>
      <c r="BE244" s="3">
        <v>0.5</v>
      </c>
      <c r="BF244" s="3">
        <v>0.6</v>
      </c>
      <c r="BG244" s="3">
        <v>0.36</v>
      </c>
      <c r="BH244" s="7">
        <v>1163.8870850000001</v>
      </c>
      <c r="BI244" s="3">
        <v>7.0000000000000001E-3</v>
      </c>
      <c r="BK244" s="3" t="s">
        <v>187</v>
      </c>
      <c r="BL244" s="3">
        <v>0.3</v>
      </c>
      <c r="BM244" s="6">
        <v>1145.345703</v>
      </c>
      <c r="BN244" s="3">
        <v>1E-3</v>
      </c>
      <c r="BO244" s="3">
        <f t="shared" si="27"/>
        <v>0.32999999999999996</v>
      </c>
    </row>
    <row r="245" spans="1:71" x14ac:dyDescent="0.3">
      <c r="A245" s="3" t="s">
        <v>188</v>
      </c>
      <c r="B245" s="3">
        <v>0.9</v>
      </c>
      <c r="C245" s="3">
        <v>0.5</v>
      </c>
      <c r="D245" s="3">
        <v>0.6</v>
      </c>
      <c r="E245" s="3">
        <v>0.33</v>
      </c>
      <c r="F245" s="7">
        <v>709.83599900000002</v>
      </c>
      <c r="G245" s="3">
        <v>2E-3</v>
      </c>
      <c r="I245" s="3" t="s">
        <v>188</v>
      </c>
      <c r="J245" s="3">
        <v>0.31</v>
      </c>
      <c r="K245" s="6">
        <v>706.93957499999999</v>
      </c>
      <c r="L245" s="3">
        <v>0</v>
      </c>
      <c r="M245" s="3">
        <f t="shared" si="24"/>
        <v>0.32</v>
      </c>
      <c r="N245" s="5"/>
      <c r="O245" s="5"/>
      <c r="P245" s="5"/>
      <c r="Q245" s="5"/>
      <c r="R245" s="1"/>
      <c r="S245" s="3" t="s">
        <v>188</v>
      </c>
      <c r="T245" s="3">
        <v>0.9</v>
      </c>
      <c r="U245" s="3">
        <v>0.5</v>
      </c>
      <c r="V245" s="3">
        <v>0.6</v>
      </c>
      <c r="W245" s="3">
        <v>0.33</v>
      </c>
      <c r="X245" s="8">
        <v>697.40405299999998</v>
      </c>
      <c r="Y245" s="3">
        <v>2E-3</v>
      </c>
      <c r="AA245" s="3" t="s">
        <v>188</v>
      </c>
      <c r="AB245" s="3">
        <v>0.3</v>
      </c>
      <c r="AC245" s="6">
        <v>697.09167500000001</v>
      </c>
      <c r="AD245" s="3">
        <v>0</v>
      </c>
      <c r="AE245" s="3">
        <f t="shared" si="25"/>
        <v>0.315</v>
      </c>
      <c r="AF245" s="5"/>
      <c r="AG245" s="5"/>
      <c r="AH245" s="5"/>
      <c r="AI245" s="5"/>
      <c r="AJ245" s="1"/>
      <c r="AK245" s="3" t="s">
        <v>189</v>
      </c>
      <c r="AL245" s="3">
        <v>0.9</v>
      </c>
      <c r="AM245" s="3">
        <v>0.5</v>
      </c>
      <c r="AN245" s="3">
        <v>0.6</v>
      </c>
      <c r="AO245" s="3">
        <v>0.3</v>
      </c>
      <c r="AP245" s="6">
        <v>993.68890399999998</v>
      </c>
      <c r="AQ245" s="3">
        <v>8.0000000000000002E-3</v>
      </c>
      <c r="AS245" s="3" t="s">
        <v>189</v>
      </c>
      <c r="AT245" s="3">
        <v>0.3</v>
      </c>
      <c r="AU245" s="7">
        <v>1017.203003</v>
      </c>
      <c r="AV245" s="3">
        <v>1E-3</v>
      </c>
      <c r="AW245" s="3">
        <f t="shared" si="26"/>
        <v>0.3</v>
      </c>
      <c r="AX245" s="5"/>
      <c r="AY245" s="5"/>
      <c r="AZ245" s="5"/>
      <c r="BA245" s="5"/>
      <c r="BB245" s="1"/>
      <c r="BC245" s="3" t="s">
        <v>189</v>
      </c>
      <c r="BD245" s="3">
        <v>0.9</v>
      </c>
      <c r="BE245" s="3">
        <v>0.5</v>
      </c>
      <c r="BF245" s="3">
        <v>0.6</v>
      </c>
      <c r="BG245" s="3">
        <v>0.34</v>
      </c>
      <c r="BH245" s="6">
        <v>985.20214799999997</v>
      </c>
      <c r="BI245" s="3">
        <v>7.0000000000000001E-3</v>
      </c>
      <c r="BK245" s="3" t="s">
        <v>189</v>
      </c>
      <c r="BL245" s="3">
        <v>0.32</v>
      </c>
      <c r="BM245" s="7">
        <v>1015.772827</v>
      </c>
      <c r="BN245" s="3">
        <v>0</v>
      </c>
      <c r="BO245" s="3">
        <f t="shared" si="27"/>
        <v>0.33</v>
      </c>
    </row>
    <row r="246" spans="1:71" x14ac:dyDescent="0.3">
      <c r="A246" s="3" t="s">
        <v>190</v>
      </c>
      <c r="B246" s="3">
        <v>0.9</v>
      </c>
      <c r="C246" s="3">
        <v>0.5</v>
      </c>
      <c r="D246" s="3">
        <v>0.6</v>
      </c>
      <c r="E246" s="3">
        <v>0.3</v>
      </c>
      <c r="F246" s="6">
        <v>667.86743200000001</v>
      </c>
      <c r="G246" s="3">
        <v>3.0000000000000001E-3</v>
      </c>
      <c r="I246" s="3" t="s">
        <v>190</v>
      </c>
      <c r="J246" s="3">
        <v>0.31</v>
      </c>
      <c r="K246" s="7">
        <v>676.28155500000003</v>
      </c>
      <c r="L246" s="3">
        <v>1E-3</v>
      </c>
      <c r="M246" s="3">
        <f t="shared" si="24"/>
        <v>0.30499999999999999</v>
      </c>
      <c r="N246" s="5"/>
      <c r="O246" s="5"/>
      <c r="P246" s="5"/>
      <c r="Q246" s="5"/>
      <c r="R246" s="1"/>
      <c r="S246" s="3" t="s">
        <v>190</v>
      </c>
      <c r="T246" s="3">
        <v>0.9</v>
      </c>
      <c r="U246" s="3">
        <v>0.5</v>
      </c>
      <c r="V246" s="3">
        <v>0.6</v>
      </c>
      <c r="W246" s="3">
        <v>0.3</v>
      </c>
      <c r="X246" s="7">
        <v>664.13928199999998</v>
      </c>
      <c r="Y246" s="3">
        <v>2E-3</v>
      </c>
      <c r="AA246" s="3" t="s">
        <v>190</v>
      </c>
      <c r="AB246" s="3">
        <v>0.47</v>
      </c>
      <c r="AC246" s="6">
        <v>660.39123500000005</v>
      </c>
      <c r="AD246" s="3">
        <v>0</v>
      </c>
      <c r="AE246" s="3">
        <f t="shared" si="25"/>
        <v>0.38500000000000001</v>
      </c>
      <c r="AF246" s="5"/>
      <c r="AG246" s="5"/>
      <c r="AH246" s="5"/>
      <c r="AI246" s="5"/>
      <c r="AJ246" s="1"/>
      <c r="AK246" s="3" t="s">
        <v>191</v>
      </c>
      <c r="AL246" s="3">
        <v>0.9</v>
      </c>
      <c r="AM246" s="3">
        <v>0.5</v>
      </c>
      <c r="AN246" s="3">
        <v>0.6</v>
      </c>
      <c r="AO246" s="3">
        <v>0.3</v>
      </c>
      <c r="AP246" s="7">
        <v>1014.093811</v>
      </c>
      <c r="AQ246" s="3">
        <v>7.0000000000000001E-3</v>
      </c>
      <c r="AS246" s="3" t="s">
        <v>191</v>
      </c>
      <c r="AT246" s="3">
        <v>0.3</v>
      </c>
      <c r="AU246" s="6">
        <v>998.93511999999998</v>
      </c>
      <c r="AV246" s="3">
        <v>1E-3</v>
      </c>
      <c r="AW246" s="3">
        <f t="shared" si="26"/>
        <v>0.3</v>
      </c>
      <c r="AX246" s="5"/>
      <c r="AY246" s="5"/>
      <c r="AZ246" s="5"/>
      <c r="BA246" s="5"/>
      <c r="BB246" s="1"/>
      <c r="BC246" s="3" t="s">
        <v>191</v>
      </c>
      <c r="BD246" s="3">
        <v>0.9</v>
      </c>
      <c r="BE246" s="3">
        <v>0.5</v>
      </c>
      <c r="BF246" s="3">
        <v>0.6</v>
      </c>
      <c r="BG246" s="3">
        <v>0.32</v>
      </c>
      <c r="BH246" s="6">
        <v>955.46978799999999</v>
      </c>
      <c r="BI246" s="3">
        <v>8.9999999999999993E-3</v>
      </c>
      <c r="BK246" s="3" t="s">
        <v>191</v>
      </c>
      <c r="BL246" s="3">
        <v>0.31</v>
      </c>
      <c r="BM246" s="7">
        <v>981.12750200000005</v>
      </c>
      <c r="BN246" s="3">
        <v>0</v>
      </c>
      <c r="BO246" s="3">
        <f t="shared" si="27"/>
        <v>0.315</v>
      </c>
    </row>
    <row r="247" spans="1:71" x14ac:dyDescent="0.3">
      <c r="A247" s="3" t="s">
        <v>192</v>
      </c>
      <c r="B247" s="3">
        <v>0.9</v>
      </c>
      <c r="C247" s="3">
        <v>0.5</v>
      </c>
      <c r="D247" s="3">
        <v>0.6</v>
      </c>
      <c r="E247" s="3">
        <v>0.33</v>
      </c>
      <c r="F247" s="7">
        <v>811.65795900000001</v>
      </c>
      <c r="G247" s="3">
        <v>3.0000000000000001E-3</v>
      </c>
      <c r="I247" s="3" t="s">
        <v>192</v>
      </c>
      <c r="J247" s="3">
        <v>0.36</v>
      </c>
      <c r="K247" s="6">
        <v>810.77105700000004</v>
      </c>
      <c r="L247" s="3">
        <v>1E-3</v>
      </c>
      <c r="M247" s="3">
        <f t="shared" si="24"/>
        <v>0.34499999999999997</v>
      </c>
      <c r="N247" s="5"/>
      <c r="O247" s="5"/>
      <c r="P247" s="5"/>
      <c r="Q247" s="5"/>
      <c r="R247" s="1"/>
      <c r="S247" s="3" t="s">
        <v>192</v>
      </c>
      <c r="T247" s="3">
        <v>0.9</v>
      </c>
      <c r="U247" s="3">
        <v>0.5</v>
      </c>
      <c r="V247" s="3">
        <v>0.6</v>
      </c>
      <c r="W247" s="3">
        <v>0.3</v>
      </c>
      <c r="X247" s="6">
        <v>788.60095200000001</v>
      </c>
      <c r="Y247" s="3">
        <v>2E-3</v>
      </c>
      <c r="AA247" s="3" t="s">
        <v>192</v>
      </c>
      <c r="AB247" s="3">
        <v>0.31</v>
      </c>
      <c r="AC247" s="7">
        <v>791.50299099999995</v>
      </c>
      <c r="AD247" s="3">
        <v>1E-3</v>
      </c>
      <c r="AE247" s="3">
        <f t="shared" si="25"/>
        <v>0.30499999999999999</v>
      </c>
      <c r="AF247" s="5"/>
      <c r="AG247" s="5"/>
      <c r="AH247" s="5"/>
      <c r="AI247" s="5"/>
      <c r="AJ247" s="1"/>
      <c r="AK247" s="3" t="s">
        <v>193</v>
      </c>
      <c r="AL247" s="3">
        <v>0.9</v>
      </c>
      <c r="AM247" s="3">
        <v>0.5</v>
      </c>
      <c r="AN247" s="3">
        <v>0.6</v>
      </c>
      <c r="AO247" s="3">
        <v>0.31</v>
      </c>
      <c r="AP247" s="8">
        <v>1113.7677000000001</v>
      </c>
      <c r="AQ247" s="3">
        <v>8.9999999999999993E-3</v>
      </c>
      <c r="AS247" s="3" t="s">
        <v>193</v>
      </c>
      <c r="AT247" s="3">
        <v>0.3</v>
      </c>
      <c r="AU247" s="6">
        <v>1133.4735109999999</v>
      </c>
      <c r="AV247" s="3">
        <v>1E-3</v>
      </c>
      <c r="AW247" s="3">
        <f t="shared" si="26"/>
        <v>0.30499999999999999</v>
      </c>
      <c r="AX247" s="5"/>
      <c r="AY247" s="5"/>
      <c r="AZ247" s="5"/>
      <c r="BA247" s="5"/>
      <c r="BB247" s="1"/>
      <c r="BC247" s="3" t="s">
        <v>193</v>
      </c>
      <c r="BD247" s="3">
        <v>0.9</v>
      </c>
      <c r="BE247" s="3">
        <v>0.5</v>
      </c>
      <c r="BF247" s="3">
        <v>0.6</v>
      </c>
      <c r="BG247" s="3">
        <v>0.32</v>
      </c>
      <c r="BH247" s="6">
        <v>1077.149048</v>
      </c>
      <c r="BI247" s="3">
        <v>6.0000000000000001E-3</v>
      </c>
      <c r="BK247" s="3" t="s">
        <v>193</v>
      </c>
      <c r="BL247" s="3">
        <v>0.3</v>
      </c>
      <c r="BM247" s="7">
        <v>1095.5931399999999</v>
      </c>
      <c r="BN247" s="3">
        <v>1E-3</v>
      </c>
      <c r="BO247" s="3">
        <f t="shared" si="27"/>
        <v>0.31</v>
      </c>
    </row>
    <row r="248" spans="1:71" x14ac:dyDescent="0.3">
      <c r="A248" s="9" t="s">
        <v>316</v>
      </c>
      <c r="E248" s="9">
        <f>AVERAGE(E218:E247)</f>
        <v>0.32733333333333337</v>
      </c>
      <c r="I248" s="9" t="s">
        <v>316</v>
      </c>
      <c r="J248" s="9">
        <f>AVERAGE(J218:J247)</f>
        <v>0.3216666666666666</v>
      </c>
      <c r="R248" s="1"/>
      <c r="S248" s="9" t="s">
        <v>316</v>
      </c>
      <c r="W248" s="9">
        <f>AVERAGE(W218:W247)</f>
        <v>0.33400000000000002</v>
      </c>
      <c r="AA248" s="9" t="s">
        <v>316</v>
      </c>
      <c r="AB248" s="9">
        <f>AVERAGE(AB218:AB247)</f>
        <v>0.33633333333333337</v>
      </c>
      <c r="AJ248" s="1"/>
      <c r="AK248" s="9" t="s">
        <v>316</v>
      </c>
      <c r="AO248" s="9">
        <f>AVERAGE(AO218:AO247)</f>
        <v>0.31633333333333336</v>
      </c>
      <c r="AS248" s="9" t="s">
        <v>316</v>
      </c>
      <c r="AT248" s="9">
        <f>AVERAGE(AT218:AT247)</f>
        <v>0.3106666666666667</v>
      </c>
      <c r="BB248" s="1"/>
      <c r="BC248" s="9" t="s">
        <v>316</v>
      </c>
      <c r="BG248" s="9">
        <f>AVERAGE(BG218:BG247)</f>
        <v>0.31533333333333324</v>
      </c>
      <c r="BK248" s="9" t="s">
        <v>316</v>
      </c>
      <c r="BL248" s="9">
        <f>AVERAGE(BL218:BL247)</f>
        <v>0.3153333333333333</v>
      </c>
    </row>
    <row r="249" spans="1:71" x14ac:dyDescent="0.3">
      <c r="R249" s="1"/>
      <c r="AJ249" s="1"/>
      <c r="BB249" s="1"/>
    </row>
    <row r="250" spans="1:71" x14ac:dyDescent="0.3">
      <c r="R250" s="1"/>
      <c r="AJ250" s="1"/>
      <c r="BB250" s="1"/>
    </row>
    <row r="251" spans="1:71" x14ac:dyDescent="0.3">
      <c r="A251" s="19" t="s">
        <v>314</v>
      </c>
      <c r="B251" s="19"/>
      <c r="C251" s="19"/>
      <c r="D251" s="19"/>
      <c r="E251" s="19"/>
      <c r="F251" s="19"/>
      <c r="G251" s="19"/>
      <c r="I251" s="19" t="s">
        <v>315</v>
      </c>
      <c r="J251" s="19"/>
      <c r="K251" s="19"/>
      <c r="L251" s="19"/>
      <c r="M251" s="19"/>
      <c r="N251" s="11"/>
      <c r="O251" s="11"/>
      <c r="P251" s="11"/>
      <c r="Q251" s="11"/>
      <c r="R251" s="1"/>
      <c r="S251" s="19" t="s">
        <v>314</v>
      </c>
      <c r="T251" s="19"/>
      <c r="U251" s="19"/>
      <c r="V251" s="19"/>
      <c r="W251" s="19"/>
      <c r="X251" s="19"/>
      <c r="Y251" s="19"/>
      <c r="AA251" s="19" t="s">
        <v>315</v>
      </c>
      <c r="AB251" s="19"/>
      <c r="AC251" s="19"/>
      <c r="AD251" s="19"/>
      <c r="AE251" s="19"/>
      <c r="AF251" s="11"/>
      <c r="AG251" s="11"/>
      <c r="AH251" s="11"/>
      <c r="AI251" s="11"/>
      <c r="AJ251" s="1"/>
      <c r="AK251" s="19" t="s">
        <v>314</v>
      </c>
      <c r="AL251" s="19"/>
      <c r="AM251" s="19"/>
      <c r="AN251" s="19"/>
      <c r="AO251" s="19"/>
      <c r="AP251" s="19"/>
      <c r="AQ251" s="19"/>
      <c r="AS251" s="19" t="s">
        <v>315</v>
      </c>
      <c r="AT251" s="19"/>
      <c r="AU251" s="19"/>
      <c r="AV251" s="19"/>
      <c r="AW251" s="19"/>
      <c r="AX251" s="11"/>
      <c r="AY251" s="11"/>
      <c r="AZ251" s="11"/>
      <c r="BA251" s="11"/>
      <c r="BB251" s="1"/>
      <c r="BC251" s="19" t="s">
        <v>314</v>
      </c>
      <c r="BD251" s="19"/>
      <c r="BE251" s="19"/>
      <c r="BF251" s="19"/>
      <c r="BG251" s="19"/>
      <c r="BH251" s="19"/>
      <c r="BI251" s="19"/>
      <c r="BK251" s="19" t="s">
        <v>315</v>
      </c>
      <c r="BL251" s="19"/>
      <c r="BM251" s="19"/>
      <c r="BN251" s="19"/>
      <c r="BO251" s="19"/>
    </row>
    <row r="252" spans="1:71" x14ac:dyDescent="0.3">
      <c r="A252" s="19" t="s">
        <v>70</v>
      </c>
      <c r="B252" s="19"/>
      <c r="C252" s="19"/>
      <c r="D252" s="19"/>
      <c r="E252" s="19"/>
      <c r="F252" s="19"/>
      <c r="G252" s="19"/>
      <c r="I252" s="20" t="s">
        <v>70</v>
      </c>
      <c r="J252" s="21"/>
      <c r="K252" s="21"/>
      <c r="L252" s="21"/>
      <c r="M252" s="21"/>
      <c r="N252" s="11"/>
      <c r="O252" s="11"/>
      <c r="P252" s="11"/>
      <c r="Q252" s="11"/>
      <c r="R252" s="1"/>
      <c r="S252" s="19" t="s">
        <v>71</v>
      </c>
      <c r="T252" s="19"/>
      <c r="U252" s="19"/>
      <c r="V252" s="19"/>
      <c r="W252" s="19"/>
      <c r="X252" s="19"/>
      <c r="Y252" s="19"/>
      <c r="AA252" s="20" t="s">
        <v>71</v>
      </c>
      <c r="AB252" s="21"/>
      <c r="AC252" s="21"/>
      <c r="AD252" s="21"/>
      <c r="AE252" s="21"/>
      <c r="AF252" s="11"/>
      <c r="AG252" s="11"/>
      <c r="AH252" s="11"/>
      <c r="AI252" s="11"/>
      <c r="AJ252" s="1"/>
      <c r="AK252" s="19" t="s">
        <v>70</v>
      </c>
      <c r="AL252" s="19"/>
      <c r="AM252" s="19"/>
      <c r="AN252" s="19"/>
      <c r="AO252" s="19"/>
      <c r="AP252" s="19"/>
      <c r="AQ252" s="19"/>
      <c r="AS252" s="19" t="s">
        <v>70</v>
      </c>
      <c r="AT252" s="19"/>
      <c r="AU252" s="19"/>
      <c r="AV252" s="19"/>
      <c r="AW252" s="19"/>
      <c r="AX252" s="11"/>
      <c r="AY252" s="11"/>
      <c r="AZ252" s="11"/>
      <c r="BA252" s="11"/>
      <c r="BB252" s="1"/>
      <c r="BC252" s="19" t="s">
        <v>71</v>
      </c>
      <c r="BD252" s="19"/>
      <c r="BE252" s="19"/>
      <c r="BF252" s="19"/>
      <c r="BG252" s="19"/>
      <c r="BH252" s="19"/>
      <c r="BI252" s="19"/>
      <c r="BK252" s="19" t="s">
        <v>71</v>
      </c>
      <c r="BL252" s="19"/>
      <c r="BM252" s="19"/>
      <c r="BN252" s="19"/>
      <c r="BO252" s="19"/>
    </row>
    <row r="253" spans="1:71" x14ac:dyDescent="0.3">
      <c r="A253" s="3" t="s">
        <v>2</v>
      </c>
      <c r="B253" s="3" t="s">
        <v>3</v>
      </c>
      <c r="C253" s="3" t="s">
        <v>4</v>
      </c>
      <c r="D253" s="3" t="s">
        <v>5</v>
      </c>
      <c r="E253" s="3" t="s">
        <v>6</v>
      </c>
      <c r="F253" s="3" t="s">
        <v>7</v>
      </c>
      <c r="G253" s="3" t="s">
        <v>8</v>
      </c>
      <c r="I253" s="3" t="s">
        <v>2</v>
      </c>
      <c r="J253" s="3" t="s">
        <v>6</v>
      </c>
      <c r="K253" s="3" t="s">
        <v>7</v>
      </c>
      <c r="L253" s="3" t="s">
        <v>8</v>
      </c>
      <c r="M253" s="10" t="s">
        <v>9</v>
      </c>
      <c r="N253" s="3" t="s">
        <v>322</v>
      </c>
      <c r="O253" s="3" t="s">
        <v>323</v>
      </c>
      <c r="P253" s="3" t="s">
        <v>322</v>
      </c>
      <c r="Q253" s="3" t="s">
        <v>323</v>
      </c>
      <c r="R253" s="1"/>
      <c r="S253" s="3" t="s">
        <v>2</v>
      </c>
      <c r="T253" s="3" t="s">
        <v>3</v>
      </c>
      <c r="U253" s="3" t="s">
        <v>4</v>
      </c>
      <c r="V253" s="3" t="s">
        <v>5</v>
      </c>
      <c r="W253" s="3" t="s">
        <v>6</v>
      </c>
      <c r="X253" s="3" t="s">
        <v>7</v>
      </c>
      <c r="Y253" s="3" t="s">
        <v>8</v>
      </c>
      <c r="AA253" s="3" t="s">
        <v>2</v>
      </c>
      <c r="AB253" s="3" t="s">
        <v>6</v>
      </c>
      <c r="AC253" s="3" t="s">
        <v>7</v>
      </c>
      <c r="AD253" s="3" t="s">
        <v>8</v>
      </c>
      <c r="AE253" s="3" t="s">
        <v>9</v>
      </c>
      <c r="AF253" s="3" t="s">
        <v>322</v>
      </c>
      <c r="AG253" s="3" t="s">
        <v>323</v>
      </c>
      <c r="AH253" s="3" t="s">
        <v>322</v>
      </c>
      <c r="AI253" s="3" t="s">
        <v>323</v>
      </c>
      <c r="AJ253" s="1"/>
      <c r="AK253" s="3" t="s">
        <v>2</v>
      </c>
      <c r="AL253" s="3" t="s">
        <v>3</v>
      </c>
      <c r="AM253" s="3" t="s">
        <v>4</v>
      </c>
      <c r="AN253" s="3" t="s">
        <v>5</v>
      </c>
      <c r="AO253" s="3" t="s">
        <v>6</v>
      </c>
      <c r="AP253" s="3" t="s">
        <v>7</v>
      </c>
      <c r="AQ253" s="3" t="s">
        <v>8</v>
      </c>
      <c r="AS253" s="3" t="s">
        <v>2</v>
      </c>
      <c r="AT253" s="3" t="s">
        <v>6</v>
      </c>
      <c r="AU253" s="3" t="s">
        <v>7</v>
      </c>
      <c r="AV253" s="3" t="s">
        <v>8</v>
      </c>
      <c r="AW253" s="3" t="s">
        <v>9</v>
      </c>
      <c r="AX253" s="3" t="s">
        <v>322</v>
      </c>
      <c r="AY253" s="3" t="s">
        <v>323</v>
      </c>
      <c r="AZ253" s="3" t="s">
        <v>322</v>
      </c>
      <c r="BA253" s="3" t="s">
        <v>323</v>
      </c>
      <c r="BB253" s="1"/>
      <c r="BC253" s="3" t="s">
        <v>2</v>
      </c>
      <c r="BD253" s="3" t="s">
        <v>3</v>
      </c>
      <c r="BE253" s="3" t="s">
        <v>4</v>
      </c>
      <c r="BF253" s="3" t="s">
        <v>5</v>
      </c>
      <c r="BG253" s="3" t="s">
        <v>6</v>
      </c>
      <c r="BH253" s="3" t="s">
        <v>7</v>
      </c>
      <c r="BI253" s="3" t="s">
        <v>8</v>
      </c>
      <c r="BK253" s="3" t="s">
        <v>2</v>
      </c>
      <c r="BL253" s="3" t="s">
        <v>6</v>
      </c>
      <c r="BM253" s="3" t="s">
        <v>7</v>
      </c>
      <c r="BN253" s="3" t="s">
        <v>8</v>
      </c>
      <c r="BO253" s="3" t="s">
        <v>9</v>
      </c>
      <c r="BP253" s="3" t="s">
        <v>322</v>
      </c>
      <c r="BQ253" s="3" t="s">
        <v>323</v>
      </c>
      <c r="BR253" s="3" t="s">
        <v>322</v>
      </c>
      <c r="BS253" s="3" t="s">
        <v>323</v>
      </c>
    </row>
    <row r="254" spans="1:71" x14ac:dyDescent="0.3">
      <c r="A254" s="3" t="s">
        <v>134</v>
      </c>
      <c r="B254" s="3">
        <v>0.9</v>
      </c>
      <c r="C254" s="3">
        <v>0.5</v>
      </c>
      <c r="D254" s="3">
        <v>0.6</v>
      </c>
      <c r="E254" s="3">
        <v>0.31</v>
      </c>
      <c r="F254" s="7">
        <v>616.35650599999997</v>
      </c>
      <c r="G254" s="3">
        <v>1E-3</v>
      </c>
      <c r="I254" s="3" t="s">
        <v>134</v>
      </c>
      <c r="J254" s="3">
        <v>0.37</v>
      </c>
      <c r="K254" s="6">
        <v>611.10760500000004</v>
      </c>
      <c r="L254" s="3">
        <v>0</v>
      </c>
      <c r="M254" s="10">
        <f t="shared" ref="M254:M283" si="28">AVERAGE(E254,J254)</f>
        <v>0.33999999999999997</v>
      </c>
      <c r="N254" s="4" t="s">
        <v>320</v>
      </c>
      <c r="O254" s="4" t="s">
        <v>320</v>
      </c>
      <c r="P254" s="4" t="s">
        <v>321</v>
      </c>
      <c r="Q254" s="4" t="s">
        <v>321</v>
      </c>
      <c r="R254" s="1"/>
      <c r="S254" s="3" t="s">
        <v>134</v>
      </c>
      <c r="T254" s="3">
        <v>0.9</v>
      </c>
      <c r="U254" s="3">
        <v>0.5</v>
      </c>
      <c r="V254" s="3">
        <v>0.6</v>
      </c>
      <c r="W254" s="3">
        <v>0.32</v>
      </c>
      <c r="X254" s="6">
        <v>579.36090100000001</v>
      </c>
      <c r="Y254" s="3">
        <v>2E-3</v>
      </c>
      <c r="AA254" s="3" t="s">
        <v>134</v>
      </c>
      <c r="AB254" s="3">
        <v>0.35</v>
      </c>
      <c r="AC254" s="7">
        <v>590.40338099999997</v>
      </c>
      <c r="AD254" s="3">
        <v>0</v>
      </c>
      <c r="AE254" s="3">
        <f t="shared" ref="AE254:AE283" si="29">AVERAGE(W254,AB254)</f>
        <v>0.33499999999999996</v>
      </c>
      <c r="AF254" s="4" t="s">
        <v>320</v>
      </c>
      <c r="AG254" s="4" t="s">
        <v>320</v>
      </c>
      <c r="AH254" s="4" t="s">
        <v>321</v>
      </c>
      <c r="AI254" s="4" t="s">
        <v>321</v>
      </c>
      <c r="AJ254" s="1"/>
      <c r="AK254" s="3" t="s">
        <v>135</v>
      </c>
      <c r="AL254" s="3">
        <v>0.9</v>
      </c>
      <c r="AM254" s="3">
        <v>0.5</v>
      </c>
      <c r="AN254" s="3">
        <v>0.6</v>
      </c>
      <c r="AO254" s="3">
        <v>0.31</v>
      </c>
      <c r="AP254" s="7">
        <v>820.71569799999997</v>
      </c>
      <c r="AQ254" s="3">
        <v>6.0000000000000001E-3</v>
      </c>
      <c r="AS254" s="3" t="s">
        <v>135</v>
      </c>
      <c r="AT254" s="3">
        <v>0.31</v>
      </c>
      <c r="AU254" s="6">
        <v>815.72100799999998</v>
      </c>
      <c r="AV254" s="3">
        <v>1E-3</v>
      </c>
      <c r="AW254" s="3">
        <f t="shared" ref="AW254:AW283" si="30">AVERAGE(AO254,AT254)</f>
        <v>0.31</v>
      </c>
      <c r="AX254" s="4" t="s">
        <v>320</v>
      </c>
      <c r="AY254" s="4" t="s">
        <v>320</v>
      </c>
      <c r="AZ254" s="4" t="s">
        <v>321</v>
      </c>
      <c r="BA254" s="4" t="s">
        <v>321</v>
      </c>
      <c r="BB254" s="1"/>
      <c r="BC254" s="3" t="s">
        <v>135</v>
      </c>
      <c r="BD254" s="3">
        <v>0.9</v>
      </c>
      <c r="BE254" s="3">
        <v>0.5</v>
      </c>
      <c r="BF254" s="3">
        <v>0.6</v>
      </c>
      <c r="BG254" s="3">
        <v>0.32</v>
      </c>
      <c r="BH254" s="7">
        <v>777.97167999999999</v>
      </c>
      <c r="BI254" s="3">
        <v>5.0000000000000001E-3</v>
      </c>
      <c r="BK254" s="3" t="s">
        <v>135</v>
      </c>
      <c r="BL254" s="3">
        <v>0.3</v>
      </c>
      <c r="BM254" s="6">
        <v>770.05487100000005</v>
      </c>
      <c r="BN254" s="3">
        <v>0</v>
      </c>
      <c r="BO254" s="3">
        <f t="shared" ref="BO254:BO283" si="31">AVERAGE(BG254,BL254)</f>
        <v>0.31</v>
      </c>
      <c r="BP254" s="4" t="s">
        <v>320</v>
      </c>
      <c r="BQ254" s="4" t="s">
        <v>320</v>
      </c>
      <c r="BR254" s="4" t="s">
        <v>321</v>
      </c>
      <c r="BS254" s="4" t="s">
        <v>321</v>
      </c>
    </row>
    <row r="255" spans="1:71" x14ac:dyDescent="0.3">
      <c r="A255" s="3" t="s">
        <v>136</v>
      </c>
      <c r="B255" s="3">
        <v>0.9</v>
      </c>
      <c r="C255" s="3">
        <v>0.5</v>
      </c>
      <c r="D255" s="3">
        <v>0.6</v>
      </c>
      <c r="E255" s="3">
        <v>0.32</v>
      </c>
      <c r="F255" s="6">
        <v>551.70526099999995</v>
      </c>
      <c r="G255" s="3">
        <v>2E-3</v>
      </c>
      <c r="I255" s="3" t="s">
        <v>136</v>
      </c>
      <c r="J255" s="3">
        <v>0.38</v>
      </c>
      <c r="K255" s="7">
        <v>553.103027</v>
      </c>
      <c r="L255" s="3">
        <v>0</v>
      </c>
      <c r="M255" s="10">
        <f t="shared" si="28"/>
        <v>0.35</v>
      </c>
      <c r="N255" s="3">
        <f>COUNT(F255:F257,F259:F260,F262,F264,F266,F268:F269,F273,F275:F276,F278,F281:F283)</f>
        <v>17</v>
      </c>
      <c r="O255" s="3">
        <f>30-N255</f>
        <v>13</v>
      </c>
      <c r="P255" s="3">
        <f>COUNT(K254,K258,K261,K263,K265,K267,K270:K272,K275:K277,K279:K280)</f>
        <v>14</v>
      </c>
      <c r="Q255" s="3">
        <f>30-P255</f>
        <v>16</v>
      </c>
      <c r="R255" s="1"/>
      <c r="S255" s="3" t="s">
        <v>136</v>
      </c>
      <c r="T255" s="3">
        <v>0.9</v>
      </c>
      <c r="U255" s="3">
        <v>0.5</v>
      </c>
      <c r="V255" s="3">
        <v>0.6</v>
      </c>
      <c r="W255" s="3">
        <v>0.33</v>
      </c>
      <c r="X255" s="7">
        <v>500.28424100000001</v>
      </c>
      <c r="Y255" s="3">
        <v>3.0000000000000001E-3</v>
      </c>
      <c r="AA255" s="3" t="s">
        <v>136</v>
      </c>
      <c r="AB255" s="3">
        <v>0.31</v>
      </c>
      <c r="AC255" s="6">
        <v>491.61782799999997</v>
      </c>
      <c r="AD255" s="3">
        <v>0</v>
      </c>
      <c r="AE255" s="3">
        <f t="shared" si="29"/>
        <v>0.32</v>
      </c>
      <c r="AF255" s="3">
        <f>COUNT(X254,X257,X259,X262:X263,X265,X269,X273:X276,X278,X280,X283)</f>
        <v>14</v>
      </c>
      <c r="AG255" s="3">
        <f>30-AF255</f>
        <v>16</v>
      </c>
      <c r="AH255" s="3">
        <f>COUNT(AC255:AC256,AC258,AC260:AC261,AC264,AC266:AC268,AC270:AC272,AC277,AC279,AC281:AC282)</f>
        <v>16</v>
      </c>
      <c r="AI255" s="3">
        <f>30-AH255</f>
        <v>14</v>
      </c>
      <c r="AJ255" s="1"/>
      <c r="AK255" s="3" t="s">
        <v>137</v>
      </c>
      <c r="AL255" s="3">
        <v>0.9</v>
      </c>
      <c r="AM255" s="3">
        <v>0.5</v>
      </c>
      <c r="AN255" s="3">
        <v>0.6</v>
      </c>
      <c r="AO255" s="3">
        <v>0.3</v>
      </c>
      <c r="AP255" s="6">
        <v>892.30895999999996</v>
      </c>
      <c r="AQ255" s="3">
        <v>6.0000000000000001E-3</v>
      </c>
      <c r="AS255" s="3" t="s">
        <v>137</v>
      </c>
      <c r="AT255" s="3">
        <v>0.3</v>
      </c>
      <c r="AU255" s="7">
        <v>894.92797900000005</v>
      </c>
      <c r="AV255" s="3">
        <v>1E-3</v>
      </c>
      <c r="AW255" s="3">
        <f t="shared" si="30"/>
        <v>0.3</v>
      </c>
      <c r="AX255" s="3">
        <f>COUNT(AP255,AP258,AP263:AP265,AP270:AP271,AP273,AP275:AP278,AP281:AP283)</f>
        <v>15</v>
      </c>
      <c r="AY255" s="3">
        <f>30-AX255</f>
        <v>15</v>
      </c>
      <c r="AZ255" s="3">
        <f>COUNT(AU254,AU256:AU257,AU259:AU262,AU266:AU269,AU272,AU274,AU279:AU280)</f>
        <v>15</v>
      </c>
      <c r="BA255" s="3">
        <f>30-AZ255</f>
        <v>15</v>
      </c>
      <c r="BB255" s="1"/>
      <c r="BC255" s="3" t="s">
        <v>137</v>
      </c>
      <c r="BD255" s="3">
        <v>0.9</v>
      </c>
      <c r="BE255" s="3">
        <v>0.5</v>
      </c>
      <c r="BF255" s="3">
        <v>0.6</v>
      </c>
      <c r="BG255" s="3">
        <v>0.3</v>
      </c>
      <c r="BH255" s="6">
        <v>873.48095699999999</v>
      </c>
      <c r="BI255" s="3">
        <v>6.0000000000000001E-3</v>
      </c>
      <c r="BK255" s="3" t="s">
        <v>137</v>
      </c>
      <c r="BL255" s="3">
        <v>0.36</v>
      </c>
      <c r="BM255" s="7">
        <v>868.03100600000005</v>
      </c>
      <c r="BN255" s="3">
        <v>1E-3</v>
      </c>
      <c r="BO255" s="3">
        <f t="shared" si="31"/>
        <v>0.32999999999999996</v>
      </c>
      <c r="BP255" s="3">
        <f>COUNT(BH255:BH256,BH261:BH262,BH269,BH271:BH276,BH279:BH280,BH282:BH283)</f>
        <v>15</v>
      </c>
      <c r="BQ255" s="3">
        <f>30-BP255</f>
        <v>15</v>
      </c>
      <c r="BR255" s="3">
        <f>COUNT(BM254,BM257:BM260,BM263:BM268,BM270,BM277:BM278,BM281)</f>
        <v>15</v>
      </c>
      <c r="BS255" s="3">
        <f>30-BR255</f>
        <v>15</v>
      </c>
    </row>
    <row r="256" spans="1:71" x14ac:dyDescent="0.3">
      <c r="A256" s="3" t="s">
        <v>138</v>
      </c>
      <c r="B256" s="3">
        <v>0.9</v>
      </c>
      <c r="C256" s="3">
        <v>0.5</v>
      </c>
      <c r="D256" s="3">
        <v>0.6</v>
      </c>
      <c r="E256" s="3">
        <v>0.31</v>
      </c>
      <c r="F256" s="6">
        <v>610.86511199999995</v>
      </c>
      <c r="G256" s="3">
        <v>2E-3</v>
      </c>
      <c r="I256" s="3" t="s">
        <v>138</v>
      </c>
      <c r="J256" s="3">
        <v>0.32</v>
      </c>
      <c r="K256" s="7">
        <v>618.24829099999999</v>
      </c>
      <c r="L256" s="3">
        <v>0</v>
      </c>
      <c r="M256" s="10">
        <f t="shared" si="28"/>
        <v>0.315</v>
      </c>
      <c r="N256" s="5"/>
      <c r="O256" s="5"/>
      <c r="P256" s="5"/>
      <c r="Q256" s="5"/>
      <c r="R256" s="1"/>
      <c r="S256" s="3" t="s">
        <v>138</v>
      </c>
      <c r="T256" s="3">
        <v>0.9</v>
      </c>
      <c r="U256" s="3">
        <v>0.5</v>
      </c>
      <c r="V256" s="3">
        <v>0.6</v>
      </c>
      <c r="W256" s="3">
        <v>0.41</v>
      </c>
      <c r="X256" s="7">
        <v>591.38305700000001</v>
      </c>
      <c r="Y256" s="3">
        <v>2E-3</v>
      </c>
      <c r="AA256" s="3" t="s">
        <v>138</v>
      </c>
      <c r="AB256" s="3">
        <v>0.34</v>
      </c>
      <c r="AC256" s="6">
        <v>590.59149200000002</v>
      </c>
      <c r="AD256" s="3">
        <v>1E-3</v>
      </c>
      <c r="AE256" s="3">
        <f t="shared" si="29"/>
        <v>0.375</v>
      </c>
      <c r="AF256" s="5"/>
      <c r="AG256" s="5"/>
      <c r="AH256" s="5"/>
      <c r="AI256" s="5"/>
      <c r="AJ256" s="1"/>
      <c r="AK256" s="3" t="s">
        <v>139</v>
      </c>
      <c r="AL256" s="3">
        <v>0.9</v>
      </c>
      <c r="AM256" s="3">
        <v>0.5</v>
      </c>
      <c r="AN256" s="3">
        <v>0.6</v>
      </c>
      <c r="AO256" s="3">
        <v>0.3</v>
      </c>
      <c r="AP256" s="7">
        <v>926.60736099999997</v>
      </c>
      <c r="AQ256" s="3">
        <v>5.0000000000000001E-3</v>
      </c>
      <c r="AS256" s="3" t="s">
        <v>139</v>
      </c>
      <c r="AT256" s="3">
        <v>0.3</v>
      </c>
      <c r="AU256" s="6">
        <v>921.72778300000004</v>
      </c>
      <c r="AV256" s="3">
        <v>1E-3</v>
      </c>
      <c r="AW256" s="3">
        <f t="shared" si="30"/>
        <v>0.3</v>
      </c>
      <c r="AX256" s="5"/>
      <c r="AY256" s="5"/>
      <c r="AZ256" s="5"/>
      <c r="BA256" s="5"/>
      <c r="BB256" s="1"/>
      <c r="BC256" s="3" t="s">
        <v>139</v>
      </c>
      <c r="BD256" s="3">
        <v>0.9</v>
      </c>
      <c r="BE256" s="3">
        <v>0.5</v>
      </c>
      <c r="BF256" s="3">
        <v>0.6</v>
      </c>
      <c r="BG256" s="3">
        <v>0.31</v>
      </c>
      <c r="BH256" s="6">
        <v>882.702271</v>
      </c>
      <c r="BI256" s="3">
        <v>5.0000000000000001E-3</v>
      </c>
      <c r="BK256" s="3" t="s">
        <v>139</v>
      </c>
      <c r="BL256" s="3">
        <v>0.31</v>
      </c>
      <c r="BM256" s="7">
        <v>904.77563499999997</v>
      </c>
      <c r="BN256" s="3">
        <v>1E-3</v>
      </c>
      <c r="BO256" s="3">
        <f t="shared" si="31"/>
        <v>0.31</v>
      </c>
    </row>
    <row r="257" spans="1:67" x14ac:dyDescent="0.3">
      <c r="A257" s="3" t="s">
        <v>140</v>
      </c>
      <c r="B257" s="3">
        <v>0.9</v>
      </c>
      <c r="C257" s="3">
        <v>0.5</v>
      </c>
      <c r="D257" s="3">
        <v>0.6</v>
      </c>
      <c r="E257" s="3">
        <v>0.31</v>
      </c>
      <c r="F257" s="6">
        <v>611.978882</v>
      </c>
      <c r="G257" s="3">
        <v>1E-3</v>
      </c>
      <c r="I257" s="3" t="s">
        <v>140</v>
      </c>
      <c r="J257" s="3">
        <v>0.33</v>
      </c>
      <c r="K257" s="7">
        <v>618.32836899999995</v>
      </c>
      <c r="L257" s="3">
        <v>0</v>
      </c>
      <c r="M257" s="10">
        <f t="shared" si="28"/>
        <v>0.32</v>
      </c>
      <c r="N257" s="5"/>
      <c r="O257" s="5"/>
      <c r="P257" s="5"/>
      <c r="Q257" s="5"/>
      <c r="R257" s="1"/>
      <c r="S257" s="3" t="s">
        <v>140</v>
      </c>
      <c r="T257" s="3">
        <v>0.9</v>
      </c>
      <c r="U257" s="3">
        <v>0.5</v>
      </c>
      <c r="V257" s="3">
        <v>0.6</v>
      </c>
      <c r="W257" s="3">
        <v>0.55000000000000004</v>
      </c>
      <c r="X257" s="6">
        <v>584.99371299999996</v>
      </c>
      <c r="Y257" s="3">
        <v>2E-3</v>
      </c>
      <c r="AA257" s="3" t="s">
        <v>140</v>
      </c>
      <c r="AB257" s="3">
        <v>0.32</v>
      </c>
      <c r="AC257" s="7">
        <v>598.69622800000002</v>
      </c>
      <c r="AD257" s="3">
        <v>0</v>
      </c>
      <c r="AE257" s="3">
        <f t="shared" si="29"/>
        <v>0.43500000000000005</v>
      </c>
      <c r="AF257" s="5"/>
      <c r="AG257" s="5"/>
      <c r="AH257" s="5"/>
      <c r="AI257" s="5"/>
      <c r="AJ257" s="1"/>
      <c r="AK257" s="3" t="s">
        <v>141</v>
      </c>
      <c r="AL257" s="3">
        <v>0.9</v>
      </c>
      <c r="AM257" s="3">
        <v>0.5</v>
      </c>
      <c r="AN257" s="3">
        <v>0.6</v>
      </c>
      <c r="AO257" s="3">
        <v>0.3</v>
      </c>
      <c r="AP257" s="7">
        <v>970.87023899999997</v>
      </c>
      <c r="AQ257" s="3">
        <v>5.0000000000000001E-3</v>
      </c>
      <c r="AS257" s="3" t="s">
        <v>141</v>
      </c>
      <c r="AT257" s="3">
        <v>0.3</v>
      </c>
      <c r="AU257" s="6">
        <v>959.17230199999995</v>
      </c>
      <c r="AV257" s="3">
        <v>0</v>
      </c>
      <c r="AW257" s="3">
        <f t="shared" si="30"/>
        <v>0.3</v>
      </c>
      <c r="AX257" s="5"/>
      <c r="AY257" s="5"/>
      <c r="AZ257" s="5"/>
      <c r="BA257" s="5"/>
      <c r="BB257" s="1"/>
      <c r="BC257" s="3" t="s">
        <v>141</v>
      </c>
      <c r="BD257" s="3">
        <v>0.9</v>
      </c>
      <c r="BE257" s="3">
        <v>0.5</v>
      </c>
      <c r="BF257" s="3">
        <v>0.6</v>
      </c>
      <c r="BG257" s="3">
        <v>0.3</v>
      </c>
      <c r="BH257" s="7">
        <v>939.51544200000001</v>
      </c>
      <c r="BI257" s="3">
        <v>6.0000000000000001E-3</v>
      </c>
      <c r="BK257" s="3" t="s">
        <v>141</v>
      </c>
      <c r="BL257" s="3">
        <v>0.31</v>
      </c>
      <c r="BM257" s="6">
        <v>938.35589600000003</v>
      </c>
      <c r="BN257" s="3">
        <v>1E-3</v>
      </c>
      <c r="BO257" s="3">
        <f t="shared" si="31"/>
        <v>0.30499999999999999</v>
      </c>
    </row>
    <row r="258" spans="1:67" x14ac:dyDescent="0.3">
      <c r="A258" s="3" t="s">
        <v>142</v>
      </c>
      <c r="B258" s="3">
        <v>0.9</v>
      </c>
      <c r="C258" s="3">
        <v>0.5</v>
      </c>
      <c r="D258" s="3">
        <v>0.6</v>
      </c>
      <c r="E258" s="3">
        <v>0.4</v>
      </c>
      <c r="F258" s="7">
        <v>534.91583300000002</v>
      </c>
      <c r="G258" s="3">
        <v>1E-3</v>
      </c>
      <c r="I258" s="3" t="s">
        <v>142</v>
      </c>
      <c r="J258" s="3">
        <v>0.31</v>
      </c>
      <c r="K258" s="6">
        <v>529.12426800000003</v>
      </c>
      <c r="L258" s="3">
        <v>0</v>
      </c>
      <c r="M258" s="10">
        <f t="shared" si="28"/>
        <v>0.35499999999999998</v>
      </c>
      <c r="N258" s="5"/>
      <c r="O258" s="5"/>
      <c r="P258" s="5"/>
      <c r="Q258" s="5"/>
      <c r="R258" s="1"/>
      <c r="S258" s="3" t="s">
        <v>142</v>
      </c>
      <c r="T258" s="3">
        <v>0.9</v>
      </c>
      <c r="U258" s="3">
        <v>0.5</v>
      </c>
      <c r="V258" s="3">
        <v>0.6</v>
      </c>
      <c r="W258" s="3">
        <v>0.3</v>
      </c>
      <c r="X258" s="7">
        <v>479.59060699999998</v>
      </c>
      <c r="Y258" s="3">
        <v>2E-3</v>
      </c>
      <c r="AA258" s="3" t="s">
        <v>142</v>
      </c>
      <c r="AB258" s="3">
        <v>0.32</v>
      </c>
      <c r="AC258" s="6">
        <v>470.40081800000002</v>
      </c>
      <c r="AD258" s="3">
        <v>0</v>
      </c>
      <c r="AE258" s="3">
        <f t="shared" si="29"/>
        <v>0.31</v>
      </c>
      <c r="AF258" s="5"/>
      <c r="AG258" s="5"/>
      <c r="AH258" s="5"/>
      <c r="AI258" s="5"/>
      <c r="AJ258" s="1"/>
      <c r="AK258" s="3" t="s">
        <v>143</v>
      </c>
      <c r="AL258" s="3">
        <v>0.9</v>
      </c>
      <c r="AM258" s="3">
        <v>0.5</v>
      </c>
      <c r="AN258" s="3">
        <v>0.6</v>
      </c>
      <c r="AO258" s="3">
        <v>0.31</v>
      </c>
      <c r="AP258" s="6">
        <v>897.49298099999999</v>
      </c>
      <c r="AQ258" s="3">
        <v>6.0000000000000001E-3</v>
      </c>
      <c r="AS258" s="3" t="s">
        <v>143</v>
      </c>
      <c r="AT258" s="3">
        <v>0.3</v>
      </c>
      <c r="AU258" s="7">
        <v>898.11370799999997</v>
      </c>
      <c r="AV258" s="3">
        <v>1E-3</v>
      </c>
      <c r="AW258" s="3">
        <f t="shared" si="30"/>
        <v>0.30499999999999999</v>
      </c>
      <c r="AX258" s="5"/>
      <c r="AY258" s="5"/>
      <c r="AZ258" s="5"/>
      <c r="BA258" s="5"/>
      <c r="BB258" s="1"/>
      <c r="BC258" s="3" t="s">
        <v>143</v>
      </c>
      <c r="BD258" s="3">
        <v>0.9</v>
      </c>
      <c r="BE258" s="3">
        <v>0.5</v>
      </c>
      <c r="BF258" s="3">
        <v>0.6</v>
      </c>
      <c r="BG258" s="3">
        <v>0.31</v>
      </c>
      <c r="BH258" s="7">
        <v>890.564392</v>
      </c>
      <c r="BI258" s="3">
        <v>6.0000000000000001E-3</v>
      </c>
      <c r="BK258" s="3" t="s">
        <v>143</v>
      </c>
      <c r="BL258" s="3">
        <v>0.31</v>
      </c>
      <c r="BM258" s="6">
        <v>884.03991699999995</v>
      </c>
      <c r="BN258" s="3">
        <v>0</v>
      </c>
      <c r="BO258" s="3">
        <f t="shared" si="31"/>
        <v>0.31</v>
      </c>
    </row>
    <row r="259" spans="1:67" x14ac:dyDescent="0.3">
      <c r="A259" s="3" t="s">
        <v>144</v>
      </c>
      <c r="B259" s="3">
        <v>0.9</v>
      </c>
      <c r="C259" s="3">
        <v>0.5</v>
      </c>
      <c r="D259" s="3">
        <v>0.6</v>
      </c>
      <c r="E259" s="3">
        <v>0.31</v>
      </c>
      <c r="F259" s="6">
        <v>619.27929700000004</v>
      </c>
      <c r="G259" s="3">
        <v>2E-3</v>
      </c>
      <c r="I259" s="3" t="s">
        <v>144</v>
      </c>
      <c r="J259" s="3">
        <v>0.39</v>
      </c>
      <c r="K259" s="7">
        <v>628.99243200000001</v>
      </c>
      <c r="L259" s="3">
        <v>0</v>
      </c>
      <c r="M259" s="10">
        <f t="shared" si="28"/>
        <v>0.35</v>
      </c>
      <c r="N259" s="5"/>
      <c r="O259" s="5"/>
      <c r="P259" s="5"/>
      <c r="Q259" s="5"/>
      <c r="R259" s="1"/>
      <c r="S259" s="3" t="s">
        <v>144</v>
      </c>
      <c r="T259" s="3">
        <v>0.9</v>
      </c>
      <c r="U259" s="3">
        <v>0.5</v>
      </c>
      <c r="V259" s="3">
        <v>0.6</v>
      </c>
      <c r="W259" s="3">
        <v>0.34</v>
      </c>
      <c r="X259" s="6">
        <v>606.23657200000002</v>
      </c>
      <c r="Y259" s="3">
        <v>1E-3</v>
      </c>
      <c r="AA259" s="3" t="s">
        <v>144</v>
      </c>
      <c r="AB259" s="3">
        <v>0.36</v>
      </c>
      <c r="AC259" s="7">
        <v>612.59484899999995</v>
      </c>
      <c r="AD259" s="3">
        <v>0</v>
      </c>
      <c r="AE259" s="3">
        <f t="shared" si="29"/>
        <v>0.35</v>
      </c>
      <c r="AF259" s="5"/>
      <c r="AG259" s="5"/>
      <c r="AH259" s="5"/>
      <c r="AI259" s="5"/>
      <c r="AJ259" s="1"/>
      <c r="AK259" s="3" t="s">
        <v>145</v>
      </c>
      <c r="AL259" s="3">
        <v>0.9</v>
      </c>
      <c r="AM259" s="3">
        <v>0.5</v>
      </c>
      <c r="AN259" s="3">
        <v>0.6</v>
      </c>
      <c r="AO259" s="3">
        <v>0.31</v>
      </c>
      <c r="AP259" s="7">
        <v>937.00299099999995</v>
      </c>
      <c r="AQ259" s="3">
        <v>6.0000000000000001E-3</v>
      </c>
      <c r="AS259" s="3" t="s">
        <v>145</v>
      </c>
      <c r="AT259" s="3">
        <v>0.3</v>
      </c>
      <c r="AU259" s="6">
        <v>913.38622999999995</v>
      </c>
      <c r="AV259" s="3">
        <v>0</v>
      </c>
      <c r="AW259" s="3">
        <f t="shared" si="30"/>
        <v>0.30499999999999999</v>
      </c>
      <c r="AX259" s="5"/>
      <c r="AY259" s="5"/>
      <c r="AZ259" s="5"/>
      <c r="BA259" s="5"/>
      <c r="BB259" s="1"/>
      <c r="BC259" s="3" t="s">
        <v>145</v>
      </c>
      <c r="BD259" s="3">
        <v>0.9</v>
      </c>
      <c r="BE259" s="3">
        <v>0.5</v>
      </c>
      <c r="BF259" s="3">
        <v>0.6</v>
      </c>
      <c r="BG259" s="3">
        <v>0.32</v>
      </c>
      <c r="BH259" s="7">
        <v>884.35754399999996</v>
      </c>
      <c r="BI259" s="3">
        <v>8.9999999999999993E-3</v>
      </c>
      <c r="BK259" s="3" t="s">
        <v>145</v>
      </c>
      <c r="BL259" s="3">
        <v>0.36</v>
      </c>
      <c r="BM259" s="6">
        <v>877.19824200000005</v>
      </c>
      <c r="BN259" s="3">
        <v>1E-3</v>
      </c>
      <c r="BO259" s="3">
        <f t="shared" si="31"/>
        <v>0.33999999999999997</v>
      </c>
    </row>
    <row r="260" spans="1:67" x14ac:dyDescent="0.3">
      <c r="A260" s="3" t="s">
        <v>146</v>
      </c>
      <c r="B260" s="3">
        <v>0.9</v>
      </c>
      <c r="C260" s="3">
        <v>0.5</v>
      </c>
      <c r="D260" s="3">
        <v>0.6</v>
      </c>
      <c r="E260" s="3">
        <v>0.3</v>
      </c>
      <c r="F260" s="6">
        <v>560.00970500000005</v>
      </c>
      <c r="G260" s="3">
        <v>2E-3</v>
      </c>
      <c r="I260" s="3" t="s">
        <v>146</v>
      </c>
      <c r="J260" s="3">
        <v>0.36</v>
      </c>
      <c r="K260" s="7">
        <v>571.91711399999997</v>
      </c>
      <c r="L260" s="3">
        <v>0</v>
      </c>
      <c r="M260" s="10">
        <f t="shared" si="28"/>
        <v>0.32999999999999996</v>
      </c>
      <c r="N260" s="5"/>
      <c r="O260" s="5"/>
      <c r="P260" s="5"/>
      <c r="Q260" s="5"/>
      <c r="R260" s="1"/>
      <c r="S260" s="3" t="s">
        <v>146</v>
      </c>
      <c r="T260" s="3">
        <v>0.9</v>
      </c>
      <c r="U260" s="3">
        <v>0.5</v>
      </c>
      <c r="V260" s="3">
        <v>0.6</v>
      </c>
      <c r="W260" s="3">
        <v>0.31</v>
      </c>
      <c r="X260" s="7">
        <v>538.82757600000002</v>
      </c>
      <c r="Y260" s="3">
        <v>2E-3</v>
      </c>
      <c r="AA260" s="3" t="s">
        <v>146</v>
      </c>
      <c r="AB260" s="3">
        <v>0.3</v>
      </c>
      <c r="AC260" s="6">
        <v>534.83142099999998</v>
      </c>
      <c r="AD260" s="3">
        <v>0</v>
      </c>
      <c r="AE260" s="3">
        <f t="shared" si="29"/>
        <v>0.30499999999999999</v>
      </c>
      <c r="AF260" s="5"/>
      <c r="AG260" s="5"/>
      <c r="AH260" s="5"/>
      <c r="AI260" s="5"/>
      <c r="AJ260" s="1"/>
      <c r="AK260" s="3" t="s">
        <v>147</v>
      </c>
      <c r="AL260" s="3">
        <v>0.9</v>
      </c>
      <c r="AM260" s="3">
        <v>0.5</v>
      </c>
      <c r="AN260" s="3">
        <v>0.6</v>
      </c>
      <c r="AO260" s="3">
        <v>0.31</v>
      </c>
      <c r="AP260" s="7">
        <v>886.59399399999995</v>
      </c>
      <c r="AQ260" s="3">
        <v>7.0000000000000001E-3</v>
      </c>
      <c r="AS260" s="3" t="s">
        <v>147</v>
      </c>
      <c r="AT260" s="3">
        <v>0.3</v>
      </c>
      <c r="AU260" s="6">
        <v>857.00299099999995</v>
      </c>
      <c r="AV260" s="3">
        <v>0</v>
      </c>
      <c r="AW260" s="3">
        <f t="shared" si="30"/>
        <v>0.30499999999999999</v>
      </c>
      <c r="AX260" s="5"/>
      <c r="AY260" s="5"/>
      <c r="AZ260" s="5"/>
      <c r="BA260" s="5"/>
      <c r="BB260" s="1"/>
      <c r="BC260" s="3" t="s">
        <v>147</v>
      </c>
      <c r="BD260" s="3">
        <v>0.9</v>
      </c>
      <c r="BE260" s="3">
        <v>0.5</v>
      </c>
      <c r="BF260" s="3">
        <v>0.6</v>
      </c>
      <c r="BG260" s="3">
        <v>0.3</v>
      </c>
      <c r="BH260" s="7">
        <v>863.00518799999998</v>
      </c>
      <c r="BI260" s="3">
        <v>6.0000000000000001E-3</v>
      </c>
      <c r="BK260" s="3" t="s">
        <v>147</v>
      </c>
      <c r="BL260" s="3">
        <v>0.3</v>
      </c>
      <c r="BM260" s="6">
        <v>846.94012499999997</v>
      </c>
      <c r="BN260" s="3">
        <v>1E-3</v>
      </c>
      <c r="BO260" s="3">
        <f t="shared" si="31"/>
        <v>0.3</v>
      </c>
    </row>
    <row r="261" spans="1:67" x14ac:dyDescent="0.3">
      <c r="A261" s="3" t="s">
        <v>148</v>
      </c>
      <c r="B261" s="3">
        <v>0.9</v>
      </c>
      <c r="C261" s="3">
        <v>0.5</v>
      </c>
      <c r="D261" s="3">
        <v>0.6</v>
      </c>
      <c r="E261" s="3">
        <v>0.3</v>
      </c>
      <c r="F261" s="7">
        <v>616.18511999999998</v>
      </c>
      <c r="G261" s="3">
        <v>1E-3</v>
      </c>
      <c r="I261" s="3" t="s">
        <v>148</v>
      </c>
      <c r="J261" s="3">
        <v>0.3</v>
      </c>
      <c r="K261" s="6">
        <v>615.33960000000002</v>
      </c>
      <c r="L261" s="3">
        <v>0</v>
      </c>
      <c r="M261" s="10">
        <f t="shared" si="28"/>
        <v>0.3</v>
      </c>
      <c r="N261" s="5"/>
      <c r="O261" s="5"/>
      <c r="P261" s="5"/>
      <c r="Q261" s="5"/>
      <c r="R261" s="1"/>
      <c r="S261" s="3" t="s">
        <v>148</v>
      </c>
      <c r="T261" s="3">
        <v>0.9</v>
      </c>
      <c r="U261" s="3">
        <v>0.5</v>
      </c>
      <c r="V261" s="3">
        <v>0.6</v>
      </c>
      <c r="W261" s="3">
        <v>0.3</v>
      </c>
      <c r="X261" s="7">
        <v>596.77526899999998</v>
      </c>
      <c r="Y261" s="3">
        <v>1E-3</v>
      </c>
      <c r="AA261" s="3" t="s">
        <v>148</v>
      </c>
      <c r="AB261" s="3">
        <v>0.31</v>
      </c>
      <c r="AC261" s="6">
        <v>586.66094999999996</v>
      </c>
      <c r="AD261" s="3">
        <v>0</v>
      </c>
      <c r="AE261" s="3">
        <f t="shared" si="29"/>
        <v>0.30499999999999999</v>
      </c>
      <c r="AF261" s="5"/>
      <c r="AG261" s="5"/>
      <c r="AH261" s="5"/>
      <c r="AI261" s="5"/>
      <c r="AJ261" s="1"/>
      <c r="AK261" s="3" t="s">
        <v>149</v>
      </c>
      <c r="AL261" s="3">
        <v>0.9</v>
      </c>
      <c r="AM261" s="3">
        <v>0.5</v>
      </c>
      <c r="AN261" s="3">
        <v>0.6</v>
      </c>
      <c r="AO261" s="3">
        <v>0.3</v>
      </c>
      <c r="AP261" s="7">
        <v>901.73828100000003</v>
      </c>
      <c r="AQ261" s="3">
        <v>6.0000000000000001E-3</v>
      </c>
      <c r="AS261" s="3" t="s">
        <v>149</v>
      </c>
      <c r="AT261" s="3">
        <v>0.31</v>
      </c>
      <c r="AU261" s="6">
        <v>900.65679899999998</v>
      </c>
      <c r="AV261" s="3">
        <v>0</v>
      </c>
      <c r="AW261" s="3">
        <f t="shared" si="30"/>
        <v>0.30499999999999999</v>
      </c>
      <c r="AX261" s="5"/>
      <c r="AY261" s="5"/>
      <c r="AZ261" s="5"/>
      <c r="BA261" s="5"/>
      <c r="BB261" s="1"/>
      <c r="BC261" s="3" t="s">
        <v>149</v>
      </c>
      <c r="BD261" s="3">
        <v>0.9</v>
      </c>
      <c r="BE261" s="3">
        <v>0.5</v>
      </c>
      <c r="BF261" s="3">
        <v>0.6</v>
      </c>
      <c r="BG261" s="3">
        <v>0.3</v>
      </c>
      <c r="BH261" s="6">
        <v>853.23016399999995</v>
      </c>
      <c r="BI261" s="3">
        <v>6.0000000000000001E-3</v>
      </c>
      <c r="BK261" s="3" t="s">
        <v>149</v>
      </c>
      <c r="BL261" s="3">
        <v>0.33</v>
      </c>
      <c r="BM261" s="7">
        <v>865.02557400000001</v>
      </c>
      <c r="BN261" s="3">
        <v>0</v>
      </c>
      <c r="BO261" s="3">
        <f t="shared" si="31"/>
        <v>0.315</v>
      </c>
    </row>
    <row r="262" spans="1:67" x14ac:dyDescent="0.3">
      <c r="A262" s="3" t="s">
        <v>150</v>
      </c>
      <c r="B262" s="3">
        <v>0.9</v>
      </c>
      <c r="C262" s="3">
        <v>0.5</v>
      </c>
      <c r="D262" s="3">
        <v>0.6</v>
      </c>
      <c r="E262" s="3">
        <v>0.3</v>
      </c>
      <c r="F262" s="6">
        <v>540.10217299999999</v>
      </c>
      <c r="G262" s="3">
        <v>2E-3</v>
      </c>
      <c r="I262" s="3" t="s">
        <v>150</v>
      </c>
      <c r="J262" s="3">
        <v>0.32</v>
      </c>
      <c r="K262" s="7">
        <v>553.48278800000003</v>
      </c>
      <c r="L262" s="3">
        <v>0</v>
      </c>
      <c r="M262" s="10">
        <f t="shared" si="28"/>
        <v>0.31</v>
      </c>
      <c r="N262" s="5"/>
      <c r="O262" s="5"/>
      <c r="P262" s="5"/>
      <c r="Q262" s="5"/>
      <c r="R262" s="1"/>
      <c r="S262" s="3" t="s">
        <v>150</v>
      </c>
      <c r="T262" s="3">
        <v>0.9</v>
      </c>
      <c r="U262" s="3">
        <v>0.5</v>
      </c>
      <c r="V262" s="3">
        <v>0.6</v>
      </c>
      <c r="W262" s="3">
        <v>0.3</v>
      </c>
      <c r="X262" s="6">
        <v>499.38339200000001</v>
      </c>
      <c r="Y262" s="3">
        <v>1E-3</v>
      </c>
      <c r="AA262" s="3" t="s">
        <v>150</v>
      </c>
      <c r="AB262" s="3">
        <v>0.3</v>
      </c>
      <c r="AC262" s="7">
        <v>505.313965</v>
      </c>
      <c r="AD262" s="3">
        <v>1E-3</v>
      </c>
      <c r="AE262" s="3">
        <f t="shared" si="29"/>
        <v>0.3</v>
      </c>
      <c r="AF262" s="5"/>
      <c r="AG262" s="5"/>
      <c r="AH262" s="5"/>
      <c r="AI262" s="5"/>
      <c r="AJ262" s="1"/>
      <c r="AK262" s="3" t="s">
        <v>151</v>
      </c>
      <c r="AL262" s="3">
        <v>0.9</v>
      </c>
      <c r="AM262" s="3">
        <v>0.5</v>
      </c>
      <c r="AN262" s="3">
        <v>0.6</v>
      </c>
      <c r="AO262" s="3">
        <v>0.33</v>
      </c>
      <c r="AP262" s="7">
        <v>826.51342799999998</v>
      </c>
      <c r="AQ262" s="3">
        <v>5.0000000000000001E-3</v>
      </c>
      <c r="AS262" s="3" t="s">
        <v>151</v>
      </c>
      <c r="AT262" s="3">
        <v>0.3</v>
      </c>
      <c r="AU262" s="6">
        <v>795.16229199999998</v>
      </c>
      <c r="AV262" s="3">
        <v>0</v>
      </c>
      <c r="AW262" s="3">
        <f t="shared" si="30"/>
        <v>0.315</v>
      </c>
      <c r="AX262" s="5"/>
      <c r="AY262" s="5"/>
      <c r="AZ262" s="5"/>
      <c r="BA262" s="5"/>
      <c r="BB262" s="1"/>
      <c r="BC262" s="3" t="s">
        <v>151</v>
      </c>
      <c r="BD262" s="3">
        <v>0.9</v>
      </c>
      <c r="BE262" s="3">
        <v>0.5</v>
      </c>
      <c r="BF262" s="3">
        <v>0.6</v>
      </c>
      <c r="BG262" s="3">
        <v>0.3</v>
      </c>
      <c r="BH262" s="6">
        <v>764.23150599999997</v>
      </c>
      <c r="BI262" s="3">
        <v>5.0000000000000001E-3</v>
      </c>
      <c r="BK262" s="3" t="s">
        <v>151</v>
      </c>
      <c r="BL262" s="3">
        <v>0.3</v>
      </c>
      <c r="BM262" s="7">
        <v>789.16986099999997</v>
      </c>
      <c r="BN262" s="3">
        <v>1E-3</v>
      </c>
      <c r="BO262" s="3">
        <f t="shared" si="31"/>
        <v>0.3</v>
      </c>
    </row>
    <row r="263" spans="1:67" x14ac:dyDescent="0.3">
      <c r="A263" s="3" t="s">
        <v>152</v>
      </c>
      <c r="B263" s="3">
        <v>0.9</v>
      </c>
      <c r="C263" s="3">
        <v>0.5</v>
      </c>
      <c r="D263" s="3">
        <v>0.6</v>
      </c>
      <c r="E263" s="3">
        <v>0.3</v>
      </c>
      <c r="F263" s="7">
        <v>602.84094200000004</v>
      </c>
      <c r="G263" s="3">
        <v>2E-3</v>
      </c>
      <c r="I263" s="3" t="s">
        <v>152</v>
      </c>
      <c r="J263" s="3">
        <v>0.3</v>
      </c>
      <c r="K263" s="6">
        <v>593.15173300000004</v>
      </c>
      <c r="L263" s="3">
        <v>0</v>
      </c>
      <c r="M263" s="10">
        <f t="shared" si="28"/>
        <v>0.3</v>
      </c>
      <c r="N263" s="5"/>
      <c r="O263" s="5"/>
      <c r="P263" s="5"/>
      <c r="Q263" s="5"/>
      <c r="R263" s="1"/>
      <c r="S263" s="3" t="s">
        <v>152</v>
      </c>
      <c r="T263" s="3">
        <v>0.9</v>
      </c>
      <c r="U263" s="3">
        <v>0.5</v>
      </c>
      <c r="V263" s="3">
        <v>0.6</v>
      </c>
      <c r="W263" s="3">
        <v>0.32</v>
      </c>
      <c r="X263" s="6">
        <v>576.31835899999999</v>
      </c>
      <c r="Y263" s="3">
        <v>1E-3</v>
      </c>
      <c r="AA263" s="3" t="s">
        <v>152</v>
      </c>
      <c r="AB263" s="3">
        <v>0.3</v>
      </c>
      <c r="AC263" s="7">
        <v>583.59466599999996</v>
      </c>
      <c r="AD263" s="3">
        <v>1E-3</v>
      </c>
      <c r="AE263" s="3">
        <f t="shared" si="29"/>
        <v>0.31</v>
      </c>
      <c r="AF263" s="5"/>
      <c r="AG263" s="5"/>
      <c r="AH263" s="5"/>
      <c r="AI263" s="5"/>
      <c r="AJ263" s="1"/>
      <c r="AK263" s="3" t="s">
        <v>153</v>
      </c>
      <c r="AL263" s="3">
        <v>0.9</v>
      </c>
      <c r="AM263" s="3">
        <v>0.5</v>
      </c>
      <c r="AN263" s="3">
        <v>0.6</v>
      </c>
      <c r="AO263" s="3">
        <v>0.33</v>
      </c>
      <c r="AP263" s="6">
        <v>888.65679899999998</v>
      </c>
      <c r="AQ263" s="3">
        <v>6.0000000000000001E-3</v>
      </c>
      <c r="AS263" s="3" t="s">
        <v>153</v>
      </c>
      <c r="AT263" s="3">
        <v>0.32</v>
      </c>
      <c r="AU263" s="7">
        <v>896.19500700000003</v>
      </c>
      <c r="AV263" s="3">
        <v>1E-3</v>
      </c>
      <c r="AW263" s="3">
        <f t="shared" si="30"/>
        <v>0.32500000000000001</v>
      </c>
      <c r="AX263" s="5"/>
      <c r="AY263" s="5"/>
      <c r="AZ263" s="5"/>
      <c r="BA263" s="5"/>
      <c r="BB263" s="1"/>
      <c r="BC263" s="3" t="s">
        <v>153</v>
      </c>
      <c r="BD263" s="3">
        <v>0.9</v>
      </c>
      <c r="BE263" s="3">
        <v>0.5</v>
      </c>
      <c r="BF263" s="3">
        <v>0.6</v>
      </c>
      <c r="BG263" s="3">
        <v>0.31</v>
      </c>
      <c r="BH263" s="7">
        <v>866.60827600000005</v>
      </c>
      <c r="BI263" s="3">
        <v>5.0000000000000001E-3</v>
      </c>
      <c r="BK263" s="3" t="s">
        <v>153</v>
      </c>
      <c r="BL263" s="3">
        <v>0.45</v>
      </c>
      <c r="BM263" s="6">
        <v>847.65954599999998</v>
      </c>
      <c r="BN263" s="3">
        <v>1E-3</v>
      </c>
      <c r="BO263" s="3">
        <f t="shared" si="31"/>
        <v>0.38</v>
      </c>
    </row>
    <row r="264" spans="1:67" x14ac:dyDescent="0.3">
      <c r="A264" s="3" t="s">
        <v>154</v>
      </c>
      <c r="B264" s="3">
        <v>0.9</v>
      </c>
      <c r="C264" s="3">
        <v>0.5</v>
      </c>
      <c r="D264" s="3">
        <v>0.6</v>
      </c>
      <c r="E264" s="3">
        <v>0.3</v>
      </c>
      <c r="F264" s="6">
        <v>602.21569799999997</v>
      </c>
      <c r="G264" s="3">
        <v>2E-3</v>
      </c>
      <c r="I264" s="3" t="s">
        <v>154</v>
      </c>
      <c r="J264" s="3">
        <v>0.37</v>
      </c>
      <c r="K264" s="7">
        <v>625.16625999999997</v>
      </c>
      <c r="L264" s="3">
        <v>0</v>
      </c>
      <c r="M264" s="10">
        <f t="shared" si="28"/>
        <v>0.33499999999999996</v>
      </c>
      <c r="N264" s="5"/>
      <c r="O264" s="5"/>
      <c r="P264" s="5"/>
      <c r="Q264" s="5"/>
      <c r="R264" s="1"/>
      <c r="S264" s="3" t="s">
        <v>154</v>
      </c>
      <c r="T264" s="3">
        <v>0.9</v>
      </c>
      <c r="U264" s="3">
        <v>0.5</v>
      </c>
      <c r="V264" s="3">
        <v>0.6</v>
      </c>
      <c r="W264" s="3">
        <v>0.32</v>
      </c>
      <c r="X264" s="7">
        <v>605.22522000000004</v>
      </c>
      <c r="Y264" s="3">
        <v>1E-3</v>
      </c>
      <c r="AA264" s="3" t="s">
        <v>154</v>
      </c>
      <c r="AB264" s="3">
        <v>0.34</v>
      </c>
      <c r="AC264" s="6">
        <v>601.40618900000004</v>
      </c>
      <c r="AD264" s="3">
        <v>0</v>
      </c>
      <c r="AE264" s="3">
        <f t="shared" si="29"/>
        <v>0.33</v>
      </c>
      <c r="AF264" s="5"/>
      <c r="AG264" s="5"/>
      <c r="AH264" s="5"/>
      <c r="AI264" s="5"/>
      <c r="AJ264" s="1"/>
      <c r="AK264" s="3" t="s">
        <v>155</v>
      </c>
      <c r="AL264" s="3">
        <v>0.9</v>
      </c>
      <c r="AM264" s="3">
        <v>0.5</v>
      </c>
      <c r="AN264" s="3">
        <v>0.6</v>
      </c>
      <c r="AO264" s="3">
        <v>0.3</v>
      </c>
      <c r="AP264" s="6">
        <v>1122.2124020000001</v>
      </c>
      <c r="AQ264" s="3">
        <v>7.0000000000000001E-3</v>
      </c>
      <c r="AS264" s="3" t="s">
        <v>155</v>
      </c>
      <c r="AT264" s="3">
        <v>0.3</v>
      </c>
      <c r="AU264" s="7">
        <v>1130.900269</v>
      </c>
      <c r="AV264" s="3">
        <v>0</v>
      </c>
      <c r="AW264" s="3">
        <f t="shared" si="30"/>
        <v>0.3</v>
      </c>
      <c r="AX264" s="5"/>
      <c r="AY264" s="5"/>
      <c r="AZ264" s="5"/>
      <c r="BA264" s="5"/>
      <c r="BB264" s="1"/>
      <c r="BC264" s="3" t="s">
        <v>155</v>
      </c>
      <c r="BD264" s="3">
        <v>0.9</v>
      </c>
      <c r="BE264" s="3">
        <v>0.5</v>
      </c>
      <c r="BF264" s="3">
        <v>0.6</v>
      </c>
      <c r="BG264" s="3">
        <v>0.3</v>
      </c>
      <c r="BH264" s="7">
        <v>1121.2689210000001</v>
      </c>
      <c r="BI264" s="3">
        <v>8.0000000000000002E-3</v>
      </c>
      <c r="BK264" s="3" t="s">
        <v>155</v>
      </c>
      <c r="BL264" s="3">
        <v>0.3</v>
      </c>
      <c r="BM264" s="6">
        <v>1076.408203</v>
      </c>
      <c r="BN264" s="3">
        <v>1E-3</v>
      </c>
      <c r="BO264" s="3">
        <f t="shared" si="31"/>
        <v>0.3</v>
      </c>
    </row>
    <row r="265" spans="1:67" x14ac:dyDescent="0.3">
      <c r="A265" s="3" t="s">
        <v>156</v>
      </c>
      <c r="B265" s="3">
        <v>0.9</v>
      </c>
      <c r="C265" s="3">
        <v>0.5</v>
      </c>
      <c r="D265" s="3">
        <v>0.6</v>
      </c>
      <c r="E265" s="3">
        <v>0.32</v>
      </c>
      <c r="F265" s="7">
        <v>672.41357400000004</v>
      </c>
      <c r="G265" s="3">
        <v>3.0000000000000001E-3</v>
      </c>
      <c r="I265" s="3" t="s">
        <v>156</v>
      </c>
      <c r="J265" s="3">
        <v>0.33</v>
      </c>
      <c r="K265" s="6">
        <v>669.783142</v>
      </c>
      <c r="L265" s="3">
        <v>0</v>
      </c>
      <c r="M265" s="10">
        <f t="shared" si="28"/>
        <v>0.32500000000000001</v>
      </c>
      <c r="N265" s="5"/>
      <c r="O265" s="5"/>
      <c r="P265" s="5"/>
      <c r="Q265" s="5"/>
      <c r="R265" s="1"/>
      <c r="S265" s="3" t="s">
        <v>156</v>
      </c>
      <c r="T265" s="3">
        <v>0.9</v>
      </c>
      <c r="U265" s="3">
        <v>0.5</v>
      </c>
      <c r="V265" s="3">
        <v>0.6</v>
      </c>
      <c r="W265" s="3">
        <v>0.32</v>
      </c>
      <c r="X265" s="6">
        <v>654.82995600000004</v>
      </c>
      <c r="Y265" s="3">
        <v>2E-3</v>
      </c>
      <c r="AA265" s="3" t="s">
        <v>156</v>
      </c>
      <c r="AB265" s="3">
        <v>0.31</v>
      </c>
      <c r="AC265" s="7">
        <v>655.11767599999996</v>
      </c>
      <c r="AD265" s="3">
        <v>0</v>
      </c>
      <c r="AE265" s="3">
        <f t="shared" si="29"/>
        <v>0.315</v>
      </c>
      <c r="AF265" s="5"/>
      <c r="AG265" s="5"/>
      <c r="AH265" s="5"/>
      <c r="AI265" s="5"/>
      <c r="AJ265" s="1"/>
      <c r="AK265" s="3" t="s">
        <v>157</v>
      </c>
      <c r="AL265" s="3">
        <v>0.9</v>
      </c>
      <c r="AM265" s="3">
        <v>0.5</v>
      </c>
      <c r="AN265" s="3">
        <v>0.6</v>
      </c>
      <c r="AO265" s="3">
        <v>0.3</v>
      </c>
      <c r="AP265" s="6">
        <v>1045.6069339999999</v>
      </c>
      <c r="AQ265" s="3">
        <v>8.0000000000000002E-3</v>
      </c>
      <c r="AS265" s="3" t="s">
        <v>157</v>
      </c>
      <c r="AT265" s="3">
        <v>0.33</v>
      </c>
      <c r="AU265" s="7">
        <v>1046.0772710000001</v>
      </c>
      <c r="AV265" s="3">
        <v>2E-3</v>
      </c>
      <c r="AW265" s="3">
        <f t="shared" si="30"/>
        <v>0.315</v>
      </c>
      <c r="AX265" s="5"/>
      <c r="AY265" s="5"/>
      <c r="AZ265" s="5"/>
      <c r="BA265" s="5"/>
      <c r="BB265" s="1"/>
      <c r="BC265" s="3" t="s">
        <v>157</v>
      </c>
      <c r="BD265" s="3">
        <v>0.9</v>
      </c>
      <c r="BE265" s="3">
        <v>0.5</v>
      </c>
      <c r="BF265" s="3">
        <v>0.6</v>
      </c>
      <c r="BG265" s="3">
        <v>0.3</v>
      </c>
      <c r="BH265" s="7">
        <v>1052.6015620000001</v>
      </c>
      <c r="BI265" s="3">
        <v>7.0000000000000001E-3</v>
      </c>
      <c r="BK265" s="3" t="s">
        <v>157</v>
      </c>
      <c r="BL265" s="3">
        <v>0.31</v>
      </c>
      <c r="BM265" s="6">
        <v>1018.019043</v>
      </c>
      <c r="BN265" s="3">
        <v>0</v>
      </c>
      <c r="BO265" s="3">
        <f t="shared" si="31"/>
        <v>0.30499999999999999</v>
      </c>
    </row>
    <row r="266" spans="1:67" x14ac:dyDescent="0.3">
      <c r="A266" s="3" t="s">
        <v>158</v>
      </c>
      <c r="B266" s="3">
        <v>0.9</v>
      </c>
      <c r="C266" s="3">
        <v>0.5</v>
      </c>
      <c r="D266" s="3">
        <v>0.6</v>
      </c>
      <c r="E266" s="3">
        <v>0.3</v>
      </c>
      <c r="F266" s="6">
        <v>671.72406000000001</v>
      </c>
      <c r="G266" s="3">
        <v>2E-3</v>
      </c>
      <c r="I266" s="3" t="s">
        <v>158</v>
      </c>
      <c r="J266" s="3">
        <v>0.31</v>
      </c>
      <c r="K266" s="7">
        <v>672.79504399999996</v>
      </c>
      <c r="L266" s="3">
        <v>1E-3</v>
      </c>
      <c r="M266" s="10">
        <f t="shared" si="28"/>
        <v>0.30499999999999999</v>
      </c>
      <c r="N266" s="5"/>
      <c r="O266" s="5"/>
      <c r="P266" s="5"/>
      <c r="Q266" s="5"/>
      <c r="R266" s="1"/>
      <c r="S266" s="3" t="s">
        <v>158</v>
      </c>
      <c r="T266" s="3">
        <v>0.9</v>
      </c>
      <c r="U266" s="3">
        <v>0.5</v>
      </c>
      <c r="V266" s="3">
        <v>0.6</v>
      </c>
      <c r="W266" s="3">
        <v>0.31</v>
      </c>
      <c r="X266" s="7">
        <v>675.25952099999995</v>
      </c>
      <c r="Y266" s="3">
        <v>2E-3</v>
      </c>
      <c r="AA266" s="3" t="s">
        <v>158</v>
      </c>
      <c r="AB266" s="3">
        <v>0.35</v>
      </c>
      <c r="AC266" s="6">
        <v>668.96148700000003</v>
      </c>
      <c r="AD266" s="3">
        <v>1E-3</v>
      </c>
      <c r="AE266" s="3">
        <f t="shared" si="29"/>
        <v>0.32999999999999996</v>
      </c>
      <c r="AF266" s="5"/>
      <c r="AG266" s="5"/>
      <c r="AH266" s="5"/>
      <c r="AI266" s="5"/>
      <c r="AJ266" s="1"/>
      <c r="AK266" s="3" t="s">
        <v>159</v>
      </c>
      <c r="AL266" s="3">
        <v>0.9</v>
      </c>
      <c r="AM266" s="3">
        <v>0.5</v>
      </c>
      <c r="AN266" s="3">
        <v>0.6</v>
      </c>
      <c r="AO266" s="3">
        <v>0.3</v>
      </c>
      <c r="AP266" s="7">
        <v>986.98071300000004</v>
      </c>
      <c r="AQ266" s="3">
        <v>7.0000000000000001E-3</v>
      </c>
      <c r="AS266" s="3" t="s">
        <v>159</v>
      </c>
      <c r="AT266" s="3">
        <v>0.3</v>
      </c>
      <c r="AU266" s="6">
        <v>968.64001499999995</v>
      </c>
      <c r="AV266" s="3">
        <v>1E-3</v>
      </c>
      <c r="AW266" s="3">
        <f t="shared" si="30"/>
        <v>0.3</v>
      </c>
      <c r="AX266" s="5"/>
      <c r="AY266" s="5"/>
      <c r="AZ266" s="5"/>
      <c r="BA266" s="5"/>
      <c r="BB266" s="1"/>
      <c r="BC266" s="3" t="s">
        <v>159</v>
      </c>
      <c r="BD266" s="3">
        <v>0.9</v>
      </c>
      <c r="BE266" s="3">
        <v>0.5</v>
      </c>
      <c r="BF266" s="3">
        <v>0.6</v>
      </c>
      <c r="BG266" s="3">
        <v>0.3</v>
      </c>
      <c r="BH266" s="7">
        <v>977.33203100000003</v>
      </c>
      <c r="BI266" s="3">
        <v>7.0000000000000001E-3</v>
      </c>
      <c r="BK266" s="3" t="s">
        <v>159</v>
      </c>
      <c r="BL266" s="3">
        <v>0.3</v>
      </c>
      <c r="BM266" s="6">
        <v>957.92852800000003</v>
      </c>
      <c r="BN266" s="3">
        <v>0</v>
      </c>
      <c r="BO266" s="3">
        <f t="shared" si="31"/>
        <v>0.3</v>
      </c>
    </row>
    <row r="267" spans="1:67" x14ac:dyDescent="0.3">
      <c r="A267" s="3" t="s">
        <v>160</v>
      </c>
      <c r="B267" s="3">
        <v>0.9</v>
      </c>
      <c r="C267" s="3">
        <v>0.5</v>
      </c>
      <c r="D267" s="3">
        <v>0.6</v>
      </c>
      <c r="E267" s="3">
        <v>0.33</v>
      </c>
      <c r="F267" s="7">
        <v>611.96716300000003</v>
      </c>
      <c r="G267" s="3">
        <v>2E-3</v>
      </c>
      <c r="I267" s="3" t="s">
        <v>160</v>
      </c>
      <c r="J267" s="3">
        <v>0.32</v>
      </c>
      <c r="K267" s="6">
        <v>602.84320100000002</v>
      </c>
      <c r="L267" s="3">
        <v>0</v>
      </c>
      <c r="M267" s="10">
        <f t="shared" si="28"/>
        <v>0.32500000000000001</v>
      </c>
      <c r="N267" s="5"/>
      <c r="O267" s="5"/>
      <c r="P267" s="5"/>
      <c r="Q267" s="5"/>
      <c r="R267" s="1"/>
      <c r="S267" s="3" t="s">
        <v>160</v>
      </c>
      <c r="T267" s="3">
        <v>0.9</v>
      </c>
      <c r="U267" s="3">
        <v>0.5</v>
      </c>
      <c r="V267" s="3">
        <v>0.6</v>
      </c>
      <c r="W267" s="3">
        <v>0.39</v>
      </c>
      <c r="X267" s="7">
        <v>579.11798099999999</v>
      </c>
      <c r="Y267" s="3">
        <v>2E-3</v>
      </c>
      <c r="AA267" s="3" t="s">
        <v>160</v>
      </c>
      <c r="AB267" s="3">
        <v>0.33</v>
      </c>
      <c r="AC267" s="6">
        <v>570.930969</v>
      </c>
      <c r="AD267" s="3">
        <v>0</v>
      </c>
      <c r="AE267" s="3">
        <f t="shared" si="29"/>
        <v>0.36</v>
      </c>
      <c r="AF267" s="5"/>
      <c r="AG267" s="5"/>
      <c r="AH267" s="5"/>
      <c r="AI267" s="5"/>
      <c r="AJ267" s="1"/>
      <c r="AK267" s="3" t="s">
        <v>161</v>
      </c>
      <c r="AL267" s="3">
        <v>0.9</v>
      </c>
      <c r="AM267" s="3">
        <v>0.5</v>
      </c>
      <c r="AN267" s="3">
        <v>0.6</v>
      </c>
      <c r="AO267" s="3">
        <v>0.36</v>
      </c>
      <c r="AP267" s="7">
        <v>1072.5966800000001</v>
      </c>
      <c r="AQ267" s="3">
        <v>7.0000000000000001E-3</v>
      </c>
      <c r="AS267" s="3" t="s">
        <v>161</v>
      </c>
      <c r="AT267" s="3">
        <v>0.35</v>
      </c>
      <c r="AU267" s="6">
        <v>1067.1226810000001</v>
      </c>
      <c r="AV267" s="3">
        <v>1E-3</v>
      </c>
      <c r="AW267" s="3">
        <f t="shared" si="30"/>
        <v>0.35499999999999998</v>
      </c>
      <c r="AX267" s="5"/>
      <c r="AY267" s="5"/>
      <c r="AZ267" s="5"/>
      <c r="BA267" s="5"/>
      <c r="BB267" s="1"/>
      <c r="BC267" s="3" t="s">
        <v>161</v>
      </c>
      <c r="BD267" s="3">
        <v>0.9</v>
      </c>
      <c r="BE267" s="3">
        <v>0.5</v>
      </c>
      <c r="BF267" s="3">
        <v>0.6</v>
      </c>
      <c r="BG267" s="3">
        <v>0.3</v>
      </c>
      <c r="BH267" s="7">
        <v>1058.561768</v>
      </c>
      <c r="BI267" s="3">
        <v>6.0000000000000001E-3</v>
      </c>
      <c r="BK267" s="3" t="s">
        <v>161</v>
      </c>
      <c r="BL267" s="3">
        <v>0.3</v>
      </c>
      <c r="BM267" s="6">
        <v>1057.2626949999999</v>
      </c>
      <c r="BN267" s="3">
        <v>1E-3</v>
      </c>
      <c r="BO267" s="3">
        <f t="shared" si="31"/>
        <v>0.3</v>
      </c>
    </row>
    <row r="268" spans="1:67" x14ac:dyDescent="0.3">
      <c r="A268" s="3" t="s">
        <v>162</v>
      </c>
      <c r="B268" s="3">
        <v>0.9</v>
      </c>
      <c r="C268" s="3">
        <v>0.5</v>
      </c>
      <c r="D268" s="3">
        <v>0.6</v>
      </c>
      <c r="E268" s="3">
        <v>0.32</v>
      </c>
      <c r="F268" s="6">
        <v>616.42974900000002</v>
      </c>
      <c r="G268" s="3">
        <v>2E-3</v>
      </c>
      <c r="I268" s="3" t="s">
        <v>162</v>
      </c>
      <c r="J268" s="3">
        <v>0.31</v>
      </c>
      <c r="K268" s="7">
        <v>628.87548800000002</v>
      </c>
      <c r="L268" s="3">
        <v>0</v>
      </c>
      <c r="M268" s="10">
        <f t="shared" si="28"/>
        <v>0.315</v>
      </c>
      <c r="N268" s="5"/>
      <c r="O268" s="5"/>
      <c r="P268" s="5"/>
      <c r="Q268" s="5"/>
      <c r="R268" s="1"/>
      <c r="S268" s="3" t="s">
        <v>162</v>
      </c>
      <c r="T268" s="3">
        <v>0.9</v>
      </c>
      <c r="U268" s="3">
        <v>0.5</v>
      </c>
      <c r="V268" s="3">
        <v>0.6</v>
      </c>
      <c r="W268" s="3">
        <v>0.31</v>
      </c>
      <c r="X268" s="7">
        <v>617.08209199999999</v>
      </c>
      <c r="Y268" s="3">
        <v>1E-3</v>
      </c>
      <c r="AA268" s="3" t="s">
        <v>162</v>
      </c>
      <c r="AB268" s="3">
        <v>0.32</v>
      </c>
      <c r="AC268" s="6">
        <v>615.23272699999995</v>
      </c>
      <c r="AD268" s="3">
        <v>0</v>
      </c>
      <c r="AE268" s="3">
        <f t="shared" si="29"/>
        <v>0.315</v>
      </c>
      <c r="AF268" s="5"/>
      <c r="AG268" s="5"/>
      <c r="AH268" s="5"/>
      <c r="AI268" s="5"/>
      <c r="AJ268" s="1"/>
      <c r="AK268" s="3" t="s">
        <v>163</v>
      </c>
      <c r="AL268" s="3">
        <v>0.9</v>
      </c>
      <c r="AM268" s="3">
        <v>0.5</v>
      </c>
      <c r="AN268" s="3">
        <v>0.6</v>
      </c>
      <c r="AO268" s="3">
        <v>0.33</v>
      </c>
      <c r="AP268" s="7">
        <v>1046.091187</v>
      </c>
      <c r="AQ268" s="3">
        <v>6.0000000000000001E-3</v>
      </c>
      <c r="AS268" s="3" t="s">
        <v>163</v>
      </c>
      <c r="AT268" s="3">
        <v>0.31</v>
      </c>
      <c r="AU268" s="6">
        <v>1023.306519</v>
      </c>
      <c r="AV268" s="3">
        <v>1E-3</v>
      </c>
      <c r="AW268" s="3">
        <f t="shared" si="30"/>
        <v>0.32</v>
      </c>
      <c r="AX268" s="5"/>
      <c r="AY268" s="5"/>
      <c r="AZ268" s="5"/>
      <c r="BA268" s="5"/>
      <c r="BB268" s="1"/>
      <c r="BC268" s="3" t="s">
        <v>163</v>
      </c>
      <c r="BD268" s="3">
        <v>0.9</v>
      </c>
      <c r="BE268" s="3">
        <v>0.5</v>
      </c>
      <c r="BF268" s="3">
        <v>0.6</v>
      </c>
      <c r="BG268" s="3">
        <v>0.32</v>
      </c>
      <c r="BH268" s="7">
        <v>1038.4782709999999</v>
      </c>
      <c r="BI268" s="3">
        <v>8.0000000000000002E-3</v>
      </c>
      <c r="BK268" s="3" t="s">
        <v>163</v>
      </c>
      <c r="BL268" s="3">
        <v>0.33</v>
      </c>
      <c r="BM268" s="6">
        <v>1026.565308</v>
      </c>
      <c r="BN268" s="3">
        <v>1E-3</v>
      </c>
      <c r="BO268" s="3">
        <f t="shared" si="31"/>
        <v>0.32500000000000001</v>
      </c>
    </row>
    <row r="269" spans="1:67" x14ac:dyDescent="0.3">
      <c r="A269" s="3" t="s">
        <v>164</v>
      </c>
      <c r="B269" s="3">
        <v>0.9</v>
      </c>
      <c r="C269" s="3">
        <v>0.5</v>
      </c>
      <c r="D269" s="3">
        <v>0.6</v>
      </c>
      <c r="E269" s="3">
        <v>0.31</v>
      </c>
      <c r="F269" s="6">
        <v>550.12896699999999</v>
      </c>
      <c r="G269" s="3">
        <v>1E-3</v>
      </c>
      <c r="I269" s="3" t="s">
        <v>164</v>
      </c>
      <c r="J269" s="3">
        <v>0.32</v>
      </c>
      <c r="K269" s="7">
        <v>562.71887200000003</v>
      </c>
      <c r="L269" s="3">
        <v>1E-3</v>
      </c>
      <c r="M269" s="10">
        <f t="shared" si="28"/>
        <v>0.315</v>
      </c>
      <c r="N269" s="5"/>
      <c r="O269" s="5"/>
      <c r="P269" s="5"/>
      <c r="Q269" s="5"/>
      <c r="R269" s="1"/>
      <c r="S269" s="3" t="s">
        <v>164</v>
      </c>
      <c r="T269" s="3">
        <v>0.9</v>
      </c>
      <c r="U269" s="3">
        <v>0.5</v>
      </c>
      <c r="V269" s="3">
        <v>0.6</v>
      </c>
      <c r="W269" s="3">
        <v>0.33</v>
      </c>
      <c r="X269" s="6">
        <v>510.87124599999999</v>
      </c>
      <c r="Y269" s="3">
        <v>1E-3</v>
      </c>
      <c r="AA269" s="3" t="s">
        <v>164</v>
      </c>
      <c r="AB269" s="3">
        <v>0.36</v>
      </c>
      <c r="AC269" s="7">
        <v>513.74597200000005</v>
      </c>
      <c r="AD269" s="3">
        <v>0</v>
      </c>
      <c r="AE269" s="3">
        <f t="shared" si="29"/>
        <v>0.34499999999999997</v>
      </c>
      <c r="AF269" s="5"/>
      <c r="AG269" s="5"/>
      <c r="AH269" s="5"/>
      <c r="AI269" s="5"/>
      <c r="AJ269" s="1"/>
      <c r="AK269" s="3" t="s">
        <v>165</v>
      </c>
      <c r="AL269" s="3">
        <v>0.9</v>
      </c>
      <c r="AM269" s="3">
        <v>0.5</v>
      </c>
      <c r="AN269" s="3">
        <v>0.6</v>
      </c>
      <c r="AO269" s="3">
        <v>0.34</v>
      </c>
      <c r="AP269" s="7">
        <v>951.49835199999995</v>
      </c>
      <c r="AQ269" s="3">
        <v>6.0000000000000001E-3</v>
      </c>
      <c r="AS269" s="3" t="s">
        <v>165</v>
      </c>
      <c r="AT269" s="3">
        <v>0.3</v>
      </c>
      <c r="AU269" s="6">
        <v>984.46185300000002</v>
      </c>
      <c r="AV269" s="3">
        <v>0</v>
      </c>
      <c r="AW269" s="3">
        <f t="shared" si="30"/>
        <v>0.32</v>
      </c>
      <c r="AX269" s="5"/>
      <c r="AY269" s="5"/>
      <c r="AZ269" s="5"/>
      <c r="BA269" s="5"/>
      <c r="BB269" s="1"/>
      <c r="BC269" s="3" t="s">
        <v>165</v>
      </c>
      <c r="BD269" s="3">
        <v>0.9</v>
      </c>
      <c r="BE269" s="3">
        <v>0.5</v>
      </c>
      <c r="BF269" s="3">
        <v>0.6</v>
      </c>
      <c r="BG269" s="3">
        <v>0.31</v>
      </c>
      <c r="BH269" s="6">
        <v>948.41186500000003</v>
      </c>
      <c r="BI269" s="3">
        <v>6.0000000000000001E-3</v>
      </c>
      <c r="BK269" s="3" t="s">
        <v>165</v>
      </c>
      <c r="BL269" s="3">
        <v>0.3</v>
      </c>
      <c r="BM269" s="7">
        <v>957.57336399999997</v>
      </c>
      <c r="BN269" s="3">
        <v>0</v>
      </c>
      <c r="BO269" s="3">
        <f t="shared" si="31"/>
        <v>0.30499999999999999</v>
      </c>
    </row>
    <row r="270" spans="1:67" x14ac:dyDescent="0.3">
      <c r="A270" s="3" t="s">
        <v>166</v>
      </c>
      <c r="B270" s="3">
        <v>0.9</v>
      </c>
      <c r="C270" s="3">
        <v>0.5</v>
      </c>
      <c r="D270" s="3">
        <v>0.6</v>
      </c>
      <c r="E270" s="3">
        <v>0.33</v>
      </c>
      <c r="F270" s="7">
        <v>764.76440400000001</v>
      </c>
      <c r="G270" s="3">
        <v>4.0000000000000001E-3</v>
      </c>
      <c r="I270" s="3" t="s">
        <v>166</v>
      </c>
      <c r="J270" s="3">
        <v>0.37</v>
      </c>
      <c r="K270" s="6">
        <v>753.71520999999996</v>
      </c>
      <c r="L270" s="3">
        <v>1E-3</v>
      </c>
      <c r="M270" s="10">
        <f t="shared" si="28"/>
        <v>0.35</v>
      </c>
      <c r="N270" s="5"/>
      <c r="O270" s="5"/>
      <c r="P270" s="5"/>
      <c r="Q270" s="5"/>
      <c r="R270" s="1"/>
      <c r="S270" s="3" t="s">
        <v>166</v>
      </c>
      <c r="T270" s="3">
        <v>0.9</v>
      </c>
      <c r="U270" s="3">
        <v>0.5</v>
      </c>
      <c r="V270" s="3">
        <v>0.6</v>
      </c>
      <c r="W270" s="3">
        <v>0.3</v>
      </c>
      <c r="X270" s="7">
        <v>740.55981399999996</v>
      </c>
      <c r="Y270" s="3">
        <v>2E-3</v>
      </c>
      <c r="AA270" s="3" t="s">
        <v>166</v>
      </c>
      <c r="AB270" s="3">
        <v>0.3</v>
      </c>
      <c r="AC270" s="6">
        <v>732.64819299999999</v>
      </c>
      <c r="AD270" s="3">
        <v>0</v>
      </c>
      <c r="AE270" s="3">
        <f t="shared" si="29"/>
        <v>0.3</v>
      </c>
      <c r="AF270" s="5"/>
      <c r="AG270" s="5"/>
      <c r="AH270" s="5"/>
      <c r="AI270" s="5"/>
      <c r="AJ270" s="1"/>
      <c r="AK270" s="3" t="s">
        <v>167</v>
      </c>
      <c r="AL270" s="3">
        <v>0.9</v>
      </c>
      <c r="AM270" s="3">
        <v>0.5</v>
      </c>
      <c r="AN270" s="3">
        <v>0.6</v>
      </c>
      <c r="AO270" s="3">
        <v>0.3</v>
      </c>
      <c r="AP270" s="6">
        <v>983.75769000000003</v>
      </c>
      <c r="AQ270" s="3">
        <v>8.0000000000000002E-3</v>
      </c>
      <c r="AS270" s="3" t="s">
        <v>167</v>
      </c>
      <c r="AT270" s="3">
        <v>0.32</v>
      </c>
      <c r="AU270" s="7">
        <v>1013.171509</v>
      </c>
      <c r="AV270" s="3">
        <v>1E-3</v>
      </c>
      <c r="AW270" s="3">
        <f t="shared" si="30"/>
        <v>0.31</v>
      </c>
      <c r="AX270" s="5"/>
      <c r="AY270" s="5"/>
      <c r="AZ270" s="5"/>
      <c r="BA270" s="5"/>
      <c r="BB270" s="1"/>
      <c r="BC270" s="3" t="s">
        <v>167</v>
      </c>
      <c r="BD270" s="3">
        <v>0.9</v>
      </c>
      <c r="BE270" s="3">
        <v>0.5</v>
      </c>
      <c r="BF270" s="3">
        <v>0.6</v>
      </c>
      <c r="BG270" s="3">
        <v>0.32</v>
      </c>
      <c r="BH270" s="7">
        <v>988.16980000000001</v>
      </c>
      <c r="BI270" s="3">
        <v>8.9999999999999993E-3</v>
      </c>
      <c r="BK270" s="3" t="s">
        <v>167</v>
      </c>
      <c r="BL270" s="3">
        <v>0.3</v>
      </c>
      <c r="BM270" s="6">
        <v>987.89099099999999</v>
      </c>
      <c r="BN270" s="3">
        <v>1E-3</v>
      </c>
      <c r="BO270" s="3">
        <f t="shared" si="31"/>
        <v>0.31</v>
      </c>
    </row>
    <row r="271" spans="1:67" x14ac:dyDescent="0.3">
      <c r="A271" s="3" t="s">
        <v>168</v>
      </c>
      <c r="B271" s="3">
        <v>0.9</v>
      </c>
      <c r="C271" s="3">
        <v>0.5</v>
      </c>
      <c r="D271" s="3">
        <v>0.6</v>
      </c>
      <c r="E271" s="3">
        <v>0.36</v>
      </c>
      <c r="F271" s="7">
        <v>677.91015600000003</v>
      </c>
      <c r="G271" s="3">
        <v>2E-3</v>
      </c>
      <c r="I271" s="3" t="s">
        <v>168</v>
      </c>
      <c r="J271" s="3">
        <v>0.35</v>
      </c>
      <c r="K271" s="6">
        <v>673.34533699999997</v>
      </c>
      <c r="L271" s="3">
        <v>0</v>
      </c>
      <c r="M271" s="10">
        <f t="shared" si="28"/>
        <v>0.35499999999999998</v>
      </c>
      <c r="N271" s="5"/>
      <c r="O271" s="5"/>
      <c r="P271" s="5"/>
      <c r="Q271" s="5"/>
      <c r="R271" s="1"/>
      <c r="S271" s="3" t="s">
        <v>168</v>
      </c>
      <c r="T271" s="3">
        <v>0.9</v>
      </c>
      <c r="U271" s="3">
        <v>0.5</v>
      </c>
      <c r="V271" s="3">
        <v>0.6</v>
      </c>
      <c r="W271" s="3">
        <v>0.31</v>
      </c>
      <c r="X271" s="7">
        <v>668.33013900000003</v>
      </c>
      <c r="Y271" s="3">
        <v>2E-3</v>
      </c>
      <c r="AA271" s="3" t="s">
        <v>168</v>
      </c>
      <c r="AB271" s="3">
        <v>0.35</v>
      </c>
      <c r="AC271" s="6">
        <v>661.21209699999997</v>
      </c>
      <c r="AD271" s="3">
        <v>0</v>
      </c>
      <c r="AE271" s="3">
        <f t="shared" si="29"/>
        <v>0.32999999999999996</v>
      </c>
      <c r="AF271" s="5"/>
      <c r="AG271" s="5"/>
      <c r="AH271" s="5"/>
      <c r="AI271" s="5"/>
      <c r="AJ271" s="1"/>
      <c r="AK271" s="3" t="s">
        <v>169</v>
      </c>
      <c r="AL271" s="3">
        <v>0.9</v>
      </c>
      <c r="AM271" s="3">
        <v>0.5</v>
      </c>
      <c r="AN271" s="3">
        <v>0.6</v>
      </c>
      <c r="AO271" s="3">
        <v>0.32</v>
      </c>
      <c r="AP271" s="6">
        <v>1026.5892329999999</v>
      </c>
      <c r="AQ271" s="3">
        <v>6.0000000000000001E-3</v>
      </c>
      <c r="AS271" s="3" t="s">
        <v>169</v>
      </c>
      <c r="AT271" s="3">
        <v>0.3</v>
      </c>
      <c r="AU271" s="7">
        <v>1040.98938</v>
      </c>
      <c r="AV271" s="3">
        <v>0</v>
      </c>
      <c r="AW271" s="3">
        <f t="shared" si="30"/>
        <v>0.31</v>
      </c>
      <c r="AX271" s="5"/>
      <c r="AY271" s="5"/>
      <c r="AZ271" s="5"/>
      <c r="BA271" s="5"/>
      <c r="BB271" s="1"/>
      <c r="BC271" s="3" t="s">
        <v>169</v>
      </c>
      <c r="BD271" s="3">
        <v>0.9</v>
      </c>
      <c r="BE271" s="3">
        <v>0.5</v>
      </c>
      <c r="BF271" s="3">
        <v>0.6</v>
      </c>
      <c r="BG271" s="3">
        <v>0.31</v>
      </c>
      <c r="BH271" s="6">
        <v>1013.8891599999999</v>
      </c>
      <c r="BI271" s="3">
        <v>7.0000000000000001E-3</v>
      </c>
      <c r="BK271" s="3" t="s">
        <v>169</v>
      </c>
      <c r="BL271" s="3">
        <v>0.3</v>
      </c>
      <c r="BM271" s="7">
        <v>1027.599365</v>
      </c>
      <c r="BN271" s="3">
        <v>1E-3</v>
      </c>
      <c r="BO271" s="3">
        <f t="shared" si="31"/>
        <v>0.30499999999999999</v>
      </c>
    </row>
    <row r="272" spans="1:67" x14ac:dyDescent="0.3">
      <c r="A272" s="3" t="s">
        <v>170</v>
      </c>
      <c r="B272" s="3">
        <v>0.9</v>
      </c>
      <c r="C272" s="3">
        <v>0.5</v>
      </c>
      <c r="D272" s="3">
        <v>0.6</v>
      </c>
      <c r="E272" s="3">
        <v>0.32</v>
      </c>
      <c r="F272" s="7">
        <v>713.92810099999997</v>
      </c>
      <c r="G272" s="3">
        <v>2E-3</v>
      </c>
      <c r="I272" s="3" t="s">
        <v>170</v>
      </c>
      <c r="J272" s="3">
        <v>0.3</v>
      </c>
      <c r="K272" s="6">
        <v>710.11346400000002</v>
      </c>
      <c r="L272" s="3">
        <v>1E-3</v>
      </c>
      <c r="M272" s="10">
        <f t="shared" si="28"/>
        <v>0.31</v>
      </c>
      <c r="N272" s="5"/>
      <c r="O272" s="5"/>
      <c r="P272" s="5"/>
      <c r="Q272" s="5"/>
      <c r="R272" s="1"/>
      <c r="S272" s="3" t="s">
        <v>170</v>
      </c>
      <c r="T272" s="3">
        <v>0.9</v>
      </c>
      <c r="U272" s="3">
        <v>0.5</v>
      </c>
      <c r="V272" s="3">
        <v>0.6</v>
      </c>
      <c r="W272" s="3">
        <v>0.35</v>
      </c>
      <c r="X272" s="7">
        <v>684.78912400000002</v>
      </c>
      <c r="Y272" s="3">
        <v>2E-3</v>
      </c>
      <c r="AA272" s="3" t="s">
        <v>170</v>
      </c>
      <c r="AB272" s="3">
        <v>0.37</v>
      </c>
      <c r="AC272" s="6">
        <v>689.89001499999995</v>
      </c>
      <c r="AD272" s="3">
        <v>0</v>
      </c>
      <c r="AE272" s="3">
        <f t="shared" si="29"/>
        <v>0.36</v>
      </c>
      <c r="AF272" s="5"/>
      <c r="AG272" s="5"/>
      <c r="AH272" s="5"/>
      <c r="AI272" s="5"/>
      <c r="AJ272" s="1"/>
      <c r="AK272" s="3" t="s">
        <v>171</v>
      </c>
      <c r="AL272" s="3">
        <v>0.9</v>
      </c>
      <c r="AM272" s="3">
        <v>0.5</v>
      </c>
      <c r="AN272" s="3">
        <v>0.6</v>
      </c>
      <c r="AO272" s="3">
        <v>0.38</v>
      </c>
      <c r="AP272" s="7">
        <v>970.49823000000004</v>
      </c>
      <c r="AQ272" s="3">
        <v>7.0000000000000001E-3</v>
      </c>
      <c r="AS272" s="3" t="s">
        <v>171</v>
      </c>
      <c r="AT272" s="3">
        <v>0.3</v>
      </c>
      <c r="AU272" s="6">
        <v>935.42846699999996</v>
      </c>
      <c r="AV272" s="3">
        <v>0</v>
      </c>
      <c r="AW272" s="3">
        <f t="shared" si="30"/>
        <v>0.33999999999999997</v>
      </c>
      <c r="AX272" s="5"/>
      <c r="AY272" s="5"/>
      <c r="AZ272" s="5"/>
      <c r="BA272" s="5"/>
      <c r="BB272" s="1"/>
      <c r="BC272" s="3" t="s">
        <v>171</v>
      </c>
      <c r="BD272" s="3">
        <v>0.9</v>
      </c>
      <c r="BE272" s="3">
        <v>0.5</v>
      </c>
      <c r="BF272" s="3">
        <v>0.6</v>
      </c>
      <c r="BG272" s="3">
        <v>0.32</v>
      </c>
      <c r="BH272" s="6">
        <v>914.11419699999999</v>
      </c>
      <c r="BI272" s="3">
        <v>6.0000000000000001E-3</v>
      </c>
      <c r="BK272" s="3" t="s">
        <v>171</v>
      </c>
      <c r="BL272" s="3">
        <v>0.3</v>
      </c>
      <c r="BM272" s="7">
        <v>933.25958300000002</v>
      </c>
      <c r="BN272" s="3">
        <v>1E-3</v>
      </c>
      <c r="BO272" s="3">
        <f t="shared" si="31"/>
        <v>0.31</v>
      </c>
    </row>
    <row r="273" spans="1:67" x14ac:dyDescent="0.3">
      <c r="A273" s="3" t="s">
        <v>172</v>
      </c>
      <c r="B273" s="3">
        <v>0.9</v>
      </c>
      <c r="C273" s="3">
        <v>0.5</v>
      </c>
      <c r="D273" s="3">
        <v>0.6</v>
      </c>
      <c r="E273" s="3">
        <v>0.3</v>
      </c>
      <c r="F273" s="6">
        <v>667.89819299999999</v>
      </c>
      <c r="G273" s="3">
        <v>2E-3</v>
      </c>
      <c r="I273" s="3" t="s">
        <v>172</v>
      </c>
      <c r="J273" s="3">
        <v>0.31</v>
      </c>
      <c r="K273" s="7">
        <v>692.99664299999995</v>
      </c>
      <c r="L273" s="3">
        <v>0</v>
      </c>
      <c r="M273" s="10">
        <f t="shared" si="28"/>
        <v>0.30499999999999999</v>
      </c>
      <c r="N273" s="5"/>
      <c r="O273" s="5"/>
      <c r="P273" s="5"/>
      <c r="Q273" s="5"/>
      <c r="R273" s="1"/>
      <c r="S273" s="3" t="s">
        <v>172</v>
      </c>
      <c r="T273" s="3">
        <v>0.9</v>
      </c>
      <c r="U273" s="3">
        <v>0.5</v>
      </c>
      <c r="V273" s="3">
        <v>0.6</v>
      </c>
      <c r="W273" s="3">
        <v>0.3</v>
      </c>
      <c r="X273" s="6">
        <v>682.32629399999996</v>
      </c>
      <c r="Y273" s="3">
        <v>1E-3</v>
      </c>
      <c r="AA273" s="3" t="s">
        <v>172</v>
      </c>
      <c r="AB273" s="3">
        <v>0.32</v>
      </c>
      <c r="AC273" s="7">
        <v>687.08532700000001</v>
      </c>
      <c r="AD273" s="3">
        <v>0</v>
      </c>
      <c r="AE273" s="3">
        <f t="shared" si="29"/>
        <v>0.31</v>
      </c>
      <c r="AF273" s="5"/>
      <c r="AG273" s="5"/>
      <c r="AH273" s="5"/>
      <c r="AI273" s="5"/>
      <c r="AJ273" s="1"/>
      <c r="AK273" s="3" t="s">
        <v>173</v>
      </c>
      <c r="AL273" s="3">
        <v>0.9</v>
      </c>
      <c r="AM273" s="3">
        <v>0.5</v>
      </c>
      <c r="AN273" s="3">
        <v>0.6</v>
      </c>
      <c r="AO273" s="3">
        <v>0.3</v>
      </c>
      <c r="AP273" s="6">
        <v>1003.80011</v>
      </c>
      <c r="AQ273" s="3">
        <v>7.0000000000000001E-3</v>
      </c>
      <c r="AS273" s="3" t="s">
        <v>173</v>
      </c>
      <c r="AT273" s="3">
        <v>0.37</v>
      </c>
      <c r="AU273" s="7">
        <v>1040.6064449999999</v>
      </c>
      <c r="AV273" s="3">
        <v>1E-3</v>
      </c>
      <c r="AW273" s="3">
        <f t="shared" si="30"/>
        <v>0.33499999999999996</v>
      </c>
      <c r="AX273" s="5"/>
      <c r="AY273" s="5"/>
      <c r="AZ273" s="5"/>
      <c r="BA273" s="5"/>
      <c r="BB273" s="1"/>
      <c r="BC273" s="3" t="s">
        <v>173</v>
      </c>
      <c r="BD273" s="3">
        <v>0.9</v>
      </c>
      <c r="BE273" s="3">
        <v>0.5</v>
      </c>
      <c r="BF273" s="3">
        <v>0.6</v>
      </c>
      <c r="BG273" s="3">
        <v>0.31</v>
      </c>
      <c r="BH273" s="6">
        <v>1014.795471</v>
      </c>
      <c r="BI273" s="3">
        <v>7.0000000000000001E-3</v>
      </c>
      <c r="BK273" s="3" t="s">
        <v>173</v>
      </c>
      <c r="BL273" s="3">
        <v>0.32</v>
      </c>
      <c r="BM273" s="7">
        <v>1019.977173</v>
      </c>
      <c r="BN273" s="3">
        <v>1E-3</v>
      </c>
      <c r="BO273" s="3">
        <f t="shared" si="31"/>
        <v>0.315</v>
      </c>
    </row>
    <row r="274" spans="1:67" x14ac:dyDescent="0.3">
      <c r="A274" s="3" t="s">
        <v>174</v>
      </c>
      <c r="B274" s="3">
        <v>0.9</v>
      </c>
      <c r="C274" s="3">
        <v>0.5</v>
      </c>
      <c r="D274" s="3">
        <v>0.6</v>
      </c>
      <c r="E274" s="3">
        <v>0.43</v>
      </c>
      <c r="F274" s="7">
        <v>697.47790499999996</v>
      </c>
      <c r="G274" s="3">
        <v>2E-3</v>
      </c>
      <c r="I274" s="3" t="s">
        <v>174</v>
      </c>
      <c r="J274" s="3">
        <v>0.3</v>
      </c>
      <c r="K274" s="7">
        <v>684.77569600000004</v>
      </c>
      <c r="L274" s="3">
        <v>1E-3</v>
      </c>
      <c r="M274" s="10">
        <f t="shared" si="28"/>
        <v>0.36499999999999999</v>
      </c>
      <c r="N274" s="5"/>
      <c r="O274" s="5"/>
      <c r="P274" s="5"/>
      <c r="Q274" s="5"/>
      <c r="R274" s="1"/>
      <c r="S274" s="3" t="s">
        <v>174</v>
      </c>
      <c r="T274" s="3">
        <v>0.9</v>
      </c>
      <c r="U274" s="3">
        <v>0.5</v>
      </c>
      <c r="V274" s="3">
        <v>0.6</v>
      </c>
      <c r="W274" s="3">
        <v>0.3</v>
      </c>
      <c r="X274" s="6">
        <v>690.74096699999996</v>
      </c>
      <c r="Y274" s="3">
        <v>2E-3</v>
      </c>
      <c r="AA274" s="3" t="s">
        <v>174</v>
      </c>
      <c r="AB274" s="3">
        <v>0.33</v>
      </c>
      <c r="AC274" s="7">
        <v>695.26312299999995</v>
      </c>
      <c r="AD274" s="3">
        <v>0</v>
      </c>
      <c r="AE274" s="3">
        <f t="shared" si="29"/>
        <v>0.315</v>
      </c>
      <c r="AF274" s="5"/>
      <c r="AG274" s="5"/>
      <c r="AH274" s="5"/>
      <c r="AI274" s="5"/>
      <c r="AJ274" s="1"/>
      <c r="AK274" s="3" t="s">
        <v>175</v>
      </c>
      <c r="AL274" s="3">
        <v>0.9</v>
      </c>
      <c r="AM274" s="3">
        <v>0.5</v>
      </c>
      <c r="AN274" s="3">
        <v>0.6</v>
      </c>
      <c r="AO274" s="3">
        <v>0.3</v>
      </c>
      <c r="AP274" s="7">
        <v>1033.213501</v>
      </c>
      <c r="AQ274" s="3">
        <v>6.0000000000000001E-3</v>
      </c>
      <c r="AS274" s="3" t="s">
        <v>175</v>
      </c>
      <c r="AT274" s="3">
        <v>0.32</v>
      </c>
      <c r="AU274" s="6">
        <v>1024.690918</v>
      </c>
      <c r="AV274" s="3">
        <v>1E-3</v>
      </c>
      <c r="AW274" s="3">
        <f t="shared" si="30"/>
        <v>0.31</v>
      </c>
      <c r="AX274" s="5"/>
      <c r="AY274" s="5"/>
      <c r="AZ274" s="5"/>
      <c r="BA274" s="5"/>
      <c r="BB274" s="1"/>
      <c r="BC274" s="3" t="s">
        <v>175</v>
      </c>
      <c r="BD274" s="3">
        <v>0.9</v>
      </c>
      <c r="BE274" s="3">
        <v>0.5</v>
      </c>
      <c r="BF274" s="3">
        <v>0.6</v>
      </c>
      <c r="BG274" s="3">
        <v>0.3</v>
      </c>
      <c r="BH274" s="6">
        <v>992.41449</v>
      </c>
      <c r="BI274" s="3">
        <v>7.0000000000000001E-3</v>
      </c>
      <c r="BK274" s="3" t="s">
        <v>175</v>
      </c>
      <c r="BL274" s="3">
        <v>0.31</v>
      </c>
      <c r="BM274" s="7">
        <v>1012.363708</v>
      </c>
      <c r="BN274" s="3">
        <v>1E-3</v>
      </c>
      <c r="BO274" s="3">
        <f t="shared" si="31"/>
        <v>0.30499999999999999</v>
      </c>
    </row>
    <row r="275" spans="1:67" x14ac:dyDescent="0.3">
      <c r="A275" s="3" t="s">
        <v>176</v>
      </c>
      <c r="B275" s="3">
        <v>0.9</v>
      </c>
      <c r="C275" s="3">
        <v>0.5</v>
      </c>
      <c r="D275" s="3">
        <v>0.6</v>
      </c>
      <c r="E275" s="3">
        <v>0.3</v>
      </c>
      <c r="F275" s="6">
        <v>707.78912400000002</v>
      </c>
      <c r="G275" s="3">
        <v>2E-3</v>
      </c>
      <c r="I275" s="3" t="s">
        <v>176</v>
      </c>
      <c r="J275" s="3">
        <v>0.33</v>
      </c>
      <c r="K275" s="6">
        <v>711.63391100000001</v>
      </c>
      <c r="L275" s="3">
        <v>0</v>
      </c>
      <c r="M275" s="10">
        <f t="shared" si="28"/>
        <v>0.315</v>
      </c>
      <c r="N275" s="5"/>
      <c r="O275" s="5"/>
      <c r="P275" s="5"/>
      <c r="Q275" s="5"/>
      <c r="R275" s="1"/>
      <c r="S275" s="3" t="s">
        <v>176</v>
      </c>
      <c r="T275" s="3">
        <v>0.9</v>
      </c>
      <c r="U275" s="3">
        <v>0.5</v>
      </c>
      <c r="V275" s="3">
        <v>0.6</v>
      </c>
      <c r="W275" s="3">
        <v>0.31</v>
      </c>
      <c r="X275" s="6">
        <v>698.08136000000002</v>
      </c>
      <c r="Y275" s="3">
        <v>2E-3</v>
      </c>
      <c r="AA275" s="3" t="s">
        <v>176</v>
      </c>
      <c r="AB275" s="3">
        <v>0.3</v>
      </c>
      <c r="AC275" s="7">
        <v>708.11614999999995</v>
      </c>
      <c r="AD275" s="3">
        <v>1E-3</v>
      </c>
      <c r="AE275" s="3">
        <f t="shared" si="29"/>
        <v>0.30499999999999999</v>
      </c>
      <c r="AF275" s="5"/>
      <c r="AG275" s="5"/>
      <c r="AH275" s="5"/>
      <c r="AI275" s="5"/>
      <c r="AJ275" s="1"/>
      <c r="AK275" s="3" t="s">
        <v>177</v>
      </c>
      <c r="AL275" s="3">
        <v>0.9</v>
      </c>
      <c r="AM275" s="3">
        <v>0.5</v>
      </c>
      <c r="AN275" s="3">
        <v>0.6</v>
      </c>
      <c r="AO275" s="3">
        <v>0.3</v>
      </c>
      <c r="AP275" s="6">
        <v>1115.3969729999999</v>
      </c>
      <c r="AQ275" s="3">
        <v>8.9999999999999993E-3</v>
      </c>
      <c r="AS275" s="3" t="s">
        <v>177</v>
      </c>
      <c r="AT275" s="3">
        <v>0.34</v>
      </c>
      <c r="AU275" s="7">
        <v>1142.8431399999999</v>
      </c>
      <c r="AV275" s="3">
        <v>1E-3</v>
      </c>
      <c r="AW275" s="3">
        <f t="shared" si="30"/>
        <v>0.32</v>
      </c>
      <c r="AX275" s="5"/>
      <c r="AY275" s="5"/>
      <c r="AZ275" s="5"/>
      <c r="BA275" s="5"/>
      <c r="BB275" s="1"/>
      <c r="BC275" s="3" t="s">
        <v>177</v>
      </c>
      <c r="BD275" s="3">
        <v>0.9</v>
      </c>
      <c r="BE275" s="3">
        <v>0.5</v>
      </c>
      <c r="BF275" s="3">
        <v>0.6</v>
      </c>
      <c r="BG275" s="3">
        <v>0.3</v>
      </c>
      <c r="BH275" s="6">
        <v>1101.884888</v>
      </c>
      <c r="BI275" s="3">
        <v>7.0000000000000001E-3</v>
      </c>
      <c r="BK275" s="3" t="s">
        <v>177</v>
      </c>
      <c r="BL275" s="3">
        <v>0.31</v>
      </c>
      <c r="BM275" s="7">
        <v>1125.4769289999999</v>
      </c>
      <c r="BN275" s="3">
        <v>1E-3</v>
      </c>
      <c r="BO275" s="3">
        <f t="shared" si="31"/>
        <v>0.30499999999999999</v>
      </c>
    </row>
    <row r="276" spans="1:67" x14ac:dyDescent="0.3">
      <c r="A276" s="3" t="s">
        <v>178</v>
      </c>
      <c r="B276" s="3">
        <v>0.9</v>
      </c>
      <c r="C276" s="3">
        <v>0.5</v>
      </c>
      <c r="D276" s="3">
        <v>0.6</v>
      </c>
      <c r="E276" s="3">
        <v>0.3</v>
      </c>
      <c r="F276" s="8">
        <v>699.896973</v>
      </c>
      <c r="G276" s="3">
        <v>2E-3</v>
      </c>
      <c r="I276" s="3" t="s">
        <v>178</v>
      </c>
      <c r="J276" s="3">
        <v>0.3</v>
      </c>
      <c r="K276" s="6">
        <v>699.54046600000004</v>
      </c>
      <c r="L276" s="3">
        <v>0</v>
      </c>
      <c r="M276" s="10">
        <f t="shared" si="28"/>
        <v>0.3</v>
      </c>
      <c r="N276" s="5"/>
      <c r="O276" s="5"/>
      <c r="P276" s="5"/>
      <c r="Q276" s="5"/>
      <c r="R276" s="1"/>
      <c r="S276" s="3" t="s">
        <v>178</v>
      </c>
      <c r="T276" s="3">
        <v>0.9</v>
      </c>
      <c r="U276" s="3">
        <v>0.5</v>
      </c>
      <c r="V276" s="3">
        <v>0.6</v>
      </c>
      <c r="W276" s="3">
        <v>0.34</v>
      </c>
      <c r="X276" s="6">
        <v>681.64624000000003</v>
      </c>
      <c r="Y276" s="3">
        <v>2E-3</v>
      </c>
      <c r="AA276" s="3" t="s">
        <v>178</v>
      </c>
      <c r="AB276" s="3">
        <v>0.31</v>
      </c>
      <c r="AC276" s="7">
        <v>699.14111300000002</v>
      </c>
      <c r="AD276" s="3">
        <v>0</v>
      </c>
      <c r="AE276" s="3">
        <f t="shared" si="29"/>
        <v>0.32500000000000001</v>
      </c>
      <c r="AF276" s="5"/>
      <c r="AG276" s="5"/>
      <c r="AH276" s="5"/>
      <c r="AI276" s="5"/>
      <c r="AJ276" s="1"/>
      <c r="AK276" s="3" t="s">
        <v>179</v>
      </c>
      <c r="AL276" s="3">
        <v>0.9</v>
      </c>
      <c r="AM276" s="3">
        <v>0.5</v>
      </c>
      <c r="AN276" s="3">
        <v>0.6</v>
      </c>
      <c r="AO276" s="3">
        <v>0.31</v>
      </c>
      <c r="AP276" s="6">
        <v>1056.9799800000001</v>
      </c>
      <c r="AQ276" s="3">
        <v>7.0000000000000001E-3</v>
      </c>
      <c r="AS276" s="3" t="s">
        <v>179</v>
      </c>
      <c r="AT276" s="3">
        <v>0.31</v>
      </c>
      <c r="AU276" s="7">
        <v>1074.8275149999999</v>
      </c>
      <c r="AV276" s="3">
        <v>0</v>
      </c>
      <c r="AW276" s="3">
        <f t="shared" si="30"/>
        <v>0.31</v>
      </c>
      <c r="AX276" s="5"/>
      <c r="AY276" s="5"/>
      <c r="AZ276" s="5"/>
      <c r="BA276" s="5"/>
      <c r="BB276" s="1"/>
      <c r="BC276" s="3" t="s">
        <v>179</v>
      </c>
      <c r="BD276" s="3">
        <v>0.9</v>
      </c>
      <c r="BE276" s="3">
        <v>0.5</v>
      </c>
      <c r="BF276" s="3">
        <v>0.6</v>
      </c>
      <c r="BG276" s="3">
        <v>0.3</v>
      </c>
      <c r="BH276" s="6">
        <v>1077.6171879999999</v>
      </c>
      <c r="BI276" s="3">
        <v>7.0000000000000001E-3</v>
      </c>
      <c r="BK276" s="3" t="s">
        <v>179</v>
      </c>
      <c r="BL276" s="3">
        <v>0.31</v>
      </c>
      <c r="BM276" s="7">
        <v>1079.4099120000001</v>
      </c>
      <c r="BN276" s="3">
        <v>1E-3</v>
      </c>
      <c r="BO276" s="3">
        <f t="shared" si="31"/>
        <v>0.30499999999999999</v>
      </c>
    </row>
    <row r="277" spans="1:67" x14ac:dyDescent="0.3">
      <c r="A277" s="3" t="s">
        <v>180</v>
      </c>
      <c r="B277" s="3">
        <v>0.9</v>
      </c>
      <c r="C277" s="3">
        <v>0.5</v>
      </c>
      <c r="D277" s="3">
        <v>0.6</v>
      </c>
      <c r="E277" s="3">
        <v>0.3</v>
      </c>
      <c r="F277" s="7">
        <v>693.10327099999995</v>
      </c>
      <c r="G277" s="3">
        <v>2E-3</v>
      </c>
      <c r="I277" s="3" t="s">
        <v>180</v>
      </c>
      <c r="J277" s="3">
        <v>0.34</v>
      </c>
      <c r="K277" s="6">
        <v>692.06268299999999</v>
      </c>
      <c r="L277" s="3">
        <v>0</v>
      </c>
      <c r="M277" s="10">
        <f t="shared" si="28"/>
        <v>0.32</v>
      </c>
      <c r="N277" s="5"/>
      <c r="O277" s="5"/>
      <c r="P277" s="5"/>
      <c r="Q277" s="5"/>
      <c r="R277" s="1"/>
      <c r="S277" s="3" t="s">
        <v>180</v>
      </c>
      <c r="T277" s="3">
        <v>0.9</v>
      </c>
      <c r="U277" s="3">
        <v>0.5</v>
      </c>
      <c r="V277" s="3">
        <v>0.6</v>
      </c>
      <c r="W277" s="3">
        <v>0.41</v>
      </c>
      <c r="X277" s="7">
        <v>696.45129399999996</v>
      </c>
      <c r="Y277" s="3">
        <v>1E-3</v>
      </c>
      <c r="AA277" s="3" t="s">
        <v>180</v>
      </c>
      <c r="AB277" s="3">
        <v>0.32</v>
      </c>
      <c r="AC277" s="6">
        <v>690.89727800000003</v>
      </c>
      <c r="AD277" s="3">
        <v>0</v>
      </c>
      <c r="AE277" s="3">
        <f t="shared" si="29"/>
        <v>0.36499999999999999</v>
      </c>
      <c r="AF277" s="5"/>
      <c r="AG277" s="5"/>
      <c r="AH277" s="5"/>
      <c r="AI277" s="5"/>
      <c r="AJ277" s="1"/>
      <c r="AK277" s="3" t="s">
        <v>181</v>
      </c>
      <c r="AL277" s="3">
        <v>0.9</v>
      </c>
      <c r="AM277" s="3">
        <v>0.5</v>
      </c>
      <c r="AN277" s="3">
        <v>0.6</v>
      </c>
      <c r="AO277" s="3">
        <v>0.32</v>
      </c>
      <c r="AP277" s="6">
        <v>1088.1635739999999</v>
      </c>
      <c r="AQ277" s="3">
        <v>7.0000000000000001E-3</v>
      </c>
      <c r="AS277" s="3" t="s">
        <v>181</v>
      </c>
      <c r="AT277" s="3">
        <v>0.3</v>
      </c>
      <c r="AU277" s="7">
        <v>1106.67688</v>
      </c>
      <c r="AV277" s="3">
        <v>0</v>
      </c>
      <c r="AW277" s="3">
        <f t="shared" si="30"/>
        <v>0.31</v>
      </c>
      <c r="AX277" s="5"/>
      <c r="AY277" s="5"/>
      <c r="AZ277" s="5"/>
      <c r="BA277" s="5"/>
      <c r="BB277" s="1"/>
      <c r="BC277" s="3" t="s">
        <v>181</v>
      </c>
      <c r="BD277" s="3">
        <v>0.9</v>
      </c>
      <c r="BE277" s="3">
        <v>0.5</v>
      </c>
      <c r="BF277" s="3">
        <v>0.6</v>
      </c>
      <c r="BG277" s="3">
        <v>0.3</v>
      </c>
      <c r="BH277" s="7">
        <v>1069.271362</v>
      </c>
      <c r="BI277" s="3">
        <v>6.0000000000000001E-3</v>
      </c>
      <c r="BK277" s="3" t="s">
        <v>181</v>
      </c>
      <c r="BL277" s="3">
        <v>0.34</v>
      </c>
      <c r="BM277" s="6">
        <v>1026.8546140000001</v>
      </c>
      <c r="BN277" s="3">
        <v>1E-3</v>
      </c>
      <c r="BO277" s="3">
        <f t="shared" si="31"/>
        <v>0.32</v>
      </c>
    </row>
    <row r="278" spans="1:67" x14ac:dyDescent="0.3">
      <c r="A278" s="3" t="s">
        <v>182</v>
      </c>
      <c r="B278" s="3">
        <v>0.9</v>
      </c>
      <c r="C278" s="3">
        <v>0.5</v>
      </c>
      <c r="D278" s="3">
        <v>0.6</v>
      </c>
      <c r="E278" s="3">
        <v>0.37</v>
      </c>
      <c r="F278" s="6">
        <v>657.39239499999996</v>
      </c>
      <c r="G278" s="3">
        <v>2E-3</v>
      </c>
      <c r="I278" s="3" t="s">
        <v>182</v>
      </c>
      <c r="J278" s="3">
        <v>0.31</v>
      </c>
      <c r="K278" s="7">
        <v>664.71618699999999</v>
      </c>
      <c r="L278" s="3">
        <v>0</v>
      </c>
      <c r="M278" s="10">
        <f t="shared" si="28"/>
        <v>0.33999999999999997</v>
      </c>
      <c r="N278" s="5"/>
      <c r="O278" s="5"/>
      <c r="P278" s="5"/>
      <c r="Q278" s="5"/>
      <c r="R278" s="1"/>
      <c r="S278" s="3" t="s">
        <v>182</v>
      </c>
      <c r="T278" s="3">
        <v>0.9</v>
      </c>
      <c r="U278" s="3">
        <v>0.5</v>
      </c>
      <c r="V278" s="3">
        <v>0.6</v>
      </c>
      <c r="W278" s="3">
        <v>0.3</v>
      </c>
      <c r="X278" s="6">
        <v>642.09655799999996</v>
      </c>
      <c r="Y278" s="3">
        <v>1E-3</v>
      </c>
      <c r="AA278" s="3" t="s">
        <v>182</v>
      </c>
      <c r="AB278" s="3">
        <v>0.33</v>
      </c>
      <c r="AC278" s="7">
        <v>650.51293899999996</v>
      </c>
      <c r="AD278" s="3">
        <v>0</v>
      </c>
      <c r="AE278" s="3">
        <f t="shared" si="29"/>
        <v>0.315</v>
      </c>
      <c r="AF278" s="5"/>
      <c r="AG278" s="5"/>
      <c r="AH278" s="5"/>
      <c r="AI278" s="5"/>
      <c r="AJ278" s="1"/>
      <c r="AK278" s="3" t="s">
        <v>183</v>
      </c>
      <c r="AL278" s="3">
        <v>0.9</v>
      </c>
      <c r="AM278" s="3">
        <v>0.5</v>
      </c>
      <c r="AN278" s="3">
        <v>0.6</v>
      </c>
      <c r="AO278" s="3">
        <v>0.3</v>
      </c>
      <c r="AP278" s="6">
        <v>1083.470703</v>
      </c>
      <c r="AQ278" s="3">
        <v>7.0000000000000001E-3</v>
      </c>
      <c r="AS278" s="3" t="s">
        <v>183</v>
      </c>
      <c r="AT278" s="3">
        <v>0.32</v>
      </c>
      <c r="AU278" s="7">
        <v>1089.5349120000001</v>
      </c>
      <c r="AV278" s="3">
        <v>1E-3</v>
      </c>
      <c r="AW278" s="3">
        <f t="shared" si="30"/>
        <v>0.31</v>
      </c>
      <c r="AX278" s="5"/>
      <c r="AY278" s="5"/>
      <c r="AZ278" s="5"/>
      <c r="BA278" s="5"/>
      <c r="BB278" s="1"/>
      <c r="BC278" s="3" t="s">
        <v>183</v>
      </c>
      <c r="BD278" s="3">
        <v>0.9</v>
      </c>
      <c r="BE278" s="3">
        <v>0.5</v>
      </c>
      <c r="BF278" s="3">
        <v>0.6</v>
      </c>
      <c r="BG278" s="3">
        <v>0.31</v>
      </c>
      <c r="BH278" s="7">
        <v>1101.6235349999999</v>
      </c>
      <c r="BI278" s="3">
        <v>7.0000000000000001E-3</v>
      </c>
      <c r="BK278" s="3" t="s">
        <v>183</v>
      </c>
      <c r="BL278" s="3">
        <v>0.3</v>
      </c>
      <c r="BM278" s="6">
        <v>1084.269043</v>
      </c>
      <c r="BN278" s="3">
        <v>1E-3</v>
      </c>
      <c r="BO278" s="3">
        <f t="shared" si="31"/>
        <v>0.30499999999999999</v>
      </c>
    </row>
    <row r="279" spans="1:67" x14ac:dyDescent="0.3">
      <c r="A279" s="3" t="s">
        <v>184</v>
      </c>
      <c r="B279" s="3">
        <v>0.9</v>
      </c>
      <c r="C279" s="3">
        <v>0.5</v>
      </c>
      <c r="D279" s="3">
        <v>0.6</v>
      </c>
      <c r="E279" s="3">
        <v>0.37</v>
      </c>
      <c r="F279" s="7">
        <v>673.79949999999997</v>
      </c>
      <c r="G279" s="3">
        <v>2E-3</v>
      </c>
      <c r="I279" s="3" t="s">
        <v>184</v>
      </c>
      <c r="J279" s="3">
        <v>0.3</v>
      </c>
      <c r="K279" s="6">
        <v>666.86236599999995</v>
      </c>
      <c r="L279" s="3">
        <v>0</v>
      </c>
      <c r="M279" s="10">
        <f t="shared" si="28"/>
        <v>0.33499999999999996</v>
      </c>
      <c r="N279" s="5"/>
      <c r="O279" s="5"/>
      <c r="P279" s="5"/>
      <c r="Q279" s="5"/>
      <c r="R279" s="1"/>
      <c r="S279" s="3" t="s">
        <v>184</v>
      </c>
      <c r="T279" s="3">
        <v>0.9</v>
      </c>
      <c r="U279" s="3">
        <v>0.5</v>
      </c>
      <c r="V279" s="3">
        <v>0.6</v>
      </c>
      <c r="W279" s="3">
        <v>0.34</v>
      </c>
      <c r="X279" s="7">
        <v>646.28680399999996</v>
      </c>
      <c r="Y279" s="3">
        <v>1E-3</v>
      </c>
      <c r="AA279" s="3" t="s">
        <v>184</v>
      </c>
      <c r="AB279" s="3">
        <v>0.38</v>
      </c>
      <c r="AC279" s="6">
        <v>645.51293899999996</v>
      </c>
      <c r="AD279" s="3">
        <v>0</v>
      </c>
      <c r="AE279" s="3">
        <f t="shared" si="29"/>
        <v>0.36</v>
      </c>
      <c r="AF279" s="5"/>
      <c r="AG279" s="5"/>
      <c r="AH279" s="5"/>
      <c r="AI279" s="5"/>
      <c r="AJ279" s="1"/>
      <c r="AK279" s="3" t="s">
        <v>185</v>
      </c>
      <c r="AL279" s="3">
        <v>0.9</v>
      </c>
      <c r="AM279" s="3">
        <v>0.5</v>
      </c>
      <c r="AN279" s="3">
        <v>0.6</v>
      </c>
      <c r="AO279" s="3">
        <v>0.31</v>
      </c>
      <c r="AP279" s="7">
        <v>1069.395264</v>
      </c>
      <c r="AQ279" s="3">
        <v>7.0000000000000001E-3</v>
      </c>
      <c r="AS279" s="3" t="s">
        <v>185</v>
      </c>
      <c r="AT279" s="3">
        <v>0.32</v>
      </c>
      <c r="AU279" s="6">
        <v>1043.309448</v>
      </c>
      <c r="AV279" s="3">
        <v>1E-3</v>
      </c>
      <c r="AW279" s="3">
        <f t="shared" si="30"/>
        <v>0.315</v>
      </c>
      <c r="AX279" s="5"/>
      <c r="AY279" s="5"/>
      <c r="AZ279" s="5"/>
      <c r="BA279" s="5"/>
      <c r="BB279" s="1"/>
      <c r="BC279" s="3" t="s">
        <v>185</v>
      </c>
      <c r="BD279" s="3">
        <v>0.9</v>
      </c>
      <c r="BE279" s="3">
        <v>0.5</v>
      </c>
      <c r="BF279" s="3">
        <v>0.6</v>
      </c>
      <c r="BG279" s="3">
        <v>0.31</v>
      </c>
      <c r="BH279" s="6">
        <v>1051.5695800000001</v>
      </c>
      <c r="BI279" s="3">
        <v>8.0000000000000002E-3</v>
      </c>
      <c r="BK279" s="3" t="s">
        <v>185</v>
      </c>
      <c r="BL279" s="3">
        <v>0.31</v>
      </c>
      <c r="BM279" s="7">
        <v>1053.1854249999999</v>
      </c>
      <c r="BN279" s="3">
        <v>1E-3</v>
      </c>
      <c r="BO279" s="3">
        <f t="shared" si="31"/>
        <v>0.31</v>
      </c>
    </row>
    <row r="280" spans="1:67" x14ac:dyDescent="0.3">
      <c r="A280" s="3" t="s">
        <v>186</v>
      </c>
      <c r="B280" s="3">
        <v>0.9</v>
      </c>
      <c r="C280" s="3">
        <v>0.5</v>
      </c>
      <c r="D280" s="3">
        <v>0.6</v>
      </c>
      <c r="E280" s="3">
        <v>0.31</v>
      </c>
      <c r="F280" s="7">
        <v>793.353882</v>
      </c>
      <c r="G280" s="3">
        <v>3.0000000000000001E-3</v>
      </c>
      <c r="I280" s="3" t="s">
        <v>186</v>
      </c>
      <c r="J280" s="3">
        <v>0.35</v>
      </c>
      <c r="K280" s="6">
        <v>790.40197799999999</v>
      </c>
      <c r="L280" s="3">
        <v>0</v>
      </c>
      <c r="M280" s="10">
        <f t="shared" si="28"/>
        <v>0.32999999999999996</v>
      </c>
      <c r="N280" s="5"/>
      <c r="O280" s="5"/>
      <c r="P280" s="5"/>
      <c r="Q280" s="5"/>
      <c r="R280" s="1"/>
      <c r="S280" s="3" t="s">
        <v>186</v>
      </c>
      <c r="T280" s="3">
        <v>0.9</v>
      </c>
      <c r="U280" s="3">
        <v>0.5</v>
      </c>
      <c r="V280" s="3">
        <v>0.6</v>
      </c>
      <c r="W280" s="3">
        <v>0.31</v>
      </c>
      <c r="X280" s="6">
        <v>768.634094</v>
      </c>
      <c r="Y280" s="3">
        <v>3.0000000000000001E-3</v>
      </c>
      <c r="AA280" s="3" t="s">
        <v>186</v>
      </c>
      <c r="AB280" s="3">
        <v>0.37</v>
      </c>
      <c r="AC280" s="7">
        <v>807.00354000000004</v>
      </c>
      <c r="AD280" s="3">
        <v>0</v>
      </c>
      <c r="AE280" s="3">
        <f t="shared" si="29"/>
        <v>0.33999999999999997</v>
      </c>
      <c r="AF280" s="5"/>
      <c r="AG280" s="5"/>
      <c r="AH280" s="5"/>
      <c r="AI280" s="5"/>
      <c r="AJ280" s="1"/>
      <c r="AK280" s="3" t="s">
        <v>187</v>
      </c>
      <c r="AL280" s="3">
        <v>0.9</v>
      </c>
      <c r="AM280" s="3">
        <v>0.5</v>
      </c>
      <c r="AN280" s="3">
        <v>0.6</v>
      </c>
      <c r="AO280" s="3">
        <v>0.31</v>
      </c>
      <c r="AP280" s="7">
        <v>1178.0585940000001</v>
      </c>
      <c r="AQ280" s="3">
        <v>8.0000000000000002E-3</v>
      </c>
      <c r="AS280" s="3" t="s">
        <v>187</v>
      </c>
      <c r="AT280" s="3">
        <v>0.3</v>
      </c>
      <c r="AU280" s="6">
        <v>1170.8408199999999</v>
      </c>
      <c r="AV280" s="3">
        <v>1E-3</v>
      </c>
      <c r="AW280" s="3">
        <f t="shared" si="30"/>
        <v>0.30499999999999999</v>
      </c>
      <c r="AX280" s="5"/>
      <c r="AY280" s="5"/>
      <c r="AZ280" s="5"/>
      <c r="BA280" s="5"/>
      <c r="BB280" s="1"/>
      <c r="BC280" s="3" t="s">
        <v>187</v>
      </c>
      <c r="BD280" s="3">
        <v>0.9</v>
      </c>
      <c r="BE280" s="3">
        <v>0.5</v>
      </c>
      <c r="BF280" s="3">
        <v>0.6</v>
      </c>
      <c r="BG280" s="3">
        <v>0.3</v>
      </c>
      <c r="BH280" s="6">
        <v>1174.101318</v>
      </c>
      <c r="BI280" s="3">
        <v>8.0000000000000002E-3</v>
      </c>
      <c r="BK280" s="3" t="s">
        <v>187</v>
      </c>
      <c r="BL280" s="3">
        <v>0.3</v>
      </c>
      <c r="BM280" s="7">
        <v>1191.55249</v>
      </c>
      <c r="BN280" s="3">
        <v>1E-3</v>
      </c>
      <c r="BO280" s="3">
        <f t="shared" si="31"/>
        <v>0.3</v>
      </c>
    </row>
    <row r="281" spans="1:67" x14ac:dyDescent="0.3">
      <c r="A281" s="3" t="s">
        <v>188</v>
      </c>
      <c r="B281" s="3">
        <v>0.9</v>
      </c>
      <c r="C281" s="3">
        <v>0.5</v>
      </c>
      <c r="D281" s="3">
        <v>0.6</v>
      </c>
      <c r="E281" s="3">
        <v>0.4</v>
      </c>
      <c r="F281" s="6">
        <v>713.01153599999998</v>
      </c>
      <c r="G281" s="3">
        <v>2E-3</v>
      </c>
      <c r="I281" s="3" t="s">
        <v>188</v>
      </c>
      <c r="J281" s="3">
        <v>0.32</v>
      </c>
      <c r="K281" s="7">
        <v>715.14965800000004</v>
      </c>
      <c r="L281" s="3">
        <v>1E-3</v>
      </c>
      <c r="M281" s="10">
        <f t="shared" si="28"/>
        <v>0.36</v>
      </c>
      <c r="N281" s="5"/>
      <c r="O281" s="5"/>
      <c r="P281" s="5"/>
      <c r="Q281" s="5"/>
      <c r="R281" s="1"/>
      <c r="S281" s="3" t="s">
        <v>188</v>
      </c>
      <c r="T281" s="3">
        <v>0.9</v>
      </c>
      <c r="U281" s="3">
        <v>0.5</v>
      </c>
      <c r="V281" s="3">
        <v>0.6</v>
      </c>
      <c r="W281" s="3">
        <v>0.34</v>
      </c>
      <c r="X281" s="7">
        <v>693.37176499999998</v>
      </c>
      <c r="Y281" s="3">
        <v>1E-3</v>
      </c>
      <c r="AA281" s="3" t="s">
        <v>188</v>
      </c>
      <c r="AB281" s="3">
        <v>0.31</v>
      </c>
      <c r="AC281" s="6">
        <v>690.50146500000005</v>
      </c>
      <c r="AD281" s="3">
        <v>0</v>
      </c>
      <c r="AE281" s="3">
        <f t="shared" si="29"/>
        <v>0.32500000000000001</v>
      </c>
      <c r="AF281" s="5"/>
      <c r="AG281" s="5"/>
      <c r="AH281" s="5"/>
      <c r="AI281" s="5"/>
      <c r="AJ281" s="1"/>
      <c r="AK281" s="3" t="s">
        <v>189</v>
      </c>
      <c r="AL281" s="3">
        <v>0.9</v>
      </c>
      <c r="AM281" s="3">
        <v>0.5</v>
      </c>
      <c r="AN281" s="3">
        <v>0.6</v>
      </c>
      <c r="AO281" s="3">
        <v>0.3</v>
      </c>
      <c r="AP281" s="6">
        <v>1015.8112180000001</v>
      </c>
      <c r="AQ281" s="3">
        <v>7.0000000000000001E-3</v>
      </c>
      <c r="AS281" s="3" t="s">
        <v>189</v>
      </c>
      <c r="AT281" s="3">
        <v>0.31</v>
      </c>
      <c r="AU281" s="7">
        <v>1032.6295170000001</v>
      </c>
      <c r="AV281" s="3">
        <v>1E-3</v>
      </c>
      <c r="AW281" s="3">
        <f t="shared" si="30"/>
        <v>0.30499999999999999</v>
      </c>
      <c r="AX281" s="5"/>
      <c r="AY281" s="5"/>
      <c r="AZ281" s="5"/>
      <c r="BA281" s="5"/>
      <c r="BB281" s="1"/>
      <c r="BC281" s="3" t="s">
        <v>189</v>
      </c>
      <c r="BD281" s="3">
        <v>0.9</v>
      </c>
      <c r="BE281" s="3">
        <v>0.5</v>
      </c>
      <c r="BF281" s="3">
        <v>0.6</v>
      </c>
      <c r="BG281" s="3">
        <v>0.33</v>
      </c>
      <c r="BH281" s="7">
        <v>1023.57251</v>
      </c>
      <c r="BI281" s="3">
        <v>7.0000000000000001E-3</v>
      </c>
      <c r="BK281" s="3" t="s">
        <v>189</v>
      </c>
      <c r="BL281" s="3">
        <v>0.3</v>
      </c>
      <c r="BM281" s="6">
        <v>1019.003784</v>
      </c>
      <c r="BN281" s="3">
        <v>1E-3</v>
      </c>
      <c r="BO281" s="3">
        <f t="shared" si="31"/>
        <v>0.315</v>
      </c>
    </row>
    <row r="282" spans="1:67" x14ac:dyDescent="0.3">
      <c r="A282" s="3" t="s">
        <v>190</v>
      </c>
      <c r="B282" s="3">
        <v>0.9</v>
      </c>
      <c r="C282" s="3">
        <v>0.5</v>
      </c>
      <c r="D282" s="3">
        <v>0.6</v>
      </c>
      <c r="E282" s="3">
        <v>0.3</v>
      </c>
      <c r="F282" s="6">
        <v>689.29974400000003</v>
      </c>
      <c r="G282" s="3">
        <v>2E-3</v>
      </c>
      <c r="I282" s="3" t="s">
        <v>190</v>
      </c>
      <c r="J282" s="3">
        <v>0.33</v>
      </c>
      <c r="K282" s="7">
        <v>690.87347399999999</v>
      </c>
      <c r="L282" s="3">
        <v>1E-3</v>
      </c>
      <c r="M282" s="10">
        <f t="shared" si="28"/>
        <v>0.315</v>
      </c>
      <c r="N282" s="5"/>
      <c r="O282" s="5"/>
      <c r="P282" s="5"/>
      <c r="Q282" s="5"/>
      <c r="R282" s="1"/>
      <c r="S282" s="3" t="s">
        <v>190</v>
      </c>
      <c r="T282" s="3">
        <v>0.9</v>
      </c>
      <c r="U282" s="3">
        <v>0.5</v>
      </c>
      <c r="V282" s="3">
        <v>0.6</v>
      </c>
      <c r="W282" s="3">
        <v>0.3</v>
      </c>
      <c r="X282" s="7">
        <v>675.41143799999998</v>
      </c>
      <c r="Y282" s="3">
        <v>1E-3</v>
      </c>
      <c r="AA282" s="3" t="s">
        <v>190</v>
      </c>
      <c r="AB282" s="3">
        <v>0.32</v>
      </c>
      <c r="AC282" s="6">
        <v>662.73919699999999</v>
      </c>
      <c r="AD282" s="3">
        <v>0</v>
      </c>
      <c r="AE282" s="3">
        <f t="shared" si="29"/>
        <v>0.31</v>
      </c>
      <c r="AF282" s="5"/>
      <c r="AG282" s="5"/>
      <c r="AH282" s="5"/>
      <c r="AI282" s="5"/>
      <c r="AJ282" s="1"/>
      <c r="AK282" s="3" t="s">
        <v>191</v>
      </c>
      <c r="AL282" s="3">
        <v>0.9</v>
      </c>
      <c r="AM282" s="3">
        <v>0.5</v>
      </c>
      <c r="AN282" s="3">
        <v>0.6</v>
      </c>
      <c r="AO282" s="3">
        <v>0.3</v>
      </c>
      <c r="AP282" s="6">
        <v>1002.562134</v>
      </c>
      <c r="AQ282" s="3">
        <v>6.0000000000000001E-3</v>
      </c>
      <c r="AS282" s="3" t="s">
        <v>191</v>
      </c>
      <c r="AT282" s="3">
        <v>0.33</v>
      </c>
      <c r="AU282" s="7">
        <v>1010.397888</v>
      </c>
      <c r="AV282" s="3">
        <v>1E-3</v>
      </c>
      <c r="AW282" s="3">
        <f t="shared" si="30"/>
        <v>0.315</v>
      </c>
      <c r="AX282" s="5"/>
      <c r="AY282" s="5"/>
      <c r="AZ282" s="5"/>
      <c r="BA282" s="5"/>
      <c r="BB282" s="1"/>
      <c r="BC282" s="3" t="s">
        <v>191</v>
      </c>
      <c r="BD282" s="3">
        <v>0.9</v>
      </c>
      <c r="BE282" s="3">
        <v>0.5</v>
      </c>
      <c r="BF282" s="3">
        <v>0.6</v>
      </c>
      <c r="BG282" s="3">
        <v>0.33</v>
      </c>
      <c r="BH282" s="6">
        <v>1012.381226</v>
      </c>
      <c r="BI282" s="3">
        <v>7.0000000000000001E-3</v>
      </c>
      <c r="BK282" s="3" t="s">
        <v>191</v>
      </c>
      <c r="BL282" s="3">
        <v>0.31</v>
      </c>
      <c r="BM282" s="7">
        <v>1025.869019</v>
      </c>
      <c r="BN282" s="3">
        <v>1E-3</v>
      </c>
      <c r="BO282" s="3">
        <f t="shared" si="31"/>
        <v>0.32</v>
      </c>
    </row>
    <row r="283" spans="1:67" x14ac:dyDescent="0.3">
      <c r="A283" s="3" t="s">
        <v>192</v>
      </c>
      <c r="B283" s="3">
        <v>0.9</v>
      </c>
      <c r="C283" s="3">
        <v>0.5</v>
      </c>
      <c r="D283" s="3">
        <v>0.6</v>
      </c>
      <c r="E283" s="3">
        <v>0.3</v>
      </c>
      <c r="F283" s="6">
        <v>770.47576900000001</v>
      </c>
      <c r="G283" s="3">
        <v>2E-3</v>
      </c>
      <c r="I283" s="3" t="s">
        <v>192</v>
      </c>
      <c r="J283" s="3">
        <v>0.3</v>
      </c>
      <c r="K283" s="7">
        <v>809.31359899999995</v>
      </c>
      <c r="L283" s="3">
        <v>0</v>
      </c>
      <c r="M283" s="10">
        <f t="shared" si="28"/>
        <v>0.3</v>
      </c>
      <c r="N283" s="5"/>
      <c r="O283" s="5"/>
      <c r="P283" s="5"/>
      <c r="Q283" s="5"/>
      <c r="R283" s="1"/>
      <c r="S283" s="3" t="s">
        <v>192</v>
      </c>
      <c r="T283" s="3">
        <v>0.9</v>
      </c>
      <c r="U283" s="3">
        <v>0.5</v>
      </c>
      <c r="V283" s="3">
        <v>0.6</v>
      </c>
      <c r="W283" s="3">
        <v>0.3</v>
      </c>
      <c r="X283" s="6">
        <v>786.77105700000004</v>
      </c>
      <c r="Y283" s="3">
        <v>2E-3</v>
      </c>
      <c r="AA283" s="3" t="s">
        <v>192</v>
      </c>
      <c r="AB283" s="3">
        <v>0.3</v>
      </c>
      <c r="AC283" s="3">
        <v>813.67382799999996</v>
      </c>
      <c r="AD283" s="3">
        <v>0</v>
      </c>
      <c r="AE283" s="3">
        <f t="shared" si="29"/>
        <v>0.3</v>
      </c>
      <c r="AF283" s="5"/>
      <c r="AG283" s="5"/>
      <c r="AH283" s="5"/>
      <c r="AI283" s="5"/>
      <c r="AJ283" s="1"/>
      <c r="AK283" s="3" t="s">
        <v>193</v>
      </c>
      <c r="AL283" s="3">
        <v>0.9</v>
      </c>
      <c r="AM283" s="3">
        <v>0.5</v>
      </c>
      <c r="AN283" s="3">
        <v>0.6</v>
      </c>
      <c r="AO283" s="3">
        <v>0.36</v>
      </c>
      <c r="AP283" s="6">
        <v>1123.5529790000001</v>
      </c>
      <c r="AQ283" s="3">
        <v>7.0000000000000001E-3</v>
      </c>
      <c r="AS283" s="3" t="s">
        <v>193</v>
      </c>
      <c r="AT283" s="3">
        <v>0.32</v>
      </c>
      <c r="AU283" s="7">
        <v>1127.857544</v>
      </c>
      <c r="AV283" s="3">
        <v>1E-3</v>
      </c>
      <c r="AW283" s="3">
        <f t="shared" si="30"/>
        <v>0.33999999999999997</v>
      </c>
      <c r="AX283" s="5"/>
      <c r="AY283" s="5"/>
      <c r="AZ283" s="5"/>
      <c r="BA283" s="5"/>
      <c r="BB283" s="1"/>
      <c r="BC283" s="3" t="s">
        <v>193</v>
      </c>
      <c r="BD283" s="3">
        <v>0.9</v>
      </c>
      <c r="BE283" s="3">
        <v>0.5</v>
      </c>
      <c r="BF283" s="3">
        <v>0.6</v>
      </c>
      <c r="BG283" s="3">
        <v>0.31</v>
      </c>
      <c r="BH283" s="6">
        <v>1078.7775879999999</v>
      </c>
      <c r="BI283" s="3">
        <v>7.0000000000000001E-3</v>
      </c>
      <c r="BK283" s="3" t="s">
        <v>193</v>
      </c>
      <c r="BL283" s="3">
        <v>0.31</v>
      </c>
      <c r="BM283" s="7">
        <v>1109.491943</v>
      </c>
      <c r="BN283" s="3">
        <v>1E-3</v>
      </c>
      <c r="BO283" s="3">
        <f t="shared" si="31"/>
        <v>0.31</v>
      </c>
    </row>
    <row r="284" spans="1:67" x14ac:dyDescent="0.3">
      <c r="A284" s="9" t="s">
        <v>316</v>
      </c>
      <c r="E284" s="9">
        <f>AVERAGE(E254:E283)</f>
        <v>0.32433333333333336</v>
      </c>
      <c r="I284" s="9" t="s">
        <v>316</v>
      </c>
      <c r="J284" s="9">
        <f>AVERAGE(J254:J283)</f>
        <v>0.32833333333333331</v>
      </c>
      <c r="R284" s="1"/>
      <c r="S284" s="9" t="s">
        <v>316</v>
      </c>
      <c r="W284" s="9">
        <f>AVERAGE(W254:W283)</f>
        <v>0.33233333333333331</v>
      </c>
      <c r="AA284" s="9" t="s">
        <v>316</v>
      </c>
      <c r="AB284" s="9">
        <f>AVERAGE(AB254:AB283)</f>
        <v>0.32766666666666666</v>
      </c>
      <c r="AJ284" s="1"/>
      <c r="AK284" s="9" t="s">
        <v>316</v>
      </c>
      <c r="AO284" s="9">
        <f>AVERAGE(AO254:AO283)</f>
        <v>0.31466666666666665</v>
      </c>
      <c r="AS284" s="9" t="s">
        <v>316</v>
      </c>
      <c r="AT284" s="9">
        <f>AVERAGE(AT254:AT283)</f>
        <v>0.313</v>
      </c>
      <c r="BB284" s="1"/>
      <c r="BC284" s="9" t="s">
        <v>316</v>
      </c>
      <c r="BG284" s="9">
        <f>AVERAGE(BG254:BG283)</f>
        <v>0.30833333333333329</v>
      </c>
      <c r="BK284" s="9" t="s">
        <v>316</v>
      </c>
      <c r="BL284" s="9">
        <f>AVERAGE(BL254:BL283)</f>
        <v>0.31633333333333336</v>
      </c>
    </row>
    <row r="285" spans="1:67" x14ac:dyDescent="0.3">
      <c r="R285" s="1"/>
      <c r="AJ285" s="1"/>
      <c r="BB285" s="1"/>
    </row>
    <row r="286" spans="1:67" x14ac:dyDescent="0.3">
      <c r="R286" s="1"/>
      <c r="AJ286" s="1"/>
      <c r="BB286" s="1"/>
    </row>
    <row r="287" spans="1:67" x14ac:dyDescent="0.3">
      <c r="A287" s="19" t="s">
        <v>314</v>
      </c>
      <c r="B287" s="19"/>
      <c r="C287" s="19"/>
      <c r="D287" s="19"/>
      <c r="E287" s="19"/>
      <c r="F287" s="19"/>
      <c r="G287" s="19"/>
      <c r="I287" s="19" t="s">
        <v>315</v>
      </c>
      <c r="J287" s="19"/>
      <c r="K287" s="19"/>
      <c r="L287" s="19"/>
      <c r="M287" s="19"/>
      <c r="N287" s="11"/>
      <c r="O287" s="11"/>
      <c r="P287" s="11"/>
      <c r="Q287" s="11"/>
      <c r="R287" s="1"/>
      <c r="S287" s="19" t="s">
        <v>314</v>
      </c>
      <c r="T287" s="19"/>
      <c r="U287" s="19"/>
      <c r="V287" s="19"/>
      <c r="W287" s="19"/>
      <c r="X287" s="19"/>
      <c r="Y287" s="19"/>
      <c r="AA287" s="19" t="s">
        <v>315</v>
      </c>
      <c r="AB287" s="19"/>
      <c r="AC287" s="19"/>
      <c r="AD287" s="19"/>
      <c r="AE287" s="19"/>
      <c r="AF287" s="11"/>
      <c r="AG287" s="11"/>
      <c r="AH287" s="11"/>
      <c r="AI287" s="11"/>
      <c r="AJ287" s="1"/>
      <c r="AK287" s="19" t="s">
        <v>314</v>
      </c>
      <c r="AL287" s="19"/>
      <c r="AM287" s="19"/>
      <c r="AN287" s="19"/>
      <c r="AO287" s="19"/>
      <c r="AP287" s="19"/>
      <c r="AQ287" s="19"/>
      <c r="AS287" s="19" t="s">
        <v>315</v>
      </c>
      <c r="AT287" s="19"/>
      <c r="AU287" s="19"/>
      <c r="AV287" s="19"/>
      <c r="AW287" s="19"/>
      <c r="AX287" s="11"/>
      <c r="AY287" s="11"/>
      <c r="AZ287" s="11"/>
      <c r="BA287" s="11"/>
      <c r="BB287" s="1"/>
      <c r="BC287" s="19" t="s">
        <v>314</v>
      </c>
      <c r="BD287" s="19"/>
      <c r="BE287" s="19"/>
      <c r="BF287" s="19"/>
      <c r="BG287" s="19"/>
      <c r="BH287" s="19"/>
      <c r="BI287" s="19"/>
      <c r="BK287" s="19" t="s">
        <v>315</v>
      </c>
      <c r="BL287" s="19"/>
      <c r="BM287" s="19"/>
      <c r="BN287" s="19"/>
      <c r="BO287" s="19"/>
    </row>
    <row r="288" spans="1:67" x14ac:dyDescent="0.3">
      <c r="A288" s="19" t="s">
        <v>72</v>
      </c>
      <c r="B288" s="19"/>
      <c r="C288" s="19"/>
      <c r="D288" s="19"/>
      <c r="E288" s="19"/>
      <c r="F288" s="19"/>
      <c r="G288" s="19"/>
      <c r="I288" s="19" t="s">
        <v>72</v>
      </c>
      <c r="J288" s="19"/>
      <c r="K288" s="19"/>
      <c r="L288" s="19"/>
      <c r="M288" s="19"/>
      <c r="N288" s="11"/>
      <c r="O288" s="11"/>
      <c r="P288" s="11"/>
      <c r="Q288" s="11"/>
      <c r="R288" s="1"/>
      <c r="S288" s="19" t="s">
        <v>73</v>
      </c>
      <c r="T288" s="19"/>
      <c r="U288" s="19"/>
      <c r="V288" s="19"/>
      <c r="W288" s="19"/>
      <c r="X288" s="19"/>
      <c r="Y288" s="19"/>
      <c r="AA288" s="19" t="s">
        <v>73</v>
      </c>
      <c r="AB288" s="19"/>
      <c r="AC288" s="19"/>
      <c r="AD288" s="19"/>
      <c r="AE288" s="19"/>
      <c r="AF288" s="11"/>
      <c r="AG288" s="11"/>
      <c r="AH288" s="11"/>
      <c r="AI288" s="11"/>
      <c r="AJ288" s="1"/>
      <c r="AK288" s="19" t="s">
        <v>72</v>
      </c>
      <c r="AL288" s="19"/>
      <c r="AM288" s="19"/>
      <c r="AN288" s="19"/>
      <c r="AO288" s="19"/>
      <c r="AP288" s="19"/>
      <c r="AQ288" s="19"/>
      <c r="AS288" s="19" t="s">
        <v>72</v>
      </c>
      <c r="AT288" s="19"/>
      <c r="AU288" s="19"/>
      <c r="AV288" s="19"/>
      <c r="AW288" s="19"/>
      <c r="AX288" s="11"/>
      <c r="AY288" s="11"/>
      <c r="AZ288" s="11"/>
      <c r="BA288" s="11"/>
      <c r="BB288" s="1"/>
      <c r="BC288" s="19" t="s">
        <v>73</v>
      </c>
      <c r="BD288" s="19"/>
      <c r="BE288" s="19"/>
      <c r="BF288" s="19"/>
      <c r="BG288" s="19"/>
      <c r="BH288" s="19"/>
      <c r="BI288" s="19"/>
      <c r="BK288" s="19" t="s">
        <v>73</v>
      </c>
      <c r="BL288" s="19"/>
      <c r="BM288" s="19"/>
      <c r="BN288" s="19"/>
      <c r="BO288" s="19"/>
    </row>
    <row r="289" spans="1:71" x14ac:dyDescent="0.3">
      <c r="A289" s="3" t="s">
        <v>2</v>
      </c>
      <c r="B289" s="3" t="s">
        <v>3</v>
      </c>
      <c r="C289" s="3" t="s">
        <v>4</v>
      </c>
      <c r="D289" s="3" t="s">
        <v>5</v>
      </c>
      <c r="E289" s="3" t="s">
        <v>6</v>
      </c>
      <c r="F289" s="3" t="s">
        <v>7</v>
      </c>
      <c r="G289" s="3" t="s">
        <v>8</v>
      </c>
      <c r="I289" s="3" t="s">
        <v>2</v>
      </c>
      <c r="J289" s="3" t="s">
        <v>6</v>
      </c>
      <c r="K289" s="3" t="s">
        <v>7</v>
      </c>
      <c r="L289" s="3" t="s">
        <v>8</v>
      </c>
      <c r="M289" s="3" t="s">
        <v>9</v>
      </c>
      <c r="N289" s="3" t="s">
        <v>322</v>
      </c>
      <c r="O289" s="3" t="s">
        <v>323</v>
      </c>
      <c r="P289" s="3" t="s">
        <v>322</v>
      </c>
      <c r="Q289" s="3" t="s">
        <v>323</v>
      </c>
      <c r="R289" s="1"/>
      <c r="S289" s="3" t="s">
        <v>2</v>
      </c>
      <c r="T289" s="3" t="s">
        <v>3</v>
      </c>
      <c r="U289" s="3" t="s">
        <v>4</v>
      </c>
      <c r="V289" s="3" t="s">
        <v>5</v>
      </c>
      <c r="W289" s="3" t="s">
        <v>6</v>
      </c>
      <c r="X289" s="3" t="s">
        <v>7</v>
      </c>
      <c r="Y289" s="3" t="s">
        <v>8</v>
      </c>
      <c r="AA289" s="3" t="s">
        <v>2</v>
      </c>
      <c r="AB289" s="3" t="s">
        <v>6</v>
      </c>
      <c r="AC289" s="3" t="s">
        <v>7</v>
      </c>
      <c r="AD289" s="3" t="s">
        <v>8</v>
      </c>
      <c r="AE289" s="3" t="s">
        <v>9</v>
      </c>
      <c r="AF289" s="3" t="s">
        <v>322</v>
      </c>
      <c r="AG289" s="3" t="s">
        <v>323</v>
      </c>
      <c r="AH289" s="3" t="s">
        <v>322</v>
      </c>
      <c r="AI289" s="3" t="s">
        <v>323</v>
      </c>
      <c r="AJ289" s="1"/>
      <c r="AK289" s="3" t="s">
        <v>2</v>
      </c>
      <c r="AL289" s="3" t="s">
        <v>3</v>
      </c>
      <c r="AM289" s="3" t="s">
        <v>4</v>
      </c>
      <c r="AN289" s="3" t="s">
        <v>5</v>
      </c>
      <c r="AO289" s="3" t="s">
        <v>6</v>
      </c>
      <c r="AP289" s="3" t="s">
        <v>7</v>
      </c>
      <c r="AQ289" s="3" t="s">
        <v>8</v>
      </c>
      <c r="AS289" s="3" t="s">
        <v>2</v>
      </c>
      <c r="AT289" s="3" t="s">
        <v>6</v>
      </c>
      <c r="AU289" s="3" t="s">
        <v>7</v>
      </c>
      <c r="AV289" s="3" t="s">
        <v>8</v>
      </c>
      <c r="AW289" s="3" t="s">
        <v>9</v>
      </c>
      <c r="AX289" s="3" t="s">
        <v>322</v>
      </c>
      <c r="AY289" s="3" t="s">
        <v>323</v>
      </c>
      <c r="AZ289" s="3" t="s">
        <v>322</v>
      </c>
      <c r="BA289" s="3" t="s">
        <v>323</v>
      </c>
      <c r="BB289" s="1"/>
      <c r="BC289" s="3" t="s">
        <v>2</v>
      </c>
      <c r="BD289" s="3" t="s">
        <v>3</v>
      </c>
      <c r="BE289" s="3" t="s">
        <v>4</v>
      </c>
      <c r="BF289" s="3" t="s">
        <v>5</v>
      </c>
      <c r="BG289" s="3" t="s">
        <v>6</v>
      </c>
      <c r="BH289" s="3" t="s">
        <v>7</v>
      </c>
      <c r="BI289" s="3" t="s">
        <v>8</v>
      </c>
      <c r="BK289" s="3" t="s">
        <v>2</v>
      </c>
      <c r="BL289" s="3" t="s">
        <v>6</v>
      </c>
      <c r="BM289" s="3" t="s">
        <v>7</v>
      </c>
      <c r="BN289" s="3" t="s">
        <v>8</v>
      </c>
      <c r="BO289" s="3" t="s">
        <v>9</v>
      </c>
      <c r="BP289" s="3" t="s">
        <v>322</v>
      </c>
      <c r="BQ289" s="3" t="s">
        <v>323</v>
      </c>
      <c r="BR289" s="3" t="s">
        <v>322</v>
      </c>
      <c r="BS289" s="3" t="s">
        <v>323</v>
      </c>
    </row>
    <row r="290" spans="1:71" x14ac:dyDescent="0.3">
      <c r="A290" s="3" t="s">
        <v>134</v>
      </c>
      <c r="B290" s="3">
        <v>0.9</v>
      </c>
      <c r="C290" s="3">
        <v>0.5</v>
      </c>
      <c r="D290" s="3">
        <v>0.6</v>
      </c>
      <c r="E290" s="3">
        <v>0.32</v>
      </c>
      <c r="F290" s="7">
        <v>618.86218299999996</v>
      </c>
      <c r="G290" s="3">
        <v>2E-3</v>
      </c>
      <c r="I290" s="3" t="s">
        <v>134</v>
      </c>
      <c r="J290" s="3">
        <v>0.3</v>
      </c>
      <c r="K290" s="6">
        <v>607.25</v>
      </c>
      <c r="L290" s="3">
        <v>0</v>
      </c>
      <c r="M290" s="3">
        <f t="shared" ref="M290:M319" si="32">AVERAGE(E290,J290)</f>
        <v>0.31</v>
      </c>
      <c r="N290" s="4" t="s">
        <v>320</v>
      </c>
      <c r="O290" s="4" t="s">
        <v>320</v>
      </c>
      <c r="P290" s="4" t="s">
        <v>321</v>
      </c>
      <c r="Q290" s="4" t="s">
        <v>321</v>
      </c>
      <c r="R290" s="1"/>
      <c r="S290" s="3" t="s">
        <v>134</v>
      </c>
      <c r="T290" s="3">
        <v>0.9</v>
      </c>
      <c r="U290" s="3">
        <v>0.5</v>
      </c>
      <c r="V290" s="3">
        <v>0.6</v>
      </c>
      <c r="W290" s="3">
        <v>0.31</v>
      </c>
      <c r="X290" s="6">
        <v>606.68914800000005</v>
      </c>
      <c r="Y290" s="3">
        <v>1E-3</v>
      </c>
      <c r="AA290" s="3" t="s">
        <v>134</v>
      </c>
      <c r="AB290" s="3">
        <v>0.3</v>
      </c>
      <c r="AC290" s="8">
        <v>606.72106900000006</v>
      </c>
      <c r="AD290" s="3">
        <v>0</v>
      </c>
      <c r="AE290" s="3">
        <f t="shared" ref="AE290:AE319" si="33">AVERAGE(W290,AB290)</f>
        <v>0.30499999999999999</v>
      </c>
      <c r="AF290" s="4" t="s">
        <v>320</v>
      </c>
      <c r="AG290" s="4" t="s">
        <v>320</v>
      </c>
      <c r="AH290" s="4" t="s">
        <v>321</v>
      </c>
      <c r="AI290" s="4" t="s">
        <v>321</v>
      </c>
      <c r="AJ290" s="1"/>
      <c r="AK290" s="3" t="s">
        <v>135</v>
      </c>
      <c r="AL290" s="3">
        <v>0.9</v>
      </c>
      <c r="AM290" s="3">
        <v>0.5</v>
      </c>
      <c r="AN290" s="3">
        <v>0.6</v>
      </c>
      <c r="AO290" s="3">
        <v>0.31</v>
      </c>
      <c r="AP290" s="7">
        <v>820.71569799999997</v>
      </c>
      <c r="AQ290" s="3">
        <v>5.0000000000000001E-3</v>
      </c>
      <c r="AS290" s="3" t="s">
        <v>135</v>
      </c>
      <c r="AT290" s="3">
        <v>0.31</v>
      </c>
      <c r="AU290" s="6">
        <v>815.72100799999998</v>
      </c>
      <c r="AV290" s="3">
        <v>0</v>
      </c>
      <c r="AW290" s="3">
        <f t="shared" ref="AW290:AW319" si="34">AVERAGE(AO290,AT290)</f>
        <v>0.31</v>
      </c>
      <c r="AX290" s="4" t="s">
        <v>320</v>
      </c>
      <c r="AY290" s="4" t="s">
        <v>320</v>
      </c>
      <c r="AZ290" s="4" t="s">
        <v>321</v>
      </c>
      <c r="BA290" s="4" t="s">
        <v>321</v>
      </c>
      <c r="BB290" s="1"/>
      <c r="BC290" s="3" t="s">
        <v>135</v>
      </c>
      <c r="BD290" s="3">
        <v>0.9</v>
      </c>
      <c r="BE290" s="3">
        <v>0.5</v>
      </c>
      <c r="BF290" s="3">
        <v>0.6</v>
      </c>
      <c r="BG290" s="3">
        <v>0.32</v>
      </c>
      <c r="BH290" s="6">
        <v>793.01953100000003</v>
      </c>
      <c r="BI290" s="3">
        <v>8.0000000000000002E-3</v>
      </c>
      <c r="BK290" s="3" t="s">
        <v>135</v>
      </c>
      <c r="BL290" s="3">
        <v>0.32</v>
      </c>
      <c r="BM290" s="7">
        <v>807.54827899999998</v>
      </c>
      <c r="BN290" s="3">
        <v>0</v>
      </c>
      <c r="BO290" s="3">
        <f t="shared" ref="BO290:BO319" si="35">AVERAGE(BG290,BL290)</f>
        <v>0.32</v>
      </c>
      <c r="BP290" s="4" t="s">
        <v>320</v>
      </c>
      <c r="BQ290" s="4" t="s">
        <v>320</v>
      </c>
      <c r="BR290" s="4" t="s">
        <v>321</v>
      </c>
      <c r="BS290" s="4" t="s">
        <v>321</v>
      </c>
    </row>
    <row r="291" spans="1:71" x14ac:dyDescent="0.3">
      <c r="A291" s="3" t="s">
        <v>136</v>
      </c>
      <c r="B291" s="3">
        <v>0.9</v>
      </c>
      <c r="C291" s="3">
        <v>0.5</v>
      </c>
      <c r="D291" s="3">
        <v>0.6</v>
      </c>
      <c r="E291" s="3">
        <v>0.3</v>
      </c>
      <c r="F291" s="7">
        <v>555.65643299999999</v>
      </c>
      <c r="G291" s="3">
        <v>1E-3</v>
      </c>
      <c r="I291" s="3" t="s">
        <v>136</v>
      </c>
      <c r="J291" s="3">
        <v>0.3</v>
      </c>
      <c r="K291" s="6">
        <v>543.97082499999999</v>
      </c>
      <c r="L291" s="3">
        <v>0</v>
      </c>
      <c r="M291" s="3">
        <f t="shared" si="32"/>
        <v>0.3</v>
      </c>
      <c r="N291" s="3">
        <f>COUNT(F292,F294:F295,F297,F300:F302,F306,F309:F312,F315:F316,F318)</f>
        <v>15</v>
      </c>
      <c r="O291" s="3">
        <f>30-N291</f>
        <v>15</v>
      </c>
      <c r="P291" s="3">
        <f>COUNT(K290:K291,K293:K294,K296,K298:K299,K301,K303:K305,K307:K308,K313:K314,K317,K319)</f>
        <v>17</v>
      </c>
      <c r="Q291" s="3">
        <f>30-P291</f>
        <v>13</v>
      </c>
      <c r="R291" s="1"/>
      <c r="S291" s="3" t="s">
        <v>136</v>
      </c>
      <c r="T291" s="3">
        <v>0.9</v>
      </c>
      <c r="U291" s="3">
        <v>0.5</v>
      </c>
      <c r="V291" s="3">
        <v>0.6</v>
      </c>
      <c r="W291" s="3">
        <v>0.37</v>
      </c>
      <c r="X291" s="8">
        <v>536.50457800000004</v>
      </c>
      <c r="Y291" s="3">
        <v>1E-3</v>
      </c>
      <c r="AA291" s="3" t="s">
        <v>136</v>
      </c>
      <c r="AB291" s="3">
        <v>0.36</v>
      </c>
      <c r="AC291" s="6">
        <v>536.11779799999999</v>
      </c>
      <c r="AD291" s="3">
        <v>0</v>
      </c>
      <c r="AE291" s="3">
        <f t="shared" si="33"/>
        <v>0.36499999999999999</v>
      </c>
      <c r="AF291" s="3">
        <f>COUNT(X290:X300,X302,X304:X305,X307:X311,X316:X319)</f>
        <v>23</v>
      </c>
      <c r="AG291" s="3">
        <f>30-AF291</f>
        <v>7</v>
      </c>
      <c r="AH291" s="3">
        <f>COUNT(AC290:AC291,AC295,AC298,AC301,AC303,AC305:AC306,AC312:AC314,AC316)</f>
        <v>12</v>
      </c>
      <c r="AI291" s="3">
        <f>30-AH291</f>
        <v>18</v>
      </c>
      <c r="AJ291" s="1"/>
      <c r="AK291" s="3" t="s">
        <v>137</v>
      </c>
      <c r="AL291" s="3">
        <v>0.9</v>
      </c>
      <c r="AM291" s="3">
        <v>0.5</v>
      </c>
      <c r="AN291" s="3">
        <v>0.6</v>
      </c>
      <c r="AO291" s="3">
        <v>0.32</v>
      </c>
      <c r="AP291" s="6">
        <v>899.66082800000004</v>
      </c>
      <c r="AQ291" s="3">
        <v>6.0000000000000001E-3</v>
      </c>
      <c r="AS291" s="3" t="s">
        <v>137</v>
      </c>
      <c r="AT291" s="3">
        <v>0.3</v>
      </c>
      <c r="AU291" s="7">
        <v>911.36010699999997</v>
      </c>
      <c r="AV291" s="3">
        <v>1E-3</v>
      </c>
      <c r="AW291" s="3">
        <f t="shared" si="34"/>
        <v>0.31</v>
      </c>
      <c r="AX291" s="3">
        <f>COUNT(AP291,AP293,AP298:AP299,AP302,AP304,AP306:AP307,AP309:AP311,AP313:AP315,AP317,AP319)</f>
        <v>16</v>
      </c>
      <c r="AY291" s="3">
        <f>30-AX291</f>
        <v>14</v>
      </c>
      <c r="AZ291" s="3">
        <f>COUNT(AU290,AU292,AU294:AU297,AU300:AU301,AU303,AU305,AU308,AU312,AU316,AU318)</f>
        <v>14</v>
      </c>
      <c r="BA291" s="3">
        <f>30-AZ291</f>
        <v>16</v>
      </c>
      <c r="BB291" s="1"/>
      <c r="BC291" s="3" t="s">
        <v>137</v>
      </c>
      <c r="BD291" s="3">
        <v>0.9</v>
      </c>
      <c r="BE291" s="3">
        <v>0.5</v>
      </c>
      <c r="BF291" s="3">
        <v>0.6</v>
      </c>
      <c r="BG291" s="3">
        <v>0.31</v>
      </c>
      <c r="BH291" s="6">
        <v>888.563354</v>
      </c>
      <c r="BI291" s="3">
        <v>6.0000000000000001E-3</v>
      </c>
      <c r="BK291" s="3" t="s">
        <v>137</v>
      </c>
      <c r="BL291" s="3">
        <v>0.3</v>
      </c>
      <c r="BM291" s="7">
        <v>902.87145999999996</v>
      </c>
      <c r="BN291" s="3">
        <v>0</v>
      </c>
      <c r="BO291" s="3">
        <f t="shared" si="35"/>
        <v>0.30499999999999999</v>
      </c>
      <c r="BP291" s="3">
        <f>COUNT(BH290:BH292,BH295:BH296,BH301,BH303:BH306,BH308:BH311,BH313:BH314,BH316)</f>
        <v>17</v>
      </c>
      <c r="BQ291" s="3">
        <f>30-BP291</f>
        <v>13</v>
      </c>
      <c r="BR291" s="3">
        <f>COUNT(BM293:BM294,BM297:BM300,BM302,BM307,BM312,BM315,BM317:BM319)</f>
        <v>13</v>
      </c>
      <c r="BS291" s="3">
        <f>30-BR291</f>
        <v>17</v>
      </c>
    </row>
    <row r="292" spans="1:71" x14ac:dyDescent="0.3">
      <c r="A292" s="3" t="s">
        <v>138</v>
      </c>
      <c r="B292" s="3">
        <v>0.9</v>
      </c>
      <c r="C292" s="3">
        <v>0.5</v>
      </c>
      <c r="D292" s="3">
        <v>0.6</v>
      </c>
      <c r="E292" s="3">
        <v>0.3</v>
      </c>
      <c r="F292" s="6">
        <v>615.25195299999996</v>
      </c>
      <c r="G292" s="3">
        <v>2E-3</v>
      </c>
      <c r="I292" s="3" t="s">
        <v>138</v>
      </c>
      <c r="J292" s="3">
        <v>0.33</v>
      </c>
      <c r="K292" s="7">
        <v>619.77984600000002</v>
      </c>
      <c r="L292" s="3">
        <v>0</v>
      </c>
      <c r="M292" s="3">
        <f t="shared" si="32"/>
        <v>0.315</v>
      </c>
      <c r="N292" s="5"/>
      <c r="O292" s="5"/>
      <c r="P292" s="5"/>
      <c r="Q292" s="5"/>
      <c r="R292" s="1"/>
      <c r="S292" s="3" t="s">
        <v>138</v>
      </c>
      <c r="T292" s="3">
        <v>0.9</v>
      </c>
      <c r="U292" s="3">
        <v>0.5</v>
      </c>
      <c r="V292" s="3">
        <v>0.6</v>
      </c>
      <c r="W292" s="3">
        <v>0.3</v>
      </c>
      <c r="X292" s="6">
        <v>601.32372999999995</v>
      </c>
      <c r="Y292" s="3">
        <v>2E-3</v>
      </c>
      <c r="AA292" s="3" t="s">
        <v>138</v>
      </c>
      <c r="AB292" s="3">
        <v>0.3</v>
      </c>
      <c r="AC292" s="7">
        <v>605.47491500000001</v>
      </c>
      <c r="AD292" s="3">
        <v>0</v>
      </c>
      <c r="AE292" s="3">
        <f t="shared" si="33"/>
        <v>0.3</v>
      </c>
      <c r="AF292" s="5"/>
      <c r="AG292" s="5"/>
      <c r="AH292" s="5"/>
      <c r="AI292" s="5"/>
      <c r="AJ292" s="1"/>
      <c r="AK292" s="3" t="s">
        <v>139</v>
      </c>
      <c r="AL292" s="3">
        <v>0.9</v>
      </c>
      <c r="AM292" s="3">
        <v>0.5</v>
      </c>
      <c r="AN292" s="3">
        <v>0.6</v>
      </c>
      <c r="AO292" s="3">
        <v>0.3</v>
      </c>
      <c r="AP292" s="7">
        <v>939.90295400000002</v>
      </c>
      <c r="AQ292" s="3">
        <v>5.0000000000000001E-3</v>
      </c>
      <c r="AS292" s="3" t="s">
        <v>139</v>
      </c>
      <c r="AT292" s="3">
        <v>0.32</v>
      </c>
      <c r="AU292" s="6">
        <v>936.78161599999999</v>
      </c>
      <c r="AV292" s="3">
        <v>0</v>
      </c>
      <c r="AW292" s="3">
        <f t="shared" si="34"/>
        <v>0.31</v>
      </c>
      <c r="AX292" s="5"/>
      <c r="AY292" s="5"/>
      <c r="AZ292" s="5"/>
      <c r="BA292" s="5"/>
      <c r="BB292" s="1"/>
      <c r="BC292" s="3" t="s">
        <v>139</v>
      </c>
      <c r="BD292" s="3">
        <v>0.9</v>
      </c>
      <c r="BE292" s="3">
        <v>0.5</v>
      </c>
      <c r="BF292" s="3">
        <v>0.6</v>
      </c>
      <c r="BG292" s="3">
        <v>0.31</v>
      </c>
      <c r="BH292" s="6">
        <v>910.02710000000002</v>
      </c>
      <c r="BI292" s="3">
        <v>6.0000000000000001E-3</v>
      </c>
      <c r="BK292" s="3" t="s">
        <v>139</v>
      </c>
      <c r="BL292" s="3">
        <v>0.3</v>
      </c>
      <c r="BM292" s="7">
        <v>928.70819100000006</v>
      </c>
      <c r="BN292" s="3">
        <v>1E-3</v>
      </c>
      <c r="BO292" s="3">
        <f t="shared" si="35"/>
        <v>0.30499999999999999</v>
      </c>
    </row>
    <row r="293" spans="1:71" x14ac:dyDescent="0.3">
      <c r="A293" s="3" t="s">
        <v>140</v>
      </c>
      <c r="B293" s="3">
        <v>0.9</v>
      </c>
      <c r="C293" s="3">
        <v>0.5</v>
      </c>
      <c r="D293" s="3">
        <v>0.6</v>
      </c>
      <c r="E293" s="3">
        <v>0.33</v>
      </c>
      <c r="F293" s="7">
        <v>618.29986599999995</v>
      </c>
      <c r="G293" s="3">
        <v>1E-3</v>
      </c>
      <c r="I293" s="3" t="s">
        <v>140</v>
      </c>
      <c r="J293" s="3">
        <v>0.3</v>
      </c>
      <c r="K293" s="6">
        <v>614.26745600000004</v>
      </c>
      <c r="L293" s="3">
        <v>0</v>
      </c>
      <c r="M293" s="3">
        <f t="shared" si="32"/>
        <v>0.315</v>
      </c>
      <c r="N293" s="5"/>
      <c r="O293" s="5"/>
      <c r="P293" s="5"/>
      <c r="Q293" s="5"/>
      <c r="R293" s="1"/>
      <c r="S293" s="3" t="s">
        <v>140</v>
      </c>
      <c r="T293" s="3">
        <v>0.9</v>
      </c>
      <c r="U293" s="3">
        <v>0.5</v>
      </c>
      <c r="V293" s="3">
        <v>0.6</v>
      </c>
      <c r="W293" s="3">
        <v>0.32</v>
      </c>
      <c r="X293" s="6">
        <v>603.94732699999997</v>
      </c>
      <c r="Y293" s="3">
        <v>1E-3</v>
      </c>
      <c r="AA293" s="3" t="s">
        <v>140</v>
      </c>
      <c r="AB293" s="3">
        <v>0.4</v>
      </c>
      <c r="AC293" s="7">
        <v>614.67199700000003</v>
      </c>
      <c r="AD293" s="3">
        <v>0</v>
      </c>
      <c r="AE293" s="3">
        <f t="shared" si="33"/>
        <v>0.36</v>
      </c>
      <c r="AF293" s="5"/>
      <c r="AG293" s="5"/>
      <c r="AH293" s="5"/>
      <c r="AI293" s="5"/>
      <c r="AJ293" s="1"/>
      <c r="AK293" s="3" t="s">
        <v>141</v>
      </c>
      <c r="AL293" s="3">
        <v>0.9</v>
      </c>
      <c r="AM293" s="3">
        <v>0.5</v>
      </c>
      <c r="AN293" s="3">
        <v>0.6</v>
      </c>
      <c r="AO293" s="3">
        <v>0.31</v>
      </c>
      <c r="AP293" s="6">
        <v>973.16320800000005</v>
      </c>
      <c r="AQ293" s="3">
        <v>6.0000000000000001E-3</v>
      </c>
      <c r="AS293" s="3" t="s">
        <v>141</v>
      </c>
      <c r="AT293" s="3">
        <v>0.31</v>
      </c>
      <c r="AU293" s="7">
        <v>978.36321999999996</v>
      </c>
      <c r="AV293" s="3">
        <v>0</v>
      </c>
      <c r="AW293" s="3">
        <f t="shared" si="34"/>
        <v>0.31</v>
      </c>
      <c r="AX293" s="5"/>
      <c r="AY293" s="5"/>
      <c r="AZ293" s="5"/>
      <c r="BA293" s="5"/>
      <c r="BB293" s="1"/>
      <c r="BC293" s="3" t="s">
        <v>141</v>
      </c>
      <c r="BD293" s="3">
        <v>0.9</v>
      </c>
      <c r="BE293" s="3">
        <v>0.5</v>
      </c>
      <c r="BF293" s="3">
        <v>0.6</v>
      </c>
      <c r="BG293" s="3">
        <v>0.3</v>
      </c>
      <c r="BH293" s="7">
        <v>977.66772500000002</v>
      </c>
      <c r="BI293" s="3">
        <v>0.01</v>
      </c>
      <c r="BK293" s="3" t="s">
        <v>141</v>
      </c>
      <c r="BL293" s="3">
        <v>0.3</v>
      </c>
      <c r="BM293" s="6">
        <v>974.71319600000004</v>
      </c>
      <c r="BN293" s="3">
        <v>1E-3</v>
      </c>
      <c r="BO293" s="3">
        <f t="shared" si="35"/>
        <v>0.3</v>
      </c>
    </row>
    <row r="294" spans="1:71" x14ac:dyDescent="0.3">
      <c r="A294" s="3" t="s">
        <v>142</v>
      </c>
      <c r="B294" s="3">
        <v>0.9</v>
      </c>
      <c r="C294" s="3">
        <v>0.5</v>
      </c>
      <c r="D294" s="3">
        <v>0.6</v>
      </c>
      <c r="E294" s="3">
        <v>0.3</v>
      </c>
      <c r="F294" s="6">
        <v>535.24340800000004</v>
      </c>
      <c r="G294" s="3">
        <v>2E-3</v>
      </c>
      <c r="I294" s="3" t="s">
        <v>142</v>
      </c>
      <c r="J294" s="3">
        <v>0.32</v>
      </c>
      <c r="K294" s="8">
        <v>535.40045199999997</v>
      </c>
      <c r="L294" s="3">
        <v>1E-3</v>
      </c>
      <c r="M294" s="3">
        <f t="shared" si="32"/>
        <v>0.31</v>
      </c>
      <c r="N294" s="5"/>
      <c r="O294" s="5"/>
      <c r="P294" s="5"/>
      <c r="Q294" s="5"/>
      <c r="R294" s="1"/>
      <c r="S294" s="3" t="s">
        <v>142</v>
      </c>
      <c r="T294" s="3">
        <v>0.9</v>
      </c>
      <c r="U294" s="3">
        <v>0.5</v>
      </c>
      <c r="V294" s="3">
        <v>0.6</v>
      </c>
      <c r="W294" s="3">
        <v>0.39</v>
      </c>
      <c r="X294" s="6">
        <v>517.62255900000002</v>
      </c>
      <c r="Y294" s="3">
        <v>2E-3</v>
      </c>
      <c r="AA294" s="3" t="s">
        <v>142</v>
      </c>
      <c r="AB294" s="3">
        <v>0.3</v>
      </c>
      <c r="AC294" s="7">
        <v>519.75720200000001</v>
      </c>
      <c r="AD294" s="3">
        <v>0</v>
      </c>
      <c r="AE294" s="3">
        <f t="shared" si="33"/>
        <v>0.34499999999999997</v>
      </c>
      <c r="AF294" s="5"/>
      <c r="AG294" s="5"/>
      <c r="AH294" s="5"/>
      <c r="AI294" s="5"/>
      <c r="AJ294" s="1"/>
      <c r="AK294" s="3" t="s">
        <v>143</v>
      </c>
      <c r="AL294" s="3">
        <v>0.9</v>
      </c>
      <c r="AM294" s="3">
        <v>0.5</v>
      </c>
      <c r="AN294" s="3">
        <v>0.6</v>
      </c>
      <c r="AO294" s="3">
        <v>0.3</v>
      </c>
      <c r="AP294" s="7">
        <v>925.85375999999997</v>
      </c>
      <c r="AQ294" s="3">
        <v>6.0000000000000001E-3</v>
      </c>
      <c r="AS294" s="3" t="s">
        <v>143</v>
      </c>
      <c r="AT294" s="3">
        <v>0.3</v>
      </c>
      <c r="AU294" s="6">
        <v>892.81756600000006</v>
      </c>
      <c r="AV294" s="3">
        <v>0</v>
      </c>
      <c r="AW294" s="3">
        <f t="shared" si="34"/>
        <v>0.3</v>
      </c>
      <c r="AX294" s="5"/>
      <c r="AY294" s="5"/>
      <c r="AZ294" s="5"/>
      <c r="BA294" s="5"/>
      <c r="BB294" s="1"/>
      <c r="BC294" s="3" t="s">
        <v>143</v>
      </c>
      <c r="BD294" s="3">
        <v>0.9</v>
      </c>
      <c r="BE294" s="3">
        <v>0.5</v>
      </c>
      <c r="BF294" s="3">
        <v>0.6</v>
      </c>
      <c r="BG294" s="3">
        <v>0.3</v>
      </c>
      <c r="BH294" s="7">
        <v>906.01513699999998</v>
      </c>
      <c r="BI294" s="3">
        <v>6.0000000000000001E-3</v>
      </c>
      <c r="BK294" s="3" t="s">
        <v>143</v>
      </c>
      <c r="BL294" s="3">
        <v>0.3</v>
      </c>
      <c r="BM294" s="6">
        <v>891.27801499999998</v>
      </c>
      <c r="BN294" s="3">
        <v>1E-3</v>
      </c>
      <c r="BO294" s="3">
        <f t="shared" si="35"/>
        <v>0.3</v>
      </c>
    </row>
    <row r="295" spans="1:71" x14ac:dyDescent="0.3">
      <c r="A295" s="3" t="s">
        <v>144</v>
      </c>
      <c r="B295" s="3">
        <v>0.9</v>
      </c>
      <c r="C295" s="3">
        <v>0.5</v>
      </c>
      <c r="D295" s="3">
        <v>0.6</v>
      </c>
      <c r="E295" s="3">
        <v>0.3</v>
      </c>
      <c r="F295" s="6">
        <v>624.47546399999999</v>
      </c>
      <c r="G295" s="3">
        <v>2E-3</v>
      </c>
      <c r="I295" s="3" t="s">
        <v>144</v>
      </c>
      <c r="J295" s="3">
        <v>0.38</v>
      </c>
      <c r="K295" s="7">
        <v>634.73767099999998</v>
      </c>
      <c r="L295" s="3">
        <v>0</v>
      </c>
      <c r="M295" s="3">
        <f t="shared" si="32"/>
        <v>0.33999999999999997</v>
      </c>
      <c r="N295" s="5"/>
      <c r="O295" s="5"/>
      <c r="P295" s="5"/>
      <c r="Q295" s="5"/>
      <c r="R295" s="1"/>
      <c r="S295" s="3" t="s">
        <v>144</v>
      </c>
      <c r="T295" s="3">
        <v>0.9</v>
      </c>
      <c r="U295" s="3">
        <v>0.5</v>
      </c>
      <c r="V295" s="3">
        <v>0.6</v>
      </c>
      <c r="W295" s="3">
        <v>0.3</v>
      </c>
      <c r="X295" s="6">
        <v>619.64489700000001</v>
      </c>
      <c r="Y295" s="3">
        <v>2E-3</v>
      </c>
      <c r="AA295" s="3" t="s">
        <v>144</v>
      </c>
      <c r="AB295" s="3">
        <v>0.36</v>
      </c>
      <c r="AC295" s="8">
        <v>619.68957499999999</v>
      </c>
      <c r="AD295" s="3">
        <v>0</v>
      </c>
      <c r="AE295" s="3">
        <f t="shared" si="33"/>
        <v>0.32999999999999996</v>
      </c>
      <c r="AF295" s="5"/>
      <c r="AG295" s="5"/>
      <c r="AH295" s="5"/>
      <c r="AI295" s="5"/>
      <c r="AJ295" s="1"/>
      <c r="AK295" s="3" t="s">
        <v>145</v>
      </c>
      <c r="AL295" s="3">
        <v>0.9</v>
      </c>
      <c r="AM295" s="3">
        <v>0.5</v>
      </c>
      <c r="AN295" s="3">
        <v>0.6</v>
      </c>
      <c r="AO295" s="3">
        <v>0.3</v>
      </c>
      <c r="AP295" s="7">
        <v>924.42791699999998</v>
      </c>
      <c r="AQ295" s="3">
        <v>6.0000000000000001E-3</v>
      </c>
      <c r="AS295" s="3" t="s">
        <v>145</v>
      </c>
      <c r="AT295" s="3">
        <v>0.34</v>
      </c>
      <c r="AU295" s="6">
        <v>916.83697500000005</v>
      </c>
      <c r="AV295" s="3">
        <v>0</v>
      </c>
      <c r="AW295" s="3">
        <f t="shared" si="34"/>
        <v>0.32</v>
      </c>
      <c r="AX295" s="5"/>
      <c r="AY295" s="5"/>
      <c r="AZ295" s="5"/>
      <c r="BA295" s="5"/>
      <c r="BB295" s="1"/>
      <c r="BC295" s="3" t="s">
        <v>145</v>
      </c>
      <c r="BD295" s="3">
        <v>0.9</v>
      </c>
      <c r="BE295" s="3">
        <v>0.5</v>
      </c>
      <c r="BF295" s="3">
        <v>0.6</v>
      </c>
      <c r="BG295" s="3">
        <v>0.35</v>
      </c>
      <c r="BH295" s="6">
        <v>909.53112799999997</v>
      </c>
      <c r="BI295" s="3">
        <v>1.0999999999999999E-2</v>
      </c>
      <c r="BK295" s="3" t="s">
        <v>145</v>
      </c>
      <c r="BL295" s="3">
        <v>0.3</v>
      </c>
      <c r="BM295" s="7">
        <v>918.56970200000001</v>
      </c>
      <c r="BN295" s="3">
        <v>0</v>
      </c>
      <c r="BO295" s="3">
        <f t="shared" si="35"/>
        <v>0.32499999999999996</v>
      </c>
    </row>
    <row r="296" spans="1:71" x14ac:dyDescent="0.3">
      <c r="A296" s="3" t="s">
        <v>146</v>
      </c>
      <c r="B296" s="3">
        <v>0.9</v>
      </c>
      <c r="C296" s="3">
        <v>0.5</v>
      </c>
      <c r="D296" s="3">
        <v>0.6</v>
      </c>
      <c r="E296" s="3">
        <v>0.31</v>
      </c>
      <c r="F296" s="7">
        <v>575.52886999999998</v>
      </c>
      <c r="G296" s="3">
        <v>2E-3</v>
      </c>
      <c r="I296" s="3" t="s">
        <v>146</v>
      </c>
      <c r="J296" s="3">
        <v>0.31</v>
      </c>
      <c r="K296" s="6">
        <v>571.61218299999996</v>
      </c>
      <c r="L296" s="3">
        <v>1E-3</v>
      </c>
      <c r="M296" s="3">
        <f t="shared" si="32"/>
        <v>0.31</v>
      </c>
      <c r="N296" s="5"/>
      <c r="O296" s="5"/>
      <c r="P296" s="5"/>
      <c r="Q296" s="5"/>
      <c r="R296" s="1"/>
      <c r="S296" s="3" t="s">
        <v>146</v>
      </c>
      <c r="T296" s="3">
        <v>0.9</v>
      </c>
      <c r="U296" s="3">
        <v>0.5</v>
      </c>
      <c r="V296" s="3">
        <v>0.6</v>
      </c>
      <c r="W296" s="3">
        <v>0.31</v>
      </c>
      <c r="X296" s="6">
        <v>554.22308299999997</v>
      </c>
      <c r="Y296" s="3">
        <v>2E-3</v>
      </c>
      <c r="AA296" s="3" t="s">
        <v>146</v>
      </c>
      <c r="AB296" s="3">
        <v>0.3</v>
      </c>
      <c r="AC296" s="7">
        <v>561.83477800000003</v>
      </c>
      <c r="AD296" s="3">
        <v>1E-3</v>
      </c>
      <c r="AE296" s="3">
        <f t="shared" si="33"/>
        <v>0.30499999999999999</v>
      </c>
      <c r="AF296" s="5"/>
      <c r="AG296" s="5"/>
      <c r="AH296" s="5"/>
      <c r="AI296" s="5"/>
      <c r="AJ296" s="1"/>
      <c r="AK296" s="3" t="s">
        <v>147</v>
      </c>
      <c r="AL296" s="3">
        <v>0.9</v>
      </c>
      <c r="AM296" s="3">
        <v>0.5</v>
      </c>
      <c r="AN296" s="3">
        <v>0.6</v>
      </c>
      <c r="AO296" s="3">
        <v>0.31</v>
      </c>
      <c r="AP296" s="7">
        <v>896.30426</v>
      </c>
      <c r="AQ296" s="3">
        <v>5.0000000000000001E-3</v>
      </c>
      <c r="AS296" s="3" t="s">
        <v>147</v>
      </c>
      <c r="AT296" s="3">
        <v>0.32</v>
      </c>
      <c r="AU296" s="6">
        <v>865.79040499999996</v>
      </c>
      <c r="AV296" s="3">
        <v>0</v>
      </c>
      <c r="AW296" s="3">
        <f t="shared" si="34"/>
        <v>0.315</v>
      </c>
      <c r="AX296" s="5"/>
      <c r="AY296" s="5"/>
      <c r="AZ296" s="5"/>
      <c r="BA296" s="5"/>
      <c r="BB296" s="1"/>
      <c r="BC296" s="3" t="s">
        <v>147</v>
      </c>
      <c r="BD296" s="3">
        <v>0.9</v>
      </c>
      <c r="BE296" s="3">
        <v>0.5</v>
      </c>
      <c r="BF296" s="3">
        <v>0.6</v>
      </c>
      <c r="BG296" s="3">
        <v>0.3</v>
      </c>
      <c r="BH296" s="6">
        <v>876.181152</v>
      </c>
      <c r="BI296" s="3">
        <v>8.0000000000000002E-3</v>
      </c>
      <c r="BK296" s="3" t="s">
        <v>147</v>
      </c>
      <c r="BL296" s="3">
        <v>0.35</v>
      </c>
      <c r="BM296" s="7">
        <v>881.72283900000002</v>
      </c>
      <c r="BN296" s="3">
        <v>0</v>
      </c>
      <c r="BO296" s="3">
        <f t="shared" si="35"/>
        <v>0.32499999999999996</v>
      </c>
    </row>
    <row r="297" spans="1:71" x14ac:dyDescent="0.3">
      <c r="A297" s="3" t="s">
        <v>148</v>
      </c>
      <c r="B297" s="3">
        <v>0.9</v>
      </c>
      <c r="C297" s="3">
        <v>0.5</v>
      </c>
      <c r="D297" s="3">
        <v>0.6</v>
      </c>
      <c r="E297" s="3">
        <v>0.32</v>
      </c>
      <c r="F297" s="6">
        <v>607.64044200000001</v>
      </c>
      <c r="G297" s="3">
        <v>1E-3</v>
      </c>
      <c r="I297" s="3" t="s">
        <v>148</v>
      </c>
      <c r="J297" s="3">
        <v>0.35</v>
      </c>
      <c r="K297" s="7">
        <v>611.92559800000004</v>
      </c>
      <c r="L297" s="3">
        <v>0</v>
      </c>
      <c r="M297" s="3">
        <f t="shared" si="32"/>
        <v>0.33499999999999996</v>
      </c>
      <c r="N297" s="5"/>
      <c r="O297" s="5"/>
      <c r="P297" s="5"/>
      <c r="Q297" s="5"/>
      <c r="R297" s="1"/>
      <c r="S297" s="3" t="s">
        <v>148</v>
      </c>
      <c r="T297" s="3">
        <v>0.9</v>
      </c>
      <c r="U297" s="3">
        <v>0.5</v>
      </c>
      <c r="V297" s="3">
        <v>0.6</v>
      </c>
      <c r="W297" s="3">
        <v>0.32</v>
      </c>
      <c r="X297" s="6">
        <v>592.40100099999995</v>
      </c>
      <c r="Y297" s="3">
        <v>2E-3</v>
      </c>
      <c r="AA297" s="3" t="s">
        <v>148</v>
      </c>
      <c r="AB297" s="3">
        <v>0.35</v>
      </c>
      <c r="AC297" s="7">
        <v>614.13488800000005</v>
      </c>
      <c r="AD297" s="3">
        <v>1E-3</v>
      </c>
      <c r="AE297" s="3">
        <f t="shared" si="33"/>
        <v>0.33499999999999996</v>
      </c>
      <c r="AF297" s="5"/>
      <c r="AG297" s="5"/>
      <c r="AH297" s="5"/>
      <c r="AI297" s="5"/>
      <c r="AJ297" s="1"/>
      <c r="AK297" s="3" t="s">
        <v>149</v>
      </c>
      <c r="AL297" s="3">
        <v>0.9</v>
      </c>
      <c r="AM297" s="3">
        <v>0.5</v>
      </c>
      <c r="AN297" s="3">
        <v>0.6</v>
      </c>
      <c r="AO297" s="3">
        <v>0.3</v>
      </c>
      <c r="AP297" s="7">
        <v>897.37554899999998</v>
      </c>
      <c r="AQ297" s="3">
        <v>6.0000000000000001E-3</v>
      </c>
      <c r="AS297" s="3" t="s">
        <v>149</v>
      </c>
      <c r="AT297" s="3">
        <v>0.31</v>
      </c>
      <c r="AU297" s="6">
        <v>870.79742399999998</v>
      </c>
      <c r="AV297" s="3">
        <v>1E-3</v>
      </c>
      <c r="AW297" s="3">
        <f t="shared" si="34"/>
        <v>0.30499999999999999</v>
      </c>
      <c r="AX297" s="5"/>
      <c r="AY297" s="5"/>
      <c r="AZ297" s="5"/>
      <c r="BA297" s="5"/>
      <c r="BB297" s="1"/>
      <c r="BC297" s="3" t="s">
        <v>149</v>
      </c>
      <c r="BD297" s="3">
        <v>0.9</v>
      </c>
      <c r="BE297" s="3">
        <v>0.5</v>
      </c>
      <c r="BF297" s="3">
        <v>0.6</v>
      </c>
      <c r="BG297" s="3">
        <v>0.34</v>
      </c>
      <c r="BH297" s="7">
        <v>894.38647500000002</v>
      </c>
      <c r="BI297" s="3">
        <v>6.0000000000000001E-3</v>
      </c>
      <c r="BK297" s="3" t="s">
        <v>149</v>
      </c>
      <c r="BL297" s="3">
        <v>0.31</v>
      </c>
      <c r="BM297" s="6">
        <v>886.68170199999997</v>
      </c>
      <c r="BN297" s="3">
        <v>1E-3</v>
      </c>
      <c r="BO297" s="3">
        <f t="shared" si="35"/>
        <v>0.32500000000000001</v>
      </c>
    </row>
    <row r="298" spans="1:71" x14ac:dyDescent="0.3">
      <c r="A298" s="3" t="s">
        <v>150</v>
      </c>
      <c r="B298" s="3">
        <v>0.9</v>
      </c>
      <c r="C298" s="3">
        <v>0.5</v>
      </c>
      <c r="D298" s="3">
        <v>0.6</v>
      </c>
      <c r="E298" s="3">
        <v>0.31</v>
      </c>
      <c r="F298" s="7">
        <v>544.15313700000002</v>
      </c>
      <c r="G298" s="3">
        <v>1E-3</v>
      </c>
      <c r="I298" s="3" t="s">
        <v>150</v>
      </c>
      <c r="J298" s="3">
        <v>0.34</v>
      </c>
      <c r="K298" s="6">
        <v>542.99029499999995</v>
      </c>
      <c r="L298" s="3">
        <v>0</v>
      </c>
      <c r="M298" s="3">
        <f t="shared" si="32"/>
        <v>0.32500000000000001</v>
      </c>
      <c r="N298" s="5"/>
      <c r="O298" s="5"/>
      <c r="P298" s="5"/>
      <c r="Q298" s="5"/>
      <c r="R298" s="1"/>
      <c r="S298" s="3" t="s">
        <v>150</v>
      </c>
      <c r="T298" s="3">
        <v>0.9</v>
      </c>
      <c r="U298" s="3">
        <v>0.5</v>
      </c>
      <c r="V298" s="3">
        <v>0.6</v>
      </c>
      <c r="W298" s="3">
        <v>0.39</v>
      </c>
      <c r="X298" s="6">
        <v>527.41577099999995</v>
      </c>
      <c r="Y298" s="3">
        <v>2E-3</v>
      </c>
      <c r="AA298" s="3" t="s">
        <v>150</v>
      </c>
      <c r="AB298" s="3">
        <v>0.3</v>
      </c>
      <c r="AC298" s="8">
        <v>527.82336399999997</v>
      </c>
      <c r="AD298" s="3">
        <v>0</v>
      </c>
      <c r="AE298" s="3">
        <f t="shared" si="33"/>
        <v>0.34499999999999997</v>
      </c>
      <c r="AF298" s="5"/>
      <c r="AG298" s="5"/>
      <c r="AH298" s="5"/>
      <c r="AI298" s="5"/>
      <c r="AJ298" s="1"/>
      <c r="AK298" s="3" t="s">
        <v>151</v>
      </c>
      <c r="AL298" s="3">
        <v>0.9</v>
      </c>
      <c r="AM298" s="3">
        <v>0.5</v>
      </c>
      <c r="AN298" s="3">
        <v>0.6</v>
      </c>
      <c r="AO298" s="3">
        <v>0.31</v>
      </c>
      <c r="AP298" s="6">
        <v>786.57696499999997</v>
      </c>
      <c r="AQ298" s="3">
        <v>5.0000000000000001E-3</v>
      </c>
      <c r="AS298" s="3" t="s">
        <v>151</v>
      </c>
      <c r="AT298" s="3">
        <v>0.31</v>
      </c>
      <c r="AU298" s="7">
        <v>809.58862299999998</v>
      </c>
      <c r="AV298" s="3">
        <v>0</v>
      </c>
      <c r="AW298" s="3">
        <f t="shared" si="34"/>
        <v>0.31</v>
      </c>
      <c r="AX298" s="5"/>
      <c r="AY298" s="5"/>
      <c r="AZ298" s="5"/>
      <c r="BA298" s="5"/>
      <c r="BB298" s="1"/>
      <c r="BC298" s="3" t="s">
        <v>151</v>
      </c>
      <c r="BD298" s="3">
        <v>0.9</v>
      </c>
      <c r="BE298" s="3">
        <v>0.5</v>
      </c>
      <c r="BF298" s="3">
        <v>0.6</v>
      </c>
      <c r="BG298" s="3">
        <v>0.32</v>
      </c>
      <c r="BH298" s="7">
        <v>793.04016100000001</v>
      </c>
      <c r="BI298" s="3">
        <v>5.0000000000000001E-3</v>
      </c>
      <c r="BK298" s="3" t="s">
        <v>151</v>
      </c>
      <c r="BL298" s="3">
        <v>0.31</v>
      </c>
      <c r="BM298" s="6">
        <v>792.79656999999997</v>
      </c>
      <c r="BN298" s="3">
        <v>0</v>
      </c>
      <c r="BO298" s="3">
        <f t="shared" si="35"/>
        <v>0.315</v>
      </c>
    </row>
    <row r="299" spans="1:71" x14ac:dyDescent="0.3">
      <c r="A299" s="3" t="s">
        <v>152</v>
      </c>
      <c r="B299" s="3">
        <v>0.9</v>
      </c>
      <c r="C299" s="3">
        <v>0.5</v>
      </c>
      <c r="D299" s="3">
        <v>0.6</v>
      </c>
      <c r="E299" s="3">
        <v>0.3</v>
      </c>
      <c r="F299" s="7">
        <v>603.92804000000001</v>
      </c>
      <c r="G299" s="3">
        <v>2E-3</v>
      </c>
      <c r="I299" s="3" t="s">
        <v>152</v>
      </c>
      <c r="J299" s="3">
        <v>0.31</v>
      </c>
      <c r="K299" s="6">
        <v>590.77923599999997</v>
      </c>
      <c r="L299" s="3">
        <v>0</v>
      </c>
      <c r="M299" s="3">
        <f t="shared" si="32"/>
        <v>0.30499999999999999</v>
      </c>
      <c r="N299" s="5"/>
      <c r="O299" s="5"/>
      <c r="P299" s="5"/>
      <c r="Q299" s="5"/>
      <c r="R299" s="1"/>
      <c r="S299" s="3" t="s">
        <v>152</v>
      </c>
      <c r="T299" s="3">
        <v>0.9</v>
      </c>
      <c r="U299" s="3">
        <v>0.5</v>
      </c>
      <c r="V299" s="3">
        <v>0.6</v>
      </c>
      <c r="W299" s="3">
        <v>0.3</v>
      </c>
      <c r="X299" s="6">
        <v>594.527649</v>
      </c>
      <c r="Y299" s="3">
        <v>2E-3</v>
      </c>
      <c r="AA299" s="3" t="s">
        <v>152</v>
      </c>
      <c r="AB299" s="3">
        <v>0.31</v>
      </c>
      <c r="AC299" s="7">
        <v>599.32598900000005</v>
      </c>
      <c r="AD299" s="3">
        <v>1E-3</v>
      </c>
      <c r="AE299" s="3">
        <f t="shared" si="33"/>
        <v>0.30499999999999999</v>
      </c>
      <c r="AF299" s="5"/>
      <c r="AG299" s="5"/>
      <c r="AH299" s="5"/>
      <c r="AI299" s="5"/>
      <c r="AJ299" s="1"/>
      <c r="AK299" s="3" t="s">
        <v>153</v>
      </c>
      <c r="AL299" s="3">
        <v>0.9</v>
      </c>
      <c r="AM299" s="3">
        <v>0.5</v>
      </c>
      <c r="AN299" s="3">
        <v>0.6</v>
      </c>
      <c r="AO299" s="3">
        <v>0.31</v>
      </c>
      <c r="AP299" s="6">
        <v>862.30883800000004</v>
      </c>
      <c r="AQ299" s="3">
        <v>6.0000000000000001E-3</v>
      </c>
      <c r="AS299" s="3" t="s">
        <v>153</v>
      </c>
      <c r="AT299" s="3">
        <v>0.3</v>
      </c>
      <c r="AU299" s="7">
        <v>890.01178000000004</v>
      </c>
      <c r="AV299" s="3">
        <v>1E-3</v>
      </c>
      <c r="AW299" s="3">
        <f t="shared" si="34"/>
        <v>0.30499999999999999</v>
      </c>
      <c r="AX299" s="5"/>
      <c r="AY299" s="5"/>
      <c r="AZ299" s="5"/>
      <c r="BA299" s="5"/>
      <c r="BB299" s="1"/>
      <c r="BC299" s="3" t="s">
        <v>153</v>
      </c>
      <c r="BD299" s="3">
        <v>0.9</v>
      </c>
      <c r="BE299" s="3">
        <v>0.5</v>
      </c>
      <c r="BF299" s="3">
        <v>0.6</v>
      </c>
      <c r="BG299" s="3">
        <v>0.31</v>
      </c>
      <c r="BH299" s="7">
        <v>883.34667999999999</v>
      </c>
      <c r="BI299" s="3">
        <v>8.9999999999999993E-3</v>
      </c>
      <c r="BK299" s="3" t="s">
        <v>153</v>
      </c>
      <c r="BL299" s="3">
        <v>0.3</v>
      </c>
      <c r="BM299" s="6">
        <v>859.70404099999996</v>
      </c>
      <c r="BN299" s="3">
        <v>1E-3</v>
      </c>
      <c r="BO299" s="3">
        <f t="shared" si="35"/>
        <v>0.30499999999999999</v>
      </c>
    </row>
    <row r="300" spans="1:71" x14ac:dyDescent="0.3">
      <c r="A300" s="3" t="s">
        <v>154</v>
      </c>
      <c r="B300" s="3">
        <v>0.9</v>
      </c>
      <c r="C300" s="3">
        <v>0.5</v>
      </c>
      <c r="D300" s="3">
        <v>0.6</v>
      </c>
      <c r="E300" s="3">
        <v>0.3</v>
      </c>
      <c r="F300" s="6">
        <v>624.33819600000004</v>
      </c>
      <c r="G300" s="3">
        <v>1E-3</v>
      </c>
      <c r="I300" s="3" t="s">
        <v>154</v>
      </c>
      <c r="J300" s="3">
        <v>0.31</v>
      </c>
      <c r="K300" s="7">
        <v>626.22204599999998</v>
      </c>
      <c r="L300" s="3">
        <v>0</v>
      </c>
      <c r="M300" s="3">
        <f t="shared" si="32"/>
        <v>0.30499999999999999</v>
      </c>
      <c r="N300" s="5"/>
      <c r="O300" s="5"/>
      <c r="P300" s="5"/>
      <c r="Q300" s="5"/>
      <c r="R300" s="1"/>
      <c r="S300" s="3" t="s">
        <v>154</v>
      </c>
      <c r="T300" s="3">
        <v>0.9</v>
      </c>
      <c r="U300" s="3">
        <v>0.5</v>
      </c>
      <c r="V300" s="3">
        <v>0.6</v>
      </c>
      <c r="W300" s="3">
        <v>0.3</v>
      </c>
      <c r="X300" s="6">
        <v>605.00427200000001</v>
      </c>
      <c r="Y300" s="3">
        <v>2E-3</v>
      </c>
      <c r="AA300" s="3" t="s">
        <v>154</v>
      </c>
      <c r="AB300" s="3">
        <v>0.33</v>
      </c>
      <c r="AC300" s="7">
        <v>620.232483</v>
      </c>
      <c r="AD300" s="3">
        <v>1E-3</v>
      </c>
      <c r="AE300" s="3">
        <f t="shared" si="33"/>
        <v>0.315</v>
      </c>
      <c r="AF300" s="5"/>
      <c r="AG300" s="5"/>
      <c r="AH300" s="5"/>
      <c r="AI300" s="5"/>
      <c r="AJ300" s="1"/>
      <c r="AK300" s="3" t="s">
        <v>155</v>
      </c>
      <c r="AL300" s="3">
        <v>0.9</v>
      </c>
      <c r="AM300" s="3">
        <v>0.5</v>
      </c>
      <c r="AN300" s="3">
        <v>0.6</v>
      </c>
      <c r="AO300" s="3">
        <v>0.34</v>
      </c>
      <c r="AP300" s="7">
        <v>1137.1046140000001</v>
      </c>
      <c r="AQ300" s="3">
        <v>7.0000000000000001E-3</v>
      </c>
      <c r="AS300" s="3" t="s">
        <v>155</v>
      </c>
      <c r="AT300" s="3">
        <v>0.3</v>
      </c>
      <c r="AU300" s="6">
        <v>1083.4616699999999</v>
      </c>
      <c r="AV300" s="3">
        <v>0</v>
      </c>
      <c r="AW300" s="3">
        <f t="shared" si="34"/>
        <v>0.32</v>
      </c>
      <c r="AX300" s="5"/>
      <c r="AY300" s="5"/>
      <c r="AZ300" s="5"/>
      <c r="BA300" s="5"/>
      <c r="BB300" s="1"/>
      <c r="BC300" s="3" t="s">
        <v>155</v>
      </c>
      <c r="BD300" s="3">
        <v>0.9</v>
      </c>
      <c r="BE300" s="3">
        <v>0.5</v>
      </c>
      <c r="BF300" s="3">
        <v>0.6</v>
      </c>
      <c r="BG300" s="3">
        <v>0.3</v>
      </c>
      <c r="BH300" s="7">
        <v>1137.727539</v>
      </c>
      <c r="BI300" s="3">
        <v>8.0000000000000002E-3</v>
      </c>
      <c r="BK300" s="3" t="s">
        <v>155</v>
      </c>
      <c r="BL300" s="3">
        <v>0.3</v>
      </c>
      <c r="BM300" s="6">
        <v>1120.205322</v>
      </c>
      <c r="BN300" s="3">
        <v>1E-3</v>
      </c>
      <c r="BO300" s="3">
        <f t="shared" si="35"/>
        <v>0.3</v>
      </c>
    </row>
    <row r="301" spans="1:71" x14ac:dyDescent="0.3">
      <c r="A301" s="3" t="s">
        <v>156</v>
      </c>
      <c r="B301" s="3">
        <v>0.9</v>
      </c>
      <c r="C301" s="3">
        <v>0.5</v>
      </c>
      <c r="D301" s="3">
        <v>0.6</v>
      </c>
      <c r="E301" s="3">
        <v>0.37</v>
      </c>
      <c r="F301" s="8">
        <v>665.50781199999994</v>
      </c>
      <c r="G301" s="3">
        <v>2E-3</v>
      </c>
      <c r="I301" s="3" t="s">
        <v>156</v>
      </c>
      <c r="J301" s="3">
        <v>0.43</v>
      </c>
      <c r="K301" s="6">
        <v>665.05859399999997</v>
      </c>
      <c r="L301" s="3">
        <v>0</v>
      </c>
      <c r="M301" s="3">
        <f t="shared" si="32"/>
        <v>0.4</v>
      </c>
      <c r="N301" s="5"/>
      <c r="O301" s="5"/>
      <c r="P301" s="5"/>
      <c r="Q301" s="5"/>
      <c r="R301" s="1"/>
      <c r="S301" s="3" t="s">
        <v>156</v>
      </c>
      <c r="T301" s="3">
        <v>0.9</v>
      </c>
      <c r="U301" s="3">
        <v>0.5</v>
      </c>
      <c r="V301" s="3">
        <v>0.6</v>
      </c>
      <c r="W301" s="3">
        <v>0.31</v>
      </c>
      <c r="X301" s="7">
        <v>662.57421899999997</v>
      </c>
      <c r="Y301" s="3">
        <v>2E-3</v>
      </c>
      <c r="AA301" s="3" t="s">
        <v>156</v>
      </c>
      <c r="AB301" s="3">
        <v>0.3</v>
      </c>
      <c r="AC301" s="6">
        <v>655.90338099999997</v>
      </c>
      <c r="AD301" s="3">
        <v>0</v>
      </c>
      <c r="AE301" s="3">
        <f t="shared" si="33"/>
        <v>0.30499999999999999</v>
      </c>
      <c r="AF301" s="5"/>
      <c r="AG301" s="5"/>
      <c r="AH301" s="5"/>
      <c r="AI301" s="5"/>
      <c r="AJ301" s="1"/>
      <c r="AK301" s="3" t="s">
        <v>157</v>
      </c>
      <c r="AL301" s="3">
        <v>0.9</v>
      </c>
      <c r="AM301" s="3">
        <v>0.5</v>
      </c>
      <c r="AN301" s="3">
        <v>0.6</v>
      </c>
      <c r="AO301" s="3">
        <v>0.3</v>
      </c>
      <c r="AP301" s="7">
        <v>1057.699341</v>
      </c>
      <c r="AQ301" s="3">
        <v>6.0000000000000001E-3</v>
      </c>
      <c r="AS301" s="3" t="s">
        <v>157</v>
      </c>
      <c r="AT301" s="3">
        <v>0.31</v>
      </c>
      <c r="AU301" s="6">
        <v>1053.8817140000001</v>
      </c>
      <c r="AV301" s="3">
        <v>1E-3</v>
      </c>
      <c r="AW301" s="3">
        <f t="shared" si="34"/>
        <v>0.30499999999999999</v>
      </c>
      <c r="AX301" s="5"/>
      <c r="AY301" s="5"/>
      <c r="AZ301" s="5"/>
      <c r="BA301" s="5"/>
      <c r="BB301" s="1"/>
      <c r="BC301" s="3" t="s">
        <v>157</v>
      </c>
      <c r="BD301" s="3">
        <v>0.9</v>
      </c>
      <c r="BE301" s="3">
        <v>0.5</v>
      </c>
      <c r="BF301" s="3">
        <v>0.6</v>
      </c>
      <c r="BG301" s="3">
        <v>0.3</v>
      </c>
      <c r="BH301" s="6">
        <v>1048.522461</v>
      </c>
      <c r="BI301" s="3">
        <v>1.0999999999999999E-2</v>
      </c>
      <c r="BK301" s="3" t="s">
        <v>157</v>
      </c>
      <c r="BL301" s="3">
        <v>0.31</v>
      </c>
      <c r="BM301" s="7">
        <v>1058.9832759999999</v>
      </c>
      <c r="BN301" s="3">
        <v>0</v>
      </c>
      <c r="BO301" s="3">
        <f t="shared" si="35"/>
        <v>0.30499999999999999</v>
      </c>
    </row>
    <row r="302" spans="1:71" x14ac:dyDescent="0.3">
      <c r="A302" s="3" t="s">
        <v>158</v>
      </c>
      <c r="B302" s="3">
        <v>0.9</v>
      </c>
      <c r="C302" s="3">
        <v>0.5</v>
      </c>
      <c r="D302" s="3">
        <v>0.6</v>
      </c>
      <c r="E302" s="3">
        <v>0.3</v>
      </c>
      <c r="F302" s="6">
        <v>659.23333700000001</v>
      </c>
      <c r="G302" s="3">
        <v>2E-3</v>
      </c>
      <c r="I302" s="3" t="s">
        <v>158</v>
      </c>
      <c r="J302" s="3">
        <v>0.3</v>
      </c>
      <c r="K302" s="7">
        <v>683.33007799999996</v>
      </c>
      <c r="L302" s="3">
        <v>1E-3</v>
      </c>
      <c r="M302" s="3">
        <f t="shared" si="32"/>
        <v>0.3</v>
      </c>
      <c r="N302" s="5"/>
      <c r="O302" s="5"/>
      <c r="P302" s="5"/>
      <c r="Q302" s="5"/>
      <c r="R302" s="1"/>
      <c r="S302" s="3" t="s">
        <v>158</v>
      </c>
      <c r="T302" s="3">
        <v>0.9</v>
      </c>
      <c r="U302" s="3">
        <v>0.5</v>
      </c>
      <c r="V302" s="3">
        <v>0.6</v>
      </c>
      <c r="W302" s="3">
        <v>0.31</v>
      </c>
      <c r="X302" s="6">
        <v>674.02233899999999</v>
      </c>
      <c r="Y302" s="3">
        <v>2E-3</v>
      </c>
      <c r="AA302" s="3" t="s">
        <v>158</v>
      </c>
      <c r="AB302" s="3">
        <v>0.32</v>
      </c>
      <c r="AC302" s="7">
        <v>682.53417999999999</v>
      </c>
      <c r="AD302" s="3">
        <v>0</v>
      </c>
      <c r="AE302" s="3">
        <f t="shared" si="33"/>
        <v>0.315</v>
      </c>
      <c r="AF302" s="5"/>
      <c r="AG302" s="5"/>
      <c r="AH302" s="5"/>
      <c r="AI302" s="5"/>
      <c r="AJ302" s="1"/>
      <c r="AK302" s="3" t="s">
        <v>159</v>
      </c>
      <c r="AL302" s="3">
        <v>0.9</v>
      </c>
      <c r="AM302" s="3">
        <v>0.5</v>
      </c>
      <c r="AN302" s="3">
        <v>0.6</v>
      </c>
      <c r="AO302" s="3">
        <v>0.33</v>
      </c>
      <c r="AP302" s="6">
        <v>984.46423300000004</v>
      </c>
      <c r="AQ302" s="3">
        <v>6.0000000000000001E-3</v>
      </c>
      <c r="AS302" s="3" t="s">
        <v>159</v>
      </c>
      <c r="AT302" s="3">
        <v>0.3</v>
      </c>
      <c r="AU302" s="7">
        <v>988.60131799999999</v>
      </c>
      <c r="AV302" s="3">
        <v>1E-3</v>
      </c>
      <c r="AW302" s="3">
        <f t="shared" si="34"/>
        <v>0.315</v>
      </c>
      <c r="AX302" s="5"/>
      <c r="AY302" s="5"/>
      <c r="AZ302" s="5"/>
      <c r="BA302" s="5"/>
      <c r="BB302" s="1"/>
      <c r="BC302" s="3" t="s">
        <v>159</v>
      </c>
      <c r="BD302" s="3">
        <v>0.9</v>
      </c>
      <c r="BE302" s="3">
        <v>0.5</v>
      </c>
      <c r="BF302" s="3">
        <v>0.6</v>
      </c>
      <c r="BG302" s="3">
        <v>0.31</v>
      </c>
      <c r="BH302" s="7">
        <v>1016.740784</v>
      </c>
      <c r="BI302" s="3">
        <v>8.0000000000000002E-3</v>
      </c>
      <c r="BK302" s="3" t="s">
        <v>159</v>
      </c>
      <c r="BL302" s="3">
        <v>0.31</v>
      </c>
      <c r="BM302" s="6">
        <v>977.34661900000003</v>
      </c>
      <c r="BN302" s="3">
        <v>1E-3</v>
      </c>
      <c r="BO302" s="3">
        <f t="shared" si="35"/>
        <v>0.31</v>
      </c>
    </row>
    <row r="303" spans="1:71" x14ac:dyDescent="0.3">
      <c r="A303" s="3" t="s">
        <v>160</v>
      </c>
      <c r="B303" s="3">
        <v>0.9</v>
      </c>
      <c r="C303" s="3">
        <v>0.5</v>
      </c>
      <c r="D303" s="3">
        <v>0.6</v>
      </c>
      <c r="E303" s="3">
        <v>0.33</v>
      </c>
      <c r="F303" s="7">
        <v>612.20648200000005</v>
      </c>
      <c r="G303" s="3">
        <v>1E-3</v>
      </c>
      <c r="I303" s="3" t="s">
        <v>160</v>
      </c>
      <c r="J303" s="3">
        <v>0.36</v>
      </c>
      <c r="K303" s="6">
        <v>604.87664800000005</v>
      </c>
      <c r="L303" s="3">
        <v>0</v>
      </c>
      <c r="M303" s="3">
        <f t="shared" si="32"/>
        <v>0.34499999999999997</v>
      </c>
      <c r="N303" s="5"/>
      <c r="O303" s="5"/>
      <c r="P303" s="5"/>
      <c r="Q303" s="5"/>
      <c r="R303" s="1"/>
      <c r="S303" s="3" t="s">
        <v>160</v>
      </c>
      <c r="T303" s="3">
        <v>0.9</v>
      </c>
      <c r="U303" s="3">
        <v>0.5</v>
      </c>
      <c r="V303" s="3">
        <v>0.6</v>
      </c>
      <c r="W303" s="3">
        <v>0.33</v>
      </c>
      <c r="X303" s="7">
        <v>606.03173800000002</v>
      </c>
      <c r="Y303" s="3">
        <v>6.0000000000000001E-3</v>
      </c>
      <c r="AA303" s="3" t="s">
        <v>160</v>
      </c>
      <c r="AB303" s="3">
        <v>0.31</v>
      </c>
      <c r="AC303" s="6">
        <v>596.65667699999995</v>
      </c>
      <c r="AD303" s="3">
        <v>0</v>
      </c>
      <c r="AE303" s="3">
        <f t="shared" si="33"/>
        <v>0.32</v>
      </c>
      <c r="AF303" s="5"/>
      <c r="AG303" s="5"/>
      <c r="AH303" s="5"/>
      <c r="AI303" s="5"/>
      <c r="AJ303" s="1"/>
      <c r="AK303" s="3" t="s">
        <v>161</v>
      </c>
      <c r="AL303" s="3">
        <v>0.9</v>
      </c>
      <c r="AM303" s="3">
        <v>0.5</v>
      </c>
      <c r="AN303" s="3">
        <v>0.6</v>
      </c>
      <c r="AO303" s="3">
        <v>0.3</v>
      </c>
      <c r="AP303" s="7">
        <v>1070.4528809999999</v>
      </c>
      <c r="AQ303" s="3">
        <v>6.0000000000000001E-3</v>
      </c>
      <c r="AS303" s="3" t="s">
        <v>161</v>
      </c>
      <c r="AT303" s="3">
        <v>0.34</v>
      </c>
      <c r="AU303" s="6">
        <v>1063.110596</v>
      </c>
      <c r="AV303" s="3">
        <v>1E-3</v>
      </c>
      <c r="AW303" s="3">
        <f t="shared" si="34"/>
        <v>0.32</v>
      </c>
      <c r="AX303" s="5"/>
      <c r="AY303" s="5"/>
      <c r="AZ303" s="5"/>
      <c r="BA303" s="5"/>
      <c r="BB303" s="1"/>
      <c r="BC303" s="3" t="s">
        <v>161</v>
      </c>
      <c r="BD303" s="3">
        <v>0.9</v>
      </c>
      <c r="BE303" s="3">
        <v>0.5</v>
      </c>
      <c r="BF303" s="3">
        <v>0.6</v>
      </c>
      <c r="BG303" s="3">
        <v>0.31</v>
      </c>
      <c r="BH303" s="6">
        <v>1031.513794</v>
      </c>
      <c r="BI303" s="3">
        <v>7.0000000000000001E-3</v>
      </c>
      <c r="BK303" s="3" t="s">
        <v>161</v>
      </c>
      <c r="BL303" s="3">
        <v>0.3</v>
      </c>
      <c r="BM303" s="7">
        <v>1065.770996</v>
      </c>
      <c r="BN303" s="3">
        <v>1E-3</v>
      </c>
      <c r="BO303" s="3">
        <f t="shared" si="35"/>
        <v>0.30499999999999999</v>
      </c>
    </row>
    <row r="304" spans="1:71" x14ac:dyDescent="0.3">
      <c r="A304" s="3" t="s">
        <v>162</v>
      </c>
      <c r="B304" s="3">
        <v>0.9</v>
      </c>
      <c r="C304" s="3">
        <v>0.5</v>
      </c>
      <c r="D304" s="3">
        <v>0.6</v>
      </c>
      <c r="E304" s="3">
        <v>0.34</v>
      </c>
      <c r="F304" s="7">
        <v>627.98272699999995</v>
      </c>
      <c r="G304" s="3">
        <v>2E-3</v>
      </c>
      <c r="I304" s="3" t="s">
        <v>162</v>
      </c>
      <c r="J304" s="3">
        <v>0.3</v>
      </c>
      <c r="K304" s="6">
        <v>612.70373500000005</v>
      </c>
      <c r="L304" s="3">
        <v>0</v>
      </c>
      <c r="M304" s="3">
        <f t="shared" si="32"/>
        <v>0.32</v>
      </c>
      <c r="N304" s="5"/>
      <c r="O304" s="5"/>
      <c r="P304" s="5"/>
      <c r="Q304" s="5"/>
      <c r="R304" s="1"/>
      <c r="S304" s="3" t="s">
        <v>162</v>
      </c>
      <c r="T304" s="3">
        <v>0.9</v>
      </c>
      <c r="U304" s="3">
        <v>0.5</v>
      </c>
      <c r="V304" s="3">
        <v>0.6</v>
      </c>
      <c r="W304" s="3">
        <v>0.33</v>
      </c>
      <c r="X304" s="6">
        <v>629.09613000000002</v>
      </c>
      <c r="Y304" s="3">
        <v>5.0000000000000001E-3</v>
      </c>
      <c r="AA304" s="3" t="s">
        <v>162</v>
      </c>
      <c r="AB304" s="3">
        <v>0.4</v>
      </c>
      <c r="AC304" s="7">
        <v>641.14465299999995</v>
      </c>
      <c r="AD304" s="3">
        <v>0</v>
      </c>
      <c r="AE304" s="3">
        <f t="shared" si="33"/>
        <v>0.36499999999999999</v>
      </c>
      <c r="AF304" s="5"/>
      <c r="AG304" s="5"/>
      <c r="AH304" s="5"/>
      <c r="AI304" s="5"/>
      <c r="AJ304" s="1"/>
      <c r="AK304" s="3" t="s">
        <v>163</v>
      </c>
      <c r="AL304" s="3">
        <v>0.9</v>
      </c>
      <c r="AM304" s="3">
        <v>0.5</v>
      </c>
      <c r="AN304" s="3">
        <v>0.6</v>
      </c>
      <c r="AO304" s="3">
        <v>0.3</v>
      </c>
      <c r="AP304" s="6">
        <v>1034.730957</v>
      </c>
      <c r="AQ304" s="3">
        <v>8.0000000000000002E-3</v>
      </c>
      <c r="AS304" s="3" t="s">
        <v>163</v>
      </c>
      <c r="AT304" s="3">
        <v>0.3</v>
      </c>
      <c r="AU304" s="7">
        <v>1058.1495359999999</v>
      </c>
      <c r="AV304" s="3">
        <v>1E-3</v>
      </c>
      <c r="AW304" s="3">
        <f t="shared" si="34"/>
        <v>0.3</v>
      </c>
      <c r="AX304" s="5"/>
      <c r="AY304" s="5"/>
      <c r="AZ304" s="5"/>
      <c r="BA304" s="5"/>
      <c r="BB304" s="1"/>
      <c r="BC304" s="3" t="s">
        <v>163</v>
      </c>
      <c r="BD304" s="3">
        <v>0.9</v>
      </c>
      <c r="BE304" s="3">
        <v>0.5</v>
      </c>
      <c r="BF304" s="3">
        <v>0.6</v>
      </c>
      <c r="BG304" s="3">
        <v>0.35</v>
      </c>
      <c r="BH304" s="6">
        <v>1044.086182</v>
      </c>
      <c r="BI304" s="3">
        <v>8.0000000000000002E-3</v>
      </c>
      <c r="BK304" s="3" t="s">
        <v>163</v>
      </c>
      <c r="BL304" s="3">
        <v>0.3</v>
      </c>
      <c r="BM304" s="7">
        <v>1062.9526370000001</v>
      </c>
      <c r="BN304" s="3">
        <v>1E-3</v>
      </c>
      <c r="BO304" s="3">
        <f t="shared" si="35"/>
        <v>0.32499999999999996</v>
      </c>
    </row>
    <row r="305" spans="1:67" x14ac:dyDescent="0.3">
      <c r="A305" s="3" t="s">
        <v>164</v>
      </c>
      <c r="B305" s="3">
        <v>0.9</v>
      </c>
      <c r="C305" s="3">
        <v>0.5</v>
      </c>
      <c r="D305" s="3">
        <v>0.6</v>
      </c>
      <c r="E305" s="3">
        <v>0.3</v>
      </c>
      <c r="F305" s="7">
        <v>574.02374299999997</v>
      </c>
      <c r="G305" s="3">
        <v>2E-3</v>
      </c>
      <c r="I305" s="3" t="s">
        <v>164</v>
      </c>
      <c r="J305" s="3">
        <v>0.35</v>
      </c>
      <c r="K305" s="6">
        <v>570.19451900000001</v>
      </c>
      <c r="L305" s="3">
        <v>0</v>
      </c>
      <c r="M305" s="3">
        <f t="shared" si="32"/>
        <v>0.32499999999999996</v>
      </c>
      <c r="N305" s="5"/>
      <c r="O305" s="5"/>
      <c r="P305" s="5"/>
      <c r="Q305" s="5"/>
      <c r="R305" s="1"/>
      <c r="S305" s="3" t="s">
        <v>164</v>
      </c>
      <c r="T305" s="3">
        <v>0.9</v>
      </c>
      <c r="U305" s="3">
        <v>0.5</v>
      </c>
      <c r="V305" s="3">
        <v>0.6</v>
      </c>
      <c r="W305" s="3">
        <v>0.4</v>
      </c>
      <c r="X305" s="8">
        <v>555.74310300000002</v>
      </c>
      <c r="Y305" s="3">
        <v>2E-3</v>
      </c>
      <c r="AA305" s="3" t="s">
        <v>164</v>
      </c>
      <c r="AB305" s="3">
        <v>0.3</v>
      </c>
      <c r="AC305" s="6">
        <v>555.71667500000001</v>
      </c>
      <c r="AD305" s="3">
        <v>0</v>
      </c>
      <c r="AE305" s="3">
        <f t="shared" si="33"/>
        <v>0.35</v>
      </c>
      <c r="AF305" s="5"/>
      <c r="AG305" s="5"/>
      <c r="AH305" s="5"/>
      <c r="AI305" s="5"/>
      <c r="AJ305" s="1"/>
      <c r="AK305" s="3" t="s">
        <v>165</v>
      </c>
      <c r="AL305" s="3">
        <v>0.9</v>
      </c>
      <c r="AM305" s="3">
        <v>0.5</v>
      </c>
      <c r="AN305" s="3">
        <v>0.6</v>
      </c>
      <c r="AO305" s="3">
        <v>0.33</v>
      </c>
      <c r="AP305" s="7">
        <v>986.54943800000001</v>
      </c>
      <c r="AQ305" s="3">
        <v>6.0000000000000001E-3</v>
      </c>
      <c r="AS305" s="3" t="s">
        <v>165</v>
      </c>
      <c r="AT305" s="3">
        <v>0.3</v>
      </c>
      <c r="AU305" s="6">
        <v>981.45849599999997</v>
      </c>
      <c r="AV305" s="3">
        <v>0</v>
      </c>
      <c r="AW305" s="3">
        <f t="shared" si="34"/>
        <v>0.315</v>
      </c>
      <c r="AX305" s="5"/>
      <c r="AY305" s="5"/>
      <c r="AZ305" s="5"/>
      <c r="BA305" s="5"/>
      <c r="BB305" s="1"/>
      <c r="BC305" s="3" t="s">
        <v>165</v>
      </c>
      <c r="BD305" s="3">
        <v>0.9</v>
      </c>
      <c r="BE305" s="3">
        <v>0.5</v>
      </c>
      <c r="BF305" s="3">
        <v>0.6</v>
      </c>
      <c r="BG305" s="3">
        <v>0.32</v>
      </c>
      <c r="BH305" s="6">
        <v>977.15210000000002</v>
      </c>
      <c r="BI305" s="3">
        <v>8.9999999999999993E-3</v>
      </c>
      <c r="BK305" s="3" t="s">
        <v>165</v>
      </c>
      <c r="BL305" s="3">
        <v>0.32</v>
      </c>
      <c r="BM305" s="7">
        <v>985.32104500000003</v>
      </c>
      <c r="BN305" s="3">
        <v>1E-3</v>
      </c>
      <c r="BO305" s="3">
        <f t="shared" si="35"/>
        <v>0.32</v>
      </c>
    </row>
    <row r="306" spans="1:67" x14ac:dyDescent="0.3">
      <c r="A306" s="3" t="s">
        <v>166</v>
      </c>
      <c r="B306" s="3">
        <v>0.9</v>
      </c>
      <c r="C306" s="3">
        <v>0.5</v>
      </c>
      <c r="D306" s="3">
        <v>0.6</v>
      </c>
      <c r="E306" s="3">
        <v>0.33</v>
      </c>
      <c r="F306" s="6">
        <v>744.48632799999996</v>
      </c>
      <c r="G306" s="3">
        <v>2E-3</v>
      </c>
      <c r="I306" s="3" t="s">
        <v>166</v>
      </c>
      <c r="J306" s="3">
        <v>0.35</v>
      </c>
      <c r="K306" s="7">
        <v>762.90039100000001</v>
      </c>
      <c r="L306" s="3">
        <v>0</v>
      </c>
      <c r="M306" s="3">
        <f t="shared" si="32"/>
        <v>0.33999999999999997</v>
      </c>
      <c r="N306" s="5"/>
      <c r="O306" s="5"/>
      <c r="P306" s="5"/>
      <c r="Q306" s="5"/>
      <c r="R306" s="1"/>
      <c r="S306" s="3" t="s">
        <v>166</v>
      </c>
      <c r="T306" s="3">
        <v>0.9</v>
      </c>
      <c r="U306" s="3">
        <v>0.5</v>
      </c>
      <c r="V306" s="3">
        <v>0.6</v>
      </c>
      <c r="W306" s="3">
        <v>0.32</v>
      </c>
      <c r="X306" s="7">
        <v>765.04540999999995</v>
      </c>
      <c r="Y306" s="3">
        <v>2E-3</v>
      </c>
      <c r="AA306" s="3" t="s">
        <v>166</v>
      </c>
      <c r="AB306" s="3">
        <v>0.3</v>
      </c>
      <c r="AC306" s="6">
        <v>755.97045900000001</v>
      </c>
      <c r="AD306" s="3">
        <v>0</v>
      </c>
      <c r="AE306" s="3">
        <f t="shared" si="33"/>
        <v>0.31</v>
      </c>
      <c r="AF306" s="5"/>
      <c r="AG306" s="5"/>
      <c r="AH306" s="5"/>
      <c r="AI306" s="5"/>
      <c r="AJ306" s="1"/>
      <c r="AK306" s="3" t="s">
        <v>167</v>
      </c>
      <c r="AL306" s="3">
        <v>0.9</v>
      </c>
      <c r="AM306" s="3">
        <v>0.5</v>
      </c>
      <c r="AN306" s="3">
        <v>0.6</v>
      </c>
      <c r="AO306" s="3">
        <v>0.31</v>
      </c>
      <c r="AP306" s="6">
        <v>1001.8038330000001</v>
      </c>
      <c r="AQ306" s="3">
        <v>7.0000000000000001E-3</v>
      </c>
      <c r="AS306" s="3" t="s">
        <v>167</v>
      </c>
      <c r="AT306" s="3">
        <v>0.34</v>
      </c>
      <c r="AU306" s="7">
        <v>1017.229065</v>
      </c>
      <c r="AV306" s="3">
        <v>1E-3</v>
      </c>
      <c r="AW306" s="3">
        <f t="shared" si="34"/>
        <v>0.32500000000000001</v>
      </c>
      <c r="AX306" s="5"/>
      <c r="AY306" s="5"/>
      <c r="AZ306" s="5"/>
      <c r="BA306" s="5"/>
      <c r="BB306" s="1"/>
      <c r="BC306" s="3" t="s">
        <v>167</v>
      </c>
      <c r="BD306" s="3">
        <v>0.9</v>
      </c>
      <c r="BE306" s="3">
        <v>0.5</v>
      </c>
      <c r="BF306" s="3">
        <v>0.6</v>
      </c>
      <c r="BG306" s="3">
        <v>0.3</v>
      </c>
      <c r="BH306" s="6">
        <v>991.55316200000004</v>
      </c>
      <c r="BI306" s="3">
        <v>1.2E-2</v>
      </c>
      <c r="BK306" s="3" t="s">
        <v>167</v>
      </c>
      <c r="BL306" s="3">
        <v>0.32</v>
      </c>
      <c r="BM306" s="7">
        <v>992.52807600000006</v>
      </c>
      <c r="BN306" s="3">
        <v>1E-3</v>
      </c>
      <c r="BO306" s="3">
        <f t="shared" si="35"/>
        <v>0.31</v>
      </c>
    </row>
    <row r="307" spans="1:67" x14ac:dyDescent="0.3">
      <c r="A307" s="3" t="s">
        <v>168</v>
      </c>
      <c r="B307" s="3">
        <v>0.9</v>
      </c>
      <c r="C307" s="3">
        <v>0.5</v>
      </c>
      <c r="D307" s="3">
        <v>0.6</v>
      </c>
      <c r="E307" s="3">
        <v>0.3</v>
      </c>
      <c r="F307" s="7">
        <v>678.77984600000002</v>
      </c>
      <c r="G307" s="3">
        <v>2E-3</v>
      </c>
      <c r="I307" s="3" t="s">
        <v>168</v>
      </c>
      <c r="J307" s="3">
        <v>0.37</v>
      </c>
      <c r="K307" s="6">
        <v>676.79199200000005</v>
      </c>
      <c r="L307" s="3">
        <v>1E-3</v>
      </c>
      <c r="M307" s="3">
        <f t="shared" si="32"/>
        <v>0.33499999999999996</v>
      </c>
      <c r="N307" s="5"/>
      <c r="O307" s="5"/>
      <c r="P307" s="5"/>
      <c r="Q307" s="5"/>
      <c r="R307" s="1"/>
      <c r="S307" s="3" t="s">
        <v>168</v>
      </c>
      <c r="T307" s="3">
        <v>0.9</v>
      </c>
      <c r="U307" s="3">
        <v>0.5</v>
      </c>
      <c r="V307" s="3">
        <v>0.6</v>
      </c>
      <c r="W307" s="3">
        <v>0.43</v>
      </c>
      <c r="X307" s="6">
        <v>674.73559599999999</v>
      </c>
      <c r="Y307" s="3">
        <v>2E-3</v>
      </c>
      <c r="AA307" s="3" t="s">
        <v>168</v>
      </c>
      <c r="AB307" s="3">
        <v>0.36</v>
      </c>
      <c r="AC307" s="7">
        <v>678.49011199999995</v>
      </c>
      <c r="AD307" s="3">
        <v>0</v>
      </c>
      <c r="AE307" s="3">
        <f t="shared" si="33"/>
        <v>0.39500000000000002</v>
      </c>
      <c r="AF307" s="5"/>
      <c r="AG307" s="5"/>
      <c r="AH307" s="5"/>
      <c r="AI307" s="5"/>
      <c r="AJ307" s="1"/>
      <c r="AK307" s="3" t="s">
        <v>169</v>
      </c>
      <c r="AL307" s="3">
        <v>0.9</v>
      </c>
      <c r="AM307" s="3">
        <v>0.5</v>
      </c>
      <c r="AN307" s="3">
        <v>0.6</v>
      </c>
      <c r="AO307" s="3">
        <v>0.33</v>
      </c>
      <c r="AP307" s="6">
        <v>1039.9860839999999</v>
      </c>
      <c r="AQ307" s="3">
        <v>6.0000000000000001E-3</v>
      </c>
      <c r="AS307" s="3" t="s">
        <v>169</v>
      </c>
      <c r="AT307" s="3">
        <v>0.3</v>
      </c>
      <c r="AU307" s="7">
        <v>1041.0498050000001</v>
      </c>
      <c r="AV307" s="3">
        <v>1E-3</v>
      </c>
      <c r="AW307" s="3">
        <f t="shared" si="34"/>
        <v>0.315</v>
      </c>
      <c r="AX307" s="5"/>
      <c r="AY307" s="5"/>
      <c r="AZ307" s="5"/>
      <c r="BA307" s="5"/>
      <c r="BB307" s="1"/>
      <c r="BC307" s="3" t="s">
        <v>169</v>
      </c>
      <c r="BD307" s="3">
        <v>0.9</v>
      </c>
      <c r="BE307" s="3">
        <v>0.5</v>
      </c>
      <c r="BF307" s="3">
        <v>0.6</v>
      </c>
      <c r="BG307" s="3">
        <v>0.3</v>
      </c>
      <c r="BH307" s="7">
        <v>1037.3011469999999</v>
      </c>
      <c r="BI307" s="3">
        <v>8.0000000000000002E-3</v>
      </c>
      <c r="BK307" s="3" t="s">
        <v>169</v>
      </c>
      <c r="BL307" s="3">
        <v>0.31</v>
      </c>
      <c r="BM307" s="6">
        <v>1022.596741</v>
      </c>
      <c r="BN307" s="3">
        <v>0</v>
      </c>
      <c r="BO307" s="3">
        <f t="shared" si="35"/>
        <v>0.30499999999999999</v>
      </c>
    </row>
    <row r="308" spans="1:67" x14ac:dyDescent="0.3">
      <c r="A308" s="3" t="s">
        <v>170</v>
      </c>
      <c r="B308" s="3">
        <v>0.9</v>
      </c>
      <c r="C308" s="3">
        <v>0.5</v>
      </c>
      <c r="D308" s="3">
        <v>0.6</v>
      </c>
      <c r="E308" s="3">
        <v>0.3</v>
      </c>
      <c r="F308" s="7">
        <v>710.35632299999997</v>
      </c>
      <c r="G308" s="3">
        <v>2E-3</v>
      </c>
      <c r="I308" s="3" t="s">
        <v>170</v>
      </c>
      <c r="J308" s="3">
        <v>0.4</v>
      </c>
      <c r="K308" s="6">
        <v>699.80401600000005</v>
      </c>
      <c r="L308" s="3">
        <v>0</v>
      </c>
      <c r="M308" s="3">
        <f t="shared" si="32"/>
        <v>0.35</v>
      </c>
      <c r="N308" s="5"/>
      <c r="O308" s="5"/>
      <c r="P308" s="5"/>
      <c r="Q308" s="5"/>
      <c r="R308" s="1"/>
      <c r="S308" s="3" t="s">
        <v>170</v>
      </c>
      <c r="T308" s="3">
        <v>0.9</v>
      </c>
      <c r="U308" s="3">
        <v>0.5</v>
      </c>
      <c r="V308" s="3">
        <v>0.6</v>
      </c>
      <c r="W308" s="3">
        <v>0.31</v>
      </c>
      <c r="X308" s="6">
        <v>702.78228799999999</v>
      </c>
      <c r="Y308" s="3">
        <v>2E-3</v>
      </c>
      <c r="AA308" s="3" t="s">
        <v>170</v>
      </c>
      <c r="AB308" s="3">
        <v>0.41</v>
      </c>
      <c r="AC308" s="7">
        <v>703.81408699999997</v>
      </c>
      <c r="AD308" s="3">
        <v>0</v>
      </c>
      <c r="AE308" s="3">
        <f t="shared" si="33"/>
        <v>0.36</v>
      </c>
      <c r="AF308" s="5"/>
      <c r="AG308" s="5"/>
      <c r="AH308" s="5"/>
      <c r="AI308" s="5"/>
      <c r="AJ308" s="1"/>
      <c r="AK308" s="3" t="s">
        <v>171</v>
      </c>
      <c r="AL308" s="3">
        <v>0.9</v>
      </c>
      <c r="AM308" s="3">
        <v>0.5</v>
      </c>
      <c r="AN308" s="3">
        <v>0.6</v>
      </c>
      <c r="AO308" s="3">
        <v>0.3</v>
      </c>
      <c r="AP308" s="7">
        <v>972.44512899999995</v>
      </c>
      <c r="AQ308" s="3">
        <v>6.0000000000000001E-3</v>
      </c>
      <c r="AS308" s="3" t="s">
        <v>171</v>
      </c>
      <c r="AT308" s="3">
        <v>0.31</v>
      </c>
      <c r="AU308" s="6">
        <v>951.46771200000001</v>
      </c>
      <c r="AV308" s="3">
        <v>0</v>
      </c>
      <c r="AW308" s="3">
        <f t="shared" si="34"/>
        <v>0.30499999999999999</v>
      </c>
      <c r="AX308" s="5"/>
      <c r="AY308" s="5"/>
      <c r="AZ308" s="5"/>
      <c r="BA308" s="5"/>
      <c r="BB308" s="1"/>
      <c r="BC308" s="3" t="s">
        <v>171</v>
      </c>
      <c r="BD308" s="3">
        <v>0.9</v>
      </c>
      <c r="BE308" s="3">
        <v>0.5</v>
      </c>
      <c r="BF308" s="3">
        <v>0.6</v>
      </c>
      <c r="BG308" s="3">
        <v>0.3</v>
      </c>
      <c r="BH308" s="6">
        <v>941.82855199999995</v>
      </c>
      <c r="BI308" s="3">
        <v>6.0000000000000001E-3</v>
      </c>
      <c r="BK308" s="3" t="s">
        <v>171</v>
      </c>
      <c r="BL308" s="3">
        <v>0.33</v>
      </c>
      <c r="BM308" s="7">
        <v>965.73107900000002</v>
      </c>
      <c r="BN308" s="3">
        <v>1E-3</v>
      </c>
      <c r="BO308" s="3">
        <f t="shared" si="35"/>
        <v>0.315</v>
      </c>
    </row>
    <row r="309" spans="1:67" x14ac:dyDescent="0.3">
      <c r="A309" s="3" t="s">
        <v>172</v>
      </c>
      <c r="B309" s="3">
        <v>0.9</v>
      </c>
      <c r="C309" s="3">
        <v>0.5</v>
      </c>
      <c r="D309" s="3">
        <v>0.6</v>
      </c>
      <c r="E309" s="3">
        <v>0.32</v>
      </c>
      <c r="F309" s="6">
        <v>684.47906499999999</v>
      </c>
      <c r="G309" s="3">
        <v>2E-3</v>
      </c>
      <c r="I309" s="3" t="s">
        <v>172</v>
      </c>
      <c r="J309" s="3">
        <v>0.3</v>
      </c>
      <c r="K309" s="7">
        <v>695.65380900000002</v>
      </c>
      <c r="L309" s="3">
        <v>0</v>
      </c>
      <c r="M309" s="3">
        <f t="shared" si="32"/>
        <v>0.31</v>
      </c>
      <c r="N309" s="5"/>
      <c r="O309" s="5"/>
      <c r="P309" s="5"/>
      <c r="Q309" s="5"/>
      <c r="R309" s="1"/>
      <c r="S309" s="3" t="s">
        <v>172</v>
      </c>
      <c r="T309" s="3">
        <v>0.9</v>
      </c>
      <c r="U309" s="3">
        <v>0.5</v>
      </c>
      <c r="V309" s="3">
        <v>0.6</v>
      </c>
      <c r="W309" s="3">
        <v>0.31</v>
      </c>
      <c r="X309" s="6">
        <v>681.660034</v>
      </c>
      <c r="Y309" s="3">
        <v>2E-3</v>
      </c>
      <c r="AA309" s="3" t="s">
        <v>172</v>
      </c>
      <c r="AB309" s="3">
        <v>0.31</v>
      </c>
      <c r="AC309" s="7">
        <v>695.564392</v>
      </c>
      <c r="AD309" s="3">
        <v>0</v>
      </c>
      <c r="AE309" s="3">
        <f t="shared" si="33"/>
        <v>0.31</v>
      </c>
      <c r="AF309" s="5"/>
      <c r="AG309" s="5"/>
      <c r="AH309" s="5"/>
      <c r="AI309" s="5"/>
      <c r="AJ309" s="1"/>
      <c r="AK309" s="3" t="s">
        <v>173</v>
      </c>
      <c r="AL309" s="3">
        <v>0.9</v>
      </c>
      <c r="AM309" s="3">
        <v>0.5</v>
      </c>
      <c r="AN309" s="3">
        <v>0.6</v>
      </c>
      <c r="AO309" s="3">
        <v>0.34</v>
      </c>
      <c r="AP309" s="6">
        <v>1023.833496</v>
      </c>
      <c r="AQ309" s="3">
        <v>8.0000000000000002E-3</v>
      </c>
      <c r="AS309" s="3" t="s">
        <v>173</v>
      </c>
      <c r="AT309" s="3">
        <v>0.32</v>
      </c>
      <c r="AU309" s="7">
        <v>1040.6320800000001</v>
      </c>
      <c r="AV309" s="3">
        <v>1E-3</v>
      </c>
      <c r="AW309" s="3">
        <f t="shared" si="34"/>
        <v>0.33</v>
      </c>
      <c r="AX309" s="5"/>
      <c r="AY309" s="5"/>
      <c r="AZ309" s="5"/>
      <c r="BA309" s="5"/>
      <c r="BB309" s="1"/>
      <c r="BC309" s="3" t="s">
        <v>173</v>
      </c>
      <c r="BD309" s="3">
        <v>0.9</v>
      </c>
      <c r="BE309" s="3">
        <v>0.5</v>
      </c>
      <c r="BF309" s="3">
        <v>0.6</v>
      </c>
      <c r="BG309" s="3">
        <v>0.3</v>
      </c>
      <c r="BH309" s="6">
        <v>1026.7523189999999</v>
      </c>
      <c r="BI309" s="3">
        <v>0.01</v>
      </c>
      <c r="BK309" s="3" t="s">
        <v>173</v>
      </c>
      <c r="BL309" s="3">
        <v>0.32</v>
      </c>
      <c r="BM309" s="7">
        <v>1033.4113769999999</v>
      </c>
      <c r="BN309" s="3">
        <v>1E-3</v>
      </c>
      <c r="BO309" s="3">
        <f t="shared" si="35"/>
        <v>0.31</v>
      </c>
    </row>
    <row r="310" spans="1:67" x14ac:dyDescent="0.3">
      <c r="A310" s="3" t="s">
        <v>174</v>
      </c>
      <c r="B310" s="3">
        <v>0.9</v>
      </c>
      <c r="C310" s="3">
        <v>0.5</v>
      </c>
      <c r="D310" s="3">
        <v>0.6</v>
      </c>
      <c r="E310" s="3">
        <v>0.32</v>
      </c>
      <c r="F310" s="6">
        <v>688.75256300000001</v>
      </c>
      <c r="G310" s="3">
        <v>1E-3</v>
      </c>
      <c r="I310" s="3" t="s">
        <v>174</v>
      </c>
      <c r="J310" s="3">
        <v>0.36</v>
      </c>
      <c r="K310" s="7">
        <v>699.37115500000004</v>
      </c>
      <c r="L310" s="3">
        <v>0</v>
      </c>
      <c r="M310" s="3">
        <f t="shared" si="32"/>
        <v>0.33999999999999997</v>
      </c>
      <c r="N310" s="5"/>
      <c r="O310" s="5"/>
      <c r="P310" s="5"/>
      <c r="Q310" s="5"/>
      <c r="R310" s="1"/>
      <c r="S310" s="3" t="s">
        <v>174</v>
      </c>
      <c r="T310" s="3">
        <v>0.9</v>
      </c>
      <c r="U310" s="3">
        <v>0.5</v>
      </c>
      <c r="V310" s="3">
        <v>0.6</v>
      </c>
      <c r="W310" s="3">
        <v>0.3</v>
      </c>
      <c r="X310" s="6">
        <v>685.48791500000004</v>
      </c>
      <c r="Y310" s="3">
        <v>2E-3</v>
      </c>
      <c r="AA310" s="3" t="s">
        <v>174</v>
      </c>
      <c r="AB310" s="3">
        <v>0.31</v>
      </c>
      <c r="AC310" s="7">
        <v>690.23602300000005</v>
      </c>
      <c r="AD310" s="3">
        <v>0</v>
      </c>
      <c r="AE310" s="3">
        <f t="shared" si="33"/>
        <v>0.30499999999999999</v>
      </c>
      <c r="AF310" s="5"/>
      <c r="AG310" s="5"/>
      <c r="AH310" s="5"/>
      <c r="AI310" s="5"/>
      <c r="AJ310" s="1"/>
      <c r="AK310" s="3" t="s">
        <v>175</v>
      </c>
      <c r="AL310" s="3">
        <v>0.9</v>
      </c>
      <c r="AM310" s="3">
        <v>0.5</v>
      </c>
      <c r="AN310" s="3">
        <v>0.6</v>
      </c>
      <c r="AO310" s="3">
        <v>0.31</v>
      </c>
      <c r="AP310" s="6">
        <v>1009.00238</v>
      </c>
      <c r="AQ310" s="3">
        <v>7.0000000000000001E-3</v>
      </c>
      <c r="AS310" s="3" t="s">
        <v>175</v>
      </c>
      <c r="AT310" s="3">
        <v>0.31</v>
      </c>
      <c r="AU310" s="7">
        <v>1034.5433350000001</v>
      </c>
      <c r="AV310" s="3">
        <v>1E-3</v>
      </c>
      <c r="AW310" s="3">
        <f t="shared" si="34"/>
        <v>0.31</v>
      </c>
      <c r="AX310" s="5"/>
      <c r="AY310" s="5"/>
      <c r="AZ310" s="5"/>
      <c r="BA310" s="5"/>
      <c r="BB310" s="1"/>
      <c r="BC310" s="3" t="s">
        <v>175</v>
      </c>
      <c r="BD310" s="3">
        <v>0.9</v>
      </c>
      <c r="BE310" s="3">
        <v>0.5</v>
      </c>
      <c r="BF310" s="3">
        <v>0.6</v>
      </c>
      <c r="BG310" s="3">
        <v>0.3</v>
      </c>
      <c r="BH310" s="6">
        <v>1012.946594</v>
      </c>
      <c r="BI310" s="3">
        <v>8.9999999999999993E-3</v>
      </c>
      <c r="BK310" s="3" t="s">
        <v>175</v>
      </c>
      <c r="BL310" s="3">
        <v>0.33</v>
      </c>
      <c r="BM310" s="7">
        <v>1032.682251</v>
      </c>
      <c r="BN310" s="3">
        <v>1E-3</v>
      </c>
      <c r="BO310" s="3">
        <f t="shared" si="35"/>
        <v>0.315</v>
      </c>
    </row>
    <row r="311" spans="1:67" x14ac:dyDescent="0.3">
      <c r="A311" s="3" t="s">
        <v>176</v>
      </c>
      <c r="B311" s="3">
        <v>0.9</v>
      </c>
      <c r="C311" s="3">
        <v>0.5</v>
      </c>
      <c r="D311" s="3">
        <v>0.6</v>
      </c>
      <c r="E311" s="3">
        <v>0.3</v>
      </c>
      <c r="F311" s="6">
        <v>723.84710700000005</v>
      </c>
      <c r="G311" s="3">
        <v>2E-3</v>
      </c>
      <c r="I311" s="3" t="s">
        <v>176</v>
      </c>
      <c r="J311" s="3">
        <v>0.33</v>
      </c>
      <c r="K311" s="7">
        <v>726.28430200000003</v>
      </c>
      <c r="L311" s="3">
        <v>0</v>
      </c>
      <c r="M311" s="3">
        <f t="shared" si="32"/>
        <v>0.315</v>
      </c>
      <c r="N311" s="5"/>
      <c r="O311" s="5"/>
      <c r="P311" s="5"/>
      <c r="Q311" s="5"/>
      <c r="R311" s="1"/>
      <c r="S311" s="3" t="s">
        <v>176</v>
      </c>
      <c r="T311" s="3">
        <v>0.9</v>
      </c>
      <c r="U311" s="3">
        <v>0.5</v>
      </c>
      <c r="V311" s="3">
        <v>0.6</v>
      </c>
      <c r="W311" s="3">
        <v>0.39</v>
      </c>
      <c r="X311" s="6">
        <v>712.26959199999999</v>
      </c>
      <c r="Y311" s="3">
        <v>2E-3</v>
      </c>
      <c r="AA311" s="3" t="s">
        <v>176</v>
      </c>
      <c r="AB311" s="3">
        <v>0.42</v>
      </c>
      <c r="AC311" s="7">
        <v>720.31732199999999</v>
      </c>
      <c r="AD311" s="3">
        <v>0</v>
      </c>
      <c r="AE311" s="3">
        <f t="shared" si="33"/>
        <v>0.40500000000000003</v>
      </c>
      <c r="AF311" s="5"/>
      <c r="AG311" s="5"/>
      <c r="AH311" s="5"/>
      <c r="AI311" s="5"/>
      <c r="AJ311" s="1"/>
      <c r="AK311" s="3" t="s">
        <v>177</v>
      </c>
      <c r="AL311" s="3">
        <v>0.9</v>
      </c>
      <c r="AM311" s="3">
        <v>0.5</v>
      </c>
      <c r="AN311" s="3">
        <v>0.6</v>
      </c>
      <c r="AO311" s="3">
        <v>0.3</v>
      </c>
      <c r="AP311" s="6">
        <v>1106.824341</v>
      </c>
      <c r="AQ311" s="3">
        <v>7.0000000000000001E-3</v>
      </c>
      <c r="AS311" s="3" t="s">
        <v>177</v>
      </c>
      <c r="AT311" s="3">
        <v>0.32</v>
      </c>
      <c r="AU311" s="7">
        <v>1117.4204099999999</v>
      </c>
      <c r="AV311" s="3">
        <v>1E-3</v>
      </c>
      <c r="AW311" s="3">
        <f t="shared" si="34"/>
        <v>0.31</v>
      </c>
      <c r="AX311" s="5"/>
      <c r="AY311" s="5"/>
      <c r="AZ311" s="5"/>
      <c r="BA311" s="5"/>
      <c r="BB311" s="1"/>
      <c r="BC311" s="3" t="s">
        <v>177</v>
      </c>
      <c r="BD311" s="3">
        <v>0.9</v>
      </c>
      <c r="BE311" s="3">
        <v>0.5</v>
      </c>
      <c r="BF311" s="3">
        <v>0.6</v>
      </c>
      <c r="BG311" s="3">
        <v>0.3</v>
      </c>
      <c r="BH311" s="6">
        <v>1118.7813719999999</v>
      </c>
      <c r="BI311" s="3">
        <v>0.01</v>
      </c>
      <c r="BK311" s="3" t="s">
        <v>177</v>
      </c>
      <c r="BL311" s="3">
        <v>0.31</v>
      </c>
      <c r="BM311" s="7">
        <v>1137.5548100000001</v>
      </c>
      <c r="BN311" s="3">
        <v>1E-3</v>
      </c>
      <c r="BO311" s="3">
        <f t="shared" si="35"/>
        <v>0.30499999999999999</v>
      </c>
    </row>
    <row r="312" spans="1:67" x14ac:dyDescent="0.3">
      <c r="A312" s="3" t="s">
        <v>178</v>
      </c>
      <c r="B312" s="3">
        <v>0.9</v>
      </c>
      <c r="C312" s="3">
        <v>0.5</v>
      </c>
      <c r="D312" s="3">
        <v>0.6</v>
      </c>
      <c r="E312" s="3">
        <v>0.3</v>
      </c>
      <c r="F312" s="6">
        <v>699.78344700000002</v>
      </c>
      <c r="G312" s="3">
        <v>2E-3</v>
      </c>
      <c r="I312" s="3" t="s">
        <v>178</v>
      </c>
      <c r="J312" s="3">
        <v>0.32</v>
      </c>
      <c r="K312" s="7">
        <v>700.86169400000006</v>
      </c>
      <c r="L312" s="3">
        <v>0</v>
      </c>
      <c r="M312" s="3">
        <f t="shared" si="32"/>
        <v>0.31</v>
      </c>
      <c r="N312" s="5"/>
      <c r="O312" s="5"/>
      <c r="P312" s="5"/>
      <c r="Q312" s="5"/>
      <c r="R312" s="1"/>
      <c r="S312" s="3" t="s">
        <v>178</v>
      </c>
      <c r="T312" s="3">
        <v>0.9</v>
      </c>
      <c r="U312" s="3">
        <v>0.5</v>
      </c>
      <c r="V312" s="3">
        <v>0.6</v>
      </c>
      <c r="W312" s="3">
        <v>0.31</v>
      </c>
      <c r="X312" s="7">
        <v>702.60369900000001</v>
      </c>
      <c r="Y312" s="3">
        <v>4.0000000000000001E-3</v>
      </c>
      <c r="AA312" s="3" t="s">
        <v>178</v>
      </c>
      <c r="AB312" s="3">
        <v>0.31</v>
      </c>
      <c r="AC312" s="6">
        <v>694.07849099999999</v>
      </c>
      <c r="AD312" s="3">
        <v>1E-3</v>
      </c>
      <c r="AE312" s="3">
        <f t="shared" si="33"/>
        <v>0.31</v>
      </c>
      <c r="AF312" s="5"/>
      <c r="AG312" s="5"/>
      <c r="AH312" s="5"/>
      <c r="AI312" s="5"/>
      <c r="AJ312" s="1"/>
      <c r="AK312" s="3" t="s">
        <v>179</v>
      </c>
      <c r="AL312" s="3">
        <v>0.9</v>
      </c>
      <c r="AM312" s="3">
        <v>0.5</v>
      </c>
      <c r="AN312" s="3">
        <v>0.6</v>
      </c>
      <c r="AO312" s="3">
        <v>0.32</v>
      </c>
      <c r="AP312" s="7">
        <v>1098.623779</v>
      </c>
      <c r="AQ312" s="3">
        <v>7.0000000000000001E-3</v>
      </c>
      <c r="AS312" s="3" t="s">
        <v>179</v>
      </c>
      <c r="AT312" s="3">
        <v>0.31</v>
      </c>
      <c r="AU312" s="6">
        <v>1089.150024</v>
      </c>
      <c r="AV312" s="3">
        <v>1E-3</v>
      </c>
      <c r="AW312" s="3">
        <f t="shared" si="34"/>
        <v>0.315</v>
      </c>
      <c r="AX312" s="5"/>
      <c r="AY312" s="5"/>
      <c r="AZ312" s="5"/>
      <c r="BA312" s="5"/>
      <c r="BB312" s="1"/>
      <c r="BC312" s="3" t="s">
        <v>179</v>
      </c>
      <c r="BD312" s="3">
        <v>0.9</v>
      </c>
      <c r="BE312" s="3">
        <v>0.5</v>
      </c>
      <c r="BF312" s="3">
        <v>0.6</v>
      </c>
      <c r="BG312" s="3">
        <v>0.3</v>
      </c>
      <c r="BH312" s="7">
        <v>1084.6279300000001</v>
      </c>
      <c r="BI312" s="3">
        <v>0.01</v>
      </c>
      <c r="BK312" s="3" t="s">
        <v>179</v>
      </c>
      <c r="BL312" s="3">
        <v>0.32</v>
      </c>
      <c r="BM312" s="6">
        <v>1074.826294</v>
      </c>
      <c r="BN312" s="3">
        <v>1E-3</v>
      </c>
      <c r="BO312" s="3">
        <f t="shared" si="35"/>
        <v>0.31</v>
      </c>
    </row>
    <row r="313" spans="1:67" x14ac:dyDescent="0.3">
      <c r="A313" s="3" t="s">
        <v>180</v>
      </c>
      <c r="B313" s="3">
        <v>0.9</v>
      </c>
      <c r="C313" s="3">
        <v>0.5</v>
      </c>
      <c r="D313" s="3">
        <v>0.6</v>
      </c>
      <c r="E313" s="3">
        <v>0.34</v>
      </c>
      <c r="F313" s="7">
        <v>706.850098</v>
      </c>
      <c r="G313" s="3">
        <v>2E-3</v>
      </c>
      <c r="I313" s="3" t="s">
        <v>180</v>
      </c>
      <c r="J313" s="3">
        <v>0.31</v>
      </c>
      <c r="K313" s="6">
        <v>684.54339600000003</v>
      </c>
      <c r="L313" s="3">
        <v>0</v>
      </c>
      <c r="M313" s="3">
        <f t="shared" si="32"/>
        <v>0.32500000000000001</v>
      </c>
      <c r="N313" s="5"/>
      <c r="O313" s="5"/>
      <c r="P313" s="5"/>
      <c r="Q313" s="5"/>
      <c r="R313" s="1"/>
      <c r="S313" s="3" t="s">
        <v>180</v>
      </c>
      <c r="T313" s="3">
        <v>0.9</v>
      </c>
      <c r="U313" s="3">
        <v>0.5</v>
      </c>
      <c r="V313" s="3">
        <v>0.6</v>
      </c>
      <c r="W313" s="3">
        <v>0.36</v>
      </c>
      <c r="X313" s="7">
        <v>709.88250700000003</v>
      </c>
      <c r="Y313" s="3">
        <v>1E-3</v>
      </c>
      <c r="AA313" s="3" t="s">
        <v>180</v>
      </c>
      <c r="AB313" s="3">
        <v>0.36</v>
      </c>
      <c r="AC313" s="6">
        <v>705.82678199999998</v>
      </c>
      <c r="AD313" s="3">
        <v>0</v>
      </c>
      <c r="AE313" s="3">
        <f t="shared" si="33"/>
        <v>0.36</v>
      </c>
      <c r="AF313" s="5"/>
      <c r="AG313" s="5"/>
      <c r="AH313" s="5"/>
      <c r="AI313" s="5"/>
      <c r="AJ313" s="1"/>
      <c r="AK313" s="3" t="s">
        <v>181</v>
      </c>
      <c r="AL313" s="3">
        <v>0.9</v>
      </c>
      <c r="AM313" s="3">
        <v>0.5</v>
      </c>
      <c r="AN313" s="3">
        <v>0.6</v>
      </c>
      <c r="AO313" s="3">
        <v>0.4</v>
      </c>
      <c r="AP313" s="6">
        <v>1089.276245</v>
      </c>
      <c r="AQ313" s="3">
        <v>8.9999999999999993E-3</v>
      </c>
      <c r="AS313" s="3" t="s">
        <v>181</v>
      </c>
      <c r="AT313" s="3">
        <v>0.3</v>
      </c>
      <c r="AU313" s="7">
        <v>1098.505005</v>
      </c>
      <c r="AV313" s="3">
        <v>1E-3</v>
      </c>
      <c r="AW313" s="3">
        <f t="shared" si="34"/>
        <v>0.35</v>
      </c>
      <c r="AX313" s="5"/>
      <c r="AY313" s="5"/>
      <c r="AZ313" s="5"/>
      <c r="BA313" s="5"/>
      <c r="BB313" s="1"/>
      <c r="BC313" s="3" t="s">
        <v>181</v>
      </c>
      <c r="BD313" s="3">
        <v>0.9</v>
      </c>
      <c r="BE313" s="3">
        <v>0.5</v>
      </c>
      <c r="BF313" s="3">
        <v>0.6</v>
      </c>
      <c r="BG313" s="3">
        <v>0.35</v>
      </c>
      <c r="BH313" s="6">
        <v>1076.137573</v>
      </c>
      <c r="BI313" s="3">
        <v>1.0999999999999999E-2</v>
      </c>
      <c r="BK313" s="3" t="s">
        <v>181</v>
      </c>
      <c r="BL313" s="3">
        <v>0.3</v>
      </c>
      <c r="BM313" s="7">
        <v>1088.4157709999999</v>
      </c>
      <c r="BN313" s="3">
        <v>1E-3</v>
      </c>
      <c r="BO313" s="3">
        <f t="shared" si="35"/>
        <v>0.32499999999999996</v>
      </c>
    </row>
    <row r="314" spans="1:67" x14ac:dyDescent="0.3">
      <c r="A314" s="3" t="s">
        <v>182</v>
      </c>
      <c r="B314" s="3">
        <v>0.9</v>
      </c>
      <c r="C314" s="3">
        <v>0.5</v>
      </c>
      <c r="D314" s="3">
        <v>0.6</v>
      </c>
      <c r="E314" s="3">
        <v>0.31</v>
      </c>
      <c r="F314" s="7">
        <v>656.73657200000002</v>
      </c>
      <c r="G314" s="3">
        <v>1E-3</v>
      </c>
      <c r="I314" s="3" t="s">
        <v>182</v>
      </c>
      <c r="J314" s="3">
        <v>0.32</v>
      </c>
      <c r="K314" s="6">
        <v>628.56829800000003</v>
      </c>
      <c r="L314" s="3">
        <v>0</v>
      </c>
      <c r="M314" s="3">
        <f t="shared" si="32"/>
        <v>0.315</v>
      </c>
      <c r="N314" s="5"/>
      <c r="O314" s="5"/>
      <c r="P314" s="5"/>
      <c r="Q314" s="5"/>
      <c r="R314" s="1"/>
      <c r="S314" s="3" t="s">
        <v>182</v>
      </c>
      <c r="T314" s="3">
        <v>0.9</v>
      </c>
      <c r="U314" s="3">
        <v>0.5</v>
      </c>
      <c r="V314" s="3">
        <v>0.6</v>
      </c>
      <c r="W314" s="3">
        <v>0.3</v>
      </c>
      <c r="X314" s="7">
        <v>659.00079300000004</v>
      </c>
      <c r="Y314" s="3">
        <v>2E-3</v>
      </c>
      <c r="AA314" s="3" t="s">
        <v>182</v>
      </c>
      <c r="AB314" s="3">
        <v>0.31</v>
      </c>
      <c r="AC314" s="6">
        <v>653.29028300000004</v>
      </c>
      <c r="AD314" s="3">
        <v>1E-3</v>
      </c>
      <c r="AE314" s="3">
        <f t="shared" si="33"/>
        <v>0.30499999999999999</v>
      </c>
      <c r="AF314" s="5"/>
      <c r="AG314" s="5"/>
      <c r="AH314" s="5"/>
      <c r="AI314" s="5"/>
      <c r="AJ314" s="1"/>
      <c r="AK314" s="3" t="s">
        <v>183</v>
      </c>
      <c r="AL314" s="3">
        <v>0.9</v>
      </c>
      <c r="AM314" s="3">
        <v>0.5</v>
      </c>
      <c r="AN314" s="3">
        <v>0.6</v>
      </c>
      <c r="AO314" s="3">
        <v>0.35</v>
      </c>
      <c r="AP314" s="6">
        <v>1089.9746090000001</v>
      </c>
      <c r="AQ314" s="3">
        <v>1.0999999999999999E-2</v>
      </c>
      <c r="AS314" s="3" t="s">
        <v>183</v>
      </c>
      <c r="AT314" s="3">
        <v>0.33</v>
      </c>
      <c r="AU314" s="7">
        <v>1093.0501710000001</v>
      </c>
      <c r="AV314" s="3">
        <v>1E-3</v>
      </c>
      <c r="AW314" s="3">
        <f t="shared" si="34"/>
        <v>0.33999999999999997</v>
      </c>
      <c r="AX314" s="5"/>
      <c r="AY314" s="5"/>
      <c r="AZ314" s="5"/>
      <c r="BA314" s="5"/>
      <c r="BB314" s="1"/>
      <c r="BC314" s="3" t="s">
        <v>183</v>
      </c>
      <c r="BD314" s="3">
        <v>0.9</v>
      </c>
      <c r="BE314" s="3">
        <v>0.5</v>
      </c>
      <c r="BF314" s="3">
        <v>0.6</v>
      </c>
      <c r="BG314" s="3">
        <v>0.3</v>
      </c>
      <c r="BH314" s="6">
        <v>1096.3280030000001</v>
      </c>
      <c r="BI314" s="3">
        <v>1.0999999999999999E-2</v>
      </c>
      <c r="BK314" s="3" t="s">
        <v>183</v>
      </c>
      <c r="BL314" s="3">
        <v>0.3</v>
      </c>
      <c r="BM314" s="7">
        <v>1100.766846</v>
      </c>
      <c r="BN314" s="3">
        <v>1E-3</v>
      </c>
      <c r="BO314" s="3">
        <f t="shared" si="35"/>
        <v>0.3</v>
      </c>
    </row>
    <row r="315" spans="1:67" x14ac:dyDescent="0.3">
      <c r="A315" s="3" t="s">
        <v>184</v>
      </c>
      <c r="B315" s="3">
        <v>0.9</v>
      </c>
      <c r="C315" s="3">
        <v>0.5</v>
      </c>
      <c r="D315" s="3">
        <v>0.6</v>
      </c>
      <c r="E315" s="3">
        <v>0.32</v>
      </c>
      <c r="F315" s="6">
        <v>658.20495600000004</v>
      </c>
      <c r="G315" s="3">
        <v>2E-3</v>
      </c>
      <c r="I315" s="3" t="s">
        <v>184</v>
      </c>
      <c r="J315" s="3">
        <v>0.3</v>
      </c>
      <c r="K315" s="7">
        <v>666.86749299999997</v>
      </c>
      <c r="L315" s="3">
        <v>0</v>
      </c>
      <c r="M315" s="3">
        <f t="shared" si="32"/>
        <v>0.31</v>
      </c>
      <c r="N315" s="5"/>
      <c r="O315" s="5"/>
      <c r="P315" s="5"/>
      <c r="Q315" s="5"/>
      <c r="R315" s="1"/>
      <c r="S315" s="3" t="s">
        <v>184</v>
      </c>
      <c r="T315" s="3">
        <v>0.9</v>
      </c>
      <c r="U315" s="3">
        <v>0.5</v>
      </c>
      <c r="V315" s="3">
        <v>0.6</v>
      </c>
      <c r="W315" s="3">
        <v>0.31</v>
      </c>
      <c r="X315" s="7">
        <v>646.71533199999999</v>
      </c>
      <c r="Y315" s="3">
        <v>2E-3</v>
      </c>
      <c r="AA315" s="3" t="s">
        <v>184</v>
      </c>
      <c r="AB315" s="3">
        <v>0.33</v>
      </c>
      <c r="AC315" s="7">
        <v>666.035889</v>
      </c>
      <c r="AD315" s="3">
        <v>0</v>
      </c>
      <c r="AE315" s="3">
        <f t="shared" si="33"/>
        <v>0.32</v>
      </c>
      <c r="AF315" s="5"/>
      <c r="AG315" s="5"/>
      <c r="AH315" s="5"/>
      <c r="AI315" s="5"/>
      <c r="AJ315" s="1"/>
      <c r="AK315" s="3" t="s">
        <v>185</v>
      </c>
      <c r="AL315" s="3">
        <v>0.9</v>
      </c>
      <c r="AM315" s="3">
        <v>0.5</v>
      </c>
      <c r="AN315" s="3">
        <v>0.6</v>
      </c>
      <c r="AO315" s="3">
        <v>0.3</v>
      </c>
      <c r="AP315" s="6">
        <v>1035.6657709999999</v>
      </c>
      <c r="AQ315" s="3">
        <v>8.0000000000000002E-3</v>
      </c>
      <c r="AS315" s="3" t="s">
        <v>185</v>
      </c>
      <c r="AT315" s="3">
        <v>0.3</v>
      </c>
      <c r="AU315" s="7">
        <v>1065.8725589999999</v>
      </c>
      <c r="AV315" s="3">
        <v>1E-3</v>
      </c>
      <c r="AW315" s="3">
        <f t="shared" si="34"/>
        <v>0.3</v>
      </c>
      <c r="AX315" s="5"/>
      <c r="AY315" s="5"/>
      <c r="AZ315" s="5"/>
      <c r="BA315" s="5"/>
      <c r="BB315" s="1"/>
      <c r="BC315" s="3" t="s">
        <v>185</v>
      </c>
      <c r="BD315" s="3">
        <v>0.9</v>
      </c>
      <c r="BE315" s="3">
        <v>0.5</v>
      </c>
      <c r="BF315" s="3">
        <v>0.6</v>
      </c>
      <c r="BG315" s="3">
        <v>0.32</v>
      </c>
      <c r="BH315" s="7">
        <v>1080.9438479999999</v>
      </c>
      <c r="BI315" s="3">
        <v>8.9999999999999993E-3</v>
      </c>
      <c r="BK315" s="3" t="s">
        <v>185</v>
      </c>
      <c r="BL315" s="3">
        <v>0.3</v>
      </c>
      <c r="BM315" s="6">
        <v>1049.1635739999999</v>
      </c>
      <c r="BN315" s="3">
        <v>1E-3</v>
      </c>
      <c r="BO315" s="3">
        <f t="shared" si="35"/>
        <v>0.31</v>
      </c>
    </row>
    <row r="316" spans="1:67" x14ac:dyDescent="0.3">
      <c r="A316" s="3" t="s">
        <v>186</v>
      </c>
      <c r="B316" s="3">
        <v>0.9</v>
      </c>
      <c r="C316" s="3">
        <v>0.5</v>
      </c>
      <c r="D316" s="3">
        <v>0.6</v>
      </c>
      <c r="E316" s="3">
        <v>0.35</v>
      </c>
      <c r="F316" s="6">
        <v>759.59405500000003</v>
      </c>
      <c r="G316" s="3">
        <v>2E-3</v>
      </c>
      <c r="I316" s="3" t="s">
        <v>186</v>
      </c>
      <c r="J316" s="3">
        <v>0.35</v>
      </c>
      <c r="K316" s="7">
        <v>808.19512899999995</v>
      </c>
      <c r="L316" s="3">
        <v>0</v>
      </c>
      <c r="M316" s="3">
        <f t="shared" si="32"/>
        <v>0.35</v>
      </c>
      <c r="N316" s="5"/>
      <c r="O316" s="5"/>
      <c r="P316" s="5"/>
      <c r="Q316" s="5"/>
      <c r="R316" s="1"/>
      <c r="S316" s="3" t="s">
        <v>186</v>
      </c>
      <c r="T316" s="3">
        <v>0.9</v>
      </c>
      <c r="U316" s="3">
        <v>0.5</v>
      </c>
      <c r="V316" s="3">
        <v>0.6</v>
      </c>
      <c r="W316" s="3">
        <v>0.3</v>
      </c>
      <c r="X316" s="6">
        <v>804.51208499999996</v>
      </c>
      <c r="Y316" s="3">
        <v>3.0000000000000001E-3</v>
      </c>
      <c r="AA316" s="3" t="s">
        <v>186</v>
      </c>
      <c r="AB316" s="3">
        <v>0.32</v>
      </c>
      <c r="AC316" s="6">
        <v>799.25311299999998</v>
      </c>
      <c r="AD316" s="3">
        <v>1E-3</v>
      </c>
      <c r="AE316" s="3">
        <f t="shared" si="33"/>
        <v>0.31</v>
      </c>
      <c r="AF316" s="5"/>
      <c r="AG316" s="5"/>
      <c r="AH316" s="5"/>
      <c r="AI316" s="5"/>
      <c r="AJ316" s="1"/>
      <c r="AK316" s="3" t="s">
        <v>187</v>
      </c>
      <c r="AL316" s="3">
        <v>0.9</v>
      </c>
      <c r="AM316" s="3">
        <v>0.5</v>
      </c>
      <c r="AN316" s="3">
        <v>0.6</v>
      </c>
      <c r="AO316" s="3">
        <v>0.33</v>
      </c>
      <c r="AP316" s="7">
        <v>1187.200073</v>
      </c>
      <c r="AQ316" s="3">
        <v>8.9999999999999993E-3</v>
      </c>
      <c r="AS316" s="3" t="s">
        <v>187</v>
      </c>
      <c r="AT316" s="3">
        <v>0.3</v>
      </c>
      <c r="AU316" s="6">
        <v>1177.0512699999999</v>
      </c>
      <c r="AV316" s="3">
        <v>1E-3</v>
      </c>
      <c r="AW316" s="3">
        <f t="shared" si="34"/>
        <v>0.315</v>
      </c>
      <c r="AX316" s="5"/>
      <c r="AY316" s="5"/>
      <c r="AZ316" s="5"/>
      <c r="BA316" s="5"/>
      <c r="BB316" s="1"/>
      <c r="BC316" s="3" t="s">
        <v>187</v>
      </c>
      <c r="BD316" s="3">
        <v>0.9</v>
      </c>
      <c r="BE316" s="3">
        <v>0.5</v>
      </c>
      <c r="BF316" s="3">
        <v>0.6</v>
      </c>
      <c r="BG316" s="3">
        <v>0.3</v>
      </c>
      <c r="BH316" s="6">
        <v>1176.2733149999999</v>
      </c>
      <c r="BI316" s="3">
        <v>1.0999999999999999E-2</v>
      </c>
      <c r="BK316" s="3" t="s">
        <v>187</v>
      </c>
      <c r="BL316" s="3">
        <v>0.3</v>
      </c>
      <c r="BM316" s="7">
        <v>1199.880249</v>
      </c>
      <c r="BN316" s="3">
        <v>1E-3</v>
      </c>
      <c r="BO316" s="3">
        <f t="shared" si="35"/>
        <v>0.3</v>
      </c>
    </row>
    <row r="317" spans="1:67" x14ac:dyDescent="0.3">
      <c r="A317" s="3" t="s">
        <v>188</v>
      </c>
      <c r="B317" s="3">
        <v>0.9</v>
      </c>
      <c r="C317" s="3">
        <v>0.5</v>
      </c>
      <c r="D317" s="3">
        <v>0.6</v>
      </c>
      <c r="E317" s="3">
        <v>0.34</v>
      </c>
      <c r="F317" s="7">
        <v>713.67791699999998</v>
      </c>
      <c r="G317" s="3">
        <v>2E-3</v>
      </c>
      <c r="I317" s="3" t="s">
        <v>188</v>
      </c>
      <c r="J317" s="3">
        <v>0.32</v>
      </c>
      <c r="K317" s="6">
        <v>707.85296600000004</v>
      </c>
      <c r="L317" s="3">
        <v>0</v>
      </c>
      <c r="M317" s="3">
        <f t="shared" si="32"/>
        <v>0.33</v>
      </c>
      <c r="N317" s="5"/>
      <c r="O317" s="5"/>
      <c r="P317" s="5"/>
      <c r="Q317" s="5"/>
      <c r="R317" s="1"/>
      <c r="S317" s="3" t="s">
        <v>188</v>
      </c>
      <c r="T317" s="3">
        <v>0.9</v>
      </c>
      <c r="U317" s="3">
        <v>0.5</v>
      </c>
      <c r="V317" s="3">
        <v>0.6</v>
      </c>
      <c r="W317" s="3">
        <v>0.32</v>
      </c>
      <c r="X317" s="6">
        <v>710.22668499999997</v>
      </c>
      <c r="Y317" s="3">
        <v>3.0000000000000001E-3</v>
      </c>
      <c r="AA317" s="3" t="s">
        <v>188</v>
      </c>
      <c r="AB317" s="3">
        <v>0.3</v>
      </c>
      <c r="AC317" s="7">
        <v>714.72363299999995</v>
      </c>
      <c r="AD317" s="3">
        <v>0</v>
      </c>
      <c r="AE317" s="3">
        <f t="shared" si="33"/>
        <v>0.31</v>
      </c>
      <c r="AF317" s="5"/>
      <c r="AG317" s="5"/>
      <c r="AH317" s="5"/>
      <c r="AI317" s="5"/>
      <c r="AJ317" s="1"/>
      <c r="AK317" s="3" t="s">
        <v>189</v>
      </c>
      <c r="AL317" s="3">
        <v>0.9</v>
      </c>
      <c r="AM317" s="3">
        <v>0.5</v>
      </c>
      <c r="AN317" s="3">
        <v>0.6</v>
      </c>
      <c r="AO317" s="3">
        <v>0.3</v>
      </c>
      <c r="AP317" s="6">
        <v>1036.4398189999999</v>
      </c>
      <c r="AQ317" s="3">
        <v>8.0000000000000002E-3</v>
      </c>
      <c r="AS317" s="3" t="s">
        <v>189</v>
      </c>
      <c r="AT317" s="3">
        <v>0.3</v>
      </c>
      <c r="AU317" s="7">
        <v>1043.7962649999999</v>
      </c>
      <c r="AV317" s="3">
        <v>1E-3</v>
      </c>
      <c r="AW317" s="3">
        <f t="shared" si="34"/>
        <v>0.3</v>
      </c>
      <c r="AX317" s="5"/>
      <c r="AY317" s="5"/>
      <c r="AZ317" s="5"/>
      <c r="BA317" s="5"/>
      <c r="BB317" s="1"/>
      <c r="BC317" s="3" t="s">
        <v>189</v>
      </c>
      <c r="BD317" s="3">
        <v>0.9</v>
      </c>
      <c r="BE317" s="3">
        <v>0.5</v>
      </c>
      <c r="BF317" s="3">
        <v>0.6</v>
      </c>
      <c r="BG317" s="3">
        <v>0.33</v>
      </c>
      <c r="BH317" s="7">
        <v>1036.2261960000001</v>
      </c>
      <c r="BI317" s="3">
        <v>1.2999999999999999E-2</v>
      </c>
      <c r="BK317" s="3" t="s">
        <v>189</v>
      </c>
      <c r="BL317" s="3">
        <v>0.32</v>
      </c>
      <c r="BM317" s="6">
        <v>1025.2897949999999</v>
      </c>
      <c r="BN317" s="3">
        <v>1E-3</v>
      </c>
      <c r="BO317" s="3">
        <f t="shared" si="35"/>
        <v>0.32500000000000001</v>
      </c>
    </row>
    <row r="318" spans="1:67" x14ac:dyDescent="0.3">
      <c r="A318" s="3" t="s">
        <v>190</v>
      </c>
      <c r="B318" s="3">
        <v>0.9</v>
      </c>
      <c r="C318" s="3">
        <v>0.5</v>
      </c>
      <c r="D318" s="3">
        <v>0.6</v>
      </c>
      <c r="E318" s="3">
        <v>0.31</v>
      </c>
      <c r="F318" s="6">
        <v>680.29229699999996</v>
      </c>
      <c r="G318" s="3">
        <v>2E-3</v>
      </c>
      <c r="I318" s="3" t="s">
        <v>190</v>
      </c>
      <c r="J318" s="3">
        <v>0.3</v>
      </c>
      <c r="K318" s="7">
        <v>690.34436000000005</v>
      </c>
      <c r="L318" s="3">
        <v>0</v>
      </c>
      <c r="M318" s="3">
        <f t="shared" si="32"/>
        <v>0.30499999999999999</v>
      </c>
      <c r="N318" s="5"/>
      <c r="O318" s="5"/>
      <c r="P318" s="5"/>
      <c r="Q318" s="5"/>
      <c r="R318" s="1"/>
      <c r="S318" s="3" t="s">
        <v>190</v>
      </c>
      <c r="T318" s="3">
        <v>0.9</v>
      </c>
      <c r="U318" s="3">
        <v>0.5</v>
      </c>
      <c r="V318" s="3">
        <v>0.6</v>
      </c>
      <c r="W318" s="3">
        <v>0.35</v>
      </c>
      <c r="X318" s="6">
        <v>683.91345200000001</v>
      </c>
      <c r="Y318" s="3">
        <v>3.0000000000000001E-3</v>
      </c>
      <c r="AA318" s="3" t="s">
        <v>190</v>
      </c>
      <c r="AB318" s="3">
        <v>0.31</v>
      </c>
      <c r="AC318" s="7">
        <v>686.55157499999996</v>
      </c>
      <c r="AD318" s="3">
        <v>0</v>
      </c>
      <c r="AE318" s="3">
        <f t="shared" si="33"/>
        <v>0.32999999999999996</v>
      </c>
      <c r="AF318" s="5"/>
      <c r="AG318" s="5"/>
      <c r="AH318" s="5"/>
      <c r="AI318" s="5"/>
      <c r="AJ318" s="1"/>
      <c r="AK318" s="3" t="s">
        <v>191</v>
      </c>
      <c r="AL318" s="3">
        <v>0.9</v>
      </c>
      <c r="AM318" s="3">
        <v>0.5</v>
      </c>
      <c r="AN318" s="3">
        <v>0.6</v>
      </c>
      <c r="AO318" s="3">
        <v>0.3</v>
      </c>
      <c r="AP318" s="7">
        <v>1014.069824</v>
      </c>
      <c r="AQ318" s="3">
        <v>8.9999999999999993E-3</v>
      </c>
      <c r="AS318" s="3" t="s">
        <v>191</v>
      </c>
      <c r="AT318" s="3">
        <v>0.3</v>
      </c>
      <c r="AU318" s="6">
        <v>1000.864075</v>
      </c>
      <c r="AV318" s="3">
        <v>1E-3</v>
      </c>
      <c r="AW318" s="3">
        <f t="shared" si="34"/>
        <v>0.3</v>
      </c>
      <c r="AX318" s="5"/>
      <c r="AY318" s="5"/>
      <c r="AZ318" s="5"/>
      <c r="BA318" s="5"/>
      <c r="BB318" s="1"/>
      <c r="BC318" s="3" t="s">
        <v>191</v>
      </c>
      <c r="BD318" s="3">
        <v>0.9</v>
      </c>
      <c r="BE318" s="3">
        <v>0.5</v>
      </c>
      <c r="BF318" s="3">
        <v>0.6</v>
      </c>
      <c r="BG318" s="3">
        <v>0.3</v>
      </c>
      <c r="BH318" s="7">
        <v>1027.7303469999999</v>
      </c>
      <c r="BI318" s="3">
        <v>8.9999999999999993E-3</v>
      </c>
      <c r="BK318" s="3" t="s">
        <v>191</v>
      </c>
      <c r="BL318" s="3">
        <v>0.32</v>
      </c>
      <c r="BM318" s="6">
        <v>1026.721558</v>
      </c>
      <c r="BN318" s="3">
        <v>2E-3</v>
      </c>
      <c r="BO318" s="3">
        <f t="shared" si="35"/>
        <v>0.31</v>
      </c>
    </row>
    <row r="319" spans="1:67" x14ac:dyDescent="0.3">
      <c r="A319" s="3" t="s">
        <v>192</v>
      </c>
      <c r="B319" s="3">
        <v>0.9</v>
      </c>
      <c r="C319" s="3">
        <v>0.5</v>
      </c>
      <c r="D319" s="3">
        <v>0.6</v>
      </c>
      <c r="E319" s="3">
        <v>0.31</v>
      </c>
      <c r="F319" s="7">
        <v>828.58483899999999</v>
      </c>
      <c r="G319" s="3">
        <v>2E-3</v>
      </c>
      <c r="I319" s="3" t="s">
        <v>192</v>
      </c>
      <c r="J319" s="3">
        <v>0.32</v>
      </c>
      <c r="K319" s="6">
        <v>803.72668499999997</v>
      </c>
      <c r="L319" s="3">
        <v>1E-3</v>
      </c>
      <c r="M319" s="3">
        <f t="shared" si="32"/>
        <v>0.315</v>
      </c>
      <c r="N319" s="5"/>
      <c r="O319" s="5"/>
      <c r="P319" s="5"/>
      <c r="Q319" s="5"/>
      <c r="R319" s="1"/>
      <c r="S319" s="3" t="s">
        <v>192</v>
      </c>
      <c r="T319" s="3">
        <v>0.9</v>
      </c>
      <c r="U319" s="3">
        <v>0.5</v>
      </c>
      <c r="V319" s="3">
        <v>0.6</v>
      </c>
      <c r="W319" s="3">
        <v>0.32</v>
      </c>
      <c r="X319" s="6">
        <v>768.26385500000004</v>
      </c>
      <c r="Y319" s="3">
        <v>6.0000000000000001E-3</v>
      </c>
      <c r="AA319" s="3" t="s">
        <v>192</v>
      </c>
      <c r="AB319" s="3">
        <v>0.35</v>
      </c>
      <c r="AC319" s="7">
        <v>814.40954599999998</v>
      </c>
      <c r="AD319" s="3">
        <v>0</v>
      </c>
      <c r="AE319" s="3">
        <f t="shared" si="33"/>
        <v>0.33499999999999996</v>
      </c>
      <c r="AF319" s="5"/>
      <c r="AG319" s="5"/>
      <c r="AH319" s="5"/>
      <c r="AI319" s="5"/>
      <c r="AJ319" s="1"/>
      <c r="AK319" s="3" t="s">
        <v>193</v>
      </c>
      <c r="AL319" s="3">
        <v>0.9</v>
      </c>
      <c r="AM319" s="3">
        <v>0.5</v>
      </c>
      <c r="AN319" s="3">
        <v>0.6</v>
      </c>
      <c r="AO319" s="3">
        <v>0.32</v>
      </c>
      <c r="AP319" s="6">
        <v>1114.960693</v>
      </c>
      <c r="AQ319" s="3">
        <v>1.0999999999999999E-2</v>
      </c>
      <c r="AS319" s="3" t="s">
        <v>193</v>
      </c>
      <c r="AT319" s="3">
        <v>0.33</v>
      </c>
      <c r="AU319" s="7">
        <v>1128.5419919999999</v>
      </c>
      <c r="AV319" s="3">
        <v>1E-3</v>
      </c>
      <c r="AW319" s="3">
        <f t="shared" si="34"/>
        <v>0.32500000000000001</v>
      </c>
      <c r="AX319" s="5"/>
      <c r="AY319" s="5"/>
      <c r="AZ319" s="5"/>
      <c r="BA319" s="5"/>
      <c r="BB319" s="1"/>
      <c r="BC319" s="3" t="s">
        <v>193</v>
      </c>
      <c r="BD319" s="3">
        <v>0.9</v>
      </c>
      <c r="BE319" s="3">
        <v>0.5</v>
      </c>
      <c r="BF319" s="3">
        <v>0.6</v>
      </c>
      <c r="BG319" s="3">
        <v>0.3</v>
      </c>
      <c r="BH319" s="7">
        <v>1136.14563</v>
      </c>
      <c r="BI319" s="3">
        <v>8.0000000000000002E-3</v>
      </c>
      <c r="BK319" s="3" t="s">
        <v>193</v>
      </c>
      <c r="BL319" s="3">
        <v>0.34</v>
      </c>
      <c r="BM319" s="6">
        <v>1126.6999510000001</v>
      </c>
      <c r="BN319" s="3">
        <v>2E-3</v>
      </c>
      <c r="BO319" s="3">
        <f t="shared" si="35"/>
        <v>0.32</v>
      </c>
    </row>
    <row r="320" spans="1:67" x14ac:dyDescent="0.3">
      <c r="A320" s="9" t="s">
        <v>316</v>
      </c>
      <c r="E320" s="9">
        <f>AVERAGE(E290:E319)</f>
        <v>0.31599999999999995</v>
      </c>
      <c r="I320" s="9" t="s">
        <v>316</v>
      </c>
      <c r="J320" s="9">
        <f>AVERAGE(J290:J319)</f>
        <v>0.33133333333333342</v>
      </c>
      <c r="R320" s="1"/>
      <c r="S320" s="9" t="s">
        <v>316</v>
      </c>
      <c r="W320" s="9">
        <f>AVERAGE(W290:W319)</f>
        <v>0.33066666666666666</v>
      </c>
      <c r="AA320" s="9" t="s">
        <v>316</v>
      </c>
      <c r="AB320" s="9">
        <f>AVERAGE(AB290:AB319)</f>
        <v>0.33133333333333331</v>
      </c>
      <c r="AJ320" s="1"/>
      <c r="AK320" s="9" t="s">
        <v>316</v>
      </c>
      <c r="AO320" s="9">
        <f>AVERAGE(AO290:AO319)</f>
        <v>0.316</v>
      </c>
      <c r="AS320" s="9" t="s">
        <v>316</v>
      </c>
      <c r="AT320" s="9">
        <f>AVERAGE(AT290:AT319)</f>
        <v>0.31133333333333341</v>
      </c>
      <c r="BB320" s="1"/>
      <c r="BC320" s="9" t="s">
        <v>316</v>
      </c>
      <c r="BG320" s="9">
        <f>AVERAGE(BG290:BG319)</f>
        <v>0.31166666666666665</v>
      </c>
      <c r="BK320" s="9" t="s">
        <v>316</v>
      </c>
      <c r="BL320" s="9">
        <f>AVERAGE(BL290:BL319)</f>
        <v>0.3116666666666667</v>
      </c>
    </row>
    <row r="321" spans="1:7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row>
    <row r="322" spans="1:71" x14ac:dyDescent="0.3">
      <c r="A322" s="19" t="s">
        <v>314</v>
      </c>
      <c r="B322" s="19"/>
      <c r="C322" s="19"/>
      <c r="D322" s="19"/>
      <c r="E322" s="19"/>
      <c r="F322" s="19"/>
      <c r="G322" s="19"/>
      <c r="I322" s="19" t="s">
        <v>315</v>
      </c>
      <c r="J322" s="19"/>
      <c r="K322" s="19"/>
      <c r="L322" s="19"/>
      <c r="M322" s="19"/>
      <c r="N322" s="11"/>
      <c r="O322" s="11"/>
      <c r="P322" s="11"/>
      <c r="Q322" s="11"/>
      <c r="R322" s="1"/>
      <c r="S322" s="19" t="s">
        <v>314</v>
      </c>
      <c r="T322" s="19"/>
      <c r="U322" s="19"/>
      <c r="V322" s="19"/>
      <c r="W322" s="19"/>
      <c r="X322" s="19"/>
      <c r="Y322" s="19"/>
      <c r="AA322" s="19" t="s">
        <v>315</v>
      </c>
      <c r="AB322" s="19"/>
      <c r="AC322" s="19"/>
      <c r="AD322" s="19"/>
      <c r="AE322" s="19"/>
      <c r="AF322" s="11"/>
      <c r="AG322" s="11"/>
      <c r="AH322" s="11"/>
      <c r="AI322" s="11"/>
      <c r="AJ322" s="1"/>
      <c r="AK322" s="19" t="s">
        <v>314</v>
      </c>
      <c r="AL322" s="19"/>
      <c r="AM322" s="19"/>
      <c r="AN322" s="19"/>
      <c r="AO322" s="19"/>
      <c r="AP322" s="19"/>
      <c r="AQ322" s="19"/>
      <c r="AS322" s="19" t="s">
        <v>315</v>
      </c>
      <c r="AT322" s="19"/>
      <c r="AU322" s="19"/>
      <c r="AV322" s="19"/>
      <c r="AW322" s="19"/>
      <c r="AX322" s="11"/>
      <c r="AY322" s="11"/>
      <c r="AZ322" s="11"/>
      <c r="BA322" s="11"/>
      <c r="BB322" s="1"/>
      <c r="BC322" s="19" t="s">
        <v>314</v>
      </c>
      <c r="BD322" s="19"/>
      <c r="BE322" s="19"/>
      <c r="BF322" s="19"/>
      <c r="BG322" s="19"/>
      <c r="BH322" s="19"/>
      <c r="BI322" s="19"/>
      <c r="BK322" s="19" t="s">
        <v>315</v>
      </c>
      <c r="BL322" s="19"/>
      <c r="BM322" s="19"/>
      <c r="BN322" s="19"/>
      <c r="BO322" s="19"/>
    </row>
    <row r="323" spans="1:71" x14ac:dyDescent="0.3">
      <c r="A323" s="19" t="s">
        <v>0</v>
      </c>
      <c r="B323" s="19"/>
      <c r="C323" s="19"/>
      <c r="D323" s="19"/>
      <c r="E323" s="19"/>
      <c r="F323" s="19"/>
      <c r="G323" s="19"/>
      <c r="I323" s="19" t="s">
        <v>0</v>
      </c>
      <c r="J323" s="19"/>
      <c r="K323" s="19"/>
      <c r="L323" s="19"/>
      <c r="M323" s="19"/>
      <c r="N323" s="11"/>
      <c r="O323" s="11"/>
      <c r="P323" s="11"/>
      <c r="Q323" s="11"/>
      <c r="R323" s="1"/>
      <c r="S323" s="19" t="s">
        <v>1</v>
      </c>
      <c r="T323" s="19"/>
      <c r="U323" s="19"/>
      <c r="V323" s="19"/>
      <c r="W323" s="19"/>
      <c r="X323" s="19"/>
      <c r="Y323" s="19"/>
      <c r="AA323" s="19" t="s">
        <v>1</v>
      </c>
      <c r="AB323" s="19"/>
      <c r="AC323" s="19"/>
      <c r="AD323" s="19"/>
      <c r="AE323" s="19"/>
      <c r="AF323" s="11"/>
      <c r="AG323" s="11"/>
      <c r="AH323" s="11"/>
      <c r="AI323" s="11"/>
      <c r="AJ323" s="1"/>
      <c r="AK323" s="19" t="s">
        <v>0</v>
      </c>
      <c r="AL323" s="19"/>
      <c r="AM323" s="19"/>
      <c r="AN323" s="19"/>
      <c r="AO323" s="19"/>
      <c r="AP323" s="19"/>
      <c r="AQ323" s="19"/>
      <c r="AS323" s="19" t="s">
        <v>0</v>
      </c>
      <c r="AT323" s="19"/>
      <c r="AU323" s="19"/>
      <c r="AV323" s="19"/>
      <c r="AW323" s="19"/>
      <c r="AX323" s="11"/>
      <c r="AY323" s="11"/>
      <c r="AZ323" s="11"/>
      <c r="BA323" s="11"/>
      <c r="BB323" s="1"/>
      <c r="BC323" s="19" t="s">
        <v>1</v>
      </c>
      <c r="BD323" s="19"/>
      <c r="BE323" s="19"/>
      <c r="BF323" s="19"/>
      <c r="BG323" s="19"/>
      <c r="BH323" s="19"/>
      <c r="BI323" s="19"/>
      <c r="BK323" s="19" t="s">
        <v>1</v>
      </c>
      <c r="BL323" s="19"/>
      <c r="BM323" s="19"/>
      <c r="BN323" s="19"/>
      <c r="BO323" s="19"/>
    </row>
    <row r="324" spans="1:71" x14ac:dyDescent="0.3">
      <c r="A324" s="3" t="s">
        <v>2</v>
      </c>
      <c r="B324" s="3" t="s">
        <v>3</v>
      </c>
      <c r="C324" s="3" t="s">
        <v>4</v>
      </c>
      <c r="D324" s="3" t="s">
        <v>5</v>
      </c>
      <c r="E324" s="3" t="s">
        <v>6</v>
      </c>
      <c r="F324" s="3" t="s">
        <v>7</v>
      </c>
      <c r="G324" s="3" t="s">
        <v>8</v>
      </c>
      <c r="I324" s="3" t="s">
        <v>2</v>
      </c>
      <c r="J324" s="3" t="s">
        <v>6</v>
      </c>
      <c r="K324" s="3" t="s">
        <v>7</v>
      </c>
      <c r="L324" s="3" t="s">
        <v>8</v>
      </c>
      <c r="M324" s="3" t="s">
        <v>9</v>
      </c>
      <c r="N324" s="3" t="s">
        <v>322</v>
      </c>
      <c r="O324" s="3" t="s">
        <v>323</v>
      </c>
      <c r="P324" s="3" t="s">
        <v>322</v>
      </c>
      <c r="Q324" s="3" t="s">
        <v>323</v>
      </c>
      <c r="R324" s="1"/>
      <c r="S324" s="3" t="s">
        <v>2</v>
      </c>
      <c r="T324" s="3" t="s">
        <v>3</v>
      </c>
      <c r="U324" s="3" t="s">
        <v>4</v>
      </c>
      <c r="V324" s="3" t="s">
        <v>5</v>
      </c>
      <c r="W324" s="3" t="s">
        <v>6</v>
      </c>
      <c r="X324" s="3" t="s">
        <v>7</v>
      </c>
      <c r="Y324" s="3" t="s">
        <v>8</v>
      </c>
      <c r="AA324" s="3" t="s">
        <v>2</v>
      </c>
      <c r="AB324" s="3" t="s">
        <v>6</v>
      </c>
      <c r="AC324" s="3" t="s">
        <v>7</v>
      </c>
      <c r="AD324" s="3" t="s">
        <v>8</v>
      </c>
      <c r="AE324" s="3" t="s">
        <v>9</v>
      </c>
      <c r="AF324" s="3" t="s">
        <v>322</v>
      </c>
      <c r="AG324" s="3" t="s">
        <v>323</v>
      </c>
      <c r="AH324" s="3" t="s">
        <v>322</v>
      </c>
      <c r="AI324" s="3" t="s">
        <v>323</v>
      </c>
      <c r="AJ324" s="1"/>
      <c r="AK324" s="3" t="s">
        <v>2</v>
      </c>
      <c r="AL324" s="3" t="s">
        <v>3</v>
      </c>
      <c r="AM324" s="3" t="s">
        <v>4</v>
      </c>
      <c r="AN324" s="3" t="s">
        <v>5</v>
      </c>
      <c r="AO324" s="3" t="s">
        <v>6</v>
      </c>
      <c r="AP324" s="3" t="s">
        <v>7</v>
      </c>
      <c r="AQ324" s="3" t="s">
        <v>8</v>
      </c>
      <c r="AS324" s="3" t="s">
        <v>2</v>
      </c>
      <c r="AT324" s="3" t="s">
        <v>6</v>
      </c>
      <c r="AU324" s="3" t="s">
        <v>7</v>
      </c>
      <c r="AV324" s="3" t="s">
        <v>8</v>
      </c>
      <c r="AW324" s="3" t="s">
        <v>9</v>
      </c>
      <c r="AX324" s="3" t="s">
        <v>322</v>
      </c>
      <c r="AY324" s="3" t="s">
        <v>323</v>
      </c>
      <c r="AZ324" s="3" t="s">
        <v>322</v>
      </c>
      <c r="BA324" s="3" t="s">
        <v>323</v>
      </c>
      <c r="BB324" s="1"/>
      <c r="BC324" s="3" t="s">
        <v>2</v>
      </c>
      <c r="BD324" s="3" t="s">
        <v>3</v>
      </c>
      <c r="BE324" s="3" t="s">
        <v>4</v>
      </c>
      <c r="BF324" s="3" t="s">
        <v>5</v>
      </c>
      <c r="BG324" s="3" t="s">
        <v>6</v>
      </c>
      <c r="BH324" s="3" t="s">
        <v>7</v>
      </c>
      <c r="BI324" s="3" t="s">
        <v>8</v>
      </c>
      <c r="BK324" s="3" t="s">
        <v>2</v>
      </c>
      <c r="BL324" s="3" t="s">
        <v>6</v>
      </c>
      <c r="BM324" s="3" t="s">
        <v>7</v>
      </c>
      <c r="BN324" s="3" t="s">
        <v>8</v>
      </c>
      <c r="BO324" s="3" t="s">
        <v>9</v>
      </c>
      <c r="BP324" s="3" t="s">
        <v>322</v>
      </c>
      <c r="BQ324" s="3" t="s">
        <v>323</v>
      </c>
      <c r="BR324" s="3" t="s">
        <v>322</v>
      </c>
      <c r="BS324" s="3" t="s">
        <v>323</v>
      </c>
    </row>
    <row r="325" spans="1:71" x14ac:dyDescent="0.3">
      <c r="A325" s="3" t="s">
        <v>194</v>
      </c>
      <c r="B325" s="3">
        <v>0.9</v>
      </c>
      <c r="C325" s="3">
        <v>0.5</v>
      </c>
      <c r="D325" s="3">
        <v>0.6</v>
      </c>
      <c r="E325" s="3">
        <v>0.3</v>
      </c>
      <c r="F325" s="6">
        <v>668.95550500000002</v>
      </c>
      <c r="G325" s="3">
        <v>2E-3</v>
      </c>
      <c r="I325" s="3" t="s">
        <v>194</v>
      </c>
      <c r="J325" s="3">
        <v>0.31</v>
      </c>
      <c r="K325" s="7">
        <v>680.11309800000004</v>
      </c>
      <c r="L325" s="3">
        <v>0</v>
      </c>
      <c r="M325" s="3">
        <f t="shared" ref="M325:M354" si="36">AVERAGE(E325,J325)</f>
        <v>0.30499999999999999</v>
      </c>
      <c r="N325" s="4" t="s">
        <v>320</v>
      </c>
      <c r="O325" s="4" t="s">
        <v>320</v>
      </c>
      <c r="P325" s="4" t="s">
        <v>321</v>
      </c>
      <c r="Q325" s="4" t="s">
        <v>321</v>
      </c>
      <c r="R325" s="1"/>
      <c r="S325" s="3" t="s">
        <v>194</v>
      </c>
      <c r="T325" s="3">
        <v>0.9</v>
      </c>
      <c r="U325" s="3">
        <v>0.5</v>
      </c>
      <c r="V325" s="3">
        <v>0.6</v>
      </c>
      <c r="W325" s="3">
        <v>0.32</v>
      </c>
      <c r="X325" s="6">
        <v>652.45251499999995</v>
      </c>
      <c r="Y325" s="3">
        <v>2E-3</v>
      </c>
      <c r="AA325" s="3" t="s">
        <v>194</v>
      </c>
      <c r="AB325" s="3">
        <v>0.31</v>
      </c>
      <c r="AC325" s="7">
        <v>654.81646699999999</v>
      </c>
      <c r="AD325" s="3">
        <v>0</v>
      </c>
      <c r="AE325" s="3">
        <f t="shared" ref="AE325:AE354" si="37">AVERAGE(W325,AB325)</f>
        <v>0.315</v>
      </c>
      <c r="AF325" s="4" t="s">
        <v>320</v>
      </c>
      <c r="AG325" s="4" t="s">
        <v>320</v>
      </c>
      <c r="AH325" s="4" t="s">
        <v>321</v>
      </c>
      <c r="AI325" s="4" t="s">
        <v>321</v>
      </c>
      <c r="AJ325" s="1"/>
      <c r="AK325" s="3" t="s">
        <v>195</v>
      </c>
      <c r="AL325" s="3">
        <v>0.9</v>
      </c>
      <c r="AM325" s="3">
        <v>0.5</v>
      </c>
      <c r="AN325" s="3">
        <v>0.6</v>
      </c>
      <c r="AO325" s="3">
        <v>0.33</v>
      </c>
      <c r="AP325" s="6">
        <v>1004.574036</v>
      </c>
      <c r="AQ325" s="3">
        <v>8.9999999999999993E-3</v>
      </c>
      <c r="AS325" s="3" t="s">
        <v>195</v>
      </c>
      <c r="AT325" s="3">
        <v>0.3</v>
      </c>
      <c r="AU325" s="7">
        <v>1009.4406739999999</v>
      </c>
      <c r="AV325" s="3">
        <v>1E-3</v>
      </c>
      <c r="AW325" s="3">
        <f t="shared" ref="AW325:AW354" si="38">AVERAGE(AO325,AT325)</f>
        <v>0.315</v>
      </c>
      <c r="AX325" s="4" t="s">
        <v>320</v>
      </c>
      <c r="AY325" s="4" t="s">
        <v>320</v>
      </c>
      <c r="AZ325" s="4" t="s">
        <v>321</v>
      </c>
      <c r="BA325" s="4" t="s">
        <v>321</v>
      </c>
      <c r="BB325" s="1"/>
      <c r="BC325" s="3" t="s">
        <v>195</v>
      </c>
      <c r="BD325" s="3">
        <v>0.9</v>
      </c>
      <c r="BE325" s="3">
        <v>0.5</v>
      </c>
      <c r="BF325" s="3">
        <v>0.6</v>
      </c>
      <c r="BG325" s="3">
        <v>0.32</v>
      </c>
      <c r="BH325" s="7">
        <v>967.21191399999998</v>
      </c>
      <c r="BI325" s="3">
        <v>7.0000000000000001E-3</v>
      </c>
      <c r="BK325" s="3" t="s">
        <v>195</v>
      </c>
      <c r="BL325" s="3">
        <v>0.31</v>
      </c>
      <c r="BM325" s="6">
        <v>952.66570999999999</v>
      </c>
      <c r="BN325" s="3">
        <v>1E-3</v>
      </c>
      <c r="BO325" s="3">
        <f t="shared" ref="BO325:BO354" si="39">AVERAGE(BG325,BL325)</f>
        <v>0.315</v>
      </c>
      <c r="BP325" s="4" t="s">
        <v>320</v>
      </c>
      <c r="BQ325" s="4" t="s">
        <v>320</v>
      </c>
      <c r="BR325" s="4" t="s">
        <v>321</v>
      </c>
      <c r="BS325" s="4" t="s">
        <v>321</v>
      </c>
    </row>
    <row r="326" spans="1:71" x14ac:dyDescent="0.3">
      <c r="A326" s="3" t="s">
        <v>196</v>
      </c>
      <c r="B326" s="3">
        <v>0.9</v>
      </c>
      <c r="C326" s="3">
        <v>0.5</v>
      </c>
      <c r="D326" s="3">
        <v>0.6</v>
      </c>
      <c r="E326" s="3">
        <v>0.3</v>
      </c>
      <c r="F326" s="6">
        <v>650.28527799999995</v>
      </c>
      <c r="G326" s="3">
        <v>2E-3</v>
      </c>
      <c r="I326" s="3" t="s">
        <v>196</v>
      </c>
      <c r="J326" s="3">
        <v>0.31</v>
      </c>
      <c r="K326" s="7">
        <v>654.48254399999996</v>
      </c>
      <c r="L326" s="3">
        <v>0</v>
      </c>
      <c r="M326" s="3">
        <f t="shared" si="36"/>
        <v>0.30499999999999999</v>
      </c>
      <c r="N326" s="3">
        <f>COUNT(F325:F326,F328,F330:F331,F333,F335:F336,F340:F342,F344:F345,F347,F349:F350)</f>
        <v>16</v>
      </c>
      <c r="O326" s="3">
        <f>30-N326</f>
        <v>14</v>
      </c>
      <c r="P326" s="3">
        <f>COUNT(K327:K329,K332,K334,K337:K339,K343,K346,K348:K349,K351:K354)</f>
        <v>16</v>
      </c>
      <c r="Q326" s="3">
        <f>30-P326</f>
        <v>14</v>
      </c>
      <c r="R326" s="1"/>
      <c r="S326" s="3" t="s">
        <v>196</v>
      </c>
      <c r="T326" s="3">
        <v>0.9</v>
      </c>
      <c r="U326" s="3">
        <v>0.5</v>
      </c>
      <c r="V326" s="3">
        <v>0.6</v>
      </c>
      <c r="W326" s="3">
        <v>0.3</v>
      </c>
      <c r="X326" s="7">
        <v>627.453979</v>
      </c>
      <c r="Y326" s="3">
        <v>2E-3</v>
      </c>
      <c r="AA326" s="3" t="s">
        <v>196</v>
      </c>
      <c r="AB326" s="3">
        <v>0.32</v>
      </c>
      <c r="AC326" s="6">
        <v>621.93463099999997</v>
      </c>
      <c r="AD326" s="3">
        <v>0</v>
      </c>
      <c r="AE326" s="3">
        <f t="shared" si="37"/>
        <v>0.31</v>
      </c>
      <c r="AF326" s="3">
        <f>COUNT(X325,X327:X332,X335:X336,X338,X340:X343,X347:X349,X353:X354)</f>
        <v>19</v>
      </c>
      <c r="AG326" s="3">
        <f>30-AF326</f>
        <v>11</v>
      </c>
      <c r="AH326" s="3">
        <f>COUNT(AC326,AC333:AC334,AC337,AC339,AC344:AC346,AC350:AC352,AC354)</f>
        <v>12</v>
      </c>
      <c r="AI326" s="3">
        <f>30-AH326</f>
        <v>18</v>
      </c>
      <c r="AJ326" s="1"/>
      <c r="AK326" s="3" t="s">
        <v>197</v>
      </c>
      <c r="AL326" s="3">
        <v>0.9</v>
      </c>
      <c r="AM326" s="3">
        <v>0.5</v>
      </c>
      <c r="AN326" s="3">
        <v>0.6</v>
      </c>
      <c r="AO326" s="3">
        <v>0.36</v>
      </c>
      <c r="AP326" s="6">
        <v>947.61779799999999</v>
      </c>
      <c r="AQ326" s="3">
        <v>0.01</v>
      </c>
      <c r="AS326" s="3" t="s">
        <v>197</v>
      </c>
      <c r="AT326" s="3">
        <v>0.33</v>
      </c>
      <c r="AU326" s="7">
        <v>951.33917199999996</v>
      </c>
      <c r="AV326" s="3">
        <v>1E-3</v>
      </c>
      <c r="AW326" s="3">
        <f t="shared" si="38"/>
        <v>0.34499999999999997</v>
      </c>
      <c r="AX326" s="3">
        <f>COUNT(AP325:AP326,AP332:AP335,AP337,AP339:AP343,AP346:AP347,AP349,AP351)</f>
        <v>16</v>
      </c>
      <c r="AY326" s="3">
        <f>30-AX326</f>
        <v>14</v>
      </c>
      <c r="AZ326" s="3">
        <f>COUNT(AU327:AU331,AU336,AU338,AU344:AU345,AU348,AU350,AU352:AU354)</f>
        <v>14</v>
      </c>
      <c r="BA326" s="3">
        <f>30-AZ326</f>
        <v>16</v>
      </c>
      <c r="BB326" s="1"/>
      <c r="BC326" s="3" t="s">
        <v>197</v>
      </c>
      <c r="BD326" s="3">
        <v>0.9</v>
      </c>
      <c r="BE326" s="3">
        <v>0.5</v>
      </c>
      <c r="BF326" s="3">
        <v>0.6</v>
      </c>
      <c r="BG326" s="3">
        <v>0.3</v>
      </c>
      <c r="BH326" s="6">
        <v>891.104736</v>
      </c>
      <c r="BI326" s="3">
        <v>6.0000000000000001E-3</v>
      </c>
      <c r="BK326" s="3" t="s">
        <v>197</v>
      </c>
      <c r="BL326" s="3">
        <v>0.3</v>
      </c>
      <c r="BM326" s="7">
        <v>869.92327899999998</v>
      </c>
      <c r="BN326" s="3">
        <v>0</v>
      </c>
      <c r="BO326" s="3">
        <f t="shared" si="39"/>
        <v>0.3</v>
      </c>
      <c r="BP326" s="3">
        <f>COUNT(BH326,BH328,BH331,BH334,BH336,BH338:BH339,BH341:BH342,BH347:BH351,BH353)</f>
        <v>15</v>
      </c>
      <c r="BQ326" s="3">
        <f>30-BP326</f>
        <v>15</v>
      </c>
      <c r="BR326" s="3">
        <f>COUNT(BM325,BM327,BM329:BM330,BM332:BM333,BM335,BM337,BM340,BM343:BM346,BM352,BM354)</f>
        <v>15</v>
      </c>
      <c r="BS326" s="3">
        <f>30-BR326</f>
        <v>15</v>
      </c>
    </row>
    <row r="327" spans="1:71" x14ac:dyDescent="0.3">
      <c r="A327" s="3" t="s">
        <v>198</v>
      </c>
      <c r="B327" s="3">
        <v>0.9</v>
      </c>
      <c r="C327" s="3">
        <v>0.5</v>
      </c>
      <c r="D327" s="3">
        <v>0.6</v>
      </c>
      <c r="E327" s="3">
        <v>0.32</v>
      </c>
      <c r="F327" s="7">
        <v>631.75915499999996</v>
      </c>
      <c r="G327" s="3">
        <v>2E-3</v>
      </c>
      <c r="I327" s="3" t="s">
        <v>198</v>
      </c>
      <c r="J327" s="3">
        <v>0.36</v>
      </c>
      <c r="K327" s="6">
        <v>629.83123799999998</v>
      </c>
      <c r="L327" s="3">
        <v>1E-3</v>
      </c>
      <c r="M327" s="3">
        <f t="shared" si="36"/>
        <v>0.33999999999999997</v>
      </c>
      <c r="N327" s="5"/>
      <c r="O327" s="5"/>
      <c r="P327" s="5"/>
      <c r="Q327" s="5"/>
      <c r="R327" s="1"/>
      <c r="S327" s="3" t="s">
        <v>198</v>
      </c>
      <c r="T327" s="3">
        <v>0.9</v>
      </c>
      <c r="U327" s="3">
        <v>0.5</v>
      </c>
      <c r="V327" s="3">
        <v>0.6</v>
      </c>
      <c r="W327" s="3">
        <v>0.31</v>
      </c>
      <c r="X327" s="6">
        <v>580.98089600000003</v>
      </c>
      <c r="Y327" s="3">
        <v>2E-3</v>
      </c>
      <c r="AA327" s="3" t="s">
        <v>198</v>
      </c>
      <c r="AB327" s="3">
        <v>0.32</v>
      </c>
      <c r="AC327" s="7">
        <v>604.160034</v>
      </c>
      <c r="AD327" s="3">
        <v>0</v>
      </c>
      <c r="AE327" s="3">
        <f t="shared" si="37"/>
        <v>0.315</v>
      </c>
      <c r="AF327" s="5"/>
      <c r="AG327" s="5"/>
      <c r="AH327" s="5"/>
      <c r="AI327" s="5"/>
      <c r="AJ327" s="1"/>
      <c r="AK327" s="3" t="s">
        <v>199</v>
      </c>
      <c r="AL327" s="3">
        <v>0.9</v>
      </c>
      <c r="AM327" s="3">
        <v>0.5</v>
      </c>
      <c r="AN327" s="3">
        <v>0.6</v>
      </c>
      <c r="AO327" s="3">
        <v>0.32</v>
      </c>
      <c r="AP327" s="7">
        <v>964.45263699999998</v>
      </c>
      <c r="AQ327" s="3">
        <v>0.01</v>
      </c>
      <c r="AS327" s="3" t="s">
        <v>199</v>
      </c>
      <c r="AT327" s="3">
        <v>0.31</v>
      </c>
      <c r="AU327" s="6">
        <v>954.79846199999997</v>
      </c>
      <c r="AV327" s="3">
        <v>0</v>
      </c>
      <c r="AW327" s="3">
        <f t="shared" si="38"/>
        <v>0.315</v>
      </c>
      <c r="AX327" s="5"/>
      <c r="AY327" s="5"/>
      <c r="AZ327" s="5"/>
      <c r="BA327" s="5"/>
      <c r="BB327" s="1"/>
      <c r="BC327" s="3" t="s">
        <v>199</v>
      </c>
      <c r="BD327" s="3">
        <v>0.9</v>
      </c>
      <c r="BE327" s="3">
        <v>0.5</v>
      </c>
      <c r="BF327" s="3">
        <v>0.6</v>
      </c>
      <c r="BG327" s="3">
        <v>0.31</v>
      </c>
      <c r="BH327" s="7">
        <v>935.35540800000001</v>
      </c>
      <c r="BI327" s="3">
        <v>7.0000000000000001E-3</v>
      </c>
      <c r="BK327" s="3" t="s">
        <v>199</v>
      </c>
      <c r="BL327" s="3">
        <v>0.3</v>
      </c>
      <c r="BM327" s="6">
        <v>925.378784</v>
      </c>
      <c r="BN327" s="3">
        <v>0</v>
      </c>
      <c r="BO327" s="3">
        <f t="shared" si="39"/>
        <v>0.30499999999999999</v>
      </c>
    </row>
    <row r="328" spans="1:71" x14ac:dyDescent="0.3">
      <c r="A328" s="3" t="s">
        <v>200</v>
      </c>
      <c r="B328" s="3">
        <v>0.9</v>
      </c>
      <c r="C328" s="3">
        <v>0.5</v>
      </c>
      <c r="D328" s="3">
        <v>0.6</v>
      </c>
      <c r="E328" s="3">
        <v>0.31</v>
      </c>
      <c r="F328" s="6">
        <v>598.37329099999999</v>
      </c>
      <c r="G328" s="3">
        <v>2E-3</v>
      </c>
      <c r="I328" s="3" t="s">
        <v>200</v>
      </c>
      <c r="J328" s="3">
        <v>0.3</v>
      </c>
      <c r="K328" s="8">
        <v>598.44104000000004</v>
      </c>
      <c r="L328" s="3">
        <v>0</v>
      </c>
      <c r="M328" s="3">
        <f t="shared" si="36"/>
        <v>0.30499999999999999</v>
      </c>
      <c r="N328" s="5"/>
      <c r="O328" s="5"/>
      <c r="P328" s="5"/>
      <c r="Q328" s="5"/>
      <c r="R328" s="1"/>
      <c r="S328" s="3" t="s">
        <v>200</v>
      </c>
      <c r="T328" s="3">
        <v>0.9</v>
      </c>
      <c r="U328" s="3">
        <v>0.5</v>
      </c>
      <c r="V328" s="3">
        <v>0.6</v>
      </c>
      <c r="W328" s="3">
        <v>0.3</v>
      </c>
      <c r="X328" s="6">
        <v>524.94604500000003</v>
      </c>
      <c r="Y328" s="3">
        <v>2E-3</v>
      </c>
      <c r="AA328" s="3" t="s">
        <v>200</v>
      </c>
      <c r="AB328" s="3">
        <v>0.3</v>
      </c>
      <c r="AC328" s="7">
        <v>542.31689500000005</v>
      </c>
      <c r="AD328" s="3">
        <v>0</v>
      </c>
      <c r="AE328" s="3">
        <f t="shared" si="37"/>
        <v>0.3</v>
      </c>
      <c r="AF328" s="5"/>
      <c r="AG328" s="5"/>
      <c r="AH328" s="5"/>
      <c r="AI328" s="5"/>
      <c r="AJ328" s="1"/>
      <c r="AK328" s="3" t="s">
        <v>201</v>
      </c>
      <c r="AL328" s="3">
        <v>0.9</v>
      </c>
      <c r="AM328" s="3">
        <v>0.5</v>
      </c>
      <c r="AN328" s="3">
        <v>0.6</v>
      </c>
      <c r="AO328" s="3">
        <v>0.32</v>
      </c>
      <c r="AP328" s="7">
        <v>1008.464783</v>
      </c>
      <c r="AQ328" s="3">
        <v>8.9999999999999993E-3</v>
      </c>
      <c r="AS328" s="3" t="s">
        <v>201</v>
      </c>
      <c r="AT328" s="3">
        <v>0.32</v>
      </c>
      <c r="AU328" s="6">
        <v>1007.987244</v>
      </c>
      <c r="AV328" s="3">
        <v>2E-3</v>
      </c>
      <c r="AW328" s="3">
        <f t="shared" si="38"/>
        <v>0.32</v>
      </c>
      <c r="AX328" s="5"/>
      <c r="AY328" s="5"/>
      <c r="AZ328" s="5"/>
      <c r="BA328" s="5"/>
      <c r="BB328" s="1"/>
      <c r="BC328" s="3" t="s">
        <v>201</v>
      </c>
      <c r="BD328" s="3">
        <v>0.9</v>
      </c>
      <c r="BE328" s="3">
        <v>0.5</v>
      </c>
      <c r="BF328" s="3">
        <v>0.6</v>
      </c>
      <c r="BG328" s="3">
        <v>0.3</v>
      </c>
      <c r="BH328" s="6">
        <v>963.473389</v>
      </c>
      <c r="BI328" s="3">
        <v>7.0000000000000001E-3</v>
      </c>
      <c r="BK328" s="3" t="s">
        <v>201</v>
      </c>
      <c r="BL328" s="3">
        <v>0.3</v>
      </c>
      <c r="BM328" s="7">
        <v>972.81616199999996</v>
      </c>
      <c r="BN328" s="3">
        <v>1E-3</v>
      </c>
      <c r="BO328" s="3">
        <f t="shared" si="39"/>
        <v>0.3</v>
      </c>
    </row>
    <row r="329" spans="1:71" x14ac:dyDescent="0.3">
      <c r="A329" s="3" t="s">
        <v>202</v>
      </c>
      <c r="B329" s="3">
        <v>0.9</v>
      </c>
      <c r="C329" s="3">
        <v>0.5</v>
      </c>
      <c r="D329" s="3">
        <v>0.6</v>
      </c>
      <c r="E329" s="3">
        <v>0.33</v>
      </c>
      <c r="F329" s="7">
        <v>605.262878</v>
      </c>
      <c r="G329" s="3">
        <v>2E-3</v>
      </c>
      <c r="I329" s="3" t="s">
        <v>202</v>
      </c>
      <c r="J329" s="3">
        <v>0.31</v>
      </c>
      <c r="K329" s="6">
        <v>590.57012899999995</v>
      </c>
      <c r="L329" s="3">
        <v>0</v>
      </c>
      <c r="M329" s="3">
        <f t="shared" si="36"/>
        <v>0.32</v>
      </c>
      <c r="N329" s="5"/>
      <c r="O329" s="5"/>
      <c r="P329" s="5"/>
      <c r="Q329" s="5"/>
      <c r="R329" s="1"/>
      <c r="S329" s="3" t="s">
        <v>202</v>
      </c>
      <c r="T329" s="3">
        <v>0.9</v>
      </c>
      <c r="U329" s="3">
        <v>0.5</v>
      </c>
      <c r="V329" s="3">
        <v>0.6</v>
      </c>
      <c r="W329" s="3">
        <v>0.32</v>
      </c>
      <c r="X329" s="6">
        <v>544.00091599999996</v>
      </c>
      <c r="Y329" s="3">
        <v>2E-3</v>
      </c>
      <c r="AA329" s="3" t="s">
        <v>202</v>
      </c>
      <c r="AB329" s="3">
        <v>0.31</v>
      </c>
      <c r="AC329" s="7">
        <v>554.60125700000003</v>
      </c>
      <c r="AD329" s="3">
        <v>0</v>
      </c>
      <c r="AE329" s="3">
        <f t="shared" si="37"/>
        <v>0.315</v>
      </c>
      <c r="AF329" s="5"/>
      <c r="AG329" s="5"/>
      <c r="AH329" s="5"/>
      <c r="AI329" s="5"/>
      <c r="AJ329" s="1"/>
      <c r="AK329" s="3" t="s">
        <v>203</v>
      </c>
      <c r="AL329" s="3">
        <v>0.9</v>
      </c>
      <c r="AM329" s="3">
        <v>0.5</v>
      </c>
      <c r="AN329" s="3">
        <v>0.6</v>
      </c>
      <c r="AO329" s="3">
        <v>0.3</v>
      </c>
      <c r="AP329" s="7">
        <v>969.08709699999997</v>
      </c>
      <c r="AQ329" s="3">
        <v>8.9999999999999993E-3</v>
      </c>
      <c r="AS329" s="3" t="s">
        <v>203</v>
      </c>
      <c r="AT329" s="3">
        <v>0.3</v>
      </c>
      <c r="AU329" s="6">
        <v>962.11163299999998</v>
      </c>
      <c r="AV329" s="3">
        <v>0</v>
      </c>
      <c r="AW329" s="3">
        <f t="shared" si="38"/>
        <v>0.3</v>
      </c>
      <c r="AX329" s="5"/>
      <c r="AY329" s="5"/>
      <c r="AZ329" s="5"/>
      <c r="BA329" s="5"/>
      <c r="BB329" s="1"/>
      <c r="BC329" s="3" t="s">
        <v>203</v>
      </c>
      <c r="BD329" s="3">
        <v>0.9</v>
      </c>
      <c r="BE329" s="3">
        <v>0.5</v>
      </c>
      <c r="BF329" s="3">
        <v>0.6</v>
      </c>
      <c r="BG329" s="3">
        <v>0.3</v>
      </c>
      <c r="BH329" s="7">
        <v>918.18670699999996</v>
      </c>
      <c r="BI329" s="3">
        <v>6.0000000000000001E-3</v>
      </c>
      <c r="BK329" s="3" t="s">
        <v>203</v>
      </c>
      <c r="BL329" s="3">
        <v>0.3</v>
      </c>
      <c r="BM329" s="6">
        <v>912.364014</v>
      </c>
      <c r="BN329" s="3">
        <v>1E-3</v>
      </c>
      <c r="BO329" s="3">
        <f t="shared" si="39"/>
        <v>0.3</v>
      </c>
    </row>
    <row r="330" spans="1:71" x14ac:dyDescent="0.3">
      <c r="A330" s="3" t="s">
        <v>204</v>
      </c>
      <c r="B330" s="3">
        <v>0.9</v>
      </c>
      <c r="C330" s="3">
        <v>0.5</v>
      </c>
      <c r="D330" s="3">
        <v>0.6</v>
      </c>
      <c r="E330" s="3">
        <v>0.32</v>
      </c>
      <c r="F330" s="6">
        <v>638.58227499999998</v>
      </c>
      <c r="G330" s="3">
        <v>2E-3</v>
      </c>
      <c r="I330" s="3" t="s">
        <v>204</v>
      </c>
      <c r="J330" s="3">
        <v>0.35</v>
      </c>
      <c r="K330" s="7">
        <v>641.230774</v>
      </c>
      <c r="L330" s="3">
        <v>1E-3</v>
      </c>
      <c r="M330" s="3">
        <f t="shared" si="36"/>
        <v>0.33499999999999996</v>
      </c>
      <c r="N330" s="5"/>
      <c r="O330" s="5"/>
      <c r="P330" s="5"/>
      <c r="Q330" s="5"/>
      <c r="R330" s="1"/>
      <c r="S330" s="3" t="s">
        <v>204</v>
      </c>
      <c r="T330" s="3">
        <v>0.9</v>
      </c>
      <c r="U330" s="3">
        <v>0.5</v>
      </c>
      <c r="V330" s="3">
        <v>0.6</v>
      </c>
      <c r="W330" s="3">
        <v>0.3</v>
      </c>
      <c r="X330" s="6">
        <v>604.97094700000002</v>
      </c>
      <c r="Y330" s="3">
        <v>2E-3</v>
      </c>
      <c r="AA330" s="3" t="s">
        <v>204</v>
      </c>
      <c r="AB330" s="3">
        <v>0.32</v>
      </c>
      <c r="AC330" s="7">
        <v>612.42016599999999</v>
      </c>
      <c r="AD330" s="3">
        <v>0</v>
      </c>
      <c r="AE330" s="3">
        <f t="shared" si="37"/>
        <v>0.31</v>
      </c>
      <c r="AF330" s="5"/>
      <c r="AG330" s="5"/>
      <c r="AH330" s="5"/>
      <c r="AI330" s="5"/>
      <c r="AJ330" s="1"/>
      <c r="AK330" s="3" t="s">
        <v>205</v>
      </c>
      <c r="AL330" s="3">
        <v>0.9</v>
      </c>
      <c r="AM330" s="3">
        <v>0.5</v>
      </c>
      <c r="AN330" s="3">
        <v>0.6</v>
      </c>
      <c r="AO330" s="3">
        <v>0.3</v>
      </c>
      <c r="AP330" s="7">
        <v>986.62512200000003</v>
      </c>
      <c r="AQ330" s="3">
        <v>1.0999999999999999E-2</v>
      </c>
      <c r="AS330" s="3" t="s">
        <v>205</v>
      </c>
      <c r="AT330" s="3">
        <v>0.33</v>
      </c>
      <c r="AU330" s="6">
        <v>981.20709199999999</v>
      </c>
      <c r="AV330" s="3">
        <v>1E-3</v>
      </c>
      <c r="AW330" s="3">
        <f t="shared" si="38"/>
        <v>0.315</v>
      </c>
      <c r="AX330" s="5"/>
      <c r="AY330" s="5"/>
      <c r="AZ330" s="5"/>
      <c r="BA330" s="5"/>
      <c r="BB330" s="1"/>
      <c r="BC330" s="3" t="s">
        <v>205</v>
      </c>
      <c r="BD330" s="3">
        <v>0.9</v>
      </c>
      <c r="BE330" s="3">
        <v>0.5</v>
      </c>
      <c r="BF330" s="3">
        <v>0.6</v>
      </c>
      <c r="BG330" s="3">
        <v>0.33</v>
      </c>
      <c r="BH330" s="7">
        <v>939.23089600000003</v>
      </c>
      <c r="BI330" s="3">
        <v>6.0000000000000001E-3</v>
      </c>
      <c r="BK330" s="3" t="s">
        <v>205</v>
      </c>
      <c r="BL330" s="3">
        <v>0.33</v>
      </c>
      <c r="BM330" s="6">
        <v>937.60632299999997</v>
      </c>
      <c r="BN330" s="3">
        <v>0</v>
      </c>
      <c r="BO330" s="3">
        <f t="shared" si="39"/>
        <v>0.33</v>
      </c>
    </row>
    <row r="331" spans="1:71" x14ac:dyDescent="0.3">
      <c r="A331" s="3" t="s">
        <v>206</v>
      </c>
      <c r="B331" s="3">
        <v>0.9</v>
      </c>
      <c r="C331" s="3">
        <v>0.5</v>
      </c>
      <c r="D331" s="3">
        <v>0.6</v>
      </c>
      <c r="E331" s="3">
        <v>0.33</v>
      </c>
      <c r="F331" s="6">
        <v>646.61596699999996</v>
      </c>
      <c r="G331" s="3">
        <v>2E-3</v>
      </c>
      <c r="I331" s="3" t="s">
        <v>206</v>
      </c>
      <c r="J331" s="3">
        <v>0.31</v>
      </c>
      <c r="K331" s="7">
        <v>667.36804199999995</v>
      </c>
      <c r="L331" s="3">
        <v>0</v>
      </c>
      <c r="M331" s="3">
        <f t="shared" si="36"/>
        <v>0.32</v>
      </c>
      <c r="N331" s="5"/>
      <c r="O331" s="5"/>
      <c r="P331" s="5"/>
      <c r="Q331" s="5"/>
      <c r="R331" s="1"/>
      <c r="S331" s="3" t="s">
        <v>206</v>
      </c>
      <c r="T331" s="3">
        <v>0.9</v>
      </c>
      <c r="U331" s="3">
        <v>0.5</v>
      </c>
      <c r="V331" s="3">
        <v>0.6</v>
      </c>
      <c r="W331" s="3">
        <v>0.3</v>
      </c>
      <c r="X331" s="6">
        <v>618.34918200000004</v>
      </c>
      <c r="Y331" s="3">
        <v>2E-3</v>
      </c>
      <c r="AA331" s="3" t="s">
        <v>206</v>
      </c>
      <c r="AB331" s="3">
        <v>0.32</v>
      </c>
      <c r="AC331" s="7">
        <v>621.24334699999997</v>
      </c>
      <c r="AD331" s="3">
        <v>0</v>
      </c>
      <c r="AE331" s="3">
        <f t="shared" si="37"/>
        <v>0.31</v>
      </c>
      <c r="AF331" s="5"/>
      <c r="AG331" s="5"/>
      <c r="AH331" s="5"/>
      <c r="AI331" s="5"/>
      <c r="AJ331" s="1"/>
      <c r="AK331" s="3" t="s">
        <v>207</v>
      </c>
      <c r="AL331" s="3">
        <v>0.9</v>
      </c>
      <c r="AM331" s="3">
        <v>0.5</v>
      </c>
      <c r="AN331" s="3">
        <v>0.6</v>
      </c>
      <c r="AO331" s="3">
        <v>0.31</v>
      </c>
      <c r="AP331" s="7">
        <v>902.66839600000003</v>
      </c>
      <c r="AQ331" s="3">
        <v>1.0999999999999999E-2</v>
      </c>
      <c r="AS331" s="3" t="s">
        <v>207</v>
      </c>
      <c r="AT331" s="3">
        <v>0.31</v>
      </c>
      <c r="AU331" s="6">
        <v>885.34429899999998</v>
      </c>
      <c r="AV331" s="3">
        <v>1E-3</v>
      </c>
      <c r="AW331" s="3">
        <f t="shared" si="38"/>
        <v>0.31</v>
      </c>
      <c r="AX331" s="5"/>
      <c r="AY331" s="5"/>
      <c r="AZ331" s="5"/>
      <c r="BA331" s="5"/>
      <c r="BB331" s="1"/>
      <c r="BC331" s="3" t="s">
        <v>207</v>
      </c>
      <c r="BD331" s="3">
        <v>0.9</v>
      </c>
      <c r="BE331" s="3">
        <v>0.5</v>
      </c>
      <c r="BF331" s="3">
        <v>0.6</v>
      </c>
      <c r="BG331" s="3">
        <v>0.3</v>
      </c>
      <c r="BH331" s="6">
        <v>838.493469</v>
      </c>
      <c r="BI331" s="3">
        <v>8.9999999999999993E-3</v>
      </c>
      <c r="BK331" s="3" t="s">
        <v>207</v>
      </c>
      <c r="BL331" s="3">
        <v>0.33</v>
      </c>
      <c r="BM331" s="7">
        <v>850.50830099999996</v>
      </c>
      <c r="BN331" s="3">
        <v>1E-3</v>
      </c>
      <c r="BO331" s="3">
        <f t="shared" si="39"/>
        <v>0.315</v>
      </c>
    </row>
    <row r="332" spans="1:71" x14ac:dyDescent="0.3">
      <c r="A332" s="3" t="s">
        <v>208</v>
      </c>
      <c r="B332" s="3">
        <v>0.9</v>
      </c>
      <c r="C332" s="3">
        <v>0.5</v>
      </c>
      <c r="D332" s="3">
        <v>0.6</v>
      </c>
      <c r="E332" s="3">
        <v>0.36</v>
      </c>
      <c r="F332" s="7">
        <v>619.73907499999996</v>
      </c>
      <c r="G332" s="3">
        <v>2E-3</v>
      </c>
      <c r="I332" s="3" t="s">
        <v>208</v>
      </c>
      <c r="J332" s="3">
        <v>0.31</v>
      </c>
      <c r="K332" s="6">
        <v>613.49163799999997</v>
      </c>
      <c r="L332" s="3">
        <v>0</v>
      </c>
      <c r="M332" s="3">
        <f t="shared" si="36"/>
        <v>0.33499999999999996</v>
      </c>
      <c r="N332" s="5"/>
      <c r="O332" s="5"/>
      <c r="P332" s="5"/>
      <c r="Q332" s="5"/>
      <c r="R332" s="1"/>
      <c r="S332" s="3" t="s">
        <v>208</v>
      </c>
      <c r="T332" s="3">
        <v>0.9</v>
      </c>
      <c r="U332" s="3">
        <v>0.5</v>
      </c>
      <c r="V332" s="3">
        <v>0.6</v>
      </c>
      <c r="W332" s="3">
        <v>0.32</v>
      </c>
      <c r="X332" s="6">
        <v>573.48840299999995</v>
      </c>
      <c r="Y332" s="3">
        <v>1E-3</v>
      </c>
      <c r="AA332" s="3" t="s">
        <v>208</v>
      </c>
      <c r="AB332" s="3">
        <v>0.3</v>
      </c>
      <c r="AC332" s="7">
        <v>575.94702099999995</v>
      </c>
      <c r="AD332" s="3">
        <v>0</v>
      </c>
      <c r="AE332" s="3">
        <f t="shared" si="37"/>
        <v>0.31</v>
      </c>
      <c r="AF332" s="5"/>
      <c r="AG332" s="5"/>
      <c r="AH332" s="5"/>
      <c r="AI332" s="5"/>
      <c r="AJ332" s="1"/>
      <c r="AK332" s="3" t="s">
        <v>209</v>
      </c>
      <c r="AL332" s="3">
        <v>0.9</v>
      </c>
      <c r="AM332" s="3">
        <v>0.5</v>
      </c>
      <c r="AN332" s="3">
        <v>0.6</v>
      </c>
      <c r="AO332" s="3">
        <v>0.3</v>
      </c>
      <c r="AP332" s="6">
        <v>873.21307400000001</v>
      </c>
      <c r="AQ332" s="3">
        <v>1.2E-2</v>
      </c>
      <c r="AS332" s="3" t="s">
        <v>209</v>
      </c>
      <c r="AT332" s="3">
        <v>0.3</v>
      </c>
      <c r="AU332" s="7">
        <v>909.64550799999995</v>
      </c>
      <c r="AV332" s="3">
        <v>1E-3</v>
      </c>
      <c r="AW332" s="3">
        <f t="shared" si="38"/>
        <v>0.3</v>
      </c>
      <c r="AX332" s="5"/>
      <c r="AY332" s="5"/>
      <c r="AZ332" s="5"/>
      <c r="BA332" s="5"/>
      <c r="BB332" s="1"/>
      <c r="BC332" s="3" t="s">
        <v>209</v>
      </c>
      <c r="BD332" s="3">
        <v>0.9</v>
      </c>
      <c r="BE332" s="3">
        <v>0.5</v>
      </c>
      <c r="BF332" s="3">
        <v>0.6</v>
      </c>
      <c r="BG332" s="3">
        <v>0.31</v>
      </c>
      <c r="BH332" s="7">
        <v>849.70825200000002</v>
      </c>
      <c r="BI332" s="3">
        <v>6.0000000000000001E-3</v>
      </c>
      <c r="BK332" s="3" t="s">
        <v>209</v>
      </c>
      <c r="BL332" s="3">
        <v>0.31</v>
      </c>
      <c r="BM332" s="6">
        <v>834.97576900000001</v>
      </c>
      <c r="BN332" s="3">
        <v>1E-3</v>
      </c>
      <c r="BO332" s="3">
        <f t="shared" si="39"/>
        <v>0.31</v>
      </c>
    </row>
    <row r="333" spans="1:71" x14ac:dyDescent="0.3">
      <c r="A333" s="3" t="s">
        <v>210</v>
      </c>
      <c r="B333" s="3">
        <v>0.9</v>
      </c>
      <c r="C333" s="3">
        <v>0.5</v>
      </c>
      <c r="D333" s="3">
        <v>0.6</v>
      </c>
      <c r="E333" s="3">
        <v>0.3</v>
      </c>
      <c r="F333" s="6">
        <v>618.76879899999994</v>
      </c>
      <c r="G333" s="3">
        <v>2E-3</v>
      </c>
      <c r="I333" s="3" t="s">
        <v>210</v>
      </c>
      <c r="J333" s="3">
        <v>0.3</v>
      </c>
      <c r="K333" s="7">
        <v>623.22192399999994</v>
      </c>
      <c r="L333" s="3">
        <v>0</v>
      </c>
      <c r="M333" s="3">
        <f t="shared" si="36"/>
        <v>0.3</v>
      </c>
      <c r="N333" s="5"/>
      <c r="O333" s="5"/>
      <c r="P333" s="5"/>
      <c r="Q333" s="5"/>
      <c r="R333" s="1"/>
      <c r="S333" s="3" t="s">
        <v>210</v>
      </c>
      <c r="T333" s="3">
        <v>0.9</v>
      </c>
      <c r="U333" s="3">
        <v>0.5</v>
      </c>
      <c r="V333" s="3">
        <v>0.6</v>
      </c>
      <c r="W333" s="3">
        <v>0.31</v>
      </c>
      <c r="X333" s="7">
        <v>592.04644800000005</v>
      </c>
      <c r="Y333" s="3">
        <v>2E-3</v>
      </c>
      <c r="AA333" s="3" t="s">
        <v>210</v>
      </c>
      <c r="AB333" s="3">
        <v>0.35</v>
      </c>
      <c r="AC333" s="6">
        <v>590.14367700000003</v>
      </c>
      <c r="AD333" s="3">
        <v>1E-3</v>
      </c>
      <c r="AE333" s="3">
        <f t="shared" si="37"/>
        <v>0.32999999999999996</v>
      </c>
      <c r="AF333" s="5"/>
      <c r="AG333" s="5"/>
      <c r="AH333" s="5"/>
      <c r="AI333" s="5"/>
      <c r="AJ333" s="1"/>
      <c r="AK333" s="3" t="s">
        <v>211</v>
      </c>
      <c r="AL333" s="3">
        <v>0.9</v>
      </c>
      <c r="AM333" s="3">
        <v>0.5</v>
      </c>
      <c r="AN333" s="3">
        <v>0.6</v>
      </c>
      <c r="AO333" s="3">
        <v>0.3</v>
      </c>
      <c r="AP333" s="6">
        <v>939.828979</v>
      </c>
      <c r="AQ333" s="3">
        <v>8.9999999999999993E-3</v>
      </c>
      <c r="AS333" s="3" t="s">
        <v>211</v>
      </c>
      <c r="AT333" s="3">
        <v>0.3</v>
      </c>
      <c r="AU333" s="7">
        <v>941.14215100000001</v>
      </c>
      <c r="AV333" s="3">
        <v>0</v>
      </c>
      <c r="AW333" s="3">
        <f t="shared" si="38"/>
        <v>0.3</v>
      </c>
      <c r="AX333" s="5"/>
      <c r="AY333" s="5"/>
      <c r="AZ333" s="5"/>
      <c r="BA333" s="5"/>
      <c r="BB333" s="1"/>
      <c r="BC333" s="3" t="s">
        <v>211</v>
      </c>
      <c r="BD333" s="3">
        <v>0.9</v>
      </c>
      <c r="BE333" s="3">
        <v>0.5</v>
      </c>
      <c r="BF333" s="3">
        <v>0.6</v>
      </c>
      <c r="BG333" s="3">
        <v>0.3</v>
      </c>
      <c r="BH333" s="7">
        <v>889.57141100000001</v>
      </c>
      <c r="BI333" s="3">
        <v>6.0000000000000001E-3</v>
      </c>
      <c r="BK333" s="3" t="s">
        <v>211</v>
      </c>
      <c r="BL333" s="3">
        <v>0.32</v>
      </c>
      <c r="BM333" s="6">
        <v>883.49017300000003</v>
      </c>
      <c r="BN333" s="3">
        <v>1E-3</v>
      </c>
      <c r="BO333" s="3">
        <f t="shared" si="39"/>
        <v>0.31</v>
      </c>
    </row>
    <row r="334" spans="1:71" x14ac:dyDescent="0.3">
      <c r="A334" s="3" t="s">
        <v>212</v>
      </c>
      <c r="B334" s="3">
        <v>0.9</v>
      </c>
      <c r="C334" s="3">
        <v>0.5</v>
      </c>
      <c r="D334" s="3">
        <v>0.6</v>
      </c>
      <c r="E334" s="3">
        <v>0.3</v>
      </c>
      <c r="F334" s="7">
        <v>652.70678699999996</v>
      </c>
      <c r="G334" s="3">
        <v>3.0000000000000001E-3</v>
      </c>
      <c r="I334" s="3" t="s">
        <v>212</v>
      </c>
      <c r="J334" s="3">
        <v>0.32</v>
      </c>
      <c r="K334" s="6">
        <v>633.03509499999996</v>
      </c>
      <c r="L334" s="3">
        <v>0</v>
      </c>
      <c r="M334" s="3">
        <f t="shared" si="36"/>
        <v>0.31</v>
      </c>
      <c r="N334" s="5"/>
      <c r="O334" s="5"/>
      <c r="P334" s="5"/>
      <c r="Q334" s="5"/>
      <c r="R334" s="1"/>
      <c r="S334" s="3" t="s">
        <v>212</v>
      </c>
      <c r="T334" s="3">
        <v>0.9</v>
      </c>
      <c r="U334" s="3">
        <v>0.5</v>
      </c>
      <c r="V334" s="3">
        <v>0.6</v>
      </c>
      <c r="W334" s="3">
        <v>0.3</v>
      </c>
      <c r="X334" s="7">
        <v>613.18969700000002</v>
      </c>
      <c r="Y334" s="3">
        <v>2E-3</v>
      </c>
      <c r="AA334" s="3" t="s">
        <v>212</v>
      </c>
      <c r="AB334" s="3">
        <v>0.32</v>
      </c>
      <c r="AC334" s="6">
        <v>603.98303199999998</v>
      </c>
      <c r="AD334" s="3">
        <v>0</v>
      </c>
      <c r="AE334" s="3">
        <f t="shared" si="37"/>
        <v>0.31</v>
      </c>
      <c r="AF334" s="5"/>
      <c r="AG334" s="5"/>
      <c r="AH334" s="5"/>
      <c r="AI334" s="5"/>
      <c r="AJ334" s="1"/>
      <c r="AK334" s="3" t="s">
        <v>213</v>
      </c>
      <c r="AL334" s="3">
        <v>0.9</v>
      </c>
      <c r="AM334" s="3">
        <v>0.5</v>
      </c>
      <c r="AN334" s="3">
        <v>0.6</v>
      </c>
      <c r="AO334" s="3">
        <v>0.31</v>
      </c>
      <c r="AP334" s="6">
        <v>946.70416299999999</v>
      </c>
      <c r="AQ334" s="3">
        <v>0.01</v>
      </c>
      <c r="AS334" s="3" t="s">
        <v>213</v>
      </c>
      <c r="AT334" s="3">
        <v>0.3</v>
      </c>
      <c r="AU334" s="7">
        <v>966.07275400000003</v>
      </c>
      <c r="AV334" s="3">
        <v>1E-3</v>
      </c>
      <c r="AW334" s="3">
        <f t="shared" si="38"/>
        <v>0.30499999999999999</v>
      </c>
      <c r="AX334" s="5"/>
      <c r="AY334" s="5"/>
      <c r="AZ334" s="5"/>
      <c r="BA334" s="5"/>
      <c r="BB334" s="1"/>
      <c r="BC334" s="3" t="s">
        <v>213</v>
      </c>
      <c r="BD334" s="3">
        <v>0.9</v>
      </c>
      <c r="BE334" s="3">
        <v>0.5</v>
      </c>
      <c r="BF334" s="3">
        <v>0.6</v>
      </c>
      <c r="BG334" s="3">
        <v>0.3</v>
      </c>
      <c r="BH334" s="6">
        <v>913.08496100000002</v>
      </c>
      <c r="BI334" s="3">
        <v>7.0000000000000001E-3</v>
      </c>
      <c r="BK334" s="3" t="s">
        <v>213</v>
      </c>
      <c r="BL334" s="3">
        <v>0.32</v>
      </c>
      <c r="BM334" s="7">
        <v>938.15905799999996</v>
      </c>
      <c r="BN334" s="3">
        <v>1E-3</v>
      </c>
      <c r="BO334" s="3">
        <f t="shared" si="39"/>
        <v>0.31</v>
      </c>
    </row>
    <row r="335" spans="1:71" x14ac:dyDescent="0.3">
      <c r="A335" s="3" t="s">
        <v>214</v>
      </c>
      <c r="B335" s="3">
        <v>0.9</v>
      </c>
      <c r="C335" s="3">
        <v>0.5</v>
      </c>
      <c r="D335" s="3">
        <v>0.6</v>
      </c>
      <c r="E335" s="3">
        <v>0.31</v>
      </c>
      <c r="F335" s="6">
        <v>646.94250499999998</v>
      </c>
      <c r="G335" s="3">
        <v>2E-3</v>
      </c>
      <c r="I335" s="3" t="s">
        <v>214</v>
      </c>
      <c r="J335" s="3">
        <v>0.31</v>
      </c>
      <c r="K335" s="7">
        <v>663.17480499999999</v>
      </c>
      <c r="L335" s="3">
        <v>0</v>
      </c>
      <c r="M335" s="3">
        <f t="shared" si="36"/>
        <v>0.31</v>
      </c>
      <c r="N335" s="5"/>
      <c r="O335" s="5"/>
      <c r="P335" s="5"/>
      <c r="Q335" s="5"/>
      <c r="R335" s="1"/>
      <c r="S335" s="3" t="s">
        <v>214</v>
      </c>
      <c r="T335" s="3">
        <v>0.9</v>
      </c>
      <c r="U335" s="3">
        <v>0.5</v>
      </c>
      <c r="V335" s="3">
        <v>0.6</v>
      </c>
      <c r="W335" s="3">
        <v>0.32</v>
      </c>
      <c r="X335" s="6">
        <v>610.86773700000003</v>
      </c>
      <c r="Y335" s="3">
        <v>2E-3</v>
      </c>
      <c r="AA335" s="3" t="s">
        <v>214</v>
      </c>
      <c r="AB335" s="3">
        <v>0.32</v>
      </c>
      <c r="AC335" s="7">
        <v>622.41967799999998</v>
      </c>
      <c r="AD335" s="3">
        <v>1E-3</v>
      </c>
      <c r="AE335" s="3">
        <f t="shared" si="37"/>
        <v>0.32</v>
      </c>
      <c r="AF335" s="5"/>
      <c r="AG335" s="5"/>
      <c r="AH335" s="5"/>
      <c r="AI335" s="5"/>
      <c r="AJ335" s="1"/>
      <c r="AK335" s="3" t="s">
        <v>215</v>
      </c>
      <c r="AL335" s="3">
        <v>0.9</v>
      </c>
      <c r="AM335" s="3">
        <v>0.5</v>
      </c>
      <c r="AN335" s="3">
        <v>0.6</v>
      </c>
      <c r="AO335" s="3">
        <v>0.3</v>
      </c>
      <c r="AP335" s="6">
        <v>1043.5002440000001</v>
      </c>
      <c r="AQ335" s="3">
        <v>0.01</v>
      </c>
      <c r="AS335" s="3" t="s">
        <v>215</v>
      </c>
      <c r="AT335" s="3">
        <v>0.31</v>
      </c>
      <c r="AU335" s="7">
        <v>1048.3717039999999</v>
      </c>
      <c r="AV335" s="3">
        <v>1E-3</v>
      </c>
      <c r="AW335" s="3">
        <f t="shared" si="38"/>
        <v>0.30499999999999999</v>
      </c>
      <c r="AX335" s="5"/>
      <c r="AY335" s="5"/>
      <c r="AZ335" s="5"/>
      <c r="BA335" s="5"/>
      <c r="BB335" s="1"/>
      <c r="BC335" s="3" t="s">
        <v>215</v>
      </c>
      <c r="BD335" s="3">
        <v>0.9</v>
      </c>
      <c r="BE335" s="3">
        <v>0.5</v>
      </c>
      <c r="BF335" s="3">
        <v>0.6</v>
      </c>
      <c r="BG335" s="3">
        <v>0.3</v>
      </c>
      <c r="BH335" s="7">
        <v>1002.036011</v>
      </c>
      <c r="BI335" s="3">
        <v>8.0000000000000002E-3</v>
      </c>
      <c r="BK335" s="3" t="s">
        <v>215</v>
      </c>
      <c r="BL335" s="3">
        <v>0.32</v>
      </c>
      <c r="BM335" s="6">
        <v>981.07708700000001</v>
      </c>
      <c r="BN335" s="3">
        <v>1E-3</v>
      </c>
      <c r="BO335" s="3">
        <f t="shared" si="39"/>
        <v>0.31</v>
      </c>
    </row>
    <row r="336" spans="1:71" x14ac:dyDescent="0.3">
      <c r="A336" s="3" t="s">
        <v>216</v>
      </c>
      <c r="B336" s="3">
        <v>0.9</v>
      </c>
      <c r="C336" s="3">
        <v>0.5</v>
      </c>
      <c r="D336" s="3">
        <v>0.6</v>
      </c>
      <c r="E336" s="3">
        <v>0.33</v>
      </c>
      <c r="F336" s="6">
        <v>612.98419200000001</v>
      </c>
      <c r="G336" s="3">
        <v>2E-3</v>
      </c>
      <c r="I336" s="3" t="s">
        <v>216</v>
      </c>
      <c r="J336" s="3">
        <v>0.31</v>
      </c>
      <c r="K336" s="7">
        <v>624.97302200000001</v>
      </c>
      <c r="L336" s="3">
        <v>1E-3</v>
      </c>
      <c r="M336" s="3">
        <f t="shared" si="36"/>
        <v>0.32</v>
      </c>
      <c r="N336" s="5"/>
      <c r="O336" s="5"/>
      <c r="P336" s="5"/>
      <c r="Q336" s="5"/>
      <c r="R336" s="1"/>
      <c r="S336" s="3" t="s">
        <v>216</v>
      </c>
      <c r="T336" s="3">
        <v>0.9</v>
      </c>
      <c r="U336" s="3">
        <v>0.5</v>
      </c>
      <c r="V336" s="3">
        <v>0.6</v>
      </c>
      <c r="W336" s="3">
        <v>0.3</v>
      </c>
      <c r="X336" s="6">
        <v>557.23156700000004</v>
      </c>
      <c r="Y336" s="3">
        <v>2E-3</v>
      </c>
      <c r="AA336" s="3" t="s">
        <v>216</v>
      </c>
      <c r="AB336" s="3">
        <v>0.32</v>
      </c>
      <c r="AC336" s="7">
        <v>574.39624000000003</v>
      </c>
      <c r="AD336" s="3">
        <v>0</v>
      </c>
      <c r="AE336" s="3">
        <f t="shared" si="37"/>
        <v>0.31</v>
      </c>
      <c r="AF336" s="5"/>
      <c r="AG336" s="5"/>
      <c r="AH336" s="5"/>
      <c r="AI336" s="5"/>
      <c r="AJ336" s="1"/>
      <c r="AK336" s="3" t="s">
        <v>217</v>
      </c>
      <c r="AL336" s="3">
        <v>0.9</v>
      </c>
      <c r="AM336" s="3">
        <v>0.5</v>
      </c>
      <c r="AN336" s="3">
        <v>0.6</v>
      </c>
      <c r="AO336" s="3">
        <v>0.33</v>
      </c>
      <c r="AP336" s="7">
        <v>1075.3713379999999</v>
      </c>
      <c r="AQ336" s="3">
        <v>1.2E-2</v>
      </c>
      <c r="AS336" s="3" t="s">
        <v>217</v>
      </c>
      <c r="AT336" s="3">
        <v>0.32</v>
      </c>
      <c r="AU336" s="6">
        <v>1058.973999</v>
      </c>
      <c r="AV336" s="3">
        <v>1E-3</v>
      </c>
      <c r="AW336" s="3">
        <f t="shared" si="38"/>
        <v>0.32500000000000001</v>
      </c>
      <c r="AX336" s="5"/>
      <c r="AY336" s="5"/>
      <c r="AZ336" s="5"/>
      <c r="BA336" s="5"/>
      <c r="BB336" s="1"/>
      <c r="BC336" s="3" t="s">
        <v>217</v>
      </c>
      <c r="BD336" s="3">
        <v>0.9</v>
      </c>
      <c r="BE336" s="3">
        <v>0.5</v>
      </c>
      <c r="BF336" s="3">
        <v>0.6</v>
      </c>
      <c r="BG336" s="3">
        <v>0.31</v>
      </c>
      <c r="BH336" s="6">
        <v>1042.5321039999999</v>
      </c>
      <c r="BI336" s="3">
        <v>8.0000000000000002E-3</v>
      </c>
      <c r="BK336" s="3" t="s">
        <v>217</v>
      </c>
      <c r="BL336" s="3">
        <v>0.3</v>
      </c>
      <c r="BM336" s="7">
        <v>1050.9520259999999</v>
      </c>
      <c r="BN336" s="3">
        <v>0</v>
      </c>
      <c r="BO336" s="3">
        <f t="shared" si="39"/>
        <v>0.30499999999999999</v>
      </c>
    </row>
    <row r="337" spans="1:67" x14ac:dyDescent="0.3">
      <c r="A337" s="3" t="s">
        <v>218</v>
      </c>
      <c r="B337" s="3">
        <v>0.9</v>
      </c>
      <c r="C337" s="3">
        <v>0.5</v>
      </c>
      <c r="D337" s="3">
        <v>0.6</v>
      </c>
      <c r="E337" s="3">
        <v>0.33</v>
      </c>
      <c r="F337" s="7">
        <v>680.66015600000003</v>
      </c>
      <c r="G337" s="3">
        <v>2E-3</v>
      </c>
      <c r="I337" s="3" t="s">
        <v>218</v>
      </c>
      <c r="J337" s="3">
        <v>0.33</v>
      </c>
      <c r="K337" s="6">
        <v>674.83587599999998</v>
      </c>
      <c r="L337" s="3">
        <v>1E-3</v>
      </c>
      <c r="M337" s="3">
        <f t="shared" si="36"/>
        <v>0.33</v>
      </c>
      <c r="N337" s="5"/>
      <c r="O337" s="5"/>
      <c r="P337" s="5"/>
      <c r="Q337" s="5"/>
      <c r="R337" s="1"/>
      <c r="S337" s="3" t="s">
        <v>218</v>
      </c>
      <c r="T337" s="3">
        <v>0.9</v>
      </c>
      <c r="U337" s="3">
        <v>0.5</v>
      </c>
      <c r="V337" s="3">
        <v>0.6</v>
      </c>
      <c r="W337" s="3">
        <v>0.3</v>
      </c>
      <c r="X337" s="7">
        <v>653.78204300000004</v>
      </c>
      <c r="Y337" s="3">
        <v>2E-3</v>
      </c>
      <c r="AA337" s="3" t="s">
        <v>218</v>
      </c>
      <c r="AB337" s="3">
        <v>0.31</v>
      </c>
      <c r="AC337" s="6">
        <v>643.35766599999999</v>
      </c>
      <c r="AD337" s="3">
        <v>0</v>
      </c>
      <c r="AE337" s="3">
        <f t="shared" si="37"/>
        <v>0.30499999999999999</v>
      </c>
      <c r="AF337" s="5"/>
      <c r="AG337" s="5"/>
      <c r="AH337" s="5"/>
      <c r="AI337" s="5"/>
      <c r="AJ337" s="1"/>
      <c r="AK337" s="3" t="s">
        <v>219</v>
      </c>
      <c r="AL337" s="3">
        <v>0.9</v>
      </c>
      <c r="AM337" s="3">
        <v>0.5</v>
      </c>
      <c r="AN337" s="3">
        <v>0.6</v>
      </c>
      <c r="AO337" s="3">
        <v>0.32</v>
      </c>
      <c r="AP337" s="6">
        <v>1062.2257079999999</v>
      </c>
      <c r="AQ337" s="3">
        <v>1.2E-2</v>
      </c>
      <c r="AS337" s="3" t="s">
        <v>219</v>
      </c>
      <c r="AT337" s="3">
        <v>0.3</v>
      </c>
      <c r="AU337" s="7">
        <v>1070.009033</v>
      </c>
      <c r="AV337" s="3">
        <v>2E-3</v>
      </c>
      <c r="AW337" s="3">
        <f t="shared" si="38"/>
        <v>0.31</v>
      </c>
      <c r="AX337" s="5"/>
      <c r="AY337" s="5"/>
      <c r="AZ337" s="5"/>
      <c r="BA337" s="5"/>
      <c r="BB337" s="1"/>
      <c r="BC337" s="3" t="s">
        <v>219</v>
      </c>
      <c r="BD337" s="3">
        <v>0.9</v>
      </c>
      <c r="BE337" s="3">
        <v>0.5</v>
      </c>
      <c r="BF337" s="3">
        <v>0.6</v>
      </c>
      <c r="BG337" s="3">
        <v>0.32</v>
      </c>
      <c r="BH337" s="7">
        <v>1055.246216</v>
      </c>
      <c r="BI337" s="3">
        <v>8.9999999999999993E-3</v>
      </c>
      <c r="BK337" s="3" t="s">
        <v>219</v>
      </c>
      <c r="BL337" s="3">
        <v>0.3</v>
      </c>
      <c r="BM337" s="6">
        <v>1053.1704099999999</v>
      </c>
      <c r="BN337" s="3">
        <v>1E-3</v>
      </c>
      <c r="BO337" s="3">
        <f t="shared" si="39"/>
        <v>0.31</v>
      </c>
    </row>
    <row r="338" spans="1:67" x14ac:dyDescent="0.3">
      <c r="A338" s="3" t="s">
        <v>220</v>
      </c>
      <c r="B338" s="3">
        <v>0.9</v>
      </c>
      <c r="C338" s="3">
        <v>0.5</v>
      </c>
      <c r="D338" s="3">
        <v>0.6</v>
      </c>
      <c r="E338" s="3">
        <v>0.3</v>
      </c>
      <c r="F338" s="7">
        <v>692.65423599999997</v>
      </c>
      <c r="G338" s="3">
        <v>2E-3</v>
      </c>
      <c r="I338" s="3" t="s">
        <v>220</v>
      </c>
      <c r="J338" s="3">
        <v>0.31</v>
      </c>
      <c r="K338" s="6">
        <v>685.82269299999996</v>
      </c>
      <c r="L338" s="3">
        <v>0</v>
      </c>
      <c r="M338" s="3">
        <f t="shared" si="36"/>
        <v>0.30499999999999999</v>
      </c>
      <c r="N338" s="5"/>
      <c r="O338" s="5"/>
      <c r="P338" s="5"/>
      <c r="Q338" s="5"/>
      <c r="R338" s="1"/>
      <c r="S338" s="3" t="s">
        <v>220</v>
      </c>
      <c r="T338" s="3">
        <v>0.9</v>
      </c>
      <c r="U338" s="3">
        <v>0.5</v>
      </c>
      <c r="V338" s="3">
        <v>0.6</v>
      </c>
      <c r="W338" s="3">
        <v>0.3</v>
      </c>
      <c r="X338" s="6">
        <v>676.77276600000005</v>
      </c>
      <c r="Y338" s="3">
        <v>3.0000000000000001E-3</v>
      </c>
      <c r="AA338" s="3" t="s">
        <v>220</v>
      </c>
      <c r="AB338" s="3">
        <v>0.35</v>
      </c>
      <c r="AC338" s="7">
        <v>689.40972899999997</v>
      </c>
      <c r="AD338" s="3">
        <v>0</v>
      </c>
      <c r="AE338" s="3">
        <f t="shared" si="37"/>
        <v>0.32499999999999996</v>
      </c>
      <c r="AF338" s="5"/>
      <c r="AG338" s="5"/>
      <c r="AH338" s="5"/>
      <c r="AI338" s="5"/>
      <c r="AJ338" s="1"/>
      <c r="AK338" s="3" t="s">
        <v>221</v>
      </c>
      <c r="AL338" s="3">
        <v>0.9</v>
      </c>
      <c r="AM338" s="3">
        <v>0.5</v>
      </c>
      <c r="AN338" s="3">
        <v>0.6</v>
      </c>
      <c r="AO338" s="3">
        <v>0.31</v>
      </c>
      <c r="AP338" s="7">
        <v>1019.408997</v>
      </c>
      <c r="AQ338" s="3">
        <v>1.0999999999999999E-2</v>
      </c>
      <c r="AS338" s="3" t="s">
        <v>221</v>
      </c>
      <c r="AT338" s="3">
        <v>0.32</v>
      </c>
      <c r="AU338" s="6">
        <v>1012.687805</v>
      </c>
      <c r="AV338" s="3">
        <v>1E-3</v>
      </c>
      <c r="AW338" s="3">
        <f t="shared" si="38"/>
        <v>0.315</v>
      </c>
      <c r="AX338" s="5"/>
      <c r="AY338" s="5"/>
      <c r="AZ338" s="5"/>
      <c r="BA338" s="5"/>
      <c r="BB338" s="1"/>
      <c r="BC338" s="3" t="s">
        <v>221</v>
      </c>
      <c r="BD338" s="3">
        <v>0.9</v>
      </c>
      <c r="BE338" s="3">
        <v>0.5</v>
      </c>
      <c r="BF338" s="3">
        <v>0.6</v>
      </c>
      <c r="BG338" s="3">
        <v>0.3</v>
      </c>
      <c r="BH338" s="6">
        <v>950.504639</v>
      </c>
      <c r="BI338" s="3">
        <v>8.0000000000000002E-3</v>
      </c>
      <c r="BK338" s="3" t="s">
        <v>221</v>
      </c>
      <c r="BL338" s="3">
        <v>0.32</v>
      </c>
      <c r="BM338" s="7">
        <v>965.90991199999996</v>
      </c>
      <c r="BN338" s="3">
        <v>0</v>
      </c>
      <c r="BO338" s="3">
        <f t="shared" si="39"/>
        <v>0.31</v>
      </c>
    </row>
    <row r="339" spans="1:67" x14ac:dyDescent="0.3">
      <c r="A339" s="3" t="s">
        <v>222</v>
      </c>
      <c r="B339" s="3">
        <v>0.9</v>
      </c>
      <c r="C339" s="3">
        <v>0.5</v>
      </c>
      <c r="D339" s="3">
        <v>0.6</v>
      </c>
      <c r="E339" s="3">
        <v>0.31</v>
      </c>
      <c r="F339" s="7">
        <v>705.07971199999997</v>
      </c>
      <c r="G339" s="3">
        <v>3.0000000000000001E-3</v>
      </c>
      <c r="I339" s="3" t="s">
        <v>222</v>
      </c>
      <c r="J339" s="3">
        <v>0.3</v>
      </c>
      <c r="K339" s="6">
        <v>704.82629399999996</v>
      </c>
      <c r="L339" s="3">
        <v>1E-3</v>
      </c>
      <c r="M339" s="3">
        <f t="shared" si="36"/>
        <v>0.30499999999999999</v>
      </c>
      <c r="N339" s="5"/>
      <c r="O339" s="5"/>
      <c r="P339" s="5"/>
      <c r="Q339" s="5"/>
      <c r="R339" s="1"/>
      <c r="S339" s="3" t="s">
        <v>222</v>
      </c>
      <c r="T339" s="3">
        <v>0.9</v>
      </c>
      <c r="U339" s="3">
        <v>0.5</v>
      </c>
      <c r="V339" s="3">
        <v>0.6</v>
      </c>
      <c r="W339" s="3">
        <v>0.32</v>
      </c>
      <c r="X339" s="7">
        <v>674.76000999999997</v>
      </c>
      <c r="Y339" s="3">
        <v>2E-3</v>
      </c>
      <c r="AA339" s="3" t="s">
        <v>222</v>
      </c>
      <c r="AB339" s="3">
        <v>0.3</v>
      </c>
      <c r="AC339" s="6">
        <v>673.64178500000003</v>
      </c>
      <c r="AD339" s="3">
        <v>0</v>
      </c>
      <c r="AE339" s="3">
        <f t="shared" si="37"/>
        <v>0.31</v>
      </c>
      <c r="AF339" s="5"/>
      <c r="AG339" s="5"/>
      <c r="AH339" s="5"/>
      <c r="AI339" s="5"/>
      <c r="AJ339" s="1"/>
      <c r="AK339" s="3" t="s">
        <v>223</v>
      </c>
      <c r="AL339" s="3">
        <v>0.9</v>
      </c>
      <c r="AM339" s="3">
        <v>0.5</v>
      </c>
      <c r="AN339" s="3">
        <v>0.6</v>
      </c>
      <c r="AO339" s="3">
        <v>0.31</v>
      </c>
      <c r="AP339" s="6">
        <v>1117.836548</v>
      </c>
      <c r="AQ339" s="3">
        <v>1.7000000000000001E-2</v>
      </c>
      <c r="AS339" s="3" t="s">
        <v>223</v>
      </c>
      <c r="AT339" s="3">
        <v>0.34</v>
      </c>
      <c r="AU339" s="7">
        <v>1123.084595</v>
      </c>
      <c r="AV339" s="3">
        <v>1E-3</v>
      </c>
      <c r="AW339" s="3">
        <f t="shared" si="38"/>
        <v>0.32500000000000001</v>
      </c>
      <c r="AX339" s="5"/>
      <c r="AY339" s="5"/>
      <c r="AZ339" s="5"/>
      <c r="BA339" s="5"/>
      <c r="BB339" s="1"/>
      <c r="BC339" s="3" t="s">
        <v>223</v>
      </c>
      <c r="BD339" s="3">
        <v>0.9</v>
      </c>
      <c r="BE339" s="3">
        <v>0.5</v>
      </c>
      <c r="BF339" s="3">
        <v>0.6</v>
      </c>
      <c r="BG339" s="3">
        <v>0.3</v>
      </c>
      <c r="BH339" s="6">
        <v>1077.8717039999999</v>
      </c>
      <c r="BI339" s="3">
        <v>8.9999999999999993E-3</v>
      </c>
      <c r="BK339" s="3" t="s">
        <v>223</v>
      </c>
      <c r="BL339" s="3">
        <v>0.3</v>
      </c>
      <c r="BM339" s="7">
        <v>1087.411499</v>
      </c>
      <c r="BN339" s="3">
        <v>1E-3</v>
      </c>
      <c r="BO339" s="3">
        <f t="shared" si="39"/>
        <v>0.3</v>
      </c>
    </row>
    <row r="340" spans="1:67" x14ac:dyDescent="0.3">
      <c r="A340" s="3" t="s">
        <v>224</v>
      </c>
      <c r="B340" s="3">
        <v>0.9</v>
      </c>
      <c r="C340" s="3">
        <v>0.5</v>
      </c>
      <c r="D340" s="3">
        <v>0.6</v>
      </c>
      <c r="E340" s="3">
        <v>0.31</v>
      </c>
      <c r="F340" s="6">
        <v>759.43969700000002</v>
      </c>
      <c r="G340" s="3">
        <v>3.0000000000000001E-3</v>
      </c>
      <c r="I340" s="3" t="s">
        <v>224</v>
      </c>
      <c r="J340" s="3">
        <v>0.3</v>
      </c>
      <c r="K340" s="7">
        <v>777.34240699999998</v>
      </c>
      <c r="L340" s="3">
        <v>0</v>
      </c>
      <c r="M340" s="3">
        <f t="shared" si="36"/>
        <v>0.30499999999999999</v>
      </c>
      <c r="N340" s="5"/>
      <c r="O340" s="5"/>
      <c r="P340" s="5"/>
      <c r="Q340" s="5"/>
      <c r="R340" s="1"/>
      <c r="S340" s="3" t="s">
        <v>224</v>
      </c>
      <c r="T340" s="3">
        <v>0.9</v>
      </c>
      <c r="U340" s="3">
        <v>0.5</v>
      </c>
      <c r="V340" s="3">
        <v>0.6</v>
      </c>
      <c r="W340" s="3">
        <v>0.3</v>
      </c>
      <c r="X340" s="6">
        <v>744.38397199999997</v>
      </c>
      <c r="Y340" s="3">
        <v>3.0000000000000001E-3</v>
      </c>
      <c r="AA340" s="3" t="s">
        <v>224</v>
      </c>
      <c r="AB340" s="3">
        <v>0.36</v>
      </c>
      <c r="AC340" s="7">
        <v>761.86492899999996</v>
      </c>
      <c r="AD340" s="3">
        <v>0</v>
      </c>
      <c r="AE340" s="3">
        <f t="shared" si="37"/>
        <v>0.32999999999999996</v>
      </c>
      <c r="AF340" s="5"/>
      <c r="AG340" s="5"/>
      <c r="AH340" s="5"/>
      <c r="AI340" s="5"/>
      <c r="AJ340" s="1"/>
      <c r="AK340" s="3" t="s">
        <v>225</v>
      </c>
      <c r="AL340" s="3">
        <v>0.9</v>
      </c>
      <c r="AM340" s="3">
        <v>0.5</v>
      </c>
      <c r="AN340" s="3">
        <v>0.6</v>
      </c>
      <c r="AO340" s="3">
        <v>0.34</v>
      </c>
      <c r="AP340" s="6">
        <v>1038.734009</v>
      </c>
      <c r="AQ340" s="3">
        <v>1.4E-2</v>
      </c>
      <c r="AS340" s="3" t="s">
        <v>225</v>
      </c>
      <c r="AT340" s="3">
        <v>0.3</v>
      </c>
      <c r="AU340" s="7">
        <v>1045.4221190000001</v>
      </c>
      <c r="AV340" s="3">
        <v>0</v>
      </c>
      <c r="AW340" s="3">
        <f t="shared" si="38"/>
        <v>0.32</v>
      </c>
      <c r="AX340" s="5"/>
      <c r="AY340" s="5"/>
      <c r="AZ340" s="5"/>
      <c r="BA340" s="5"/>
      <c r="BB340" s="1"/>
      <c r="BC340" s="3" t="s">
        <v>225</v>
      </c>
      <c r="BD340" s="3">
        <v>0.9</v>
      </c>
      <c r="BE340" s="3">
        <v>0.5</v>
      </c>
      <c r="BF340" s="3">
        <v>0.6</v>
      </c>
      <c r="BG340" s="3">
        <v>0.31</v>
      </c>
      <c r="BH340" s="7">
        <v>972.23223900000005</v>
      </c>
      <c r="BI340" s="3">
        <v>7.0000000000000001E-3</v>
      </c>
      <c r="BK340" s="3" t="s">
        <v>225</v>
      </c>
      <c r="BL340" s="3">
        <v>0.3</v>
      </c>
      <c r="BM340" s="6">
        <v>970.54357900000002</v>
      </c>
      <c r="BN340" s="3">
        <v>1E-3</v>
      </c>
      <c r="BO340" s="3">
        <f t="shared" si="39"/>
        <v>0.30499999999999999</v>
      </c>
    </row>
    <row r="341" spans="1:67" x14ac:dyDescent="0.3">
      <c r="A341" s="3" t="s">
        <v>226</v>
      </c>
      <c r="B341" s="3">
        <v>0.9</v>
      </c>
      <c r="C341" s="3">
        <v>0.5</v>
      </c>
      <c r="D341" s="3">
        <v>0.6</v>
      </c>
      <c r="E341" s="3">
        <v>0.33</v>
      </c>
      <c r="F341" s="6">
        <v>760.59228499999995</v>
      </c>
      <c r="G341" s="3">
        <v>2E-3</v>
      </c>
      <c r="I341" s="3" t="s">
        <v>226</v>
      </c>
      <c r="J341" s="3">
        <v>0.3</v>
      </c>
      <c r="K341" s="7">
        <v>771.10186799999997</v>
      </c>
      <c r="L341" s="3">
        <v>0</v>
      </c>
      <c r="M341" s="3">
        <f t="shared" si="36"/>
        <v>0.315</v>
      </c>
      <c r="N341" s="5"/>
      <c r="O341" s="5"/>
      <c r="P341" s="5"/>
      <c r="Q341" s="5"/>
      <c r="R341" s="1"/>
      <c r="S341" s="3" t="s">
        <v>226</v>
      </c>
      <c r="T341" s="3">
        <v>0.9</v>
      </c>
      <c r="U341" s="3">
        <v>0.5</v>
      </c>
      <c r="V341" s="3">
        <v>0.6</v>
      </c>
      <c r="W341" s="3">
        <v>0.35</v>
      </c>
      <c r="X341" s="6">
        <v>707.209656</v>
      </c>
      <c r="Y341" s="3">
        <v>2E-3</v>
      </c>
      <c r="AA341" s="3" t="s">
        <v>226</v>
      </c>
      <c r="AB341" s="3">
        <v>0.37</v>
      </c>
      <c r="AC341" s="7">
        <v>715.73230000000001</v>
      </c>
      <c r="AD341" s="3">
        <v>0</v>
      </c>
      <c r="AE341" s="3">
        <f t="shared" si="37"/>
        <v>0.36</v>
      </c>
      <c r="AF341" s="5"/>
      <c r="AG341" s="5"/>
      <c r="AH341" s="5"/>
      <c r="AI341" s="5"/>
      <c r="AJ341" s="1"/>
      <c r="AK341" s="3" t="s">
        <v>227</v>
      </c>
      <c r="AL341" s="3">
        <v>0.9</v>
      </c>
      <c r="AM341" s="3">
        <v>0.5</v>
      </c>
      <c r="AN341" s="3">
        <v>0.6</v>
      </c>
      <c r="AO341" s="3">
        <v>0.31</v>
      </c>
      <c r="AP341" s="6">
        <v>1007.549988</v>
      </c>
      <c r="AQ341" s="3">
        <v>0.01</v>
      </c>
      <c r="AS341" s="3" t="s">
        <v>227</v>
      </c>
      <c r="AT341" s="3">
        <v>0.31</v>
      </c>
      <c r="AU341" s="7">
        <v>1014.8773190000001</v>
      </c>
      <c r="AV341" s="3">
        <v>1E-3</v>
      </c>
      <c r="AW341" s="3">
        <f t="shared" si="38"/>
        <v>0.31</v>
      </c>
      <c r="AX341" s="5"/>
      <c r="AY341" s="5"/>
      <c r="AZ341" s="5"/>
      <c r="BA341" s="5"/>
      <c r="BB341" s="1"/>
      <c r="BC341" s="3" t="s">
        <v>227</v>
      </c>
      <c r="BD341" s="3">
        <v>0.9</v>
      </c>
      <c r="BE341" s="3">
        <v>0.5</v>
      </c>
      <c r="BF341" s="3">
        <v>0.6</v>
      </c>
      <c r="BG341" s="3">
        <v>0.33</v>
      </c>
      <c r="BH341" s="6">
        <v>954.20574999999997</v>
      </c>
      <c r="BI341" s="3">
        <v>7.0000000000000001E-3</v>
      </c>
      <c r="BK341" s="3" t="s">
        <v>227</v>
      </c>
      <c r="BL341" s="3">
        <v>0.32</v>
      </c>
      <c r="BM341" s="7">
        <v>970.54931599999998</v>
      </c>
      <c r="BN341" s="3">
        <v>1E-3</v>
      </c>
      <c r="BO341" s="3">
        <f t="shared" si="39"/>
        <v>0.32500000000000001</v>
      </c>
    </row>
    <row r="342" spans="1:67" x14ac:dyDescent="0.3">
      <c r="A342" s="3" t="s">
        <v>228</v>
      </c>
      <c r="B342" s="3">
        <v>0.9</v>
      </c>
      <c r="C342" s="3">
        <v>0.5</v>
      </c>
      <c r="D342" s="3">
        <v>0.6</v>
      </c>
      <c r="E342" s="3">
        <v>0.34</v>
      </c>
      <c r="F342" s="6">
        <v>655.25268600000004</v>
      </c>
      <c r="G342" s="3">
        <v>2E-3</v>
      </c>
      <c r="I342" s="3" t="s">
        <v>228</v>
      </c>
      <c r="J342" s="3">
        <v>0.33</v>
      </c>
      <c r="K342" s="7">
        <v>664.59179700000004</v>
      </c>
      <c r="L342" s="3">
        <v>0</v>
      </c>
      <c r="M342" s="3">
        <f t="shared" si="36"/>
        <v>0.33500000000000002</v>
      </c>
      <c r="N342" s="5"/>
      <c r="O342" s="5"/>
      <c r="P342" s="5"/>
      <c r="Q342" s="5"/>
      <c r="R342" s="1"/>
      <c r="S342" s="3" t="s">
        <v>228</v>
      </c>
      <c r="T342" s="3">
        <v>0.9</v>
      </c>
      <c r="U342" s="3">
        <v>0.5</v>
      </c>
      <c r="V342" s="3">
        <v>0.6</v>
      </c>
      <c r="W342" s="3">
        <v>0.31</v>
      </c>
      <c r="X342" s="6">
        <v>619.40826400000003</v>
      </c>
      <c r="Y342" s="3">
        <v>3.0000000000000001E-3</v>
      </c>
      <c r="AA342" s="3" t="s">
        <v>228</v>
      </c>
      <c r="AB342" s="3">
        <v>0.3</v>
      </c>
      <c r="AC342" s="7">
        <v>635.04107699999997</v>
      </c>
      <c r="AD342" s="3">
        <v>0</v>
      </c>
      <c r="AE342" s="3">
        <f t="shared" si="37"/>
        <v>0.30499999999999999</v>
      </c>
      <c r="AF342" s="5"/>
      <c r="AG342" s="5"/>
      <c r="AH342" s="5"/>
      <c r="AI342" s="5"/>
      <c r="AJ342" s="1"/>
      <c r="AK342" s="3" t="s">
        <v>229</v>
      </c>
      <c r="AL342" s="3">
        <v>0.9</v>
      </c>
      <c r="AM342" s="3">
        <v>0.5</v>
      </c>
      <c r="AN342" s="3">
        <v>0.6</v>
      </c>
      <c r="AO342" s="3">
        <v>0.31</v>
      </c>
      <c r="AP342" s="6">
        <v>1036.4095460000001</v>
      </c>
      <c r="AQ342" s="3">
        <v>1.2E-2</v>
      </c>
      <c r="AS342" s="3" t="s">
        <v>229</v>
      </c>
      <c r="AT342" s="3">
        <v>0.31</v>
      </c>
      <c r="AU342" s="7">
        <v>1044.086914</v>
      </c>
      <c r="AV342" s="3">
        <v>1E-3</v>
      </c>
      <c r="AW342" s="3">
        <f t="shared" si="38"/>
        <v>0.31</v>
      </c>
      <c r="AX342" s="5"/>
      <c r="AY342" s="5"/>
      <c r="AZ342" s="5"/>
      <c r="BA342" s="5"/>
      <c r="BB342" s="1"/>
      <c r="BC342" s="3" t="s">
        <v>229</v>
      </c>
      <c r="BD342" s="3">
        <v>0.9</v>
      </c>
      <c r="BE342" s="3">
        <v>0.5</v>
      </c>
      <c r="BF342" s="3">
        <v>0.6</v>
      </c>
      <c r="BG342" s="3">
        <v>0.33</v>
      </c>
      <c r="BH342" s="6">
        <v>1022.156372</v>
      </c>
      <c r="BI342" s="3">
        <v>8.0000000000000002E-3</v>
      </c>
      <c r="BK342" s="3" t="s">
        <v>229</v>
      </c>
      <c r="BL342" s="3">
        <v>0.32</v>
      </c>
      <c r="BM342" s="7">
        <v>1026.446899</v>
      </c>
      <c r="BN342" s="3">
        <v>1E-3</v>
      </c>
      <c r="BO342" s="3">
        <f t="shared" si="39"/>
        <v>0.32500000000000001</v>
      </c>
    </row>
    <row r="343" spans="1:67" x14ac:dyDescent="0.3">
      <c r="A343" s="3" t="s">
        <v>230</v>
      </c>
      <c r="B343" s="3">
        <v>0.9</v>
      </c>
      <c r="C343" s="3">
        <v>0.5</v>
      </c>
      <c r="D343" s="3">
        <v>0.6</v>
      </c>
      <c r="E343" s="3">
        <v>0.33</v>
      </c>
      <c r="F343" s="7">
        <v>755.01135299999999</v>
      </c>
      <c r="G343" s="3">
        <v>4.0000000000000001E-3</v>
      </c>
      <c r="I343" s="3" t="s">
        <v>230</v>
      </c>
      <c r="J343" s="3">
        <v>0.32</v>
      </c>
      <c r="K343" s="6">
        <v>724.035034</v>
      </c>
      <c r="L343" s="3">
        <v>0</v>
      </c>
      <c r="M343" s="3">
        <f t="shared" si="36"/>
        <v>0.32500000000000001</v>
      </c>
      <c r="N343" s="5"/>
      <c r="O343" s="5"/>
      <c r="P343" s="5"/>
      <c r="Q343" s="5"/>
      <c r="R343" s="1"/>
      <c r="S343" s="3" t="s">
        <v>230</v>
      </c>
      <c r="T343" s="3">
        <v>0.9</v>
      </c>
      <c r="U343" s="3">
        <v>0.5</v>
      </c>
      <c r="V343" s="3">
        <v>0.6</v>
      </c>
      <c r="W343" s="3">
        <v>0.33</v>
      </c>
      <c r="X343" s="6">
        <v>726.48553500000003</v>
      </c>
      <c r="Y343" s="3">
        <v>3.0000000000000001E-3</v>
      </c>
      <c r="AA343" s="3" t="s">
        <v>230</v>
      </c>
      <c r="AB343" s="3">
        <v>0.31</v>
      </c>
      <c r="AC343" s="7">
        <v>758.89471400000002</v>
      </c>
      <c r="AD343" s="3">
        <v>0</v>
      </c>
      <c r="AE343" s="3">
        <f t="shared" si="37"/>
        <v>0.32</v>
      </c>
      <c r="AF343" s="5"/>
      <c r="AG343" s="5"/>
      <c r="AH343" s="5"/>
      <c r="AI343" s="5"/>
      <c r="AJ343" s="1"/>
      <c r="AK343" s="3" t="s">
        <v>231</v>
      </c>
      <c r="AL343" s="3">
        <v>0.9</v>
      </c>
      <c r="AM343" s="3">
        <v>0.5</v>
      </c>
      <c r="AN343" s="3">
        <v>0.6</v>
      </c>
      <c r="AO343" s="3">
        <v>0.31</v>
      </c>
      <c r="AP343" s="6">
        <v>971.09667999999999</v>
      </c>
      <c r="AQ343" s="3">
        <v>8.9999999999999993E-3</v>
      </c>
      <c r="AS343" s="3" t="s">
        <v>231</v>
      </c>
      <c r="AT343" s="3">
        <v>0.3</v>
      </c>
      <c r="AU343" s="7">
        <v>995.67126499999995</v>
      </c>
      <c r="AV343" s="3">
        <v>0</v>
      </c>
      <c r="AW343" s="3">
        <f t="shared" si="38"/>
        <v>0.30499999999999999</v>
      </c>
      <c r="AX343" s="5"/>
      <c r="AY343" s="5"/>
      <c r="AZ343" s="5"/>
      <c r="BA343" s="5"/>
      <c r="BB343" s="1"/>
      <c r="BC343" s="3" t="s">
        <v>231</v>
      </c>
      <c r="BD343" s="3">
        <v>0.9</v>
      </c>
      <c r="BE343" s="3">
        <v>0.5</v>
      </c>
      <c r="BF343" s="3">
        <v>0.6</v>
      </c>
      <c r="BG343" s="3">
        <v>0.32</v>
      </c>
      <c r="BH343" s="7">
        <v>964.94097899999997</v>
      </c>
      <c r="BI343" s="3">
        <v>0.01</v>
      </c>
      <c r="BK343" s="3" t="s">
        <v>231</v>
      </c>
      <c r="BL343" s="3">
        <v>0.32</v>
      </c>
      <c r="BM343" s="6">
        <v>941.501892</v>
      </c>
      <c r="BN343" s="3">
        <v>0</v>
      </c>
      <c r="BO343" s="3">
        <f t="shared" si="39"/>
        <v>0.32</v>
      </c>
    </row>
    <row r="344" spans="1:67" x14ac:dyDescent="0.3">
      <c r="A344" s="3" t="s">
        <v>232</v>
      </c>
      <c r="B344" s="3">
        <v>0.9</v>
      </c>
      <c r="C344" s="3">
        <v>0.5</v>
      </c>
      <c r="D344" s="3">
        <v>0.6</v>
      </c>
      <c r="E344" s="3">
        <v>0.3</v>
      </c>
      <c r="F344" s="6">
        <v>771.60778800000003</v>
      </c>
      <c r="G344" s="3">
        <v>2E-3</v>
      </c>
      <c r="I344" s="3" t="s">
        <v>232</v>
      </c>
      <c r="J344" s="3">
        <v>0.3</v>
      </c>
      <c r="K344" s="7">
        <v>781.65863000000002</v>
      </c>
      <c r="L344" s="3">
        <v>1E-3</v>
      </c>
      <c r="M344" s="3">
        <f t="shared" si="36"/>
        <v>0.3</v>
      </c>
      <c r="N344" s="5"/>
      <c r="O344" s="5"/>
      <c r="P344" s="5"/>
      <c r="Q344" s="5"/>
      <c r="R344" s="1"/>
      <c r="S344" s="3" t="s">
        <v>232</v>
      </c>
      <c r="T344" s="3">
        <v>0.9</v>
      </c>
      <c r="U344" s="3">
        <v>0.5</v>
      </c>
      <c r="V344" s="3">
        <v>0.6</v>
      </c>
      <c r="W344" s="3">
        <v>0.3</v>
      </c>
      <c r="X344" s="7">
        <v>791.85571300000004</v>
      </c>
      <c r="Y344" s="3">
        <v>4.0000000000000001E-3</v>
      </c>
      <c r="AA344" s="3" t="s">
        <v>232</v>
      </c>
      <c r="AB344" s="3">
        <v>0.36</v>
      </c>
      <c r="AC344" s="6">
        <v>771.189392</v>
      </c>
      <c r="AD344" s="3">
        <v>0</v>
      </c>
      <c r="AE344" s="3">
        <f t="shared" si="37"/>
        <v>0.32999999999999996</v>
      </c>
      <c r="AF344" s="5"/>
      <c r="AG344" s="5"/>
      <c r="AH344" s="5"/>
      <c r="AI344" s="5"/>
      <c r="AJ344" s="1"/>
      <c r="AK344" s="3" t="s">
        <v>233</v>
      </c>
      <c r="AL344" s="3">
        <v>0.9</v>
      </c>
      <c r="AM344" s="3">
        <v>0.5</v>
      </c>
      <c r="AN344" s="3">
        <v>0.6</v>
      </c>
      <c r="AO344" s="3">
        <v>0.31</v>
      </c>
      <c r="AP344" s="7">
        <v>1045.4617920000001</v>
      </c>
      <c r="AQ344" s="3">
        <v>8.9999999999999993E-3</v>
      </c>
      <c r="AS344" s="3" t="s">
        <v>233</v>
      </c>
      <c r="AT344" s="3">
        <v>0.3</v>
      </c>
      <c r="AU344" s="6">
        <v>1034.917725</v>
      </c>
      <c r="AV344" s="3">
        <v>1E-3</v>
      </c>
      <c r="AW344" s="3">
        <f t="shared" si="38"/>
        <v>0.30499999999999999</v>
      </c>
      <c r="AX344" s="5"/>
      <c r="AY344" s="5"/>
      <c r="AZ344" s="5"/>
      <c r="BA344" s="5"/>
      <c r="BB344" s="1"/>
      <c r="BC344" s="3" t="s">
        <v>233</v>
      </c>
      <c r="BD344" s="3">
        <v>0.9</v>
      </c>
      <c r="BE344" s="3">
        <v>0.5</v>
      </c>
      <c r="BF344" s="3">
        <v>0.6</v>
      </c>
      <c r="BG344" s="3">
        <v>0.32</v>
      </c>
      <c r="BH344" s="7">
        <v>1022.562866</v>
      </c>
      <c r="BI344" s="3">
        <v>7.0000000000000001E-3</v>
      </c>
      <c r="BK344" s="3" t="s">
        <v>233</v>
      </c>
      <c r="BL344" s="3">
        <v>0.32</v>
      </c>
      <c r="BM344" s="6">
        <v>1004.617432</v>
      </c>
      <c r="BN344" s="3">
        <v>1E-3</v>
      </c>
      <c r="BO344" s="3">
        <f t="shared" si="39"/>
        <v>0.32</v>
      </c>
    </row>
    <row r="345" spans="1:67" x14ac:dyDescent="0.3">
      <c r="A345" s="3" t="s">
        <v>234</v>
      </c>
      <c r="B345" s="3">
        <v>0.9</v>
      </c>
      <c r="C345" s="3">
        <v>0.5</v>
      </c>
      <c r="D345" s="3">
        <v>0.6</v>
      </c>
      <c r="E345" s="3">
        <v>0.32</v>
      </c>
      <c r="F345" s="6">
        <v>739.98443599999996</v>
      </c>
      <c r="G345" s="3">
        <v>3.0000000000000001E-3</v>
      </c>
      <c r="I345" s="3" t="s">
        <v>234</v>
      </c>
      <c r="J345" s="3">
        <v>0.31</v>
      </c>
      <c r="K345" s="7">
        <v>747.08581500000003</v>
      </c>
      <c r="L345" s="3">
        <v>0</v>
      </c>
      <c r="M345" s="3">
        <f t="shared" si="36"/>
        <v>0.315</v>
      </c>
      <c r="N345" s="5"/>
      <c r="O345" s="5"/>
      <c r="P345" s="5"/>
      <c r="Q345" s="5"/>
      <c r="R345" s="1"/>
      <c r="S345" s="3" t="s">
        <v>234</v>
      </c>
      <c r="T345" s="3">
        <v>0.9</v>
      </c>
      <c r="U345" s="3">
        <v>0.5</v>
      </c>
      <c r="V345" s="3">
        <v>0.6</v>
      </c>
      <c r="W345" s="3">
        <v>0.31</v>
      </c>
      <c r="X345" s="7">
        <v>742.533142</v>
      </c>
      <c r="Y345" s="3">
        <v>4.0000000000000001E-3</v>
      </c>
      <c r="AA345" s="3" t="s">
        <v>234</v>
      </c>
      <c r="AB345" s="3">
        <v>0.32</v>
      </c>
      <c r="AC345" s="6">
        <v>736.99139400000001</v>
      </c>
      <c r="AD345" s="3">
        <v>1E-3</v>
      </c>
      <c r="AE345" s="3">
        <f t="shared" si="37"/>
        <v>0.315</v>
      </c>
      <c r="AF345" s="5"/>
      <c r="AG345" s="5"/>
      <c r="AH345" s="5"/>
      <c r="AI345" s="5"/>
      <c r="AJ345" s="1"/>
      <c r="AK345" s="3" t="s">
        <v>235</v>
      </c>
      <c r="AL345" s="3">
        <v>0.9</v>
      </c>
      <c r="AM345" s="3">
        <v>0.5</v>
      </c>
      <c r="AN345" s="3">
        <v>0.6</v>
      </c>
      <c r="AO345" s="3">
        <v>0.3</v>
      </c>
      <c r="AP345" s="7">
        <v>1111.42749</v>
      </c>
      <c r="AQ345" s="3">
        <v>1.0999999999999999E-2</v>
      </c>
      <c r="AS345" s="3" t="s">
        <v>235</v>
      </c>
      <c r="AT345" s="3">
        <v>0.3</v>
      </c>
      <c r="AU345" s="6">
        <v>1104.0223390000001</v>
      </c>
      <c r="AV345" s="3">
        <v>1E-3</v>
      </c>
      <c r="AW345" s="3">
        <f t="shared" si="38"/>
        <v>0.3</v>
      </c>
      <c r="AX345" s="5"/>
      <c r="AY345" s="5"/>
      <c r="AZ345" s="5"/>
      <c r="BA345" s="5"/>
      <c r="BB345" s="1"/>
      <c r="BC345" s="3" t="s">
        <v>235</v>
      </c>
      <c r="BD345" s="3">
        <v>0.9</v>
      </c>
      <c r="BE345" s="3">
        <v>0.5</v>
      </c>
      <c r="BF345" s="3">
        <v>0.6</v>
      </c>
      <c r="BG345" s="3">
        <v>0.3</v>
      </c>
      <c r="BH345" s="7">
        <v>1092.983643</v>
      </c>
      <c r="BI345" s="3">
        <v>8.0000000000000002E-3</v>
      </c>
      <c r="BK345" s="3" t="s">
        <v>235</v>
      </c>
      <c r="BL345" s="3">
        <v>0.32</v>
      </c>
      <c r="BM345" s="6">
        <v>1064.7039789999999</v>
      </c>
      <c r="BN345" s="3">
        <v>1E-3</v>
      </c>
      <c r="BO345" s="3">
        <f t="shared" si="39"/>
        <v>0.31</v>
      </c>
    </row>
    <row r="346" spans="1:67" x14ac:dyDescent="0.3">
      <c r="A346" s="3" t="s">
        <v>236</v>
      </c>
      <c r="B346" s="3">
        <v>0.9</v>
      </c>
      <c r="C346" s="3">
        <v>0.5</v>
      </c>
      <c r="D346" s="3">
        <v>0.6</v>
      </c>
      <c r="E346" s="3">
        <v>0.3</v>
      </c>
      <c r="F346" s="7">
        <v>779.65576199999998</v>
      </c>
      <c r="G346" s="3">
        <v>3.0000000000000001E-3</v>
      </c>
      <c r="I346" s="3" t="s">
        <v>236</v>
      </c>
      <c r="J346" s="3">
        <v>0.3</v>
      </c>
      <c r="K346" s="6">
        <v>766.01538100000005</v>
      </c>
      <c r="L346" s="3">
        <v>0</v>
      </c>
      <c r="M346" s="3">
        <f t="shared" si="36"/>
        <v>0.3</v>
      </c>
      <c r="N346" s="5"/>
      <c r="O346" s="5"/>
      <c r="P346" s="5"/>
      <c r="Q346" s="5"/>
      <c r="R346" s="1"/>
      <c r="S346" s="3" t="s">
        <v>236</v>
      </c>
      <c r="T346" s="3">
        <v>0.9</v>
      </c>
      <c r="U346" s="3">
        <v>0.5</v>
      </c>
      <c r="V346" s="3">
        <v>0.6</v>
      </c>
      <c r="W346" s="3">
        <v>0.34</v>
      </c>
      <c r="X346" s="7">
        <v>758.24468999999999</v>
      </c>
      <c r="Y346" s="3">
        <v>4.0000000000000001E-3</v>
      </c>
      <c r="AA346" s="3" t="s">
        <v>236</v>
      </c>
      <c r="AB346" s="3">
        <v>0.32</v>
      </c>
      <c r="AC346" s="6">
        <v>755.98785399999997</v>
      </c>
      <c r="AD346" s="3">
        <v>0</v>
      </c>
      <c r="AE346" s="3">
        <f t="shared" si="37"/>
        <v>0.33</v>
      </c>
      <c r="AF346" s="5"/>
      <c r="AG346" s="5"/>
      <c r="AH346" s="5"/>
      <c r="AI346" s="5"/>
      <c r="AJ346" s="1"/>
      <c r="AK346" s="3" t="s">
        <v>237</v>
      </c>
      <c r="AL346" s="3">
        <v>0.9</v>
      </c>
      <c r="AM346" s="3">
        <v>0.5</v>
      </c>
      <c r="AN346" s="3">
        <v>0.6</v>
      </c>
      <c r="AO346" s="3">
        <v>0.31</v>
      </c>
      <c r="AP346" s="6">
        <v>1112.5347899999999</v>
      </c>
      <c r="AQ346" s="3">
        <v>0.01</v>
      </c>
      <c r="AS346" s="3" t="s">
        <v>237</v>
      </c>
      <c r="AT346" s="3">
        <v>0.31</v>
      </c>
      <c r="AU346" s="7">
        <v>1128.7998050000001</v>
      </c>
      <c r="AV346" s="3">
        <v>2E-3</v>
      </c>
      <c r="AW346" s="3">
        <f t="shared" si="38"/>
        <v>0.31</v>
      </c>
      <c r="AX346" s="5"/>
      <c r="AY346" s="5"/>
      <c r="AZ346" s="5"/>
      <c r="BA346" s="5"/>
      <c r="BB346" s="1"/>
      <c r="BC346" s="3" t="s">
        <v>237</v>
      </c>
      <c r="BD346" s="3">
        <v>0.9</v>
      </c>
      <c r="BE346" s="3">
        <v>0.5</v>
      </c>
      <c r="BF346" s="3">
        <v>0.6</v>
      </c>
      <c r="BG346" s="3">
        <v>0.34</v>
      </c>
      <c r="BH346" s="7">
        <v>1103.5615230000001</v>
      </c>
      <c r="BI346" s="3">
        <v>8.9999999999999993E-3</v>
      </c>
      <c r="BK346" s="3" t="s">
        <v>237</v>
      </c>
      <c r="BL346" s="3">
        <v>0.31</v>
      </c>
      <c r="BM346" s="6">
        <v>1086.5162350000001</v>
      </c>
      <c r="BN346" s="3">
        <v>1E-3</v>
      </c>
      <c r="BO346" s="3">
        <f t="shared" si="39"/>
        <v>0.32500000000000001</v>
      </c>
    </row>
    <row r="347" spans="1:67" x14ac:dyDescent="0.3">
      <c r="A347" s="3" t="s">
        <v>238</v>
      </c>
      <c r="B347" s="3">
        <v>0.9</v>
      </c>
      <c r="C347" s="3">
        <v>0.5</v>
      </c>
      <c r="D347" s="3">
        <v>0.6</v>
      </c>
      <c r="E347" s="3">
        <v>0.32</v>
      </c>
      <c r="F347" s="6">
        <v>731.94378700000004</v>
      </c>
      <c r="G347" s="3">
        <v>2E-3</v>
      </c>
      <c r="I347" s="3" t="s">
        <v>238</v>
      </c>
      <c r="J347" s="3">
        <v>0.32</v>
      </c>
      <c r="K347" s="7">
        <v>756.17034899999999</v>
      </c>
      <c r="L347" s="3">
        <v>0</v>
      </c>
      <c r="M347" s="3">
        <f t="shared" si="36"/>
        <v>0.32</v>
      </c>
      <c r="N347" s="5"/>
      <c r="O347" s="5"/>
      <c r="P347" s="5"/>
      <c r="Q347" s="5"/>
      <c r="R347" s="1"/>
      <c r="S347" s="3" t="s">
        <v>238</v>
      </c>
      <c r="T347" s="3">
        <v>0.9</v>
      </c>
      <c r="U347" s="3">
        <v>0.5</v>
      </c>
      <c r="V347" s="3">
        <v>0.6</v>
      </c>
      <c r="W347" s="3">
        <v>0.3</v>
      </c>
      <c r="X347" s="6">
        <v>723.66229199999998</v>
      </c>
      <c r="Y347" s="3">
        <v>3.0000000000000001E-3</v>
      </c>
      <c r="AA347" s="3" t="s">
        <v>238</v>
      </c>
      <c r="AB347" s="3">
        <v>0.3</v>
      </c>
      <c r="AC347" s="7">
        <v>729.03997800000002</v>
      </c>
      <c r="AD347" s="3">
        <v>0</v>
      </c>
      <c r="AE347" s="3">
        <f t="shared" si="37"/>
        <v>0.3</v>
      </c>
      <c r="AF347" s="5"/>
      <c r="AG347" s="5"/>
      <c r="AH347" s="5"/>
      <c r="AI347" s="5"/>
      <c r="AJ347" s="1"/>
      <c r="AK347" s="3" t="s">
        <v>239</v>
      </c>
      <c r="AL347" s="3">
        <v>0.9</v>
      </c>
      <c r="AM347" s="3">
        <v>0.5</v>
      </c>
      <c r="AN347" s="3">
        <v>0.6</v>
      </c>
      <c r="AO347" s="3">
        <v>0.3</v>
      </c>
      <c r="AP347" s="6">
        <v>1177.768677</v>
      </c>
      <c r="AQ347" s="3">
        <v>0.01</v>
      </c>
      <c r="AS347" s="3" t="s">
        <v>239</v>
      </c>
      <c r="AT347" s="3">
        <v>0.3</v>
      </c>
      <c r="AU347" s="7">
        <v>1186.171143</v>
      </c>
      <c r="AV347" s="3">
        <v>1E-3</v>
      </c>
      <c r="AW347" s="3">
        <f t="shared" si="38"/>
        <v>0.3</v>
      </c>
      <c r="AX347" s="5"/>
      <c r="AY347" s="5"/>
      <c r="AZ347" s="5"/>
      <c r="BA347" s="5"/>
      <c r="BB347" s="1"/>
      <c r="BC347" s="3" t="s">
        <v>239</v>
      </c>
      <c r="BD347" s="3">
        <v>0.9</v>
      </c>
      <c r="BE347" s="3">
        <v>0.5</v>
      </c>
      <c r="BF347" s="3">
        <v>0.6</v>
      </c>
      <c r="BG347" s="3">
        <v>0.3</v>
      </c>
      <c r="BH347" s="6">
        <v>1141.6857910000001</v>
      </c>
      <c r="BI347" s="3">
        <v>8.9999999999999993E-3</v>
      </c>
      <c r="BK347" s="3" t="s">
        <v>239</v>
      </c>
      <c r="BL347" s="3">
        <v>0.32</v>
      </c>
      <c r="BM347" s="7">
        <v>1142.6845699999999</v>
      </c>
      <c r="BN347" s="3">
        <v>2E-3</v>
      </c>
      <c r="BO347" s="3">
        <f t="shared" si="39"/>
        <v>0.31</v>
      </c>
    </row>
    <row r="348" spans="1:67" x14ac:dyDescent="0.3">
      <c r="A348" s="3" t="s">
        <v>240</v>
      </c>
      <c r="B348" s="3">
        <v>0.9</v>
      </c>
      <c r="C348" s="3">
        <v>0.5</v>
      </c>
      <c r="D348" s="3">
        <v>0.6</v>
      </c>
      <c r="E348" s="3">
        <v>0.3</v>
      </c>
      <c r="F348" s="7">
        <v>720.67199700000003</v>
      </c>
      <c r="G348" s="3">
        <v>2E-3</v>
      </c>
      <c r="I348" s="3" t="s">
        <v>240</v>
      </c>
      <c r="J348" s="3">
        <v>0.3</v>
      </c>
      <c r="K348" s="6">
        <v>719.60827600000005</v>
      </c>
      <c r="L348" s="3">
        <v>1E-3</v>
      </c>
      <c r="M348" s="3">
        <f t="shared" si="36"/>
        <v>0.3</v>
      </c>
      <c r="N348" s="5"/>
      <c r="O348" s="5"/>
      <c r="P348" s="5"/>
      <c r="Q348" s="5"/>
      <c r="R348" s="1"/>
      <c r="S348" s="3" t="s">
        <v>240</v>
      </c>
      <c r="T348" s="3">
        <v>0.9</v>
      </c>
      <c r="U348" s="3">
        <v>0.5</v>
      </c>
      <c r="V348" s="3">
        <v>0.6</v>
      </c>
      <c r="W348" s="3">
        <v>0.36</v>
      </c>
      <c r="X348" s="6">
        <v>707.92303500000003</v>
      </c>
      <c r="Y348" s="3">
        <v>4.0000000000000001E-3</v>
      </c>
      <c r="AA348" s="3" t="s">
        <v>240</v>
      </c>
      <c r="AB348" s="3">
        <v>0.33</v>
      </c>
      <c r="AC348" s="7">
        <v>713.45977800000003</v>
      </c>
      <c r="AD348" s="3">
        <v>0</v>
      </c>
      <c r="AE348" s="3">
        <f t="shared" si="37"/>
        <v>0.34499999999999997</v>
      </c>
      <c r="AF348" s="5"/>
      <c r="AG348" s="5"/>
      <c r="AH348" s="5"/>
      <c r="AI348" s="5"/>
      <c r="AJ348" s="1"/>
      <c r="AK348" s="3" t="s">
        <v>241</v>
      </c>
      <c r="AL348" s="3">
        <v>0.9</v>
      </c>
      <c r="AM348" s="3">
        <v>0.5</v>
      </c>
      <c r="AN348" s="3">
        <v>0.6</v>
      </c>
      <c r="AO348" s="3">
        <v>0.33</v>
      </c>
      <c r="AP348" s="7">
        <v>1095.1072999999999</v>
      </c>
      <c r="AQ348" s="3">
        <v>0.01</v>
      </c>
      <c r="AS348" s="3" t="s">
        <v>241</v>
      </c>
      <c r="AT348" s="3">
        <v>0.3</v>
      </c>
      <c r="AU348" s="6">
        <v>1093.7373050000001</v>
      </c>
      <c r="AV348" s="3">
        <v>1E-3</v>
      </c>
      <c r="AW348" s="3">
        <f t="shared" si="38"/>
        <v>0.315</v>
      </c>
      <c r="AX348" s="5"/>
      <c r="AY348" s="5"/>
      <c r="AZ348" s="5"/>
      <c r="BA348" s="5"/>
      <c r="BB348" s="1"/>
      <c r="BC348" s="3" t="s">
        <v>241</v>
      </c>
      <c r="BD348" s="3">
        <v>0.9</v>
      </c>
      <c r="BE348" s="3">
        <v>0.5</v>
      </c>
      <c r="BF348" s="3">
        <v>0.6</v>
      </c>
      <c r="BG348" s="3">
        <v>0.3</v>
      </c>
      <c r="BH348" s="6">
        <v>1045.5023189999999</v>
      </c>
      <c r="BI348" s="3">
        <v>8.9999999999999993E-3</v>
      </c>
      <c r="BK348" s="3" t="s">
        <v>241</v>
      </c>
      <c r="BL348" s="3">
        <v>0.3</v>
      </c>
      <c r="BM348" s="7">
        <v>1062.70874</v>
      </c>
      <c r="BN348" s="3">
        <v>0</v>
      </c>
      <c r="BO348" s="3">
        <f t="shared" si="39"/>
        <v>0.3</v>
      </c>
    </row>
    <row r="349" spans="1:67" x14ac:dyDescent="0.3">
      <c r="A349" s="3" t="s">
        <v>242</v>
      </c>
      <c r="B349" s="3">
        <v>0.9</v>
      </c>
      <c r="C349" s="3">
        <v>0.5</v>
      </c>
      <c r="D349" s="3">
        <v>0.6</v>
      </c>
      <c r="E349" s="3">
        <v>0.38</v>
      </c>
      <c r="F349" s="8">
        <v>727.94616699999995</v>
      </c>
      <c r="G349" s="3">
        <v>2E-3</v>
      </c>
      <c r="I349" s="3" t="s">
        <v>242</v>
      </c>
      <c r="J349" s="3">
        <v>0.35</v>
      </c>
      <c r="K349" s="6">
        <v>727.12933299999997</v>
      </c>
      <c r="L349" s="3">
        <v>1E-3</v>
      </c>
      <c r="M349" s="3">
        <f t="shared" si="36"/>
        <v>0.36499999999999999</v>
      </c>
      <c r="N349" s="5"/>
      <c r="O349" s="5"/>
      <c r="P349" s="5"/>
      <c r="Q349" s="5"/>
      <c r="R349" s="1"/>
      <c r="S349" s="3" t="s">
        <v>242</v>
      </c>
      <c r="T349" s="3">
        <v>0.9</v>
      </c>
      <c r="U349" s="3">
        <v>0.5</v>
      </c>
      <c r="V349" s="3">
        <v>0.6</v>
      </c>
      <c r="W349" s="3">
        <v>0.33</v>
      </c>
      <c r="X349" s="6">
        <v>713.05059800000004</v>
      </c>
      <c r="Y349" s="3">
        <v>6.0000000000000001E-3</v>
      </c>
      <c r="AA349" s="3" t="s">
        <v>242</v>
      </c>
      <c r="AB349" s="3">
        <v>0.32</v>
      </c>
      <c r="AC349" s="7">
        <v>741.177368</v>
      </c>
      <c r="AD349" s="3">
        <v>1E-3</v>
      </c>
      <c r="AE349" s="3">
        <f t="shared" si="37"/>
        <v>0.32500000000000001</v>
      </c>
      <c r="AF349" s="5"/>
      <c r="AG349" s="5"/>
      <c r="AH349" s="5"/>
      <c r="AI349" s="5"/>
      <c r="AJ349" s="1"/>
      <c r="AK349" s="3" t="s">
        <v>243</v>
      </c>
      <c r="AL349" s="3">
        <v>0.9</v>
      </c>
      <c r="AM349" s="3">
        <v>0.5</v>
      </c>
      <c r="AN349" s="3">
        <v>0.6</v>
      </c>
      <c r="AO349" s="3">
        <v>0.3</v>
      </c>
      <c r="AP349" s="6">
        <v>1218.4331050000001</v>
      </c>
      <c r="AQ349" s="3">
        <v>8.9999999999999993E-3</v>
      </c>
      <c r="AS349" s="3" t="s">
        <v>243</v>
      </c>
      <c r="AT349" s="3">
        <v>0.31</v>
      </c>
      <c r="AU349" s="7">
        <v>1223.4604489999999</v>
      </c>
      <c r="AV349" s="3">
        <v>1E-3</v>
      </c>
      <c r="AW349" s="3">
        <f t="shared" si="38"/>
        <v>0.30499999999999999</v>
      </c>
      <c r="AX349" s="5"/>
      <c r="AY349" s="5"/>
      <c r="AZ349" s="5"/>
      <c r="BA349" s="5"/>
      <c r="BB349" s="1"/>
      <c r="BC349" s="3" t="s">
        <v>243</v>
      </c>
      <c r="BD349" s="3">
        <v>0.9</v>
      </c>
      <c r="BE349" s="3">
        <v>0.5</v>
      </c>
      <c r="BF349" s="3">
        <v>0.6</v>
      </c>
      <c r="BG349" s="3">
        <v>0.33</v>
      </c>
      <c r="BH349" s="6">
        <v>1189.581909</v>
      </c>
      <c r="BI349" s="3">
        <v>0.01</v>
      </c>
      <c r="BK349" s="3" t="s">
        <v>243</v>
      </c>
      <c r="BL349" s="3">
        <v>0.31</v>
      </c>
      <c r="BM349" s="7">
        <v>1210.9647219999999</v>
      </c>
      <c r="BN349" s="3">
        <v>2E-3</v>
      </c>
      <c r="BO349" s="3">
        <f t="shared" si="39"/>
        <v>0.32</v>
      </c>
    </row>
    <row r="350" spans="1:67" x14ac:dyDescent="0.3">
      <c r="A350" s="3" t="s">
        <v>244</v>
      </c>
      <c r="B350" s="3">
        <v>0.9</v>
      </c>
      <c r="C350" s="3">
        <v>0.5</v>
      </c>
      <c r="D350" s="3">
        <v>0.6</v>
      </c>
      <c r="E350" s="3">
        <v>0.3</v>
      </c>
      <c r="F350" s="6">
        <v>712.85363800000005</v>
      </c>
      <c r="G350" s="3">
        <v>2E-3</v>
      </c>
      <c r="I350" s="3" t="s">
        <v>244</v>
      </c>
      <c r="J350" s="3">
        <v>0.31</v>
      </c>
      <c r="K350" s="7">
        <v>741.20715299999995</v>
      </c>
      <c r="L350" s="3">
        <v>0</v>
      </c>
      <c r="M350" s="3">
        <f t="shared" si="36"/>
        <v>0.30499999999999999</v>
      </c>
      <c r="N350" s="5"/>
      <c r="O350" s="5"/>
      <c r="P350" s="5"/>
      <c r="Q350" s="5"/>
      <c r="R350" s="1"/>
      <c r="S350" s="3" t="s">
        <v>244</v>
      </c>
      <c r="T350" s="3">
        <v>0.9</v>
      </c>
      <c r="U350" s="3">
        <v>0.5</v>
      </c>
      <c r="V350" s="3">
        <v>0.6</v>
      </c>
      <c r="W350" s="3">
        <v>0.36</v>
      </c>
      <c r="X350" s="7">
        <v>740.37231399999996</v>
      </c>
      <c r="Y350" s="3">
        <v>3.0000000000000001E-3</v>
      </c>
      <c r="AA350" s="3" t="s">
        <v>244</v>
      </c>
      <c r="AB350" s="3">
        <v>0.33</v>
      </c>
      <c r="AC350" s="6">
        <v>722.41479500000003</v>
      </c>
      <c r="AD350" s="3">
        <v>0</v>
      </c>
      <c r="AE350" s="3">
        <f t="shared" si="37"/>
        <v>0.34499999999999997</v>
      </c>
      <c r="AF350" s="5"/>
      <c r="AG350" s="5"/>
      <c r="AH350" s="5"/>
      <c r="AI350" s="5"/>
      <c r="AJ350" s="1"/>
      <c r="AK350" s="3" t="s">
        <v>245</v>
      </c>
      <c r="AL350" s="3">
        <v>0.9</v>
      </c>
      <c r="AM350" s="3">
        <v>0.5</v>
      </c>
      <c r="AN350" s="3">
        <v>0.6</v>
      </c>
      <c r="AO350" s="3">
        <v>0.31</v>
      </c>
      <c r="AP350" s="7">
        <v>1216.8789059999999</v>
      </c>
      <c r="AQ350" s="3">
        <v>0.01</v>
      </c>
      <c r="AS350" s="3" t="s">
        <v>245</v>
      </c>
      <c r="AT350" s="3">
        <v>0.32</v>
      </c>
      <c r="AU350" s="6">
        <v>1209.255249</v>
      </c>
      <c r="AV350" s="3">
        <v>1E-3</v>
      </c>
      <c r="AW350" s="3">
        <f t="shared" si="38"/>
        <v>0.315</v>
      </c>
      <c r="AX350" s="5"/>
      <c r="AY350" s="5"/>
      <c r="AZ350" s="5"/>
      <c r="BA350" s="5"/>
      <c r="BB350" s="1"/>
      <c r="BC350" s="3" t="s">
        <v>245</v>
      </c>
      <c r="BD350" s="3">
        <v>0.9</v>
      </c>
      <c r="BE350" s="3">
        <v>0.5</v>
      </c>
      <c r="BF350" s="3">
        <v>0.6</v>
      </c>
      <c r="BG350" s="3">
        <v>0.31</v>
      </c>
      <c r="BH350" s="6">
        <v>1167.6392820000001</v>
      </c>
      <c r="BI350" s="3">
        <v>8.9999999999999993E-3</v>
      </c>
      <c r="BK350" s="3" t="s">
        <v>245</v>
      </c>
      <c r="BL350" s="3">
        <v>0.3</v>
      </c>
      <c r="BM350" s="7">
        <v>1198.158081</v>
      </c>
      <c r="BN350" s="3">
        <v>1E-3</v>
      </c>
      <c r="BO350" s="3">
        <f t="shared" si="39"/>
        <v>0.30499999999999999</v>
      </c>
    </row>
    <row r="351" spans="1:67" x14ac:dyDescent="0.3">
      <c r="A351" s="3" t="s">
        <v>246</v>
      </c>
      <c r="B351" s="3">
        <v>0.9</v>
      </c>
      <c r="C351" s="3">
        <v>0.5</v>
      </c>
      <c r="D351" s="3">
        <v>0.6</v>
      </c>
      <c r="E351" s="3">
        <v>0.32</v>
      </c>
      <c r="F351" s="7">
        <v>731.68493699999999</v>
      </c>
      <c r="G351" s="3">
        <v>3.0000000000000001E-3</v>
      </c>
      <c r="I351" s="3" t="s">
        <v>246</v>
      </c>
      <c r="J351" s="3">
        <v>0.32</v>
      </c>
      <c r="K351" s="6">
        <v>730.020081</v>
      </c>
      <c r="L351" s="3">
        <v>1E-3</v>
      </c>
      <c r="M351" s="3">
        <f t="shared" si="36"/>
        <v>0.32</v>
      </c>
      <c r="N351" s="5"/>
      <c r="O351" s="5"/>
      <c r="P351" s="5"/>
      <c r="Q351" s="5"/>
      <c r="R351" s="1"/>
      <c r="S351" s="3" t="s">
        <v>246</v>
      </c>
      <c r="T351" s="3">
        <v>0.9</v>
      </c>
      <c r="U351" s="3">
        <v>0.5</v>
      </c>
      <c r="V351" s="3">
        <v>0.6</v>
      </c>
      <c r="W351" s="3">
        <v>0.32</v>
      </c>
      <c r="X351" s="7">
        <v>740.15563999999995</v>
      </c>
      <c r="Y351" s="3">
        <v>3.0000000000000001E-3</v>
      </c>
      <c r="AA351" s="3" t="s">
        <v>246</v>
      </c>
      <c r="AB351" s="3">
        <v>0.3</v>
      </c>
      <c r="AC351" s="6">
        <v>737.50628700000004</v>
      </c>
      <c r="AD351" s="3">
        <v>0</v>
      </c>
      <c r="AE351" s="3">
        <f t="shared" si="37"/>
        <v>0.31</v>
      </c>
      <c r="AF351" s="5"/>
      <c r="AG351" s="5"/>
      <c r="AH351" s="5"/>
      <c r="AI351" s="5"/>
      <c r="AJ351" s="1"/>
      <c r="AK351" s="3" t="s">
        <v>247</v>
      </c>
      <c r="AL351" s="3">
        <v>0.9</v>
      </c>
      <c r="AM351" s="3">
        <v>0.5</v>
      </c>
      <c r="AN351" s="3">
        <v>0.6</v>
      </c>
      <c r="AO351" s="3">
        <v>0.34</v>
      </c>
      <c r="AP351" s="6">
        <v>1041.85022</v>
      </c>
      <c r="AQ351" s="3">
        <v>8.9999999999999993E-3</v>
      </c>
      <c r="AS351" s="3" t="s">
        <v>247</v>
      </c>
      <c r="AT351" s="3">
        <v>0.31</v>
      </c>
      <c r="AU351" s="7">
        <v>1056.467529</v>
      </c>
      <c r="AV351" s="3">
        <v>1E-3</v>
      </c>
      <c r="AW351" s="3">
        <f t="shared" si="38"/>
        <v>0.32500000000000001</v>
      </c>
      <c r="AX351" s="5"/>
      <c r="AY351" s="5"/>
      <c r="AZ351" s="5"/>
      <c r="BA351" s="5"/>
      <c r="BB351" s="1"/>
      <c r="BC351" s="3" t="s">
        <v>247</v>
      </c>
      <c r="BD351" s="3">
        <v>0.9</v>
      </c>
      <c r="BE351" s="3">
        <v>0.5</v>
      </c>
      <c r="BF351" s="3">
        <v>0.6</v>
      </c>
      <c r="BG351" s="3">
        <v>0.32</v>
      </c>
      <c r="BH351" s="6">
        <v>1026.1936040000001</v>
      </c>
      <c r="BI351" s="3">
        <v>7.0000000000000001E-3</v>
      </c>
      <c r="BK351" s="3" t="s">
        <v>247</v>
      </c>
      <c r="BL351" s="3">
        <v>0.3</v>
      </c>
      <c r="BM351" s="7">
        <v>1042.224365</v>
      </c>
      <c r="BN351" s="3">
        <v>0</v>
      </c>
      <c r="BO351" s="3">
        <f t="shared" si="39"/>
        <v>0.31</v>
      </c>
    </row>
    <row r="352" spans="1:67" x14ac:dyDescent="0.3">
      <c r="A352" s="3" t="s">
        <v>248</v>
      </c>
      <c r="B352" s="3">
        <v>0.9</v>
      </c>
      <c r="C352" s="3">
        <v>0.5</v>
      </c>
      <c r="D352" s="3">
        <v>0.6</v>
      </c>
      <c r="E352" s="3">
        <v>0.3</v>
      </c>
      <c r="F352" s="7">
        <v>762.19421399999999</v>
      </c>
      <c r="G352" s="3">
        <v>2E-3</v>
      </c>
      <c r="I352" s="3" t="s">
        <v>248</v>
      </c>
      <c r="J352" s="3">
        <v>0.32</v>
      </c>
      <c r="K352" s="6">
        <v>744.93957499999999</v>
      </c>
      <c r="L352" s="3">
        <v>0</v>
      </c>
      <c r="M352" s="3">
        <f t="shared" si="36"/>
        <v>0.31</v>
      </c>
      <c r="N352" s="5"/>
      <c r="O352" s="5"/>
      <c r="P352" s="5"/>
      <c r="Q352" s="5"/>
      <c r="R352" s="1"/>
      <c r="S352" s="3" t="s">
        <v>248</v>
      </c>
      <c r="T352" s="3">
        <v>0.9</v>
      </c>
      <c r="U352" s="3">
        <v>0.5</v>
      </c>
      <c r="V352" s="3">
        <v>0.6</v>
      </c>
      <c r="W352" s="3">
        <v>0.3</v>
      </c>
      <c r="X352" s="7">
        <v>760.11254899999994</v>
      </c>
      <c r="Y352" s="3">
        <v>3.0000000000000001E-3</v>
      </c>
      <c r="AA352" s="3" t="s">
        <v>248</v>
      </c>
      <c r="AB352" s="3">
        <v>0.31</v>
      </c>
      <c r="AC352" s="6">
        <v>758.95471199999997</v>
      </c>
      <c r="AD352" s="3">
        <v>0</v>
      </c>
      <c r="AE352" s="3">
        <f t="shared" si="37"/>
        <v>0.30499999999999999</v>
      </c>
      <c r="AF352" s="5"/>
      <c r="AG352" s="5"/>
      <c r="AH352" s="5"/>
      <c r="AI352" s="5"/>
      <c r="AJ352" s="1"/>
      <c r="AK352" s="3" t="s">
        <v>249</v>
      </c>
      <c r="AL352" s="3">
        <v>0.9</v>
      </c>
      <c r="AM352" s="3">
        <v>0.5</v>
      </c>
      <c r="AN352" s="3">
        <v>0.6</v>
      </c>
      <c r="AO352" s="3">
        <v>0.3</v>
      </c>
      <c r="AP352" s="7">
        <v>1153.244629</v>
      </c>
      <c r="AQ352" s="3">
        <v>8.9999999999999993E-3</v>
      </c>
      <c r="AS352" s="3" t="s">
        <v>249</v>
      </c>
      <c r="AT352" s="3">
        <v>0.33</v>
      </c>
      <c r="AU352" s="6">
        <v>1145.193237</v>
      </c>
      <c r="AV352" s="3">
        <v>1E-3</v>
      </c>
      <c r="AW352" s="3">
        <f t="shared" si="38"/>
        <v>0.315</v>
      </c>
      <c r="AX352" s="5"/>
      <c r="AY352" s="5"/>
      <c r="AZ352" s="5"/>
      <c r="BA352" s="5"/>
      <c r="BB352" s="1"/>
      <c r="BC352" s="3" t="s">
        <v>249</v>
      </c>
      <c r="BD352" s="3">
        <v>0.9</v>
      </c>
      <c r="BE352" s="3">
        <v>0.5</v>
      </c>
      <c r="BF352" s="3">
        <v>0.6</v>
      </c>
      <c r="BG352" s="3">
        <v>0.31</v>
      </c>
      <c r="BH352" s="7">
        <v>1160.0714109999999</v>
      </c>
      <c r="BI352" s="3">
        <v>8.9999999999999993E-3</v>
      </c>
      <c r="BK352" s="3" t="s">
        <v>249</v>
      </c>
      <c r="BL352" s="3">
        <v>0.31</v>
      </c>
      <c r="BM352" s="6">
        <v>1112.7974850000001</v>
      </c>
      <c r="BN352" s="3">
        <v>1E-3</v>
      </c>
      <c r="BO352" s="3">
        <f t="shared" si="39"/>
        <v>0.31</v>
      </c>
    </row>
    <row r="353" spans="1:71" x14ac:dyDescent="0.3">
      <c r="A353" s="3" t="s">
        <v>250</v>
      </c>
      <c r="B353" s="3">
        <v>0.9</v>
      </c>
      <c r="C353" s="3">
        <v>0.5</v>
      </c>
      <c r="D353" s="3">
        <v>0.6</v>
      </c>
      <c r="E353" s="3">
        <v>0.31</v>
      </c>
      <c r="F353" s="7">
        <v>791.134277</v>
      </c>
      <c r="G353" s="3">
        <v>3.0000000000000001E-3</v>
      </c>
      <c r="I353" s="3" t="s">
        <v>250</v>
      </c>
      <c r="J353" s="3">
        <v>0.3</v>
      </c>
      <c r="K353" s="6">
        <v>787.03814699999998</v>
      </c>
      <c r="L353" s="3">
        <v>0</v>
      </c>
      <c r="M353" s="3">
        <f t="shared" si="36"/>
        <v>0.30499999999999999</v>
      </c>
      <c r="N353" s="5"/>
      <c r="O353" s="5"/>
      <c r="P353" s="5"/>
      <c r="Q353" s="5"/>
      <c r="R353" s="1"/>
      <c r="S353" s="3" t="s">
        <v>250</v>
      </c>
      <c r="T353" s="3">
        <v>0.9</v>
      </c>
      <c r="U353" s="3">
        <v>0.5</v>
      </c>
      <c r="V353" s="3">
        <v>0.6</v>
      </c>
      <c r="W353" s="3">
        <v>0.31</v>
      </c>
      <c r="X353" s="6">
        <v>761.36474599999997</v>
      </c>
      <c r="Y353" s="3">
        <v>3.0000000000000001E-3</v>
      </c>
      <c r="AA353" s="3" t="s">
        <v>250</v>
      </c>
      <c r="AB353" s="3">
        <v>0.3</v>
      </c>
      <c r="AC353" s="7">
        <v>770.62927200000001</v>
      </c>
      <c r="AD353" s="3">
        <v>0</v>
      </c>
      <c r="AE353" s="3">
        <f t="shared" si="37"/>
        <v>0.30499999999999999</v>
      </c>
      <c r="AF353" s="5"/>
      <c r="AG353" s="5"/>
      <c r="AH353" s="5"/>
      <c r="AI353" s="5"/>
      <c r="AJ353" s="1"/>
      <c r="AK353" s="3" t="s">
        <v>251</v>
      </c>
      <c r="AL353" s="3">
        <v>0.9</v>
      </c>
      <c r="AM353" s="3">
        <v>0.5</v>
      </c>
      <c r="AN353" s="3">
        <v>0.6</v>
      </c>
      <c r="AO353" s="3">
        <v>0.3</v>
      </c>
      <c r="AP353" s="7">
        <v>1148.55249</v>
      </c>
      <c r="AQ353" s="3">
        <v>0.01</v>
      </c>
      <c r="AS353" s="3" t="s">
        <v>251</v>
      </c>
      <c r="AT353" s="3">
        <v>0.3</v>
      </c>
      <c r="AU353" s="6">
        <v>1114.272095</v>
      </c>
      <c r="AV353" s="3">
        <v>1E-3</v>
      </c>
      <c r="AW353" s="3">
        <f t="shared" si="38"/>
        <v>0.3</v>
      </c>
      <c r="AX353" s="5"/>
      <c r="AY353" s="5"/>
      <c r="AZ353" s="5"/>
      <c r="BA353" s="5"/>
      <c r="BB353" s="1"/>
      <c r="BC353" s="3" t="s">
        <v>251</v>
      </c>
      <c r="BD353" s="3">
        <v>0.9</v>
      </c>
      <c r="BE353" s="3">
        <v>0.5</v>
      </c>
      <c r="BF353" s="3">
        <v>0.6</v>
      </c>
      <c r="BG353" s="3">
        <v>0.36</v>
      </c>
      <c r="BH353" s="6">
        <v>1122.6743160000001</v>
      </c>
      <c r="BI353" s="3">
        <v>8.0000000000000002E-3</v>
      </c>
      <c r="BK353" s="3" t="s">
        <v>251</v>
      </c>
      <c r="BL353" s="3">
        <v>0.3</v>
      </c>
      <c r="BM353" s="7">
        <v>1128.7219239999999</v>
      </c>
      <c r="BN353" s="3">
        <v>1E-3</v>
      </c>
      <c r="BO353" s="3">
        <f t="shared" si="39"/>
        <v>0.32999999999999996</v>
      </c>
    </row>
    <row r="354" spans="1:71" x14ac:dyDescent="0.3">
      <c r="A354" s="3" t="s">
        <v>252</v>
      </c>
      <c r="B354" s="3">
        <v>0.9</v>
      </c>
      <c r="C354" s="3">
        <v>0.5</v>
      </c>
      <c r="D354" s="3">
        <v>0.6</v>
      </c>
      <c r="E354" s="3">
        <v>0.32</v>
      </c>
      <c r="F354" s="7">
        <v>844.31103499999995</v>
      </c>
      <c r="G354" s="3">
        <v>3.0000000000000001E-3</v>
      </c>
      <c r="I354" s="3" t="s">
        <v>252</v>
      </c>
      <c r="J354" s="3">
        <v>0.38</v>
      </c>
      <c r="K354" s="6">
        <v>835.761841</v>
      </c>
      <c r="L354" s="3">
        <v>0</v>
      </c>
      <c r="M354" s="3">
        <f t="shared" si="36"/>
        <v>0.35</v>
      </c>
      <c r="N354" s="5"/>
      <c r="O354" s="5"/>
      <c r="P354" s="5"/>
      <c r="Q354" s="5"/>
      <c r="R354" s="1"/>
      <c r="S354" s="3" t="s">
        <v>252</v>
      </c>
      <c r="T354" s="3">
        <v>0.9</v>
      </c>
      <c r="U354" s="3">
        <v>0.5</v>
      </c>
      <c r="V354" s="3">
        <v>0.6</v>
      </c>
      <c r="W354" s="3">
        <v>0.3</v>
      </c>
      <c r="X354" s="6">
        <v>792.85205099999996</v>
      </c>
      <c r="Y354" s="3">
        <v>3.0000000000000001E-3</v>
      </c>
      <c r="AA354" s="3" t="s">
        <v>252</v>
      </c>
      <c r="AB354" s="3">
        <v>0.31</v>
      </c>
      <c r="AC354" s="8">
        <v>792.91058299999997</v>
      </c>
      <c r="AD354" s="3">
        <v>1E-3</v>
      </c>
      <c r="AE354" s="3">
        <f t="shared" si="37"/>
        <v>0.30499999999999999</v>
      </c>
      <c r="AF354" s="5"/>
      <c r="AG354" s="5"/>
      <c r="AH354" s="5"/>
      <c r="AI354" s="5"/>
      <c r="AJ354" s="1"/>
      <c r="AK354" s="3" t="s">
        <v>253</v>
      </c>
      <c r="AL354" s="3">
        <v>0.9</v>
      </c>
      <c r="AM354" s="3">
        <v>0.5</v>
      </c>
      <c r="AN354" s="3">
        <v>0.6</v>
      </c>
      <c r="AO354" s="3">
        <v>0.3</v>
      </c>
      <c r="AP354" s="7">
        <v>1185.3977050000001</v>
      </c>
      <c r="AQ354" s="3">
        <v>1.0999999999999999E-2</v>
      </c>
      <c r="AS354" s="3" t="s">
        <v>253</v>
      </c>
      <c r="AT354" s="3">
        <v>0.31</v>
      </c>
      <c r="AU354" s="6">
        <v>1175.5426030000001</v>
      </c>
      <c r="AV354" s="3">
        <v>2E-3</v>
      </c>
      <c r="AW354" s="3">
        <f t="shared" si="38"/>
        <v>0.30499999999999999</v>
      </c>
      <c r="AX354" s="5"/>
      <c r="AY354" s="5"/>
      <c r="AZ354" s="5"/>
      <c r="BA354" s="5"/>
      <c r="BB354" s="1"/>
      <c r="BC354" s="3" t="s">
        <v>253</v>
      </c>
      <c r="BD354" s="3">
        <v>0.9</v>
      </c>
      <c r="BE354" s="3">
        <v>0.5</v>
      </c>
      <c r="BF354" s="3">
        <v>0.6</v>
      </c>
      <c r="BG354" s="3">
        <v>0.33</v>
      </c>
      <c r="BH354" s="7">
        <v>1179.795288</v>
      </c>
      <c r="BI354" s="3">
        <v>0.01</v>
      </c>
      <c r="BK354" s="3" t="s">
        <v>253</v>
      </c>
      <c r="BL354" s="3">
        <v>0.3</v>
      </c>
      <c r="BM354" s="6">
        <v>1177.6599120000001</v>
      </c>
      <c r="BN354" s="3">
        <v>2E-3</v>
      </c>
      <c r="BO354" s="3">
        <f t="shared" si="39"/>
        <v>0.315</v>
      </c>
    </row>
    <row r="355" spans="1:71" x14ac:dyDescent="0.3">
      <c r="A355" s="9" t="s">
        <v>316</v>
      </c>
      <c r="E355" s="9">
        <f>AVERAGE(E325:E354)</f>
        <v>0.31766666666666671</v>
      </c>
      <c r="I355" s="9" t="s">
        <v>316</v>
      </c>
      <c r="J355" s="9">
        <f>AVERAGE(J325:J354)</f>
        <v>0.31666666666666665</v>
      </c>
      <c r="R355" s="1"/>
      <c r="S355" s="9" t="s">
        <v>316</v>
      </c>
      <c r="W355" s="9">
        <f>AVERAGE(W325:W354)</f>
        <v>0.31466666666666665</v>
      </c>
      <c r="AA355" s="9" t="s">
        <v>316</v>
      </c>
      <c r="AB355" s="9">
        <f>AVERAGE(AB325:AB354)</f>
        <v>0.32033333333333336</v>
      </c>
      <c r="AJ355" s="1"/>
      <c r="AK355" s="9" t="s">
        <v>316</v>
      </c>
      <c r="AO355" s="9">
        <f>AVERAGE(AO325:AO354)</f>
        <v>0.31299999999999994</v>
      </c>
      <c r="AS355" s="9" t="s">
        <v>316</v>
      </c>
      <c r="AT355" s="9">
        <f>AVERAGE(AT325:AT354)</f>
        <v>0.30999999999999994</v>
      </c>
      <c r="BB355" s="1"/>
      <c r="BC355" s="9" t="s">
        <v>316</v>
      </c>
      <c r="BG355" s="9">
        <f>AVERAGE(BG325:BG354)</f>
        <v>0.31366666666666665</v>
      </c>
      <c r="BK355" s="9" t="s">
        <v>316</v>
      </c>
      <c r="BL355" s="9">
        <f>AVERAGE(BL325:BL354)</f>
        <v>0.31033333333333341</v>
      </c>
    </row>
    <row r="356" spans="1:71" x14ac:dyDescent="0.3">
      <c r="R356" s="1"/>
      <c r="AJ356" s="1"/>
      <c r="BB356" s="1"/>
    </row>
    <row r="357" spans="1:71" x14ac:dyDescent="0.3">
      <c r="R357" s="1"/>
      <c r="AJ357" s="1"/>
      <c r="BB357" s="1"/>
    </row>
    <row r="358" spans="1:71" x14ac:dyDescent="0.3">
      <c r="A358" s="19" t="s">
        <v>314</v>
      </c>
      <c r="B358" s="19"/>
      <c r="C358" s="19"/>
      <c r="D358" s="19"/>
      <c r="E358" s="19"/>
      <c r="F358" s="19"/>
      <c r="G358" s="19"/>
      <c r="I358" s="19" t="s">
        <v>315</v>
      </c>
      <c r="J358" s="19"/>
      <c r="K358" s="19"/>
      <c r="L358" s="19"/>
      <c r="M358" s="19"/>
      <c r="N358" s="11"/>
      <c r="O358" s="11"/>
      <c r="P358" s="11"/>
      <c r="Q358" s="11"/>
      <c r="R358" s="1"/>
      <c r="S358" s="19" t="s">
        <v>314</v>
      </c>
      <c r="T358" s="19"/>
      <c r="U358" s="19"/>
      <c r="V358" s="19"/>
      <c r="W358" s="19"/>
      <c r="X358" s="19"/>
      <c r="Y358" s="19"/>
      <c r="AA358" s="19" t="s">
        <v>315</v>
      </c>
      <c r="AB358" s="19"/>
      <c r="AC358" s="19"/>
      <c r="AD358" s="19"/>
      <c r="AE358" s="19"/>
      <c r="AF358" s="11"/>
      <c r="AG358" s="11"/>
      <c r="AH358" s="11"/>
      <c r="AI358" s="11"/>
      <c r="AJ358" s="1"/>
      <c r="AK358" s="19" t="s">
        <v>314</v>
      </c>
      <c r="AL358" s="19"/>
      <c r="AM358" s="19"/>
      <c r="AN358" s="19"/>
      <c r="AO358" s="19"/>
      <c r="AP358" s="19"/>
      <c r="AQ358" s="19"/>
      <c r="AS358" s="19" t="s">
        <v>315</v>
      </c>
      <c r="AT358" s="19"/>
      <c r="AU358" s="19"/>
      <c r="AV358" s="19"/>
      <c r="AW358" s="19"/>
      <c r="AX358" s="11"/>
      <c r="AY358" s="11"/>
      <c r="AZ358" s="11"/>
      <c r="BA358" s="11"/>
      <c r="BB358" s="1"/>
      <c r="BC358" s="19" t="s">
        <v>314</v>
      </c>
      <c r="BD358" s="19"/>
      <c r="BE358" s="19"/>
      <c r="BF358" s="19"/>
      <c r="BG358" s="19"/>
      <c r="BH358" s="19"/>
      <c r="BI358" s="19"/>
      <c r="BK358" s="19" t="s">
        <v>315</v>
      </c>
      <c r="BL358" s="19"/>
      <c r="BM358" s="19"/>
      <c r="BN358" s="19"/>
      <c r="BO358" s="19"/>
    </row>
    <row r="359" spans="1:71" x14ac:dyDescent="0.3">
      <c r="A359" s="19" t="s">
        <v>70</v>
      </c>
      <c r="B359" s="19"/>
      <c r="C359" s="19"/>
      <c r="D359" s="19"/>
      <c r="E359" s="19"/>
      <c r="F359" s="19"/>
      <c r="G359" s="19"/>
      <c r="I359" s="19" t="s">
        <v>70</v>
      </c>
      <c r="J359" s="19"/>
      <c r="K359" s="19"/>
      <c r="L359" s="19"/>
      <c r="M359" s="19"/>
      <c r="N359" s="11"/>
      <c r="O359" s="11"/>
      <c r="P359" s="11"/>
      <c r="Q359" s="11"/>
      <c r="R359" s="1"/>
      <c r="S359" s="19" t="s">
        <v>71</v>
      </c>
      <c r="T359" s="19"/>
      <c r="U359" s="19"/>
      <c r="V359" s="19"/>
      <c r="W359" s="19"/>
      <c r="X359" s="19"/>
      <c r="Y359" s="19"/>
      <c r="AA359" s="19" t="s">
        <v>71</v>
      </c>
      <c r="AB359" s="19"/>
      <c r="AC359" s="19"/>
      <c r="AD359" s="19"/>
      <c r="AE359" s="19"/>
      <c r="AF359" s="11"/>
      <c r="AG359" s="11"/>
      <c r="AH359" s="11"/>
      <c r="AI359" s="11"/>
      <c r="AJ359" s="1"/>
      <c r="AK359" s="19" t="s">
        <v>70</v>
      </c>
      <c r="AL359" s="19"/>
      <c r="AM359" s="19"/>
      <c r="AN359" s="19"/>
      <c r="AO359" s="19"/>
      <c r="AP359" s="19"/>
      <c r="AQ359" s="19"/>
      <c r="AS359" s="19" t="s">
        <v>70</v>
      </c>
      <c r="AT359" s="19"/>
      <c r="AU359" s="19"/>
      <c r="AV359" s="19"/>
      <c r="AW359" s="19"/>
      <c r="AX359" s="11"/>
      <c r="AY359" s="11"/>
      <c r="AZ359" s="11"/>
      <c r="BA359" s="11"/>
      <c r="BB359" s="1"/>
      <c r="BC359" s="19" t="s">
        <v>71</v>
      </c>
      <c r="BD359" s="19"/>
      <c r="BE359" s="19"/>
      <c r="BF359" s="19"/>
      <c r="BG359" s="19"/>
      <c r="BH359" s="19"/>
      <c r="BI359" s="19"/>
      <c r="BK359" s="19" t="s">
        <v>71</v>
      </c>
      <c r="BL359" s="19"/>
      <c r="BM359" s="19"/>
      <c r="BN359" s="19"/>
      <c r="BO359" s="19"/>
    </row>
    <row r="360" spans="1:71" x14ac:dyDescent="0.3">
      <c r="A360" s="3" t="s">
        <v>2</v>
      </c>
      <c r="B360" s="3" t="s">
        <v>3</v>
      </c>
      <c r="C360" s="3" t="s">
        <v>4</v>
      </c>
      <c r="D360" s="3" t="s">
        <v>5</v>
      </c>
      <c r="E360" s="3" t="s">
        <v>6</v>
      </c>
      <c r="F360" s="3" t="s">
        <v>7</v>
      </c>
      <c r="G360" s="3" t="s">
        <v>8</v>
      </c>
      <c r="I360" s="3" t="s">
        <v>2</v>
      </c>
      <c r="J360" s="3" t="s">
        <v>6</v>
      </c>
      <c r="K360" s="3" t="s">
        <v>7</v>
      </c>
      <c r="L360" s="3" t="s">
        <v>8</v>
      </c>
      <c r="M360" s="3" t="s">
        <v>9</v>
      </c>
      <c r="N360" s="3" t="s">
        <v>322</v>
      </c>
      <c r="O360" s="3" t="s">
        <v>323</v>
      </c>
      <c r="P360" s="3" t="s">
        <v>322</v>
      </c>
      <c r="Q360" s="3" t="s">
        <v>323</v>
      </c>
      <c r="R360" s="1"/>
      <c r="S360" s="3" t="s">
        <v>2</v>
      </c>
      <c r="T360" s="3" t="s">
        <v>3</v>
      </c>
      <c r="U360" s="3" t="s">
        <v>4</v>
      </c>
      <c r="V360" s="3" t="s">
        <v>5</v>
      </c>
      <c r="W360" s="3" t="s">
        <v>6</v>
      </c>
      <c r="X360" s="3" t="s">
        <v>7</v>
      </c>
      <c r="Y360" s="3" t="s">
        <v>8</v>
      </c>
      <c r="AA360" s="3" t="s">
        <v>2</v>
      </c>
      <c r="AB360" s="3" t="s">
        <v>6</v>
      </c>
      <c r="AC360" s="3" t="s">
        <v>7</v>
      </c>
      <c r="AD360" s="3" t="s">
        <v>8</v>
      </c>
      <c r="AE360" s="3" t="s">
        <v>9</v>
      </c>
      <c r="AF360" s="3" t="s">
        <v>322</v>
      </c>
      <c r="AG360" s="3" t="s">
        <v>323</v>
      </c>
      <c r="AH360" s="3" t="s">
        <v>322</v>
      </c>
      <c r="AI360" s="3" t="s">
        <v>323</v>
      </c>
      <c r="AJ360" s="1"/>
      <c r="AK360" s="3" t="s">
        <v>2</v>
      </c>
      <c r="AL360" s="3" t="s">
        <v>3</v>
      </c>
      <c r="AM360" s="3" t="s">
        <v>4</v>
      </c>
      <c r="AN360" s="3" t="s">
        <v>5</v>
      </c>
      <c r="AO360" s="3" t="s">
        <v>6</v>
      </c>
      <c r="AP360" s="3" t="s">
        <v>7</v>
      </c>
      <c r="AQ360" s="3" t="s">
        <v>8</v>
      </c>
      <c r="AS360" s="3" t="s">
        <v>2</v>
      </c>
      <c r="AT360" s="3" t="s">
        <v>6</v>
      </c>
      <c r="AU360" s="3" t="s">
        <v>7</v>
      </c>
      <c r="AV360" s="3" t="s">
        <v>8</v>
      </c>
      <c r="AW360" s="3" t="s">
        <v>9</v>
      </c>
      <c r="AX360" s="3" t="s">
        <v>322</v>
      </c>
      <c r="AY360" s="3" t="s">
        <v>323</v>
      </c>
      <c r="AZ360" s="3" t="s">
        <v>322</v>
      </c>
      <c r="BA360" s="3" t="s">
        <v>323</v>
      </c>
      <c r="BB360" s="1"/>
      <c r="BC360" s="3" t="s">
        <v>2</v>
      </c>
      <c r="BD360" s="3" t="s">
        <v>3</v>
      </c>
      <c r="BE360" s="3" t="s">
        <v>4</v>
      </c>
      <c r="BF360" s="3" t="s">
        <v>5</v>
      </c>
      <c r="BG360" s="3" t="s">
        <v>6</v>
      </c>
      <c r="BH360" s="3" t="s">
        <v>7</v>
      </c>
      <c r="BI360" s="3" t="s">
        <v>8</v>
      </c>
      <c r="BK360" s="3" t="s">
        <v>2</v>
      </c>
      <c r="BL360" s="3" t="s">
        <v>6</v>
      </c>
      <c r="BM360" s="3" t="s">
        <v>7</v>
      </c>
      <c r="BN360" s="3" t="s">
        <v>8</v>
      </c>
      <c r="BO360" s="3" t="s">
        <v>9</v>
      </c>
      <c r="BP360" s="3" t="s">
        <v>322</v>
      </c>
      <c r="BQ360" s="3" t="s">
        <v>323</v>
      </c>
      <c r="BR360" s="3" t="s">
        <v>322</v>
      </c>
      <c r="BS360" s="3" t="s">
        <v>323</v>
      </c>
    </row>
    <row r="361" spans="1:71" x14ac:dyDescent="0.3">
      <c r="A361" s="3" t="s">
        <v>194</v>
      </c>
      <c r="B361" s="3">
        <v>0.9</v>
      </c>
      <c r="C361" s="3">
        <v>0.5</v>
      </c>
      <c r="D361" s="3">
        <v>0.6</v>
      </c>
      <c r="E361" s="3">
        <v>0.31</v>
      </c>
      <c r="F361" s="6">
        <v>661.36474599999997</v>
      </c>
      <c r="G361" s="3">
        <v>3.0000000000000001E-3</v>
      </c>
      <c r="I361" s="3" t="s">
        <v>194</v>
      </c>
      <c r="J361" s="3">
        <v>0.35</v>
      </c>
      <c r="K361" s="7">
        <v>690.76080300000001</v>
      </c>
      <c r="L361" s="3">
        <v>0</v>
      </c>
      <c r="M361" s="3">
        <f t="shared" ref="M361:M390" si="40">AVERAGE(E361,J361)</f>
        <v>0.32999999999999996</v>
      </c>
      <c r="N361" s="4" t="s">
        <v>320</v>
      </c>
      <c r="O361" s="4" t="s">
        <v>320</v>
      </c>
      <c r="P361" s="4" t="s">
        <v>321</v>
      </c>
      <c r="Q361" s="4" t="s">
        <v>321</v>
      </c>
      <c r="R361" s="1"/>
      <c r="S361" s="3" t="s">
        <v>194</v>
      </c>
      <c r="T361" s="3">
        <v>0.9</v>
      </c>
      <c r="U361" s="3">
        <v>0.5</v>
      </c>
      <c r="V361" s="3">
        <v>0.6</v>
      </c>
      <c r="W361" s="3">
        <v>0.3</v>
      </c>
      <c r="X361" s="6">
        <v>672.53552200000001</v>
      </c>
      <c r="Y361" s="3">
        <v>5.0000000000000001E-3</v>
      </c>
      <c r="AA361" s="3" t="s">
        <v>194</v>
      </c>
      <c r="AB361" s="3">
        <v>0.3</v>
      </c>
      <c r="AC361" s="7">
        <v>674.11859100000004</v>
      </c>
      <c r="AD361" s="3">
        <v>0</v>
      </c>
      <c r="AE361" s="3">
        <f t="shared" ref="AE361:AE390" si="41">AVERAGE(W361,AB361)</f>
        <v>0.3</v>
      </c>
      <c r="AF361" s="4" t="s">
        <v>320</v>
      </c>
      <c r="AG361" s="4" t="s">
        <v>320</v>
      </c>
      <c r="AH361" s="4" t="s">
        <v>321</v>
      </c>
      <c r="AI361" s="4" t="s">
        <v>321</v>
      </c>
      <c r="AJ361" s="1"/>
      <c r="AK361" s="3" t="s">
        <v>195</v>
      </c>
      <c r="AL361" s="3">
        <v>0.9</v>
      </c>
      <c r="AM361" s="3">
        <v>0.5</v>
      </c>
      <c r="AN361" s="3">
        <v>0.6</v>
      </c>
      <c r="AO361" s="3">
        <v>0.33</v>
      </c>
      <c r="AP361" s="6">
        <v>997.74523899999997</v>
      </c>
      <c r="AQ361" s="3">
        <v>7.0000000000000001E-3</v>
      </c>
      <c r="AS361" s="3" t="s">
        <v>195</v>
      </c>
      <c r="AT361" s="3">
        <v>0.3</v>
      </c>
      <c r="AU361" s="7">
        <v>1014.334961</v>
      </c>
      <c r="AV361" s="3">
        <v>1E-3</v>
      </c>
      <c r="AW361" s="3">
        <f t="shared" ref="AW361:AW390" si="42">AVERAGE(AO361,AT361)</f>
        <v>0.315</v>
      </c>
      <c r="AX361" s="4" t="s">
        <v>320</v>
      </c>
      <c r="AY361" s="4" t="s">
        <v>320</v>
      </c>
      <c r="AZ361" s="4" t="s">
        <v>321</v>
      </c>
      <c r="BA361" s="4" t="s">
        <v>321</v>
      </c>
      <c r="BB361" s="1"/>
      <c r="BC361" s="3" t="s">
        <v>195</v>
      </c>
      <c r="BD361" s="3">
        <v>0.9</v>
      </c>
      <c r="BE361" s="3">
        <v>0.5</v>
      </c>
      <c r="BF361" s="3">
        <v>0.6</v>
      </c>
      <c r="BG361" s="3">
        <v>0.3</v>
      </c>
      <c r="BH361" s="6">
        <v>969.35522500000002</v>
      </c>
      <c r="BI361" s="3">
        <v>8.9999999999999993E-3</v>
      </c>
      <c r="BK361" s="3" t="s">
        <v>195</v>
      </c>
      <c r="BL361" s="3">
        <v>0.3</v>
      </c>
      <c r="BM361" s="7">
        <v>982.74255400000004</v>
      </c>
      <c r="BN361" s="3">
        <v>1E-3</v>
      </c>
      <c r="BO361" s="3">
        <f t="shared" ref="BO361:BO390" si="43">AVERAGE(BG361,BL361)</f>
        <v>0.3</v>
      </c>
      <c r="BP361" s="4" t="s">
        <v>320</v>
      </c>
      <c r="BQ361" s="4" t="s">
        <v>320</v>
      </c>
      <c r="BR361" s="4" t="s">
        <v>321</v>
      </c>
      <c r="BS361" s="4" t="s">
        <v>321</v>
      </c>
    </row>
    <row r="362" spans="1:71" x14ac:dyDescent="0.3">
      <c r="A362" s="3" t="s">
        <v>196</v>
      </c>
      <c r="B362" s="3">
        <v>0.9</v>
      </c>
      <c r="C362" s="3">
        <v>0.5</v>
      </c>
      <c r="D362" s="3">
        <v>0.6</v>
      </c>
      <c r="E362" s="3">
        <v>0.31</v>
      </c>
      <c r="F362" s="6">
        <v>653.21197500000005</v>
      </c>
      <c r="G362" s="3">
        <v>3.0000000000000001E-3</v>
      </c>
      <c r="I362" s="3" t="s">
        <v>196</v>
      </c>
      <c r="J362" s="3">
        <v>0.3</v>
      </c>
      <c r="K362" s="7">
        <v>663.63958700000001</v>
      </c>
      <c r="L362" s="3">
        <v>0</v>
      </c>
      <c r="M362" s="3">
        <f t="shared" si="40"/>
        <v>0.30499999999999999</v>
      </c>
      <c r="N362" s="3">
        <f>COUNT(F361:F362,F364,F367:F369,F372:F374,F376,F379,F383,F385:F386)</f>
        <v>14</v>
      </c>
      <c r="O362" s="3">
        <f>30-N362</f>
        <v>16</v>
      </c>
      <c r="P362" s="3">
        <f>COUNT(K363,K365:K366,K370:K371,K375,K377:K378,K380:K384,K387:K390)</f>
        <v>17</v>
      </c>
      <c r="Q362" s="3">
        <f>30-P362</f>
        <v>13</v>
      </c>
      <c r="R362" s="1"/>
      <c r="S362" s="3" t="s">
        <v>196</v>
      </c>
      <c r="T362" s="3">
        <v>0.9</v>
      </c>
      <c r="U362" s="3">
        <v>0.5</v>
      </c>
      <c r="V362" s="3">
        <v>0.6</v>
      </c>
      <c r="W362" s="3">
        <v>0.3</v>
      </c>
      <c r="X362" s="7">
        <v>648.53619400000002</v>
      </c>
      <c r="Y362" s="3">
        <v>6.0000000000000001E-3</v>
      </c>
      <c r="AA362" s="3" t="s">
        <v>196</v>
      </c>
      <c r="AB362" s="3">
        <v>0.39</v>
      </c>
      <c r="AC362" s="6">
        <v>631.21813999999995</v>
      </c>
      <c r="AD362" s="3">
        <v>1E-3</v>
      </c>
      <c r="AE362" s="3">
        <f t="shared" si="41"/>
        <v>0.34499999999999997</v>
      </c>
      <c r="AF362" s="3">
        <f>COUNT(X361,X363:X364,X366:X368,X372,X374:X375,X377:X378,X380,X382,X384:X385,X387:X388)</f>
        <v>17</v>
      </c>
      <c r="AG362" s="3">
        <f>30-AF362</f>
        <v>13</v>
      </c>
      <c r="AH362" s="3">
        <f>COUNT(AC362:AC363,AC365,AC369:AC371,AC373,AC376,AC379,AC381,AC383:AC384,AC386,AC389:AC390)</f>
        <v>15</v>
      </c>
      <c r="AI362" s="3">
        <f>30-AH362</f>
        <v>15</v>
      </c>
      <c r="AJ362" s="1"/>
      <c r="AK362" s="3" t="s">
        <v>197</v>
      </c>
      <c r="AL362" s="3">
        <v>0.9</v>
      </c>
      <c r="AM362" s="3">
        <v>0.5</v>
      </c>
      <c r="AN362" s="3">
        <v>0.6</v>
      </c>
      <c r="AO362" s="3">
        <v>0.33</v>
      </c>
      <c r="AP362" s="7">
        <v>939.78497300000004</v>
      </c>
      <c r="AQ362" s="3">
        <v>1.0999999999999999E-2</v>
      </c>
      <c r="AS362" s="3" t="s">
        <v>197</v>
      </c>
      <c r="AT362" s="3">
        <v>0.35</v>
      </c>
      <c r="AU362" s="6">
        <v>935.97692900000004</v>
      </c>
      <c r="AV362" s="3">
        <v>1E-3</v>
      </c>
      <c r="AW362" s="3">
        <f t="shared" si="42"/>
        <v>0.33999999999999997</v>
      </c>
      <c r="AX362" s="3">
        <f>COUNT(AP361,AP365,AP367:AP368,AP370:AP371,AP373:AP375,AP377:AP380,AP382,AP384,AP386:AP387)</f>
        <v>17</v>
      </c>
      <c r="AY362" s="3">
        <f>30-AX362</f>
        <v>13</v>
      </c>
      <c r="AZ362" s="3">
        <f>COUNT(AU362:AU364,AU366,AU369,AU372,AU376,AU381,AU383,AU385,AU388:AU390)</f>
        <v>13</v>
      </c>
      <c r="BA362" s="3">
        <f>30-AZ362</f>
        <v>17</v>
      </c>
      <c r="BB362" s="1"/>
      <c r="BC362" s="3" t="s">
        <v>197</v>
      </c>
      <c r="BD362" s="3">
        <v>0.9</v>
      </c>
      <c r="BE362" s="3">
        <v>0.5</v>
      </c>
      <c r="BF362" s="3">
        <v>0.6</v>
      </c>
      <c r="BG362" s="3">
        <v>0.32</v>
      </c>
      <c r="BH362" s="7">
        <v>905.64276099999995</v>
      </c>
      <c r="BI362" s="3">
        <v>7.0000000000000001E-3</v>
      </c>
      <c r="BK362" s="3" t="s">
        <v>197</v>
      </c>
      <c r="BL362" s="3">
        <v>0.31</v>
      </c>
      <c r="BM362" s="6">
        <v>888.31500200000005</v>
      </c>
      <c r="BN362" s="3">
        <v>1E-3</v>
      </c>
      <c r="BO362" s="3">
        <f t="shared" si="43"/>
        <v>0.315</v>
      </c>
      <c r="BP362" s="3">
        <f>COUNT(BH361,BH363,BH365:BH368,BH371,BH373,BH375,BH378,BH381:BH384,BH386:BH387,BH389)</f>
        <v>17</v>
      </c>
      <c r="BQ362" s="3">
        <f>30-BP362</f>
        <v>13</v>
      </c>
      <c r="BR362" s="3">
        <f>COUNT(BM362,BM364,BM366,BM369:BM370,BM372,BM374,BM376:BM377,BM379:BM380,BM383,BM385,BM388,BM390)</f>
        <v>15</v>
      </c>
      <c r="BS362" s="3">
        <f>30-BR362</f>
        <v>15</v>
      </c>
    </row>
    <row r="363" spans="1:71" x14ac:dyDescent="0.3">
      <c r="A363" s="3" t="s">
        <v>198</v>
      </c>
      <c r="B363" s="3">
        <v>0.9</v>
      </c>
      <c r="C363" s="3">
        <v>0.5</v>
      </c>
      <c r="D363" s="3">
        <v>0.6</v>
      </c>
      <c r="E363" s="3">
        <v>0.3</v>
      </c>
      <c r="F363" s="7">
        <v>645.04803500000003</v>
      </c>
      <c r="G363" s="3">
        <v>2E-3</v>
      </c>
      <c r="I363" s="3" t="s">
        <v>198</v>
      </c>
      <c r="J363" s="3">
        <v>0.33</v>
      </c>
      <c r="K363" s="6">
        <v>644.46954300000004</v>
      </c>
      <c r="L363" s="3">
        <v>1E-3</v>
      </c>
      <c r="M363" s="3">
        <f t="shared" si="40"/>
        <v>0.315</v>
      </c>
      <c r="N363" s="5"/>
      <c r="O363" s="5"/>
      <c r="P363" s="5"/>
      <c r="Q363" s="5"/>
      <c r="R363" s="1"/>
      <c r="S363" s="3" t="s">
        <v>198</v>
      </c>
      <c r="T363" s="3">
        <v>0.9</v>
      </c>
      <c r="U363" s="3">
        <v>0.5</v>
      </c>
      <c r="V363" s="3">
        <v>0.6</v>
      </c>
      <c r="W363" s="3">
        <v>0.3</v>
      </c>
      <c r="X363" s="6">
        <v>622.12072799999999</v>
      </c>
      <c r="Y363" s="3">
        <v>3.0000000000000001E-3</v>
      </c>
      <c r="AA363" s="3" t="s">
        <v>198</v>
      </c>
      <c r="AB363" s="3">
        <v>0.32</v>
      </c>
      <c r="AC363" s="8">
        <v>622.202271</v>
      </c>
      <c r="AD363" s="3">
        <v>1E-3</v>
      </c>
      <c r="AE363" s="3">
        <f t="shared" si="41"/>
        <v>0.31</v>
      </c>
      <c r="AF363" s="5"/>
      <c r="AG363" s="5"/>
      <c r="AH363" s="5"/>
      <c r="AI363" s="5"/>
      <c r="AJ363" s="1"/>
      <c r="AK363" s="3" t="s">
        <v>199</v>
      </c>
      <c r="AL363" s="3">
        <v>0.9</v>
      </c>
      <c r="AM363" s="3">
        <v>0.5</v>
      </c>
      <c r="AN363" s="3">
        <v>0.6</v>
      </c>
      <c r="AO363" s="3">
        <v>0.34</v>
      </c>
      <c r="AP363" s="7">
        <v>968.83477800000003</v>
      </c>
      <c r="AQ363" s="3">
        <v>7.0000000000000001E-3</v>
      </c>
      <c r="AS363" s="3" t="s">
        <v>199</v>
      </c>
      <c r="AT363" s="3">
        <v>0.3</v>
      </c>
      <c r="AU363" s="6">
        <v>965.99408000000005</v>
      </c>
      <c r="AV363" s="3">
        <v>1E-3</v>
      </c>
      <c r="AW363" s="3">
        <f t="shared" si="42"/>
        <v>0.32</v>
      </c>
      <c r="BB363" s="1"/>
      <c r="BC363" s="3" t="s">
        <v>199</v>
      </c>
      <c r="BD363" s="3">
        <v>0.9</v>
      </c>
      <c r="BE363" s="3">
        <v>0.5</v>
      </c>
      <c r="BF363" s="3">
        <v>0.6</v>
      </c>
      <c r="BG363" s="3">
        <v>0.3</v>
      </c>
      <c r="BH363" s="6">
        <v>921.94665499999996</v>
      </c>
      <c r="BI363" s="3">
        <v>8.9999999999999993E-3</v>
      </c>
      <c r="BK363" s="3" t="s">
        <v>199</v>
      </c>
      <c r="BL363" s="3">
        <v>0.3</v>
      </c>
      <c r="BM363" s="7">
        <v>955.69061299999998</v>
      </c>
      <c r="BN363" s="3">
        <v>1E-3</v>
      </c>
      <c r="BO363" s="3">
        <f t="shared" si="43"/>
        <v>0.3</v>
      </c>
    </row>
    <row r="364" spans="1:71" x14ac:dyDescent="0.3">
      <c r="A364" s="3" t="s">
        <v>200</v>
      </c>
      <c r="B364" s="3">
        <v>0.9</v>
      </c>
      <c r="C364" s="3">
        <v>0.5</v>
      </c>
      <c r="D364" s="3">
        <v>0.6</v>
      </c>
      <c r="E364" s="3">
        <v>0.31</v>
      </c>
      <c r="F364" s="6">
        <v>588.25036599999999</v>
      </c>
      <c r="G364" s="3">
        <v>3.0000000000000001E-3</v>
      </c>
      <c r="I364" s="3" t="s">
        <v>200</v>
      </c>
      <c r="J364" s="3">
        <v>0.35</v>
      </c>
      <c r="K364" s="7">
        <v>597.80798300000004</v>
      </c>
      <c r="L364" s="3">
        <v>0</v>
      </c>
      <c r="M364" s="3">
        <f t="shared" si="40"/>
        <v>0.32999999999999996</v>
      </c>
      <c r="N364" s="5"/>
      <c r="O364" s="5"/>
      <c r="P364" s="5"/>
      <c r="Q364" s="5"/>
      <c r="R364" s="1"/>
      <c r="S364" s="3" t="s">
        <v>200</v>
      </c>
      <c r="T364" s="3">
        <v>0.9</v>
      </c>
      <c r="U364" s="3">
        <v>0.5</v>
      </c>
      <c r="V364" s="3">
        <v>0.6</v>
      </c>
      <c r="W364" s="3">
        <v>0.34</v>
      </c>
      <c r="X364" s="6">
        <v>560.71838400000001</v>
      </c>
      <c r="Y364" s="3">
        <v>3.0000000000000001E-3</v>
      </c>
      <c r="AA364" s="3" t="s">
        <v>200</v>
      </c>
      <c r="AB364" s="3">
        <v>0.34</v>
      </c>
      <c r="AC364" s="7">
        <v>561.51122999999995</v>
      </c>
      <c r="AD364" s="3">
        <v>0</v>
      </c>
      <c r="AE364" s="3">
        <f t="shared" si="41"/>
        <v>0.34</v>
      </c>
      <c r="AF364" s="5"/>
      <c r="AG364" s="5"/>
      <c r="AH364" s="5"/>
      <c r="AI364" s="5"/>
      <c r="AJ364" s="1"/>
      <c r="AK364" s="3" t="s">
        <v>201</v>
      </c>
      <c r="AL364" s="3">
        <v>0.9</v>
      </c>
      <c r="AM364" s="3">
        <v>0.5</v>
      </c>
      <c r="AN364" s="3">
        <v>0.6</v>
      </c>
      <c r="AO364" s="3">
        <v>0.3</v>
      </c>
      <c r="AP364" s="7">
        <v>1029.9072269999999</v>
      </c>
      <c r="AQ364" s="3">
        <v>7.0000000000000001E-3</v>
      </c>
      <c r="AS364" s="3" t="s">
        <v>201</v>
      </c>
      <c r="AT364" s="3">
        <v>0.3</v>
      </c>
      <c r="AU364" s="6">
        <v>1018.97229</v>
      </c>
      <c r="AV364" s="3">
        <v>1E-3</v>
      </c>
      <c r="AW364" s="3">
        <f t="shared" si="42"/>
        <v>0.3</v>
      </c>
      <c r="AX364" s="5"/>
      <c r="AY364" s="5"/>
      <c r="AZ364" s="5"/>
      <c r="BA364" s="5"/>
      <c r="BB364" s="1"/>
      <c r="BC364" s="3" t="s">
        <v>201</v>
      </c>
      <c r="BD364" s="3">
        <v>0.9</v>
      </c>
      <c r="BE364" s="3">
        <v>0.5</v>
      </c>
      <c r="BF364" s="3">
        <v>0.6</v>
      </c>
      <c r="BG364" s="3">
        <v>0.32</v>
      </c>
      <c r="BH364" s="7">
        <v>1001.960754</v>
      </c>
      <c r="BI364" s="3">
        <v>1.0999999999999999E-2</v>
      </c>
      <c r="BK364" s="3" t="s">
        <v>201</v>
      </c>
      <c r="BL364" s="3">
        <v>0.32</v>
      </c>
      <c r="BM364" s="6">
        <v>981.58081100000004</v>
      </c>
      <c r="BN364" s="3">
        <v>1E-3</v>
      </c>
      <c r="BO364" s="3">
        <f t="shared" si="43"/>
        <v>0.32</v>
      </c>
    </row>
    <row r="365" spans="1:71" x14ac:dyDescent="0.3">
      <c r="A365" s="3" t="s">
        <v>202</v>
      </c>
      <c r="B365" s="3">
        <v>0.9</v>
      </c>
      <c r="C365" s="3">
        <v>0.5</v>
      </c>
      <c r="D365" s="3">
        <v>0.6</v>
      </c>
      <c r="E365" s="3">
        <v>0.3</v>
      </c>
      <c r="F365" s="7">
        <v>610.43988000000002</v>
      </c>
      <c r="G365" s="3">
        <v>3.0000000000000001E-3</v>
      </c>
      <c r="I365" s="3" t="s">
        <v>202</v>
      </c>
      <c r="J365" s="3">
        <v>0.37</v>
      </c>
      <c r="K365" s="6">
        <v>608.92730700000004</v>
      </c>
      <c r="L365" s="3">
        <v>0</v>
      </c>
      <c r="M365" s="3">
        <f t="shared" si="40"/>
        <v>0.33499999999999996</v>
      </c>
      <c r="N365" s="5"/>
      <c r="O365" s="5"/>
      <c r="P365" s="5"/>
      <c r="Q365" s="5"/>
      <c r="R365" s="1"/>
      <c r="S365" s="3" t="s">
        <v>202</v>
      </c>
      <c r="T365" s="3">
        <v>0.9</v>
      </c>
      <c r="U365" s="3">
        <v>0.5</v>
      </c>
      <c r="V365" s="3">
        <v>0.6</v>
      </c>
      <c r="W365" s="3">
        <v>0.3</v>
      </c>
      <c r="X365" s="7">
        <v>573.74157700000001</v>
      </c>
      <c r="Y365" s="3">
        <v>2E-3</v>
      </c>
      <c r="AA365" s="3" t="s">
        <v>202</v>
      </c>
      <c r="AB365" s="3">
        <v>0.3</v>
      </c>
      <c r="AC365" s="6">
        <v>572.98443599999996</v>
      </c>
      <c r="AD365" s="3">
        <v>0</v>
      </c>
      <c r="AE365" s="3">
        <f t="shared" si="41"/>
        <v>0.3</v>
      </c>
      <c r="AF365" s="5"/>
      <c r="AG365" s="5"/>
      <c r="AH365" s="5"/>
      <c r="AI365" s="5"/>
      <c r="AJ365" s="1"/>
      <c r="AK365" s="3" t="s">
        <v>203</v>
      </c>
      <c r="AL365" s="3">
        <v>0.9</v>
      </c>
      <c r="AM365" s="3">
        <v>0.5</v>
      </c>
      <c r="AN365" s="3">
        <v>0.6</v>
      </c>
      <c r="AO365" s="3">
        <v>0.3</v>
      </c>
      <c r="AP365" s="6">
        <v>963.53533900000002</v>
      </c>
      <c r="AQ365" s="3">
        <v>7.0000000000000001E-3</v>
      </c>
      <c r="AS365" s="3" t="s">
        <v>203</v>
      </c>
      <c r="AT365" s="3">
        <v>0.31</v>
      </c>
      <c r="AU365" s="7">
        <v>968.14813200000003</v>
      </c>
      <c r="AV365" s="3">
        <v>1E-3</v>
      </c>
      <c r="AW365" s="3">
        <f t="shared" si="42"/>
        <v>0.30499999999999999</v>
      </c>
      <c r="AX365" s="5"/>
      <c r="AY365" s="5"/>
      <c r="AZ365" s="5"/>
      <c r="BA365" s="5"/>
      <c r="BB365" s="1"/>
      <c r="BC365" s="3" t="s">
        <v>203</v>
      </c>
      <c r="BD365" s="3">
        <v>0.9</v>
      </c>
      <c r="BE365" s="3">
        <v>0.5</v>
      </c>
      <c r="BF365" s="3">
        <v>0.6</v>
      </c>
      <c r="BG365" s="3">
        <v>0.31</v>
      </c>
      <c r="BH365" s="6">
        <v>927.36645499999997</v>
      </c>
      <c r="BI365" s="3">
        <v>8.9999999999999993E-3</v>
      </c>
      <c r="BK365" s="3" t="s">
        <v>203</v>
      </c>
      <c r="BL365" s="3">
        <v>0.3</v>
      </c>
      <c r="BM365" s="7">
        <v>936.79089399999998</v>
      </c>
      <c r="BN365" s="3">
        <v>1E-3</v>
      </c>
      <c r="BO365" s="3">
        <f t="shared" si="43"/>
        <v>0.30499999999999999</v>
      </c>
    </row>
    <row r="366" spans="1:71" x14ac:dyDescent="0.3">
      <c r="A366" s="3" t="s">
        <v>204</v>
      </c>
      <c r="B366" s="3">
        <v>0.9</v>
      </c>
      <c r="C366" s="3">
        <v>0.5</v>
      </c>
      <c r="D366" s="3">
        <v>0.6</v>
      </c>
      <c r="E366" s="3">
        <v>0.35</v>
      </c>
      <c r="F366" s="7">
        <v>652.68609600000002</v>
      </c>
      <c r="G366" s="3">
        <v>3.0000000000000001E-3</v>
      </c>
      <c r="I366" s="3" t="s">
        <v>204</v>
      </c>
      <c r="J366" s="3">
        <v>0.32</v>
      </c>
      <c r="K366" s="6">
        <v>637.10199</v>
      </c>
      <c r="L366" s="3">
        <v>0</v>
      </c>
      <c r="M366" s="3">
        <f t="shared" si="40"/>
        <v>0.33499999999999996</v>
      </c>
      <c r="N366" s="5"/>
      <c r="O366" s="5"/>
      <c r="P366" s="5"/>
      <c r="Q366" s="5"/>
      <c r="R366" s="1"/>
      <c r="S366" s="3" t="s">
        <v>204</v>
      </c>
      <c r="T366" s="3">
        <v>0.9</v>
      </c>
      <c r="U366" s="3">
        <v>0.5</v>
      </c>
      <c r="V366" s="3">
        <v>0.6</v>
      </c>
      <c r="W366" s="3">
        <v>0.31</v>
      </c>
      <c r="X366" s="6">
        <v>635.78875700000003</v>
      </c>
      <c r="Y366" s="3">
        <v>4.0000000000000001E-3</v>
      </c>
      <c r="AA366" s="3" t="s">
        <v>204</v>
      </c>
      <c r="AB366" s="3">
        <v>0.35</v>
      </c>
      <c r="AC366" s="7">
        <v>638.70062299999995</v>
      </c>
      <c r="AD366" s="3">
        <v>0</v>
      </c>
      <c r="AE366" s="3">
        <f t="shared" si="41"/>
        <v>0.32999999999999996</v>
      </c>
      <c r="AF366" s="5"/>
      <c r="AG366" s="5"/>
      <c r="AH366" s="5"/>
      <c r="AI366" s="5"/>
      <c r="AJ366" s="1"/>
      <c r="AK366" s="3" t="s">
        <v>205</v>
      </c>
      <c r="AL366" s="3">
        <v>0.9</v>
      </c>
      <c r="AM366" s="3">
        <v>0.5</v>
      </c>
      <c r="AN366" s="3">
        <v>0.6</v>
      </c>
      <c r="AO366" s="3">
        <v>0.3</v>
      </c>
      <c r="AP366" s="7">
        <v>996.11206100000004</v>
      </c>
      <c r="AQ366" s="3">
        <v>7.0000000000000001E-3</v>
      </c>
      <c r="AS366" s="3" t="s">
        <v>205</v>
      </c>
      <c r="AT366" s="3">
        <v>0.32</v>
      </c>
      <c r="AU366" s="6">
        <v>983.00543200000004</v>
      </c>
      <c r="AV366" s="3">
        <v>1E-3</v>
      </c>
      <c r="AW366" s="3">
        <f t="shared" si="42"/>
        <v>0.31</v>
      </c>
      <c r="AX366" s="5"/>
      <c r="AY366" s="5"/>
      <c r="AZ366" s="5"/>
      <c r="BA366" s="5"/>
      <c r="BB366" s="1"/>
      <c r="BC366" s="3" t="s">
        <v>205</v>
      </c>
      <c r="BD366" s="3">
        <v>0.9</v>
      </c>
      <c r="BE366" s="3">
        <v>0.5</v>
      </c>
      <c r="BF366" s="3">
        <v>0.6</v>
      </c>
      <c r="BG366" s="3">
        <v>0.31</v>
      </c>
      <c r="BH366" s="8">
        <v>969.45989999999995</v>
      </c>
      <c r="BI366" s="3">
        <v>0.01</v>
      </c>
      <c r="BK366" s="3" t="s">
        <v>205</v>
      </c>
      <c r="BL366" s="3">
        <v>0.32</v>
      </c>
      <c r="BM366" s="6">
        <v>969.40216099999998</v>
      </c>
      <c r="BN366" s="3">
        <v>1E-3</v>
      </c>
      <c r="BO366" s="3">
        <f t="shared" si="43"/>
        <v>0.315</v>
      </c>
    </row>
    <row r="367" spans="1:71" x14ac:dyDescent="0.3">
      <c r="A367" s="3" t="s">
        <v>206</v>
      </c>
      <c r="B367" s="3">
        <v>0.9</v>
      </c>
      <c r="C367" s="3">
        <v>0.5</v>
      </c>
      <c r="D367" s="3">
        <v>0.6</v>
      </c>
      <c r="E367" s="3">
        <v>0.3</v>
      </c>
      <c r="F367" s="6">
        <v>647.00329599999998</v>
      </c>
      <c r="G367" s="3">
        <v>2E-3</v>
      </c>
      <c r="I367" s="3" t="s">
        <v>206</v>
      </c>
      <c r="J367" s="3">
        <v>0.32</v>
      </c>
      <c r="K367" s="7">
        <v>670.66351299999997</v>
      </c>
      <c r="L367" s="3">
        <v>1E-3</v>
      </c>
      <c r="M367" s="3">
        <f t="shared" si="40"/>
        <v>0.31</v>
      </c>
      <c r="N367" s="5"/>
      <c r="O367" s="5"/>
      <c r="P367" s="5"/>
      <c r="Q367" s="5"/>
      <c r="R367" s="1"/>
      <c r="S367" s="3" t="s">
        <v>206</v>
      </c>
      <c r="T367" s="3">
        <v>0.9</v>
      </c>
      <c r="U367" s="3">
        <v>0.5</v>
      </c>
      <c r="V367" s="3">
        <v>0.6</v>
      </c>
      <c r="W367" s="3">
        <v>0.32</v>
      </c>
      <c r="X367" s="6">
        <v>645.405396</v>
      </c>
      <c r="Y367" s="3">
        <v>5.0000000000000001E-3</v>
      </c>
      <c r="AA367" s="3" t="s">
        <v>206</v>
      </c>
      <c r="AB367" s="3">
        <v>0.31</v>
      </c>
      <c r="AC367" s="7">
        <v>648.70837400000005</v>
      </c>
      <c r="AD367" s="3">
        <v>0</v>
      </c>
      <c r="AE367" s="3">
        <f t="shared" si="41"/>
        <v>0.315</v>
      </c>
      <c r="AF367" s="5"/>
      <c r="AG367" s="5"/>
      <c r="AH367" s="5"/>
      <c r="AI367" s="5"/>
      <c r="AJ367" s="1"/>
      <c r="AK367" s="3" t="s">
        <v>207</v>
      </c>
      <c r="AL367" s="3">
        <v>0.9</v>
      </c>
      <c r="AM367" s="3">
        <v>0.5</v>
      </c>
      <c r="AN367" s="3">
        <v>0.6</v>
      </c>
      <c r="AO367" s="3">
        <v>0.31</v>
      </c>
      <c r="AP367" s="6">
        <v>887.34478799999999</v>
      </c>
      <c r="AQ367" s="3">
        <v>6.0000000000000001E-3</v>
      </c>
      <c r="AS367" s="3" t="s">
        <v>207</v>
      </c>
      <c r="AT367" s="3">
        <v>0.34</v>
      </c>
      <c r="AU367" s="7">
        <v>902.66351299999997</v>
      </c>
      <c r="AV367" s="3">
        <v>0</v>
      </c>
      <c r="AW367" s="3">
        <f t="shared" si="42"/>
        <v>0.32500000000000001</v>
      </c>
      <c r="AX367" s="5"/>
      <c r="AY367" s="5"/>
      <c r="AZ367" s="5"/>
      <c r="BA367" s="5"/>
      <c r="BB367" s="1"/>
      <c r="BC367" s="3" t="s">
        <v>207</v>
      </c>
      <c r="BD367" s="3">
        <v>0.9</v>
      </c>
      <c r="BE367" s="3">
        <v>0.5</v>
      </c>
      <c r="BF367" s="3">
        <v>0.6</v>
      </c>
      <c r="BG367" s="3">
        <v>0.3</v>
      </c>
      <c r="BH367" s="6">
        <v>848.43988000000002</v>
      </c>
      <c r="BI367" s="3">
        <v>8.9999999999999993E-3</v>
      </c>
      <c r="BK367" s="3" t="s">
        <v>207</v>
      </c>
      <c r="BL367" s="3">
        <v>0.3</v>
      </c>
      <c r="BM367" s="7">
        <v>866.86029099999996</v>
      </c>
      <c r="BN367" s="3">
        <v>1E-3</v>
      </c>
      <c r="BO367" s="3">
        <f t="shared" si="43"/>
        <v>0.3</v>
      </c>
    </row>
    <row r="368" spans="1:71" x14ac:dyDescent="0.3">
      <c r="A368" s="3" t="s">
        <v>208</v>
      </c>
      <c r="B368" s="3">
        <v>0.9</v>
      </c>
      <c r="C368" s="3">
        <v>0.5</v>
      </c>
      <c r="D368" s="3">
        <v>0.6</v>
      </c>
      <c r="E368" s="3">
        <v>0.35</v>
      </c>
      <c r="F368" s="6">
        <v>624.28356900000006</v>
      </c>
      <c r="G368" s="3">
        <v>3.0000000000000001E-3</v>
      </c>
      <c r="I368" s="3" t="s">
        <v>208</v>
      </c>
      <c r="J368" s="3">
        <v>0.3</v>
      </c>
      <c r="K368" s="7">
        <v>632.56774900000005</v>
      </c>
      <c r="L368" s="3">
        <v>0</v>
      </c>
      <c r="M368" s="3">
        <f t="shared" si="40"/>
        <v>0.32499999999999996</v>
      </c>
      <c r="N368" s="5"/>
      <c r="O368" s="5"/>
      <c r="P368" s="5"/>
      <c r="Q368" s="5"/>
      <c r="R368" s="1"/>
      <c r="S368" s="3" t="s">
        <v>208</v>
      </c>
      <c r="T368" s="3">
        <v>0.9</v>
      </c>
      <c r="U368" s="3">
        <v>0.5</v>
      </c>
      <c r="V368" s="3">
        <v>0.6</v>
      </c>
      <c r="W368" s="3">
        <v>0.32</v>
      </c>
      <c r="X368" s="6">
        <v>600.977844</v>
      </c>
      <c r="Y368" s="3">
        <v>5.0000000000000001E-3</v>
      </c>
      <c r="AA368" s="3" t="s">
        <v>208</v>
      </c>
      <c r="AB368" s="3">
        <v>0.3</v>
      </c>
      <c r="AC368" s="7">
        <v>603.78930700000001</v>
      </c>
      <c r="AD368" s="3">
        <v>1E-3</v>
      </c>
      <c r="AE368" s="3">
        <f t="shared" si="41"/>
        <v>0.31</v>
      </c>
      <c r="AF368" s="5"/>
      <c r="AG368" s="5"/>
      <c r="AH368" s="5"/>
      <c r="AI368" s="5"/>
      <c r="AJ368" s="1"/>
      <c r="AK368" s="3" t="s">
        <v>209</v>
      </c>
      <c r="AL368" s="3">
        <v>0.9</v>
      </c>
      <c r="AM368" s="3">
        <v>0.5</v>
      </c>
      <c r="AN368" s="3">
        <v>0.6</v>
      </c>
      <c r="AO368" s="3">
        <v>0.3</v>
      </c>
      <c r="AP368" s="6">
        <v>906.162781</v>
      </c>
      <c r="AQ368" s="3">
        <v>6.0000000000000001E-3</v>
      </c>
      <c r="AS368" s="3" t="s">
        <v>209</v>
      </c>
      <c r="AT368" s="3">
        <v>0.36</v>
      </c>
      <c r="AU368" s="7">
        <v>915.93603499999995</v>
      </c>
      <c r="AV368" s="3">
        <v>1E-3</v>
      </c>
      <c r="AW368" s="3">
        <f t="shared" si="42"/>
        <v>0.32999999999999996</v>
      </c>
      <c r="AX368" s="5"/>
      <c r="AY368" s="5"/>
      <c r="AZ368" s="5"/>
      <c r="BA368" s="5"/>
      <c r="BB368" s="1"/>
      <c r="BC368" s="3" t="s">
        <v>209</v>
      </c>
      <c r="BD368" s="3">
        <v>0.9</v>
      </c>
      <c r="BE368" s="3">
        <v>0.5</v>
      </c>
      <c r="BF368" s="3">
        <v>0.6</v>
      </c>
      <c r="BG368" s="3">
        <v>0.3</v>
      </c>
      <c r="BH368" s="6">
        <v>875.13458300000002</v>
      </c>
      <c r="BI368" s="3">
        <v>8.9999999999999993E-3</v>
      </c>
      <c r="BK368" s="3" t="s">
        <v>209</v>
      </c>
      <c r="BL368" s="3">
        <v>0.31</v>
      </c>
      <c r="BM368" s="7">
        <v>887.83960000000002</v>
      </c>
      <c r="BN368" s="3">
        <v>1E-3</v>
      </c>
      <c r="BO368" s="3">
        <f t="shared" si="43"/>
        <v>0.30499999999999999</v>
      </c>
    </row>
    <row r="369" spans="1:67" x14ac:dyDescent="0.3">
      <c r="A369" s="3" t="s">
        <v>210</v>
      </c>
      <c r="B369" s="3">
        <v>0.9</v>
      </c>
      <c r="C369" s="3">
        <v>0.5</v>
      </c>
      <c r="D369" s="3">
        <v>0.6</v>
      </c>
      <c r="E369" s="3">
        <v>0.31</v>
      </c>
      <c r="F369" s="6">
        <v>621.45141599999999</v>
      </c>
      <c r="G369" s="3">
        <v>2E-3</v>
      </c>
      <c r="I369" s="3" t="s">
        <v>210</v>
      </c>
      <c r="J369" s="3">
        <v>0.32</v>
      </c>
      <c r="K369" s="7">
        <v>632.07971199999997</v>
      </c>
      <c r="L369" s="3">
        <v>1E-3</v>
      </c>
      <c r="M369" s="3">
        <f t="shared" si="40"/>
        <v>0.315</v>
      </c>
      <c r="N369" s="5"/>
      <c r="O369" s="5"/>
      <c r="P369" s="5"/>
      <c r="Q369" s="5"/>
      <c r="R369" s="1"/>
      <c r="S369" s="3" t="s">
        <v>210</v>
      </c>
      <c r="T369" s="3">
        <v>0.9</v>
      </c>
      <c r="U369" s="3">
        <v>0.5</v>
      </c>
      <c r="V369" s="3">
        <v>0.6</v>
      </c>
      <c r="W369" s="3">
        <v>0.32</v>
      </c>
      <c r="X369" s="7">
        <v>600.06915300000003</v>
      </c>
      <c r="Y369" s="3">
        <v>3.0000000000000001E-3</v>
      </c>
      <c r="AA369" s="3" t="s">
        <v>210</v>
      </c>
      <c r="AB369" s="3">
        <v>0.3</v>
      </c>
      <c r="AC369" s="6">
        <v>595.43566899999996</v>
      </c>
      <c r="AD369" s="3">
        <v>1E-3</v>
      </c>
      <c r="AE369" s="3">
        <f t="shared" si="41"/>
        <v>0.31</v>
      </c>
      <c r="AF369" s="5"/>
      <c r="AG369" s="5"/>
      <c r="AH369" s="5"/>
      <c r="AI369" s="5"/>
      <c r="AJ369" s="1"/>
      <c r="AK369" s="3" t="s">
        <v>211</v>
      </c>
      <c r="AL369" s="3">
        <v>0.9</v>
      </c>
      <c r="AM369" s="3">
        <v>0.5</v>
      </c>
      <c r="AN369" s="3">
        <v>0.6</v>
      </c>
      <c r="AO369" s="3">
        <v>0.37</v>
      </c>
      <c r="AP369" s="7">
        <v>951.12597700000003</v>
      </c>
      <c r="AQ369" s="3">
        <v>7.0000000000000001E-3</v>
      </c>
      <c r="AS369" s="3" t="s">
        <v>211</v>
      </c>
      <c r="AT369" s="3">
        <v>0.32</v>
      </c>
      <c r="AU369" s="6">
        <v>934.06030299999998</v>
      </c>
      <c r="AV369" s="3">
        <v>1E-3</v>
      </c>
      <c r="AW369" s="3">
        <f t="shared" si="42"/>
        <v>0.34499999999999997</v>
      </c>
      <c r="AX369" s="5"/>
      <c r="AY369" s="5"/>
      <c r="AZ369" s="5"/>
      <c r="BA369" s="5"/>
      <c r="BB369" s="1"/>
      <c r="BC369" s="3" t="s">
        <v>211</v>
      </c>
      <c r="BD369" s="3">
        <v>0.9</v>
      </c>
      <c r="BE369" s="3">
        <v>0.5</v>
      </c>
      <c r="BF369" s="3">
        <v>0.6</v>
      </c>
      <c r="BG369" s="3">
        <v>0.31</v>
      </c>
      <c r="BH369" s="7">
        <v>899.43267800000001</v>
      </c>
      <c r="BI369" s="3">
        <v>7.0000000000000001E-3</v>
      </c>
      <c r="BK369" s="3" t="s">
        <v>211</v>
      </c>
      <c r="BL369" s="3">
        <v>0.31</v>
      </c>
      <c r="BM369" s="6">
        <v>897.13671899999997</v>
      </c>
      <c r="BN369" s="3">
        <v>1E-3</v>
      </c>
      <c r="BO369" s="3">
        <f t="shared" si="43"/>
        <v>0.31</v>
      </c>
    </row>
    <row r="370" spans="1:67" x14ac:dyDescent="0.3">
      <c r="A370" s="3" t="s">
        <v>212</v>
      </c>
      <c r="B370" s="3">
        <v>0.9</v>
      </c>
      <c r="C370" s="3">
        <v>0.5</v>
      </c>
      <c r="D370" s="3">
        <v>0.6</v>
      </c>
      <c r="E370" s="3">
        <v>0.3</v>
      </c>
      <c r="F370" s="7">
        <v>651.43231200000002</v>
      </c>
      <c r="G370" s="3">
        <v>2E-3</v>
      </c>
      <c r="I370" s="3" t="s">
        <v>212</v>
      </c>
      <c r="J370" s="3">
        <v>0.31</v>
      </c>
      <c r="K370" s="6">
        <v>647.00842299999999</v>
      </c>
      <c r="L370" s="3">
        <v>1E-3</v>
      </c>
      <c r="M370" s="3">
        <f t="shared" si="40"/>
        <v>0.30499999999999999</v>
      </c>
      <c r="N370" s="5"/>
      <c r="O370" s="5"/>
      <c r="P370" s="5"/>
      <c r="Q370" s="5"/>
      <c r="R370" s="1"/>
      <c r="S370" s="3" t="s">
        <v>212</v>
      </c>
      <c r="T370" s="3">
        <v>0.9</v>
      </c>
      <c r="U370" s="3">
        <v>0.5</v>
      </c>
      <c r="V370" s="3">
        <v>0.6</v>
      </c>
      <c r="W370" s="3">
        <v>0.3</v>
      </c>
      <c r="X370" s="7">
        <v>632.67285200000003</v>
      </c>
      <c r="Y370" s="3">
        <v>3.0000000000000001E-3</v>
      </c>
      <c r="AA370" s="3" t="s">
        <v>212</v>
      </c>
      <c r="AB370" s="3">
        <v>0.34</v>
      </c>
      <c r="AC370" s="6">
        <v>627.10687299999995</v>
      </c>
      <c r="AD370" s="3">
        <v>1E-3</v>
      </c>
      <c r="AE370" s="3">
        <f t="shared" si="41"/>
        <v>0.32</v>
      </c>
      <c r="AF370" s="5"/>
      <c r="AG370" s="5"/>
      <c r="AH370" s="5"/>
      <c r="AI370" s="5"/>
      <c r="AJ370" s="1"/>
      <c r="AK370" s="3" t="s">
        <v>213</v>
      </c>
      <c r="AL370" s="3">
        <v>0.9</v>
      </c>
      <c r="AM370" s="3">
        <v>0.5</v>
      </c>
      <c r="AN370" s="3">
        <v>0.6</v>
      </c>
      <c r="AO370" s="3">
        <v>0.33</v>
      </c>
      <c r="AP370" s="6">
        <v>965.68725600000005</v>
      </c>
      <c r="AQ370" s="3">
        <v>8.0000000000000002E-3</v>
      </c>
      <c r="AS370" s="3" t="s">
        <v>213</v>
      </c>
      <c r="AT370" s="3">
        <v>0.3</v>
      </c>
      <c r="AU370" s="7">
        <v>978.32641599999999</v>
      </c>
      <c r="AV370" s="3">
        <v>1E-3</v>
      </c>
      <c r="AW370" s="3">
        <f t="shared" si="42"/>
        <v>0.315</v>
      </c>
      <c r="AX370" s="5"/>
      <c r="AY370" s="5"/>
      <c r="AZ370" s="5"/>
      <c r="BA370" s="5"/>
      <c r="BB370" s="1"/>
      <c r="BC370" s="3" t="s">
        <v>213</v>
      </c>
      <c r="BD370" s="3">
        <v>0.9</v>
      </c>
      <c r="BE370" s="3">
        <v>0.5</v>
      </c>
      <c r="BF370" s="3">
        <v>0.6</v>
      </c>
      <c r="BG370" s="3">
        <v>0.38</v>
      </c>
      <c r="BH370" s="7">
        <v>954.80334500000004</v>
      </c>
      <c r="BI370" s="3">
        <v>1.0999999999999999E-2</v>
      </c>
      <c r="BK370" s="3" t="s">
        <v>213</v>
      </c>
      <c r="BL370" s="3">
        <v>0.3</v>
      </c>
      <c r="BM370" s="6">
        <v>942.801331</v>
      </c>
      <c r="BN370" s="3">
        <v>1E-3</v>
      </c>
      <c r="BO370" s="3">
        <f t="shared" si="43"/>
        <v>0.33999999999999997</v>
      </c>
    </row>
    <row r="371" spans="1:67" x14ac:dyDescent="0.3">
      <c r="A371" s="3" t="s">
        <v>214</v>
      </c>
      <c r="B371" s="3">
        <v>0.9</v>
      </c>
      <c r="C371" s="3">
        <v>0.5</v>
      </c>
      <c r="D371" s="3">
        <v>0.6</v>
      </c>
      <c r="E371" s="3">
        <v>0.34</v>
      </c>
      <c r="F371" s="7">
        <v>669.87884499999996</v>
      </c>
      <c r="G371" s="3">
        <v>3.0000000000000001E-3</v>
      </c>
      <c r="I371" s="3" t="s">
        <v>214</v>
      </c>
      <c r="J371" s="3">
        <v>0.3</v>
      </c>
      <c r="K371" s="6">
        <v>658.21203600000001</v>
      </c>
      <c r="L371" s="3">
        <v>0</v>
      </c>
      <c r="M371" s="3">
        <f t="shared" si="40"/>
        <v>0.32</v>
      </c>
      <c r="N371" s="5"/>
      <c r="O371" s="5"/>
      <c r="P371" s="5"/>
      <c r="Q371" s="5"/>
      <c r="R371" s="1"/>
      <c r="S371" s="3" t="s">
        <v>214</v>
      </c>
      <c r="T371" s="3">
        <v>0.9</v>
      </c>
      <c r="U371" s="3">
        <v>0.5</v>
      </c>
      <c r="V371" s="3">
        <v>0.6</v>
      </c>
      <c r="W371" s="3">
        <v>0.3</v>
      </c>
      <c r="X371" s="7">
        <v>658.79565400000001</v>
      </c>
      <c r="Y371" s="3">
        <v>4.0000000000000001E-3</v>
      </c>
      <c r="AA371" s="3" t="s">
        <v>214</v>
      </c>
      <c r="AB371" s="3">
        <v>0.3</v>
      </c>
      <c r="AC371" s="6">
        <v>644.91644299999996</v>
      </c>
      <c r="AD371" s="3">
        <v>0</v>
      </c>
      <c r="AE371" s="3">
        <f t="shared" si="41"/>
        <v>0.3</v>
      </c>
      <c r="AF371" s="5"/>
      <c r="AG371" s="5"/>
      <c r="AH371" s="5"/>
      <c r="AI371" s="5"/>
      <c r="AJ371" s="1"/>
      <c r="AK371" s="3" t="s">
        <v>215</v>
      </c>
      <c r="AL371" s="3">
        <v>0.9</v>
      </c>
      <c r="AM371" s="3">
        <v>0.5</v>
      </c>
      <c r="AN371" s="3">
        <v>0.6</v>
      </c>
      <c r="AO371" s="3">
        <v>0.31</v>
      </c>
      <c r="AP371" s="6">
        <v>1026.4251710000001</v>
      </c>
      <c r="AQ371" s="3">
        <v>8.9999999999999993E-3</v>
      </c>
      <c r="AS371" s="3" t="s">
        <v>215</v>
      </c>
      <c r="AT371" s="3">
        <v>0.3</v>
      </c>
      <c r="AU371" s="7">
        <v>1044.397217</v>
      </c>
      <c r="AV371" s="3">
        <v>1E-3</v>
      </c>
      <c r="AW371" s="3">
        <f t="shared" si="42"/>
        <v>0.30499999999999999</v>
      </c>
      <c r="AX371" s="5"/>
      <c r="AY371" s="5"/>
      <c r="AZ371" s="5"/>
      <c r="BA371" s="5"/>
      <c r="BB371" s="1"/>
      <c r="BC371" s="3" t="s">
        <v>215</v>
      </c>
      <c r="BD371" s="3">
        <v>0.9</v>
      </c>
      <c r="BE371" s="3">
        <v>0.5</v>
      </c>
      <c r="BF371" s="3">
        <v>0.6</v>
      </c>
      <c r="BG371" s="3">
        <v>0.3</v>
      </c>
      <c r="BH371" s="6">
        <v>1024.5610349999999</v>
      </c>
      <c r="BI371" s="3">
        <v>0.01</v>
      </c>
      <c r="BK371" s="3" t="s">
        <v>215</v>
      </c>
      <c r="BL371" s="3">
        <v>0.32</v>
      </c>
      <c r="BM371" s="7">
        <v>1026.8332519999999</v>
      </c>
      <c r="BN371" s="3">
        <v>1E-3</v>
      </c>
      <c r="BO371" s="3">
        <f t="shared" si="43"/>
        <v>0.31</v>
      </c>
    </row>
    <row r="372" spans="1:67" x14ac:dyDescent="0.3">
      <c r="A372" s="3" t="s">
        <v>216</v>
      </c>
      <c r="B372" s="3">
        <v>0.9</v>
      </c>
      <c r="C372" s="3">
        <v>0.5</v>
      </c>
      <c r="D372" s="3">
        <v>0.6</v>
      </c>
      <c r="E372" s="3">
        <v>0.35</v>
      </c>
      <c r="F372" s="6">
        <v>613.63720699999999</v>
      </c>
      <c r="G372" s="3">
        <v>2E-3</v>
      </c>
      <c r="I372" s="3" t="s">
        <v>216</v>
      </c>
      <c r="J372" s="3">
        <v>0.3</v>
      </c>
      <c r="K372" s="7">
        <v>614.279358</v>
      </c>
      <c r="L372" s="3">
        <v>0</v>
      </c>
      <c r="M372" s="3">
        <f t="shared" si="40"/>
        <v>0.32499999999999996</v>
      </c>
      <c r="N372" s="5"/>
      <c r="O372" s="5"/>
      <c r="P372" s="5"/>
      <c r="Q372" s="5"/>
      <c r="R372" s="1"/>
      <c r="S372" s="3" t="s">
        <v>216</v>
      </c>
      <c r="T372" s="3">
        <v>0.9</v>
      </c>
      <c r="U372" s="3">
        <v>0.5</v>
      </c>
      <c r="V372" s="3">
        <v>0.6</v>
      </c>
      <c r="W372" s="3">
        <v>0.31</v>
      </c>
      <c r="X372" s="6">
        <v>600.74566700000003</v>
      </c>
      <c r="Y372" s="3">
        <v>3.0000000000000001E-3</v>
      </c>
      <c r="AA372" s="3" t="s">
        <v>216</v>
      </c>
      <c r="AB372" s="3">
        <v>0.31</v>
      </c>
      <c r="AC372" s="7">
        <v>608.61267099999998</v>
      </c>
      <c r="AD372" s="3">
        <v>0</v>
      </c>
      <c r="AE372" s="3">
        <f t="shared" si="41"/>
        <v>0.31</v>
      </c>
      <c r="AF372" s="5"/>
      <c r="AG372" s="5"/>
      <c r="AH372" s="5"/>
      <c r="AI372" s="5"/>
      <c r="AJ372" s="1"/>
      <c r="AK372" s="3" t="s">
        <v>217</v>
      </c>
      <c r="AL372" s="3">
        <v>0.9</v>
      </c>
      <c r="AM372" s="3">
        <v>0.5</v>
      </c>
      <c r="AN372" s="3">
        <v>0.6</v>
      </c>
      <c r="AO372" s="3">
        <v>0.39</v>
      </c>
      <c r="AP372" s="7">
        <v>1061.6099850000001</v>
      </c>
      <c r="AQ372" s="3">
        <v>8.0000000000000002E-3</v>
      </c>
      <c r="AS372" s="3" t="s">
        <v>217</v>
      </c>
      <c r="AT372" s="3">
        <v>0.3</v>
      </c>
      <c r="AU372" s="6">
        <v>1058.331177</v>
      </c>
      <c r="AV372" s="3">
        <v>1E-3</v>
      </c>
      <c r="AW372" s="3">
        <f t="shared" si="42"/>
        <v>0.34499999999999997</v>
      </c>
      <c r="AX372" s="5"/>
      <c r="AY372" s="5"/>
      <c r="AZ372" s="5"/>
      <c r="BA372" s="5"/>
      <c r="BB372" s="1"/>
      <c r="BC372" s="3" t="s">
        <v>217</v>
      </c>
      <c r="BD372" s="3">
        <v>0.9</v>
      </c>
      <c r="BE372" s="3">
        <v>0.5</v>
      </c>
      <c r="BF372" s="3">
        <v>0.6</v>
      </c>
      <c r="BG372" s="3">
        <v>0.31</v>
      </c>
      <c r="BH372" s="7">
        <v>1080.7100829999999</v>
      </c>
      <c r="BI372" s="3">
        <v>1.0999999999999999E-2</v>
      </c>
      <c r="BK372" s="3" t="s">
        <v>217</v>
      </c>
      <c r="BL372" s="3">
        <v>0.3</v>
      </c>
      <c r="BM372" s="6">
        <v>1074.994385</v>
      </c>
      <c r="BN372" s="3">
        <v>1E-3</v>
      </c>
      <c r="BO372" s="3">
        <f t="shared" si="43"/>
        <v>0.30499999999999999</v>
      </c>
    </row>
    <row r="373" spans="1:67" x14ac:dyDescent="0.3">
      <c r="A373" s="3" t="s">
        <v>218</v>
      </c>
      <c r="B373" s="3">
        <v>0.9</v>
      </c>
      <c r="C373" s="3">
        <v>0.5</v>
      </c>
      <c r="D373" s="3">
        <v>0.6</v>
      </c>
      <c r="E373" s="3">
        <v>0.32</v>
      </c>
      <c r="F373" s="6">
        <v>679.96179199999995</v>
      </c>
      <c r="G373" s="3">
        <v>2E-3</v>
      </c>
      <c r="I373" s="3" t="s">
        <v>218</v>
      </c>
      <c r="J373" s="3">
        <v>0.32</v>
      </c>
      <c r="K373" s="7">
        <v>684.12445100000002</v>
      </c>
      <c r="L373" s="3">
        <v>0</v>
      </c>
      <c r="M373" s="3">
        <f t="shared" si="40"/>
        <v>0.32</v>
      </c>
      <c r="N373" s="5"/>
      <c r="O373" s="5"/>
      <c r="P373" s="5"/>
      <c r="Q373" s="5"/>
      <c r="R373" s="1"/>
      <c r="S373" s="3" t="s">
        <v>218</v>
      </c>
      <c r="T373" s="3">
        <v>0.9</v>
      </c>
      <c r="U373" s="3">
        <v>0.5</v>
      </c>
      <c r="V373" s="3">
        <v>0.6</v>
      </c>
      <c r="W373" s="3">
        <v>0.3</v>
      </c>
      <c r="X373" s="7">
        <v>674.63806199999999</v>
      </c>
      <c r="Y373" s="3">
        <v>3.0000000000000001E-3</v>
      </c>
      <c r="AA373" s="3" t="s">
        <v>218</v>
      </c>
      <c r="AB373" s="3">
        <v>0.31</v>
      </c>
      <c r="AC373" s="6">
        <v>671.02368200000001</v>
      </c>
      <c r="AD373" s="3">
        <v>1E-3</v>
      </c>
      <c r="AE373" s="3">
        <f t="shared" si="41"/>
        <v>0.30499999999999999</v>
      </c>
      <c r="AF373" s="5"/>
      <c r="AG373" s="5"/>
      <c r="AH373" s="5"/>
      <c r="AI373" s="5"/>
      <c r="AJ373" s="1"/>
      <c r="AK373" s="3" t="s">
        <v>219</v>
      </c>
      <c r="AL373" s="3">
        <v>0.9</v>
      </c>
      <c r="AM373" s="3">
        <v>0.5</v>
      </c>
      <c r="AN373" s="3">
        <v>0.6</v>
      </c>
      <c r="AO373" s="3">
        <v>0.3</v>
      </c>
      <c r="AP373" s="6">
        <v>1075.7102050000001</v>
      </c>
      <c r="AQ373" s="3">
        <v>7.0000000000000001E-3</v>
      </c>
      <c r="AS373" s="3" t="s">
        <v>219</v>
      </c>
      <c r="AT373" s="3">
        <v>0.38</v>
      </c>
      <c r="AU373" s="7">
        <v>1099.541138</v>
      </c>
      <c r="AV373" s="3">
        <v>1E-3</v>
      </c>
      <c r="AW373" s="3">
        <f t="shared" si="42"/>
        <v>0.33999999999999997</v>
      </c>
      <c r="AX373" s="5"/>
      <c r="AY373" s="5"/>
      <c r="AZ373" s="5"/>
      <c r="BA373" s="5"/>
      <c r="BB373" s="1"/>
      <c r="BC373" s="3" t="s">
        <v>219</v>
      </c>
      <c r="BD373" s="3">
        <v>0.9</v>
      </c>
      <c r="BE373" s="3">
        <v>0.5</v>
      </c>
      <c r="BF373" s="3">
        <v>0.6</v>
      </c>
      <c r="BG373" s="3">
        <v>0.3</v>
      </c>
      <c r="BH373" s="6">
        <v>1065.677856</v>
      </c>
      <c r="BI373" s="3">
        <v>8.9999999999999993E-3</v>
      </c>
      <c r="BK373" s="3" t="s">
        <v>219</v>
      </c>
      <c r="BL373" s="3">
        <v>0.3</v>
      </c>
      <c r="BM373" s="7">
        <v>1073.1920170000001</v>
      </c>
      <c r="BN373" s="3">
        <v>1E-3</v>
      </c>
      <c r="BO373" s="3">
        <f t="shared" si="43"/>
        <v>0.3</v>
      </c>
    </row>
    <row r="374" spans="1:67" x14ac:dyDescent="0.3">
      <c r="A374" s="3" t="s">
        <v>220</v>
      </c>
      <c r="B374" s="3">
        <v>0.9</v>
      </c>
      <c r="C374" s="3">
        <v>0.5</v>
      </c>
      <c r="D374" s="3">
        <v>0.6</v>
      </c>
      <c r="E374" s="3">
        <v>0.3</v>
      </c>
      <c r="F374" s="6">
        <v>700.70465100000001</v>
      </c>
      <c r="G374" s="3">
        <v>2E-3</v>
      </c>
      <c r="I374" s="3" t="s">
        <v>220</v>
      </c>
      <c r="J374" s="3">
        <v>0.36</v>
      </c>
      <c r="K374" s="7">
        <v>702.265625</v>
      </c>
      <c r="L374" s="3">
        <v>0</v>
      </c>
      <c r="M374" s="3">
        <f t="shared" si="40"/>
        <v>0.32999999999999996</v>
      </c>
      <c r="N374" s="5"/>
      <c r="O374" s="5"/>
      <c r="P374" s="5"/>
      <c r="Q374" s="5"/>
      <c r="R374" s="1"/>
      <c r="S374" s="3" t="s">
        <v>220</v>
      </c>
      <c r="T374" s="3">
        <v>0.9</v>
      </c>
      <c r="U374" s="3">
        <v>0.5</v>
      </c>
      <c r="V374" s="3">
        <v>0.6</v>
      </c>
      <c r="W374" s="3">
        <v>0.33</v>
      </c>
      <c r="X374" s="6">
        <v>678.69158900000002</v>
      </c>
      <c r="Y374" s="3">
        <v>3.0000000000000001E-3</v>
      </c>
      <c r="AA374" s="3" t="s">
        <v>220</v>
      </c>
      <c r="AB374" s="3">
        <v>0.31</v>
      </c>
      <c r="AC374" s="7">
        <v>682.95904499999995</v>
      </c>
      <c r="AD374" s="3">
        <v>1E-3</v>
      </c>
      <c r="AE374" s="3">
        <f t="shared" si="41"/>
        <v>0.32</v>
      </c>
      <c r="AF374" s="5"/>
      <c r="AG374" s="5"/>
      <c r="AH374" s="5"/>
      <c r="AI374" s="5"/>
      <c r="AJ374" s="1"/>
      <c r="AK374" s="3" t="s">
        <v>221</v>
      </c>
      <c r="AL374" s="3">
        <v>0.9</v>
      </c>
      <c r="AM374" s="3">
        <v>0.5</v>
      </c>
      <c r="AN374" s="3">
        <v>0.6</v>
      </c>
      <c r="AO374" s="3">
        <v>0.32</v>
      </c>
      <c r="AP374" s="6">
        <v>1014.898132</v>
      </c>
      <c r="AQ374" s="3">
        <v>8.0000000000000002E-3</v>
      </c>
      <c r="AS374" s="3" t="s">
        <v>221</v>
      </c>
      <c r="AT374" s="3">
        <v>0.33</v>
      </c>
      <c r="AU374" s="7">
        <v>1027.7601320000001</v>
      </c>
      <c r="AV374" s="3">
        <v>1E-3</v>
      </c>
      <c r="AW374" s="3">
        <f t="shared" si="42"/>
        <v>0.32500000000000001</v>
      </c>
      <c r="AX374" s="5"/>
      <c r="AY374" s="5"/>
      <c r="AZ374" s="5"/>
      <c r="BA374" s="5"/>
      <c r="BB374" s="1"/>
      <c r="BC374" s="3" t="s">
        <v>221</v>
      </c>
      <c r="BD374" s="3">
        <v>0.9</v>
      </c>
      <c r="BE374" s="3">
        <v>0.5</v>
      </c>
      <c r="BF374" s="3">
        <v>0.6</v>
      </c>
      <c r="BG374" s="3">
        <v>0.34</v>
      </c>
      <c r="BH374" s="7">
        <v>1009.826904</v>
      </c>
      <c r="BI374" s="3">
        <v>8.0000000000000002E-3</v>
      </c>
      <c r="BK374" s="3" t="s">
        <v>221</v>
      </c>
      <c r="BL374" s="3">
        <v>0.32</v>
      </c>
      <c r="BM374" s="6">
        <v>998.55071999999996</v>
      </c>
      <c r="BN374" s="3">
        <v>0</v>
      </c>
      <c r="BO374" s="3">
        <f t="shared" si="43"/>
        <v>0.33</v>
      </c>
    </row>
    <row r="375" spans="1:67" x14ac:dyDescent="0.3">
      <c r="A375" s="3" t="s">
        <v>222</v>
      </c>
      <c r="B375" s="3">
        <v>0.9</v>
      </c>
      <c r="C375" s="3">
        <v>0.5</v>
      </c>
      <c r="D375" s="3">
        <v>0.6</v>
      </c>
      <c r="E375" s="3">
        <v>0.3</v>
      </c>
      <c r="F375" s="7">
        <v>716.95733600000005</v>
      </c>
      <c r="G375" s="3">
        <v>3.0000000000000001E-3</v>
      </c>
      <c r="I375" s="3" t="s">
        <v>222</v>
      </c>
      <c r="J375" s="3">
        <v>0.33</v>
      </c>
      <c r="K375" s="6">
        <v>710.34698500000002</v>
      </c>
      <c r="L375" s="3">
        <v>0</v>
      </c>
      <c r="M375" s="3">
        <f t="shared" si="40"/>
        <v>0.315</v>
      </c>
      <c r="N375" s="5"/>
      <c r="O375" s="5"/>
      <c r="P375" s="5"/>
      <c r="Q375" s="5"/>
      <c r="R375" s="1"/>
      <c r="S375" s="3" t="s">
        <v>222</v>
      </c>
      <c r="T375" s="3">
        <v>0.9</v>
      </c>
      <c r="U375" s="3">
        <v>0.5</v>
      </c>
      <c r="V375" s="3">
        <v>0.6</v>
      </c>
      <c r="W375" s="3">
        <v>0.31</v>
      </c>
      <c r="X375" s="6">
        <v>679.23596199999997</v>
      </c>
      <c r="Y375" s="3">
        <v>3.0000000000000001E-3</v>
      </c>
      <c r="AA375" s="3" t="s">
        <v>222</v>
      </c>
      <c r="AB375" s="3">
        <v>0.3</v>
      </c>
      <c r="AC375" s="7">
        <v>686.85247800000002</v>
      </c>
      <c r="AD375" s="3">
        <v>0</v>
      </c>
      <c r="AE375" s="3">
        <f t="shared" si="41"/>
        <v>0.30499999999999999</v>
      </c>
      <c r="AF375" s="5"/>
      <c r="AG375" s="5"/>
      <c r="AH375" s="5"/>
      <c r="AI375" s="5"/>
      <c r="AJ375" s="1"/>
      <c r="AK375" s="3" t="s">
        <v>223</v>
      </c>
      <c r="AL375" s="3">
        <v>0.9</v>
      </c>
      <c r="AM375" s="3">
        <v>0.5</v>
      </c>
      <c r="AN375" s="3">
        <v>0.6</v>
      </c>
      <c r="AO375" s="3">
        <v>0.35</v>
      </c>
      <c r="AP375" s="6">
        <v>1107.7854</v>
      </c>
      <c r="AQ375" s="3">
        <v>1.0999999999999999E-2</v>
      </c>
      <c r="AS375" s="3" t="s">
        <v>223</v>
      </c>
      <c r="AT375" s="3">
        <v>0.3</v>
      </c>
      <c r="AU375" s="7">
        <v>1118.029663</v>
      </c>
      <c r="AV375" s="3">
        <v>1E-3</v>
      </c>
      <c r="AW375" s="3">
        <f t="shared" si="42"/>
        <v>0.32499999999999996</v>
      </c>
      <c r="AX375" s="5"/>
      <c r="AY375" s="5"/>
      <c r="AZ375" s="5"/>
      <c r="BA375" s="5"/>
      <c r="BB375" s="1"/>
      <c r="BC375" s="3" t="s">
        <v>223</v>
      </c>
      <c r="BD375" s="3">
        <v>0.9</v>
      </c>
      <c r="BE375" s="3">
        <v>0.5</v>
      </c>
      <c r="BF375" s="3">
        <v>0.6</v>
      </c>
      <c r="BG375" s="3">
        <v>0.33</v>
      </c>
      <c r="BH375" s="6">
        <v>1089.7863769999999</v>
      </c>
      <c r="BI375" s="3">
        <v>8.0000000000000002E-3</v>
      </c>
      <c r="BK375" s="3" t="s">
        <v>223</v>
      </c>
      <c r="BL375" s="3">
        <v>0.3</v>
      </c>
      <c r="BM375" s="7">
        <v>1097.7928469999999</v>
      </c>
      <c r="BN375" s="3">
        <v>1E-3</v>
      </c>
      <c r="BO375" s="3">
        <f t="shared" si="43"/>
        <v>0.315</v>
      </c>
    </row>
    <row r="376" spans="1:67" x14ac:dyDescent="0.3">
      <c r="A376" s="3" t="s">
        <v>224</v>
      </c>
      <c r="B376" s="3">
        <v>0.9</v>
      </c>
      <c r="C376" s="3">
        <v>0.5</v>
      </c>
      <c r="D376" s="3">
        <v>0.6</v>
      </c>
      <c r="E376" s="3">
        <v>0.31</v>
      </c>
      <c r="F376" s="6">
        <v>751.009094</v>
      </c>
      <c r="G376" s="3">
        <v>4.0000000000000001E-3</v>
      </c>
      <c r="I376" s="3" t="s">
        <v>224</v>
      </c>
      <c r="J376" s="3">
        <v>0.32</v>
      </c>
      <c r="K376" s="7">
        <v>770.20483400000001</v>
      </c>
      <c r="L376" s="3">
        <v>0</v>
      </c>
      <c r="M376" s="3">
        <f t="shared" si="40"/>
        <v>0.315</v>
      </c>
      <c r="N376" s="5"/>
      <c r="O376" s="5"/>
      <c r="P376" s="5"/>
      <c r="Q376" s="5"/>
      <c r="R376" s="1"/>
      <c r="S376" s="3" t="s">
        <v>224</v>
      </c>
      <c r="T376" s="3">
        <v>0.9</v>
      </c>
      <c r="U376" s="3">
        <v>0.5</v>
      </c>
      <c r="V376" s="3">
        <v>0.6</v>
      </c>
      <c r="W376" s="3">
        <v>0.42</v>
      </c>
      <c r="X376" s="7">
        <v>760.05200200000002</v>
      </c>
      <c r="Y376" s="3">
        <v>2E-3</v>
      </c>
      <c r="AA376" s="3" t="s">
        <v>224</v>
      </c>
      <c r="AB376" s="3">
        <v>0.32</v>
      </c>
      <c r="AC376" s="6">
        <v>752.75268600000004</v>
      </c>
      <c r="AD376" s="3">
        <v>0</v>
      </c>
      <c r="AE376" s="3">
        <f t="shared" si="41"/>
        <v>0.37</v>
      </c>
      <c r="AF376" s="5"/>
      <c r="AG376" s="5"/>
      <c r="AH376" s="5"/>
      <c r="AI376" s="5"/>
      <c r="AJ376" s="1"/>
      <c r="AK376" s="3" t="s">
        <v>225</v>
      </c>
      <c r="AL376" s="3">
        <v>0.9</v>
      </c>
      <c r="AM376" s="3">
        <v>0.5</v>
      </c>
      <c r="AN376" s="3">
        <v>0.6</v>
      </c>
      <c r="AO376" s="3">
        <v>0.3</v>
      </c>
      <c r="AP376" s="7">
        <v>1035.462769</v>
      </c>
      <c r="AQ376" s="3">
        <v>8.0000000000000002E-3</v>
      </c>
      <c r="AS376" s="3" t="s">
        <v>225</v>
      </c>
      <c r="AT376" s="3">
        <v>0.31</v>
      </c>
      <c r="AU376" s="6">
        <v>1028.304443</v>
      </c>
      <c r="AV376" s="3">
        <v>1E-3</v>
      </c>
      <c r="AW376" s="3">
        <f t="shared" si="42"/>
        <v>0.30499999999999999</v>
      </c>
      <c r="AX376" s="5"/>
      <c r="AY376" s="5"/>
      <c r="AZ376" s="5"/>
      <c r="BA376" s="5"/>
      <c r="BB376" s="1"/>
      <c r="BC376" s="3" t="s">
        <v>225</v>
      </c>
      <c r="BD376" s="3">
        <v>0.9</v>
      </c>
      <c r="BE376" s="3">
        <v>0.5</v>
      </c>
      <c r="BF376" s="3">
        <v>0.6</v>
      </c>
      <c r="BG376" s="3">
        <v>0.31</v>
      </c>
      <c r="BH376" s="7">
        <v>1026.2991939999999</v>
      </c>
      <c r="BI376" s="3">
        <v>7.0000000000000001E-3</v>
      </c>
      <c r="BK376" s="3" t="s">
        <v>225</v>
      </c>
      <c r="BL376" s="3">
        <v>0.3</v>
      </c>
      <c r="BM376" s="6">
        <v>1017.264282</v>
      </c>
      <c r="BN376" s="3">
        <v>2E-3</v>
      </c>
      <c r="BO376" s="3">
        <f t="shared" si="43"/>
        <v>0.30499999999999999</v>
      </c>
    </row>
    <row r="377" spans="1:67" x14ac:dyDescent="0.3">
      <c r="A377" s="3" t="s">
        <v>226</v>
      </c>
      <c r="B377" s="3">
        <v>0.9</v>
      </c>
      <c r="C377" s="3">
        <v>0.5</v>
      </c>
      <c r="D377" s="3">
        <v>0.6</v>
      </c>
      <c r="E377" s="3">
        <v>0.3</v>
      </c>
      <c r="F377" s="7">
        <v>757.87609899999995</v>
      </c>
      <c r="G377" s="3">
        <v>2E-3</v>
      </c>
      <c r="I377" s="3" t="s">
        <v>226</v>
      </c>
      <c r="J377" s="3">
        <v>0.33</v>
      </c>
      <c r="K377" s="6">
        <v>752.84948699999995</v>
      </c>
      <c r="L377" s="3">
        <v>1E-3</v>
      </c>
      <c r="M377" s="3">
        <f t="shared" si="40"/>
        <v>0.315</v>
      </c>
      <c r="N377" s="5"/>
      <c r="O377" s="5"/>
      <c r="P377" s="5"/>
      <c r="Q377" s="5"/>
      <c r="R377" s="1"/>
      <c r="S377" s="3" t="s">
        <v>226</v>
      </c>
      <c r="T377" s="3">
        <v>0.9</v>
      </c>
      <c r="U377" s="3">
        <v>0.5</v>
      </c>
      <c r="V377" s="3">
        <v>0.6</v>
      </c>
      <c r="W377" s="3">
        <v>0.31</v>
      </c>
      <c r="X377" s="6">
        <v>713.23663299999998</v>
      </c>
      <c r="Y377" s="3">
        <v>4.0000000000000001E-3</v>
      </c>
      <c r="AA377" s="3" t="s">
        <v>226</v>
      </c>
      <c r="AB377" s="3">
        <v>0.31</v>
      </c>
      <c r="AC377" s="7">
        <v>745.37207000000001</v>
      </c>
      <c r="AD377" s="3">
        <v>0</v>
      </c>
      <c r="AE377" s="3">
        <f t="shared" si="41"/>
        <v>0.31</v>
      </c>
      <c r="AF377" s="5"/>
      <c r="AG377" s="5"/>
      <c r="AH377" s="5"/>
      <c r="AI377" s="5"/>
      <c r="AJ377" s="1"/>
      <c r="AK377" s="3" t="s">
        <v>227</v>
      </c>
      <c r="AL377" s="3">
        <v>0.9</v>
      </c>
      <c r="AM377" s="3">
        <v>0.5</v>
      </c>
      <c r="AN377" s="3">
        <v>0.6</v>
      </c>
      <c r="AO377" s="3">
        <v>0.31</v>
      </c>
      <c r="AP377" s="6">
        <v>1009.368713</v>
      </c>
      <c r="AQ377" s="3">
        <v>8.0000000000000002E-3</v>
      </c>
      <c r="AS377" s="3" t="s">
        <v>227</v>
      </c>
      <c r="AT377" s="3">
        <v>0.3</v>
      </c>
      <c r="AU377" s="7">
        <v>1026.658447</v>
      </c>
      <c r="AV377" s="3">
        <v>1E-3</v>
      </c>
      <c r="AW377" s="3">
        <f t="shared" si="42"/>
        <v>0.30499999999999999</v>
      </c>
      <c r="AX377" s="5"/>
      <c r="AY377" s="5"/>
      <c r="AZ377" s="5"/>
      <c r="BA377" s="5"/>
      <c r="BB377" s="1"/>
      <c r="BC377" s="3" t="s">
        <v>227</v>
      </c>
      <c r="BD377" s="3">
        <v>0.9</v>
      </c>
      <c r="BE377" s="3">
        <v>0.5</v>
      </c>
      <c r="BF377" s="3">
        <v>0.6</v>
      </c>
      <c r="BG377" s="3">
        <v>0.3</v>
      </c>
      <c r="BH377" s="7">
        <v>989.33727999999996</v>
      </c>
      <c r="BI377" s="3">
        <v>8.9999999999999993E-3</v>
      </c>
      <c r="BK377" s="3" t="s">
        <v>227</v>
      </c>
      <c r="BL377" s="3">
        <v>0.33</v>
      </c>
      <c r="BM377" s="6">
        <v>985.40478499999995</v>
      </c>
      <c r="BN377" s="3">
        <v>2E-3</v>
      </c>
      <c r="BO377" s="3">
        <f t="shared" si="43"/>
        <v>0.315</v>
      </c>
    </row>
    <row r="378" spans="1:67" x14ac:dyDescent="0.3">
      <c r="A378" s="3" t="s">
        <v>228</v>
      </c>
      <c r="B378" s="3">
        <v>0.9</v>
      </c>
      <c r="C378" s="3">
        <v>0.5</v>
      </c>
      <c r="D378" s="3">
        <v>0.6</v>
      </c>
      <c r="E378" s="3">
        <v>0.3</v>
      </c>
      <c r="F378" s="7">
        <v>660.86737100000005</v>
      </c>
      <c r="G378" s="3">
        <v>2E-3</v>
      </c>
      <c r="I378" s="3" t="s">
        <v>228</v>
      </c>
      <c r="J378" s="3">
        <v>0.31</v>
      </c>
      <c r="K378" s="6">
        <v>653.90930200000003</v>
      </c>
      <c r="L378" s="3">
        <v>0</v>
      </c>
      <c r="M378" s="3">
        <f t="shared" si="40"/>
        <v>0.30499999999999999</v>
      </c>
      <c r="N378" s="5"/>
      <c r="O378" s="5"/>
      <c r="P378" s="5"/>
      <c r="Q378" s="5"/>
      <c r="R378" s="1"/>
      <c r="S378" s="3" t="s">
        <v>228</v>
      </c>
      <c r="T378" s="3">
        <v>0.9</v>
      </c>
      <c r="U378" s="3">
        <v>0.5</v>
      </c>
      <c r="V378" s="3">
        <v>0.6</v>
      </c>
      <c r="W378" s="3">
        <v>0.3</v>
      </c>
      <c r="X378" s="6">
        <v>625.32153300000004</v>
      </c>
      <c r="Y378" s="3">
        <v>3.0000000000000001E-3</v>
      </c>
      <c r="AA378" s="3" t="s">
        <v>228</v>
      </c>
      <c r="AB378" s="3">
        <v>0.31</v>
      </c>
      <c r="AC378" s="7">
        <v>651.17687999999998</v>
      </c>
      <c r="AD378" s="3">
        <v>0</v>
      </c>
      <c r="AE378" s="3">
        <f t="shared" si="41"/>
        <v>0.30499999999999999</v>
      </c>
      <c r="AF378" s="5"/>
      <c r="AG378" s="5"/>
      <c r="AH378" s="5"/>
      <c r="AI378" s="5"/>
      <c r="AJ378" s="1"/>
      <c r="AK378" s="3" t="s">
        <v>229</v>
      </c>
      <c r="AL378" s="3">
        <v>0.9</v>
      </c>
      <c r="AM378" s="3">
        <v>0.5</v>
      </c>
      <c r="AN378" s="3">
        <v>0.6</v>
      </c>
      <c r="AO378" s="3">
        <v>0.31</v>
      </c>
      <c r="AP378" s="6">
        <v>1053.958374</v>
      </c>
      <c r="AQ378" s="3">
        <v>0.01</v>
      </c>
      <c r="AS378" s="3" t="s">
        <v>229</v>
      </c>
      <c r="AT378" s="3">
        <v>0.31</v>
      </c>
      <c r="AU378" s="7">
        <v>1054.3161620000001</v>
      </c>
      <c r="AV378" s="3">
        <v>0</v>
      </c>
      <c r="AW378" s="3">
        <f t="shared" si="42"/>
        <v>0.31</v>
      </c>
      <c r="AX378" s="5"/>
      <c r="AY378" s="5"/>
      <c r="AZ378" s="5"/>
      <c r="BA378" s="5"/>
      <c r="BB378" s="1"/>
      <c r="BC378" s="3" t="s">
        <v>229</v>
      </c>
      <c r="BD378" s="3">
        <v>0.9</v>
      </c>
      <c r="BE378" s="3">
        <v>0.5</v>
      </c>
      <c r="BF378" s="3">
        <v>0.6</v>
      </c>
      <c r="BG378" s="3">
        <v>0.33</v>
      </c>
      <c r="BH378" s="6">
        <v>1034.858643</v>
      </c>
      <c r="BI378" s="3">
        <v>0.01</v>
      </c>
      <c r="BK378" s="3" t="s">
        <v>229</v>
      </c>
      <c r="BL378" s="3">
        <v>0.33</v>
      </c>
      <c r="BM378" s="7">
        <v>1040.4544679999999</v>
      </c>
      <c r="BN378" s="3">
        <v>1E-3</v>
      </c>
      <c r="BO378" s="3">
        <f t="shared" si="43"/>
        <v>0.33</v>
      </c>
    </row>
    <row r="379" spans="1:67" x14ac:dyDescent="0.3">
      <c r="A379" s="3" t="s">
        <v>230</v>
      </c>
      <c r="B379" s="3">
        <v>0.9</v>
      </c>
      <c r="C379" s="3">
        <v>0.5</v>
      </c>
      <c r="D379" s="3">
        <v>0.6</v>
      </c>
      <c r="E379" s="3">
        <v>0.31</v>
      </c>
      <c r="F379" s="6">
        <v>755.42260699999997</v>
      </c>
      <c r="G379" s="3">
        <v>3.0000000000000001E-3</v>
      </c>
      <c r="I379" s="3" t="s">
        <v>230</v>
      </c>
      <c r="J379" s="3">
        <v>0.31</v>
      </c>
      <c r="K379" s="7">
        <v>761.00457800000004</v>
      </c>
      <c r="L379" s="3">
        <v>0</v>
      </c>
      <c r="M379" s="3">
        <f t="shared" si="40"/>
        <v>0.31</v>
      </c>
      <c r="N379" s="5"/>
      <c r="O379" s="5"/>
      <c r="P379" s="5"/>
      <c r="Q379" s="5"/>
      <c r="R379" s="1"/>
      <c r="S379" s="3" t="s">
        <v>230</v>
      </c>
      <c r="T379" s="3">
        <v>0.9</v>
      </c>
      <c r="U379" s="3">
        <v>0.5</v>
      </c>
      <c r="V379" s="3">
        <v>0.6</v>
      </c>
      <c r="W379" s="3">
        <v>0.37</v>
      </c>
      <c r="X379" s="7">
        <v>751.71075399999995</v>
      </c>
      <c r="Y379" s="3">
        <v>3.0000000000000001E-3</v>
      </c>
      <c r="AA379" s="3" t="s">
        <v>230</v>
      </c>
      <c r="AB379" s="3">
        <v>0.32</v>
      </c>
      <c r="AC379" s="6">
        <v>748.93908699999997</v>
      </c>
      <c r="AD379" s="3">
        <v>1E-3</v>
      </c>
      <c r="AE379" s="3">
        <f t="shared" si="41"/>
        <v>0.34499999999999997</v>
      </c>
      <c r="AF379" s="5"/>
      <c r="AG379" s="5"/>
      <c r="AH379" s="5"/>
      <c r="AI379" s="5"/>
      <c r="AJ379" s="1"/>
      <c r="AK379" s="3" t="s">
        <v>231</v>
      </c>
      <c r="AL379" s="3">
        <v>0.9</v>
      </c>
      <c r="AM379" s="3">
        <v>0.5</v>
      </c>
      <c r="AN379" s="3">
        <v>0.6</v>
      </c>
      <c r="AO379" s="3">
        <v>0.3</v>
      </c>
      <c r="AP379" s="6">
        <v>995.66693099999998</v>
      </c>
      <c r="AQ379" s="3">
        <v>7.0000000000000001E-3</v>
      </c>
      <c r="AS379" s="3" t="s">
        <v>231</v>
      </c>
      <c r="AT379" s="3">
        <v>0.3</v>
      </c>
      <c r="AU379" s="7">
        <v>997.25714100000005</v>
      </c>
      <c r="AV379" s="3">
        <v>1E-3</v>
      </c>
      <c r="AW379" s="3">
        <f t="shared" si="42"/>
        <v>0.3</v>
      </c>
      <c r="AX379" s="5"/>
      <c r="AY379" s="5"/>
      <c r="AZ379" s="5"/>
      <c r="BA379" s="5"/>
      <c r="BB379" s="1"/>
      <c r="BC379" s="3" t="s">
        <v>231</v>
      </c>
      <c r="BD379" s="3">
        <v>0.9</v>
      </c>
      <c r="BE379" s="3">
        <v>0.5</v>
      </c>
      <c r="BF379" s="3">
        <v>0.6</v>
      </c>
      <c r="BG379" s="3">
        <v>0.3</v>
      </c>
      <c r="BH379" s="7">
        <v>996.79992700000003</v>
      </c>
      <c r="BI379" s="3">
        <v>0.01</v>
      </c>
      <c r="BK379" s="3" t="s">
        <v>231</v>
      </c>
      <c r="BL379" s="3">
        <v>0.3</v>
      </c>
      <c r="BM379" s="6">
        <v>943.13476600000001</v>
      </c>
      <c r="BN379" s="3">
        <v>0</v>
      </c>
      <c r="BO379" s="3">
        <f t="shared" si="43"/>
        <v>0.3</v>
      </c>
    </row>
    <row r="380" spans="1:67" x14ac:dyDescent="0.3">
      <c r="A380" s="3" t="s">
        <v>232</v>
      </c>
      <c r="B380" s="3">
        <v>0.9</v>
      </c>
      <c r="C380" s="3">
        <v>0.5</v>
      </c>
      <c r="D380" s="3">
        <v>0.6</v>
      </c>
      <c r="E380" s="3">
        <v>0.34</v>
      </c>
      <c r="F380" s="7">
        <v>834.81066899999996</v>
      </c>
      <c r="G380" s="3">
        <v>2E-3</v>
      </c>
      <c r="I380" s="3" t="s">
        <v>232</v>
      </c>
      <c r="J380" s="3">
        <v>0.31</v>
      </c>
      <c r="K380" s="6">
        <v>793.73706100000004</v>
      </c>
      <c r="L380" s="3">
        <v>0</v>
      </c>
      <c r="M380" s="3">
        <f t="shared" si="40"/>
        <v>0.32500000000000001</v>
      </c>
      <c r="N380" s="5"/>
      <c r="O380" s="5"/>
      <c r="P380" s="5"/>
      <c r="Q380" s="5"/>
      <c r="R380" s="1"/>
      <c r="S380" s="3" t="s">
        <v>232</v>
      </c>
      <c r="T380" s="3">
        <v>0.9</v>
      </c>
      <c r="U380" s="3">
        <v>0.5</v>
      </c>
      <c r="V380" s="3">
        <v>0.6</v>
      </c>
      <c r="W380" s="3">
        <v>0.32</v>
      </c>
      <c r="X380" s="6">
        <v>793.48400900000001</v>
      </c>
      <c r="Y380" s="3">
        <v>2E-3</v>
      </c>
      <c r="AA380" s="3" t="s">
        <v>232</v>
      </c>
      <c r="AB380" s="3">
        <v>0.3</v>
      </c>
      <c r="AC380" s="7">
        <v>812.54644800000005</v>
      </c>
      <c r="AD380" s="3">
        <v>0</v>
      </c>
      <c r="AE380" s="3">
        <f t="shared" si="41"/>
        <v>0.31</v>
      </c>
      <c r="AF380" s="5"/>
      <c r="AG380" s="5"/>
      <c r="AH380" s="5"/>
      <c r="AI380" s="5"/>
      <c r="AJ380" s="1"/>
      <c r="AK380" s="3" t="s">
        <v>233</v>
      </c>
      <c r="AL380" s="3">
        <v>0.9</v>
      </c>
      <c r="AM380" s="3">
        <v>0.5</v>
      </c>
      <c r="AN380" s="3">
        <v>0.6</v>
      </c>
      <c r="AO380" s="3">
        <v>0.33</v>
      </c>
      <c r="AP380" s="6">
        <v>1027.197144</v>
      </c>
      <c r="AQ380" s="3">
        <v>1.0999999999999999E-2</v>
      </c>
      <c r="AS380" s="3" t="s">
        <v>233</v>
      </c>
      <c r="AT380" s="3">
        <v>0.31</v>
      </c>
      <c r="AU380" s="7">
        <v>1057.6605219999999</v>
      </c>
      <c r="AV380" s="3">
        <v>1E-3</v>
      </c>
      <c r="AW380" s="3">
        <f t="shared" si="42"/>
        <v>0.32</v>
      </c>
      <c r="AX380" s="5"/>
      <c r="AY380" s="5"/>
      <c r="AZ380" s="5"/>
      <c r="BA380" s="5"/>
      <c r="BB380" s="1"/>
      <c r="BC380" s="3" t="s">
        <v>233</v>
      </c>
      <c r="BD380" s="3">
        <v>0.9</v>
      </c>
      <c r="BE380" s="3">
        <v>0.5</v>
      </c>
      <c r="BF380" s="3">
        <v>0.6</v>
      </c>
      <c r="BG380" s="3">
        <v>0.36</v>
      </c>
      <c r="BH380" s="7">
        <v>1052.099365</v>
      </c>
      <c r="BI380" s="3">
        <v>1.6E-2</v>
      </c>
      <c r="BK380" s="3" t="s">
        <v>233</v>
      </c>
      <c r="BL380" s="3">
        <v>0.3</v>
      </c>
      <c r="BM380" s="6">
        <v>1049.6298830000001</v>
      </c>
      <c r="BN380" s="3">
        <v>1E-3</v>
      </c>
      <c r="BO380" s="3">
        <f t="shared" si="43"/>
        <v>0.32999999999999996</v>
      </c>
    </row>
    <row r="381" spans="1:67" x14ac:dyDescent="0.3">
      <c r="A381" s="3" t="s">
        <v>234</v>
      </c>
      <c r="B381" s="3">
        <v>0.9</v>
      </c>
      <c r="C381" s="3">
        <v>0.5</v>
      </c>
      <c r="D381" s="3">
        <v>0.6</v>
      </c>
      <c r="E381" s="3">
        <v>0.3</v>
      </c>
      <c r="F381" s="7">
        <v>745.58471699999996</v>
      </c>
      <c r="G381" s="3">
        <v>3.0000000000000001E-3</v>
      </c>
      <c r="I381" s="3" t="s">
        <v>234</v>
      </c>
      <c r="J381" s="3">
        <v>0.31</v>
      </c>
      <c r="K381" s="6">
        <v>743.06347700000003</v>
      </c>
      <c r="L381" s="3">
        <v>0</v>
      </c>
      <c r="M381" s="3">
        <f t="shared" si="40"/>
        <v>0.30499999999999999</v>
      </c>
      <c r="N381" s="5"/>
      <c r="O381" s="5"/>
      <c r="P381" s="5"/>
      <c r="Q381" s="5"/>
      <c r="R381" s="1"/>
      <c r="S381" s="3" t="s">
        <v>234</v>
      </c>
      <c r="T381" s="3">
        <v>0.9</v>
      </c>
      <c r="U381" s="3">
        <v>0.5</v>
      </c>
      <c r="V381" s="3">
        <v>0.6</v>
      </c>
      <c r="W381" s="3">
        <v>0.33</v>
      </c>
      <c r="X381" s="7">
        <v>741.73638900000003</v>
      </c>
      <c r="Y381" s="3">
        <v>3.0000000000000001E-3</v>
      </c>
      <c r="AA381" s="3" t="s">
        <v>234</v>
      </c>
      <c r="AB381" s="3">
        <v>0.3</v>
      </c>
      <c r="AC381" s="6">
        <v>729.306152</v>
      </c>
      <c r="AD381" s="3">
        <v>0</v>
      </c>
      <c r="AE381" s="3">
        <f t="shared" si="41"/>
        <v>0.315</v>
      </c>
      <c r="AF381" s="5"/>
      <c r="AG381" s="5"/>
      <c r="AH381" s="5"/>
      <c r="AI381" s="5"/>
      <c r="AJ381" s="1"/>
      <c r="AK381" s="3" t="s">
        <v>235</v>
      </c>
      <c r="AL381" s="3">
        <v>0.9</v>
      </c>
      <c r="AM381" s="3">
        <v>0.5</v>
      </c>
      <c r="AN381" s="3">
        <v>0.6</v>
      </c>
      <c r="AO381" s="3">
        <v>0.3</v>
      </c>
      <c r="AP381" s="7">
        <v>1101.2620850000001</v>
      </c>
      <c r="AQ381" s="3">
        <v>1.2E-2</v>
      </c>
      <c r="AS381" s="3" t="s">
        <v>235</v>
      </c>
      <c r="AT381" s="3">
        <v>0.3</v>
      </c>
      <c r="AU381" s="6">
        <v>1089.4261469999999</v>
      </c>
      <c r="AV381" s="3">
        <v>1E-3</v>
      </c>
      <c r="AW381" s="3">
        <f t="shared" si="42"/>
        <v>0.3</v>
      </c>
      <c r="AX381" s="5"/>
      <c r="AY381" s="5"/>
      <c r="AZ381" s="5"/>
      <c r="BA381" s="5"/>
      <c r="BB381" s="1"/>
      <c r="BC381" s="3" t="s">
        <v>235</v>
      </c>
      <c r="BD381" s="3">
        <v>0.9</v>
      </c>
      <c r="BE381" s="3">
        <v>0.5</v>
      </c>
      <c r="BF381" s="3">
        <v>0.6</v>
      </c>
      <c r="BG381" s="3">
        <v>0.32</v>
      </c>
      <c r="BH381" s="6">
        <v>1092.3271480000001</v>
      </c>
      <c r="BI381" s="3">
        <v>0.01</v>
      </c>
      <c r="BK381" s="3" t="s">
        <v>235</v>
      </c>
      <c r="BL381" s="3">
        <v>0.31</v>
      </c>
      <c r="BM381" s="7">
        <v>1127.2767329999999</v>
      </c>
      <c r="BN381" s="3">
        <v>2E-3</v>
      </c>
      <c r="BO381" s="3">
        <f t="shared" si="43"/>
        <v>0.315</v>
      </c>
    </row>
    <row r="382" spans="1:67" x14ac:dyDescent="0.3">
      <c r="A382" s="3" t="s">
        <v>236</v>
      </c>
      <c r="B382" s="3">
        <v>0.9</v>
      </c>
      <c r="C382" s="3">
        <v>0.5</v>
      </c>
      <c r="D382" s="3">
        <v>0.6</v>
      </c>
      <c r="E382" s="3">
        <v>0.32</v>
      </c>
      <c r="F382" s="7">
        <v>770.06750499999998</v>
      </c>
      <c r="G382" s="3">
        <v>3.0000000000000001E-3</v>
      </c>
      <c r="I382" s="3" t="s">
        <v>236</v>
      </c>
      <c r="J382" s="3">
        <v>0.3</v>
      </c>
      <c r="K382" s="6">
        <v>761.82665999999995</v>
      </c>
      <c r="L382" s="3">
        <v>0</v>
      </c>
      <c r="M382" s="3">
        <f t="shared" si="40"/>
        <v>0.31</v>
      </c>
      <c r="N382" s="5"/>
      <c r="O382" s="5"/>
      <c r="P382" s="5"/>
      <c r="Q382" s="5"/>
      <c r="R382" s="1"/>
      <c r="S382" s="3" t="s">
        <v>236</v>
      </c>
      <c r="T382" s="3">
        <v>0.9</v>
      </c>
      <c r="U382" s="3">
        <v>0.5</v>
      </c>
      <c r="V382" s="3">
        <v>0.6</v>
      </c>
      <c r="W382" s="3">
        <v>0.36</v>
      </c>
      <c r="X382" s="6">
        <v>769.05053699999996</v>
      </c>
      <c r="Y382" s="3">
        <v>3.0000000000000001E-3</v>
      </c>
      <c r="AA382" s="3" t="s">
        <v>236</v>
      </c>
      <c r="AB382" s="3">
        <v>0.31</v>
      </c>
      <c r="AC382" s="7">
        <v>790.30273399999999</v>
      </c>
      <c r="AD382" s="3">
        <v>0</v>
      </c>
      <c r="AE382" s="3">
        <f t="shared" si="41"/>
        <v>0.33499999999999996</v>
      </c>
      <c r="AF382" s="5"/>
      <c r="AG382" s="5"/>
      <c r="AH382" s="5"/>
      <c r="AI382" s="5"/>
      <c r="AJ382" s="1"/>
      <c r="AK382" s="3" t="s">
        <v>237</v>
      </c>
      <c r="AL382" s="3">
        <v>0.9</v>
      </c>
      <c r="AM382" s="3">
        <v>0.5</v>
      </c>
      <c r="AN382" s="3">
        <v>0.6</v>
      </c>
      <c r="AO382" s="3">
        <v>0.3</v>
      </c>
      <c r="AP382" s="6">
        <v>1121.518311</v>
      </c>
      <c r="AQ382" s="3">
        <v>0.01</v>
      </c>
      <c r="AS382" s="3" t="s">
        <v>237</v>
      </c>
      <c r="AT382" s="3">
        <v>0.31</v>
      </c>
      <c r="AU382" s="7">
        <v>1145.7303469999999</v>
      </c>
      <c r="AV382" s="3">
        <v>2E-3</v>
      </c>
      <c r="AW382" s="3">
        <f t="shared" si="42"/>
        <v>0.30499999999999999</v>
      </c>
      <c r="AX382" s="5"/>
      <c r="AY382" s="5"/>
      <c r="AZ382" s="5"/>
      <c r="BA382" s="5"/>
      <c r="BB382" s="1"/>
      <c r="BC382" s="3" t="s">
        <v>237</v>
      </c>
      <c r="BD382" s="3">
        <v>0.9</v>
      </c>
      <c r="BE382" s="3">
        <v>0.5</v>
      </c>
      <c r="BF382" s="3">
        <v>0.6</v>
      </c>
      <c r="BG382" s="3">
        <v>0.3</v>
      </c>
      <c r="BH382" s="6">
        <v>1102.1489260000001</v>
      </c>
      <c r="BI382" s="3">
        <v>0.01</v>
      </c>
      <c r="BK382" s="3" t="s">
        <v>237</v>
      </c>
      <c r="BL382" s="3">
        <v>0.32</v>
      </c>
      <c r="BM382" s="7">
        <v>1127.1561280000001</v>
      </c>
      <c r="BN382" s="3">
        <v>1E-3</v>
      </c>
      <c r="BO382" s="3">
        <f t="shared" si="43"/>
        <v>0.31</v>
      </c>
    </row>
    <row r="383" spans="1:67" x14ac:dyDescent="0.3">
      <c r="A383" s="3" t="s">
        <v>238</v>
      </c>
      <c r="B383" s="3">
        <v>0.9</v>
      </c>
      <c r="C383" s="3">
        <v>0.5</v>
      </c>
      <c r="D383" s="3">
        <v>0.6</v>
      </c>
      <c r="E383" s="3">
        <v>0.3</v>
      </c>
      <c r="F383" s="6">
        <v>761.16235400000005</v>
      </c>
      <c r="G383" s="3">
        <v>2E-3</v>
      </c>
      <c r="I383" s="3" t="s">
        <v>238</v>
      </c>
      <c r="J383" s="3">
        <v>0.32</v>
      </c>
      <c r="K383" s="8">
        <v>746.43194600000004</v>
      </c>
      <c r="L383" s="3">
        <v>0</v>
      </c>
      <c r="M383" s="3">
        <f t="shared" si="40"/>
        <v>0.31</v>
      </c>
      <c r="N383" s="5"/>
      <c r="O383" s="5"/>
      <c r="P383" s="5"/>
      <c r="Q383" s="5"/>
      <c r="R383" s="1"/>
      <c r="S383" s="3" t="s">
        <v>238</v>
      </c>
      <c r="T383" s="3">
        <v>0.9</v>
      </c>
      <c r="U383" s="3">
        <v>0.5</v>
      </c>
      <c r="V383" s="3">
        <v>0.6</v>
      </c>
      <c r="W383" s="3">
        <v>0.32</v>
      </c>
      <c r="X383" s="7">
        <v>721.21795699999996</v>
      </c>
      <c r="Y383" s="3">
        <v>2E-3</v>
      </c>
      <c r="AA383" s="3" t="s">
        <v>238</v>
      </c>
      <c r="AB383" s="3">
        <v>0.32</v>
      </c>
      <c r="AC383" s="6">
        <v>713.35931400000004</v>
      </c>
      <c r="AD383" s="3">
        <v>0</v>
      </c>
      <c r="AE383" s="3">
        <f t="shared" si="41"/>
        <v>0.32</v>
      </c>
      <c r="AF383" s="5"/>
      <c r="AG383" s="5"/>
      <c r="AH383" s="5"/>
      <c r="AI383" s="5"/>
      <c r="AJ383" s="1"/>
      <c r="AK383" s="3" t="s">
        <v>239</v>
      </c>
      <c r="AL383" s="3">
        <v>0.9</v>
      </c>
      <c r="AM383" s="3">
        <v>0.5</v>
      </c>
      <c r="AN383" s="3">
        <v>0.6</v>
      </c>
      <c r="AO383" s="3">
        <v>0.31</v>
      </c>
      <c r="AP383" s="7">
        <v>1164.193481</v>
      </c>
      <c r="AQ383" s="3">
        <v>1.4999999999999999E-2</v>
      </c>
      <c r="AS383" s="3" t="s">
        <v>239</v>
      </c>
      <c r="AT383" s="3">
        <v>0.31</v>
      </c>
      <c r="AU383" s="6">
        <v>1158.3320309999999</v>
      </c>
      <c r="AV383" s="3">
        <v>1E-3</v>
      </c>
      <c r="AW383" s="3">
        <f t="shared" si="42"/>
        <v>0.31</v>
      </c>
      <c r="AX383" s="5"/>
      <c r="AY383" s="5"/>
      <c r="AZ383" s="5"/>
      <c r="BA383" s="5"/>
      <c r="BB383" s="1"/>
      <c r="BC383" s="3" t="s">
        <v>239</v>
      </c>
      <c r="BD383" s="3">
        <v>0.9</v>
      </c>
      <c r="BE383" s="3">
        <v>0.5</v>
      </c>
      <c r="BF383" s="3">
        <v>0.6</v>
      </c>
      <c r="BG383" s="3">
        <v>0.31</v>
      </c>
      <c r="BH383" s="6">
        <v>1143.275024</v>
      </c>
      <c r="BI383" s="3">
        <v>1.0999999999999999E-2</v>
      </c>
      <c r="BK383" s="3" t="s">
        <v>239</v>
      </c>
      <c r="BL383" s="3">
        <v>0.3</v>
      </c>
      <c r="BM383" s="8">
        <v>1143.9860839999999</v>
      </c>
      <c r="BN383" s="3">
        <v>3.0000000000000001E-3</v>
      </c>
      <c r="BO383" s="3">
        <f t="shared" si="43"/>
        <v>0.30499999999999999</v>
      </c>
    </row>
    <row r="384" spans="1:67" x14ac:dyDescent="0.3">
      <c r="A384" s="3" t="s">
        <v>240</v>
      </c>
      <c r="B384" s="3">
        <v>0.9</v>
      </c>
      <c r="C384" s="3">
        <v>0.5</v>
      </c>
      <c r="D384" s="3">
        <v>0.6</v>
      </c>
      <c r="E384" s="3">
        <v>0.31</v>
      </c>
      <c r="F384" s="7">
        <v>729.57824700000003</v>
      </c>
      <c r="G384" s="3">
        <v>3.0000000000000001E-3</v>
      </c>
      <c r="I384" s="3" t="s">
        <v>240</v>
      </c>
      <c r="J384" s="3">
        <v>0.3</v>
      </c>
      <c r="K384" s="6">
        <v>723.29748500000005</v>
      </c>
      <c r="L384" s="3">
        <v>1E-3</v>
      </c>
      <c r="M384" s="3">
        <f t="shared" si="40"/>
        <v>0.30499999999999999</v>
      </c>
      <c r="N384" s="5"/>
      <c r="O384" s="5"/>
      <c r="P384" s="5"/>
      <c r="Q384" s="5"/>
      <c r="R384" s="1"/>
      <c r="S384" s="3" t="s">
        <v>240</v>
      </c>
      <c r="T384" s="3">
        <v>0.9</v>
      </c>
      <c r="U384" s="3">
        <v>0.5</v>
      </c>
      <c r="V384" s="3">
        <v>0.6</v>
      </c>
      <c r="W384" s="3">
        <v>0.33</v>
      </c>
      <c r="X384" s="8">
        <v>739.86419699999999</v>
      </c>
      <c r="Y384" s="3">
        <v>3.0000000000000001E-3</v>
      </c>
      <c r="AA384" s="3" t="s">
        <v>240</v>
      </c>
      <c r="AB384" s="3">
        <v>0.31</v>
      </c>
      <c r="AC384" s="6">
        <v>739.62402299999997</v>
      </c>
      <c r="AD384" s="3">
        <v>0</v>
      </c>
      <c r="AE384" s="3">
        <f t="shared" si="41"/>
        <v>0.32</v>
      </c>
      <c r="AF384" s="5"/>
      <c r="AG384" s="5"/>
      <c r="AH384" s="5"/>
      <c r="AI384" s="5"/>
      <c r="AJ384" s="1"/>
      <c r="AK384" s="3" t="s">
        <v>241</v>
      </c>
      <c r="AL384" s="3">
        <v>0.9</v>
      </c>
      <c r="AM384" s="3">
        <v>0.5</v>
      </c>
      <c r="AN384" s="3">
        <v>0.6</v>
      </c>
      <c r="AO384" s="3">
        <v>0.33</v>
      </c>
      <c r="AP384" s="6">
        <v>1078.7490230000001</v>
      </c>
      <c r="AQ384" s="3">
        <v>1.2E-2</v>
      </c>
      <c r="AS384" s="3" t="s">
        <v>241</v>
      </c>
      <c r="AT384" s="3">
        <v>0.32</v>
      </c>
      <c r="AU384" s="7">
        <v>1087.0417480000001</v>
      </c>
      <c r="AV384" s="3">
        <v>1E-3</v>
      </c>
      <c r="AW384" s="3">
        <f t="shared" si="42"/>
        <v>0.32500000000000001</v>
      </c>
      <c r="AX384" s="5"/>
      <c r="AY384" s="5"/>
      <c r="AZ384" s="5"/>
      <c r="BA384" s="5"/>
      <c r="BB384" s="1"/>
      <c r="BC384" s="3" t="s">
        <v>241</v>
      </c>
      <c r="BD384" s="3">
        <v>0.9</v>
      </c>
      <c r="BE384" s="3">
        <v>0.5</v>
      </c>
      <c r="BF384" s="3">
        <v>0.6</v>
      </c>
      <c r="BG384" s="3">
        <v>0.31</v>
      </c>
      <c r="BH384" s="6">
        <v>1084.6872559999999</v>
      </c>
      <c r="BI384" s="3">
        <v>8.9999999999999993E-3</v>
      </c>
      <c r="BK384" s="3" t="s">
        <v>241</v>
      </c>
      <c r="BL384" s="3">
        <v>0.31</v>
      </c>
      <c r="BM384" s="7">
        <v>1097.998169</v>
      </c>
      <c r="BN384" s="3">
        <v>1E-3</v>
      </c>
      <c r="BO384" s="3">
        <f t="shared" si="43"/>
        <v>0.31</v>
      </c>
    </row>
    <row r="385" spans="1:71" x14ac:dyDescent="0.3">
      <c r="A385" s="3" t="s">
        <v>242</v>
      </c>
      <c r="B385" s="3">
        <v>0.9</v>
      </c>
      <c r="C385" s="3">
        <v>0.5</v>
      </c>
      <c r="D385" s="3">
        <v>0.6</v>
      </c>
      <c r="E385" s="3">
        <v>0.36</v>
      </c>
      <c r="F385" s="6">
        <v>721.95477300000005</v>
      </c>
      <c r="G385" s="3">
        <v>3.0000000000000001E-3</v>
      </c>
      <c r="I385" s="3" t="s">
        <v>242</v>
      </c>
      <c r="J385" s="3">
        <v>0.3</v>
      </c>
      <c r="K385" s="7">
        <v>734.23053000000004</v>
      </c>
      <c r="L385" s="3">
        <v>1E-3</v>
      </c>
      <c r="M385" s="3">
        <f t="shared" si="40"/>
        <v>0.32999999999999996</v>
      </c>
      <c r="N385" s="5"/>
      <c r="O385" s="5"/>
      <c r="P385" s="5"/>
      <c r="Q385" s="5"/>
      <c r="R385" s="1"/>
      <c r="S385" s="3" t="s">
        <v>242</v>
      </c>
      <c r="T385" s="3">
        <v>0.9</v>
      </c>
      <c r="U385" s="3">
        <v>0.5</v>
      </c>
      <c r="V385" s="3">
        <v>0.6</v>
      </c>
      <c r="W385" s="3">
        <v>0.3</v>
      </c>
      <c r="X385" s="6">
        <v>707.37756300000001</v>
      </c>
      <c r="Y385" s="3">
        <v>3.0000000000000001E-3</v>
      </c>
      <c r="AA385" s="3" t="s">
        <v>242</v>
      </c>
      <c r="AB385" s="3">
        <v>0.3</v>
      </c>
      <c r="AC385" s="7">
        <v>721.76257299999997</v>
      </c>
      <c r="AD385" s="3">
        <v>0</v>
      </c>
      <c r="AE385" s="3">
        <f t="shared" si="41"/>
        <v>0.3</v>
      </c>
      <c r="AF385" s="5"/>
      <c r="AG385" s="5"/>
      <c r="AH385" s="5"/>
      <c r="AI385" s="5"/>
      <c r="AJ385" s="1"/>
      <c r="AK385" s="3" t="s">
        <v>243</v>
      </c>
      <c r="AL385" s="3">
        <v>0.9</v>
      </c>
      <c r="AM385" s="3">
        <v>0.5</v>
      </c>
      <c r="AN385" s="3">
        <v>0.6</v>
      </c>
      <c r="AO385" s="3">
        <v>0.32</v>
      </c>
      <c r="AP385" s="7">
        <v>1231.8317870000001</v>
      </c>
      <c r="AQ385" s="3">
        <v>1.7000000000000001E-2</v>
      </c>
      <c r="AS385" s="3" t="s">
        <v>243</v>
      </c>
      <c r="AT385" s="3">
        <v>0.3</v>
      </c>
      <c r="AU385" s="6">
        <v>1225.9091800000001</v>
      </c>
      <c r="AV385" s="3">
        <v>2E-3</v>
      </c>
      <c r="AW385" s="3">
        <f t="shared" si="42"/>
        <v>0.31</v>
      </c>
      <c r="AX385" s="5"/>
      <c r="AY385" s="5"/>
      <c r="AZ385" s="5"/>
      <c r="BA385" s="5"/>
      <c r="BB385" s="1"/>
      <c r="BC385" s="3" t="s">
        <v>243</v>
      </c>
      <c r="BD385" s="3">
        <v>0.9</v>
      </c>
      <c r="BE385" s="3">
        <v>0.5</v>
      </c>
      <c r="BF385" s="3">
        <v>0.6</v>
      </c>
      <c r="BG385" s="3">
        <v>0.31</v>
      </c>
      <c r="BH385" s="7">
        <v>1222.6292719999999</v>
      </c>
      <c r="BI385" s="3">
        <v>1.9E-2</v>
      </c>
      <c r="BK385" s="3" t="s">
        <v>243</v>
      </c>
      <c r="BL385" s="3">
        <v>0.3</v>
      </c>
      <c r="BM385" s="6">
        <v>1216.135376</v>
      </c>
      <c r="BN385" s="3">
        <v>2E-3</v>
      </c>
      <c r="BO385" s="3">
        <f t="shared" si="43"/>
        <v>0.30499999999999999</v>
      </c>
    </row>
    <row r="386" spans="1:71" x14ac:dyDescent="0.3">
      <c r="A386" s="3" t="s">
        <v>244</v>
      </c>
      <c r="B386" s="3">
        <v>0.9</v>
      </c>
      <c r="C386" s="3">
        <v>0.5</v>
      </c>
      <c r="D386" s="3">
        <v>0.6</v>
      </c>
      <c r="E386" s="3">
        <v>0.31</v>
      </c>
      <c r="F386" s="6">
        <v>723.19891399999995</v>
      </c>
      <c r="G386" s="3">
        <v>3.0000000000000001E-3</v>
      </c>
      <c r="I386" s="3" t="s">
        <v>244</v>
      </c>
      <c r="J386" s="3">
        <v>0.35</v>
      </c>
      <c r="K386" s="7">
        <v>734.14007600000002</v>
      </c>
      <c r="L386" s="3">
        <v>0</v>
      </c>
      <c r="M386" s="3">
        <f t="shared" si="40"/>
        <v>0.32999999999999996</v>
      </c>
      <c r="N386" s="5"/>
      <c r="O386" s="5"/>
      <c r="P386" s="5"/>
      <c r="Q386" s="5"/>
      <c r="R386" s="1"/>
      <c r="S386" s="3" t="s">
        <v>244</v>
      </c>
      <c r="T386" s="3">
        <v>0.9</v>
      </c>
      <c r="U386" s="3">
        <v>0.5</v>
      </c>
      <c r="V386" s="3">
        <v>0.6</v>
      </c>
      <c r="W386" s="3">
        <v>0.3</v>
      </c>
      <c r="X386" s="7">
        <v>722.26355000000001</v>
      </c>
      <c r="Y386" s="3">
        <v>3.0000000000000001E-3</v>
      </c>
      <c r="AA386" s="3" t="s">
        <v>244</v>
      </c>
      <c r="AB386" s="3">
        <v>0.3</v>
      </c>
      <c r="AC386" s="6">
        <v>717.447632</v>
      </c>
      <c r="AD386" s="3">
        <v>0</v>
      </c>
      <c r="AE386" s="3">
        <f t="shared" si="41"/>
        <v>0.3</v>
      </c>
      <c r="AF386" s="5"/>
      <c r="AG386" s="5"/>
      <c r="AH386" s="5"/>
      <c r="AI386" s="5"/>
      <c r="AJ386" s="1"/>
      <c r="AK386" s="3" t="s">
        <v>245</v>
      </c>
      <c r="AL386" s="3">
        <v>0.9</v>
      </c>
      <c r="AM386" s="3">
        <v>0.5</v>
      </c>
      <c r="AN386" s="3">
        <v>0.6</v>
      </c>
      <c r="AO386" s="3">
        <v>0.3</v>
      </c>
      <c r="AP386" s="6">
        <v>1210.883423</v>
      </c>
      <c r="AQ386" s="3">
        <v>0.01</v>
      </c>
      <c r="AS386" s="3" t="s">
        <v>245</v>
      </c>
      <c r="AT386" s="3">
        <v>0.3</v>
      </c>
      <c r="AU386" s="7">
        <v>1234.7727050000001</v>
      </c>
      <c r="AV386" s="3">
        <v>2E-3</v>
      </c>
      <c r="AW386" s="3">
        <f t="shared" si="42"/>
        <v>0.3</v>
      </c>
      <c r="AX386" s="5"/>
      <c r="AY386" s="5"/>
      <c r="AZ386" s="5"/>
      <c r="BA386" s="5"/>
      <c r="BB386" s="1"/>
      <c r="BC386" s="3" t="s">
        <v>245</v>
      </c>
      <c r="BD386" s="3">
        <v>0.9</v>
      </c>
      <c r="BE386" s="3">
        <v>0.5</v>
      </c>
      <c r="BF386" s="3">
        <v>0.6</v>
      </c>
      <c r="BG386" s="3">
        <v>0.3</v>
      </c>
      <c r="BH386" s="6">
        <v>1207.5804439999999</v>
      </c>
      <c r="BI386" s="3">
        <v>1.6E-2</v>
      </c>
      <c r="BK386" s="3" t="s">
        <v>245</v>
      </c>
      <c r="BL386" s="3">
        <v>0.31</v>
      </c>
      <c r="BM386" s="7">
        <v>1212.5123289999999</v>
      </c>
      <c r="BN386" s="3">
        <v>1E-3</v>
      </c>
      <c r="BO386" s="3">
        <f t="shared" si="43"/>
        <v>0.30499999999999999</v>
      </c>
    </row>
    <row r="387" spans="1:71" x14ac:dyDescent="0.3">
      <c r="A387" s="3" t="s">
        <v>246</v>
      </c>
      <c r="B387" s="3">
        <v>0.9</v>
      </c>
      <c r="C387" s="3">
        <v>0.5</v>
      </c>
      <c r="D387" s="3">
        <v>0.6</v>
      </c>
      <c r="E387" s="3">
        <v>0.39</v>
      </c>
      <c r="F387" s="7">
        <v>733.02484100000004</v>
      </c>
      <c r="G387" s="3">
        <v>2E-3</v>
      </c>
      <c r="I387" s="3" t="s">
        <v>246</v>
      </c>
      <c r="J387" s="3">
        <v>0.31</v>
      </c>
      <c r="K387" s="6">
        <v>711.15643299999999</v>
      </c>
      <c r="L387" s="3">
        <v>0</v>
      </c>
      <c r="M387" s="3">
        <f t="shared" si="40"/>
        <v>0.35</v>
      </c>
      <c r="N387" s="5"/>
      <c r="O387" s="5"/>
      <c r="P387" s="5"/>
      <c r="Q387" s="5"/>
      <c r="R387" s="1"/>
      <c r="S387" s="3" t="s">
        <v>246</v>
      </c>
      <c r="T387" s="3">
        <v>0.9</v>
      </c>
      <c r="U387" s="3">
        <v>0.5</v>
      </c>
      <c r="V387" s="3">
        <v>0.6</v>
      </c>
      <c r="W387" s="3">
        <v>0.32</v>
      </c>
      <c r="X387" s="6">
        <v>697.80108600000005</v>
      </c>
      <c r="Y387" s="3">
        <v>3.0000000000000001E-3</v>
      </c>
      <c r="AA387" s="3" t="s">
        <v>246</v>
      </c>
      <c r="AB387" s="3">
        <v>0.32</v>
      </c>
      <c r="AC387" s="7">
        <v>725.727844</v>
      </c>
      <c r="AD387" s="3">
        <v>0</v>
      </c>
      <c r="AE387" s="3">
        <f t="shared" si="41"/>
        <v>0.32</v>
      </c>
      <c r="AF387" s="5"/>
      <c r="AG387" s="5"/>
      <c r="AH387" s="5"/>
      <c r="AI387" s="5"/>
      <c r="AJ387" s="1"/>
      <c r="AK387" s="3" t="s">
        <v>247</v>
      </c>
      <c r="AL387" s="3">
        <v>0.9</v>
      </c>
      <c r="AM387" s="3">
        <v>0.5</v>
      </c>
      <c r="AN387" s="3">
        <v>0.6</v>
      </c>
      <c r="AO387" s="3">
        <v>0.31</v>
      </c>
      <c r="AP387" s="6">
        <v>1074.450439</v>
      </c>
      <c r="AQ387" s="3">
        <v>8.0000000000000002E-3</v>
      </c>
      <c r="AS387" s="3" t="s">
        <v>247</v>
      </c>
      <c r="AT387" s="3">
        <v>0.32</v>
      </c>
      <c r="AU387" s="7">
        <v>1078.8883060000001</v>
      </c>
      <c r="AV387" s="3">
        <v>1E-3</v>
      </c>
      <c r="AW387" s="3">
        <f t="shared" si="42"/>
        <v>0.315</v>
      </c>
      <c r="AX387" s="5"/>
      <c r="AY387" s="5"/>
      <c r="AZ387" s="5"/>
      <c r="BA387" s="5"/>
      <c r="BB387" s="1"/>
      <c r="BC387" s="3" t="s">
        <v>247</v>
      </c>
      <c r="BD387" s="3">
        <v>0.9</v>
      </c>
      <c r="BE387" s="3">
        <v>0.5</v>
      </c>
      <c r="BF387" s="3">
        <v>0.6</v>
      </c>
      <c r="BG387" s="3">
        <v>0.3</v>
      </c>
      <c r="BH387" s="6">
        <v>1062.734741</v>
      </c>
      <c r="BI387" s="3">
        <v>1.2E-2</v>
      </c>
      <c r="BK387" s="3" t="s">
        <v>247</v>
      </c>
      <c r="BL387" s="3">
        <v>0.31</v>
      </c>
      <c r="BM387" s="7">
        <v>1077.7196039999999</v>
      </c>
      <c r="BN387" s="3">
        <v>1E-3</v>
      </c>
      <c r="BO387" s="3">
        <f t="shared" si="43"/>
        <v>0.30499999999999999</v>
      </c>
    </row>
    <row r="388" spans="1:71" x14ac:dyDescent="0.3">
      <c r="A388" s="3" t="s">
        <v>248</v>
      </c>
      <c r="B388" s="3">
        <v>0.9</v>
      </c>
      <c r="C388" s="3">
        <v>0.5</v>
      </c>
      <c r="D388" s="3">
        <v>0.6</v>
      </c>
      <c r="E388" s="3">
        <v>0.3</v>
      </c>
      <c r="F388" s="7">
        <v>775.71508800000004</v>
      </c>
      <c r="G388" s="3">
        <v>5.0000000000000001E-3</v>
      </c>
      <c r="I388" s="3" t="s">
        <v>248</v>
      </c>
      <c r="J388" s="3">
        <v>0.31</v>
      </c>
      <c r="K388" s="6">
        <v>767.86364700000001</v>
      </c>
      <c r="L388" s="3">
        <v>0</v>
      </c>
      <c r="M388" s="3">
        <f t="shared" si="40"/>
        <v>0.30499999999999999</v>
      </c>
      <c r="N388" s="5"/>
      <c r="O388" s="5"/>
      <c r="P388" s="5"/>
      <c r="Q388" s="5"/>
      <c r="R388" s="1"/>
      <c r="S388" s="3" t="s">
        <v>248</v>
      </c>
      <c r="T388" s="3">
        <v>0.9</v>
      </c>
      <c r="U388" s="3">
        <v>0.5</v>
      </c>
      <c r="V388" s="3">
        <v>0.6</v>
      </c>
      <c r="W388" s="3">
        <v>0.32</v>
      </c>
      <c r="X388" s="6">
        <v>761.74340800000004</v>
      </c>
      <c r="Y388" s="3">
        <v>4.0000000000000001E-3</v>
      </c>
      <c r="AA388" s="3" t="s">
        <v>248</v>
      </c>
      <c r="AB388" s="3">
        <v>0.3</v>
      </c>
      <c r="AC388" s="7">
        <v>763.04992700000003</v>
      </c>
      <c r="AD388" s="3">
        <v>0</v>
      </c>
      <c r="AE388" s="3">
        <f t="shared" si="41"/>
        <v>0.31</v>
      </c>
      <c r="AF388" s="5"/>
      <c r="AG388" s="5"/>
      <c r="AH388" s="5"/>
      <c r="AI388" s="5"/>
      <c r="AJ388" s="1"/>
      <c r="AK388" s="3" t="s">
        <v>249</v>
      </c>
      <c r="AL388" s="3">
        <v>0.9</v>
      </c>
      <c r="AM388" s="3">
        <v>0.5</v>
      </c>
      <c r="AN388" s="3">
        <v>0.6</v>
      </c>
      <c r="AO388" s="3">
        <v>0.32</v>
      </c>
      <c r="AP388" s="7">
        <v>1164.7573239999999</v>
      </c>
      <c r="AQ388" s="3">
        <v>0.01</v>
      </c>
      <c r="AS388" s="3" t="s">
        <v>249</v>
      </c>
      <c r="AT388" s="3">
        <v>0.3</v>
      </c>
      <c r="AU388" s="6">
        <v>1136.0760499999999</v>
      </c>
      <c r="AV388" s="3">
        <v>2E-3</v>
      </c>
      <c r="AW388" s="3">
        <f t="shared" si="42"/>
        <v>0.31</v>
      </c>
      <c r="AX388" s="5"/>
      <c r="AY388" s="5"/>
      <c r="AZ388" s="5"/>
      <c r="BA388" s="5"/>
      <c r="BB388" s="1"/>
      <c r="BC388" s="3" t="s">
        <v>249</v>
      </c>
      <c r="BD388" s="3">
        <v>0.9</v>
      </c>
      <c r="BE388" s="3">
        <v>0.5</v>
      </c>
      <c r="BF388" s="3">
        <v>0.6</v>
      </c>
      <c r="BG388" s="3">
        <v>0.3</v>
      </c>
      <c r="BH388" s="7">
        <v>1155.1701660000001</v>
      </c>
      <c r="BI388" s="3">
        <v>1.4E-2</v>
      </c>
      <c r="BK388" s="3" t="s">
        <v>249</v>
      </c>
      <c r="BL388" s="3">
        <v>0.31</v>
      </c>
      <c r="BM388" s="6">
        <v>1149.102783</v>
      </c>
      <c r="BN388" s="3">
        <v>1E-3</v>
      </c>
      <c r="BO388" s="3">
        <f t="shared" si="43"/>
        <v>0.30499999999999999</v>
      </c>
    </row>
    <row r="389" spans="1:71" x14ac:dyDescent="0.3">
      <c r="A389" s="3" t="s">
        <v>250</v>
      </c>
      <c r="B389" s="3">
        <v>0.9</v>
      </c>
      <c r="C389" s="3">
        <v>0.5</v>
      </c>
      <c r="D389" s="3">
        <v>0.6</v>
      </c>
      <c r="E389" s="3">
        <v>0.33</v>
      </c>
      <c r="F389" s="7">
        <v>803.352844</v>
      </c>
      <c r="G389" s="3">
        <v>3.0000000000000001E-3</v>
      </c>
      <c r="I389" s="3" t="s">
        <v>250</v>
      </c>
      <c r="J389" s="3">
        <v>0.31</v>
      </c>
      <c r="K389" s="6">
        <v>787.32708700000001</v>
      </c>
      <c r="L389" s="3">
        <v>0</v>
      </c>
      <c r="M389" s="3">
        <f t="shared" si="40"/>
        <v>0.32</v>
      </c>
      <c r="N389" s="5"/>
      <c r="O389" s="5"/>
      <c r="P389" s="5"/>
      <c r="Q389" s="5"/>
      <c r="R389" s="1"/>
      <c r="S389" s="3" t="s">
        <v>250</v>
      </c>
      <c r="T389" s="3">
        <v>0.9</v>
      </c>
      <c r="U389" s="3">
        <v>0.5</v>
      </c>
      <c r="V389" s="3">
        <v>0.6</v>
      </c>
      <c r="W389" s="3">
        <v>0.31</v>
      </c>
      <c r="X389" s="7">
        <v>788.01348900000005</v>
      </c>
      <c r="Y389" s="3">
        <v>4.0000000000000001E-3</v>
      </c>
      <c r="AA389" s="3" t="s">
        <v>250</v>
      </c>
      <c r="AB389" s="3">
        <v>0.3</v>
      </c>
      <c r="AC389" s="6">
        <v>765.45098900000005</v>
      </c>
      <c r="AD389" s="3">
        <v>0</v>
      </c>
      <c r="AE389" s="3">
        <f t="shared" si="41"/>
        <v>0.30499999999999999</v>
      </c>
      <c r="AF389" s="5"/>
      <c r="AG389" s="5"/>
      <c r="AH389" s="5"/>
      <c r="AI389" s="5"/>
      <c r="AJ389" s="1"/>
      <c r="AK389" s="3" t="s">
        <v>251</v>
      </c>
      <c r="AL389" s="3">
        <v>0.9</v>
      </c>
      <c r="AM389" s="3">
        <v>0.5</v>
      </c>
      <c r="AN389" s="3">
        <v>0.6</v>
      </c>
      <c r="AO389" s="3">
        <v>0.3</v>
      </c>
      <c r="AP389" s="7">
        <v>1166.5805660000001</v>
      </c>
      <c r="AQ389" s="3">
        <v>0.01</v>
      </c>
      <c r="AS389" s="3" t="s">
        <v>251</v>
      </c>
      <c r="AT389" s="3">
        <v>0.33</v>
      </c>
      <c r="AU389" s="6">
        <v>1163.0548100000001</v>
      </c>
      <c r="AV389" s="3">
        <v>1E-3</v>
      </c>
      <c r="AW389" s="3">
        <f t="shared" si="42"/>
        <v>0.315</v>
      </c>
      <c r="AX389" s="5"/>
      <c r="AY389" s="5"/>
      <c r="AZ389" s="5"/>
      <c r="BA389" s="5"/>
      <c r="BB389" s="1"/>
      <c r="BC389" s="3" t="s">
        <v>251</v>
      </c>
      <c r="BD389" s="3">
        <v>0.9</v>
      </c>
      <c r="BE389" s="3">
        <v>0.5</v>
      </c>
      <c r="BF389" s="3">
        <v>0.6</v>
      </c>
      <c r="BG389" s="3">
        <v>0.3</v>
      </c>
      <c r="BH389" s="6">
        <v>1120.2071530000001</v>
      </c>
      <c r="BI389" s="3">
        <v>0.01</v>
      </c>
      <c r="BK389" s="3" t="s">
        <v>251</v>
      </c>
      <c r="BL389" s="3">
        <v>0.3</v>
      </c>
      <c r="BM389" s="7">
        <v>1133.190918</v>
      </c>
      <c r="BN389" s="3">
        <v>1E-3</v>
      </c>
      <c r="BO389" s="3">
        <f t="shared" si="43"/>
        <v>0.3</v>
      </c>
    </row>
    <row r="390" spans="1:71" x14ac:dyDescent="0.3">
      <c r="A390" s="3" t="s">
        <v>252</v>
      </c>
      <c r="B390" s="3">
        <v>0.9</v>
      </c>
      <c r="C390" s="3">
        <v>0.5</v>
      </c>
      <c r="D390" s="3">
        <v>0.6</v>
      </c>
      <c r="E390" s="3">
        <v>0.33</v>
      </c>
      <c r="F390" s="7">
        <v>848.34216300000003</v>
      </c>
      <c r="G390" s="3">
        <v>3.0000000000000001E-3</v>
      </c>
      <c r="I390" s="3" t="s">
        <v>252</v>
      </c>
      <c r="J390" s="3">
        <v>0.3</v>
      </c>
      <c r="K390" s="6">
        <v>820.28411900000003</v>
      </c>
      <c r="L390" s="3">
        <v>0</v>
      </c>
      <c r="M390" s="3">
        <f t="shared" si="40"/>
        <v>0.315</v>
      </c>
      <c r="N390" s="5"/>
      <c r="O390" s="5"/>
      <c r="P390" s="5"/>
      <c r="Q390" s="5"/>
      <c r="R390" s="1"/>
      <c r="S390" s="3" t="s">
        <v>252</v>
      </c>
      <c r="T390" s="3">
        <v>0.9</v>
      </c>
      <c r="U390" s="3">
        <v>0.5</v>
      </c>
      <c r="V390" s="3">
        <v>0.6</v>
      </c>
      <c r="W390" s="3">
        <v>0.32</v>
      </c>
      <c r="X390" s="7">
        <v>805.73681599999998</v>
      </c>
      <c r="Y390" s="3">
        <v>3.0000000000000001E-3</v>
      </c>
      <c r="AA390" s="3" t="s">
        <v>252</v>
      </c>
      <c r="AB390" s="3">
        <v>0.3</v>
      </c>
      <c r="AC390" s="6">
        <v>770.12799099999995</v>
      </c>
      <c r="AD390" s="3">
        <v>1E-3</v>
      </c>
      <c r="AE390" s="3">
        <f t="shared" si="41"/>
        <v>0.31</v>
      </c>
      <c r="AF390" s="5"/>
      <c r="AG390" s="5"/>
      <c r="AH390" s="5"/>
      <c r="AI390" s="5"/>
      <c r="AJ390" s="1"/>
      <c r="AK390" s="3" t="s">
        <v>253</v>
      </c>
      <c r="AL390" s="3">
        <v>0.9</v>
      </c>
      <c r="AM390" s="3">
        <v>0.5</v>
      </c>
      <c r="AN390" s="3">
        <v>0.6</v>
      </c>
      <c r="AO390" s="3">
        <v>0.31</v>
      </c>
      <c r="AP390" s="7">
        <v>1201.7536620000001</v>
      </c>
      <c r="AQ390" s="3">
        <v>1.4E-2</v>
      </c>
      <c r="AS390" s="3" t="s">
        <v>253</v>
      </c>
      <c r="AT390" s="3">
        <v>0.3</v>
      </c>
      <c r="AU390" s="6">
        <v>1190.9174800000001</v>
      </c>
      <c r="AV390" s="3">
        <v>2E-3</v>
      </c>
      <c r="AW390" s="3">
        <f t="shared" si="42"/>
        <v>0.30499999999999999</v>
      </c>
      <c r="AX390" s="5"/>
      <c r="AY390" s="5"/>
      <c r="AZ390" s="5"/>
      <c r="BA390" s="5"/>
      <c r="BB390" s="1"/>
      <c r="BC390" s="3" t="s">
        <v>253</v>
      </c>
      <c r="BD390" s="3">
        <v>0.9</v>
      </c>
      <c r="BE390" s="3">
        <v>0.5</v>
      </c>
      <c r="BF390" s="3">
        <v>0.6</v>
      </c>
      <c r="BG390" s="3">
        <v>0.3</v>
      </c>
      <c r="BH390" s="7">
        <v>1193.2734379999999</v>
      </c>
      <c r="BI390" s="3">
        <v>0.01</v>
      </c>
      <c r="BK390" s="3" t="s">
        <v>253</v>
      </c>
      <c r="BL390" s="3">
        <v>0.3</v>
      </c>
      <c r="BM390" s="6">
        <v>1184.463745</v>
      </c>
      <c r="BN390" s="3">
        <v>2E-3</v>
      </c>
      <c r="BO390" s="3">
        <f t="shared" si="43"/>
        <v>0.3</v>
      </c>
    </row>
    <row r="391" spans="1:71" x14ac:dyDescent="0.3">
      <c r="A391" s="9" t="s">
        <v>316</v>
      </c>
      <c r="E391" s="9">
        <f>AVERAGE(E361:E390)</f>
        <v>0.3186666666666666</v>
      </c>
      <c r="I391" s="9" t="s">
        <v>316</v>
      </c>
      <c r="J391" s="9">
        <f>AVERAGE(J361:J390)</f>
        <v>0.31900000000000001</v>
      </c>
      <c r="R391" s="1"/>
      <c r="S391" s="9" t="s">
        <v>316</v>
      </c>
      <c r="W391" s="9">
        <f>AVERAGE(W361:W390)</f>
        <v>0.31966666666666671</v>
      </c>
      <c r="AA391" s="9" t="s">
        <v>316</v>
      </c>
      <c r="AB391" s="9">
        <f>AVERAGE(AB361:AB390)</f>
        <v>0.31333333333333335</v>
      </c>
      <c r="AJ391" s="1"/>
      <c r="AK391" s="9" t="s">
        <v>316</v>
      </c>
      <c r="AO391" s="9">
        <f>AVERAGE(AO361:AO390)</f>
        <v>0.31766666666666671</v>
      </c>
      <c r="AS391" s="9" t="s">
        <v>316</v>
      </c>
      <c r="AT391" s="9">
        <f>AVERAGE(AT361:AT390)</f>
        <v>0.3143333333333333</v>
      </c>
      <c r="BB391" s="1"/>
      <c r="BC391" s="9" t="s">
        <v>316</v>
      </c>
      <c r="BG391" s="9">
        <f>AVERAGE(BG361:BG390)</f>
        <v>0.3126666666666667</v>
      </c>
      <c r="BK391" s="9" t="s">
        <v>316</v>
      </c>
      <c r="BL391" s="9">
        <f>AVERAGE(BL361:BL390)</f>
        <v>0.308</v>
      </c>
    </row>
    <row r="392" spans="1:71" x14ac:dyDescent="0.3">
      <c r="R392" s="1"/>
      <c r="AJ392" s="1"/>
      <c r="BB392" s="1"/>
    </row>
    <row r="393" spans="1:71" x14ac:dyDescent="0.3">
      <c r="R393" s="1"/>
      <c r="AJ393" s="1"/>
      <c r="BB393" s="1"/>
    </row>
    <row r="394" spans="1:71" x14ac:dyDescent="0.3">
      <c r="A394" s="19" t="s">
        <v>314</v>
      </c>
      <c r="B394" s="19"/>
      <c r="C394" s="19"/>
      <c r="D394" s="19"/>
      <c r="E394" s="19"/>
      <c r="F394" s="19"/>
      <c r="G394" s="19"/>
      <c r="I394" s="19" t="s">
        <v>315</v>
      </c>
      <c r="J394" s="19"/>
      <c r="K394" s="19"/>
      <c r="L394" s="19"/>
      <c r="M394" s="19"/>
      <c r="N394" s="11"/>
      <c r="O394" s="11"/>
      <c r="P394" s="11"/>
      <c r="Q394" s="11"/>
      <c r="R394" s="1"/>
      <c r="S394" s="19" t="s">
        <v>314</v>
      </c>
      <c r="T394" s="19"/>
      <c r="U394" s="19"/>
      <c r="V394" s="19"/>
      <c r="W394" s="19"/>
      <c r="X394" s="19"/>
      <c r="Y394" s="19"/>
      <c r="AA394" s="19" t="s">
        <v>315</v>
      </c>
      <c r="AB394" s="19"/>
      <c r="AC394" s="19"/>
      <c r="AD394" s="19"/>
      <c r="AE394" s="19"/>
      <c r="AF394" s="11"/>
      <c r="AG394" s="11"/>
      <c r="AH394" s="11"/>
      <c r="AI394" s="11"/>
      <c r="AJ394" s="1"/>
      <c r="AK394" s="19" t="s">
        <v>314</v>
      </c>
      <c r="AL394" s="19"/>
      <c r="AM394" s="19"/>
      <c r="AN394" s="19"/>
      <c r="AO394" s="19"/>
      <c r="AP394" s="19"/>
      <c r="AQ394" s="19"/>
      <c r="AS394" s="19" t="s">
        <v>315</v>
      </c>
      <c r="AT394" s="19"/>
      <c r="AU394" s="19"/>
      <c r="AV394" s="19"/>
      <c r="AW394" s="19"/>
      <c r="AX394" s="11"/>
      <c r="AY394" s="11"/>
      <c r="AZ394" s="11"/>
      <c r="BA394" s="11"/>
      <c r="BB394" s="1"/>
      <c r="BC394" s="19" t="s">
        <v>314</v>
      </c>
      <c r="BD394" s="19"/>
      <c r="BE394" s="19"/>
      <c r="BF394" s="19"/>
      <c r="BG394" s="19"/>
      <c r="BH394" s="19"/>
      <c r="BI394" s="19"/>
      <c r="BK394" s="19" t="s">
        <v>315</v>
      </c>
      <c r="BL394" s="19"/>
      <c r="BM394" s="19"/>
      <c r="BN394" s="19"/>
      <c r="BO394" s="19"/>
    </row>
    <row r="395" spans="1:71" x14ac:dyDescent="0.3">
      <c r="A395" s="19" t="s">
        <v>72</v>
      </c>
      <c r="B395" s="19"/>
      <c r="C395" s="19"/>
      <c r="D395" s="19"/>
      <c r="E395" s="19"/>
      <c r="F395" s="19"/>
      <c r="G395" s="19"/>
      <c r="I395" s="19" t="s">
        <v>72</v>
      </c>
      <c r="J395" s="19"/>
      <c r="K395" s="19"/>
      <c r="L395" s="19"/>
      <c r="M395" s="19"/>
      <c r="N395" s="11"/>
      <c r="O395" s="11"/>
      <c r="P395" s="11"/>
      <c r="Q395" s="11"/>
      <c r="R395" s="1"/>
      <c r="S395" s="19" t="s">
        <v>73</v>
      </c>
      <c r="T395" s="19"/>
      <c r="U395" s="19"/>
      <c r="V395" s="19"/>
      <c r="W395" s="19"/>
      <c r="X395" s="19"/>
      <c r="Y395" s="19"/>
      <c r="AA395" s="19" t="s">
        <v>73</v>
      </c>
      <c r="AB395" s="19"/>
      <c r="AC395" s="19"/>
      <c r="AD395" s="19"/>
      <c r="AE395" s="19"/>
      <c r="AF395" s="11"/>
      <c r="AG395" s="11"/>
      <c r="AH395" s="11"/>
      <c r="AI395" s="11"/>
      <c r="AJ395" s="1"/>
      <c r="AK395" s="19" t="s">
        <v>72</v>
      </c>
      <c r="AL395" s="19"/>
      <c r="AM395" s="19"/>
      <c r="AN395" s="19"/>
      <c r="AO395" s="19"/>
      <c r="AP395" s="19"/>
      <c r="AQ395" s="19"/>
      <c r="AS395" s="19" t="s">
        <v>72</v>
      </c>
      <c r="AT395" s="19"/>
      <c r="AU395" s="19"/>
      <c r="AV395" s="19"/>
      <c r="AW395" s="19"/>
      <c r="AX395" s="11"/>
      <c r="AY395" s="11"/>
      <c r="AZ395" s="11"/>
      <c r="BA395" s="11"/>
      <c r="BB395" s="1"/>
      <c r="BC395" s="19" t="s">
        <v>73</v>
      </c>
      <c r="BD395" s="19"/>
      <c r="BE395" s="19"/>
      <c r="BF395" s="19"/>
      <c r="BG395" s="19"/>
      <c r="BH395" s="19"/>
      <c r="BI395" s="19"/>
      <c r="BK395" s="19" t="s">
        <v>73</v>
      </c>
      <c r="BL395" s="19"/>
      <c r="BM395" s="19"/>
      <c r="BN395" s="19"/>
      <c r="BO395" s="19"/>
    </row>
    <row r="396" spans="1:71" x14ac:dyDescent="0.3">
      <c r="A396" s="3" t="s">
        <v>2</v>
      </c>
      <c r="B396" s="3" t="s">
        <v>3</v>
      </c>
      <c r="C396" s="3" t="s">
        <v>4</v>
      </c>
      <c r="D396" s="3" t="s">
        <v>5</v>
      </c>
      <c r="E396" s="3" t="s">
        <v>6</v>
      </c>
      <c r="F396" s="3" t="s">
        <v>7</v>
      </c>
      <c r="G396" s="3" t="s">
        <v>8</v>
      </c>
      <c r="I396" s="3" t="s">
        <v>2</v>
      </c>
      <c r="J396" s="3" t="s">
        <v>6</v>
      </c>
      <c r="K396" s="3" t="s">
        <v>7</v>
      </c>
      <c r="L396" s="3" t="s">
        <v>8</v>
      </c>
      <c r="M396" s="3" t="s">
        <v>9</v>
      </c>
      <c r="N396" s="3" t="s">
        <v>322</v>
      </c>
      <c r="O396" s="3" t="s">
        <v>323</v>
      </c>
      <c r="P396" s="3" t="s">
        <v>322</v>
      </c>
      <c r="Q396" s="3" t="s">
        <v>323</v>
      </c>
      <c r="R396" s="1"/>
      <c r="S396" s="3" t="s">
        <v>2</v>
      </c>
      <c r="T396" s="3" t="s">
        <v>3</v>
      </c>
      <c r="U396" s="3" t="s">
        <v>4</v>
      </c>
      <c r="V396" s="3" t="s">
        <v>5</v>
      </c>
      <c r="W396" s="3" t="s">
        <v>6</v>
      </c>
      <c r="X396" s="3" t="s">
        <v>7</v>
      </c>
      <c r="Y396" s="3" t="s">
        <v>8</v>
      </c>
      <c r="AA396" s="3" t="s">
        <v>2</v>
      </c>
      <c r="AB396" s="3" t="s">
        <v>6</v>
      </c>
      <c r="AC396" s="3" t="s">
        <v>7</v>
      </c>
      <c r="AD396" s="3" t="s">
        <v>8</v>
      </c>
      <c r="AE396" s="3" t="s">
        <v>9</v>
      </c>
      <c r="AF396" s="3" t="s">
        <v>322</v>
      </c>
      <c r="AG396" s="3" t="s">
        <v>323</v>
      </c>
      <c r="AH396" s="3" t="s">
        <v>322</v>
      </c>
      <c r="AI396" s="3" t="s">
        <v>323</v>
      </c>
      <c r="AJ396" s="1"/>
      <c r="AK396" s="3" t="s">
        <v>2</v>
      </c>
      <c r="AL396" s="3" t="s">
        <v>3</v>
      </c>
      <c r="AM396" s="3" t="s">
        <v>4</v>
      </c>
      <c r="AN396" s="3" t="s">
        <v>5</v>
      </c>
      <c r="AO396" s="3" t="s">
        <v>6</v>
      </c>
      <c r="AP396" s="3" t="s">
        <v>7</v>
      </c>
      <c r="AQ396" s="3" t="s">
        <v>8</v>
      </c>
      <c r="AS396" s="3" t="s">
        <v>2</v>
      </c>
      <c r="AT396" s="3" t="s">
        <v>6</v>
      </c>
      <c r="AU396" s="3" t="s">
        <v>7</v>
      </c>
      <c r="AV396" s="3" t="s">
        <v>8</v>
      </c>
      <c r="AW396" s="3" t="s">
        <v>9</v>
      </c>
      <c r="AX396" s="3" t="s">
        <v>322</v>
      </c>
      <c r="AY396" s="3" t="s">
        <v>323</v>
      </c>
      <c r="AZ396" s="3" t="s">
        <v>322</v>
      </c>
      <c r="BA396" s="3" t="s">
        <v>323</v>
      </c>
      <c r="BB396" s="1"/>
      <c r="BC396" s="3" t="s">
        <v>2</v>
      </c>
      <c r="BD396" s="3" t="s">
        <v>3</v>
      </c>
      <c r="BE396" s="3" t="s">
        <v>4</v>
      </c>
      <c r="BF396" s="3" t="s">
        <v>5</v>
      </c>
      <c r="BG396" s="3" t="s">
        <v>6</v>
      </c>
      <c r="BH396" s="3" t="s">
        <v>7</v>
      </c>
      <c r="BI396" s="3" t="s">
        <v>8</v>
      </c>
      <c r="BK396" s="3" t="s">
        <v>2</v>
      </c>
      <c r="BL396" s="3" t="s">
        <v>6</v>
      </c>
      <c r="BM396" s="3" t="s">
        <v>7</v>
      </c>
      <c r="BN396" s="3" t="s">
        <v>8</v>
      </c>
      <c r="BO396" s="3" t="s">
        <v>9</v>
      </c>
      <c r="BP396" s="3" t="s">
        <v>322</v>
      </c>
      <c r="BQ396" s="3" t="s">
        <v>323</v>
      </c>
      <c r="BR396" s="3" t="s">
        <v>322</v>
      </c>
      <c r="BS396" s="3" t="s">
        <v>323</v>
      </c>
    </row>
    <row r="397" spans="1:71" x14ac:dyDescent="0.3">
      <c r="A397" s="3" t="s">
        <v>194</v>
      </c>
      <c r="B397" s="3">
        <v>0.9</v>
      </c>
      <c r="C397" s="3">
        <v>0.5</v>
      </c>
      <c r="D397" s="3">
        <v>0.6</v>
      </c>
      <c r="E397" s="3">
        <v>0.38</v>
      </c>
      <c r="F397" s="8">
        <v>690.98492399999998</v>
      </c>
      <c r="G397" s="3">
        <v>3.0000000000000001E-3</v>
      </c>
      <c r="I397" s="3" t="s">
        <v>194</v>
      </c>
      <c r="J397" s="3">
        <v>0.34</v>
      </c>
      <c r="K397" s="6">
        <v>690.77667199999996</v>
      </c>
      <c r="L397" s="3">
        <v>0</v>
      </c>
      <c r="M397" s="3">
        <f t="shared" ref="M397:M426" si="44">AVERAGE(E397,J397)</f>
        <v>0.36</v>
      </c>
      <c r="N397" s="4" t="s">
        <v>320</v>
      </c>
      <c r="O397" s="4" t="s">
        <v>320</v>
      </c>
      <c r="P397" s="4" t="s">
        <v>321</v>
      </c>
      <c r="Q397" s="4" t="s">
        <v>321</v>
      </c>
      <c r="R397" s="1"/>
      <c r="S397" s="3" t="s">
        <v>194</v>
      </c>
      <c r="T397" s="3">
        <v>0.9</v>
      </c>
      <c r="U397" s="3">
        <v>0.5</v>
      </c>
      <c r="V397" s="3">
        <v>0.6</v>
      </c>
      <c r="W397" s="3">
        <v>0.3</v>
      </c>
      <c r="X397" s="7">
        <v>680.66156000000001</v>
      </c>
      <c r="Y397" s="3">
        <v>3.0000000000000001E-3</v>
      </c>
      <c r="AA397" s="3" t="s">
        <v>194</v>
      </c>
      <c r="AB397" s="3">
        <v>0.3</v>
      </c>
      <c r="AC397" s="6">
        <v>669.88830600000006</v>
      </c>
      <c r="AD397" s="3">
        <v>0</v>
      </c>
      <c r="AE397" s="3">
        <f t="shared" ref="AE397:AE426" si="45">AVERAGE(W397,AB397)</f>
        <v>0.3</v>
      </c>
      <c r="AF397" s="4" t="s">
        <v>320</v>
      </c>
      <c r="AG397" s="4" t="s">
        <v>320</v>
      </c>
      <c r="AH397" s="4" t="s">
        <v>321</v>
      </c>
      <c r="AI397" s="4" t="s">
        <v>321</v>
      </c>
      <c r="AJ397" s="1"/>
      <c r="AK397" s="3" t="s">
        <v>195</v>
      </c>
      <c r="AL397" s="3">
        <v>0.9</v>
      </c>
      <c r="AM397" s="3">
        <v>0.5</v>
      </c>
      <c r="AN397" s="3">
        <v>0.6</v>
      </c>
      <c r="AO397" s="3">
        <v>0.35</v>
      </c>
      <c r="AP397" s="6">
        <v>1006.13147</v>
      </c>
      <c r="AQ397" s="3">
        <v>0.01</v>
      </c>
      <c r="AS397" s="3" t="s">
        <v>195</v>
      </c>
      <c r="AT397" s="3">
        <v>0.31</v>
      </c>
      <c r="AU397" s="7">
        <v>1009.816284</v>
      </c>
      <c r="AV397" s="3">
        <v>0</v>
      </c>
      <c r="AW397" s="3">
        <f t="shared" ref="AW397:AW426" si="46">AVERAGE(AO397,AT397)</f>
        <v>0.32999999999999996</v>
      </c>
      <c r="AX397" s="4" t="s">
        <v>320</v>
      </c>
      <c r="AY397" s="4" t="s">
        <v>320</v>
      </c>
      <c r="AZ397" s="4" t="s">
        <v>321</v>
      </c>
      <c r="BA397" s="4" t="s">
        <v>321</v>
      </c>
      <c r="BB397" s="1"/>
      <c r="BC397" s="3" t="s">
        <v>195</v>
      </c>
      <c r="BD397" s="3">
        <v>0.9</v>
      </c>
      <c r="BE397" s="3">
        <v>0.5</v>
      </c>
      <c r="BF397" s="3">
        <v>0.6</v>
      </c>
      <c r="BG397" s="3">
        <v>0.3</v>
      </c>
      <c r="BH397" s="7">
        <v>1009.489136</v>
      </c>
      <c r="BI397" s="3">
        <v>7.0000000000000001E-3</v>
      </c>
      <c r="BK397" s="3" t="s">
        <v>195</v>
      </c>
      <c r="BL397" s="3">
        <v>0.3</v>
      </c>
      <c r="BM397" s="6">
        <v>1001.849487</v>
      </c>
      <c r="BN397" s="3">
        <v>0</v>
      </c>
      <c r="BO397" s="3">
        <f t="shared" ref="BO397:BO426" si="47">AVERAGE(BG397,BL397)</f>
        <v>0.3</v>
      </c>
      <c r="BP397" s="4" t="s">
        <v>320</v>
      </c>
      <c r="BQ397" s="4" t="s">
        <v>320</v>
      </c>
      <c r="BR397" s="4" t="s">
        <v>321</v>
      </c>
      <c r="BS397" s="4" t="s">
        <v>321</v>
      </c>
    </row>
    <row r="398" spans="1:71" x14ac:dyDescent="0.3">
      <c r="A398" s="3" t="s">
        <v>196</v>
      </c>
      <c r="B398" s="3">
        <v>0.9</v>
      </c>
      <c r="C398" s="3">
        <v>0.5</v>
      </c>
      <c r="D398" s="3">
        <v>0.6</v>
      </c>
      <c r="E398" s="3">
        <v>0.3</v>
      </c>
      <c r="F398" s="6">
        <v>653.74194299999999</v>
      </c>
      <c r="G398" s="3">
        <v>2E-3</v>
      </c>
      <c r="I398" s="3" t="s">
        <v>196</v>
      </c>
      <c r="J398" s="3">
        <v>0.37</v>
      </c>
      <c r="K398" s="7">
        <v>655.52801499999998</v>
      </c>
      <c r="L398" s="3">
        <v>0</v>
      </c>
      <c r="M398" s="3">
        <f t="shared" si="44"/>
        <v>0.33499999999999996</v>
      </c>
      <c r="N398" s="3">
        <f>COUNT(F397:F399,F401:F402,F404:F406,F408:F412,F414:F421,F424)</f>
        <v>22</v>
      </c>
      <c r="O398" s="3">
        <f>30-N398</f>
        <v>8</v>
      </c>
      <c r="P398" s="3">
        <f>COUNT(K397,K400,K403,K407,K409,K413,K422:K423,K425:K426)</f>
        <v>10</v>
      </c>
      <c r="Q398" s="3">
        <f>30-P398</f>
        <v>20</v>
      </c>
      <c r="R398" s="1"/>
      <c r="S398" s="3" t="s">
        <v>196</v>
      </c>
      <c r="T398" s="3">
        <v>0.9</v>
      </c>
      <c r="U398" s="3">
        <v>0.5</v>
      </c>
      <c r="V398" s="3">
        <v>0.6</v>
      </c>
      <c r="W398" s="3">
        <v>0.31</v>
      </c>
      <c r="X398" s="7">
        <v>652.37176499999998</v>
      </c>
      <c r="Y398" s="3">
        <v>4.0000000000000001E-3</v>
      </c>
      <c r="AA398" s="3" t="s">
        <v>196</v>
      </c>
      <c r="AB398" s="3">
        <v>0.31</v>
      </c>
      <c r="AC398" s="6">
        <v>643.97277799999995</v>
      </c>
      <c r="AD398" s="3">
        <v>1E-3</v>
      </c>
      <c r="AE398" s="3">
        <f t="shared" si="45"/>
        <v>0.31</v>
      </c>
      <c r="AF398" s="3">
        <f>COUNT(X400:X406,X411,X413:X414,X416:X424)</f>
        <v>19</v>
      </c>
      <c r="AG398" s="3">
        <f>30-AF398</f>
        <v>11</v>
      </c>
      <c r="AH398" s="3">
        <f>COUNT(AC397:AC399,AC401,AC403,AC407:AC410,AC412:AC413,AC415,AC425:AC426)</f>
        <v>14</v>
      </c>
      <c r="AI398" s="3">
        <f>30-AH398</f>
        <v>16</v>
      </c>
      <c r="AJ398" s="1"/>
      <c r="AK398" s="3" t="s">
        <v>197</v>
      </c>
      <c r="AL398" s="3">
        <v>0.9</v>
      </c>
      <c r="AM398" s="3">
        <v>0.5</v>
      </c>
      <c r="AN398" s="3">
        <v>0.6</v>
      </c>
      <c r="AO398" s="3">
        <v>0.32</v>
      </c>
      <c r="AP398" s="6">
        <v>964.77124000000003</v>
      </c>
      <c r="AQ398" s="3">
        <v>1.0999999999999999E-2</v>
      </c>
      <c r="AS398" s="3" t="s">
        <v>197</v>
      </c>
      <c r="AT398" s="3">
        <v>0.32</v>
      </c>
      <c r="AU398" s="7">
        <v>955.14855999999997</v>
      </c>
      <c r="AV398" s="3">
        <v>2E-3</v>
      </c>
      <c r="AW398" s="3">
        <f t="shared" si="46"/>
        <v>0.32</v>
      </c>
      <c r="AX398" s="3">
        <f>COUNT(AP397:AP399,AP402,AP405:AP406,AP409:AP411,AP415:AP418,AP423:AP424,AP426)</f>
        <v>16</v>
      </c>
      <c r="AY398" s="3">
        <f>30-AX398</f>
        <v>14</v>
      </c>
      <c r="AZ398" s="3">
        <f>COUNT(AU399:AU404,AU407:AU408,AU412:AU414,AU419:AU422,AU425)</f>
        <v>16</v>
      </c>
      <c r="BA398" s="3">
        <f>30-AZ398</f>
        <v>14</v>
      </c>
      <c r="BB398" s="1"/>
      <c r="BC398" s="3" t="s">
        <v>197</v>
      </c>
      <c r="BD398" s="3">
        <v>0.9</v>
      </c>
      <c r="BE398" s="3">
        <v>0.5</v>
      </c>
      <c r="BF398" s="3">
        <v>0.6</v>
      </c>
      <c r="BG398" s="3">
        <v>0.31</v>
      </c>
      <c r="BH398" s="6">
        <v>933.74322500000005</v>
      </c>
      <c r="BI398" s="3">
        <v>7.0000000000000001E-3</v>
      </c>
      <c r="BK398" s="3" t="s">
        <v>197</v>
      </c>
      <c r="BL398" s="3">
        <v>0.31</v>
      </c>
      <c r="BM398" s="7">
        <v>934.97985800000004</v>
      </c>
      <c r="BN398" s="3">
        <v>0</v>
      </c>
      <c r="BO398" s="3">
        <f t="shared" si="47"/>
        <v>0.31</v>
      </c>
      <c r="BP398" s="3">
        <f>COUNT(BH398:BH400,BH403:BH404,BH406,BH409,BH412,BH415:BH416,BH418:BH419,BH423:BH426)</f>
        <v>16</v>
      </c>
      <c r="BQ398" s="3">
        <f>30-BP398</f>
        <v>14</v>
      </c>
      <c r="BR398" s="3">
        <f>COUNT(BM397,BM401:BM402,BM405,BM407:BM408,BM410:BM411,BM413:BM414,BM417,BM420:BM422)</f>
        <v>14</v>
      </c>
      <c r="BS398" s="3">
        <f>30-BR398</f>
        <v>16</v>
      </c>
    </row>
    <row r="399" spans="1:71" x14ac:dyDescent="0.3">
      <c r="A399" s="3" t="s">
        <v>198</v>
      </c>
      <c r="B399" s="3">
        <v>0.9</v>
      </c>
      <c r="C399" s="3">
        <v>0.5</v>
      </c>
      <c r="D399" s="3">
        <v>0.6</v>
      </c>
      <c r="E399" s="3">
        <v>0.32</v>
      </c>
      <c r="F399" s="6">
        <v>631.75915499999996</v>
      </c>
      <c r="G399" s="3">
        <v>2E-3</v>
      </c>
      <c r="I399" s="3" t="s">
        <v>198</v>
      </c>
      <c r="J399" s="3">
        <v>0.34</v>
      </c>
      <c r="K399" s="7">
        <v>644.08337400000005</v>
      </c>
      <c r="L399" s="3">
        <v>0</v>
      </c>
      <c r="M399" s="3">
        <f t="shared" si="44"/>
        <v>0.33</v>
      </c>
      <c r="N399" s="5"/>
      <c r="O399" s="5"/>
      <c r="P399" s="5"/>
      <c r="Q399" s="5"/>
      <c r="R399" s="1"/>
      <c r="S399" s="3" t="s">
        <v>198</v>
      </c>
      <c r="T399" s="3">
        <v>0.9</v>
      </c>
      <c r="U399" s="3">
        <v>0.5</v>
      </c>
      <c r="V399" s="3">
        <v>0.6</v>
      </c>
      <c r="W399" s="3">
        <v>0.32</v>
      </c>
      <c r="X399" s="7">
        <v>642.99670400000002</v>
      </c>
      <c r="Y399" s="3">
        <v>3.0000000000000001E-3</v>
      </c>
      <c r="AA399" s="3" t="s">
        <v>198</v>
      </c>
      <c r="AB399" s="3">
        <v>0.3</v>
      </c>
      <c r="AC399" s="6">
        <v>636.08209199999999</v>
      </c>
      <c r="AD399" s="3">
        <v>0</v>
      </c>
      <c r="AE399" s="3">
        <f t="shared" si="45"/>
        <v>0.31</v>
      </c>
      <c r="AF399" s="5"/>
      <c r="AG399" s="5"/>
      <c r="AH399" s="5"/>
      <c r="AI399" s="5"/>
      <c r="AJ399" s="1"/>
      <c r="AK399" s="3" t="s">
        <v>199</v>
      </c>
      <c r="AL399" s="3">
        <v>0.9</v>
      </c>
      <c r="AM399" s="3">
        <v>0.5</v>
      </c>
      <c r="AN399" s="3">
        <v>0.6</v>
      </c>
      <c r="AO399" s="3">
        <v>0.3</v>
      </c>
      <c r="AP399" s="6">
        <v>970.48962400000005</v>
      </c>
      <c r="AQ399" s="3">
        <v>1.0999999999999999E-2</v>
      </c>
      <c r="AS399" s="3" t="s">
        <v>199</v>
      </c>
      <c r="AT399" s="3">
        <v>0.31</v>
      </c>
      <c r="AU399" s="8">
        <v>970.77844200000004</v>
      </c>
      <c r="AV399" s="3">
        <v>1E-3</v>
      </c>
      <c r="AW399" s="3">
        <f t="shared" si="46"/>
        <v>0.30499999999999999</v>
      </c>
      <c r="AX399" s="5"/>
      <c r="AY399" s="5"/>
      <c r="AZ399" s="5"/>
      <c r="BA399" s="5"/>
      <c r="BB399" s="1"/>
      <c r="BC399" s="3" t="s">
        <v>199</v>
      </c>
      <c r="BD399" s="3">
        <v>0.9</v>
      </c>
      <c r="BE399" s="3">
        <v>0.5</v>
      </c>
      <c r="BF399" s="3">
        <v>0.6</v>
      </c>
      <c r="BG399" s="3">
        <v>0.3</v>
      </c>
      <c r="BH399" s="6">
        <v>964.15191700000003</v>
      </c>
      <c r="BI399" s="3">
        <v>7.0000000000000001E-3</v>
      </c>
      <c r="BK399" s="3" t="s">
        <v>199</v>
      </c>
      <c r="BL399" s="3">
        <v>0.3</v>
      </c>
      <c r="BM399" s="7">
        <v>968.084656</v>
      </c>
      <c r="BN399" s="3">
        <v>1E-3</v>
      </c>
      <c r="BO399" s="3">
        <f t="shared" si="47"/>
        <v>0.3</v>
      </c>
    </row>
    <row r="400" spans="1:71" x14ac:dyDescent="0.3">
      <c r="A400" s="3" t="s">
        <v>200</v>
      </c>
      <c r="B400" s="3">
        <v>0.9</v>
      </c>
      <c r="C400" s="3">
        <v>0.5</v>
      </c>
      <c r="D400" s="3">
        <v>0.6</v>
      </c>
      <c r="E400" s="3">
        <v>0.3</v>
      </c>
      <c r="F400" s="7">
        <v>602.20471199999997</v>
      </c>
      <c r="G400" s="3">
        <v>2E-3</v>
      </c>
      <c r="I400" s="3" t="s">
        <v>200</v>
      </c>
      <c r="J400" s="3">
        <v>0.3</v>
      </c>
      <c r="K400" s="6">
        <v>589.57446300000004</v>
      </c>
      <c r="L400" s="3">
        <v>0</v>
      </c>
      <c r="M400" s="3">
        <f t="shared" si="44"/>
        <v>0.3</v>
      </c>
      <c r="N400" s="5"/>
      <c r="O400" s="5"/>
      <c r="P400" s="5"/>
      <c r="Q400" s="5"/>
      <c r="R400" s="1"/>
      <c r="S400" s="3" t="s">
        <v>200</v>
      </c>
      <c r="T400" s="3">
        <v>0.9</v>
      </c>
      <c r="U400" s="3">
        <v>0.5</v>
      </c>
      <c r="V400" s="3">
        <v>0.6</v>
      </c>
      <c r="W400" s="3">
        <v>0.32</v>
      </c>
      <c r="X400" s="6">
        <v>578.91381799999999</v>
      </c>
      <c r="Y400" s="3">
        <v>2E-3</v>
      </c>
      <c r="AA400" s="3" t="s">
        <v>200</v>
      </c>
      <c r="AB400" s="3">
        <v>0.31</v>
      </c>
      <c r="AC400" s="7">
        <v>581.56555200000003</v>
      </c>
      <c r="AD400" s="3">
        <v>0</v>
      </c>
      <c r="AE400" s="3">
        <f t="shared" si="45"/>
        <v>0.315</v>
      </c>
      <c r="AF400" s="5"/>
      <c r="AG400" s="5"/>
      <c r="AH400" s="5"/>
      <c r="AI400" s="5"/>
      <c r="AJ400" s="1"/>
      <c r="AK400" s="3" t="s">
        <v>201</v>
      </c>
      <c r="AL400" s="3">
        <v>0.9</v>
      </c>
      <c r="AM400" s="3">
        <v>0.5</v>
      </c>
      <c r="AN400" s="3">
        <v>0.6</v>
      </c>
      <c r="AO400" s="3">
        <v>0.31</v>
      </c>
      <c r="AP400" s="7">
        <v>1031.9023440000001</v>
      </c>
      <c r="AQ400" s="3">
        <v>8.9999999999999993E-3</v>
      </c>
      <c r="AS400" s="3" t="s">
        <v>201</v>
      </c>
      <c r="AT400" s="3">
        <v>0.3</v>
      </c>
      <c r="AU400" s="6">
        <v>1016.76825</v>
      </c>
      <c r="AV400" s="3">
        <v>1E-3</v>
      </c>
      <c r="AW400" s="3">
        <f t="shared" si="46"/>
        <v>0.30499999999999999</v>
      </c>
      <c r="AX400" s="5"/>
      <c r="AY400" s="5"/>
      <c r="AZ400" s="5"/>
      <c r="BA400" s="5"/>
      <c r="BB400" s="1"/>
      <c r="BC400" s="3" t="s">
        <v>201</v>
      </c>
      <c r="BD400" s="3">
        <v>0.9</v>
      </c>
      <c r="BE400" s="3">
        <v>0.5</v>
      </c>
      <c r="BF400" s="3">
        <v>0.6</v>
      </c>
      <c r="BG400" s="3">
        <v>0.31</v>
      </c>
      <c r="BH400" s="6">
        <v>1010.094299</v>
      </c>
      <c r="BI400" s="3">
        <v>7.0000000000000001E-3</v>
      </c>
      <c r="BK400" s="3" t="s">
        <v>201</v>
      </c>
      <c r="BL400" s="3">
        <v>0.31</v>
      </c>
      <c r="BM400" s="7">
        <v>1021.149963</v>
      </c>
      <c r="BN400" s="3">
        <v>1E-3</v>
      </c>
      <c r="BO400" s="3">
        <f t="shared" si="47"/>
        <v>0.31</v>
      </c>
    </row>
    <row r="401" spans="1:67" x14ac:dyDescent="0.3">
      <c r="A401" s="3" t="s">
        <v>202</v>
      </c>
      <c r="B401" s="3">
        <v>0.9</v>
      </c>
      <c r="C401" s="3">
        <v>0.5</v>
      </c>
      <c r="D401" s="3">
        <v>0.6</v>
      </c>
      <c r="E401" s="3">
        <v>0.31</v>
      </c>
      <c r="F401" s="6">
        <v>605.50585899999999</v>
      </c>
      <c r="G401" s="3">
        <v>2E-3</v>
      </c>
      <c r="I401" s="3" t="s">
        <v>202</v>
      </c>
      <c r="J401" s="3">
        <v>0.3</v>
      </c>
      <c r="K401" s="7">
        <v>612.98596199999997</v>
      </c>
      <c r="L401" s="3">
        <v>0</v>
      </c>
      <c r="M401" s="3">
        <f t="shared" si="44"/>
        <v>0.30499999999999999</v>
      </c>
      <c r="N401" s="5"/>
      <c r="O401" s="5"/>
      <c r="P401" s="5"/>
      <c r="Q401" s="5"/>
      <c r="R401" s="1"/>
      <c r="S401" s="3" t="s">
        <v>202</v>
      </c>
      <c r="T401" s="3">
        <v>0.9</v>
      </c>
      <c r="U401" s="3">
        <v>0.5</v>
      </c>
      <c r="V401" s="3">
        <v>0.6</v>
      </c>
      <c r="W401" s="3">
        <v>0.3</v>
      </c>
      <c r="X401" s="8">
        <v>593.99395800000002</v>
      </c>
      <c r="Y401" s="3">
        <v>2E-3</v>
      </c>
      <c r="AA401" s="3" t="s">
        <v>202</v>
      </c>
      <c r="AB401" s="3">
        <v>0.3</v>
      </c>
      <c r="AC401" s="6">
        <v>593.86529499999995</v>
      </c>
      <c r="AD401" s="3">
        <v>0</v>
      </c>
      <c r="AE401" s="3">
        <f t="shared" si="45"/>
        <v>0.3</v>
      </c>
      <c r="AF401" s="5"/>
      <c r="AG401" s="5"/>
      <c r="AH401" s="5"/>
      <c r="AI401" s="5"/>
      <c r="AJ401" s="1"/>
      <c r="AK401" s="3" t="s">
        <v>203</v>
      </c>
      <c r="AL401" s="3">
        <v>0.9</v>
      </c>
      <c r="AM401" s="3">
        <v>0.5</v>
      </c>
      <c r="AN401" s="3">
        <v>0.6</v>
      </c>
      <c r="AO401" s="3">
        <v>0.3</v>
      </c>
      <c r="AP401" s="7">
        <v>980.80926499999998</v>
      </c>
      <c r="AQ401" s="3">
        <v>8.0000000000000002E-3</v>
      </c>
      <c r="AS401" s="3" t="s">
        <v>203</v>
      </c>
      <c r="AT401" s="3">
        <v>0.3</v>
      </c>
      <c r="AU401" s="6">
        <v>974.80963099999997</v>
      </c>
      <c r="AV401" s="3">
        <v>1E-3</v>
      </c>
      <c r="AW401" s="3">
        <f t="shared" si="46"/>
        <v>0.3</v>
      </c>
      <c r="AX401" s="5"/>
      <c r="AY401" s="5"/>
      <c r="AZ401" s="5"/>
      <c r="BA401" s="5"/>
      <c r="BB401" s="1"/>
      <c r="BC401" s="3" t="s">
        <v>203</v>
      </c>
      <c r="BD401" s="3">
        <v>0.9</v>
      </c>
      <c r="BE401" s="3">
        <v>0.5</v>
      </c>
      <c r="BF401" s="3">
        <v>0.6</v>
      </c>
      <c r="BG401" s="3">
        <v>0.31</v>
      </c>
      <c r="BH401" s="7">
        <v>963.58496100000002</v>
      </c>
      <c r="BI401" s="3">
        <v>7.0000000000000001E-3</v>
      </c>
      <c r="BK401" s="3" t="s">
        <v>203</v>
      </c>
      <c r="BL401" s="3">
        <v>0.31</v>
      </c>
      <c r="BM401" s="6">
        <v>964.115906</v>
      </c>
      <c r="BN401" s="3">
        <v>0</v>
      </c>
      <c r="BO401" s="3">
        <f t="shared" si="47"/>
        <v>0.31</v>
      </c>
    </row>
    <row r="402" spans="1:67" x14ac:dyDescent="0.3">
      <c r="A402" s="3" t="s">
        <v>204</v>
      </c>
      <c r="B402" s="3">
        <v>0.9</v>
      </c>
      <c r="C402" s="3">
        <v>0.5</v>
      </c>
      <c r="D402" s="3">
        <v>0.6</v>
      </c>
      <c r="E402" s="3">
        <v>0.31</v>
      </c>
      <c r="F402" s="6">
        <v>645.97259499999996</v>
      </c>
      <c r="G402" s="3">
        <v>2E-3</v>
      </c>
      <c r="I402" s="3" t="s">
        <v>204</v>
      </c>
      <c r="J402" s="3">
        <v>0.32</v>
      </c>
      <c r="K402" s="7">
        <v>648.74560499999995</v>
      </c>
      <c r="L402" s="3">
        <v>0</v>
      </c>
      <c r="M402" s="3">
        <f t="shared" si="44"/>
        <v>0.315</v>
      </c>
      <c r="N402" s="5"/>
      <c r="O402" s="5"/>
      <c r="P402" s="5"/>
      <c r="Q402" s="5"/>
      <c r="R402" s="1"/>
      <c r="S402" s="3" t="s">
        <v>204</v>
      </c>
      <c r="T402" s="3">
        <v>0.9</v>
      </c>
      <c r="U402" s="3">
        <v>0.5</v>
      </c>
      <c r="V402" s="3">
        <v>0.6</v>
      </c>
      <c r="W402" s="3">
        <v>0.31</v>
      </c>
      <c r="X402" s="6">
        <v>643.25213599999995</v>
      </c>
      <c r="Y402" s="3">
        <v>3.0000000000000001E-3</v>
      </c>
      <c r="AA402" s="3" t="s">
        <v>204</v>
      </c>
      <c r="AB402" s="3">
        <v>0.33</v>
      </c>
      <c r="AC402" s="7">
        <v>646.93182400000001</v>
      </c>
      <c r="AD402" s="3">
        <v>0</v>
      </c>
      <c r="AE402" s="3">
        <f t="shared" si="45"/>
        <v>0.32</v>
      </c>
      <c r="AF402" s="5"/>
      <c r="AG402" s="5"/>
      <c r="AH402" s="5"/>
      <c r="AI402" s="5"/>
      <c r="AJ402" s="1"/>
      <c r="AK402" s="3" t="s">
        <v>205</v>
      </c>
      <c r="AL402" s="3">
        <v>0.9</v>
      </c>
      <c r="AM402" s="3">
        <v>0.5</v>
      </c>
      <c r="AN402" s="3">
        <v>0.6</v>
      </c>
      <c r="AO402" s="3">
        <v>0.33</v>
      </c>
      <c r="AP402" s="8">
        <v>989.51122999999995</v>
      </c>
      <c r="AQ402" s="3">
        <v>0.01</v>
      </c>
      <c r="AS402" s="3" t="s">
        <v>205</v>
      </c>
      <c r="AT402" s="3">
        <v>0.3</v>
      </c>
      <c r="AU402" s="6">
        <v>989.07195999999999</v>
      </c>
      <c r="AV402" s="3">
        <v>1E-3</v>
      </c>
      <c r="AW402" s="3">
        <f t="shared" si="46"/>
        <v>0.315</v>
      </c>
      <c r="AX402" s="5"/>
      <c r="AY402" s="5"/>
      <c r="AZ402" s="5"/>
      <c r="BA402" s="5"/>
      <c r="BB402" s="1"/>
      <c r="BC402" s="3" t="s">
        <v>205</v>
      </c>
      <c r="BD402" s="3">
        <v>0.9</v>
      </c>
      <c r="BE402" s="3">
        <v>0.5</v>
      </c>
      <c r="BF402" s="3">
        <v>0.6</v>
      </c>
      <c r="BG402" s="3">
        <v>0.31</v>
      </c>
      <c r="BH402" s="7">
        <v>988.44329800000003</v>
      </c>
      <c r="BI402" s="3">
        <v>7.0000000000000001E-3</v>
      </c>
      <c r="BK402" s="3" t="s">
        <v>205</v>
      </c>
      <c r="BL402" s="3">
        <v>0.3</v>
      </c>
      <c r="BM402" s="6">
        <v>977.59826699999996</v>
      </c>
      <c r="BN402" s="3">
        <v>1E-3</v>
      </c>
      <c r="BO402" s="3">
        <f t="shared" si="47"/>
        <v>0.30499999999999999</v>
      </c>
    </row>
    <row r="403" spans="1:67" x14ac:dyDescent="0.3">
      <c r="A403" s="3" t="s">
        <v>206</v>
      </c>
      <c r="B403" s="3">
        <v>0.9</v>
      </c>
      <c r="C403" s="3">
        <v>0.5</v>
      </c>
      <c r="D403" s="3">
        <v>0.6</v>
      </c>
      <c r="E403" s="3">
        <v>0.33</v>
      </c>
      <c r="F403" s="7">
        <v>664.94091800000001</v>
      </c>
      <c r="G403" s="3">
        <v>2E-3</v>
      </c>
      <c r="I403" s="3" t="s">
        <v>206</v>
      </c>
      <c r="J403" s="3">
        <v>0.31</v>
      </c>
      <c r="K403" s="6">
        <v>662.40771500000005</v>
      </c>
      <c r="L403" s="3">
        <v>1E-3</v>
      </c>
      <c r="M403" s="3">
        <f t="shared" si="44"/>
        <v>0.32</v>
      </c>
      <c r="N403" s="5"/>
      <c r="O403" s="5"/>
      <c r="P403" s="5"/>
      <c r="Q403" s="5"/>
      <c r="R403" s="1"/>
      <c r="S403" s="3" t="s">
        <v>206</v>
      </c>
      <c r="T403" s="3">
        <v>0.9</v>
      </c>
      <c r="U403" s="3">
        <v>0.5</v>
      </c>
      <c r="V403" s="3">
        <v>0.6</v>
      </c>
      <c r="W403" s="3">
        <v>0.36</v>
      </c>
      <c r="X403" s="8">
        <v>655.68926999999996</v>
      </c>
      <c r="Y403" s="3">
        <v>4.0000000000000001E-3</v>
      </c>
      <c r="AA403" s="3" t="s">
        <v>206</v>
      </c>
      <c r="AB403" s="3">
        <v>0.3</v>
      </c>
      <c r="AC403" s="6">
        <v>655.44647199999997</v>
      </c>
      <c r="AD403" s="3">
        <v>0</v>
      </c>
      <c r="AE403" s="3">
        <f t="shared" si="45"/>
        <v>0.32999999999999996</v>
      </c>
      <c r="AF403" s="5"/>
      <c r="AG403" s="5"/>
      <c r="AH403" s="5"/>
      <c r="AI403" s="5"/>
      <c r="AJ403" s="1"/>
      <c r="AK403" s="3" t="s">
        <v>207</v>
      </c>
      <c r="AL403" s="3">
        <v>0.9</v>
      </c>
      <c r="AM403" s="3">
        <v>0.5</v>
      </c>
      <c r="AN403" s="3">
        <v>0.6</v>
      </c>
      <c r="AO403" s="3">
        <v>0.32</v>
      </c>
      <c r="AP403" s="7">
        <v>904.17785600000002</v>
      </c>
      <c r="AQ403" s="3">
        <v>8.9999999999999993E-3</v>
      </c>
      <c r="AS403" s="3" t="s">
        <v>207</v>
      </c>
      <c r="AT403" s="3">
        <v>0.3</v>
      </c>
      <c r="AU403" s="6">
        <v>896.65673800000002</v>
      </c>
      <c r="AV403" s="3">
        <v>0</v>
      </c>
      <c r="AW403" s="3">
        <f t="shared" si="46"/>
        <v>0.31</v>
      </c>
      <c r="AX403" s="5"/>
      <c r="AY403" s="5"/>
      <c r="AZ403" s="5"/>
      <c r="BA403" s="5"/>
      <c r="BB403" s="1"/>
      <c r="BC403" s="3" t="s">
        <v>207</v>
      </c>
      <c r="BD403" s="3">
        <v>0.9</v>
      </c>
      <c r="BE403" s="3">
        <v>0.5</v>
      </c>
      <c r="BF403" s="3">
        <v>0.6</v>
      </c>
      <c r="BG403" s="3">
        <v>0.3</v>
      </c>
      <c r="BH403" s="6">
        <v>877.715149</v>
      </c>
      <c r="BI403" s="3">
        <v>8.0000000000000002E-3</v>
      </c>
      <c r="BK403" s="3" t="s">
        <v>207</v>
      </c>
      <c r="BL403" s="3">
        <v>0.3</v>
      </c>
      <c r="BM403" s="7">
        <v>888.56817599999999</v>
      </c>
      <c r="BN403" s="3">
        <v>1E-3</v>
      </c>
      <c r="BO403" s="3">
        <f t="shared" si="47"/>
        <v>0.3</v>
      </c>
    </row>
    <row r="404" spans="1:67" x14ac:dyDescent="0.3">
      <c r="A404" s="3" t="s">
        <v>208</v>
      </c>
      <c r="B404" s="3">
        <v>0.9</v>
      </c>
      <c r="C404" s="3">
        <v>0.5</v>
      </c>
      <c r="D404" s="3">
        <v>0.6</v>
      </c>
      <c r="E404" s="3">
        <v>0.33</v>
      </c>
      <c r="F404" s="6">
        <v>630.60375999999997</v>
      </c>
      <c r="G404" s="3">
        <v>2E-3</v>
      </c>
      <c r="I404" s="3" t="s">
        <v>208</v>
      </c>
      <c r="J404" s="3">
        <v>0.32</v>
      </c>
      <c r="K404" s="7">
        <v>631.03283699999997</v>
      </c>
      <c r="L404" s="3">
        <v>0</v>
      </c>
      <c r="M404" s="3">
        <f t="shared" si="44"/>
        <v>0.32500000000000001</v>
      </c>
      <c r="N404" s="5"/>
      <c r="O404" s="5"/>
      <c r="P404" s="5"/>
      <c r="Q404" s="5"/>
      <c r="R404" s="1"/>
      <c r="S404" s="3" t="s">
        <v>208</v>
      </c>
      <c r="T404" s="3">
        <v>0.9</v>
      </c>
      <c r="U404" s="3">
        <v>0.5</v>
      </c>
      <c r="V404" s="3">
        <v>0.6</v>
      </c>
      <c r="W404" s="3">
        <v>0.32</v>
      </c>
      <c r="X404" s="6">
        <v>603.12085000000002</v>
      </c>
      <c r="Y404" s="3">
        <v>3.0000000000000001E-3</v>
      </c>
      <c r="AA404" s="3" t="s">
        <v>208</v>
      </c>
      <c r="AB404" s="3">
        <v>0.33</v>
      </c>
      <c r="AC404" s="7">
        <v>618.95459000000005</v>
      </c>
      <c r="AD404" s="3">
        <v>0</v>
      </c>
      <c r="AE404" s="3">
        <f t="shared" si="45"/>
        <v>0.32500000000000001</v>
      </c>
      <c r="AF404" s="5"/>
      <c r="AG404" s="5"/>
      <c r="AH404" s="5"/>
      <c r="AI404" s="5"/>
      <c r="AJ404" s="1"/>
      <c r="AK404" s="3" t="s">
        <v>209</v>
      </c>
      <c r="AL404" s="3">
        <v>0.9</v>
      </c>
      <c r="AM404" s="3">
        <v>0.5</v>
      </c>
      <c r="AN404" s="3">
        <v>0.6</v>
      </c>
      <c r="AO404" s="3">
        <v>0.3</v>
      </c>
      <c r="AP404" s="7">
        <v>918.49786400000005</v>
      </c>
      <c r="AQ404" s="3">
        <v>8.0000000000000002E-3</v>
      </c>
      <c r="AS404" s="3" t="s">
        <v>209</v>
      </c>
      <c r="AT404" s="3">
        <v>0.33</v>
      </c>
      <c r="AU404" s="6">
        <v>916.76428199999998</v>
      </c>
      <c r="AV404" s="3">
        <v>0</v>
      </c>
      <c r="AW404" s="3">
        <f t="shared" si="46"/>
        <v>0.315</v>
      </c>
      <c r="AX404" s="5"/>
      <c r="AY404" s="5"/>
      <c r="AZ404" s="5"/>
      <c r="BA404" s="5"/>
      <c r="BB404" s="1"/>
      <c r="BC404" s="3" t="s">
        <v>209</v>
      </c>
      <c r="BD404" s="3">
        <v>0.9</v>
      </c>
      <c r="BE404" s="3">
        <v>0.5</v>
      </c>
      <c r="BF404" s="3">
        <v>0.6</v>
      </c>
      <c r="BG404" s="3">
        <v>0.3</v>
      </c>
      <c r="BH404" s="6">
        <v>889.044128</v>
      </c>
      <c r="BI404" s="3">
        <v>0.01</v>
      </c>
      <c r="BK404" s="3" t="s">
        <v>209</v>
      </c>
      <c r="BL404" s="3">
        <v>0.3</v>
      </c>
      <c r="BM404" s="7">
        <v>891.95050000000003</v>
      </c>
      <c r="BN404" s="3">
        <v>0</v>
      </c>
      <c r="BO404" s="3">
        <f t="shared" si="47"/>
        <v>0.3</v>
      </c>
    </row>
    <row r="405" spans="1:67" x14ac:dyDescent="0.3">
      <c r="A405" s="3" t="s">
        <v>210</v>
      </c>
      <c r="B405" s="3">
        <v>0.9</v>
      </c>
      <c r="C405" s="3">
        <v>0.5</v>
      </c>
      <c r="D405" s="3">
        <v>0.6</v>
      </c>
      <c r="E405" s="3">
        <v>0.36</v>
      </c>
      <c r="F405" s="6">
        <v>627.99304199999995</v>
      </c>
      <c r="G405" s="3">
        <v>2E-3</v>
      </c>
      <c r="I405" s="3" t="s">
        <v>210</v>
      </c>
      <c r="J405" s="3">
        <v>0.34</v>
      </c>
      <c r="K405" s="7">
        <v>630.24145499999997</v>
      </c>
      <c r="L405" s="3">
        <v>0</v>
      </c>
      <c r="M405" s="3">
        <f t="shared" si="44"/>
        <v>0.35</v>
      </c>
      <c r="N405" s="5"/>
      <c r="O405" s="5"/>
      <c r="P405" s="5"/>
      <c r="Q405" s="5"/>
      <c r="R405" s="1"/>
      <c r="S405" s="3" t="s">
        <v>210</v>
      </c>
      <c r="T405" s="3">
        <v>0.9</v>
      </c>
      <c r="U405" s="3">
        <v>0.5</v>
      </c>
      <c r="V405" s="3">
        <v>0.6</v>
      </c>
      <c r="W405" s="3">
        <v>0.31</v>
      </c>
      <c r="X405" s="6">
        <v>623.08642599999996</v>
      </c>
      <c r="Y405" s="3">
        <v>3.0000000000000001E-3</v>
      </c>
      <c r="AA405" s="3" t="s">
        <v>210</v>
      </c>
      <c r="AB405" s="3">
        <v>0.32</v>
      </c>
      <c r="AC405" s="7">
        <v>624.01654099999996</v>
      </c>
      <c r="AD405" s="3">
        <v>0</v>
      </c>
      <c r="AE405" s="3">
        <f t="shared" si="45"/>
        <v>0.315</v>
      </c>
      <c r="AF405" s="5"/>
      <c r="AG405" s="5"/>
      <c r="AH405" s="5"/>
      <c r="AI405" s="5"/>
      <c r="AJ405" s="1"/>
      <c r="AK405" s="3" t="s">
        <v>211</v>
      </c>
      <c r="AL405" s="3">
        <v>0.9</v>
      </c>
      <c r="AM405" s="3">
        <v>0.5</v>
      </c>
      <c r="AN405" s="3">
        <v>0.6</v>
      </c>
      <c r="AO405" s="3">
        <v>0.32</v>
      </c>
      <c r="AP405" s="6">
        <v>937.16369599999996</v>
      </c>
      <c r="AQ405" s="3">
        <v>7.0000000000000001E-3</v>
      </c>
      <c r="AS405" s="3" t="s">
        <v>211</v>
      </c>
      <c r="AT405" s="3">
        <v>0.34</v>
      </c>
      <c r="AU405" s="7">
        <v>944.64532499999996</v>
      </c>
      <c r="AV405" s="3">
        <v>1E-3</v>
      </c>
      <c r="AW405" s="3">
        <f t="shared" si="46"/>
        <v>0.33</v>
      </c>
      <c r="AX405" s="5"/>
      <c r="AY405" s="5"/>
      <c r="AZ405" s="5"/>
      <c r="BA405" s="5"/>
      <c r="BB405" s="1"/>
      <c r="BC405" s="3" t="s">
        <v>211</v>
      </c>
      <c r="BD405" s="3">
        <v>0.9</v>
      </c>
      <c r="BE405" s="3">
        <v>0.5</v>
      </c>
      <c r="BF405" s="3">
        <v>0.6</v>
      </c>
      <c r="BG405" s="3">
        <v>0.33</v>
      </c>
      <c r="BH405" s="7">
        <v>919.93463099999997</v>
      </c>
      <c r="BI405" s="3">
        <v>7.0000000000000001E-3</v>
      </c>
      <c r="BK405" s="3" t="s">
        <v>211</v>
      </c>
      <c r="BL405" s="3">
        <v>0.34</v>
      </c>
      <c r="BM405" s="6">
        <v>914.33734100000004</v>
      </c>
      <c r="BN405" s="3">
        <v>1E-3</v>
      </c>
      <c r="BO405" s="3">
        <f t="shared" si="47"/>
        <v>0.33500000000000002</v>
      </c>
    </row>
    <row r="406" spans="1:67" x14ac:dyDescent="0.3">
      <c r="A406" s="3" t="s">
        <v>212</v>
      </c>
      <c r="B406" s="3">
        <v>0.9</v>
      </c>
      <c r="C406" s="3">
        <v>0.5</v>
      </c>
      <c r="D406" s="3">
        <v>0.6</v>
      </c>
      <c r="E406" s="3">
        <v>0.36</v>
      </c>
      <c r="F406" s="6">
        <v>644.41326900000001</v>
      </c>
      <c r="G406" s="3">
        <v>2E-3</v>
      </c>
      <c r="I406" s="3" t="s">
        <v>212</v>
      </c>
      <c r="J406" s="3">
        <v>0.34</v>
      </c>
      <c r="K406" s="7">
        <v>659.00427200000001</v>
      </c>
      <c r="L406" s="3">
        <v>1E-3</v>
      </c>
      <c r="M406" s="3">
        <f t="shared" si="44"/>
        <v>0.35</v>
      </c>
      <c r="N406" s="5"/>
      <c r="O406" s="5"/>
      <c r="P406" s="5"/>
      <c r="Q406" s="5"/>
      <c r="R406" s="1"/>
      <c r="S406" s="3" t="s">
        <v>212</v>
      </c>
      <c r="T406" s="3">
        <v>0.9</v>
      </c>
      <c r="U406" s="3">
        <v>0.5</v>
      </c>
      <c r="V406" s="3">
        <v>0.6</v>
      </c>
      <c r="W406" s="3">
        <v>0.31</v>
      </c>
      <c r="X406" s="6">
        <v>627.95953399999996</v>
      </c>
      <c r="Y406" s="3">
        <v>2E-3</v>
      </c>
      <c r="AA406" s="3" t="s">
        <v>212</v>
      </c>
      <c r="AB406" s="3">
        <v>0.33</v>
      </c>
      <c r="AC406" s="7">
        <v>648.748108</v>
      </c>
      <c r="AD406" s="3">
        <v>0</v>
      </c>
      <c r="AE406" s="3">
        <f t="shared" si="45"/>
        <v>0.32</v>
      </c>
      <c r="AF406" s="5"/>
      <c r="AG406" s="5"/>
      <c r="AH406" s="5"/>
      <c r="AI406" s="5"/>
      <c r="AJ406" s="1"/>
      <c r="AK406" s="3" t="s">
        <v>213</v>
      </c>
      <c r="AL406" s="3">
        <v>0.9</v>
      </c>
      <c r="AM406" s="3">
        <v>0.5</v>
      </c>
      <c r="AN406" s="3">
        <v>0.6</v>
      </c>
      <c r="AO406" s="3">
        <v>0.33</v>
      </c>
      <c r="AP406" s="6">
        <v>973.58483899999999</v>
      </c>
      <c r="AQ406" s="3">
        <v>8.0000000000000002E-3</v>
      </c>
      <c r="AS406" s="3" t="s">
        <v>213</v>
      </c>
      <c r="AT406" s="3">
        <v>0.3</v>
      </c>
      <c r="AU406" s="7">
        <v>995.61407499999996</v>
      </c>
      <c r="AV406" s="3">
        <v>1E-3</v>
      </c>
      <c r="AW406" s="3">
        <f t="shared" si="46"/>
        <v>0.315</v>
      </c>
      <c r="AX406" s="5"/>
      <c r="AY406" s="5"/>
      <c r="AZ406" s="5"/>
      <c r="BA406" s="5"/>
      <c r="BB406" s="1"/>
      <c r="BC406" s="3" t="s">
        <v>213</v>
      </c>
      <c r="BD406" s="3">
        <v>0.9</v>
      </c>
      <c r="BE406" s="3">
        <v>0.5</v>
      </c>
      <c r="BF406" s="3">
        <v>0.6</v>
      </c>
      <c r="BG406" s="3">
        <v>0.3</v>
      </c>
      <c r="BH406" s="6">
        <v>962.53991699999995</v>
      </c>
      <c r="BI406" s="3">
        <v>1.4E-2</v>
      </c>
      <c r="BK406" s="3" t="s">
        <v>213</v>
      </c>
      <c r="BL406" s="3">
        <v>0.3</v>
      </c>
      <c r="BM406" s="7">
        <v>983.49310300000002</v>
      </c>
      <c r="BN406" s="3">
        <v>1E-3</v>
      </c>
      <c r="BO406" s="3">
        <f t="shared" si="47"/>
        <v>0.3</v>
      </c>
    </row>
    <row r="407" spans="1:67" x14ac:dyDescent="0.3">
      <c r="A407" s="3" t="s">
        <v>214</v>
      </c>
      <c r="B407" s="3">
        <v>0.9</v>
      </c>
      <c r="C407" s="3">
        <v>0.5</v>
      </c>
      <c r="D407" s="3">
        <v>0.6</v>
      </c>
      <c r="E407" s="3">
        <v>0.36</v>
      </c>
      <c r="F407" s="7">
        <v>669.15490699999998</v>
      </c>
      <c r="G407" s="3">
        <v>2E-3</v>
      </c>
      <c r="I407" s="3" t="s">
        <v>214</v>
      </c>
      <c r="J407" s="3">
        <v>0.3</v>
      </c>
      <c r="K407" s="6">
        <v>666.90313700000002</v>
      </c>
      <c r="L407" s="3">
        <v>0</v>
      </c>
      <c r="M407" s="3">
        <f t="shared" si="44"/>
        <v>0.32999999999999996</v>
      </c>
      <c r="N407" s="5"/>
      <c r="O407" s="5"/>
      <c r="P407" s="5"/>
      <c r="Q407" s="5"/>
      <c r="R407" s="1"/>
      <c r="S407" s="3" t="s">
        <v>214</v>
      </c>
      <c r="T407" s="3">
        <v>0.9</v>
      </c>
      <c r="U407" s="3">
        <v>0.5</v>
      </c>
      <c r="V407" s="3">
        <v>0.6</v>
      </c>
      <c r="W407" s="3">
        <v>0.31</v>
      </c>
      <c r="X407" s="7">
        <v>663.17529300000001</v>
      </c>
      <c r="Y407" s="3">
        <v>3.0000000000000001E-3</v>
      </c>
      <c r="AA407" s="3" t="s">
        <v>214</v>
      </c>
      <c r="AB407" s="3">
        <v>0.3</v>
      </c>
      <c r="AC407" s="6">
        <v>651.39648399999999</v>
      </c>
      <c r="AD407" s="3">
        <v>0</v>
      </c>
      <c r="AE407" s="3">
        <f t="shared" si="45"/>
        <v>0.30499999999999999</v>
      </c>
      <c r="AF407" s="5"/>
      <c r="AG407" s="5"/>
      <c r="AH407" s="5"/>
      <c r="AI407" s="5"/>
      <c r="AJ407" s="1"/>
      <c r="AK407" s="3" t="s">
        <v>215</v>
      </c>
      <c r="AL407" s="3">
        <v>0.9</v>
      </c>
      <c r="AM407" s="3">
        <v>0.5</v>
      </c>
      <c r="AN407" s="3">
        <v>0.6</v>
      </c>
      <c r="AO407" s="3">
        <v>0.31</v>
      </c>
      <c r="AP407" s="7">
        <v>1056.9261469999999</v>
      </c>
      <c r="AQ407" s="3">
        <v>0.01</v>
      </c>
      <c r="AS407" s="3" t="s">
        <v>215</v>
      </c>
      <c r="AT407" s="3">
        <v>0.3</v>
      </c>
      <c r="AU407" s="6">
        <v>1052.5545649999999</v>
      </c>
      <c r="AV407" s="3">
        <v>1E-3</v>
      </c>
      <c r="AW407" s="3">
        <f t="shared" si="46"/>
        <v>0.30499999999999999</v>
      </c>
      <c r="AX407" s="5"/>
      <c r="AY407" s="5"/>
      <c r="AZ407" s="5"/>
      <c r="BA407" s="5"/>
      <c r="BB407" s="1"/>
      <c r="BC407" s="3" t="s">
        <v>215</v>
      </c>
      <c r="BD407" s="3">
        <v>0.9</v>
      </c>
      <c r="BE407" s="3">
        <v>0.5</v>
      </c>
      <c r="BF407" s="3">
        <v>0.6</v>
      </c>
      <c r="BG407" s="3">
        <v>0.3</v>
      </c>
      <c r="BH407" s="7">
        <v>1032.849976</v>
      </c>
      <c r="BI407" s="3">
        <v>8.0000000000000002E-3</v>
      </c>
      <c r="BK407" s="3" t="s">
        <v>215</v>
      </c>
      <c r="BL407" s="3">
        <v>0.3</v>
      </c>
      <c r="BM407" s="6">
        <v>1003.685913</v>
      </c>
      <c r="BN407" s="3">
        <v>1E-3</v>
      </c>
      <c r="BO407" s="3">
        <f t="shared" si="47"/>
        <v>0.3</v>
      </c>
    </row>
    <row r="408" spans="1:67" x14ac:dyDescent="0.3">
      <c r="A408" s="3" t="s">
        <v>216</v>
      </c>
      <c r="B408" s="3">
        <v>0.9</v>
      </c>
      <c r="C408" s="3">
        <v>0.5</v>
      </c>
      <c r="D408" s="3">
        <v>0.6</v>
      </c>
      <c r="E408" s="3">
        <v>0.3</v>
      </c>
      <c r="F408" s="6">
        <v>602.03106700000001</v>
      </c>
      <c r="G408" s="3">
        <v>2E-3</v>
      </c>
      <c r="I408" s="3" t="s">
        <v>216</v>
      </c>
      <c r="J408" s="3">
        <v>0.43</v>
      </c>
      <c r="K408" s="7">
        <v>614.84619099999998</v>
      </c>
      <c r="L408" s="3">
        <v>0</v>
      </c>
      <c r="M408" s="3">
        <f t="shared" si="44"/>
        <v>0.36499999999999999</v>
      </c>
      <c r="N408" s="5"/>
      <c r="O408" s="5"/>
      <c r="P408" s="5"/>
      <c r="Q408" s="5"/>
      <c r="R408" s="1"/>
      <c r="S408" s="3" t="s">
        <v>216</v>
      </c>
      <c r="T408" s="3">
        <v>0.9</v>
      </c>
      <c r="U408" s="3">
        <v>0.5</v>
      </c>
      <c r="V408" s="3">
        <v>0.6</v>
      </c>
      <c r="W408" s="3">
        <v>0.3</v>
      </c>
      <c r="X408" s="7">
        <v>612.55316200000004</v>
      </c>
      <c r="Y408" s="3">
        <v>3.0000000000000001E-3</v>
      </c>
      <c r="AA408" s="3" t="s">
        <v>216</v>
      </c>
      <c r="AB408" s="3">
        <v>0.33</v>
      </c>
      <c r="AC408" s="6">
        <v>610.16137700000002</v>
      </c>
      <c r="AD408" s="3">
        <v>0</v>
      </c>
      <c r="AE408" s="3">
        <f t="shared" si="45"/>
        <v>0.315</v>
      </c>
      <c r="AF408" s="5"/>
      <c r="AG408" s="5"/>
      <c r="AH408" s="5"/>
      <c r="AI408" s="5"/>
      <c r="AJ408" s="1"/>
      <c r="AK408" s="3" t="s">
        <v>217</v>
      </c>
      <c r="AL408" s="3">
        <v>0.9</v>
      </c>
      <c r="AM408" s="3">
        <v>0.5</v>
      </c>
      <c r="AN408" s="3">
        <v>0.6</v>
      </c>
      <c r="AO408" s="3">
        <v>0.32</v>
      </c>
      <c r="AP408" s="7">
        <v>1089.185669</v>
      </c>
      <c r="AQ408" s="3">
        <v>0.01</v>
      </c>
      <c r="AS408" s="3" t="s">
        <v>217</v>
      </c>
      <c r="AT408" s="3">
        <v>0.3</v>
      </c>
      <c r="AU408" s="6">
        <v>1085.361206</v>
      </c>
      <c r="AV408" s="3">
        <v>1E-3</v>
      </c>
      <c r="AW408" s="3">
        <f t="shared" si="46"/>
        <v>0.31</v>
      </c>
      <c r="AX408" s="5"/>
      <c r="AY408" s="5"/>
      <c r="AZ408" s="5"/>
      <c r="BA408" s="5"/>
      <c r="BB408" s="1"/>
      <c r="BC408" s="3" t="s">
        <v>217</v>
      </c>
      <c r="BD408" s="3">
        <v>0.9</v>
      </c>
      <c r="BE408" s="3">
        <v>0.5</v>
      </c>
      <c r="BF408" s="3">
        <v>0.6</v>
      </c>
      <c r="BG408" s="3">
        <v>0.33</v>
      </c>
      <c r="BH408" s="7">
        <v>1094.594971</v>
      </c>
      <c r="BI408" s="3">
        <v>8.0000000000000002E-3</v>
      </c>
      <c r="BK408" s="3" t="s">
        <v>217</v>
      </c>
      <c r="BL408" s="3">
        <v>0.3</v>
      </c>
      <c r="BM408" s="6">
        <v>1076.119629</v>
      </c>
      <c r="BN408" s="3">
        <v>1E-3</v>
      </c>
      <c r="BO408" s="3">
        <f t="shared" si="47"/>
        <v>0.315</v>
      </c>
    </row>
    <row r="409" spans="1:67" x14ac:dyDescent="0.3">
      <c r="A409" s="3" t="s">
        <v>218</v>
      </c>
      <c r="B409" s="3">
        <v>0.9</v>
      </c>
      <c r="C409" s="3">
        <v>0.5</v>
      </c>
      <c r="D409" s="3">
        <v>0.6</v>
      </c>
      <c r="E409" s="3">
        <v>0.35</v>
      </c>
      <c r="F409" s="6">
        <v>677.421021</v>
      </c>
      <c r="G409" s="3">
        <v>3.0000000000000001E-3</v>
      </c>
      <c r="I409" s="3" t="s">
        <v>218</v>
      </c>
      <c r="J409" s="3">
        <v>0.32</v>
      </c>
      <c r="K409" s="8">
        <v>677.43042000000003</v>
      </c>
      <c r="L409" s="3">
        <v>0</v>
      </c>
      <c r="M409" s="3">
        <f t="shared" si="44"/>
        <v>0.33499999999999996</v>
      </c>
      <c r="N409" s="5"/>
      <c r="O409" s="5"/>
      <c r="P409" s="5"/>
      <c r="Q409" s="5"/>
      <c r="R409" s="1"/>
      <c r="S409" s="3" t="s">
        <v>218</v>
      </c>
      <c r="T409" s="3">
        <v>0.9</v>
      </c>
      <c r="U409" s="3">
        <v>0.5</v>
      </c>
      <c r="V409" s="3">
        <v>0.6</v>
      </c>
      <c r="W409" s="3">
        <v>0.31</v>
      </c>
      <c r="X409" s="7">
        <v>675.46386700000005</v>
      </c>
      <c r="Y409" s="3">
        <v>4.0000000000000001E-3</v>
      </c>
      <c r="AA409" s="3" t="s">
        <v>218</v>
      </c>
      <c r="AB409" s="3">
        <v>0.3</v>
      </c>
      <c r="AC409" s="6">
        <v>657.34857199999999</v>
      </c>
      <c r="AD409" s="3">
        <v>0</v>
      </c>
      <c r="AE409" s="3">
        <f t="shared" si="45"/>
        <v>0.30499999999999999</v>
      </c>
      <c r="AF409" s="5"/>
      <c r="AG409" s="5"/>
      <c r="AH409" s="5"/>
      <c r="AI409" s="5"/>
      <c r="AJ409" s="1"/>
      <c r="AK409" s="3" t="s">
        <v>219</v>
      </c>
      <c r="AL409" s="3">
        <v>0.9</v>
      </c>
      <c r="AM409" s="3">
        <v>0.5</v>
      </c>
      <c r="AN409" s="3">
        <v>0.6</v>
      </c>
      <c r="AO409" s="3">
        <v>0.31</v>
      </c>
      <c r="AP409" s="6">
        <v>1082.0074460000001</v>
      </c>
      <c r="AQ409" s="3">
        <v>0.01</v>
      </c>
      <c r="AS409" s="3" t="s">
        <v>219</v>
      </c>
      <c r="AT409" s="3">
        <v>0.3</v>
      </c>
      <c r="AU409" s="7">
        <v>1083.202393</v>
      </c>
      <c r="AV409" s="3">
        <v>1E-3</v>
      </c>
      <c r="AW409" s="3">
        <f t="shared" si="46"/>
        <v>0.30499999999999999</v>
      </c>
      <c r="AX409" s="5"/>
      <c r="AY409" s="5"/>
      <c r="AZ409" s="5"/>
      <c r="BA409" s="5"/>
      <c r="BB409" s="1"/>
      <c r="BC409" s="3" t="s">
        <v>219</v>
      </c>
      <c r="BD409" s="3">
        <v>0.9</v>
      </c>
      <c r="BE409" s="3">
        <v>0.5</v>
      </c>
      <c r="BF409" s="3">
        <v>0.6</v>
      </c>
      <c r="BG409" s="3">
        <v>0.31</v>
      </c>
      <c r="BH409" s="6">
        <v>1067.51062</v>
      </c>
      <c r="BI409" s="3">
        <v>7.0000000000000001E-3</v>
      </c>
      <c r="BK409" s="3" t="s">
        <v>219</v>
      </c>
      <c r="BL409" s="3">
        <v>0.3</v>
      </c>
      <c r="BM409" s="7">
        <v>1099.994385</v>
      </c>
      <c r="BN409" s="3">
        <v>0</v>
      </c>
      <c r="BO409" s="3">
        <f t="shared" si="47"/>
        <v>0.30499999999999999</v>
      </c>
    </row>
    <row r="410" spans="1:67" x14ac:dyDescent="0.3">
      <c r="A410" s="3" t="s">
        <v>220</v>
      </c>
      <c r="B410" s="3">
        <v>0.9</v>
      </c>
      <c r="C410" s="3">
        <v>0.5</v>
      </c>
      <c r="D410" s="3">
        <v>0.6</v>
      </c>
      <c r="E410" s="3">
        <v>0.33</v>
      </c>
      <c r="F410" s="6">
        <v>694.41101100000003</v>
      </c>
      <c r="G410" s="3">
        <v>2E-3</v>
      </c>
      <c r="I410" s="3" t="s">
        <v>220</v>
      </c>
      <c r="J410" s="3">
        <v>0.33</v>
      </c>
      <c r="K410" s="7">
        <v>704.09240699999998</v>
      </c>
      <c r="L410" s="3">
        <v>1E-3</v>
      </c>
      <c r="M410" s="3">
        <f t="shared" si="44"/>
        <v>0.33</v>
      </c>
      <c r="N410" s="5"/>
      <c r="O410" s="5"/>
      <c r="P410" s="5"/>
      <c r="Q410" s="5"/>
      <c r="R410" s="1"/>
      <c r="S410" s="3" t="s">
        <v>220</v>
      </c>
      <c r="T410" s="3">
        <v>0.9</v>
      </c>
      <c r="U410" s="3">
        <v>0.5</v>
      </c>
      <c r="V410" s="3">
        <v>0.6</v>
      </c>
      <c r="W410" s="3">
        <v>0.3</v>
      </c>
      <c r="X410" s="7">
        <v>706.22186299999998</v>
      </c>
      <c r="Y410" s="3">
        <v>4.0000000000000001E-3</v>
      </c>
      <c r="AA410" s="3" t="s">
        <v>220</v>
      </c>
      <c r="AB410" s="3">
        <v>0.32</v>
      </c>
      <c r="AC410" s="6">
        <v>700.96105999999997</v>
      </c>
      <c r="AD410" s="3">
        <v>0</v>
      </c>
      <c r="AE410" s="3">
        <f t="shared" si="45"/>
        <v>0.31</v>
      </c>
      <c r="AF410" s="5"/>
      <c r="AG410" s="5"/>
      <c r="AH410" s="5"/>
      <c r="AI410" s="5"/>
      <c r="AJ410" s="1"/>
      <c r="AK410" s="3" t="s">
        <v>221</v>
      </c>
      <c r="AL410" s="3">
        <v>0.9</v>
      </c>
      <c r="AM410" s="3">
        <v>0.5</v>
      </c>
      <c r="AN410" s="3">
        <v>0.6</v>
      </c>
      <c r="AO410" s="3">
        <v>0.3</v>
      </c>
      <c r="AP410" s="6">
        <v>1009.3783570000001</v>
      </c>
      <c r="AQ410" s="3">
        <v>1.2E-2</v>
      </c>
      <c r="AS410" s="3" t="s">
        <v>221</v>
      </c>
      <c r="AT410" s="3">
        <v>0.32</v>
      </c>
      <c r="AU410" s="7">
        <v>1019.372375</v>
      </c>
      <c r="AV410" s="3">
        <v>1E-3</v>
      </c>
      <c r="AW410" s="3">
        <f t="shared" si="46"/>
        <v>0.31</v>
      </c>
      <c r="AX410" s="5"/>
      <c r="AY410" s="5"/>
      <c r="AZ410" s="5"/>
      <c r="BA410" s="5"/>
      <c r="BB410" s="1"/>
      <c r="BC410" s="3" t="s">
        <v>221</v>
      </c>
      <c r="BD410" s="3">
        <v>0.9</v>
      </c>
      <c r="BE410" s="3">
        <v>0.5</v>
      </c>
      <c r="BF410" s="3">
        <v>0.6</v>
      </c>
      <c r="BG410" s="3">
        <v>0.34</v>
      </c>
      <c r="BH410" s="7">
        <v>1008.003601</v>
      </c>
      <c r="BI410" s="3">
        <v>7.0000000000000001E-3</v>
      </c>
      <c r="BK410" s="3" t="s">
        <v>221</v>
      </c>
      <c r="BL410" s="3">
        <v>0.3</v>
      </c>
      <c r="BM410" s="6">
        <v>1001.091064</v>
      </c>
      <c r="BN410" s="3">
        <v>0</v>
      </c>
      <c r="BO410" s="3">
        <f t="shared" si="47"/>
        <v>0.32</v>
      </c>
    </row>
    <row r="411" spans="1:67" x14ac:dyDescent="0.3">
      <c r="A411" s="3" t="s">
        <v>222</v>
      </c>
      <c r="B411" s="3">
        <v>0.9</v>
      </c>
      <c r="C411" s="3">
        <v>0.5</v>
      </c>
      <c r="D411" s="3">
        <v>0.6</v>
      </c>
      <c r="E411" s="3">
        <v>0.32</v>
      </c>
      <c r="F411" s="6">
        <v>696.73492399999998</v>
      </c>
      <c r="G411" s="3">
        <v>3.0000000000000001E-3</v>
      </c>
      <c r="I411" s="3" t="s">
        <v>222</v>
      </c>
      <c r="J411" s="3">
        <v>0.35</v>
      </c>
      <c r="K411" s="7">
        <v>711.71624799999995</v>
      </c>
      <c r="L411" s="3">
        <v>1E-3</v>
      </c>
      <c r="M411" s="3">
        <f t="shared" si="44"/>
        <v>0.33499999999999996</v>
      </c>
      <c r="N411" s="5"/>
      <c r="O411" s="5"/>
      <c r="P411" s="5"/>
      <c r="Q411" s="5"/>
      <c r="R411" s="1"/>
      <c r="S411" s="3" t="s">
        <v>222</v>
      </c>
      <c r="T411" s="3">
        <v>0.9</v>
      </c>
      <c r="U411" s="3">
        <v>0.5</v>
      </c>
      <c r="V411" s="3">
        <v>0.6</v>
      </c>
      <c r="W411" s="3">
        <v>0.33</v>
      </c>
      <c r="X411" s="6">
        <v>702.25817900000004</v>
      </c>
      <c r="Y411" s="3">
        <v>2E-3</v>
      </c>
      <c r="AA411" s="3" t="s">
        <v>222</v>
      </c>
      <c r="AB411" s="3">
        <v>0.33</v>
      </c>
      <c r="AC411" s="7">
        <v>708.20782499999996</v>
      </c>
      <c r="AD411" s="3">
        <v>0</v>
      </c>
      <c r="AE411" s="3">
        <f t="shared" si="45"/>
        <v>0.33</v>
      </c>
      <c r="AF411" s="5"/>
      <c r="AG411" s="5"/>
      <c r="AH411" s="5"/>
      <c r="AI411" s="5"/>
      <c r="AJ411" s="1"/>
      <c r="AK411" s="3" t="s">
        <v>223</v>
      </c>
      <c r="AL411" s="3">
        <v>0.9</v>
      </c>
      <c r="AM411" s="3">
        <v>0.5</v>
      </c>
      <c r="AN411" s="3">
        <v>0.6</v>
      </c>
      <c r="AO411" s="3">
        <v>0.31</v>
      </c>
      <c r="AP411" s="6">
        <v>1122.6850589999999</v>
      </c>
      <c r="AQ411" s="3">
        <v>1.4E-2</v>
      </c>
      <c r="AS411" s="3" t="s">
        <v>223</v>
      </c>
      <c r="AT411" s="3">
        <v>0.31</v>
      </c>
      <c r="AU411" s="7">
        <v>1134.6326899999999</v>
      </c>
      <c r="AV411" s="3">
        <v>1E-3</v>
      </c>
      <c r="AW411" s="3">
        <f t="shared" si="46"/>
        <v>0.31</v>
      </c>
      <c r="AX411" s="5"/>
      <c r="AY411" s="5"/>
      <c r="AZ411" s="5"/>
      <c r="BA411" s="5"/>
      <c r="BB411" s="1"/>
      <c r="BC411" s="3" t="s">
        <v>223</v>
      </c>
      <c r="BD411" s="3">
        <v>0.9</v>
      </c>
      <c r="BE411" s="3">
        <v>0.5</v>
      </c>
      <c r="BF411" s="3">
        <v>0.6</v>
      </c>
      <c r="BG411" s="3">
        <v>0.3</v>
      </c>
      <c r="BH411" s="7">
        <v>1121.720703</v>
      </c>
      <c r="BI411" s="3">
        <v>0.01</v>
      </c>
      <c r="BK411" s="3" t="s">
        <v>223</v>
      </c>
      <c r="BL411" s="3">
        <v>0.3</v>
      </c>
      <c r="BM411" s="6">
        <v>1110.249268</v>
      </c>
      <c r="BN411" s="3">
        <v>1E-3</v>
      </c>
      <c r="BO411" s="3">
        <f t="shared" si="47"/>
        <v>0.3</v>
      </c>
    </row>
    <row r="412" spans="1:67" x14ac:dyDescent="0.3">
      <c r="A412" s="3" t="s">
        <v>224</v>
      </c>
      <c r="B412" s="3">
        <v>0.9</v>
      </c>
      <c r="C412" s="3">
        <v>0.5</v>
      </c>
      <c r="D412" s="3">
        <v>0.6</v>
      </c>
      <c r="E412" s="3">
        <v>0.3</v>
      </c>
      <c r="F412" s="6">
        <v>794.66101100000003</v>
      </c>
      <c r="G412" s="3">
        <v>3.0000000000000001E-3</v>
      </c>
      <c r="I412" s="3" t="s">
        <v>224</v>
      </c>
      <c r="J412" s="3">
        <v>0.31</v>
      </c>
      <c r="K412" s="7">
        <v>784.40240500000004</v>
      </c>
      <c r="L412" s="3">
        <v>1E-3</v>
      </c>
      <c r="M412" s="3">
        <f t="shared" si="44"/>
        <v>0.30499999999999999</v>
      </c>
      <c r="N412" s="5"/>
      <c r="O412" s="5"/>
      <c r="P412" s="5"/>
      <c r="Q412" s="5"/>
      <c r="R412" s="1"/>
      <c r="S412" s="3" t="s">
        <v>224</v>
      </c>
      <c r="T412" s="3">
        <v>0.9</v>
      </c>
      <c r="U412" s="3">
        <v>0.5</v>
      </c>
      <c r="V412" s="3">
        <v>0.6</v>
      </c>
      <c r="W412" s="3">
        <v>0.3</v>
      </c>
      <c r="X412" s="7">
        <v>762.92364499999996</v>
      </c>
      <c r="Y412" s="3">
        <v>3.0000000000000001E-3</v>
      </c>
      <c r="AA412" s="3" t="s">
        <v>224</v>
      </c>
      <c r="AB412" s="3">
        <v>0.41</v>
      </c>
      <c r="AC412" s="6">
        <v>761.10150099999998</v>
      </c>
      <c r="AD412" s="3">
        <v>1E-3</v>
      </c>
      <c r="AE412" s="3">
        <f t="shared" si="45"/>
        <v>0.35499999999999998</v>
      </c>
      <c r="AF412" s="5"/>
      <c r="AG412" s="5"/>
      <c r="AH412" s="5"/>
      <c r="AI412" s="5"/>
      <c r="AJ412" s="1"/>
      <c r="AK412" s="3" t="s">
        <v>225</v>
      </c>
      <c r="AL412" s="3">
        <v>0.9</v>
      </c>
      <c r="AM412" s="3">
        <v>0.5</v>
      </c>
      <c r="AN412" s="3">
        <v>0.6</v>
      </c>
      <c r="AO412" s="3">
        <v>0.3</v>
      </c>
      <c r="AP412" s="7">
        <v>1040.3481449999999</v>
      </c>
      <c r="AQ412" s="3">
        <v>1.2E-2</v>
      </c>
      <c r="AS412" s="3" t="s">
        <v>225</v>
      </c>
      <c r="AT412" s="3">
        <v>0.3</v>
      </c>
      <c r="AU412" s="6">
        <v>1031.2954099999999</v>
      </c>
      <c r="AV412" s="3">
        <v>1E-3</v>
      </c>
      <c r="AW412" s="3">
        <f t="shared" si="46"/>
        <v>0.3</v>
      </c>
      <c r="AX412" s="5"/>
      <c r="AY412" s="5"/>
      <c r="AZ412" s="5"/>
      <c r="BA412" s="5"/>
      <c r="BB412" s="1"/>
      <c r="BC412" s="3" t="s">
        <v>225</v>
      </c>
      <c r="BD412" s="3">
        <v>0.9</v>
      </c>
      <c r="BE412" s="3">
        <v>0.5</v>
      </c>
      <c r="BF412" s="3">
        <v>0.6</v>
      </c>
      <c r="BG412" s="3">
        <v>0.34</v>
      </c>
      <c r="BH412" s="6">
        <v>1023.9169920000001</v>
      </c>
      <c r="BI412" s="3">
        <v>8.0000000000000002E-3</v>
      </c>
      <c r="BK412" s="3" t="s">
        <v>225</v>
      </c>
      <c r="BL412" s="3">
        <v>0.3</v>
      </c>
      <c r="BM412" s="7">
        <v>1027.524658</v>
      </c>
      <c r="BN412" s="3">
        <v>1E-3</v>
      </c>
      <c r="BO412" s="3">
        <f t="shared" si="47"/>
        <v>0.32</v>
      </c>
    </row>
    <row r="413" spans="1:67" x14ac:dyDescent="0.3">
      <c r="A413" s="3" t="s">
        <v>226</v>
      </c>
      <c r="B413" s="3">
        <v>0.9</v>
      </c>
      <c r="C413" s="3">
        <v>0.5</v>
      </c>
      <c r="D413" s="3">
        <v>0.6</v>
      </c>
      <c r="E413" s="3">
        <v>0.38</v>
      </c>
      <c r="F413" s="7">
        <v>760.07000700000003</v>
      </c>
      <c r="G413" s="3">
        <v>2E-3</v>
      </c>
      <c r="I413" s="3" t="s">
        <v>226</v>
      </c>
      <c r="J413" s="3">
        <v>0.32</v>
      </c>
      <c r="K413" s="6">
        <v>759.54028300000004</v>
      </c>
      <c r="L413" s="3">
        <v>0</v>
      </c>
      <c r="M413" s="3">
        <f t="shared" si="44"/>
        <v>0.35</v>
      </c>
      <c r="N413" s="5"/>
      <c r="O413" s="5"/>
      <c r="P413" s="5"/>
      <c r="Q413" s="5"/>
      <c r="R413" s="1"/>
      <c r="S413" s="3" t="s">
        <v>226</v>
      </c>
      <c r="T413" s="3">
        <v>0.9</v>
      </c>
      <c r="U413" s="3">
        <v>0.5</v>
      </c>
      <c r="V413" s="3">
        <v>0.6</v>
      </c>
      <c r="W413" s="3">
        <v>0.31</v>
      </c>
      <c r="X413" s="8">
        <v>759.70599400000003</v>
      </c>
      <c r="Y413" s="3">
        <v>3.0000000000000001E-3</v>
      </c>
      <c r="AA413" s="3" t="s">
        <v>226</v>
      </c>
      <c r="AB413" s="3">
        <v>0.3</v>
      </c>
      <c r="AC413" s="6">
        <v>759.12091099999998</v>
      </c>
      <c r="AD413" s="3">
        <v>0</v>
      </c>
      <c r="AE413" s="3">
        <f t="shared" si="45"/>
        <v>0.30499999999999999</v>
      </c>
      <c r="AF413" s="5"/>
      <c r="AG413" s="5"/>
      <c r="AH413" s="5"/>
      <c r="AI413" s="5"/>
      <c r="AJ413" s="1"/>
      <c r="AK413" s="3" t="s">
        <v>227</v>
      </c>
      <c r="AL413" s="3">
        <v>0.9</v>
      </c>
      <c r="AM413" s="3">
        <v>0.5</v>
      </c>
      <c r="AN413" s="3">
        <v>0.6</v>
      </c>
      <c r="AO413" s="3">
        <v>0.31</v>
      </c>
      <c r="AP413" s="7">
        <v>1007.52655</v>
      </c>
      <c r="AQ413" s="3">
        <v>1.4E-2</v>
      </c>
      <c r="AS413" s="3" t="s">
        <v>227</v>
      </c>
      <c r="AT413" s="3">
        <v>0.3</v>
      </c>
      <c r="AU413" s="6">
        <v>999.62676999999996</v>
      </c>
      <c r="AV413" s="3">
        <v>1E-3</v>
      </c>
      <c r="AW413" s="3">
        <f t="shared" si="46"/>
        <v>0.30499999999999999</v>
      </c>
      <c r="AX413" s="5"/>
      <c r="AY413" s="5"/>
      <c r="AZ413" s="5"/>
      <c r="BA413" s="5"/>
      <c r="BB413" s="1"/>
      <c r="BC413" s="3" t="s">
        <v>227</v>
      </c>
      <c r="BD413" s="3">
        <v>0.9</v>
      </c>
      <c r="BE413" s="3">
        <v>0.5</v>
      </c>
      <c r="BF413" s="3">
        <v>0.6</v>
      </c>
      <c r="BG413" s="3">
        <v>0.3</v>
      </c>
      <c r="BH413" s="7">
        <v>1001.3295900000001</v>
      </c>
      <c r="BI413" s="3">
        <v>8.9999999999999993E-3</v>
      </c>
      <c r="BK413" s="3" t="s">
        <v>227</v>
      </c>
      <c r="BL413" s="3">
        <v>0.3</v>
      </c>
      <c r="BM413" s="6">
        <v>1000.066345</v>
      </c>
      <c r="BN413" s="3">
        <v>0</v>
      </c>
      <c r="BO413" s="3">
        <f t="shared" si="47"/>
        <v>0.3</v>
      </c>
    </row>
    <row r="414" spans="1:67" x14ac:dyDescent="0.3">
      <c r="A414" s="3" t="s">
        <v>228</v>
      </c>
      <c r="B414" s="3">
        <v>0.9</v>
      </c>
      <c r="C414" s="3">
        <v>0.5</v>
      </c>
      <c r="D414" s="3">
        <v>0.6</v>
      </c>
      <c r="E414" s="3">
        <v>0.3</v>
      </c>
      <c r="F414" s="6">
        <v>663.35687299999995</v>
      </c>
      <c r="G414" s="3">
        <v>2E-3</v>
      </c>
      <c r="I414" s="3" t="s">
        <v>228</v>
      </c>
      <c r="J414" s="3">
        <v>0.31</v>
      </c>
      <c r="K414" s="7">
        <v>666.21575900000005</v>
      </c>
      <c r="L414" s="3">
        <v>0</v>
      </c>
      <c r="M414" s="3">
        <f t="shared" si="44"/>
        <v>0.30499999999999999</v>
      </c>
      <c r="N414" s="5"/>
      <c r="O414" s="5"/>
      <c r="P414" s="5"/>
      <c r="Q414" s="5"/>
      <c r="R414" s="1"/>
      <c r="S414" s="3" t="s">
        <v>228</v>
      </c>
      <c r="T414" s="3">
        <v>0.9</v>
      </c>
      <c r="U414" s="3">
        <v>0.5</v>
      </c>
      <c r="V414" s="3">
        <v>0.6</v>
      </c>
      <c r="W414" s="3">
        <v>0.35</v>
      </c>
      <c r="X414" s="6">
        <v>659.28533900000002</v>
      </c>
      <c r="Y414" s="3">
        <v>4.0000000000000001E-3</v>
      </c>
      <c r="AA414" s="3" t="s">
        <v>228</v>
      </c>
      <c r="AB414" s="3">
        <v>0.32</v>
      </c>
      <c r="AC414" s="7">
        <v>662.30096400000002</v>
      </c>
      <c r="AD414" s="3">
        <v>0</v>
      </c>
      <c r="AE414" s="3">
        <f t="shared" si="45"/>
        <v>0.33499999999999996</v>
      </c>
      <c r="AF414" s="5"/>
      <c r="AG414" s="5"/>
      <c r="AH414" s="5"/>
      <c r="AI414" s="5"/>
      <c r="AJ414" s="1"/>
      <c r="AK414" s="3" t="s">
        <v>229</v>
      </c>
      <c r="AL414" s="3">
        <v>0.9</v>
      </c>
      <c r="AM414" s="3">
        <v>0.5</v>
      </c>
      <c r="AN414" s="3">
        <v>0.6</v>
      </c>
      <c r="AO414" s="3">
        <v>0.32</v>
      </c>
      <c r="AP414" s="7">
        <v>1067.2198490000001</v>
      </c>
      <c r="AQ414" s="3">
        <v>1.2E-2</v>
      </c>
      <c r="AS414" s="3" t="s">
        <v>229</v>
      </c>
      <c r="AT414" s="3">
        <v>0.37</v>
      </c>
      <c r="AU414" s="6">
        <v>1046.401245</v>
      </c>
      <c r="AV414" s="3">
        <v>1E-3</v>
      </c>
      <c r="AW414" s="3">
        <f t="shared" si="46"/>
        <v>0.34499999999999997</v>
      </c>
      <c r="AX414" s="5"/>
      <c r="AY414" s="5"/>
      <c r="AZ414" s="5"/>
      <c r="BA414" s="5"/>
      <c r="BB414" s="1"/>
      <c r="BC414" s="3" t="s">
        <v>229</v>
      </c>
      <c r="BD414" s="3">
        <v>0.9</v>
      </c>
      <c r="BE414" s="3">
        <v>0.5</v>
      </c>
      <c r="BF414" s="3">
        <v>0.6</v>
      </c>
      <c r="BG414" s="3">
        <v>0.32</v>
      </c>
      <c r="BH414" s="7">
        <v>1042.124634</v>
      </c>
      <c r="BI414" s="3">
        <v>8.0000000000000002E-3</v>
      </c>
      <c r="BK414" s="3" t="s">
        <v>229</v>
      </c>
      <c r="BL414" s="3">
        <v>0.33</v>
      </c>
      <c r="BM414" s="6">
        <v>1054.4472659999999</v>
      </c>
      <c r="BN414" s="3">
        <v>1E-3</v>
      </c>
      <c r="BO414" s="3">
        <f t="shared" si="47"/>
        <v>0.32500000000000001</v>
      </c>
    </row>
    <row r="415" spans="1:67" x14ac:dyDescent="0.3">
      <c r="A415" s="3" t="s">
        <v>230</v>
      </c>
      <c r="B415" s="3">
        <v>0.9</v>
      </c>
      <c r="C415" s="3">
        <v>0.5</v>
      </c>
      <c r="D415" s="3">
        <v>0.6</v>
      </c>
      <c r="E415" s="3">
        <v>0.3</v>
      </c>
      <c r="F415" s="6">
        <v>760.83404499999995</v>
      </c>
      <c r="G415" s="3">
        <v>2E-3</v>
      </c>
      <c r="I415" s="3" t="s">
        <v>230</v>
      </c>
      <c r="J415" s="3">
        <v>0.34</v>
      </c>
      <c r="K415" s="7">
        <v>763.55432099999996</v>
      </c>
      <c r="L415" s="3">
        <v>0</v>
      </c>
      <c r="M415" s="3">
        <f t="shared" si="44"/>
        <v>0.32</v>
      </c>
      <c r="N415" s="5"/>
      <c r="O415" s="5"/>
      <c r="P415" s="5"/>
      <c r="Q415" s="5"/>
      <c r="R415" s="1"/>
      <c r="S415" s="3" t="s">
        <v>230</v>
      </c>
      <c r="T415" s="3">
        <v>0.9</v>
      </c>
      <c r="U415" s="3">
        <v>0.5</v>
      </c>
      <c r="V415" s="3">
        <v>0.6</v>
      </c>
      <c r="W415" s="3">
        <v>0.36</v>
      </c>
      <c r="X415" s="7">
        <v>759.19543499999997</v>
      </c>
      <c r="Y415" s="3">
        <v>4.0000000000000001E-3</v>
      </c>
      <c r="AA415" s="3" t="s">
        <v>230</v>
      </c>
      <c r="AB415" s="3">
        <v>0.34</v>
      </c>
      <c r="AC415" s="6">
        <v>755.29779099999996</v>
      </c>
      <c r="AD415" s="3">
        <v>1E-3</v>
      </c>
      <c r="AE415" s="3">
        <f t="shared" si="45"/>
        <v>0.35</v>
      </c>
      <c r="AF415" s="5"/>
      <c r="AG415" s="5"/>
      <c r="AH415" s="5"/>
      <c r="AI415" s="5"/>
      <c r="AJ415" s="1"/>
      <c r="AK415" s="3" t="s">
        <v>231</v>
      </c>
      <c r="AL415" s="3">
        <v>0.9</v>
      </c>
      <c r="AM415" s="3">
        <v>0.5</v>
      </c>
      <c r="AN415" s="3">
        <v>0.6</v>
      </c>
      <c r="AO415" s="3">
        <v>0.32</v>
      </c>
      <c r="AP415" s="6">
        <v>1002.0454099999999</v>
      </c>
      <c r="AQ415" s="3">
        <v>8.9999999999999993E-3</v>
      </c>
      <c r="AS415" s="3" t="s">
        <v>231</v>
      </c>
      <c r="AT415" s="3">
        <v>0.31</v>
      </c>
      <c r="AU415" s="7">
        <v>1016.287903</v>
      </c>
      <c r="AV415" s="3">
        <v>1E-3</v>
      </c>
      <c r="AW415" s="3">
        <f t="shared" si="46"/>
        <v>0.315</v>
      </c>
      <c r="AX415" s="5"/>
      <c r="AY415" s="5"/>
      <c r="AZ415" s="5"/>
      <c r="BA415" s="5"/>
      <c r="BB415" s="1"/>
      <c r="BC415" s="3" t="s">
        <v>231</v>
      </c>
      <c r="BD415" s="3">
        <v>0.9</v>
      </c>
      <c r="BE415" s="3">
        <v>0.5</v>
      </c>
      <c r="BF415" s="3">
        <v>0.6</v>
      </c>
      <c r="BG415" s="3">
        <v>0.3</v>
      </c>
      <c r="BH415" s="6">
        <v>987.16241500000001</v>
      </c>
      <c r="BI415" s="3">
        <v>8.0000000000000002E-3</v>
      </c>
      <c r="BK415" s="3" t="s">
        <v>231</v>
      </c>
      <c r="BL415" s="3">
        <v>0.31</v>
      </c>
      <c r="BM415" s="7">
        <v>994.24951199999998</v>
      </c>
      <c r="BN415" s="3">
        <v>1E-3</v>
      </c>
      <c r="BO415" s="3">
        <f t="shared" si="47"/>
        <v>0.30499999999999999</v>
      </c>
    </row>
    <row r="416" spans="1:67" x14ac:dyDescent="0.3">
      <c r="A416" s="3" t="s">
        <v>232</v>
      </c>
      <c r="B416" s="3">
        <v>0.9</v>
      </c>
      <c r="C416" s="3">
        <v>0.5</v>
      </c>
      <c r="D416" s="3">
        <v>0.6</v>
      </c>
      <c r="E416" s="3">
        <v>0.31</v>
      </c>
      <c r="F416" s="6">
        <v>805.88342299999999</v>
      </c>
      <c r="G416" s="3">
        <v>2E-3</v>
      </c>
      <c r="I416" s="3" t="s">
        <v>232</v>
      </c>
      <c r="J416" s="3">
        <v>0.32</v>
      </c>
      <c r="K416" s="7">
        <v>823.74462900000003</v>
      </c>
      <c r="L416" s="3">
        <v>0</v>
      </c>
      <c r="M416" s="3">
        <f t="shared" si="44"/>
        <v>0.315</v>
      </c>
      <c r="N416" s="5"/>
      <c r="O416" s="5"/>
      <c r="P416" s="5"/>
      <c r="Q416" s="5"/>
      <c r="R416" s="1"/>
      <c r="S416" s="3" t="s">
        <v>232</v>
      </c>
      <c r="T416" s="3">
        <v>0.9</v>
      </c>
      <c r="U416" s="3">
        <v>0.5</v>
      </c>
      <c r="V416" s="3">
        <v>0.6</v>
      </c>
      <c r="W416" s="3">
        <v>0.3</v>
      </c>
      <c r="X416" s="6">
        <v>794.623108</v>
      </c>
      <c r="Y416" s="3">
        <v>3.0000000000000001E-3</v>
      </c>
      <c r="AA416" s="3" t="s">
        <v>232</v>
      </c>
      <c r="AB416" s="3">
        <v>0.31</v>
      </c>
      <c r="AC416" s="7">
        <v>825.40411400000005</v>
      </c>
      <c r="AD416" s="3">
        <v>1E-3</v>
      </c>
      <c r="AE416" s="3">
        <f t="shared" si="45"/>
        <v>0.30499999999999999</v>
      </c>
      <c r="AF416" s="5"/>
      <c r="AG416" s="5"/>
      <c r="AH416" s="5"/>
      <c r="AI416" s="5"/>
      <c r="AJ416" s="1"/>
      <c r="AK416" s="3" t="s">
        <v>233</v>
      </c>
      <c r="AL416" s="3">
        <v>0.9</v>
      </c>
      <c r="AM416" s="3">
        <v>0.5</v>
      </c>
      <c r="AN416" s="3">
        <v>0.6</v>
      </c>
      <c r="AO416" s="3">
        <v>0.3</v>
      </c>
      <c r="AP416" s="6">
        <v>1031.388794</v>
      </c>
      <c r="AQ416" s="3">
        <v>8.0000000000000002E-3</v>
      </c>
      <c r="AS416" s="3" t="s">
        <v>233</v>
      </c>
      <c r="AT416" s="3">
        <v>0.3</v>
      </c>
      <c r="AU416" s="7">
        <v>1032.9068600000001</v>
      </c>
      <c r="AV416" s="3">
        <v>2E-3</v>
      </c>
      <c r="AW416" s="3">
        <f t="shared" si="46"/>
        <v>0.3</v>
      </c>
      <c r="AX416" s="5"/>
      <c r="AY416" s="5"/>
      <c r="AZ416" s="5"/>
      <c r="BA416" s="5"/>
      <c r="BB416" s="1"/>
      <c r="BC416" s="3" t="s">
        <v>233</v>
      </c>
      <c r="BD416" s="3">
        <v>0.9</v>
      </c>
      <c r="BE416" s="3">
        <v>0.5</v>
      </c>
      <c r="BF416" s="3">
        <v>0.6</v>
      </c>
      <c r="BG416" s="3">
        <v>0.3</v>
      </c>
      <c r="BH416" s="6">
        <v>1030.0489500000001</v>
      </c>
      <c r="BI416" s="3">
        <v>8.0000000000000002E-3</v>
      </c>
      <c r="BK416" s="3" t="s">
        <v>233</v>
      </c>
      <c r="BL416" s="3">
        <v>0.3</v>
      </c>
      <c r="BM416" s="7">
        <v>1059.752808</v>
      </c>
      <c r="BN416" s="3">
        <v>1E-3</v>
      </c>
      <c r="BO416" s="3">
        <f t="shared" si="47"/>
        <v>0.3</v>
      </c>
    </row>
    <row r="417" spans="1:71" x14ac:dyDescent="0.3">
      <c r="A417" s="3" t="s">
        <v>234</v>
      </c>
      <c r="B417" s="3">
        <v>0.9</v>
      </c>
      <c r="C417" s="3">
        <v>0.5</v>
      </c>
      <c r="D417" s="3">
        <v>0.6</v>
      </c>
      <c r="E417" s="3">
        <v>0.3</v>
      </c>
      <c r="F417" s="6">
        <v>733.27612299999998</v>
      </c>
      <c r="G417" s="3">
        <v>2E-3</v>
      </c>
      <c r="I417" s="3" t="s">
        <v>234</v>
      </c>
      <c r="J417" s="3">
        <v>0.34</v>
      </c>
      <c r="K417" s="7">
        <v>739.47589100000005</v>
      </c>
      <c r="L417" s="3">
        <v>0</v>
      </c>
      <c r="M417" s="3">
        <f t="shared" si="44"/>
        <v>0.32</v>
      </c>
      <c r="N417" s="5"/>
      <c r="O417" s="5"/>
      <c r="P417" s="5"/>
      <c r="Q417" s="5"/>
      <c r="R417" s="1"/>
      <c r="S417" s="3" t="s">
        <v>234</v>
      </c>
      <c r="T417" s="3">
        <v>0.9</v>
      </c>
      <c r="U417" s="3">
        <v>0.5</v>
      </c>
      <c r="V417" s="3">
        <v>0.6</v>
      </c>
      <c r="W417" s="3">
        <v>0.33</v>
      </c>
      <c r="X417" s="6">
        <v>746.00958300000002</v>
      </c>
      <c r="Y417" s="3">
        <v>6.0000000000000001E-3</v>
      </c>
      <c r="AA417" s="3" t="s">
        <v>234</v>
      </c>
      <c r="AB417" s="3">
        <v>0.3</v>
      </c>
      <c r="AC417" s="7">
        <v>750.22412099999997</v>
      </c>
      <c r="AD417" s="3">
        <v>0</v>
      </c>
      <c r="AE417" s="3">
        <f t="shared" si="45"/>
        <v>0.315</v>
      </c>
      <c r="AF417" s="5"/>
      <c r="AG417" s="5"/>
      <c r="AH417" s="5"/>
      <c r="AI417" s="5"/>
      <c r="AJ417" s="1"/>
      <c r="AK417" s="3" t="s">
        <v>235</v>
      </c>
      <c r="AL417" s="3">
        <v>0.9</v>
      </c>
      <c r="AM417" s="3">
        <v>0.5</v>
      </c>
      <c r="AN417" s="3">
        <v>0.6</v>
      </c>
      <c r="AO417" s="3">
        <v>0.32</v>
      </c>
      <c r="AP417" s="6">
        <v>1129.613525</v>
      </c>
      <c r="AQ417" s="3">
        <v>1.0999999999999999E-2</v>
      </c>
      <c r="AS417" s="3" t="s">
        <v>235</v>
      </c>
      <c r="AT417" s="3">
        <v>0.31</v>
      </c>
      <c r="AU417" s="7">
        <v>1142.2707519999999</v>
      </c>
      <c r="AV417" s="3">
        <v>1E-3</v>
      </c>
      <c r="AW417" s="3">
        <f t="shared" si="46"/>
        <v>0.315</v>
      </c>
      <c r="AX417" s="5"/>
      <c r="AY417" s="5"/>
      <c r="AZ417" s="5"/>
      <c r="BA417" s="5"/>
      <c r="BB417" s="1"/>
      <c r="BC417" s="3" t="s">
        <v>235</v>
      </c>
      <c r="BD417" s="3">
        <v>0.9</v>
      </c>
      <c r="BE417" s="3">
        <v>0.5</v>
      </c>
      <c r="BF417" s="3">
        <v>0.6</v>
      </c>
      <c r="BG417" s="3">
        <v>0.3</v>
      </c>
      <c r="BH417" s="7">
        <v>1123.4720460000001</v>
      </c>
      <c r="BI417" s="3">
        <v>8.0000000000000002E-3</v>
      </c>
      <c r="BK417" s="3" t="s">
        <v>235</v>
      </c>
      <c r="BL417" s="3">
        <v>0.3</v>
      </c>
      <c r="BM417" s="6">
        <v>1119.2985839999999</v>
      </c>
      <c r="BN417" s="3">
        <v>0</v>
      </c>
      <c r="BO417" s="3">
        <f t="shared" si="47"/>
        <v>0.3</v>
      </c>
    </row>
    <row r="418" spans="1:71" x14ac:dyDescent="0.3">
      <c r="A418" s="3" t="s">
        <v>236</v>
      </c>
      <c r="B418" s="3">
        <v>0.9</v>
      </c>
      <c r="C418" s="3">
        <v>0.5</v>
      </c>
      <c r="D418" s="3">
        <v>0.6</v>
      </c>
      <c r="E418" s="3">
        <v>0.33</v>
      </c>
      <c r="F418" s="6">
        <v>773.08111599999995</v>
      </c>
      <c r="G418" s="3">
        <v>3.0000000000000001E-3</v>
      </c>
      <c r="I418" s="3" t="s">
        <v>236</v>
      </c>
      <c r="J418" s="3">
        <v>0.3</v>
      </c>
      <c r="K418" s="7">
        <v>775.665527</v>
      </c>
      <c r="L418" s="3">
        <v>0</v>
      </c>
      <c r="M418" s="3">
        <f t="shared" si="44"/>
        <v>0.315</v>
      </c>
      <c r="N418" s="5"/>
      <c r="O418" s="5"/>
      <c r="P418" s="5"/>
      <c r="Q418" s="5"/>
      <c r="R418" s="1"/>
      <c r="S418" s="3" t="s">
        <v>236</v>
      </c>
      <c r="T418" s="3">
        <v>0.9</v>
      </c>
      <c r="U418" s="3">
        <v>0.5</v>
      </c>
      <c r="V418" s="3">
        <v>0.6</v>
      </c>
      <c r="W418" s="3">
        <v>0.31</v>
      </c>
      <c r="X418" s="6">
        <v>775.997253</v>
      </c>
      <c r="Y418" s="3">
        <v>3.0000000000000001E-3</v>
      </c>
      <c r="AA418" s="3" t="s">
        <v>236</v>
      </c>
      <c r="AB418" s="3">
        <v>0.3</v>
      </c>
      <c r="AC418" s="7">
        <v>787.16821300000004</v>
      </c>
      <c r="AD418" s="3">
        <v>1E-3</v>
      </c>
      <c r="AE418" s="3">
        <f t="shared" si="45"/>
        <v>0.30499999999999999</v>
      </c>
      <c r="AF418" s="5"/>
      <c r="AG418" s="5"/>
      <c r="AH418" s="5"/>
      <c r="AI418" s="5"/>
      <c r="AJ418" s="1"/>
      <c r="AK418" s="3" t="s">
        <v>237</v>
      </c>
      <c r="AL418" s="3">
        <v>0.9</v>
      </c>
      <c r="AM418" s="3">
        <v>0.5</v>
      </c>
      <c r="AN418" s="3">
        <v>0.6</v>
      </c>
      <c r="AO418" s="3">
        <v>0.3</v>
      </c>
      <c r="AP418" s="6">
        <v>1117.229004</v>
      </c>
      <c r="AQ418" s="3">
        <v>8.9999999999999993E-3</v>
      </c>
      <c r="AS418" s="3" t="s">
        <v>237</v>
      </c>
      <c r="AT418" s="3">
        <v>0.3</v>
      </c>
      <c r="AU418" s="7">
        <v>1150.6904300000001</v>
      </c>
      <c r="AV418" s="3">
        <v>1E-3</v>
      </c>
      <c r="AW418" s="3">
        <f t="shared" si="46"/>
        <v>0.3</v>
      </c>
      <c r="AX418" s="5"/>
      <c r="AY418" s="5"/>
      <c r="AZ418" s="5"/>
      <c r="BA418" s="5"/>
      <c r="BB418" s="1"/>
      <c r="BC418" s="3" t="s">
        <v>237</v>
      </c>
      <c r="BD418" s="3">
        <v>0.9</v>
      </c>
      <c r="BE418" s="3">
        <v>0.5</v>
      </c>
      <c r="BF418" s="3">
        <v>0.6</v>
      </c>
      <c r="BG418" s="3">
        <v>0.31</v>
      </c>
      <c r="BH418" s="6">
        <v>1111.411987</v>
      </c>
      <c r="BI418" s="3">
        <v>8.9999999999999993E-3</v>
      </c>
      <c r="BK418" s="3" t="s">
        <v>237</v>
      </c>
      <c r="BL418" s="3">
        <v>0.33</v>
      </c>
      <c r="BM418" s="7">
        <v>1129.3782960000001</v>
      </c>
      <c r="BN418" s="3">
        <v>1E-3</v>
      </c>
      <c r="BO418" s="3">
        <f t="shared" si="47"/>
        <v>0.32</v>
      </c>
    </row>
    <row r="419" spans="1:71" x14ac:dyDescent="0.3">
      <c r="A419" s="3" t="s">
        <v>238</v>
      </c>
      <c r="B419" s="3">
        <v>0.9</v>
      </c>
      <c r="C419" s="3">
        <v>0.5</v>
      </c>
      <c r="D419" s="3">
        <v>0.6</v>
      </c>
      <c r="E419" s="3">
        <v>0.34</v>
      </c>
      <c r="F419" s="6">
        <v>754.29724099999999</v>
      </c>
      <c r="G419" s="3">
        <v>2E-3</v>
      </c>
      <c r="I419" s="3" t="s">
        <v>238</v>
      </c>
      <c r="J419" s="3">
        <v>0.31</v>
      </c>
      <c r="K419" s="7">
        <v>763.48126200000002</v>
      </c>
      <c r="L419" s="3">
        <v>1E-3</v>
      </c>
      <c r="M419" s="3">
        <f t="shared" si="44"/>
        <v>0.32500000000000001</v>
      </c>
      <c r="N419" s="5"/>
      <c r="O419" s="5"/>
      <c r="P419" s="5"/>
      <c r="Q419" s="5"/>
      <c r="R419" s="1"/>
      <c r="S419" s="3" t="s">
        <v>238</v>
      </c>
      <c r="T419" s="3">
        <v>0.9</v>
      </c>
      <c r="U419" s="3">
        <v>0.5</v>
      </c>
      <c r="V419" s="3">
        <v>0.6</v>
      </c>
      <c r="W419" s="3">
        <v>0.31</v>
      </c>
      <c r="X419" s="6">
        <v>747.00591999999995</v>
      </c>
      <c r="Y419" s="3">
        <v>3.0000000000000001E-3</v>
      </c>
      <c r="AA419" s="3" t="s">
        <v>238</v>
      </c>
      <c r="AB419" s="3">
        <v>0.3</v>
      </c>
      <c r="AC419" s="7">
        <v>769.85986300000002</v>
      </c>
      <c r="AD419" s="3">
        <v>1E-3</v>
      </c>
      <c r="AE419" s="3">
        <f t="shared" si="45"/>
        <v>0.30499999999999999</v>
      </c>
      <c r="AF419" s="5"/>
      <c r="AG419" s="5"/>
      <c r="AH419" s="5"/>
      <c r="AI419" s="5"/>
      <c r="AJ419" s="1"/>
      <c r="AK419" s="3" t="s">
        <v>239</v>
      </c>
      <c r="AL419" s="3">
        <v>0.9</v>
      </c>
      <c r="AM419" s="3">
        <v>0.5</v>
      </c>
      <c r="AN419" s="3">
        <v>0.6</v>
      </c>
      <c r="AO419" s="3">
        <v>0.35</v>
      </c>
      <c r="AP419" s="7">
        <v>1176.1669919999999</v>
      </c>
      <c r="AQ419" s="3">
        <v>1.6E-2</v>
      </c>
      <c r="AS419" s="3" t="s">
        <v>239</v>
      </c>
      <c r="AT419" s="3">
        <v>0.35</v>
      </c>
      <c r="AU419" s="6">
        <v>1160.6264650000001</v>
      </c>
      <c r="AV419" s="3">
        <v>1E-3</v>
      </c>
      <c r="AW419" s="3">
        <f t="shared" si="46"/>
        <v>0.35</v>
      </c>
      <c r="AX419" s="5"/>
      <c r="AY419" s="5"/>
      <c r="AZ419" s="5"/>
      <c r="BA419" s="5"/>
      <c r="BB419" s="1"/>
      <c r="BC419" s="3" t="s">
        <v>239</v>
      </c>
      <c r="BD419" s="3">
        <v>0.9</v>
      </c>
      <c r="BE419" s="3">
        <v>0.5</v>
      </c>
      <c r="BF419" s="3">
        <v>0.6</v>
      </c>
      <c r="BG419" s="3">
        <v>0.31</v>
      </c>
      <c r="BH419" s="6">
        <v>1180.974487</v>
      </c>
      <c r="BI419" s="3">
        <v>1.0999999999999999E-2</v>
      </c>
      <c r="BK419" s="3" t="s">
        <v>239</v>
      </c>
      <c r="BL419" s="3">
        <v>0.31</v>
      </c>
      <c r="BM419" s="7">
        <v>1122.7398679999999</v>
      </c>
      <c r="BN419" s="3">
        <v>1E-3</v>
      </c>
      <c r="BO419" s="3">
        <f t="shared" si="47"/>
        <v>0.31</v>
      </c>
    </row>
    <row r="420" spans="1:71" x14ac:dyDescent="0.3">
      <c r="A420" s="3" t="s">
        <v>240</v>
      </c>
      <c r="B420" s="3">
        <v>0.9</v>
      </c>
      <c r="C420" s="3">
        <v>0.5</v>
      </c>
      <c r="D420" s="3">
        <v>0.6</v>
      </c>
      <c r="E420" s="3">
        <v>0.3</v>
      </c>
      <c r="F420" s="6">
        <v>742.89556900000002</v>
      </c>
      <c r="G420" s="3">
        <v>3.0000000000000001E-3</v>
      </c>
      <c r="I420" s="3" t="s">
        <v>240</v>
      </c>
      <c r="J420" s="3">
        <v>0.3</v>
      </c>
      <c r="K420" s="7">
        <v>744.89904799999999</v>
      </c>
      <c r="L420" s="3">
        <v>1E-3</v>
      </c>
      <c r="M420" s="3">
        <f t="shared" si="44"/>
        <v>0.3</v>
      </c>
      <c r="N420" s="5"/>
      <c r="O420" s="5"/>
      <c r="P420" s="5"/>
      <c r="Q420" s="5"/>
      <c r="R420" s="1"/>
      <c r="S420" s="3" t="s">
        <v>240</v>
      </c>
      <c r="T420" s="3">
        <v>0.9</v>
      </c>
      <c r="U420" s="3">
        <v>0.5</v>
      </c>
      <c r="V420" s="3">
        <v>0.6</v>
      </c>
      <c r="W420" s="3">
        <v>0.3</v>
      </c>
      <c r="X420" s="6">
        <v>728.898865</v>
      </c>
      <c r="Y420" s="3">
        <v>4.0000000000000001E-3</v>
      </c>
      <c r="AA420" s="3" t="s">
        <v>240</v>
      </c>
      <c r="AB420" s="3">
        <v>0.31</v>
      </c>
      <c r="AC420" s="7">
        <v>736.42309599999999</v>
      </c>
      <c r="AD420" s="3">
        <v>0</v>
      </c>
      <c r="AE420" s="3">
        <f t="shared" si="45"/>
        <v>0.30499999999999999</v>
      </c>
      <c r="AF420" s="5"/>
      <c r="AG420" s="5"/>
      <c r="AH420" s="5"/>
      <c r="AI420" s="5"/>
      <c r="AJ420" s="1"/>
      <c r="AK420" s="3" t="s">
        <v>241</v>
      </c>
      <c r="AL420" s="3">
        <v>0.9</v>
      </c>
      <c r="AM420" s="3">
        <v>0.5</v>
      </c>
      <c r="AN420" s="3">
        <v>0.6</v>
      </c>
      <c r="AO420" s="3">
        <v>0.31</v>
      </c>
      <c r="AP420" s="7">
        <v>1115.56665</v>
      </c>
      <c r="AQ420" s="3">
        <v>1.0999999999999999E-2</v>
      </c>
      <c r="AS420" s="3" t="s">
        <v>241</v>
      </c>
      <c r="AT420" s="3">
        <v>0.32</v>
      </c>
      <c r="AU420" s="6">
        <v>1108.013428</v>
      </c>
      <c r="AV420" s="3">
        <v>1E-3</v>
      </c>
      <c r="AW420" s="3">
        <f t="shared" si="46"/>
        <v>0.315</v>
      </c>
      <c r="AX420" s="5"/>
      <c r="AY420" s="5"/>
      <c r="AZ420" s="5"/>
      <c r="BA420" s="5"/>
      <c r="BB420" s="1"/>
      <c r="BC420" s="3" t="s">
        <v>241</v>
      </c>
      <c r="BD420" s="3">
        <v>0.9</v>
      </c>
      <c r="BE420" s="3">
        <v>0.5</v>
      </c>
      <c r="BF420" s="3">
        <v>0.6</v>
      </c>
      <c r="BG420" s="3">
        <v>0.3</v>
      </c>
      <c r="BH420" s="7">
        <v>1113.616943</v>
      </c>
      <c r="BI420" s="3">
        <v>8.0000000000000002E-3</v>
      </c>
      <c r="BK420" s="3" t="s">
        <v>241</v>
      </c>
      <c r="BL420" s="3">
        <v>0.31</v>
      </c>
      <c r="BM420" s="6">
        <v>1104.2753909999999</v>
      </c>
      <c r="BN420" s="3">
        <v>1E-3</v>
      </c>
      <c r="BO420" s="3">
        <f t="shared" si="47"/>
        <v>0.30499999999999999</v>
      </c>
    </row>
    <row r="421" spans="1:71" x14ac:dyDescent="0.3">
      <c r="A421" s="3" t="s">
        <v>242</v>
      </c>
      <c r="B421" s="3">
        <v>0.9</v>
      </c>
      <c r="C421" s="3">
        <v>0.5</v>
      </c>
      <c r="D421" s="3">
        <v>0.6</v>
      </c>
      <c r="E421" s="3">
        <v>0.3</v>
      </c>
      <c r="F421" s="6">
        <v>749.635986</v>
      </c>
      <c r="G421" s="3">
        <v>4.0000000000000001E-3</v>
      </c>
      <c r="I421" s="3" t="s">
        <v>242</v>
      </c>
      <c r="J421" s="3">
        <v>0.32</v>
      </c>
      <c r="K421" s="7">
        <v>760.90600600000005</v>
      </c>
      <c r="L421" s="3">
        <v>0</v>
      </c>
      <c r="M421" s="3">
        <f t="shared" si="44"/>
        <v>0.31</v>
      </c>
      <c r="N421" s="5"/>
      <c r="O421" s="5"/>
      <c r="P421" s="5"/>
      <c r="Q421" s="5"/>
      <c r="R421" s="1"/>
      <c r="S421" s="3" t="s">
        <v>242</v>
      </c>
      <c r="T421" s="3">
        <v>0.9</v>
      </c>
      <c r="U421" s="3">
        <v>0.5</v>
      </c>
      <c r="V421" s="3">
        <v>0.6</v>
      </c>
      <c r="W421" s="3">
        <v>0.32</v>
      </c>
      <c r="X421" s="6">
        <v>712.61236599999995</v>
      </c>
      <c r="Y421" s="3">
        <v>3.0000000000000001E-3</v>
      </c>
      <c r="AA421" s="3" t="s">
        <v>242</v>
      </c>
      <c r="AB421" s="3">
        <v>0.33</v>
      </c>
      <c r="AC421" s="7">
        <v>733.95178199999998</v>
      </c>
      <c r="AD421" s="3">
        <v>0</v>
      </c>
      <c r="AE421" s="3">
        <f t="shared" si="45"/>
        <v>0.32500000000000001</v>
      </c>
      <c r="AF421" s="5"/>
      <c r="AG421" s="5"/>
      <c r="AH421" s="5"/>
      <c r="AI421" s="5"/>
      <c r="AJ421" s="1"/>
      <c r="AK421" s="3" t="s">
        <v>243</v>
      </c>
      <c r="AL421" s="3">
        <v>0.9</v>
      </c>
      <c r="AM421" s="3">
        <v>0.5</v>
      </c>
      <c r="AN421" s="3">
        <v>0.6</v>
      </c>
      <c r="AO421" s="3">
        <v>0.32</v>
      </c>
      <c r="AP421" s="7">
        <v>1229.66626</v>
      </c>
      <c r="AQ421" s="3">
        <v>1.4999999999999999E-2</v>
      </c>
      <c r="AS421" s="3" t="s">
        <v>243</v>
      </c>
      <c r="AT421" s="3">
        <v>0.3</v>
      </c>
      <c r="AU421" s="6">
        <v>1224.1671140000001</v>
      </c>
      <c r="AV421" s="3">
        <v>1E-3</v>
      </c>
      <c r="AW421" s="3">
        <f t="shared" si="46"/>
        <v>0.31</v>
      </c>
      <c r="AX421" s="5"/>
      <c r="AY421" s="5"/>
      <c r="AZ421" s="5"/>
      <c r="BA421" s="5"/>
      <c r="BB421" s="1"/>
      <c r="BC421" s="3" t="s">
        <v>243</v>
      </c>
      <c r="BD421" s="3">
        <v>0.9</v>
      </c>
      <c r="BE421" s="3">
        <v>0.5</v>
      </c>
      <c r="BF421" s="3">
        <v>0.6</v>
      </c>
      <c r="BG421" s="3">
        <v>0.37</v>
      </c>
      <c r="BH421" s="7">
        <v>1210.153198</v>
      </c>
      <c r="BI421" s="3">
        <v>8.9999999999999993E-3</v>
      </c>
      <c r="BK421" s="3" t="s">
        <v>243</v>
      </c>
      <c r="BL421" s="3">
        <v>0.31</v>
      </c>
      <c r="BM421" s="6">
        <v>1182.9041749999999</v>
      </c>
      <c r="BN421" s="3">
        <v>1E-3</v>
      </c>
      <c r="BO421" s="3">
        <f t="shared" si="47"/>
        <v>0.33999999999999997</v>
      </c>
    </row>
    <row r="422" spans="1:71" x14ac:dyDescent="0.3">
      <c r="A422" s="3" t="s">
        <v>244</v>
      </c>
      <c r="B422" s="3">
        <v>0.9</v>
      </c>
      <c r="C422" s="3">
        <v>0.5</v>
      </c>
      <c r="D422" s="3">
        <v>0.6</v>
      </c>
      <c r="E422" s="3">
        <v>0.3</v>
      </c>
      <c r="F422" s="7">
        <v>743.78338599999995</v>
      </c>
      <c r="G422" s="3">
        <v>4.0000000000000001E-3</v>
      </c>
      <c r="I422" s="3" t="s">
        <v>244</v>
      </c>
      <c r="J422" s="3">
        <v>0.33</v>
      </c>
      <c r="K422" s="6">
        <v>734.16821300000004</v>
      </c>
      <c r="L422" s="3">
        <v>1E-3</v>
      </c>
      <c r="M422" s="3">
        <f t="shared" si="44"/>
        <v>0.315</v>
      </c>
      <c r="N422" s="5"/>
      <c r="O422" s="5"/>
      <c r="P422" s="5"/>
      <c r="Q422" s="5"/>
      <c r="R422" s="1"/>
      <c r="S422" s="3" t="s">
        <v>244</v>
      </c>
      <c r="T422" s="3">
        <v>0.9</v>
      </c>
      <c r="U422" s="3">
        <v>0.5</v>
      </c>
      <c r="V422" s="3">
        <v>0.6</v>
      </c>
      <c r="W422" s="3">
        <v>0.32</v>
      </c>
      <c r="X422" s="6">
        <v>726.90386999999998</v>
      </c>
      <c r="Y422" s="3">
        <v>3.0000000000000001E-3</v>
      </c>
      <c r="AA422" s="3" t="s">
        <v>244</v>
      </c>
      <c r="AB422" s="3">
        <v>0.42</v>
      </c>
      <c r="AC422" s="7">
        <v>758.897156</v>
      </c>
      <c r="AD422" s="3">
        <v>0</v>
      </c>
      <c r="AE422" s="3">
        <f t="shared" si="45"/>
        <v>0.37</v>
      </c>
      <c r="AF422" s="5"/>
      <c r="AG422" s="5"/>
      <c r="AH422" s="5"/>
      <c r="AI422" s="5"/>
      <c r="AJ422" s="1"/>
      <c r="AK422" s="3" t="s">
        <v>245</v>
      </c>
      <c r="AL422" s="3">
        <v>0.9</v>
      </c>
      <c r="AM422" s="3">
        <v>0.5</v>
      </c>
      <c r="AN422" s="3">
        <v>0.6</v>
      </c>
      <c r="AO422" s="3">
        <v>0.3</v>
      </c>
      <c r="AP422" s="7">
        <v>1222.9929199999999</v>
      </c>
      <c r="AQ422" s="3">
        <v>1.6E-2</v>
      </c>
      <c r="AS422" s="3" t="s">
        <v>245</v>
      </c>
      <c r="AT422" s="3">
        <v>0.3</v>
      </c>
      <c r="AU422" s="6">
        <v>1195.1549070000001</v>
      </c>
      <c r="AV422" s="3">
        <v>2E-3</v>
      </c>
      <c r="AW422" s="3">
        <f t="shared" si="46"/>
        <v>0.3</v>
      </c>
      <c r="AX422" s="5"/>
      <c r="AY422" s="5"/>
      <c r="AZ422" s="5"/>
      <c r="BA422" s="5"/>
      <c r="BB422" s="1"/>
      <c r="BC422" s="3" t="s">
        <v>245</v>
      </c>
      <c r="BD422" s="3">
        <v>0.9</v>
      </c>
      <c r="BE422" s="3">
        <v>0.5</v>
      </c>
      <c r="BF422" s="3">
        <v>0.6</v>
      </c>
      <c r="BG422" s="3">
        <v>0.3</v>
      </c>
      <c r="BH422" s="7">
        <v>1211.0896</v>
      </c>
      <c r="BI422" s="3">
        <v>8.9999999999999993E-3</v>
      </c>
      <c r="BK422" s="3" t="s">
        <v>245</v>
      </c>
      <c r="BL422" s="3">
        <v>0.3</v>
      </c>
      <c r="BM422" s="6">
        <v>1185.716064</v>
      </c>
      <c r="BN422" s="3">
        <v>1E-3</v>
      </c>
      <c r="BO422" s="3">
        <f t="shared" si="47"/>
        <v>0.3</v>
      </c>
    </row>
    <row r="423" spans="1:71" x14ac:dyDescent="0.3">
      <c r="A423" s="3" t="s">
        <v>246</v>
      </c>
      <c r="B423" s="3">
        <v>0.9</v>
      </c>
      <c r="C423" s="3">
        <v>0.5</v>
      </c>
      <c r="D423" s="3">
        <v>0.6</v>
      </c>
      <c r="E423" s="3">
        <v>0.33</v>
      </c>
      <c r="F423" s="7">
        <v>762.73925799999995</v>
      </c>
      <c r="G423" s="3">
        <v>4.0000000000000001E-3</v>
      </c>
      <c r="I423" s="3" t="s">
        <v>246</v>
      </c>
      <c r="J423" s="3">
        <v>0.3</v>
      </c>
      <c r="K423" s="6">
        <v>729.30102499999998</v>
      </c>
      <c r="L423" s="3">
        <v>0</v>
      </c>
      <c r="M423" s="3">
        <f t="shared" si="44"/>
        <v>0.315</v>
      </c>
      <c r="N423" s="5"/>
      <c r="O423" s="5"/>
      <c r="P423" s="5"/>
      <c r="Q423" s="5"/>
      <c r="R423" s="1"/>
      <c r="S423" s="3" t="s">
        <v>246</v>
      </c>
      <c r="T423" s="3">
        <v>0.9</v>
      </c>
      <c r="U423" s="3">
        <v>0.5</v>
      </c>
      <c r="V423" s="3">
        <v>0.6</v>
      </c>
      <c r="W423" s="3">
        <v>0.33</v>
      </c>
      <c r="X423" s="6">
        <v>749.83514400000001</v>
      </c>
      <c r="Y423" s="3">
        <v>3.0000000000000001E-3</v>
      </c>
      <c r="AA423" s="3" t="s">
        <v>246</v>
      </c>
      <c r="AB423" s="3">
        <v>0.3</v>
      </c>
      <c r="AC423" s="7">
        <v>759.37286400000005</v>
      </c>
      <c r="AD423" s="3">
        <v>0</v>
      </c>
      <c r="AE423" s="3">
        <f t="shared" si="45"/>
        <v>0.315</v>
      </c>
      <c r="AF423" s="5"/>
      <c r="AG423" s="5"/>
      <c r="AH423" s="5"/>
      <c r="AI423" s="5"/>
      <c r="AJ423" s="1"/>
      <c r="AK423" s="3" t="s">
        <v>247</v>
      </c>
      <c r="AL423" s="3">
        <v>0.9</v>
      </c>
      <c r="AM423" s="3">
        <v>0.5</v>
      </c>
      <c r="AN423" s="3">
        <v>0.6</v>
      </c>
      <c r="AO423" s="3">
        <v>0.33</v>
      </c>
      <c r="AP423" s="6">
        <v>1066.0054929999999</v>
      </c>
      <c r="AQ423" s="3">
        <v>1.0999999999999999E-2</v>
      </c>
      <c r="AS423" s="3" t="s">
        <v>247</v>
      </c>
      <c r="AT423" s="3">
        <v>0.32</v>
      </c>
      <c r="AU423" s="7">
        <v>1072.4492190000001</v>
      </c>
      <c r="AV423" s="3">
        <v>2E-3</v>
      </c>
      <c r="AW423" s="3">
        <f t="shared" si="46"/>
        <v>0.32500000000000001</v>
      </c>
      <c r="AX423" s="5"/>
      <c r="AY423" s="5"/>
      <c r="AZ423" s="5"/>
      <c r="BA423" s="5"/>
      <c r="BB423" s="1"/>
      <c r="BC423" s="3" t="s">
        <v>247</v>
      </c>
      <c r="BD423" s="3">
        <v>0.9</v>
      </c>
      <c r="BE423" s="3">
        <v>0.5</v>
      </c>
      <c r="BF423" s="3">
        <v>0.6</v>
      </c>
      <c r="BG423" s="3">
        <v>0.3</v>
      </c>
      <c r="BH423" s="6">
        <v>1062.5947269999999</v>
      </c>
      <c r="BI423" s="3">
        <v>8.0000000000000002E-3</v>
      </c>
      <c r="BK423" s="3" t="s">
        <v>247</v>
      </c>
      <c r="BL423" s="3">
        <v>0.33</v>
      </c>
      <c r="BM423" s="7">
        <v>1082.1072999999999</v>
      </c>
      <c r="BN423" s="3">
        <v>1E-3</v>
      </c>
      <c r="BO423" s="3">
        <f t="shared" si="47"/>
        <v>0.315</v>
      </c>
    </row>
    <row r="424" spans="1:71" x14ac:dyDescent="0.3">
      <c r="A424" s="3" t="s">
        <v>248</v>
      </c>
      <c r="B424" s="3">
        <v>0.9</v>
      </c>
      <c r="C424" s="3">
        <v>0.5</v>
      </c>
      <c r="D424" s="3">
        <v>0.6</v>
      </c>
      <c r="E424" s="3">
        <v>0.31</v>
      </c>
      <c r="F424" s="6">
        <v>769.49926800000003</v>
      </c>
      <c r="G424" s="3">
        <v>4.0000000000000001E-3</v>
      </c>
      <c r="I424" s="3" t="s">
        <v>248</v>
      </c>
      <c r="J424" s="3">
        <v>0.31</v>
      </c>
      <c r="K424" s="7">
        <v>776.38732900000002</v>
      </c>
      <c r="L424" s="3">
        <v>1E-3</v>
      </c>
      <c r="M424" s="3">
        <f t="shared" si="44"/>
        <v>0.31</v>
      </c>
      <c r="N424" s="5"/>
      <c r="O424" s="5"/>
      <c r="P424" s="5"/>
      <c r="Q424" s="5"/>
      <c r="R424" s="1"/>
      <c r="S424" s="3" t="s">
        <v>248</v>
      </c>
      <c r="T424" s="3">
        <v>0.9</v>
      </c>
      <c r="U424" s="3">
        <v>0.5</v>
      </c>
      <c r="V424" s="3">
        <v>0.6</v>
      </c>
      <c r="W424" s="3">
        <v>0.3</v>
      </c>
      <c r="X424" s="6">
        <v>760.75531000000001</v>
      </c>
      <c r="Y424" s="3">
        <v>3.0000000000000001E-3</v>
      </c>
      <c r="AA424" s="3" t="s">
        <v>248</v>
      </c>
      <c r="AB424" s="3">
        <v>0.32</v>
      </c>
      <c r="AC424" s="7">
        <v>788.15863000000002</v>
      </c>
      <c r="AD424" s="3">
        <v>0</v>
      </c>
      <c r="AE424" s="3">
        <f t="shared" si="45"/>
        <v>0.31</v>
      </c>
      <c r="AF424" s="5"/>
      <c r="AG424" s="5"/>
      <c r="AH424" s="5"/>
      <c r="AI424" s="5"/>
      <c r="AJ424" s="1"/>
      <c r="AK424" s="3" t="s">
        <v>249</v>
      </c>
      <c r="AL424" s="3">
        <v>0.9</v>
      </c>
      <c r="AM424" s="3">
        <v>0.5</v>
      </c>
      <c r="AN424" s="3">
        <v>0.6</v>
      </c>
      <c r="AO424" s="3">
        <v>0.31</v>
      </c>
      <c r="AP424" s="6">
        <v>1160.0460210000001</v>
      </c>
      <c r="AQ424" s="3">
        <v>8.9999999999999993E-3</v>
      </c>
      <c r="AS424" s="3" t="s">
        <v>249</v>
      </c>
      <c r="AT424" s="3">
        <v>0.34</v>
      </c>
      <c r="AU424" s="7">
        <v>1170.278198</v>
      </c>
      <c r="AV424" s="3">
        <v>2E-3</v>
      </c>
      <c r="AW424" s="3">
        <f t="shared" si="46"/>
        <v>0.32500000000000001</v>
      </c>
      <c r="AX424" s="5"/>
      <c r="AY424" s="5"/>
      <c r="AZ424" s="5"/>
      <c r="BA424" s="5"/>
      <c r="BB424" s="1"/>
      <c r="BC424" s="3" t="s">
        <v>249</v>
      </c>
      <c r="BD424" s="3">
        <v>0.9</v>
      </c>
      <c r="BE424" s="3">
        <v>0.5</v>
      </c>
      <c r="BF424" s="3">
        <v>0.6</v>
      </c>
      <c r="BG424" s="3">
        <v>0.32</v>
      </c>
      <c r="BH424" s="6">
        <v>1151.263672</v>
      </c>
      <c r="BI424" s="3">
        <v>8.9999999999999993E-3</v>
      </c>
      <c r="BK424" s="3" t="s">
        <v>249</v>
      </c>
      <c r="BL424" s="3">
        <v>0.32</v>
      </c>
      <c r="BM424" s="7">
        <v>1158.030884</v>
      </c>
      <c r="BN424" s="3">
        <v>2E-3</v>
      </c>
      <c r="BO424" s="3">
        <f t="shared" si="47"/>
        <v>0.32</v>
      </c>
    </row>
    <row r="425" spans="1:71" x14ac:dyDescent="0.3">
      <c r="A425" s="3" t="s">
        <v>250</v>
      </c>
      <c r="B425" s="3">
        <v>0.9</v>
      </c>
      <c r="C425" s="3">
        <v>0.5</v>
      </c>
      <c r="D425" s="3">
        <v>0.6</v>
      </c>
      <c r="E425" s="3">
        <v>0.32</v>
      </c>
      <c r="F425" s="7">
        <v>804.51269500000001</v>
      </c>
      <c r="G425" s="3">
        <v>6.0000000000000001E-3</v>
      </c>
      <c r="I425" s="3" t="s">
        <v>250</v>
      </c>
      <c r="J425" s="3">
        <v>0.32</v>
      </c>
      <c r="K425" s="6">
        <v>772.54150400000003</v>
      </c>
      <c r="L425" s="3">
        <v>0</v>
      </c>
      <c r="M425" s="3">
        <f t="shared" si="44"/>
        <v>0.32</v>
      </c>
      <c r="N425" s="5"/>
      <c r="O425" s="5"/>
      <c r="P425" s="5"/>
      <c r="Q425" s="5"/>
      <c r="R425" s="1"/>
      <c r="S425" s="3" t="s">
        <v>250</v>
      </c>
      <c r="T425" s="3">
        <v>0.9</v>
      </c>
      <c r="U425" s="3">
        <v>0.5</v>
      </c>
      <c r="V425" s="3">
        <v>0.6</v>
      </c>
      <c r="W425" s="3">
        <v>0.36</v>
      </c>
      <c r="X425" s="7">
        <v>785.70080600000006</v>
      </c>
      <c r="Y425" s="3">
        <v>4.0000000000000001E-3</v>
      </c>
      <c r="AA425" s="3" t="s">
        <v>250</v>
      </c>
      <c r="AB425" s="3">
        <v>0.32</v>
      </c>
      <c r="AC425" s="6">
        <v>777.13775599999997</v>
      </c>
      <c r="AD425" s="3">
        <v>0</v>
      </c>
      <c r="AE425" s="3">
        <f t="shared" si="45"/>
        <v>0.33999999999999997</v>
      </c>
      <c r="AF425" s="5"/>
      <c r="AG425" s="5"/>
      <c r="AH425" s="5"/>
      <c r="AI425" s="5"/>
      <c r="AJ425" s="1"/>
      <c r="AK425" s="3" t="s">
        <v>251</v>
      </c>
      <c r="AL425" s="3">
        <v>0.9</v>
      </c>
      <c r="AM425" s="3">
        <v>0.5</v>
      </c>
      <c r="AN425" s="3">
        <v>0.6</v>
      </c>
      <c r="AO425" s="3">
        <v>0.32</v>
      </c>
      <c r="AP425" s="7">
        <v>1160.551025</v>
      </c>
      <c r="AQ425" s="3">
        <v>8.0000000000000002E-3</v>
      </c>
      <c r="AS425" s="3" t="s">
        <v>251</v>
      </c>
      <c r="AT425" s="3">
        <v>0.31</v>
      </c>
      <c r="AU425" s="6">
        <v>1156.3266599999999</v>
      </c>
      <c r="AV425" s="3">
        <v>1E-3</v>
      </c>
      <c r="AW425" s="3">
        <f t="shared" si="46"/>
        <v>0.315</v>
      </c>
      <c r="AX425" s="5"/>
      <c r="AY425" s="5"/>
      <c r="AZ425" s="5"/>
      <c r="BA425" s="5"/>
      <c r="BB425" s="1"/>
      <c r="BC425" s="3" t="s">
        <v>251</v>
      </c>
      <c r="BD425" s="3">
        <v>0.9</v>
      </c>
      <c r="BE425" s="3">
        <v>0.5</v>
      </c>
      <c r="BF425" s="3">
        <v>0.6</v>
      </c>
      <c r="BG425" s="3">
        <v>0.32</v>
      </c>
      <c r="BH425" s="6">
        <v>1132.860962</v>
      </c>
      <c r="BI425" s="3">
        <v>8.0000000000000002E-3</v>
      </c>
      <c r="BK425" s="3" t="s">
        <v>251</v>
      </c>
      <c r="BL425" s="3">
        <v>0.3</v>
      </c>
      <c r="BM425" s="7">
        <v>1160.594971</v>
      </c>
      <c r="BN425" s="3">
        <v>1E-3</v>
      </c>
      <c r="BO425" s="3">
        <f t="shared" si="47"/>
        <v>0.31</v>
      </c>
    </row>
    <row r="426" spans="1:71" x14ac:dyDescent="0.3">
      <c r="A426" s="3" t="s">
        <v>252</v>
      </c>
      <c r="B426" s="3">
        <v>0.9</v>
      </c>
      <c r="C426" s="3">
        <v>0.5</v>
      </c>
      <c r="D426" s="3">
        <v>0.6</v>
      </c>
      <c r="E426" s="3">
        <v>0.36</v>
      </c>
      <c r="F426" s="7">
        <v>838.30584699999997</v>
      </c>
      <c r="G426" s="3">
        <v>3.0000000000000001E-3</v>
      </c>
      <c r="I426" s="3" t="s">
        <v>252</v>
      </c>
      <c r="J426" s="3">
        <v>0.31</v>
      </c>
      <c r="K426" s="6">
        <v>822.57006799999999</v>
      </c>
      <c r="L426" s="3">
        <v>0</v>
      </c>
      <c r="M426" s="3">
        <f t="shared" si="44"/>
        <v>0.33499999999999996</v>
      </c>
      <c r="N426" s="5"/>
      <c r="O426" s="5"/>
      <c r="P426" s="5"/>
      <c r="Q426" s="5"/>
      <c r="R426" s="1"/>
      <c r="S426" s="3" t="s">
        <v>252</v>
      </c>
      <c r="T426" s="3">
        <v>0.9</v>
      </c>
      <c r="U426" s="3">
        <v>0.5</v>
      </c>
      <c r="V426" s="3">
        <v>0.6</v>
      </c>
      <c r="W426" s="3">
        <v>0.34</v>
      </c>
      <c r="X426" s="7">
        <v>838.12603799999999</v>
      </c>
      <c r="Y426" s="3">
        <v>8.0000000000000002E-3</v>
      </c>
      <c r="AA426" s="3" t="s">
        <v>252</v>
      </c>
      <c r="AB426" s="3">
        <v>0.34</v>
      </c>
      <c r="AC426" s="6">
        <v>806.97283900000002</v>
      </c>
      <c r="AD426" s="3">
        <v>1E-3</v>
      </c>
      <c r="AE426" s="3">
        <f t="shared" si="45"/>
        <v>0.34</v>
      </c>
      <c r="AF426" s="5"/>
      <c r="AG426" s="5"/>
      <c r="AH426" s="5"/>
      <c r="AI426" s="5"/>
      <c r="AJ426" s="1"/>
      <c r="AK426" s="3" t="s">
        <v>253</v>
      </c>
      <c r="AL426" s="3">
        <v>0.9</v>
      </c>
      <c r="AM426" s="3">
        <v>0.5</v>
      </c>
      <c r="AN426" s="3">
        <v>0.6</v>
      </c>
      <c r="AO426" s="3">
        <v>0.3</v>
      </c>
      <c r="AP426" s="6">
        <v>1187.6553960000001</v>
      </c>
      <c r="AQ426" s="3">
        <v>8.9999999999999993E-3</v>
      </c>
      <c r="AS426" s="3" t="s">
        <v>253</v>
      </c>
      <c r="AT426" s="3">
        <v>0.3</v>
      </c>
      <c r="AU426" s="7">
        <v>1189.445557</v>
      </c>
      <c r="AV426" s="3">
        <v>2E-3</v>
      </c>
      <c r="AW426" s="3">
        <f t="shared" si="46"/>
        <v>0.3</v>
      </c>
      <c r="AX426" s="5"/>
      <c r="AY426" s="5"/>
      <c r="AZ426" s="5"/>
      <c r="BA426" s="5"/>
      <c r="BB426" s="1"/>
      <c r="BC426" s="3" t="s">
        <v>253</v>
      </c>
      <c r="BD426" s="3">
        <v>0.9</v>
      </c>
      <c r="BE426" s="3">
        <v>0.5</v>
      </c>
      <c r="BF426" s="3">
        <v>0.6</v>
      </c>
      <c r="BG426" s="3">
        <v>0.31</v>
      </c>
      <c r="BH426" s="6">
        <v>1176.8751219999999</v>
      </c>
      <c r="BI426" s="3">
        <v>8.9999999999999993E-3</v>
      </c>
      <c r="BK426" s="3" t="s">
        <v>253</v>
      </c>
      <c r="BL426" s="3">
        <v>0.3</v>
      </c>
      <c r="BM426" s="7">
        <v>1202.677246</v>
      </c>
      <c r="BN426" s="3">
        <v>1E-3</v>
      </c>
      <c r="BO426" s="3">
        <f t="shared" si="47"/>
        <v>0.30499999999999999</v>
      </c>
    </row>
    <row r="427" spans="1:71" x14ac:dyDescent="0.3">
      <c r="A427" s="9" t="s">
        <v>316</v>
      </c>
      <c r="E427" s="9">
        <f>AVERAGE(E397:E426)</f>
        <v>0.32466666666666666</v>
      </c>
      <c r="I427" s="9" t="s">
        <v>316</v>
      </c>
      <c r="J427" s="9">
        <f>AVERAGE(J397:J426)</f>
        <v>0.32500000000000001</v>
      </c>
      <c r="R427" s="1"/>
      <c r="S427" s="9" t="s">
        <v>316</v>
      </c>
      <c r="W427" s="9">
        <f>AVERAGE(W397:W426)</f>
        <v>0.3183333333333333</v>
      </c>
      <c r="AA427" s="9" t="s">
        <v>316</v>
      </c>
      <c r="AB427" s="9">
        <f>AVERAGE(AB397:AB426)</f>
        <v>0.32100000000000001</v>
      </c>
      <c r="AJ427" s="1"/>
      <c r="AK427" s="9" t="s">
        <v>316</v>
      </c>
      <c r="AO427" s="9">
        <f>AVERAGE(AO397:AO426)</f>
        <v>0.31466666666666665</v>
      </c>
      <c r="AS427" s="9" t="s">
        <v>316</v>
      </c>
      <c r="AT427" s="9">
        <f>AVERAGE(AT397:AT426)</f>
        <v>0.3123333333333333</v>
      </c>
      <c r="BB427" s="1"/>
      <c r="BC427" s="9" t="s">
        <v>316</v>
      </c>
      <c r="BG427" s="9">
        <f>AVERAGE(BG397:BG426)</f>
        <v>0.31166666666666665</v>
      </c>
      <c r="BK427" s="9" t="s">
        <v>316</v>
      </c>
      <c r="BL427" s="9">
        <f>AVERAGE(BL397:BL426)</f>
        <v>0.30733333333333324</v>
      </c>
    </row>
    <row r="428" spans="1:7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row>
    <row r="429" spans="1:71" x14ac:dyDescent="0.3">
      <c r="A429" s="19" t="s">
        <v>314</v>
      </c>
      <c r="B429" s="19"/>
      <c r="C429" s="19"/>
      <c r="D429" s="19"/>
      <c r="E429" s="19"/>
      <c r="F429" s="19"/>
      <c r="G429" s="19"/>
      <c r="I429" s="19" t="s">
        <v>315</v>
      </c>
      <c r="J429" s="19"/>
      <c r="K429" s="19"/>
      <c r="L429" s="19"/>
      <c r="M429" s="19"/>
      <c r="N429" s="11"/>
      <c r="O429" s="11"/>
      <c r="P429" s="11"/>
      <c r="Q429" s="11"/>
      <c r="R429" s="1"/>
      <c r="S429" s="19" t="s">
        <v>314</v>
      </c>
      <c r="T429" s="19"/>
      <c r="U429" s="19"/>
      <c r="V429" s="19"/>
      <c r="W429" s="19"/>
      <c r="X429" s="19"/>
      <c r="Y429" s="19"/>
      <c r="AA429" s="19" t="s">
        <v>315</v>
      </c>
      <c r="AB429" s="19"/>
      <c r="AC429" s="19"/>
      <c r="AD429" s="19"/>
      <c r="AE429" s="19"/>
      <c r="AF429" s="11"/>
      <c r="AG429" s="11"/>
      <c r="AH429" s="11"/>
      <c r="AI429" s="11"/>
      <c r="AJ429" s="1"/>
      <c r="AK429" s="19" t="s">
        <v>314</v>
      </c>
      <c r="AL429" s="19"/>
      <c r="AM429" s="19"/>
      <c r="AN429" s="19"/>
      <c r="AO429" s="19"/>
      <c r="AP429" s="19"/>
      <c r="AQ429" s="19"/>
      <c r="AS429" s="19" t="s">
        <v>315</v>
      </c>
      <c r="AT429" s="19"/>
      <c r="AU429" s="19"/>
      <c r="AV429" s="19"/>
      <c r="AW429" s="19"/>
      <c r="AX429" s="11"/>
      <c r="AY429" s="11"/>
      <c r="AZ429" s="11"/>
      <c r="BA429" s="11"/>
      <c r="BB429" s="1"/>
      <c r="BC429" s="19" t="s">
        <v>314</v>
      </c>
      <c r="BD429" s="19"/>
      <c r="BE429" s="19"/>
      <c r="BF429" s="19"/>
      <c r="BG429" s="19"/>
      <c r="BH429" s="19"/>
      <c r="BI429" s="19"/>
      <c r="BK429" s="19" t="s">
        <v>315</v>
      </c>
      <c r="BL429" s="19"/>
      <c r="BM429" s="19"/>
      <c r="BN429" s="19"/>
      <c r="BO429" s="19"/>
    </row>
    <row r="430" spans="1:71" x14ac:dyDescent="0.3">
      <c r="A430" s="19" t="s">
        <v>0</v>
      </c>
      <c r="B430" s="19"/>
      <c r="C430" s="19"/>
      <c r="D430" s="19"/>
      <c r="E430" s="19"/>
      <c r="F430" s="19"/>
      <c r="G430" s="19"/>
      <c r="I430" s="19" t="s">
        <v>0</v>
      </c>
      <c r="J430" s="19"/>
      <c r="K430" s="19"/>
      <c r="L430" s="19"/>
      <c r="M430" s="19"/>
      <c r="N430" s="11"/>
      <c r="O430" s="11"/>
      <c r="P430" s="11"/>
      <c r="Q430" s="11"/>
      <c r="R430" s="1"/>
      <c r="S430" s="19" t="s">
        <v>1</v>
      </c>
      <c r="T430" s="19"/>
      <c r="U430" s="19"/>
      <c r="V430" s="19"/>
      <c r="W430" s="19"/>
      <c r="X430" s="19"/>
      <c r="Y430" s="19"/>
      <c r="AA430" s="19" t="s">
        <v>1</v>
      </c>
      <c r="AB430" s="19"/>
      <c r="AC430" s="19"/>
      <c r="AD430" s="19"/>
      <c r="AE430" s="19"/>
      <c r="AF430" s="11"/>
      <c r="AG430" s="11"/>
      <c r="AH430" s="11"/>
      <c r="AI430" s="11"/>
      <c r="AJ430" s="1"/>
      <c r="AK430" s="19" t="s">
        <v>0</v>
      </c>
      <c r="AL430" s="19"/>
      <c r="AM430" s="19"/>
      <c r="AN430" s="19"/>
      <c r="AO430" s="19"/>
      <c r="AP430" s="19"/>
      <c r="AQ430" s="19"/>
      <c r="AS430" s="19" t="s">
        <v>0</v>
      </c>
      <c r="AT430" s="19"/>
      <c r="AU430" s="19"/>
      <c r="AV430" s="19"/>
      <c r="AW430" s="19"/>
      <c r="AX430" s="11"/>
      <c r="AY430" s="11"/>
      <c r="AZ430" s="11"/>
      <c r="BA430" s="11"/>
      <c r="BB430" s="1"/>
      <c r="BC430" s="19" t="s">
        <v>1</v>
      </c>
      <c r="BD430" s="19"/>
      <c r="BE430" s="19"/>
      <c r="BF430" s="19"/>
      <c r="BG430" s="19"/>
      <c r="BH430" s="19"/>
      <c r="BI430" s="19"/>
      <c r="BK430" s="19" t="s">
        <v>1</v>
      </c>
      <c r="BL430" s="19"/>
      <c r="BM430" s="19"/>
      <c r="BN430" s="19"/>
      <c r="BO430" s="19"/>
    </row>
    <row r="431" spans="1:71" x14ac:dyDescent="0.3">
      <c r="A431" s="3" t="s">
        <v>2</v>
      </c>
      <c r="B431" s="3" t="s">
        <v>3</v>
      </c>
      <c r="C431" s="3" t="s">
        <v>4</v>
      </c>
      <c r="D431" s="3" t="s">
        <v>5</v>
      </c>
      <c r="E431" s="3" t="s">
        <v>6</v>
      </c>
      <c r="F431" s="3" t="s">
        <v>7</v>
      </c>
      <c r="G431" s="3" t="s">
        <v>8</v>
      </c>
      <c r="I431" s="3" t="s">
        <v>2</v>
      </c>
      <c r="J431" s="3" t="s">
        <v>6</v>
      </c>
      <c r="K431" s="3" t="s">
        <v>7</v>
      </c>
      <c r="L431" s="3" t="s">
        <v>8</v>
      </c>
      <c r="M431" s="3" t="s">
        <v>9</v>
      </c>
      <c r="N431" s="3" t="s">
        <v>322</v>
      </c>
      <c r="O431" s="3" t="s">
        <v>323</v>
      </c>
      <c r="P431" s="3" t="s">
        <v>322</v>
      </c>
      <c r="Q431" s="3" t="s">
        <v>323</v>
      </c>
      <c r="R431" s="1"/>
      <c r="S431" s="3" t="s">
        <v>2</v>
      </c>
      <c r="T431" s="3" t="s">
        <v>3</v>
      </c>
      <c r="U431" s="3" t="s">
        <v>4</v>
      </c>
      <c r="V431" s="3" t="s">
        <v>5</v>
      </c>
      <c r="W431" s="3" t="s">
        <v>6</v>
      </c>
      <c r="X431" s="3" t="s">
        <v>7</v>
      </c>
      <c r="Y431" s="3" t="s">
        <v>8</v>
      </c>
      <c r="AA431" s="3" t="s">
        <v>2</v>
      </c>
      <c r="AB431" s="3" t="s">
        <v>6</v>
      </c>
      <c r="AC431" s="3" t="s">
        <v>7</v>
      </c>
      <c r="AD431" s="3" t="s">
        <v>8</v>
      </c>
      <c r="AE431" s="3" t="s">
        <v>9</v>
      </c>
      <c r="AF431" s="3" t="s">
        <v>322</v>
      </c>
      <c r="AG431" s="3" t="s">
        <v>323</v>
      </c>
      <c r="AH431" s="3" t="s">
        <v>322</v>
      </c>
      <c r="AI431" s="3" t="s">
        <v>323</v>
      </c>
      <c r="AJ431" s="1"/>
      <c r="AK431" s="3" t="s">
        <v>2</v>
      </c>
      <c r="AL431" s="3" t="s">
        <v>3</v>
      </c>
      <c r="AM431" s="3" t="s">
        <v>4</v>
      </c>
      <c r="AN431" s="3" t="s">
        <v>5</v>
      </c>
      <c r="AO431" s="3" t="s">
        <v>6</v>
      </c>
      <c r="AP431" s="3" t="s">
        <v>7</v>
      </c>
      <c r="AQ431" s="3" t="s">
        <v>8</v>
      </c>
      <c r="AS431" s="3" t="s">
        <v>2</v>
      </c>
      <c r="AT431" s="3" t="s">
        <v>6</v>
      </c>
      <c r="AU431" s="3" t="s">
        <v>7</v>
      </c>
      <c r="AV431" s="3" t="s">
        <v>8</v>
      </c>
      <c r="AW431" s="3" t="s">
        <v>9</v>
      </c>
      <c r="AX431" s="3" t="s">
        <v>322</v>
      </c>
      <c r="AY431" s="3" t="s">
        <v>323</v>
      </c>
      <c r="AZ431" s="3" t="s">
        <v>322</v>
      </c>
      <c r="BA431" s="3" t="s">
        <v>323</v>
      </c>
      <c r="BB431" s="1"/>
      <c r="BC431" s="3" t="s">
        <v>2</v>
      </c>
      <c r="BD431" s="3" t="s">
        <v>3</v>
      </c>
      <c r="BE431" s="3" t="s">
        <v>4</v>
      </c>
      <c r="BF431" s="3" t="s">
        <v>5</v>
      </c>
      <c r="BG431" s="3" t="s">
        <v>6</v>
      </c>
      <c r="BH431" s="3" t="s">
        <v>7</v>
      </c>
      <c r="BI431" s="3" t="s">
        <v>8</v>
      </c>
      <c r="BK431" s="3" t="s">
        <v>2</v>
      </c>
      <c r="BL431" s="3" t="s">
        <v>6</v>
      </c>
      <c r="BM431" s="3" t="s">
        <v>7</v>
      </c>
      <c r="BN431" s="3" t="s">
        <v>8</v>
      </c>
      <c r="BO431" s="3" t="s">
        <v>9</v>
      </c>
      <c r="BP431" s="3" t="s">
        <v>322</v>
      </c>
      <c r="BQ431" s="3" t="s">
        <v>323</v>
      </c>
      <c r="BR431" s="3" t="s">
        <v>322</v>
      </c>
      <c r="BS431" s="3" t="s">
        <v>323</v>
      </c>
    </row>
    <row r="432" spans="1:71" x14ac:dyDescent="0.3">
      <c r="A432" s="3" t="s">
        <v>254</v>
      </c>
      <c r="B432" s="3">
        <v>0.9</v>
      </c>
      <c r="C432" s="3">
        <v>0.5</v>
      </c>
      <c r="D432" s="3">
        <v>0.6</v>
      </c>
      <c r="E432" s="3">
        <v>0.33</v>
      </c>
      <c r="F432" s="7">
        <v>679.59741199999996</v>
      </c>
      <c r="G432" s="3">
        <v>2E-3</v>
      </c>
      <c r="I432" s="3" t="s">
        <v>254</v>
      </c>
      <c r="J432" s="3">
        <v>0.31</v>
      </c>
      <c r="K432" s="6">
        <v>673.94085700000005</v>
      </c>
      <c r="L432" s="3">
        <v>0</v>
      </c>
      <c r="M432" s="3">
        <f t="shared" ref="M432:M461" si="48">AVERAGE(E432,J432)</f>
        <v>0.32</v>
      </c>
      <c r="N432" s="4" t="s">
        <v>320</v>
      </c>
      <c r="O432" s="4" t="s">
        <v>320</v>
      </c>
      <c r="P432" s="4" t="s">
        <v>321</v>
      </c>
      <c r="Q432" s="4" t="s">
        <v>321</v>
      </c>
      <c r="R432" s="1"/>
      <c r="S432" s="3" t="s">
        <v>254</v>
      </c>
      <c r="T432" s="3">
        <v>0.9</v>
      </c>
      <c r="U432" s="3">
        <v>0.5</v>
      </c>
      <c r="V432" s="3">
        <v>0.6</v>
      </c>
      <c r="W432" s="3">
        <v>0.3</v>
      </c>
      <c r="X432" s="7">
        <v>635.75579800000003</v>
      </c>
      <c r="Y432" s="3">
        <v>3.0000000000000001E-3</v>
      </c>
      <c r="AA432" s="3" t="s">
        <v>254</v>
      </c>
      <c r="AB432" s="3">
        <v>0.3</v>
      </c>
      <c r="AC432" s="6">
        <v>632.97454800000003</v>
      </c>
      <c r="AD432" s="3">
        <v>0</v>
      </c>
      <c r="AE432" s="3">
        <f t="shared" ref="AE432:AE461" si="49">AVERAGE(W432,AB432)</f>
        <v>0.3</v>
      </c>
      <c r="AF432" s="4" t="s">
        <v>320</v>
      </c>
      <c r="AG432" s="4" t="s">
        <v>320</v>
      </c>
      <c r="AH432" s="4" t="s">
        <v>321</v>
      </c>
      <c r="AI432" s="4" t="s">
        <v>321</v>
      </c>
      <c r="AJ432" s="1"/>
      <c r="AK432" s="3" t="s">
        <v>255</v>
      </c>
      <c r="AL432" s="3">
        <v>0.9</v>
      </c>
      <c r="AM432" s="3">
        <v>0.5</v>
      </c>
      <c r="AN432" s="3">
        <v>0.6</v>
      </c>
      <c r="AO432" s="3">
        <v>0.33</v>
      </c>
      <c r="AP432" s="7">
        <v>1037.6391599999999</v>
      </c>
      <c r="AQ432" s="3">
        <v>8.9999999999999993E-3</v>
      </c>
      <c r="AS432" s="3" t="s">
        <v>255</v>
      </c>
      <c r="AT432" s="3">
        <v>0.31</v>
      </c>
      <c r="AU432" s="6">
        <v>1033.623779</v>
      </c>
      <c r="AV432" s="3">
        <v>1E-3</v>
      </c>
      <c r="AW432" s="3">
        <f t="shared" ref="AW432:AW461" si="50">AVERAGE(AO432,AT432)</f>
        <v>0.32</v>
      </c>
      <c r="AX432" s="4" t="s">
        <v>320</v>
      </c>
      <c r="AY432" s="4" t="s">
        <v>320</v>
      </c>
      <c r="AZ432" s="4" t="s">
        <v>321</v>
      </c>
      <c r="BA432" s="4" t="s">
        <v>321</v>
      </c>
      <c r="BB432" s="1"/>
      <c r="BC432" s="3" t="s">
        <v>255</v>
      </c>
      <c r="BD432" s="3">
        <v>0.9</v>
      </c>
      <c r="BE432" s="3">
        <v>0.5</v>
      </c>
      <c r="BF432" s="3">
        <v>0.6</v>
      </c>
      <c r="BG432" s="3">
        <v>0.3</v>
      </c>
      <c r="BH432" s="7">
        <v>986.00732400000004</v>
      </c>
      <c r="BI432" s="3">
        <v>1.0999999999999999E-2</v>
      </c>
      <c r="BK432" s="3" t="s">
        <v>255</v>
      </c>
      <c r="BL432" s="3">
        <v>0.32</v>
      </c>
      <c r="BM432" s="6">
        <v>985.75207499999999</v>
      </c>
      <c r="BN432" s="3">
        <v>0</v>
      </c>
      <c r="BO432" s="3">
        <f t="shared" ref="BO432:BO461" si="51">AVERAGE(BG432,BL432)</f>
        <v>0.31</v>
      </c>
      <c r="BP432" s="4" t="s">
        <v>320</v>
      </c>
      <c r="BQ432" s="4" t="s">
        <v>320</v>
      </c>
      <c r="BR432" s="4" t="s">
        <v>321</v>
      </c>
      <c r="BS432" s="4" t="s">
        <v>321</v>
      </c>
    </row>
    <row r="433" spans="1:71" x14ac:dyDescent="0.3">
      <c r="A433" s="3" t="s">
        <v>256</v>
      </c>
      <c r="B433" s="3">
        <v>0.9</v>
      </c>
      <c r="C433" s="3">
        <v>0.5</v>
      </c>
      <c r="D433" s="3">
        <v>0.6</v>
      </c>
      <c r="E433" s="3">
        <v>0.33</v>
      </c>
      <c r="F433" s="7">
        <v>705.68798800000002</v>
      </c>
      <c r="G433" s="3">
        <v>3.0000000000000001E-3</v>
      </c>
      <c r="I433" s="3" t="s">
        <v>256</v>
      </c>
      <c r="J433" s="3">
        <v>0.31</v>
      </c>
      <c r="K433" s="6">
        <v>698.92394999999999</v>
      </c>
      <c r="L433" s="3">
        <v>0</v>
      </c>
      <c r="M433" s="3">
        <f t="shared" si="48"/>
        <v>0.32</v>
      </c>
      <c r="N433" s="3">
        <f>COUNT(F436:F438,F440:F443,F445:F450,F453,F455:F457,F460:F461)</f>
        <v>19</v>
      </c>
      <c r="O433" s="3">
        <f>30-N433</f>
        <v>11</v>
      </c>
      <c r="P433" s="3">
        <f>COUNT(K432:K435,K439:K440,K443:K444,K451:K452,K454,K458:K459)</f>
        <v>13</v>
      </c>
      <c r="Q433" s="3">
        <f>30-P433</f>
        <v>17</v>
      </c>
      <c r="R433" s="1"/>
      <c r="S433" s="3" t="s">
        <v>256</v>
      </c>
      <c r="T433" s="3">
        <v>0.9</v>
      </c>
      <c r="U433" s="3">
        <v>0.5</v>
      </c>
      <c r="V433" s="3">
        <v>0.6</v>
      </c>
      <c r="W433" s="3">
        <v>0.38</v>
      </c>
      <c r="X433" s="7">
        <v>669.00976600000001</v>
      </c>
      <c r="Y433" s="3">
        <v>4.0000000000000001E-3</v>
      </c>
      <c r="AA433" s="3" t="s">
        <v>256</v>
      </c>
      <c r="AB433" s="3">
        <v>0.33</v>
      </c>
      <c r="AC433" s="6">
        <v>665.82751499999995</v>
      </c>
      <c r="AD433" s="3">
        <v>1E-3</v>
      </c>
      <c r="AE433" s="3">
        <f t="shared" si="49"/>
        <v>0.35499999999999998</v>
      </c>
      <c r="AF433" s="3">
        <f>COUNT(X434,X436:X437,X439:X441,X445,X447,X451:X455,X457:X458,X460:X461)</f>
        <v>17</v>
      </c>
      <c r="AG433" s="3">
        <f>30-AF433</f>
        <v>13</v>
      </c>
      <c r="AH433" s="3">
        <f>COUNT(AC432:AC433,AC435,AC438,AC442:AC444,AC446,AC448:AC450,AC456,AC459)</f>
        <v>13</v>
      </c>
      <c r="AI433" s="3">
        <f>30-AH433</f>
        <v>17</v>
      </c>
      <c r="AJ433" s="1"/>
      <c r="AK433" s="3" t="s">
        <v>257</v>
      </c>
      <c r="AL433" s="3">
        <v>0.9</v>
      </c>
      <c r="AM433" s="3">
        <v>0.5</v>
      </c>
      <c r="AN433" s="3">
        <v>0.6</v>
      </c>
      <c r="AO433" s="3">
        <v>0.3</v>
      </c>
      <c r="AP433" s="7">
        <v>1010.755615</v>
      </c>
      <c r="AQ433" s="3">
        <v>8.9999999999999993E-3</v>
      </c>
      <c r="AS433" s="3" t="s">
        <v>257</v>
      </c>
      <c r="AT433" s="3">
        <v>0.31</v>
      </c>
      <c r="AU433" s="6">
        <v>997.30371100000002</v>
      </c>
      <c r="AV433" s="3">
        <v>1E-3</v>
      </c>
      <c r="AW433" s="3">
        <f t="shared" si="50"/>
        <v>0.30499999999999999</v>
      </c>
      <c r="AX433" s="3">
        <f>COUNT(AP434,AP436:AP437,AP441,AP443,AP446,AP449,AP454:AP455,AP457,AP459)</f>
        <v>11</v>
      </c>
      <c r="AY433" s="3">
        <f>30-AX433</f>
        <v>19</v>
      </c>
      <c r="AZ433" s="3">
        <f>COUNT(AU432:AU436,AU438:AU440,AU442,AU444:AU445,AU447:AU448,AU450:AU453,AU456,AU458,AU460:AU461)</f>
        <v>21</v>
      </c>
      <c r="BA433" s="3">
        <f>30-AZ433</f>
        <v>9</v>
      </c>
      <c r="BB433" s="1"/>
      <c r="BC433" s="3" t="s">
        <v>257</v>
      </c>
      <c r="BD433" s="3">
        <v>0.9</v>
      </c>
      <c r="BE433" s="3">
        <v>0.5</v>
      </c>
      <c r="BF433" s="3">
        <v>0.6</v>
      </c>
      <c r="BG433" s="3">
        <v>0.36</v>
      </c>
      <c r="BH433" s="6">
        <v>937.88281199999994</v>
      </c>
      <c r="BI433" s="3">
        <v>0.01</v>
      </c>
      <c r="BK433" s="3" t="s">
        <v>257</v>
      </c>
      <c r="BL433" s="3">
        <v>0.3</v>
      </c>
      <c r="BM433" s="7">
        <v>972.30914299999995</v>
      </c>
      <c r="BN433" s="3">
        <v>0</v>
      </c>
      <c r="BO433" s="3">
        <f t="shared" si="51"/>
        <v>0.32999999999999996</v>
      </c>
      <c r="BP433" s="3">
        <f>COUNT(BH433:BH435,BH437,BH441,BH444:BH445,BH447:BH448,BH450:BH456,BH458,BH460)</f>
        <v>18</v>
      </c>
      <c r="BQ433" s="3">
        <f>30-BP433</f>
        <v>12</v>
      </c>
      <c r="BR433" s="3">
        <f>COUNT(BM432,BM436,BM438:BM440,BM442:BM443,BM446,BM449,BM457,BM459,BM461)</f>
        <v>12</v>
      </c>
      <c r="BS433" s="3">
        <f>30-BR433</f>
        <v>18</v>
      </c>
    </row>
    <row r="434" spans="1:71" x14ac:dyDescent="0.3">
      <c r="A434" s="3" t="s">
        <v>258</v>
      </c>
      <c r="B434" s="3">
        <v>0.9</v>
      </c>
      <c r="C434" s="3">
        <v>0.5</v>
      </c>
      <c r="D434" s="3">
        <v>0.6</v>
      </c>
      <c r="E434" s="3">
        <v>0.3</v>
      </c>
      <c r="F434" s="7">
        <v>680.71917699999995</v>
      </c>
      <c r="G434" s="3">
        <v>2E-3</v>
      </c>
      <c r="I434" s="3" t="s">
        <v>258</v>
      </c>
      <c r="J434" s="3">
        <v>0.3</v>
      </c>
      <c r="K434" s="6">
        <v>674.35290499999996</v>
      </c>
      <c r="L434" s="3">
        <v>1E-3</v>
      </c>
      <c r="M434" s="3">
        <f t="shared" si="48"/>
        <v>0.3</v>
      </c>
      <c r="N434" s="5"/>
      <c r="O434" s="5"/>
      <c r="P434" s="5"/>
      <c r="Q434" s="5"/>
      <c r="R434" s="1"/>
      <c r="S434" s="3" t="s">
        <v>258</v>
      </c>
      <c r="T434" s="3">
        <v>0.9</v>
      </c>
      <c r="U434" s="3">
        <v>0.5</v>
      </c>
      <c r="V434" s="3">
        <v>0.6</v>
      </c>
      <c r="W434" s="3">
        <v>0.32</v>
      </c>
      <c r="X434" s="6">
        <v>643.89947500000005</v>
      </c>
      <c r="Y434" s="3">
        <v>2E-3</v>
      </c>
      <c r="AA434" s="3" t="s">
        <v>258</v>
      </c>
      <c r="AB434" s="3">
        <v>0.3</v>
      </c>
      <c r="AC434" s="7">
        <v>645.07525599999997</v>
      </c>
      <c r="AD434" s="3">
        <v>0</v>
      </c>
      <c r="AE434" s="3">
        <f t="shared" si="49"/>
        <v>0.31</v>
      </c>
      <c r="AF434" s="5"/>
      <c r="AG434" s="5"/>
      <c r="AH434" s="5"/>
      <c r="AI434" s="5"/>
      <c r="AJ434" s="1"/>
      <c r="AK434" s="3" t="s">
        <v>259</v>
      </c>
      <c r="AL434" s="3">
        <v>0.9</v>
      </c>
      <c r="AM434" s="3">
        <v>0.5</v>
      </c>
      <c r="AN434" s="3">
        <v>0.6</v>
      </c>
      <c r="AO434" s="3">
        <v>0.35</v>
      </c>
      <c r="AP434" s="8">
        <v>1025.7624510000001</v>
      </c>
      <c r="AQ434" s="3">
        <v>8.0000000000000002E-3</v>
      </c>
      <c r="AS434" s="3" t="s">
        <v>259</v>
      </c>
      <c r="AT434" s="3">
        <v>0.31</v>
      </c>
      <c r="AU434" s="6">
        <v>1025.1523440000001</v>
      </c>
      <c r="AV434" s="3">
        <v>1E-3</v>
      </c>
      <c r="AW434" s="3">
        <f t="shared" si="50"/>
        <v>0.32999999999999996</v>
      </c>
      <c r="AX434" s="5"/>
      <c r="AY434" s="5"/>
      <c r="AZ434" s="5"/>
      <c r="BA434" s="5"/>
      <c r="BB434" s="1"/>
      <c r="BC434" s="3" t="s">
        <v>259</v>
      </c>
      <c r="BD434" s="3">
        <v>0.9</v>
      </c>
      <c r="BE434" s="3">
        <v>0.5</v>
      </c>
      <c r="BF434" s="3">
        <v>0.6</v>
      </c>
      <c r="BG434" s="3">
        <v>0.3</v>
      </c>
      <c r="BH434" s="6">
        <v>979.68316700000003</v>
      </c>
      <c r="BI434" s="3">
        <v>1.2999999999999999E-2</v>
      </c>
      <c r="BK434" s="3" t="s">
        <v>259</v>
      </c>
      <c r="BL434" s="3">
        <v>0.31</v>
      </c>
      <c r="BM434" s="7">
        <v>982.17248500000005</v>
      </c>
      <c r="BN434" s="3">
        <v>1E-3</v>
      </c>
      <c r="BO434" s="3">
        <f t="shared" si="51"/>
        <v>0.30499999999999999</v>
      </c>
    </row>
    <row r="435" spans="1:71" x14ac:dyDescent="0.3">
      <c r="A435" s="3" t="s">
        <v>260</v>
      </c>
      <c r="B435" s="3">
        <v>0.9</v>
      </c>
      <c r="C435" s="3">
        <v>0.5</v>
      </c>
      <c r="D435" s="3">
        <v>0.6</v>
      </c>
      <c r="E435" s="3">
        <v>0.36</v>
      </c>
      <c r="F435" s="7">
        <v>716.15741000000003</v>
      </c>
      <c r="G435" s="3">
        <v>2E-3</v>
      </c>
      <c r="I435" s="3" t="s">
        <v>260</v>
      </c>
      <c r="J435" s="3">
        <v>0.31</v>
      </c>
      <c r="K435" s="6">
        <v>693.66247599999997</v>
      </c>
      <c r="L435" s="3">
        <v>0</v>
      </c>
      <c r="M435" s="3">
        <f t="shared" si="48"/>
        <v>0.33499999999999996</v>
      </c>
      <c r="N435" s="5"/>
      <c r="O435" s="5"/>
      <c r="P435" s="5"/>
      <c r="Q435" s="5"/>
      <c r="R435" s="1"/>
      <c r="S435" s="3" t="s">
        <v>260</v>
      </c>
      <c r="T435" s="3">
        <v>0.9</v>
      </c>
      <c r="U435" s="3">
        <v>0.5</v>
      </c>
      <c r="V435" s="3">
        <v>0.6</v>
      </c>
      <c r="W435" s="3">
        <v>0.43</v>
      </c>
      <c r="X435" s="7">
        <v>694.00067100000001</v>
      </c>
      <c r="Y435" s="3">
        <v>6.0000000000000001E-3</v>
      </c>
      <c r="AA435" s="3" t="s">
        <v>260</v>
      </c>
      <c r="AB435" s="3">
        <v>0.3</v>
      </c>
      <c r="AC435" s="6">
        <v>692.450378</v>
      </c>
      <c r="AD435" s="3">
        <v>0</v>
      </c>
      <c r="AE435" s="3">
        <f t="shared" si="49"/>
        <v>0.36499999999999999</v>
      </c>
      <c r="AF435" s="5"/>
      <c r="AG435" s="5"/>
      <c r="AH435" s="5"/>
      <c r="AI435" s="5"/>
      <c r="AJ435" s="1"/>
      <c r="AK435" s="3" t="s">
        <v>261</v>
      </c>
      <c r="AL435" s="3">
        <v>0.9</v>
      </c>
      <c r="AM435" s="3">
        <v>0.5</v>
      </c>
      <c r="AN435" s="3">
        <v>0.6</v>
      </c>
      <c r="AO435" s="3">
        <v>0.34</v>
      </c>
      <c r="AP435" s="7">
        <v>997.81982400000004</v>
      </c>
      <c r="AQ435" s="3">
        <v>8.0000000000000002E-3</v>
      </c>
      <c r="AS435" s="3" t="s">
        <v>261</v>
      </c>
      <c r="AT435" s="3">
        <v>0.3</v>
      </c>
      <c r="AU435" s="6">
        <v>993.76531999999997</v>
      </c>
      <c r="AV435" s="3">
        <v>1E-3</v>
      </c>
      <c r="AW435" s="3">
        <f t="shared" si="50"/>
        <v>0.32</v>
      </c>
      <c r="AX435" s="5"/>
      <c r="AY435" s="5"/>
      <c r="AZ435" s="5"/>
      <c r="BA435" s="5"/>
      <c r="BB435" s="1"/>
      <c r="BC435" s="3" t="s">
        <v>261</v>
      </c>
      <c r="BD435" s="3">
        <v>0.9</v>
      </c>
      <c r="BE435" s="3">
        <v>0.5</v>
      </c>
      <c r="BF435" s="3">
        <v>0.6</v>
      </c>
      <c r="BG435" s="3">
        <v>0.31</v>
      </c>
      <c r="BH435" s="6">
        <v>914.20495600000004</v>
      </c>
      <c r="BI435" s="3">
        <v>8.0000000000000002E-3</v>
      </c>
      <c r="BK435" s="3" t="s">
        <v>261</v>
      </c>
      <c r="BL435" s="3">
        <v>0.31</v>
      </c>
      <c r="BM435" s="7">
        <v>935.41064500000005</v>
      </c>
      <c r="BN435" s="3">
        <v>1E-3</v>
      </c>
      <c r="BO435" s="3">
        <f t="shared" si="51"/>
        <v>0.31</v>
      </c>
    </row>
    <row r="436" spans="1:71" x14ac:dyDescent="0.3">
      <c r="A436" s="3" t="s">
        <v>262</v>
      </c>
      <c r="B436" s="3">
        <v>0.9</v>
      </c>
      <c r="C436" s="3">
        <v>0.5</v>
      </c>
      <c r="D436" s="3">
        <v>0.6</v>
      </c>
      <c r="E436" s="3">
        <v>0.39</v>
      </c>
      <c r="F436" s="6">
        <v>734.45800799999995</v>
      </c>
      <c r="G436" s="3">
        <v>3.0000000000000001E-3</v>
      </c>
      <c r="I436" s="3" t="s">
        <v>262</v>
      </c>
      <c r="J436" s="3">
        <v>0.39</v>
      </c>
      <c r="K436" s="7">
        <v>744.35162400000002</v>
      </c>
      <c r="L436" s="3">
        <v>0</v>
      </c>
      <c r="M436" s="3">
        <f t="shared" si="48"/>
        <v>0.39</v>
      </c>
      <c r="N436" s="5"/>
      <c r="O436" s="5"/>
      <c r="P436" s="5"/>
      <c r="Q436" s="5"/>
      <c r="R436" s="1"/>
      <c r="S436" s="3" t="s">
        <v>262</v>
      </c>
      <c r="T436" s="3">
        <v>0.9</v>
      </c>
      <c r="U436" s="3">
        <v>0.5</v>
      </c>
      <c r="V436" s="3">
        <v>0.6</v>
      </c>
      <c r="W436" s="3">
        <v>0.3</v>
      </c>
      <c r="X436" s="6">
        <v>722.524902</v>
      </c>
      <c r="Y436" s="3">
        <v>4.0000000000000001E-3</v>
      </c>
      <c r="AA436" s="3" t="s">
        <v>262</v>
      </c>
      <c r="AB436" s="3">
        <v>0.3</v>
      </c>
      <c r="AC436" s="7">
        <v>734.54064900000003</v>
      </c>
      <c r="AD436" s="3">
        <v>1E-3</v>
      </c>
      <c r="AE436" s="3">
        <f t="shared" si="49"/>
        <v>0.3</v>
      </c>
      <c r="AF436" s="5"/>
      <c r="AG436" s="5"/>
      <c r="AH436" s="5"/>
      <c r="AI436" s="5"/>
      <c r="AJ436" s="1"/>
      <c r="AK436" s="3" t="s">
        <v>263</v>
      </c>
      <c r="AL436" s="3">
        <v>0.9</v>
      </c>
      <c r="AM436" s="3">
        <v>0.5</v>
      </c>
      <c r="AN436" s="3">
        <v>0.6</v>
      </c>
      <c r="AO436" s="3">
        <v>0.31</v>
      </c>
      <c r="AP436" s="6">
        <v>1017.228394</v>
      </c>
      <c r="AQ436" s="3">
        <v>8.0000000000000002E-3</v>
      </c>
      <c r="AS436" s="3" t="s">
        <v>263</v>
      </c>
      <c r="AT436" s="3">
        <v>0.3</v>
      </c>
      <c r="AU436" s="8">
        <v>1017.839844</v>
      </c>
      <c r="AV436" s="3">
        <v>1E-3</v>
      </c>
      <c r="AW436" s="3">
        <f t="shared" si="50"/>
        <v>0.30499999999999999</v>
      </c>
      <c r="AX436" s="5"/>
      <c r="AY436" s="5"/>
      <c r="AZ436" s="5"/>
      <c r="BA436" s="5"/>
      <c r="BB436" s="1"/>
      <c r="BC436" s="3" t="s">
        <v>263</v>
      </c>
      <c r="BD436" s="3">
        <v>0.9</v>
      </c>
      <c r="BE436" s="3">
        <v>0.5</v>
      </c>
      <c r="BF436" s="3">
        <v>0.6</v>
      </c>
      <c r="BG436" s="3">
        <v>0.32</v>
      </c>
      <c r="BH436" s="7">
        <v>985.99969499999997</v>
      </c>
      <c r="BI436" s="3">
        <v>0.01</v>
      </c>
      <c r="BK436" s="3" t="s">
        <v>263</v>
      </c>
      <c r="BL436" s="3">
        <v>0.33</v>
      </c>
      <c r="BM436" s="6">
        <v>967.74114999999995</v>
      </c>
      <c r="BN436" s="3">
        <v>1E-3</v>
      </c>
      <c r="BO436" s="3">
        <f t="shared" si="51"/>
        <v>0.32500000000000001</v>
      </c>
    </row>
    <row r="437" spans="1:71" x14ac:dyDescent="0.3">
      <c r="A437" s="3" t="s">
        <v>264</v>
      </c>
      <c r="B437" s="3">
        <v>0.9</v>
      </c>
      <c r="C437" s="3">
        <v>0.5</v>
      </c>
      <c r="D437" s="3">
        <v>0.6</v>
      </c>
      <c r="E437" s="3">
        <v>0.33</v>
      </c>
      <c r="F437" s="6">
        <v>734.08807400000001</v>
      </c>
      <c r="G437" s="3">
        <v>3.0000000000000001E-3</v>
      </c>
      <c r="I437" s="3" t="s">
        <v>264</v>
      </c>
      <c r="J437" s="3">
        <v>0.3</v>
      </c>
      <c r="K437" s="7">
        <v>740.81811500000003</v>
      </c>
      <c r="L437" s="3">
        <v>1E-3</v>
      </c>
      <c r="M437" s="3">
        <f t="shared" si="48"/>
        <v>0.315</v>
      </c>
      <c r="N437" s="5"/>
      <c r="O437" s="5"/>
      <c r="P437" s="5"/>
      <c r="Q437" s="5"/>
      <c r="R437" s="1"/>
      <c r="S437" s="3" t="s">
        <v>264</v>
      </c>
      <c r="T437" s="3">
        <v>0.9</v>
      </c>
      <c r="U437" s="3">
        <v>0.5</v>
      </c>
      <c r="V437" s="3">
        <v>0.6</v>
      </c>
      <c r="W437" s="3">
        <v>0.3</v>
      </c>
      <c r="X437" s="6">
        <v>701.66107199999999</v>
      </c>
      <c r="Y437" s="3">
        <v>5.0000000000000001E-3</v>
      </c>
      <c r="AA437" s="3" t="s">
        <v>264</v>
      </c>
      <c r="AB437" s="3">
        <v>0.3</v>
      </c>
      <c r="AC437" s="7">
        <v>702.11096199999997</v>
      </c>
      <c r="AD437" s="3">
        <v>0</v>
      </c>
      <c r="AE437" s="3">
        <f t="shared" si="49"/>
        <v>0.3</v>
      </c>
      <c r="AF437" s="5"/>
      <c r="AG437" s="5"/>
      <c r="AH437" s="5"/>
      <c r="AI437" s="5"/>
      <c r="AJ437" s="1"/>
      <c r="AK437" s="3" t="s">
        <v>265</v>
      </c>
      <c r="AL437" s="3">
        <v>0.9</v>
      </c>
      <c r="AM437" s="3">
        <v>0.5</v>
      </c>
      <c r="AN437" s="3">
        <v>0.6</v>
      </c>
      <c r="AO437" s="3">
        <v>0.3</v>
      </c>
      <c r="AP437" s="6">
        <v>971.59637499999997</v>
      </c>
      <c r="AQ437" s="3">
        <v>8.0000000000000002E-3</v>
      </c>
      <c r="AS437" s="3" t="s">
        <v>265</v>
      </c>
      <c r="AT437" s="3">
        <v>0.31</v>
      </c>
      <c r="AU437" s="7">
        <v>1000.5692749999999</v>
      </c>
      <c r="AV437" s="3">
        <v>1E-3</v>
      </c>
      <c r="AW437" s="3">
        <f t="shared" si="50"/>
        <v>0.30499999999999999</v>
      </c>
      <c r="AX437" s="5"/>
      <c r="AY437" s="5"/>
      <c r="AZ437" s="5"/>
      <c r="BA437" s="5"/>
      <c r="BB437" s="1"/>
      <c r="BC437" s="3" t="s">
        <v>265</v>
      </c>
      <c r="BD437" s="3">
        <v>0.9</v>
      </c>
      <c r="BE437" s="3">
        <v>0.5</v>
      </c>
      <c r="BF437" s="3">
        <v>0.6</v>
      </c>
      <c r="BG437" s="3">
        <v>0.3</v>
      </c>
      <c r="BH437" s="6">
        <v>926.19329800000003</v>
      </c>
      <c r="BI437" s="3">
        <v>0.01</v>
      </c>
      <c r="BK437" s="3" t="s">
        <v>265</v>
      </c>
      <c r="BL437" s="3">
        <v>0.34</v>
      </c>
      <c r="BM437" s="7">
        <v>957.44451900000001</v>
      </c>
      <c r="BN437" s="3">
        <v>1E-3</v>
      </c>
      <c r="BO437" s="3">
        <f t="shared" si="51"/>
        <v>0.32</v>
      </c>
    </row>
    <row r="438" spans="1:71" x14ac:dyDescent="0.3">
      <c r="A438" s="3" t="s">
        <v>266</v>
      </c>
      <c r="B438" s="3">
        <v>0.9</v>
      </c>
      <c r="C438" s="3">
        <v>0.5</v>
      </c>
      <c r="D438" s="3">
        <v>0.6</v>
      </c>
      <c r="E438" s="3">
        <v>0.3</v>
      </c>
      <c r="F438" s="6">
        <v>652.95642099999998</v>
      </c>
      <c r="G438" s="3">
        <v>2E-3</v>
      </c>
      <c r="I438" s="3" t="s">
        <v>266</v>
      </c>
      <c r="J438" s="3">
        <v>0.3</v>
      </c>
      <c r="K438" s="7">
        <v>661.16186500000003</v>
      </c>
      <c r="L438" s="3">
        <v>1E-3</v>
      </c>
      <c r="M438" s="3">
        <f t="shared" si="48"/>
        <v>0.3</v>
      </c>
      <c r="N438" s="5"/>
      <c r="O438" s="5"/>
      <c r="P438" s="5"/>
      <c r="Q438" s="5"/>
      <c r="R438" s="1"/>
      <c r="S438" s="3" t="s">
        <v>266</v>
      </c>
      <c r="T438" s="3">
        <v>0.9</v>
      </c>
      <c r="U438" s="3">
        <v>0.5</v>
      </c>
      <c r="V438" s="3">
        <v>0.6</v>
      </c>
      <c r="W438" s="3">
        <v>0.3</v>
      </c>
      <c r="X438" s="7">
        <v>592.70361300000002</v>
      </c>
      <c r="Y438" s="3">
        <v>3.0000000000000001E-3</v>
      </c>
      <c r="AA438" s="3" t="s">
        <v>266</v>
      </c>
      <c r="AB438" s="3">
        <v>0.32</v>
      </c>
      <c r="AC438" s="6">
        <v>587.16949499999998</v>
      </c>
      <c r="AD438" s="3">
        <v>0</v>
      </c>
      <c r="AE438" s="3">
        <f t="shared" si="49"/>
        <v>0.31</v>
      </c>
      <c r="AF438" s="5"/>
      <c r="AG438" s="5"/>
      <c r="AH438" s="5"/>
      <c r="AI438" s="5"/>
      <c r="AJ438" s="1"/>
      <c r="AK438" s="3" t="s">
        <v>267</v>
      </c>
      <c r="AL438" s="3">
        <v>0.9</v>
      </c>
      <c r="AM438" s="3">
        <v>0.5</v>
      </c>
      <c r="AN438" s="3">
        <v>0.6</v>
      </c>
      <c r="AO438" s="3">
        <v>0.32</v>
      </c>
      <c r="AP438" s="7">
        <v>1041.963501</v>
      </c>
      <c r="AQ438" s="3">
        <v>8.9999999999999993E-3</v>
      </c>
      <c r="AS438" s="3" t="s">
        <v>267</v>
      </c>
      <c r="AT438" s="3">
        <v>0.3</v>
      </c>
      <c r="AU438" s="6">
        <v>1036.9902340000001</v>
      </c>
      <c r="AV438" s="3">
        <v>1E-3</v>
      </c>
      <c r="AW438" s="3">
        <f t="shared" si="50"/>
        <v>0.31</v>
      </c>
      <c r="AX438" s="5"/>
      <c r="AY438" s="5"/>
      <c r="AZ438" s="5"/>
      <c r="BA438" s="5"/>
      <c r="BB438" s="1"/>
      <c r="BC438" s="3" t="s">
        <v>267</v>
      </c>
      <c r="BD438" s="3">
        <v>0.9</v>
      </c>
      <c r="BE438" s="3">
        <v>0.5</v>
      </c>
      <c r="BF438" s="3">
        <v>0.6</v>
      </c>
      <c r="BG438" s="3">
        <v>0.3</v>
      </c>
      <c r="BH438" s="7">
        <v>1003.553345</v>
      </c>
      <c r="BI438" s="3">
        <v>0.01</v>
      </c>
      <c r="BK438" s="3" t="s">
        <v>267</v>
      </c>
      <c r="BL438" s="3">
        <v>0.33</v>
      </c>
      <c r="BM438" s="6">
        <v>998.12994400000002</v>
      </c>
      <c r="BN438" s="3">
        <v>1E-3</v>
      </c>
      <c r="BO438" s="3">
        <f t="shared" si="51"/>
        <v>0.315</v>
      </c>
    </row>
    <row r="439" spans="1:71" x14ac:dyDescent="0.3">
      <c r="A439" s="3" t="s">
        <v>268</v>
      </c>
      <c r="B439" s="3">
        <v>0.9</v>
      </c>
      <c r="C439" s="3">
        <v>0.5</v>
      </c>
      <c r="D439" s="3">
        <v>0.6</v>
      </c>
      <c r="E439" s="3">
        <v>0.33</v>
      </c>
      <c r="F439" s="7">
        <v>723.39947500000005</v>
      </c>
      <c r="G439" s="3">
        <v>3.0000000000000001E-3</v>
      </c>
      <c r="I439" s="3" t="s">
        <v>268</v>
      </c>
      <c r="J439" s="3">
        <v>0.36</v>
      </c>
      <c r="K439" s="6">
        <v>717.33392300000003</v>
      </c>
      <c r="L439" s="3">
        <v>0</v>
      </c>
      <c r="M439" s="3">
        <f t="shared" si="48"/>
        <v>0.34499999999999997</v>
      </c>
      <c r="N439" s="5"/>
      <c r="O439" s="5"/>
      <c r="P439" s="5"/>
      <c r="Q439" s="5"/>
      <c r="R439" s="1"/>
      <c r="S439" s="3" t="s">
        <v>268</v>
      </c>
      <c r="T439" s="3">
        <v>0.9</v>
      </c>
      <c r="U439" s="3">
        <v>0.5</v>
      </c>
      <c r="V439" s="3">
        <v>0.6</v>
      </c>
      <c r="W439" s="3">
        <v>0.37</v>
      </c>
      <c r="X439" s="6">
        <v>682.29632600000002</v>
      </c>
      <c r="Y439" s="3">
        <v>4.0000000000000001E-3</v>
      </c>
      <c r="AA439" s="3" t="s">
        <v>268</v>
      </c>
      <c r="AB439" s="3">
        <v>0.34</v>
      </c>
      <c r="AC439" s="7">
        <v>686.466003</v>
      </c>
      <c r="AD439" s="3">
        <v>0</v>
      </c>
      <c r="AE439" s="3">
        <f t="shared" si="49"/>
        <v>0.35499999999999998</v>
      </c>
      <c r="AF439" s="5"/>
      <c r="AG439" s="5"/>
      <c r="AH439" s="5"/>
      <c r="AI439" s="5"/>
      <c r="AJ439" s="1"/>
      <c r="AK439" s="3" t="s">
        <v>269</v>
      </c>
      <c r="AL439" s="3">
        <v>0.9</v>
      </c>
      <c r="AM439" s="3">
        <v>0.5</v>
      </c>
      <c r="AN439" s="3">
        <v>0.6</v>
      </c>
      <c r="AO439" s="3">
        <v>0.34</v>
      </c>
      <c r="AP439" s="7">
        <v>996.51062000000002</v>
      </c>
      <c r="AQ439" s="3">
        <v>8.9999999999999993E-3</v>
      </c>
      <c r="AS439" s="3" t="s">
        <v>269</v>
      </c>
      <c r="AT439" s="3">
        <v>0.3</v>
      </c>
      <c r="AU439" s="6">
        <v>980.54132100000004</v>
      </c>
      <c r="AV439" s="3">
        <v>1E-3</v>
      </c>
      <c r="AW439" s="3">
        <f t="shared" si="50"/>
        <v>0.32</v>
      </c>
      <c r="AX439" s="5"/>
      <c r="AY439" s="5"/>
      <c r="AZ439" s="5"/>
      <c r="BA439" s="5"/>
      <c r="BB439" s="1"/>
      <c r="BC439" s="3" t="s">
        <v>269</v>
      </c>
      <c r="BD439" s="3">
        <v>0.9</v>
      </c>
      <c r="BE439" s="3">
        <v>0.5</v>
      </c>
      <c r="BF439" s="3">
        <v>0.6</v>
      </c>
      <c r="BG439" s="3">
        <v>0.3</v>
      </c>
      <c r="BH439" s="7">
        <v>939.22564699999998</v>
      </c>
      <c r="BI439" s="3">
        <v>0.01</v>
      </c>
      <c r="BK439" s="3" t="s">
        <v>269</v>
      </c>
      <c r="BL439" s="3">
        <v>0.3</v>
      </c>
      <c r="BM439" s="6">
        <v>935.92034899999999</v>
      </c>
      <c r="BN439" s="3">
        <v>0</v>
      </c>
      <c r="BO439" s="3">
        <f t="shared" si="51"/>
        <v>0.3</v>
      </c>
    </row>
    <row r="440" spans="1:71" x14ac:dyDescent="0.3">
      <c r="A440" s="3" t="s">
        <v>270</v>
      </c>
      <c r="B440" s="3">
        <v>0.9</v>
      </c>
      <c r="C440" s="3">
        <v>0.5</v>
      </c>
      <c r="D440" s="3">
        <v>0.6</v>
      </c>
      <c r="E440" s="3">
        <v>0.3</v>
      </c>
      <c r="F440" s="8">
        <v>626.87487799999997</v>
      </c>
      <c r="G440" s="3">
        <v>3.0000000000000001E-3</v>
      </c>
      <c r="I440" s="3" t="s">
        <v>270</v>
      </c>
      <c r="J440" s="3">
        <v>0.31</v>
      </c>
      <c r="K440" s="6">
        <v>626.61248799999998</v>
      </c>
      <c r="L440" s="3">
        <v>0</v>
      </c>
      <c r="M440" s="3">
        <f t="shared" si="48"/>
        <v>0.30499999999999999</v>
      </c>
      <c r="N440" s="5"/>
      <c r="O440" s="5"/>
      <c r="P440" s="5"/>
      <c r="Q440" s="5"/>
      <c r="R440" s="1"/>
      <c r="S440" s="3" t="s">
        <v>270</v>
      </c>
      <c r="T440" s="3">
        <v>0.9</v>
      </c>
      <c r="U440" s="3">
        <v>0.5</v>
      </c>
      <c r="V440" s="3">
        <v>0.6</v>
      </c>
      <c r="W440" s="3">
        <v>0.31</v>
      </c>
      <c r="X440" s="6">
        <v>568.68505900000002</v>
      </c>
      <c r="Y440" s="3">
        <v>3.0000000000000001E-3</v>
      </c>
      <c r="AA440" s="3" t="s">
        <v>270</v>
      </c>
      <c r="AB440" s="3">
        <v>0.3</v>
      </c>
      <c r="AC440" s="7">
        <v>550.21997099999999</v>
      </c>
      <c r="AD440" s="3">
        <v>0</v>
      </c>
      <c r="AE440" s="3">
        <f t="shared" si="49"/>
        <v>0.30499999999999999</v>
      </c>
      <c r="AF440" s="5"/>
      <c r="AG440" s="5"/>
      <c r="AH440" s="5"/>
      <c r="AI440" s="5"/>
      <c r="AJ440" s="1"/>
      <c r="AK440" s="3" t="s">
        <v>271</v>
      </c>
      <c r="AL440" s="3">
        <v>0.9</v>
      </c>
      <c r="AM440" s="3">
        <v>0.5</v>
      </c>
      <c r="AN440" s="3">
        <v>0.6</v>
      </c>
      <c r="AO440" s="3">
        <v>0.3</v>
      </c>
      <c r="AP440" s="7">
        <v>997.76251200000002</v>
      </c>
      <c r="AQ440" s="3">
        <v>8.9999999999999993E-3</v>
      </c>
      <c r="AS440" s="3" t="s">
        <v>271</v>
      </c>
      <c r="AT440" s="3">
        <v>0.31</v>
      </c>
      <c r="AU440" s="6">
        <v>988.99792500000001</v>
      </c>
      <c r="AV440" s="3">
        <v>1E-3</v>
      </c>
      <c r="AW440" s="3">
        <f t="shared" si="50"/>
        <v>0.30499999999999999</v>
      </c>
      <c r="AX440" s="5"/>
      <c r="AY440" s="5"/>
      <c r="AZ440" s="5"/>
      <c r="BA440" s="5"/>
      <c r="BB440" s="1"/>
      <c r="BC440" s="3" t="s">
        <v>271</v>
      </c>
      <c r="BD440" s="3">
        <v>0.9</v>
      </c>
      <c r="BE440" s="3">
        <v>0.5</v>
      </c>
      <c r="BF440" s="3">
        <v>0.6</v>
      </c>
      <c r="BG440" s="3">
        <v>0.3</v>
      </c>
      <c r="BH440" s="7">
        <v>963.63671899999997</v>
      </c>
      <c r="BI440" s="3">
        <v>0.01</v>
      </c>
      <c r="BK440" s="3" t="s">
        <v>271</v>
      </c>
      <c r="BL440" s="3">
        <v>0.3</v>
      </c>
      <c r="BM440" s="6">
        <v>925.07605000000001</v>
      </c>
      <c r="BN440" s="3">
        <v>1E-3</v>
      </c>
      <c r="BO440" s="3">
        <f t="shared" si="51"/>
        <v>0.3</v>
      </c>
    </row>
    <row r="441" spans="1:71" x14ac:dyDescent="0.3">
      <c r="A441" s="3" t="s">
        <v>272</v>
      </c>
      <c r="B441" s="3">
        <v>0.9</v>
      </c>
      <c r="C441" s="3">
        <v>0.5</v>
      </c>
      <c r="D441" s="3">
        <v>0.6</v>
      </c>
      <c r="E441" s="3">
        <v>0.3</v>
      </c>
      <c r="F441" s="6">
        <v>778.91326900000001</v>
      </c>
      <c r="G441" s="3">
        <v>3.0000000000000001E-3</v>
      </c>
      <c r="I441" s="3" t="s">
        <v>272</v>
      </c>
      <c r="J441" s="3">
        <v>0.31</v>
      </c>
      <c r="K441" s="7">
        <v>785.65948500000002</v>
      </c>
      <c r="L441" s="3">
        <v>1E-3</v>
      </c>
      <c r="M441" s="3">
        <f t="shared" si="48"/>
        <v>0.30499999999999999</v>
      </c>
      <c r="N441" s="5"/>
      <c r="O441" s="5"/>
      <c r="P441" s="5"/>
      <c r="Q441" s="5"/>
      <c r="R441" s="1"/>
      <c r="S441" s="3" t="s">
        <v>272</v>
      </c>
      <c r="T441" s="3">
        <v>0.9</v>
      </c>
      <c r="U441" s="3">
        <v>0.5</v>
      </c>
      <c r="V441" s="3">
        <v>0.6</v>
      </c>
      <c r="W441" s="3">
        <v>0.33</v>
      </c>
      <c r="X441" s="6">
        <v>754.27893100000006</v>
      </c>
      <c r="Y441" s="3">
        <v>4.0000000000000001E-3</v>
      </c>
      <c r="AA441" s="3" t="s">
        <v>272</v>
      </c>
      <c r="AB441" s="3">
        <v>0.3</v>
      </c>
      <c r="AC441" s="7">
        <v>756.37158199999999</v>
      </c>
      <c r="AD441" s="3">
        <v>0</v>
      </c>
      <c r="AE441" s="3">
        <f t="shared" si="49"/>
        <v>0.315</v>
      </c>
      <c r="AF441" s="5"/>
      <c r="AG441" s="5"/>
      <c r="AH441" s="5"/>
      <c r="AI441" s="5"/>
      <c r="AJ441" s="1"/>
      <c r="AK441" s="3" t="s">
        <v>273</v>
      </c>
      <c r="AL441" s="3">
        <v>0.9</v>
      </c>
      <c r="AM441" s="3">
        <v>0.5</v>
      </c>
      <c r="AN441" s="3">
        <v>0.6</v>
      </c>
      <c r="AO441" s="3">
        <v>0.3</v>
      </c>
      <c r="AP441" s="6">
        <v>1019.4774169999999</v>
      </c>
      <c r="AQ441" s="3">
        <v>8.0000000000000002E-3</v>
      </c>
      <c r="AS441" s="3" t="s">
        <v>273</v>
      </c>
      <c r="AT441" s="3">
        <v>0.31</v>
      </c>
      <c r="AU441" s="7">
        <v>1023.8587649999999</v>
      </c>
      <c r="AV441" s="3">
        <v>1E-3</v>
      </c>
      <c r="AW441" s="3">
        <f t="shared" si="50"/>
        <v>0.30499999999999999</v>
      </c>
      <c r="AX441" s="5"/>
      <c r="AY441" s="5"/>
      <c r="AZ441" s="5"/>
      <c r="BA441" s="5"/>
      <c r="BB441" s="1"/>
      <c r="BC441" s="3" t="s">
        <v>273</v>
      </c>
      <c r="BD441" s="3">
        <v>0.9</v>
      </c>
      <c r="BE441" s="3">
        <v>0.5</v>
      </c>
      <c r="BF441" s="3">
        <v>0.6</v>
      </c>
      <c r="BG441" s="3">
        <v>0.33</v>
      </c>
      <c r="BH441" s="6">
        <v>977.91729699999996</v>
      </c>
      <c r="BI441" s="3">
        <v>0.01</v>
      </c>
      <c r="BK441" s="3" t="s">
        <v>273</v>
      </c>
      <c r="BL441" s="3">
        <v>0.31</v>
      </c>
      <c r="BM441" s="7">
        <v>997.48669400000006</v>
      </c>
      <c r="BN441" s="3">
        <v>1E-3</v>
      </c>
      <c r="BO441" s="3">
        <f t="shared" si="51"/>
        <v>0.32</v>
      </c>
    </row>
    <row r="442" spans="1:71" x14ac:dyDescent="0.3">
      <c r="A442" s="3" t="s">
        <v>274</v>
      </c>
      <c r="B442" s="3">
        <v>0.9</v>
      </c>
      <c r="C442" s="3">
        <v>0.5</v>
      </c>
      <c r="D442" s="3">
        <v>0.6</v>
      </c>
      <c r="E442" s="3">
        <v>0.3</v>
      </c>
      <c r="F442" s="6">
        <v>840.44274900000005</v>
      </c>
      <c r="G442" s="3">
        <v>3.0000000000000001E-3</v>
      </c>
      <c r="I442" s="3" t="s">
        <v>274</v>
      </c>
      <c r="J442" s="3">
        <v>0.32</v>
      </c>
      <c r="K442" s="7">
        <v>852.94824200000005</v>
      </c>
      <c r="L442" s="3">
        <v>0</v>
      </c>
      <c r="M442" s="3">
        <f t="shared" si="48"/>
        <v>0.31</v>
      </c>
      <c r="N442" s="5"/>
      <c r="O442" s="5"/>
      <c r="P442" s="5"/>
      <c r="Q442" s="5"/>
      <c r="R442" s="1"/>
      <c r="S442" s="3" t="s">
        <v>274</v>
      </c>
      <c r="T442" s="3">
        <v>0.9</v>
      </c>
      <c r="U442" s="3">
        <v>0.5</v>
      </c>
      <c r="V442" s="3">
        <v>0.6</v>
      </c>
      <c r="W442" s="3">
        <v>0.3</v>
      </c>
      <c r="X442" s="7">
        <v>804.92425500000002</v>
      </c>
      <c r="Y442" s="3">
        <v>5.0000000000000001E-3</v>
      </c>
      <c r="AA442" s="3" t="s">
        <v>274</v>
      </c>
      <c r="AB442" s="3">
        <v>0.3</v>
      </c>
      <c r="AC442" s="6">
        <v>790.17120399999999</v>
      </c>
      <c r="AD442" s="3">
        <v>1E-3</v>
      </c>
      <c r="AE442" s="3">
        <f t="shared" si="49"/>
        <v>0.3</v>
      </c>
      <c r="AF442" s="5"/>
      <c r="AG442" s="5"/>
      <c r="AH442" s="5"/>
      <c r="AI442" s="5"/>
      <c r="AJ442" s="1"/>
      <c r="AK442" s="3" t="s">
        <v>275</v>
      </c>
      <c r="AL442" s="3">
        <v>0.9</v>
      </c>
      <c r="AM442" s="3">
        <v>0.5</v>
      </c>
      <c r="AN442" s="3">
        <v>0.6</v>
      </c>
      <c r="AO442" s="3">
        <v>0.3</v>
      </c>
      <c r="AP442" s="7">
        <v>1122.4039310000001</v>
      </c>
      <c r="AQ442" s="3">
        <v>0.01</v>
      </c>
      <c r="AS442" s="3" t="s">
        <v>275</v>
      </c>
      <c r="AT442" s="3">
        <v>0.32</v>
      </c>
      <c r="AU442" s="6">
        <v>1095.9052730000001</v>
      </c>
      <c r="AV442" s="3">
        <v>2E-3</v>
      </c>
      <c r="AW442" s="3">
        <f t="shared" si="50"/>
        <v>0.31</v>
      </c>
      <c r="AX442" s="5"/>
      <c r="AY442" s="5"/>
      <c r="AZ442" s="5"/>
      <c r="BA442" s="5"/>
      <c r="BB442" s="1"/>
      <c r="BC442" s="3" t="s">
        <v>275</v>
      </c>
      <c r="BD442" s="3">
        <v>0.9</v>
      </c>
      <c r="BE442" s="3">
        <v>0.5</v>
      </c>
      <c r="BF442" s="3">
        <v>0.6</v>
      </c>
      <c r="BG442" s="3">
        <v>0.33</v>
      </c>
      <c r="BH442" s="7">
        <v>1116.7292480000001</v>
      </c>
      <c r="BI442" s="3">
        <v>1.4E-2</v>
      </c>
      <c r="BK442" s="3" t="s">
        <v>275</v>
      </c>
      <c r="BL442" s="3">
        <v>0.32</v>
      </c>
      <c r="BM442" s="6">
        <v>1088.002197</v>
      </c>
      <c r="BN442" s="3">
        <v>2E-3</v>
      </c>
      <c r="BO442" s="3">
        <f t="shared" si="51"/>
        <v>0.32500000000000001</v>
      </c>
    </row>
    <row r="443" spans="1:71" x14ac:dyDescent="0.3">
      <c r="A443" s="3" t="s">
        <v>276</v>
      </c>
      <c r="B443" s="3">
        <v>0.9</v>
      </c>
      <c r="C443" s="3">
        <v>0.5</v>
      </c>
      <c r="D443" s="3">
        <v>0.6</v>
      </c>
      <c r="E443" s="3">
        <v>0.31</v>
      </c>
      <c r="F443" s="6">
        <v>719.23742700000003</v>
      </c>
      <c r="G443" s="3">
        <v>3.0000000000000001E-3</v>
      </c>
      <c r="I443" s="3" t="s">
        <v>276</v>
      </c>
      <c r="J443" s="3">
        <v>0.31</v>
      </c>
      <c r="K443" s="8">
        <v>719.75476100000003</v>
      </c>
      <c r="L443" s="3">
        <v>0</v>
      </c>
      <c r="M443" s="3">
        <f t="shared" si="48"/>
        <v>0.31</v>
      </c>
      <c r="N443" s="5"/>
      <c r="O443" s="5"/>
      <c r="P443" s="5"/>
      <c r="Q443" s="5"/>
      <c r="R443" s="1"/>
      <c r="S443" s="3" t="s">
        <v>276</v>
      </c>
      <c r="T443" s="3">
        <v>0.9</v>
      </c>
      <c r="U443" s="3">
        <v>0.5</v>
      </c>
      <c r="V443" s="3">
        <v>0.6</v>
      </c>
      <c r="W443" s="3">
        <v>0.31</v>
      </c>
      <c r="X443" s="7">
        <v>689.91351299999997</v>
      </c>
      <c r="Y443" s="3">
        <v>4.0000000000000001E-3</v>
      </c>
      <c r="AA443" s="3" t="s">
        <v>276</v>
      </c>
      <c r="AB443" s="3">
        <v>0.3</v>
      </c>
      <c r="AC443" s="6">
        <v>680.72723399999995</v>
      </c>
      <c r="AD443" s="3">
        <v>0</v>
      </c>
      <c r="AE443" s="3">
        <f t="shared" si="49"/>
        <v>0.30499999999999999</v>
      </c>
      <c r="AF443" s="5"/>
      <c r="AG443" s="5"/>
      <c r="AH443" s="5"/>
      <c r="AI443" s="5"/>
      <c r="AJ443" s="1"/>
      <c r="AK443" s="3" t="s">
        <v>277</v>
      </c>
      <c r="AL443" s="3">
        <v>0.9</v>
      </c>
      <c r="AM443" s="3">
        <v>0.5</v>
      </c>
      <c r="AN443" s="3">
        <v>0.6</v>
      </c>
      <c r="AO443" s="3">
        <v>0.34</v>
      </c>
      <c r="AP443" s="6">
        <v>1045.659058</v>
      </c>
      <c r="AQ443" s="3">
        <v>8.9999999999999993E-3</v>
      </c>
      <c r="AS443" s="3" t="s">
        <v>277</v>
      </c>
      <c r="AT443" s="3">
        <v>0.3</v>
      </c>
      <c r="AU443" s="7">
        <v>1049.4019780000001</v>
      </c>
      <c r="AV443" s="3">
        <v>1E-3</v>
      </c>
      <c r="AW443" s="3">
        <f t="shared" si="50"/>
        <v>0.32</v>
      </c>
      <c r="AX443" s="5"/>
      <c r="AY443" s="5"/>
      <c r="AZ443" s="5"/>
      <c r="BA443" s="5"/>
      <c r="BB443" s="1"/>
      <c r="BC443" s="3" t="s">
        <v>277</v>
      </c>
      <c r="BD443" s="3">
        <v>0.9</v>
      </c>
      <c r="BE443" s="3">
        <v>0.5</v>
      </c>
      <c r="BF443" s="3">
        <v>0.6</v>
      </c>
      <c r="BG443" s="3">
        <v>0.3</v>
      </c>
      <c r="BH443" s="7">
        <v>1001.184631</v>
      </c>
      <c r="BI443" s="3">
        <v>1.2999999999999999E-2</v>
      </c>
      <c r="BK443" s="3" t="s">
        <v>277</v>
      </c>
      <c r="BL443" s="3">
        <v>0.32</v>
      </c>
      <c r="BM443" s="6">
        <v>984.03118900000004</v>
      </c>
      <c r="BN443" s="3">
        <v>1E-3</v>
      </c>
      <c r="BO443" s="3">
        <f t="shared" si="51"/>
        <v>0.31</v>
      </c>
    </row>
    <row r="444" spans="1:71" x14ac:dyDescent="0.3">
      <c r="A444" s="3" t="s">
        <v>278</v>
      </c>
      <c r="B444" s="3">
        <v>0.9</v>
      </c>
      <c r="C444" s="3">
        <v>0.5</v>
      </c>
      <c r="D444" s="3">
        <v>0.6</v>
      </c>
      <c r="E444" s="3">
        <v>0.32</v>
      </c>
      <c r="F444" s="7">
        <v>658.73046899999997</v>
      </c>
      <c r="G444" s="3">
        <v>3.0000000000000001E-3</v>
      </c>
      <c r="I444" s="3" t="s">
        <v>278</v>
      </c>
      <c r="J444" s="3">
        <v>0.32</v>
      </c>
      <c r="K444" s="6">
        <v>656.62817399999994</v>
      </c>
      <c r="L444" s="3">
        <v>0</v>
      </c>
      <c r="M444" s="3">
        <f t="shared" si="48"/>
        <v>0.32</v>
      </c>
      <c r="N444" s="5"/>
      <c r="O444" s="5"/>
      <c r="P444" s="5"/>
      <c r="Q444" s="5"/>
      <c r="R444" s="1"/>
      <c r="S444" s="3" t="s">
        <v>278</v>
      </c>
      <c r="T444" s="3">
        <v>0.9</v>
      </c>
      <c r="U444" s="3">
        <v>0.5</v>
      </c>
      <c r="V444" s="3">
        <v>0.6</v>
      </c>
      <c r="W444" s="3">
        <v>0.33</v>
      </c>
      <c r="X444" s="7">
        <v>652.54681400000004</v>
      </c>
      <c r="Y444" s="3">
        <v>5.0000000000000001E-3</v>
      </c>
      <c r="AA444" s="3" t="s">
        <v>278</v>
      </c>
      <c r="AB444" s="3">
        <v>0.36</v>
      </c>
      <c r="AC444" s="6">
        <v>640.60681199999999</v>
      </c>
      <c r="AD444" s="3">
        <v>0</v>
      </c>
      <c r="AE444" s="3">
        <f t="shared" si="49"/>
        <v>0.34499999999999997</v>
      </c>
      <c r="AF444" s="5"/>
      <c r="AG444" s="5"/>
      <c r="AH444" s="5"/>
      <c r="AI444" s="5"/>
      <c r="AJ444" s="1"/>
      <c r="AK444" s="3" t="s">
        <v>279</v>
      </c>
      <c r="AL444" s="3">
        <v>0.9</v>
      </c>
      <c r="AM444" s="3">
        <v>0.5</v>
      </c>
      <c r="AN444" s="3">
        <v>0.6</v>
      </c>
      <c r="AO444" s="3">
        <v>0.3</v>
      </c>
      <c r="AP444" s="7">
        <v>1152.423828</v>
      </c>
      <c r="AQ444" s="3">
        <v>8.9999999999999993E-3</v>
      </c>
      <c r="AS444" s="3" t="s">
        <v>279</v>
      </c>
      <c r="AT444" s="3">
        <v>0.35</v>
      </c>
      <c r="AU444" s="6">
        <v>1137.634033</v>
      </c>
      <c r="AV444" s="3">
        <v>1E-3</v>
      </c>
      <c r="AW444" s="3">
        <f t="shared" si="50"/>
        <v>0.32499999999999996</v>
      </c>
      <c r="AX444" s="5"/>
      <c r="AY444" s="5"/>
      <c r="AZ444" s="5"/>
      <c r="BA444" s="5"/>
      <c r="BB444" s="1"/>
      <c r="BC444" s="3" t="s">
        <v>279</v>
      </c>
      <c r="BD444" s="3">
        <v>0.9</v>
      </c>
      <c r="BE444" s="3">
        <v>0.5</v>
      </c>
      <c r="BF444" s="3">
        <v>0.6</v>
      </c>
      <c r="BG444" s="3">
        <v>0.31</v>
      </c>
      <c r="BH444" s="6">
        <v>1124.4938959999999</v>
      </c>
      <c r="BI444" s="3">
        <v>1.0999999999999999E-2</v>
      </c>
      <c r="BK444" s="3" t="s">
        <v>279</v>
      </c>
      <c r="BL444" s="3">
        <v>0.32</v>
      </c>
      <c r="BM444" s="7">
        <v>1136.998413</v>
      </c>
      <c r="BN444" s="3">
        <v>1E-3</v>
      </c>
      <c r="BO444" s="3">
        <f t="shared" si="51"/>
        <v>0.315</v>
      </c>
    </row>
    <row r="445" spans="1:71" x14ac:dyDescent="0.3">
      <c r="A445" s="3" t="s">
        <v>280</v>
      </c>
      <c r="B445" s="3">
        <v>0.9</v>
      </c>
      <c r="C445" s="3">
        <v>0.5</v>
      </c>
      <c r="D445" s="3">
        <v>0.6</v>
      </c>
      <c r="E445" s="3">
        <v>0.32</v>
      </c>
      <c r="F445" s="6">
        <v>890.16619900000001</v>
      </c>
      <c r="G445" s="3">
        <v>3.0000000000000001E-3</v>
      </c>
      <c r="I445" s="3" t="s">
        <v>280</v>
      </c>
      <c r="J445" s="3">
        <v>0.32</v>
      </c>
      <c r="K445" s="7">
        <v>924.30627400000003</v>
      </c>
      <c r="L445" s="3">
        <v>1E-3</v>
      </c>
      <c r="M445" s="3">
        <f t="shared" si="48"/>
        <v>0.32</v>
      </c>
      <c r="N445" s="5"/>
      <c r="O445" s="5"/>
      <c r="P445" s="5"/>
      <c r="Q445" s="5"/>
      <c r="R445" s="1"/>
      <c r="S445" s="3" t="s">
        <v>280</v>
      </c>
      <c r="T445" s="3">
        <v>0.9</v>
      </c>
      <c r="U445" s="3">
        <v>0.5</v>
      </c>
      <c r="V445" s="3">
        <v>0.6</v>
      </c>
      <c r="W445" s="3">
        <v>0.3</v>
      </c>
      <c r="X445" s="6">
        <v>901.171875</v>
      </c>
      <c r="Y445" s="3">
        <v>5.0000000000000001E-3</v>
      </c>
      <c r="AA445" s="3" t="s">
        <v>280</v>
      </c>
      <c r="AB445" s="3">
        <v>0.31</v>
      </c>
      <c r="AC445" s="7">
        <v>910.75945999999999</v>
      </c>
      <c r="AD445" s="3">
        <v>1E-3</v>
      </c>
      <c r="AE445" s="3">
        <f t="shared" si="49"/>
        <v>0.30499999999999999</v>
      </c>
      <c r="AF445" s="5"/>
      <c r="AG445" s="5"/>
      <c r="AH445" s="5"/>
      <c r="AI445" s="5"/>
      <c r="AJ445" s="1"/>
      <c r="AK445" s="3" t="s">
        <v>281</v>
      </c>
      <c r="AL445" s="3">
        <v>0.9</v>
      </c>
      <c r="AM445" s="3">
        <v>0.5</v>
      </c>
      <c r="AN445" s="3">
        <v>0.6</v>
      </c>
      <c r="AO445" s="3">
        <v>0.32</v>
      </c>
      <c r="AP445" s="7">
        <v>1085.137939</v>
      </c>
      <c r="AQ445" s="3">
        <v>1.0999999999999999E-2</v>
      </c>
      <c r="AS445" s="3" t="s">
        <v>281</v>
      </c>
      <c r="AT445" s="3">
        <v>0.31</v>
      </c>
      <c r="AU445" s="6">
        <v>1064.0299070000001</v>
      </c>
      <c r="AV445" s="3">
        <v>1E-3</v>
      </c>
      <c r="AW445" s="3">
        <f t="shared" si="50"/>
        <v>0.315</v>
      </c>
      <c r="AX445" s="5"/>
      <c r="AY445" s="5"/>
      <c r="AZ445" s="5"/>
      <c r="BA445" s="5"/>
      <c r="BB445" s="1"/>
      <c r="BC445" s="3" t="s">
        <v>281</v>
      </c>
      <c r="BD445" s="3">
        <v>0.9</v>
      </c>
      <c r="BE445" s="3">
        <v>0.5</v>
      </c>
      <c r="BF445" s="3">
        <v>0.6</v>
      </c>
      <c r="BG445" s="3">
        <v>0.3</v>
      </c>
      <c r="BH445" s="6">
        <v>1047.301025</v>
      </c>
      <c r="BI445" s="3">
        <v>1.4999999999999999E-2</v>
      </c>
      <c r="BK445" s="3" t="s">
        <v>281</v>
      </c>
      <c r="BL445" s="3">
        <v>0.3</v>
      </c>
      <c r="BM445" s="7">
        <v>1079.3272710000001</v>
      </c>
      <c r="BN445" s="3">
        <v>1E-3</v>
      </c>
      <c r="BO445" s="3">
        <f t="shared" si="51"/>
        <v>0.3</v>
      </c>
    </row>
    <row r="446" spans="1:71" x14ac:dyDescent="0.3">
      <c r="A446" s="3" t="s">
        <v>282</v>
      </c>
      <c r="B446" s="3">
        <v>0.9</v>
      </c>
      <c r="C446" s="3">
        <v>0.5</v>
      </c>
      <c r="D446" s="3">
        <v>0.6</v>
      </c>
      <c r="E446" s="3">
        <v>0.3</v>
      </c>
      <c r="F446" s="6">
        <v>798.13403300000004</v>
      </c>
      <c r="G446" s="3">
        <v>4.0000000000000001E-3</v>
      </c>
      <c r="I446" s="3" t="s">
        <v>282</v>
      </c>
      <c r="J446" s="3">
        <v>0.3</v>
      </c>
      <c r="K446" s="7">
        <v>814.92388900000003</v>
      </c>
      <c r="L446" s="3">
        <v>0</v>
      </c>
      <c r="M446" s="3">
        <f t="shared" si="48"/>
        <v>0.3</v>
      </c>
      <c r="N446" s="5"/>
      <c r="O446" s="5"/>
      <c r="P446" s="5"/>
      <c r="Q446" s="5"/>
      <c r="R446" s="1"/>
      <c r="S446" s="3" t="s">
        <v>282</v>
      </c>
      <c r="T446" s="3">
        <v>0.9</v>
      </c>
      <c r="U446" s="3">
        <v>0.5</v>
      </c>
      <c r="V446" s="3">
        <v>0.6</v>
      </c>
      <c r="W446" s="3">
        <v>0.33</v>
      </c>
      <c r="X446" s="7">
        <v>783.89025900000001</v>
      </c>
      <c r="Y446" s="3">
        <v>6.0000000000000001E-3</v>
      </c>
      <c r="AA446" s="3" t="s">
        <v>282</v>
      </c>
      <c r="AB446" s="3">
        <v>0.31</v>
      </c>
      <c r="AC446" s="6">
        <v>775.55737299999998</v>
      </c>
      <c r="AD446" s="3">
        <v>1E-3</v>
      </c>
      <c r="AE446" s="3">
        <f t="shared" si="49"/>
        <v>0.32</v>
      </c>
      <c r="AF446" s="5"/>
      <c r="AG446" s="5"/>
      <c r="AH446" s="5"/>
      <c r="AI446" s="5"/>
      <c r="AJ446" s="1"/>
      <c r="AK446" s="3" t="s">
        <v>283</v>
      </c>
      <c r="AL446" s="3">
        <v>0.9</v>
      </c>
      <c r="AM446" s="3">
        <v>0.5</v>
      </c>
      <c r="AN446" s="3">
        <v>0.6</v>
      </c>
      <c r="AO446" s="3">
        <v>0.37</v>
      </c>
      <c r="AP446" s="6">
        <v>1043.223999</v>
      </c>
      <c r="AQ446" s="3">
        <v>8.9999999999999993E-3</v>
      </c>
      <c r="AS446" s="3" t="s">
        <v>283</v>
      </c>
      <c r="AT446" s="3">
        <v>0.33</v>
      </c>
      <c r="AU446" s="7">
        <v>1055.5251459999999</v>
      </c>
      <c r="AV446" s="3">
        <v>1E-3</v>
      </c>
      <c r="AW446" s="3">
        <f t="shared" si="50"/>
        <v>0.35</v>
      </c>
      <c r="AX446" s="5"/>
      <c r="AY446" s="5"/>
      <c r="AZ446" s="5"/>
      <c r="BA446" s="5"/>
      <c r="BB446" s="1"/>
      <c r="BC446" s="3" t="s">
        <v>283</v>
      </c>
      <c r="BD446" s="3">
        <v>0.9</v>
      </c>
      <c r="BE446" s="3">
        <v>0.5</v>
      </c>
      <c r="BF446" s="3">
        <v>0.6</v>
      </c>
      <c r="BG446" s="3">
        <v>0.3</v>
      </c>
      <c r="BH446" s="7">
        <v>1029.793457</v>
      </c>
      <c r="BI446" s="3">
        <v>1.0999999999999999E-2</v>
      </c>
      <c r="BK446" s="3" t="s">
        <v>283</v>
      </c>
      <c r="BL446" s="3">
        <v>0.31</v>
      </c>
      <c r="BM446" s="6">
        <v>1021.995728</v>
      </c>
      <c r="BN446" s="3">
        <v>2E-3</v>
      </c>
      <c r="BO446" s="3">
        <f t="shared" si="51"/>
        <v>0.30499999999999999</v>
      </c>
    </row>
    <row r="447" spans="1:71" x14ac:dyDescent="0.3">
      <c r="A447" s="3" t="s">
        <v>284</v>
      </c>
      <c r="B447" s="3">
        <v>0.9</v>
      </c>
      <c r="C447" s="3">
        <v>0.5</v>
      </c>
      <c r="D447" s="3">
        <v>0.6</v>
      </c>
      <c r="E447" s="3">
        <v>0.31</v>
      </c>
      <c r="F447" s="6">
        <v>854.74890100000005</v>
      </c>
      <c r="G447" s="3">
        <v>3.0000000000000001E-3</v>
      </c>
      <c r="I447" s="3" t="s">
        <v>284</v>
      </c>
      <c r="J447" s="3">
        <v>0.31</v>
      </c>
      <c r="K447" s="7">
        <v>879.41796899999997</v>
      </c>
      <c r="L447" s="3">
        <v>0</v>
      </c>
      <c r="M447" s="3">
        <f t="shared" si="48"/>
        <v>0.31</v>
      </c>
      <c r="N447" s="5"/>
      <c r="O447" s="5"/>
      <c r="P447" s="5"/>
      <c r="Q447" s="5"/>
      <c r="R447" s="1"/>
      <c r="S447" s="3" t="s">
        <v>284</v>
      </c>
      <c r="T447" s="3">
        <v>0.9</v>
      </c>
      <c r="U447" s="3">
        <v>0.5</v>
      </c>
      <c r="V447" s="3">
        <v>0.6</v>
      </c>
      <c r="W447" s="3">
        <v>0.31</v>
      </c>
      <c r="X447" s="6">
        <v>828.31011999999998</v>
      </c>
      <c r="Y447" s="3">
        <v>4.0000000000000001E-3</v>
      </c>
      <c r="AA447" s="3" t="s">
        <v>284</v>
      </c>
      <c r="AB447" s="3">
        <v>0.33</v>
      </c>
      <c r="AC447" s="7">
        <v>838.17810099999997</v>
      </c>
      <c r="AD447" s="3">
        <v>1E-3</v>
      </c>
      <c r="AE447" s="3">
        <f t="shared" si="49"/>
        <v>0.32</v>
      </c>
      <c r="AF447" s="5"/>
      <c r="AG447" s="5"/>
      <c r="AH447" s="5"/>
      <c r="AI447" s="5"/>
      <c r="AJ447" s="1"/>
      <c r="AK447" s="3" t="s">
        <v>285</v>
      </c>
      <c r="AL447" s="3">
        <v>0.9</v>
      </c>
      <c r="AM447" s="3">
        <v>0.5</v>
      </c>
      <c r="AN447" s="3">
        <v>0.6</v>
      </c>
      <c r="AO447" s="3">
        <v>0.31</v>
      </c>
      <c r="AP447" s="7">
        <v>1129.9895019999999</v>
      </c>
      <c r="AQ447" s="3">
        <v>0.01</v>
      </c>
      <c r="AS447" s="3" t="s">
        <v>285</v>
      </c>
      <c r="AT447" s="3">
        <v>0.31</v>
      </c>
      <c r="AU447" s="6">
        <v>1124.562866</v>
      </c>
      <c r="AV447" s="3">
        <v>1E-3</v>
      </c>
      <c r="AW447" s="3">
        <f t="shared" si="50"/>
        <v>0.31</v>
      </c>
      <c r="AX447" s="5"/>
      <c r="AY447" s="5"/>
      <c r="AZ447" s="5"/>
      <c r="BA447" s="5"/>
      <c r="BB447" s="1"/>
      <c r="BC447" s="3" t="s">
        <v>285</v>
      </c>
      <c r="BD447" s="3">
        <v>0.9</v>
      </c>
      <c r="BE447" s="3">
        <v>0.5</v>
      </c>
      <c r="BF447" s="3">
        <v>0.6</v>
      </c>
      <c r="BG447" s="3">
        <v>0.32</v>
      </c>
      <c r="BH447" s="6">
        <v>1075.7574460000001</v>
      </c>
      <c r="BI447" s="3">
        <v>0.01</v>
      </c>
      <c r="BK447" s="3" t="s">
        <v>285</v>
      </c>
      <c r="BL447" s="3">
        <v>0.3</v>
      </c>
      <c r="BM447" s="7">
        <v>1103.3157960000001</v>
      </c>
      <c r="BN447" s="3">
        <v>2E-3</v>
      </c>
      <c r="BO447" s="3">
        <f t="shared" si="51"/>
        <v>0.31</v>
      </c>
    </row>
    <row r="448" spans="1:71" x14ac:dyDescent="0.3">
      <c r="A448" s="3" t="s">
        <v>286</v>
      </c>
      <c r="B448" s="3">
        <v>0.9</v>
      </c>
      <c r="C448" s="3">
        <v>0.5</v>
      </c>
      <c r="D448" s="3">
        <v>0.6</v>
      </c>
      <c r="E448" s="3">
        <v>0.3</v>
      </c>
      <c r="F448" s="6">
        <v>700.37646500000005</v>
      </c>
      <c r="G448" s="3">
        <v>3.0000000000000001E-3</v>
      </c>
      <c r="I448" s="3" t="s">
        <v>286</v>
      </c>
      <c r="J448" s="3">
        <v>0.31</v>
      </c>
      <c r="K448" s="7">
        <v>726.71899399999995</v>
      </c>
      <c r="L448" s="3">
        <v>0</v>
      </c>
      <c r="M448" s="3">
        <f t="shared" si="48"/>
        <v>0.30499999999999999</v>
      </c>
      <c r="N448" s="5"/>
      <c r="O448" s="5"/>
      <c r="P448" s="5"/>
      <c r="Q448" s="5"/>
      <c r="R448" s="1"/>
      <c r="S448" s="3" t="s">
        <v>286</v>
      </c>
      <c r="T448" s="3">
        <v>0.9</v>
      </c>
      <c r="U448" s="3">
        <v>0.5</v>
      </c>
      <c r="V448" s="3">
        <v>0.6</v>
      </c>
      <c r="W448" s="3">
        <v>0.35</v>
      </c>
      <c r="X448" s="7">
        <v>716.60058600000002</v>
      </c>
      <c r="Y448" s="3">
        <v>7.0000000000000001E-3</v>
      </c>
      <c r="AA448" s="3" t="s">
        <v>286</v>
      </c>
      <c r="AB448" s="3">
        <v>0.36</v>
      </c>
      <c r="AC448" s="6">
        <v>697.65466300000003</v>
      </c>
      <c r="AD448" s="3">
        <v>1E-3</v>
      </c>
      <c r="AE448" s="3">
        <f t="shared" si="49"/>
        <v>0.35499999999999998</v>
      </c>
      <c r="AF448" s="5"/>
      <c r="AG448" s="5"/>
      <c r="AH448" s="5"/>
      <c r="AI448" s="5"/>
      <c r="AJ448" s="1"/>
      <c r="AK448" s="3" t="s">
        <v>287</v>
      </c>
      <c r="AL448" s="3">
        <v>0.9</v>
      </c>
      <c r="AM448" s="3">
        <v>0.5</v>
      </c>
      <c r="AN448" s="3">
        <v>0.6</v>
      </c>
      <c r="AO448" s="3">
        <v>0.3</v>
      </c>
      <c r="AP448" s="7">
        <v>1043.369385</v>
      </c>
      <c r="AQ448" s="3">
        <v>0.01</v>
      </c>
      <c r="AS448" s="3" t="s">
        <v>287</v>
      </c>
      <c r="AT448" s="3">
        <v>0.31</v>
      </c>
      <c r="AU448" s="6">
        <v>1037.3801269999999</v>
      </c>
      <c r="AV448" s="3">
        <v>1E-3</v>
      </c>
      <c r="AW448" s="3">
        <f t="shared" si="50"/>
        <v>0.30499999999999999</v>
      </c>
      <c r="AX448" s="5"/>
      <c r="AY448" s="5"/>
      <c r="AZ448" s="5"/>
      <c r="BA448" s="5"/>
      <c r="BB448" s="1"/>
      <c r="BC448" s="3" t="s">
        <v>287</v>
      </c>
      <c r="BD448" s="3">
        <v>0.9</v>
      </c>
      <c r="BE448" s="3">
        <v>0.5</v>
      </c>
      <c r="BF448" s="3">
        <v>0.6</v>
      </c>
      <c r="BG448" s="3">
        <v>0.3</v>
      </c>
      <c r="BH448" s="6">
        <v>1021.953186</v>
      </c>
      <c r="BI448" s="3">
        <v>1.2999999999999999E-2</v>
      </c>
      <c r="BK448" s="3" t="s">
        <v>287</v>
      </c>
      <c r="BL448" s="3">
        <v>0.31</v>
      </c>
      <c r="BM448" s="7">
        <v>1023.794922</v>
      </c>
      <c r="BN448" s="3">
        <v>1E-3</v>
      </c>
      <c r="BO448" s="3">
        <f t="shared" si="51"/>
        <v>0.30499999999999999</v>
      </c>
    </row>
    <row r="449" spans="1:67" x14ac:dyDescent="0.3">
      <c r="A449" s="3" t="s">
        <v>288</v>
      </c>
      <c r="B449" s="3">
        <v>0.9</v>
      </c>
      <c r="C449" s="3">
        <v>0.5</v>
      </c>
      <c r="D449" s="3">
        <v>0.6</v>
      </c>
      <c r="E449" s="3">
        <v>0.31</v>
      </c>
      <c r="F449" s="6">
        <v>731.27569600000004</v>
      </c>
      <c r="G449" s="3">
        <v>3.0000000000000001E-3</v>
      </c>
      <c r="I449" s="3" t="s">
        <v>288</v>
      </c>
      <c r="J449" s="3">
        <v>0.32</v>
      </c>
      <c r="K449" s="7">
        <v>732.32867399999998</v>
      </c>
      <c r="L449" s="3">
        <v>0</v>
      </c>
      <c r="M449" s="3">
        <f t="shared" si="48"/>
        <v>0.315</v>
      </c>
      <c r="N449" s="5"/>
      <c r="O449" s="5"/>
      <c r="P449" s="5"/>
      <c r="Q449" s="5"/>
      <c r="R449" s="1"/>
      <c r="S449" s="3" t="s">
        <v>288</v>
      </c>
      <c r="T449" s="3">
        <v>0.9</v>
      </c>
      <c r="U449" s="3">
        <v>0.5</v>
      </c>
      <c r="V449" s="3">
        <v>0.6</v>
      </c>
      <c r="W449" s="3">
        <v>0.3</v>
      </c>
      <c r="X449" s="7">
        <v>715.69598399999995</v>
      </c>
      <c r="Y449" s="3">
        <v>6.0000000000000001E-3</v>
      </c>
      <c r="AA449" s="3" t="s">
        <v>288</v>
      </c>
      <c r="AB449" s="3">
        <v>0.32</v>
      </c>
      <c r="AC449" s="6">
        <v>712.88836700000002</v>
      </c>
      <c r="AD449" s="3">
        <v>0</v>
      </c>
      <c r="AE449" s="3">
        <f t="shared" si="49"/>
        <v>0.31</v>
      </c>
      <c r="AF449" s="5"/>
      <c r="AG449" s="5"/>
      <c r="AH449" s="5"/>
      <c r="AI449" s="5"/>
      <c r="AJ449" s="1"/>
      <c r="AK449" s="3" t="s">
        <v>289</v>
      </c>
      <c r="AL449" s="3">
        <v>0.9</v>
      </c>
      <c r="AM449" s="3">
        <v>0.5</v>
      </c>
      <c r="AN449" s="3">
        <v>0.6</v>
      </c>
      <c r="AO449" s="3">
        <v>0.31</v>
      </c>
      <c r="AP449" s="6">
        <v>1120.6949460000001</v>
      </c>
      <c r="AQ449" s="3">
        <v>0.01</v>
      </c>
      <c r="AS449" s="3" t="s">
        <v>289</v>
      </c>
      <c r="AT449" s="3">
        <v>0.31</v>
      </c>
      <c r="AU449" s="7">
        <v>1131.63147</v>
      </c>
      <c r="AV449" s="3">
        <v>1E-3</v>
      </c>
      <c r="AW449" s="3">
        <f t="shared" si="50"/>
        <v>0.31</v>
      </c>
      <c r="AX449" s="5"/>
      <c r="AY449" s="5"/>
      <c r="AZ449" s="5"/>
      <c r="BA449" s="5"/>
      <c r="BB449" s="1"/>
      <c r="BC449" s="3" t="s">
        <v>289</v>
      </c>
      <c r="BD449" s="3">
        <v>0.9</v>
      </c>
      <c r="BE449" s="3">
        <v>0.5</v>
      </c>
      <c r="BF449" s="3">
        <v>0.6</v>
      </c>
      <c r="BG449" s="3">
        <v>0.3</v>
      </c>
      <c r="BH449" s="7">
        <v>1090.7886960000001</v>
      </c>
      <c r="BI449" s="3">
        <v>1.2999999999999999E-2</v>
      </c>
      <c r="BK449" s="3" t="s">
        <v>289</v>
      </c>
      <c r="BL449" s="3">
        <v>0.3</v>
      </c>
      <c r="BM449" s="6">
        <v>1086.616211</v>
      </c>
      <c r="BN449" s="3">
        <v>1E-3</v>
      </c>
      <c r="BO449" s="3">
        <f t="shared" si="51"/>
        <v>0.3</v>
      </c>
    </row>
    <row r="450" spans="1:67" x14ac:dyDescent="0.3">
      <c r="A450" s="3" t="s">
        <v>290</v>
      </c>
      <c r="B450" s="3">
        <v>0.9</v>
      </c>
      <c r="C450" s="3">
        <v>0.5</v>
      </c>
      <c r="D450" s="3">
        <v>0.6</v>
      </c>
      <c r="E450" s="3">
        <v>0.3</v>
      </c>
      <c r="F450" s="6">
        <v>709.20977800000003</v>
      </c>
      <c r="G450" s="3">
        <v>3.0000000000000001E-3</v>
      </c>
      <c r="I450" s="3" t="s">
        <v>290</v>
      </c>
      <c r="J450" s="3">
        <v>0.32</v>
      </c>
      <c r="K450" s="7">
        <v>734.34918200000004</v>
      </c>
      <c r="L450" s="3">
        <v>0</v>
      </c>
      <c r="M450" s="3">
        <f t="shared" si="48"/>
        <v>0.31</v>
      </c>
      <c r="N450" s="5"/>
      <c r="O450" s="5"/>
      <c r="P450" s="5"/>
      <c r="Q450" s="5"/>
      <c r="R450" s="1"/>
      <c r="S450" s="3" t="s">
        <v>290</v>
      </c>
      <c r="T450" s="3">
        <v>0.9</v>
      </c>
      <c r="U450" s="3">
        <v>0.5</v>
      </c>
      <c r="V450" s="3">
        <v>0.6</v>
      </c>
      <c r="W450" s="3">
        <v>0.3</v>
      </c>
      <c r="X450" s="7">
        <v>724.55358899999999</v>
      </c>
      <c r="Y450" s="3">
        <v>3.0000000000000001E-3</v>
      </c>
      <c r="AA450" s="3" t="s">
        <v>290</v>
      </c>
      <c r="AB450" s="3">
        <v>0.33</v>
      </c>
      <c r="AC450" s="6">
        <v>697.89776600000005</v>
      </c>
      <c r="AD450" s="3">
        <v>1E-3</v>
      </c>
      <c r="AE450" s="3">
        <f t="shared" si="49"/>
        <v>0.315</v>
      </c>
      <c r="AF450" s="5"/>
      <c r="AG450" s="5"/>
      <c r="AH450" s="5"/>
      <c r="AI450" s="5"/>
      <c r="AJ450" s="1"/>
      <c r="AK450" s="3" t="s">
        <v>291</v>
      </c>
      <c r="AL450" s="3">
        <v>0.9</v>
      </c>
      <c r="AM450" s="3">
        <v>0.5</v>
      </c>
      <c r="AN450" s="3">
        <v>0.6</v>
      </c>
      <c r="AO450" s="3">
        <v>0.3</v>
      </c>
      <c r="AP450" s="7">
        <v>1086.064453</v>
      </c>
      <c r="AQ450" s="3">
        <v>8.9999999999999993E-3</v>
      </c>
      <c r="AS450" s="3" t="s">
        <v>291</v>
      </c>
      <c r="AT450" s="3">
        <v>0.3</v>
      </c>
      <c r="AU450" s="6">
        <v>1063.518188</v>
      </c>
      <c r="AV450" s="3">
        <v>1E-3</v>
      </c>
      <c r="AW450" s="3">
        <f t="shared" si="50"/>
        <v>0.3</v>
      </c>
      <c r="AX450" s="5"/>
      <c r="AY450" s="5"/>
      <c r="AZ450" s="5"/>
      <c r="BA450" s="5"/>
      <c r="BB450" s="1"/>
      <c r="BC450" s="3" t="s">
        <v>291</v>
      </c>
      <c r="BD450" s="3">
        <v>0.9</v>
      </c>
      <c r="BE450" s="3">
        <v>0.5</v>
      </c>
      <c r="BF450" s="3">
        <v>0.6</v>
      </c>
      <c r="BG450" s="3">
        <v>0.33</v>
      </c>
      <c r="BH450" s="6">
        <v>1018.702393</v>
      </c>
      <c r="BI450" s="3">
        <v>1.2999999999999999E-2</v>
      </c>
      <c r="BK450" s="3" t="s">
        <v>291</v>
      </c>
      <c r="BL450" s="3">
        <v>0.32</v>
      </c>
      <c r="BM450" s="7">
        <v>1048.584106</v>
      </c>
      <c r="BN450" s="3">
        <v>1E-3</v>
      </c>
      <c r="BO450" s="3">
        <f t="shared" si="51"/>
        <v>0.32500000000000001</v>
      </c>
    </row>
    <row r="451" spans="1:67" x14ac:dyDescent="0.3">
      <c r="A451" s="3" t="s">
        <v>292</v>
      </c>
      <c r="B451" s="3">
        <v>0.9</v>
      </c>
      <c r="C451" s="3">
        <v>0.5</v>
      </c>
      <c r="D451" s="3">
        <v>0.6</v>
      </c>
      <c r="E451" s="3">
        <v>0.31</v>
      </c>
      <c r="F451" s="7">
        <v>788.55554199999995</v>
      </c>
      <c r="G451" s="3">
        <v>3.0000000000000001E-3</v>
      </c>
      <c r="I451" s="3" t="s">
        <v>292</v>
      </c>
      <c r="J451" s="3">
        <v>0.32</v>
      </c>
      <c r="K451" s="6">
        <v>748.81604000000004</v>
      </c>
      <c r="L451" s="3">
        <v>0</v>
      </c>
      <c r="M451" s="3">
        <f t="shared" si="48"/>
        <v>0.315</v>
      </c>
      <c r="N451" s="5"/>
      <c r="O451" s="5"/>
      <c r="P451" s="5"/>
      <c r="Q451" s="5"/>
      <c r="R451" s="1"/>
      <c r="S451" s="3" t="s">
        <v>292</v>
      </c>
      <c r="T451" s="3">
        <v>0.9</v>
      </c>
      <c r="U451" s="3">
        <v>0.5</v>
      </c>
      <c r="V451" s="3">
        <v>0.6</v>
      </c>
      <c r="W451" s="3">
        <v>0.33</v>
      </c>
      <c r="X451" s="6">
        <v>756.22851600000001</v>
      </c>
      <c r="Y451" s="3">
        <v>6.0000000000000001E-3</v>
      </c>
      <c r="AA451" s="3" t="s">
        <v>292</v>
      </c>
      <c r="AB451" s="3">
        <v>0.33</v>
      </c>
      <c r="AC451" s="7">
        <v>775.45819100000006</v>
      </c>
      <c r="AD451" s="3">
        <v>1E-3</v>
      </c>
      <c r="AE451" s="3">
        <f t="shared" si="49"/>
        <v>0.33</v>
      </c>
      <c r="AF451" s="5"/>
      <c r="AG451" s="5"/>
      <c r="AH451" s="5"/>
      <c r="AI451" s="5"/>
      <c r="AJ451" s="1"/>
      <c r="AK451" s="3" t="s">
        <v>293</v>
      </c>
      <c r="AL451" s="3">
        <v>0.9</v>
      </c>
      <c r="AM451" s="3">
        <v>0.5</v>
      </c>
      <c r="AN451" s="3">
        <v>0.6</v>
      </c>
      <c r="AO451" s="3">
        <v>0.31</v>
      </c>
      <c r="AP451" s="7">
        <v>1133.8759769999999</v>
      </c>
      <c r="AQ451" s="3">
        <v>1.0999999999999999E-2</v>
      </c>
      <c r="AS451" s="3" t="s">
        <v>293</v>
      </c>
      <c r="AT451" s="3">
        <v>0.3</v>
      </c>
      <c r="AU451" s="6">
        <v>1129.347168</v>
      </c>
      <c r="AV451" s="3">
        <v>1E-3</v>
      </c>
      <c r="AW451" s="3">
        <f t="shared" si="50"/>
        <v>0.30499999999999999</v>
      </c>
      <c r="AX451" s="5"/>
      <c r="AY451" s="5"/>
      <c r="AZ451" s="5"/>
      <c r="BA451" s="5"/>
      <c r="BB451" s="1"/>
      <c r="BC451" s="3" t="s">
        <v>293</v>
      </c>
      <c r="BD451" s="3">
        <v>0.9</v>
      </c>
      <c r="BE451" s="3">
        <v>0.5</v>
      </c>
      <c r="BF451" s="3">
        <v>0.6</v>
      </c>
      <c r="BG451" s="3">
        <v>0.31</v>
      </c>
      <c r="BH451" s="6">
        <v>1115.4436040000001</v>
      </c>
      <c r="BI451" s="3">
        <v>1.0999999999999999E-2</v>
      </c>
      <c r="BK451" s="3" t="s">
        <v>293</v>
      </c>
      <c r="BL451" s="3">
        <v>0.31</v>
      </c>
      <c r="BM451" s="7">
        <v>1120.9456789999999</v>
      </c>
      <c r="BN451" s="3">
        <v>1E-3</v>
      </c>
      <c r="BO451" s="3">
        <f t="shared" si="51"/>
        <v>0.31</v>
      </c>
    </row>
    <row r="452" spans="1:67" x14ac:dyDescent="0.3">
      <c r="A452" s="3" t="s">
        <v>294</v>
      </c>
      <c r="B452" s="3">
        <v>0.9</v>
      </c>
      <c r="C452" s="3">
        <v>0.5</v>
      </c>
      <c r="D452" s="3">
        <v>0.6</v>
      </c>
      <c r="E452" s="3">
        <v>0.31</v>
      </c>
      <c r="F452" s="7">
        <v>941.94207800000004</v>
      </c>
      <c r="G452" s="3">
        <v>4.0000000000000001E-3</v>
      </c>
      <c r="I452" s="3" t="s">
        <v>294</v>
      </c>
      <c r="J452" s="3">
        <v>0.3</v>
      </c>
      <c r="K452" s="6">
        <v>909.52874799999995</v>
      </c>
      <c r="L452" s="3">
        <v>0</v>
      </c>
      <c r="M452" s="3">
        <f t="shared" si="48"/>
        <v>0.30499999999999999</v>
      </c>
      <c r="N452" s="5"/>
      <c r="O452" s="5"/>
      <c r="P452" s="5"/>
      <c r="Q452" s="5"/>
      <c r="R452" s="1"/>
      <c r="S452" s="3" t="s">
        <v>294</v>
      </c>
      <c r="T452" s="3">
        <v>0.9</v>
      </c>
      <c r="U452" s="3">
        <v>0.5</v>
      </c>
      <c r="V452" s="3">
        <v>0.6</v>
      </c>
      <c r="W452" s="3">
        <v>0.34</v>
      </c>
      <c r="X452" s="6">
        <v>889.37524399999995</v>
      </c>
      <c r="Y452" s="3">
        <v>8.0000000000000002E-3</v>
      </c>
      <c r="AA452" s="3" t="s">
        <v>294</v>
      </c>
      <c r="AB452" s="3">
        <v>0.3</v>
      </c>
      <c r="AC452" s="7">
        <v>894.05401600000005</v>
      </c>
      <c r="AD452" s="3">
        <v>0</v>
      </c>
      <c r="AE452" s="3">
        <f t="shared" si="49"/>
        <v>0.32</v>
      </c>
      <c r="AF452" s="5"/>
      <c r="AG452" s="5"/>
      <c r="AH452" s="5"/>
      <c r="AI452" s="5"/>
      <c r="AJ452" s="1"/>
      <c r="AK452" s="3" t="s">
        <v>295</v>
      </c>
      <c r="AL452" s="3">
        <v>0.9</v>
      </c>
      <c r="AM452" s="3">
        <v>0.5</v>
      </c>
      <c r="AN452" s="3">
        <v>0.6</v>
      </c>
      <c r="AO452" s="3">
        <v>0.31</v>
      </c>
      <c r="AP452" s="7">
        <v>1234.1866460000001</v>
      </c>
      <c r="AQ452" s="3">
        <v>1.0999999999999999E-2</v>
      </c>
      <c r="AS452" s="3" t="s">
        <v>295</v>
      </c>
      <c r="AT452" s="3">
        <v>0.3</v>
      </c>
      <c r="AU452" s="6">
        <v>1203.8616939999999</v>
      </c>
      <c r="AV452" s="3">
        <v>1E-3</v>
      </c>
      <c r="AW452" s="3">
        <f t="shared" si="50"/>
        <v>0.30499999999999999</v>
      </c>
      <c r="AX452" s="5"/>
      <c r="AY452" s="5"/>
      <c r="AZ452" s="5"/>
      <c r="BA452" s="5"/>
      <c r="BB452" s="1"/>
      <c r="BC452" s="3" t="s">
        <v>295</v>
      </c>
      <c r="BD452" s="3">
        <v>0.9</v>
      </c>
      <c r="BE452" s="3">
        <v>0.5</v>
      </c>
      <c r="BF452" s="3">
        <v>0.6</v>
      </c>
      <c r="BG452" s="3">
        <v>0.3</v>
      </c>
      <c r="BH452" s="6">
        <v>1207.9178469999999</v>
      </c>
      <c r="BI452" s="3">
        <v>1.0999999999999999E-2</v>
      </c>
      <c r="BK452" s="3" t="s">
        <v>295</v>
      </c>
      <c r="BL452" s="3">
        <v>0.3</v>
      </c>
      <c r="BM452" s="7">
        <v>1215.5357670000001</v>
      </c>
      <c r="BN452" s="3">
        <v>1E-3</v>
      </c>
      <c r="BO452" s="3">
        <f t="shared" si="51"/>
        <v>0.3</v>
      </c>
    </row>
    <row r="453" spans="1:67" x14ac:dyDescent="0.3">
      <c r="A453" s="3" t="s">
        <v>296</v>
      </c>
      <c r="B453" s="3">
        <v>0.9</v>
      </c>
      <c r="C453" s="3">
        <v>0.5</v>
      </c>
      <c r="D453" s="3">
        <v>0.6</v>
      </c>
      <c r="E453" s="3">
        <v>0.3</v>
      </c>
      <c r="F453" s="6">
        <v>914.62988299999995</v>
      </c>
      <c r="G453" s="3">
        <v>4.0000000000000001E-3</v>
      </c>
      <c r="I453" s="3" t="s">
        <v>296</v>
      </c>
      <c r="J453" s="3">
        <v>0.31</v>
      </c>
      <c r="K453" s="7">
        <v>925.11419699999999</v>
      </c>
      <c r="L453" s="3">
        <v>1E-3</v>
      </c>
      <c r="M453" s="3">
        <f t="shared" si="48"/>
        <v>0.30499999999999999</v>
      </c>
      <c r="N453" s="5"/>
      <c r="O453" s="5"/>
      <c r="P453" s="5"/>
      <c r="Q453" s="5"/>
      <c r="R453" s="1"/>
      <c r="S453" s="3" t="s">
        <v>296</v>
      </c>
      <c r="T453" s="3">
        <v>0.9</v>
      </c>
      <c r="U453" s="3">
        <v>0.5</v>
      </c>
      <c r="V453" s="3">
        <v>0.6</v>
      </c>
      <c r="W453" s="3">
        <v>0.4</v>
      </c>
      <c r="X453" s="6">
        <v>883.94293200000004</v>
      </c>
      <c r="Y453" s="3">
        <v>6.0000000000000001E-3</v>
      </c>
      <c r="AA453" s="3" t="s">
        <v>296</v>
      </c>
      <c r="AB453" s="3">
        <v>0.35</v>
      </c>
      <c r="AC453" s="7">
        <v>924.41693099999998</v>
      </c>
      <c r="AD453" s="3">
        <v>0</v>
      </c>
      <c r="AE453" s="3">
        <f t="shared" si="49"/>
        <v>0.375</v>
      </c>
      <c r="AF453" s="5"/>
      <c r="AG453" s="5"/>
      <c r="AH453" s="5"/>
      <c r="AI453" s="5"/>
      <c r="AJ453" s="1"/>
      <c r="AK453" s="3" t="s">
        <v>297</v>
      </c>
      <c r="AL453" s="3">
        <v>0.9</v>
      </c>
      <c r="AM453" s="3">
        <v>0.5</v>
      </c>
      <c r="AN453" s="3">
        <v>0.6</v>
      </c>
      <c r="AO453" s="3">
        <v>0.3</v>
      </c>
      <c r="AP453" s="7">
        <v>1162.0289310000001</v>
      </c>
      <c r="AQ453" s="3">
        <v>1.9E-2</v>
      </c>
      <c r="AS453" s="3" t="s">
        <v>297</v>
      </c>
      <c r="AT453" s="3">
        <v>0.3</v>
      </c>
      <c r="AU453" s="6">
        <v>1154.5854489999999</v>
      </c>
      <c r="AV453" s="3">
        <v>2E-3</v>
      </c>
      <c r="AW453" s="3">
        <f t="shared" si="50"/>
        <v>0.3</v>
      </c>
      <c r="AX453" s="5"/>
      <c r="AY453" s="5"/>
      <c r="AZ453" s="5"/>
      <c r="BA453" s="5"/>
      <c r="BB453" s="1"/>
      <c r="BC453" s="3" t="s">
        <v>297</v>
      </c>
      <c r="BD453" s="3">
        <v>0.9</v>
      </c>
      <c r="BE453" s="3">
        <v>0.5</v>
      </c>
      <c r="BF453" s="3">
        <v>0.6</v>
      </c>
      <c r="BG453" s="3">
        <v>0.31</v>
      </c>
      <c r="BH453" s="6">
        <v>1132.02478</v>
      </c>
      <c r="BI453" s="3">
        <v>1.2E-2</v>
      </c>
      <c r="BK453" s="3" t="s">
        <v>297</v>
      </c>
      <c r="BL453" s="3">
        <v>0.32</v>
      </c>
      <c r="BM453" s="7">
        <v>1143.4110109999999</v>
      </c>
      <c r="BN453" s="3">
        <v>1E-3</v>
      </c>
      <c r="BO453" s="3">
        <f t="shared" si="51"/>
        <v>0.315</v>
      </c>
    </row>
    <row r="454" spans="1:67" x14ac:dyDescent="0.3">
      <c r="A454" s="3" t="s">
        <v>298</v>
      </c>
      <c r="B454" s="3">
        <v>0.9</v>
      </c>
      <c r="C454" s="3">
        <v>0.5</v>
      </c>
      <c r="D454" s="3">
        <v>0.6</v>
      </c>
      <c r="E454" s="3">
        <v>0.34</v>
      </c>
      <c r="F454" s="7">
        <v>776.42480499999999</v>
      </c>
      <c r="G454" s="3">
        <v>3.0000000000000001E-3</v>
      </c>
      <c r="I454" s="3" t="s">
        <v>298</v>
      </c>
      <c r="J454" s="3">
        <v>0.33</v>
      </c>
      <c r="K454" s="6">
        <v>764.53539999999998</v>
      </c>
      <c r="L454" s="3">
        <v>1E-3</v>
      </c>
      <c r="M454" s="3">
        <f t="shared" si="48"/>
        <v>0.33500000000000002</v>
      </c>
      <c r="N454" s="5"/>
      <c r="O454" s="5"/>
      <c r="P454" s="5"/>
      <c r="Q454" s="5"/>
      <c r="R454" s="1"/>
      <c r="S454" s="3" t="s">
        <v>298</v>
      </c>
      <c r="T454" s="3">
        <v>0.9</v>
      </c>
      <c r="U454" s="3">
        <v>0.5</v>
      </c>
      <c r="V454" s="3">
        <v>0.6</v>
      </c>
      <c r="W454" s="3">
        <v>0.3</v>
      </c>
      <c r="X454" s="6">
        <v>762.967896</v>
      </c>
      <c r="Y454" s="3">
        <v>6.0000000000000001E-3</v>
      </c>
      <c r="AA454" s="3" t="s">
        <v>298</v>
      </c>
      <c r="AB454" s="3">
        <v>0.31</v>
      </c>
      <c r="AC454" s="7">
        <v>777.09295699999996</v>
      </c>
      <c r="AD454" s="3">
        <v>0</v>
      </c>
      <c r="AE454" s="3">
        <f t="shared" si="49"/>
        <v>0.30499999999999999</v>
      </c>
      <c r="AF454" s="5"/>
      <c r="AG454" s="5"/>
      <c r="AH454" s="5"/>
      <c r="AI454" s="5"/>
      <c r="AJ454" s="1"/>
      <c r="AK454" s="3" t="s">
        <v>299</v>
      </c>
      <c r="AL454" s="3">
        <v>0.9</v>
      </c>
      <c r="AM454" s="3">
        <v>0.5</v>
      </c>
      <c r="AN454" s="3">
        <v>0.6</v>
      </c>
      <c r="AO454" s="3">
        <v>0.31</v>
      </c>
      <c r="AP454" s="6">
        <v>1209.7729489999999</v>
      </c>
      <c r="AQ454" s="3">
        <v>1.2E-2</v>
      </c>
      <c r="AS454" s="3" t="s">
        <v>299</v>
      </c>
      <c r="AT454" s="3">
        <v>0.3</v>
      </c>
      <c r="AU454" s="7">
        <v>1215.418823</v>
      </c>
      <c r="AV454" s="3">
        <v>2E-3</v>
      </c>
      <c r="AW454" s="3">
        <f t="shared" si="50"/>
        <v>0.30499999999999999</v>
      </c>
      <c r="AX454" s="5"/>
      <c r="AY454" s="5"/>
      <c r="AZ454" s="5"/>
      <c r="BA454" s="5"/>
      <c r="BB454" s="1"/>
      <c r="BC454" s="3" t="s">
        <v>299</v>
      </c>
      <c r="BD454" s="3">
        <v>0.9</v>
      </c>
      <c r="BE454" s="3">
        <v>0.5</v>
      </c>
      <c r="BF454" s="3">
        <v>0.6</v>
      </c>
      <c r="BG454" s="3">
        <v>0.31</v>
      </c>
      <c r="BH454" s="6">
        <v>1157.506592</v>
      </c>
      <c r="BI454" s="3">
        <v>1.7000000000000001E-2</v>
      </c>
      <c r="BK454" s="3" t="s">
        <v>299</v>
      </c>
      <c r="BL454" s="3">
        <v>0.3</v>
      </c>
      <c r="BM454" s="7">
        <v>1195.6669919999999</v>
      </c>
      <c r="BN454" s="3">
        <v>1E-3</v>
      </c>
      <c r="BO454" s="3">
        <f t="shared" si="51"/>
        <v>0.30499999999999999</v>
      </c>
    </row>
    <row r="455" spans="1:67" x14ac:dyDescent="0.3">
      <c r="A455" s="3" t="s">
        <v>300</v>
      </c>
      <c r="B455" s="3">
        <v>0.9</v>
      </c>
      <c r="C455" s="3">
        <v>0.5</v>
      </c>
      <c r="D455" s="3">
        <v>0.6</v>
      </c>
      <c r="E455" s="3">
        <v>0.3</v>
      </c>
      <c r="F455" s="6">
        <v>822.65850799999998</v>
      </c>
      <c r="G455" s="3">
        <v>4.0000000000000001E-3</v>
      </c>
      <c r="I455" s="3" t="s">
        <v>300</v>
      </c>
      <c r="J455" s="3">
        <v>0.31</v>
      </c>
      <c r="K455" s="7">
        <v>846.85327099999995</v>
      </c>
      <c r="L455" s="3">
        <v>1E-3</v>
      </c>
      <c r="M455" s="3">
        <f t="shared" si="48"/>
        <v>0.30499999999999999</v>
      </c>
      <c r="N455" s="5"/>
      <c r="O455" s="5"/>
      <c r="P455" s="5"/>
      <c r="Q455" s="5"/>
      <c r="R455" s="1"/>
      <c r="S455" s="3" t="s">
        <v>300</v>
      </c>
      <c r="T455" s="3">
        <v>0.9</v>
      </c>
      <c r="U455" s="3">
        <v>0.5</v>
      </c>
      <c r="V455" s="3">
        <v>0.6</v>
      </c>
      <c r="W455" s="3">
        <v>0.3</v>
      </c>
      <c r="X455" s="6">
        <v>816.18353300000001</v>
      </c>
      <c r="Y455" s="3">
        <v>4.0000000000000001E-3</v>
      </c>
      <c r="AA455" s="3" t="s">
        <v>300</v>
      </c>
      <c r="AB455" s="3">
        <v>0.33</v>
      </c>
      <c r="AC455" s="7">
        <v>836.27966300000003</v>
      </c>
      <c r="AD455" s="3">
        <v>0</v>
      </c>
      <c r="AE455" s="3">
        <f t="shared" si="49"/>
        <v>0.315</v>
      </c>
      <c r="AF455" s="5"/>
      <c r="AG455" s="5"/>
      <c r="AH455" s="5"/>
      <c r="AI455" s="5"/>
      <c r="AJ455" s="1"/>
      <c r="AK455" s="3" t="s">
        <v>301</v>
      </c>
      <c r="AL455" s="3">
        <v>0.9</v>
      </c>
      <c r="AM455" s="3">
        <v>0.5</v>
      </c>
      <c r="AN455" s="3">
        <v>0.6</v>
      </c>
      <c r="AO455" s="3">
        <v>0.31</v>
      </c>
      <c r="AP455" s="6">
        <v>1180.2524410000001</v>
      </c>
      <c r="AQ455" s="3">
        <v>1.4E-2</v>
      </c>
      <c r="AS455" s="3" t="s">
        <v>301</v>
      </c>
      <c r="AT455" s="3">
        <v>0.3</v>
      </c>
      <c r="AU455" s="7">
        <v>1206.035034</v>
      </c>
      <c r="AV455" s="3">
        <v>2E-3</v>
      </c>
      <c r="AW455" s="3">
        <f t="shared" si="50"/>
        <v>0.30499999999999999</v>
      </c>
      <c r="AX455" s="5"/>
      <c r="AY455" s="5"/>
      <c r="AZ455" s="5"/>
      <c r="BA455" s="5"/>
      <c r="BB455" s="1"/>
      <c r="BC455" s="3" t="s">
        <v>301</v>
      </c>
      <c r="BD455" s="3">
        <v>0.9</v>
      </c>
      <c r="BE455" s="3">
        <v>0.5</v>
      </c>
      <c r="BF455" s="3">
        <v>0.6</v>
      </c>
      <c r="BG455" s="3">
        <v>0.41</v>
      </c>
      <c r="BH455" s="6">
        <v>1155.839111</v>
      </c>
      <c r="BI455" s="3">
        <v>1.2E-2</v>
      </c>
      <c r="BK455" s="3" t="s">
        <v>301</v>
      </c>
      <c r="BL455" s="3">
        <v>0.31</v>
      </c>
      <c r="BM455" s="7">
        <v>1180.3725589999999</v>
      </c>
      <c r="BN455" s="3">
        <v>2E-3</v>
      </c>
      <c r="BO455" s="3">
        <f t="shared" si="51"/>
        <v>0.36</v>
      </c>
    </row>
    <row r="456" spans="1:67" x14ac:dyDescent="0.3">
      <c r="A456" s="3" t="s">
        <v>302</v>
      </c>
      <c r="B456" s="3">
        <v>0.9</v>
      </c>
      <c r="C456" s="3">
        <v>0.5</v>
      </c>
      <c r="D456" s="3">
        <v>0.6</v>
      </c>
      <c r="E456" s="3">
        <v>0.32</v>
      </c>
      <c r="F456" s="6">
        <v>774.51800500000002</v>
      </c>
      <c r="G456" s="3">
        <v>3.0000000000000001E-3</v>
      </c>
      <c r="I456" s="3" t="s">
        <v>302</v>
      </c>
      <c r="J456" s="3">
        <v>0.3</v>
      </c>
      <c r="K456" s="7">
        <v>814.18005400000004</v>
      </c>
      <c r="L456" s="3">
        <v>1E-3</v>
      </c>
      <c r="M456" s="3">
        <f t="shared" si="48"/>
        <v>0.31</v>
      </c>
      <c r="N456" s="5"/>
      <c r="O456" s="5"/>
      <c r="P456" s="5"/>
      <c r="Q456" s="5"/>
      <c r="R456" s="1"/>
      <c r="S456" s="3" t="s">
        <v>302</v>
      </c>
      <c r="T456" s="3">
        <v>0.9</v>
      </c>
      <c r="U456" s="3">
        <v>0.5</v>
      </c>
      <c r="V456" s="3">
        <v>0.6</v>
      </c>
      <c r="W456" s="3">
        <v>0.3</v>
      </c>
      <c r="X456" s="7">
        <v>822.40704300000004</v>
      </c>
      <c r="Y456" s="3">
        <v>4.0000000000000001E-3</v>
      </c>
      <c r="AA456" s="3" t="s">
        <v>302</v>
      </c>
      <c r="AB456" s="3">
        <v>0.3</v>
      </c>
      <c r="AC456" s="6">
        <v>813.65533400000004</v>
      </c>
      <c r="AD456" s="3">
        <v>0</v>
      </c>
      <c r="AE456" s="3">
        <f t="shared" si="49"/>
        <v>0.3</v>
      </c>
      <c r="AF456" s="5"/>
      <c r="AG456" s="5"/>
      <c r="AH456" s="5"/>
      <c r="AI456" s="5"/>
      <c r="AJ456" s="1"/>
      <c r="AK456" s="3" t="s">
        <v>303</v>
      </c>
      <c r="AL456" s="3">
        <v>0.9</v>
      </c>
      <c r="AM456" s="3">
        <v>0.5</v>
      </c>
      <c r="AN456" s="3">
        <v>0.6</v>
      </c>
      <c r="AO456" s="3">
        <v>0.3</v>
      </c>
      <c r="AP456" s="7">
        <v>1147.559082</v>
      </c>
      <c r="AQ456" s="3">
        <v>1.4E-2</v>
      </c>
      <c r="AS456" s="3" t="s">
        <v>303</v>
      </c>
      <c r="AT456" s="3">
        <v>0.3</v>
      </c>
      <c r="AU456" s="6">
        <v>1133.3629149999999</v>
      </c>
      <c r="AV456" s="3">
        <v>1E-3</v>
      </c>
      <c r="AW456" s="3">
        <f t="shared" si="50"/>
        <v>0.3</v>
      </c>
      <c r="AX456" s="5"/>
      <c r="AY456" s="5"/>
      <c r="AZ456" s="5"/>
      <c r="BA456" s="5"/>
      <c r="BB456" s="1"/>
      <c r="BC456" s="3" t="s">
        <v>303</v>
      </c>
      <c r="BD456" s="3">
        <v>0.9</v>
      </c>
      <c r="BE456" s="3">
        <v>0.5</v>
      </c>
      <c r="BF456" s="3">
        <v>0.6</v>
      </c>
      <c r="BG456" s="3">
        <v>0.32</v>
      </c>
      <c r="BH456" s="6">
        <v>1111.9857179999999</v>
      </c>
      <c r="BI456" s="3">
        <v>1.4999999999999999E-2</v>
      </c>
      <c r="BK456" s="3" t="s">
        <v>303</v>
      </c>
      <c r="BL456" s="3">
        <v>0.32</v>
      </c>
      <c r="BM456" s="7">
        <v>1132.6707759999999</v>
      </c>
      <c r="BN456" s="3">
        <v>1E-3</v>
      </c>
      <c r="BO456" s="3">
        <f t="shared" si="51"/>
        <v>0.32</v>
      </c>
    </row>
    <row r="457" spans="1:67" x14ac:dyDescent="0.3">
      <c r="A457" s="3" t="s">
        <v>304</v>
      </c>
      <c r="B457" s="3">
        <v>0.9</v>
      </c>
      <c r="C457" s="3">
        <v>0.5</v>
      </c>
      <c r="D457" s="3">
        <v>0.6</v>
      </c>
      <c r="E457" s="3">
        <v>0.3</v>
      </c>
      <c r="F457" s="6">
        <v>932.87658699999997</v>
      </c>
      <c r="G457" s="3">
        <v>4.0000000000000001E-3</v>
      </c>
      <c r="I457" s="3" t="s">
        <v>304</v>
      </c>
      <c r="J457" s="3">
        <v>0.38</v>
      </c>
      <c r="K457" s="7">
        <v>937.39428699999996</v>
      </c>
      <c r="L457" s="3">
        <v>0</v>
      </c>
      <c r="M457" s="3">
        <f t="shared" si="48"/>
        <v>0.33999999999999997</v>
      </c>
      <c r="N457" s="5"/>
      <c r="O457" s="5"/>
      <c r="P457" s="5"/>
      <c r="Q457" s="5"/>
      <c r="R457" s="1"/>
      <c r="S457" s="3" t="s">
        <v>304</v>
      </c>
      <c r="T457" s="3">
        <v>0.9</v>
      </c>
      <c r="U457" s="3">
        <v>0.5</v>
      </c>
      <c r="V457" s="3">
        <v>0.6</v>
      </c>
      <c r="W457" s="3">
        <v>0.31</v>
      </c>
      <c r="X457" s="6">
        <v>918.285706</v>
      </c>
      <c r="Y457" s="3">
        <v>5.0000000000000001E-3</v>
      </c>
      <c r="AA457" s="3" t="s">
        <v>304</v>
      </c>
      <c r="AB457" s="3">
        <v>0.35</v>
      </c>
      <c r="AC457" s="7">
        <v>930.83429000000001</v>
      </c>
      <c r="AD457" s="3">
        <v>0</v>
      </c>
      <c r="AE457" s="3">
        <f t="shared" si="49"/>
        <v>0.32999999999999996</v>
      </c>
      <c r="AF457" s="5"/>
      <c r="AG457" s="5"/>
      <c r="AH457" s="5"/>
      <c r="AI457" s="5"/>
      <c r="AJ457" s="1"/>
      <c r="AK457" s="3" t="s">
        <v>305</v>
      </c>
      <c r="AL457" s="3">
        <v>0.9</v>
      </c>
      <c r="AM457" s="3">
        <v>0.5</v>
      </c>
      <c r="AN457" s="3">
        <v>0.6</v>
      </c>
      <c r="AO457" s="3">
        <v>0.31</v>
      </c>
      <c r="AP457" s="6">
        <v>1173.3295900000001</v>
      </c>
      <c r="AQ457" s="3">
        <v>0.02</v>
      </c>
      <c r="AS457" s="3" t="s">
        <v>305</v>
      </c>
      <c r="AT457" s="3">
        <v>0.32</v>
      </c>
      <c r="AU457" s="7">
        <v>1188.4525149999999</v>
      </c>
      <c r="AV457" s="3">
        <v>1E-3</v>
      </c>
      <c r="AW457" s="3">
        <f t="shared" si="50"/>
        <v>0.315</v>
      </c>
      <c r="AX457" s="5"/>
      <c r="AY457" s="5"/>
      <c r="AZ457" s="5"/>
      <c r="BA457" s="5"/>
      <c r="BB457" s="1"/>
      <c r="BC457" s="3" t="s">
        <v>305</v>
      </c>
      <c r="BD457" s="3">
        <v>0.9</v>
      </c>
      <c r="BE457" s="3">
        <v>0.5</v>
      </c>
      <c r="BF457" s="3">
        <v>0.6</v>
      </c>
      <c r="BG457" s="3">
        <v>0.31</v>
      </c>
      <c r="BH457" s="7">
        <v>1180.694092</v>
      </c>
      <c r="BI457" s="3">
        <v>1.2E-2</v>
      </c>
      <c r="BK457" s="3" t="s">
        <v>305</v>
      </c>
      <c r="BL457" s="3">
        <v>0.3</v>
      </c>
      <c r="BM457" s="6">
        <v>1168.7551269999999</v>
      </c>
      <c r="BN457" s="3">
        <v>2E-3</v>
      </c>
      <c r="BO457" s="3">
        <f t="shared" si="51"/>
        <v>0.30499999999999999</v>
      </c>
    </row>
    <row r="458" spans="1:67" x14ac:dyDescent="0.3">
      <c r="A458" s="3" t="s">
        <v>306</v>
      </c>
      <c r="B458" s="3">
        <v>0.9</v>
      </c>
      <c r="C458" s="3">
        <v>0.5</v>
      </c>
      <c r="D458" s="3">
        <v>0.6</v>
      </c>
      <c r="E458" s="3">
        <v>0.36</v>
      </c>
      <c r="F458" s="7">
        <v>954.70245399999999</v>
      </c>
      <c r="G458" s="3">
        <v>4.0000000000000001E-3</v>
      </c>
      <c r="I458" s="3" t="s">
        <v>306</v>
      </c>
      <c r="J458" s="3">
        <v>0.36</v>
      </c>
      <c r="K458" s="6">
        <v>924.073669</v>
      </c>
      <c r="L458" s="3">
        <v>1E-3</v>
      </c>
      <c r="M458" s="3">
        <f t="shared" si="48"/>
        <v>0.36</v>
      </c>
      <c r="N458" s="5"/>
      <c r="O458" s="5"/>
      <c r="P458" s="5"/>
      <c r="Q458" s="5"/>
      <c r="R458" s="1"/>
      <c r="S458" s="3" t="s">
        <v>306</v>
      </c>
      <c r="T458" s="3">
        <v>0.9</v>
      </c>
      <c r="U458" s="3">
        <v>0.5</v>
      </c>
      <c r="V458" s="3">
        <v>0.6</v>
      </c>
      <c r="W458" s="3">
        <v>0.3</v>
      </c>
      <c r="X458" s="6">
        <v>925.18499799999995</v>
      </c>
      <c r="Y458" s="3">
        <v>6.0000000000000001E-3</v>
      </c>
      <c r="AA458" s="3" t="s">
        <v>306</v>
      </c>
      <c r="AB458" s="3">
        <v>0.31</v>
      </c>
      <c r="AC458" s="7">
        <v>930.316101</v>
      </c>
      <c r="AD458" s="3">
        <v>0</v>
      </c>
      <c r="AE458" s="3">
        <f t="shared" si="49"/>
        <v>0.30499999999999999</v>
      </c>
      <c r="AF458" s="5"/>
      <c r="AG458" s="5"/>
      <c r="AH458" s="5"/>
      <c r="AI458" s="5"/>
      <c r="AJ458" s="1"/>
      <c r="AK458" s="3" t="s">
        <v>307</v>
      </c>
      <c r="AL458" s="3">
        <v>0.9</v>
      </c>
      <c r="AM458" s="3">
        <v>0.5</v>
      </c>
      <c r="AN458" s="3">
        <v>0.6</v>
      </c>
      <c r="AO458" s="3">
        <v>0.3</v>
      </c>
      <c r="AP458" s="7">
        <v>1183.7196039999999</v>
      </c>
      <c r="AQ458" s="3">
        <v>1.9E-2</v>
      </c>
      <c r="AS458" s="3" t="s">
        <v>307</v>
      </c>
      <c r="AT458" s="3">
        <v>0.32</v>
      </c>
      <c r="AU458" s="6">
        <v>1150.5504149999999</v>
      </c>
      <c r="AV458" s="3">
        <v>2E-3</v>
      </c>
      <c r="AW458" s="3">
        <f t="shared" si="50"/>
        <v>0.31</v>
      </c>
      <c r="AX458" s="5"/>
      <c r="AY458" s="5"/>
      <c r="AZ458" s="5"/>
      <c r="BA458" s="5"/>
      <c r="BB458" s="1"/>
      <c r="BC458" s="3" t="s">
        <v>307</v>
      </c>
      <c r="BD458" s="3">
        <v>0.9</v>
      </c>
      <c r="BE458" s="3">
        <v>0.5</v>
      </c>
      <c r="BF458" s="3">
        <v>0.6</v>
      </c>
      <c r="BG458" s="3">
        <v>0.31</v>
      </c>
      <c r="BH458" s="6">
        <v>1158.8789059999999</v>
      </c>
      <c r="BI458" s="3">
        <v>1.2999999999999999E-2</v>
      </c>
      <c r="BK458" s="3" t="s">
        <v>307</v>
      </c>
      <c r="BL458" s="3">
        <v>0.3</v>
      </c>
      <c r="BM458" s="7">
        <v>1160.037231</v>
      </c>
      <c r="BN458" s="3">
        <v>2E-3</v>
      </c>
      <c r="BO458" s="3">
        <f t="shared" si="51"/>
        <v>0.30499999999999999</v>
      </c>
    </row>
    <row r="459" spans="1:67" x14ac:dyDescent="0.3">
      <c r="A459" s="3" t="s">
        <v>308</v>
      </c>
      <c r="B459" s="3">
        <v>0.9</v>
      </c>
      <c r="C459" s="3">
        <v>0.5</v>
      </c>
      <c r="D459" s="3">
        <v>0.6</v>
      </c>
      <c r="E459" s="3">
        <v>0.31</v>
      </c>
      <c r="F459" s="7">
        <v>943.503601</v>
      </c>
      <c r="G459" s="3">
        <v>3.0000000000000001E-3</v>
      </c>
      <c r="I459" s="3" t="s">
        <v>308</v>
      </c>
      <c r="J459" s="3">
        <v>0.32</v>
      </c>
      <c r="K459" s="6">
        <v>918.26263400000005</v>
      </c>
      <c r="L459" s="3">
        <v>1E-3</v>
      </c>
      <c r="M459" s="3">
        <f t="shared" si="48"/>
        <v>0.315</v>
      </c>
      <c r="N459" s="5"/>
      <c r="O459" s="5"/>
      <c r="P459" s="5"/>
      <c r="Q459" s="5"/>
      <c r="R459" s="1"/>
      <c r="S459" s="3" t="s">
        <v>308</v>
      </c>
      <c r="T459" s="3">
        <v>0.9</v>
      </c>
      <c r="U459" s="3">
        <v>0.5</v>
      </c>
      <c r="V459" s="3">
        <v>0.6</v>
      </c>
      <c r="W459" s="3">
        <v>0.44</v>
      </c>
      <c r="X459" s="7">
        <v>930.16992200000004</v>
      </c>
      <c r="Y459" s="3">
        <v>4.0000000000000001E-3</v>
      </c>
      <c r="AA459" s="3" t="s">
        <v>308</v>
      </c>
      <c r="AB459" s="3">
        <v>0.3</v>
      </c>
      <c r="AC459" s="6">
        <v>924.21289100000001</v>
      </c>
      <c r="AD459" s="3">
        <v>1E-3</v>
      </c>
      <c r="AE459" s="3">
        <f t="shared" si="49"/>
        <v>0.37</v>
      </c>
      <c r="AF459" s="5"/>
      <c r="AG459" s="5"/>
      <c r="AH459" s="5"/>
      <c r="AI459" s="5"/>
      <c r="AJ459" s="1"/>
      <c r="AK459" s="3" t="s">
        <v>309</v>
      </c>
      <c r="AL459" s="3">
        <v>0.9</v>
      </c>
      <c r="AM459" s="3">
        <v>0.5</v>
      </c>
      <c r="AN459" s="3">
        <v>0.6</v>
      </c>
      <c r="AO459" s="3">
        <v>0.31</v>
      </c>
      <c r="AP459" s="6">
        <v>1180.5083010000001</v>
      </c>
      <c r="AQ459" s="3">
        <v>1.2999999999999999E-2</v>
      </c>
      <c r="AS459" s="3" t="s">
        <v>309</v>
      </c>
      <c r="AT459" s="3">
        <v>0.34</v>
      </c>
      <c r="AU459" s="7">
        <v>1188.2761230000001</v>
      </c>
      <c r="AV459" s="3">
        <v>3.0000000000000001E-3</v>
      </c>
      <c r="AW459" s="3">
        <f t="shared" si="50"/>
        <v>0.32500000000000001</v>
      </c>
      <c r="AX459" s="5"/>
      <c r="AY459" s="5"/>
      <c r="AZ459" s="5"/>
      <c r="BA459" s="5"/>
      <c r="BB459" s="1"/>
      <c r="BC459" s="3" t="s">
        <v>309</v>
      </c>
      <c r="BD459" s="3">
        <v>0.9</v>
      </c>
      <c r="BE459" s="3">
        <v>0.5</v>
      </c>
      <c r="BF459" s="3">
        <v>0.6</v>
      </c>
      <c r="BG459" s="3">
        <v>0.33</v>
      </c>
      <c r="BH459" s="7">
        <v>1169.4304199999999</v>
      </c>
      <c r="BI459" s="3">
        <v>1.6E-2</v>
      </c>
      <c r="BK459" s="3" t="s">
        <v>309</v>
      </c>
      <c r="BL459" s="3">
        <v>0.34</v>
      </c>
      <c r="BM459" s="6">
        <v>1165.0469969999999</v>
      </c>
      <c r="BN459" s="3">
        <v>2E-3</v>
      </c>
      <c r="BO459" s="3">
        <f t="shared" si="51"/>
        <v>0.33500000000000002</v>
      </c>
    </row>
    <row r="460" spans="1:67" x14ac:dyDescent="0.3">
      <c r="A460" s="3" t="s">
        <v>310</v>
      </c>
      <c r="B460" s="3">
        <v>0.9</v>
      </c>
      <c r="C460" s="3">
        <v>0.5</v>
      </c>
      <c r="D460" s="3">
        <v>0.6</v>
      </c>
      <c r="E460" s="3">
        <v>0.3</v>
      </c>
      <c r="F460" s="6">
        <v>911.02453600000001</v>
      </c>
      <c r="G460" s="3">
        <v>4.0000000000000001E-3</v>
      </c>
      <c r="I460" s="3" t="s">
        <v>310</v>
      </c>
      <c r="J460" s="3">
        <v>0.32</v>
      </c>
      <c r="K460" s="7">
        <v>927.34863299999995</v>
      </c>
      <c r="L460" s="3">
        <v>1E-3</v>
      </c>
      <c r="M460" s="3">
        <f t="shared" si="48"/>
        <v>0.31</v>
      </c>
      <c r="N460" s="5"/>
      <c r="O460" s="5"/>
      <c r="P460" s="5"/>
      <c r="Q460" s="5"/>
      <c r="R460" s="1"/>
      <c r="S460" s="3" t="s">
        <v>310</v>
      </c>
      <c r="T460" s="3">
        <v>0.9</v>
      </c>
      <c r="U460" s="3">
        <v>0.5</v>
      </c>
      <c r="V460" s="3">
        <v>0.6</v>
      </c>
      <c r="W460" s="3">
        <v>0.31</v>
      </c>
      <c r="X460" s="6">
        <v>876.787598</v>
      </c>
      <c r="Y460" s="3">
        <v>4.0000000000000001E-3</v>
      </c>
      <c r="AA460" s="3" t="s">
        <v>310</v>
      </c>
      <c r="AB460" s="3">
        <v>0.36</v>
      </c>
      <c r="AC460" s="7">
        <v>893.29852300000005</v>
      </c>
      <c r="AD460" s="3">
        <v>1E-3</v>
      </c>
      <c r="AE460" s="3">
        <f t="shared" si="49"/>
        <v>0.33499999999999996</v>
      </c>
      <c r="AF460" s="5"/>
      <c r="AG460" s="5"/>
      <c r="AH460" s="5"/>
      <c r="AI460" s="5"/>
      <c r="AJ460" s="1"/>
      <c r="AK460" s="3" t="s">
        <v>311</v>
      </c>
      <c r="AL460" s="3">
        <v>0.9</v>
      </c>
      <c r="AM460" s="3">
        <v>0.5</v>
      </c>
      <c r="AN460" s="3">
        <v>0.6</v>
      </c>
      <c r="AO460" s="3">
        <v>0.3</v>
      </c>
      <c r="AP460" s="7">
        <v>1230.4323730000001</v>
      </c>
      <c r="AQ460" s="3">
        <v>1.7000000000000001E-2</v>
      </c>
      <c r="AS460" s="3" t="s">
        <v>311</v>
      </c>
      <c r="AT460" s="3">
        <v>0.3</v>
      </c>
      <c r="AU460" s="6">
        <v>1208.770264</v>
      </c>
      <c r="AV460" s="3">
        <v>3.0000000000000001E-3</v>
      </c>
      <c r="AW460" s="3">
        <f t="shared" si="50"/>
        <v>0.3</v>
      </c>
      <c r="AX460" s="5"/>
      <c r="AY460" s="5"/>
      <c r="AZ460" s="5"/>
      <c r="BA460" s="5"/>
      <c r="BB460" s="1"/>
      <c r="BC460" s="3" t="s">
        <v>311</v>
      </c>
      <c r="BD460" s="3">
        <v>0.9</v>
      </c>
      <c r="BE460" s="3">
        <v>0.5</v>
      </c>
      <c r="BF460" s="3">
        <v>0.6</v>
      </c>
      <c r="BG460" s="3">
        <v>0.31</v>
      </c>
      <c r="BH460" s="6">
        <v>1191.03772</v>
      </c>
      <c r="BI460" s="3">
        <v>1.0999999999999999E-2</v>
      </c>
      <c r="BK460" s="3" t="s">
        <v>311</v>
      </c>
      <c r="BL460" s="3">
        <v>0.31</v>
      </c>
      <c r="BM460" s="7">
        <v>1218.8897710000001</v>
      </c>
      <c r="BN460" s="3">
        <v>1E-3</v>
      </c>
      <c r="BO460" s="3">
        <f t="shared" si="51"/>
        <v>0.31</v>
      </c>
    </row>
    <row r="461" spans="1:67" x14ac:dyDescent="0.3">
      <c r="A461" s="3" t="s">
        <v>312</v>
      </c>
      <c r="B461" s="3">
        <v>0.9</v>
      </c>
      <c r="C461" s="3">
        <v>0.5</v>
      </c>
      <c r="D461" s="3">
        <v>0.6</v>
      </c>
      <c r="E461" s="3">
        <v>0.31</v>
      </c>
      <c r="F461" s="6">
        <v>904.13647500000002</v>
      </c>
      <c r="G461" s="3">
        <v>4.0000000000000001E-3</v>
      </c>
      <c r="I461" s="3" t="s">
        <v>312</v>
      </c>
      <c r="J461" s="3">
        <v>0.31</v>
      </c>
      <c r="K461" s="7">
        <v>912.62164299999995</v>
      </c>
      <c r="L461" s="3">
        <v>1E-3</v>
      </c>
      <c r="M461" s="3">
        <f t="shared" si="48"/>
        <v>0.31</v>
      </c>
      <c r="N461" s="5"/>
      <c r="O461" s="5"/>
      <c r="P461" s="5"/>
      <c r="Q461" s="5"/>
      <c r="R461" s="1"/>
      <c r="S461" s="3" t="s">
        <v>312</v>
      </c>
      <c r="T461" s="3">
        <v>0.9</v>
      </c>
      <c r="U461" s="3">
        <v>0.5</v>
      </c>
      <c r="V461" s="3">
        <v>0.6</v>
      </c>
      <c r="W461" s="3">
        <v>0.31</v>
      </c>
      <c r="X461" s="6">
        <v>867.81793200000004</v>
      </c>
      <c r="Y461" s="3">
        <v>6.0000000000000001E-3</v>
      </c>
      <c r="AA461" s="3" t="s">
        <v>312</v>
      </c>
      <c r="AB461" s="3">
        <v>0.35</v>
      </c>
      <c r="AC461" s="7">
        <v>878.05932600000006</v>
      </c>
      <c r="AD461" s="3">
        <v>0</v>
      </c>
      <c r="AE461" s="3">
        <f t="shared" si="49"/>
        <v>0.32999999999999996</v>
      </c>
      <c r="AF461" s="5"/>
      <c r="AG461" s="5"/>
      <c r="AH461" s="5"/>
      <c r="AI461" s="5"/>
      <c r="AJ461" s="1"/>
      <c r="AK461" s="3" t="s">
        <v>313</v>
      </c>
      <c r="AL461" s="3">
        <v>0.9</v>
      </c>
      <c r="AM461" s="3">
        <v>0.5</v>
      </c>
      <c r="AN461" s="3">
        <v>0.6</v>
      </c>
      <c r="AO461" s="3">
        <v>0.36</v>
      </c>
      <c r="AP461" s="7">
        <v>1189.364624</v>
      </c>
      <c r="AQ461" s="3">
        <v>1.4E-2</v>
      </c>
      <c r="AS461" s="3" t="s">
        <v>313</v>
      </c>
      <c r="AT461" s="3">
        <v>0.3</v>
      </c>
      <c r="AU461" s="6">
        <v>1155.927246</v>
      </c>
      <c r="AV461" s="3">
        <v>2E-3</v>
      </c>
      <c r="AW461" s="3">
        <f t="shared" si="50"/>
        <v>0.32999999999999996</v>
      </c>
      <c r="AX461" s="5"/>
      <c r="AY461" s="5"/>
      <c r="AZ461" s="5"/>
      <c r="BA461" s="5"/>
      <c r="BB461" s="1"/>
      <c r="BC461" s="3" t="s">
        <v>313</v>
      </c>
      <c r="BD461" s="3">
        <v>0.9</v>
      </c>
      <c r="BE461" s="3">
        <v>0.5</v>
      </c>
      <c r="BF461" s="3">
        <v>0.6</v>
      </c>
      <c r="BG461" s="3">
        <v>0.3</v>
      </c>
      <c r="BH461" s="7">
        <v>1189.4600829999999</v>
      </c>
      <c r="BI461" s="3">
        <v>0.01</v>
      </c>
      <c r="BK461" s="3" t="s">
        <v>313</v>
      </c>
      <c r="BL461" s="3">
        <v>0.3</v>
      </c>
      <c r="BM461" s="6">
        <v>1151.5783690000001</v>
      </c>
      <c r="BN461" s="3">
        <v>1E-3</v>
      </c>
      <c r="BO461" s="3">
        <f t="shared" si="51"/>
        <v>0.3</v>
      </c>
    </row>
    <row r="462" spans="1:67" x14ac:dyDescent="0.3">
      <c r="A462" s="9" t="s">
        <v>316</v>
      </c>
      <c r="E462" s="9">
        <f>AVERAGE(E432:E461)</f>
        <v>0.3166666666666666</v>
      </c>
      <c r="I462" s="9" t="s">
        <v>316</v>
      </c>
      <c r="J462" s="9">
        <f>AVERAGE(J432:J461)</f>
        <v>0.31966666666666665</v>
      </c>
      <c r="R462" s="1"/>
      <c r="S462" s="9" t="s">
        <v>316</v>
      </c>
      <c r="W462" s="9">
        <f>AVERAGE(W432:W461)</f>
        <v>0.32700000000000001</v>
      </c>
      <c r="AA462" s="9" t="s">
        <v>316</v>
      </c>
      <c r="AB462" s="9">
        <f>AVERAGE(AB432:AB461)</f>
        <v>0.31999999999999995</v>
      </c>
      <c r="AJ462" s="1"/>
      <c r="AK462" s="9" t="s">
        <v>316</v>
      </c>
      <c r="AO462" s="9">
        <f>AVERAGE(AO432:AO461)</f>
        <v>0.31533333333333324</v>
      </c>
      <c r="AS462" s="9" t="s">
        <v>316</v>
      </c>
      <c r="AT462" s="9">
        <f>AVERAGE(AT432:AT461)</f>
        <v>0.30933333333333324</v>
      </c>
      <c r="BB462" s="1"/>
      <c r="BC462" s="9" t="s">
        <v>316</v>
      </c>
      <c r="BG462" s="9">
        <f>AVERAGE(BG432:BG461)</f>
        <v>0.3143333333333333</v>
      </c>
      <c r="BK462" s="9" t="s">
        <v>316</v>
      </c>
      <c r="BL462" s="9">
        <f>AVERAGE(BL432:BL461)</f>
        <v>0.312</v>
      </c>
    </row>
    <row r="463" spans="1:67" x14ac:dyDescent="0.3">
      <c r="R463" s="1"/>
      <c r="AJ463" s="1"/>
      <c r="BB463" s="1"/>
    </row>
    <row r="464" spans="1:67" x14ac:dyDescent="0.3">
      <c r="R464" s="1"/>
      <c r="AJ464" s="1"/>
      <c r="BB464" s="1"/>
    </row>
    <row r="465" spans="1:71" x14ac:dyDescent="0.3">
      <c r="A465" s="19" t="s">
        <v>314</v>
      </c>
      <c r="B465" s="19"/>
      <c r="C465" s="19"/>
      <c r="D465" s="19"/>
      <c r="E465" s="19"/>
      <c r="F465" s="19"/>
      <c r="G465" s="19"/>
      <c r="I465" s="19" t="s">
        <v>315</v>
      </c>
      <c r="J465" s="19"/>
      <c r="K465" s="19"/>
      <c r="L465" s="19"/>
      <c r="M465" s="19"/>
      <c r="N465" s="11"/>
      <c r="O465" s="11"/>
      <c r="P465" s="11"/>
      <c r="Q465" s="11"/>
      <c r="R465" s="1"/>
      <c r="S465" s="19" t="s">
        <v>314</v>
      </c>
      <c r="T465" s="19"/>
      <c r="U465" s="19"/>
      <c r="V465" s="19"/>
      <c r="W465" s="19"/>
      <c r="X465" s="19"/>
      <c r="Y465" s="19"/>
      <c r="AA465" s="19" t="s">
        <v>315</v>
      </c>
      <c r="AB465" s="19"/>
      <c r="AC465" s="19"/>
      <c r="AD465" s="19"/>
      <c r="AE465" s="19"/>
      <c r="AF465" s="11"/>
      <c r="AG465" s="11"/>
      <c r="AH465" s="11"/>
      <c r="AI465" s="11"/>
      <c r="AJ465" s="1"/>
      <c r="AK465" s="19" t="s">
        <v>314</v>
      </c>
      <c r="AL465" s="19"/>
      <c r="AM465" s="19"/>
      <c r="AN465" s="19"/>
      <c r="AO465" s="19"/>
      <c r="AP465" s="19"/>
      <c r="AQ465" s="19"/>
      <c r="AS465" s="19" t="s">
        <v>315</v>
      </c>
      <c r="AT465" s="19"/>
      <c r="AU465" s="19"/>
      <c r="AV465" s="19"/>
      <c r="AW465" s="19"/>
      <c r="AX465" s="11"/>
      <c r="AY465" s="11"/>
      <c r="AZ465" s="11"/>
      <c r="BA465" s="11"/>
      <c r="BB465" s="1"/>
      <c r="BC465" s="19" t="s">
        <v>314</v>
      </c>
      <c r="BD465" s="19"/>
      <c r="BE465" s="19"/>
      <c r="BF465" s="19"/>
      <c r="BG465" s="19"/>
      <c r="BH465" s="19"/>
      <c r="BI465" s="19"/>
      <c r="BK465" s="19" t="s">
        <v>315</v>
      </c>
      <c r="BL465" s="19"/>
      <c r="BM465" s="19"/>
      <c r="BN465" s="19"/>
      <c r="BO465" s="19"/>
    </row>
    <row r="466" spans="1:71" x14ac:dyDescent="0.3">
      <c r="A466" s="19" t="s">
        <v>70</v>
      </c>
      <c r="B466" s="19"/>
      <c r="C466" s="19"/>
      <c r="D466" s="19"/>
      <c r="E466" s="19"/>
      <c r="F466" s="19"/>
      <c r="G466" s="19"/>
      <c r="I466" s="19" t="s">
        <v>70</v>
      </c>
      <c r="J466" s="19"/>
      <c r="K466" s="19"/>
      <c r="L466" s="19"/>
      <c r="M466" s="19"/>
      <c r="N466" s="11"/>
      <c r="O466" s="11"/>
      <c r="P466" s="11"/>
      <c r="Q466" s="11"/>
      <c r="R466" s="1"/>
      <c r="S466" s="19" t="s">
        <v>71</v>
      </c>
      <c r="T466" s="19"/>
      <c r="U466" s="19"/>
      <c r="V466" s="19"/>
      <c r="W466" s="19"/>
      <c r="X466" s="19"/>
      <c r="Y466" s="19"/>
      <c r="AA466" s="19" t="s">
        <v>71</v>
      </c>
      <c r="AB466" s="19"/>
      <c r="AC466" s="19"/>
      <c r="AD466" s="19"/>
      <c r="AE466" s="19"/>
      <c r="AF466" s="11"/>
      <c r="AG466" s="11"/>
      <c r="AH466" s="11"/>
      <c r="AI466" s="11"/>
      <c r="AJ466" s="1"/>
      <c r="AK466" s="19" t="s">
        <v>70</v>
      </c>
      <c r="AL466" s="19"/>
      <c r="AM466" s="19"/>
      <c r="AN466" s="19"/>
      <c r="AO466" s="19"/>
      <c r="AP466" s="19"/>
      <c r="AQ466" s="19"/>
      <c r="AS466" s="19" t="s">
        <v>70</v>
      </c>
      <c r="AT466" s="19"/>
      <c r="AU466" s="19"/>
      <c r="AV466" s="19"/>
      <c r="AW466" s="19"/>
      <c r="BB466" s="1"/>
      <c r="BC466" s="19" t="s">
        <v>71</v>
      </c>
      <c r="BD466" s="19"/>
      <c r="BE466" s="19"/>
      <c r="BF466" s="19"/>
      <c r="BG466" s="19"/>
      <c r="BH466" s="19"/>
      <c r="BI466" s="19"/>
      <c r="BK466" s="19" t="s">
        <v>71</v>
      </c>
      <c r="BL466" s="19"/>
      <c r="BM466" s="19"/>
      <c r="BN466" s="19"/>
      <c r="BO466" s="19"/>
    </row>
    <row r="467" spans="1:71" x14ac:dyDescent="0.3">
      <c r="A467" s="3" t="s">
        <v>2</v>
      </c>
      <c r="B467" s="3" t="s">
        <v>3</v>
      </c>
      <c r="C467" s="3" t="s">
        <v>4</v>
      </c>
      <c r="D467" s="3" t="s">
        <v>5</v>
      </c>
      <c r="E467" s="3" t="s">
        <v>6</v>
      </c>
      <c r="F467" s="3" t="s">
        <v>7</v>
      </c>
      <c r="G467" s="3" t="s">
        <v>8</v>
      </c>
      <c r="I467" s="3" t="s">
        <v>2</v>
      </c>
      <c r="J467" s="3" t="s">
        <v>6</v>
      </c>
      <c r="K467" s="3" t="s">
        <v>7</v>
      </c>
      <c r="L467" s="3" t="s">
        <v>8</v>
      </c>
      <c r="M467" s="3" t="s">
        <v>9</v>
      </c>
      <c r="N467" s="3" t="s">
        <v>322</v>
      </c>
      <c r="O467" s="3" t="s">
        <v>323</v>
      </c>
      <c r="P467" s="3" t="s">
        <v>322</v>
      </c>
      <c r="Q467" s="3" t="s">
        <v>323</v>
      </c>
      <c r="R467" s="1"/>
      <c r="S467" s="3" t="s">
        <v>2</v>
      </c>
      <c r="T467" s="3" t="s">
        <v>3</v>
      </c>
      <c r="U467" s="3" t="s">
        <v>4</v>
      </c>
      <c r="V467" s="3" t="s">
        <v>5</v>
      </c>
      <c r="W467" s="3" t="s">
        <v>6</v>
      </c>
      <c r="X467" s="3" t="s">
        <v>7</v>
      </c>
      <c r="Y467" s="3" t="s">
        <v>8</v>
      </c>
      <c r="AA467" s="3" t="s">
        <v>2</v>
      </c>
      <c r="AB467" s="3" t="s">
        <v>6</v>
      </c>
      <c r="AC467" s="3" t="s">
        <v>7</v>
      </c>
      <c r="AD467" s="3" t="s">
        <v>8</v>
      </c>
      <c r="AE467" s="3" t="s">
        <v>9</v>
      </c>
      <c r="AF467" s="3" t="s">
        <v>322</v>
      </c>
      <c r="AG467" s="3" t="s">
        <v>323</v>
      </c>
      <c r="AH467" s="3" t="s">
        <v>322</v>
      </c>
      <c r="AI467" s="3" t="s">
        <v>323</v>
      </c>
      <c r="AJ467" s="1"/>
      <c r="AK467" s="3" t="s">
        <v>2</v>
      </c>
      <c r="AL467" s="3" t="s">
        <v>3</v>
      </c>
      <c r="AM467" s="3" t="s">
        <v>4</v>
      </c>
      <c r="AN467" s="3" t="s">
        <v>5</v>
      </c>
      <c r="AO467" s="3" t="s">
        <v>6</v>
      </c>
      <c r="AP467" s="3" t="s">
        <v>7</v>
      </c>
      <c r="AQ467" s="3" t="s">
        <v>8</v>
      </c>
      <c r="AS467" s="3" t="s">
        <v>2</v>
      </c>
      <c r="AT467" s="3" t="s">
        <v>6</v>
      </c>
      <c r="AU467" s="3" t="s">
        <v>7</v>
      </c>
      <c r="AV467" s="3" t="s">
        <v>8</v>
      </c>
      <c r="AW467" s="3" t="s">
        <v>9</v>
      </c>
      <c r="AX467" s="3" t="s">
        <v>322</v>
      </c>
      <c r="AY467" s="3" t="s">
        <v>323</v>
      </c>
      <c r="AZ467" s="3" t="s">
        <v>322</v>
      </c>
      <c r="BA467" s="3" t="s">
        <v>323</v>
      </c>
      <c r="BB467" s="1"/>
      <c r="BC467" s="3" t="s">
        <v>2</v>
      </c>
      <c r="BD467" s="3" t="s">
        <v>3</v>
      </c>
      <c r="BE467" s="3" t="s">
        <v>4</v>
      </c>
      <c r="BF467" s="3" t="s">
        <v>5</v>
      </c>
      <c r="BG467" s="3" t="s">
        <v>6</v>
      </c>
      <c r="BH467" s="3" t="s">
        <v>7</v>
      </c>
      <c r="BI467" s="3" t="s">
        <v>8</v>
      </c>
      <c r="BK467" s="3" t="s">
        <v>2</v>
      </c>
      <c r="BL467" s="3" t="s">
        <v>6</v>
      </c>
      <c r="BM467" s="3" t="s">
        <v>7</v>
      </c>
      <c r="BN467" s="3" t="s">
        <v>8</v>
      </c>
      <c r="BO467" s="3" t="s">
        <v>9</v>
      </c>
      <c r="BP467" s="3" t="s">
        <v>322</v>
      </c>
      <c r="BQ467" s="3" t="s">
        <v>323</v>
      </c>
      <c r="BR467" s="3" t="s">
        <v>322</v>
      </c>
      <c r="BS467" s="3" t="s">
        <v>323</v>
      </c>
    </row>
    <row r="468" spans="1:71" x14ac:dyDescent="0.3">
      <c r="A468" s="3" t="s">
        <v>254</v>
      </c>
      <c r="B468" s="3">
        <v>0.9</v>
      </c>
      <c r="C468" s="3">
        <v>0.5</v>
      </c>
      <c r="D468" s="3">
        <v>0.6</v>
      </c>
      <c r="E468" s="3">
        <v>0.31</v>
      </c>
      <c r="F468" s="6">
        <v>670.92675799999995</v>
      </c>
      <c r="G468" s="3">
        <v>3.0000000000000001E-3</v>
      </c>
      <c r="I468" s="3" t="s">
        <v>254</v>
      </c>
      <c r="J468" s="3">
        <v>0.3</v>
      </c>
      <c r="K468" s="7">
        <v>676.65917999999999</v>
      </c>
      <c r="L468" s="3">
        <v>0</v>
      </c>
      <c r="M468" s="3">
        <f t="shared" ref="M468:M497" si="52">AVERAGE(E468,J468)</f>
        <v>0.30499999999999999</v>
      </c>
      <c r="N468" s="4" t="s">
        <v>320</v>
      </c>
      <c r="O468" s="4" t="s">
        <v>320</v>
      </c>
      <c r="P468" s="4" t="s">
        <v>321</v>
      </c>
      <c r="Q468" s="4" t="s">
        <v>321</v>
      </c>
      <c r="R468" s="1"/>
      <c r="S468" s="3" t="s">
        <v>254</v>
      </c>
      <c r="T468" s="3">
        <v>0.9</v>
      </c>
      <c r="U468" s="3">
        <v>0.5</v>
      </c>
      <c r="V468" s="3">
        <v>0.6</v>
      </c>
      <c r="W468" s="3">
        <v>0.32</v>
      </c>
      <c r="X468" s="6">
        <v>656.78845200000001</v>
      </c>
      <c r="Y468" s="3">
        <v>3.0000000000000001E-3</v>
      </c>
      <c r="AA468" s="3" t="s">
        <v>254</v>
      </c>
      <c r="AB468" s="3">
        <v>0.33</v>
      </c>
      <c r="AC468" s="7">
        <v>670.06024200000002</v>
      </c>
      <c r="AD468" s="3">
        <v>1E-3</v>
      </c>
      <c r="AE468" s="3">
        <f t="shared" ref="AE468:AE497" si="53">AVERAGE(W468,AB468)</f>
        <v>0.32500000000000001</v>
      </c>
      <c r="AF468" s="4" t="s">
        <v>320</v>
      </c>
      <c r="AG468" s="4" t="s">
        <v>320</v>
      </c>
      <c r="AH468" s="4" t="s">
        <v>321</v>
      </c>
      <c r="AI468" s="4" t="s">
        <v>321</v>
      </c>
      <c r="AJ468" s="1"/>
      <c r="AK468" s="3" t="s">
        <v>255</v>
      </c>
      <c r="AL468" s="3">
        <v>0.9</v>
      </c>
      <c r="AM468" s="3">
        <v>0.5</v>
      </c>
      <c r="AN468" s="3">
        <v>0.6</v>
      </c>
      <c r="AO468" s="3">
        <v>0.31</v>
      </c>
      <c r="AP468" s="6">
        <v>1029.7028809999999</v>
      </c>
      <c r="AQ468" s="3">
        <v>8.9999999999999993E-3</v>
      </c>
      <c r="AS468" s="3" t="s">
        <v>255</v>
      </c>
      <c r="AT468" s="3">
        <v>0.31</v>
      </c>
      <c r="AU468" s="7">
        <v>1051.3756100000001</v>
      </c>
      <c r="AV468" s="3">
        <v>1E-3</v>
      </c>
      <c r="AW468" s="3">
        <f t="shared" ref="AW468:AW497" si="54">AVERAGE(AO468,AT468)</f>
        <v>0.31</v>
      </c>
      <c r="AX468" s="4" t="s">
        <v>320</v>
      </c>
      <c r="AY468" s="4" t="s">
        <v>320</v>
      </c>
      <c r="AZ468" s="4" t="s">
        <v>321</v>
      </c>
      <c r="BA468" s="4" t="s">
        <v>321</v>
      </c>
      <c r="BB468" s="1"/>
      <c r="BC468" s="3" t="s">
        <v>255</v>
      </c>
      <c r="BD468" s="3">
        <v>0.9</v>
      </c>
      <c r="BE468" s="3">
        <v>0.5</v>
      </c>
      <c r="BF468" s="3">
        <v>0.6</v>
      </c>
      <c r="BG468" s="3">
        <v>0.3</v>
      </c>
      <c r="BH468" s="7">
        <v>1013.872009</v>
      </c>
      <c r="BI468" s="3">
        <v>8.9999999999999993E-3</v>
      </c>
      <c r="BK468" s="3" t="s">
        <v>255</v>
      </c>
      <c r="BL468" s="3">
        <v>0.31</v>
      </c>
      <c r="BM468" s="6">
        <v>994.90521200000001</v>
      </c>
      <c r="BN468" s="3">
        <v>1E-3</v>
      </c>
      <c r="BO468" s="3">
        <f t="shared" ref="BO468:BO497" si="55">AVERAGE(BG468,BL468)</f>
        <v>0.30499999999999999</v>
      </c>
      <c r="BP468" s="4" t="s">
        <v>320</v>
      </c>
      <c r="BQ468" s="4" t="s">
        <v>320</v>
      </c>
      <c r="BR468" s="4" t="s">
        <v>321</v>
      </c>
      <c r="BS468" s="4" t="s">
        <v>321</v>
      </c>
    </row>
    <row r="469" spans="1:71" x14ac:dyDescent="0.3">
      <c r="A469" s="3" t="s">
        <v>256</v>
      </c>
      <c r="B469" s="3">
        <v>0.9</v>
      </c>
      <c r="C469" s="3">
        <v>0.5</v>
      </c>
      <c r="D469" s="3">
        <v>0.6</v>
      </c>
      <c r="E469" s="3">
        <v>0.3</v>
      </c>
      <c r="F469" s="6">
        <v>686.52032499999996</v>
      </c>
      <c r="G469" s="3">
        <v>4.0000000000000001E-3</v>
      </c>
      <c r="I469" s="3" t="s">
        <v>256</v>
      </c>
      <c r="J469" s="3">
        <v>0.3</v>
      </c>
      <c r="K469" s="7">
        <v>708.96130400000004</v>
      </c>
      <c r="L469" s="3">
        <v>0</v>
      </c>
      <c r="M469" s="3">
        <f t="shared" si="52"/>
        <v>0.3</v>
      </c>
      <c r="N469" s="3">
        <f>COUNT(F468:F469,F473:F474,F479,F481,F484:F486,F489:F490,F492,F495:F497)</f>
        <v>15</v>
      </c>
      <c r="O469" s="3">
        <f>30-N469</f>
        <v>15</v>
      </c>
      <c r="P469" s="3">
        <f>COUNT(K470:K472,K475:K478,K480,K482:K483,K486:K488,K490:K491,K493:K494)</f>
        <v>17</v>
      </c>
      <c r="Q469" s="3">
        <f>30-P469</f>
        <v>13</v>
      </c>
      <c r="R469" s="1"/>
      <c r="S469" s="3" t="s">
        <v>256</v>
      </c>
      <c r="T469" s="3">
        <v>0.9</v>
      </c>
      <c r="U469" s="3">
        <v>0.5</v>
      </c>
      <c r="V469" s="3">
        <v>0.6</v>
      </c>
      <c r="W469" s="3">
        <v>0.33</v>
      </c>
      <c r="X469" s="6">
        <v>688.06756600000006</v>
      </c>
      <c r="Y469" s="3">
        <v>2E-3</v>
      </c>
      <c r="AA469" s="3" t="s">
        <v>256</v>
      </c>
      <c r="AB469" s="3">
        <v>0.3</v>
      </c>
      <c r="AC469" s="7">
        <v>694.08252000000005</v>
      </c>
      <c r="AD469" s="3">
        <v>1E-3</v>
      </c>
      <c r="AE469" s="3">
        <f t="shared" si="53"/>
        <v>0.315</v>
      </c>
      <c r="AF469" s="3">
        <f>COUNT(X468:X469,X473,X477,X479:X484,X488:X489,X493:X497)</f>
        <v>17</v>
      </c>
      <c r="AG469" s="3">
        <f>30-AF469</f>
        <v>13</v>
      </c>
      <c r="AH469" s="3">
        <f>COUNT(AC470:AC472,AC474:AC476,AC478,AC485:AC487,AC490:AC492)</f>
        <v>13</v>
      </c>
      <c r="AI469" s="3">
        <f>30-AH469</f>
        <v>17</v>
      </c>
      <c r="AJ469" s="1"/>
      <c r="AK469" s="3" t="s">
        <v>257</v>
      </c>
      <c r="AL469" s="3">
        <v>0.9</v>
      </c>
      <c r="AM469" s="3">
        <v>0.5</v>
      </c>
      <c r="AN469" s="3">
        <v>0.6</v>
      </c>
      <c r="AO469" s="3">
        <v>0.3</v>
      </c>
      <c r="AP469" s="7">
        <v>1010.942139</v>
      </c>
      <c r="AQ469" s="3">
        <v>1.4999999999999999E-2</v>
      </c>
      <c r="AS469" s="3" t="s">
        <v>257</v>
      </c>
      <c r="AT469" s="3">
        <v>0.32</v>
      </c>
      <c r="AU469" s="6">
        <v>1006.660828</v>
      </c>
      <c r="AV469" s="3">
        <v>1E-3</v>
      </c>
      <c r="AW469" s="3">
        <f t="shared" si="54"/>
        <v>0.31</v>
      </c>
      <c r="AX469" s="3">
        <f>COUNT(AP468,AP470:AP471,AP473,AP475,AP477,AP479,AP481:AP483,AP485,AP488,AP493:AP495)</f>
        <v>15</v>
      </c>
      <c r="AY469" s="3">
        <f>30-AX469</f>
        <v>15</v>
      </c>
      <c r="AZ469" s="3">
        <f>COUNT(AU469,AU472,AU474,AU476,AU478,AU480,AU484,AU486:AU487,AU489:AU492,AU496:AU497)</f>
        <v>15</v>
      </c>
      <c r="BA469" s="3">
        <f>30-AZ469</f>
        <v>15</v>
      </c>
      <c r="BB469" s="1"/>
      <c r="BC469" s="3" t="s">
        <v>257</v>
      </c>
      <c r="BD469" s="3">
        <v>0.9</v>
      </c>
      <c r="BE469" s="3">
        <v>0.5</v>
      </c>
      <c r="BF469" s="3">
        <v>0.6</v>
      </c>
      <c r="BG469" s="3">
        <v>0.3</v>
      </c>
      <c r="BH469" s="6">
        <v>967.50408900000002</v>
      </c>
      <c r="BI469" s="3">
        <v>8.9999999999999993E-3</v>
      </c>
      <c r="BK469" s="3" t="s">
        <v>257</v>
      </c>
      <c r="BL469" s="3">
        <v>0.31</v>
      </c>
      <c r="BM469" s="7">
        <v>979.55639599999995</v>
      </c>
      <c r="BN469" s="3">
        <v>0</v>
      </c>
      <c r="BO469" s="3">
        <f t="shared" si="55"/>
        <v>0.30499999999999999</v>
      </c>
      <c r="BP469" s="3">
        <f>COUNT(BH469,BH472:BH473,BH475,BH478:BH480,BH483,BH485:BH489,BH493:BH494,BH497)</f>
        <v>16</v>
      </c>
      <c r="BQ469" s="3">
        <f>30-BP469</f>
        <v>14</v>
      </c>
      <c r="BR469" s="3">
        <f>COUNT(BM468,BM470:BM471,BM474,BM476:BM477,BM481:BM482,BM484,BM490:BM492,BM495:BM496)</f>
        <v>14</v>
      </c>
      <c r="BS469" s="3">
        <f>30-BR469</f>
        <v>16</v>
      </c>
    </row>
    <row r="470" spans="1:71" x14ac:dyDescent="0.3">
      <c r="A470" s="3" t="s">
        <v>258</v>
      </c>
      <c r="B470" s="3">
        <v>0.9</v>
      </c>
      <c r="C470" s="3">
        <v>0.5</v>
      </c>
      <c r="D470" s="3">
        <v>0.6</v>
      </c>
      <c r="E470" s="3">
        <v>0.33</v>
      </c>
      <c r="F470" s="7">
        <v>688.43078600000001</v>
      </c>
      <c r="G470" s="3">
        <v>3.0000000000000001E-3</v>
      </c>
      <c r="I470" s="3" t="s">
        <v>258</v>
      </c>
      <c r="J470" s="3">
        <v>0.33</v>
      </c>
      <c r="K470" s="6">
        <v>676.89068599999996</v>
      </c>
      <c r="L470" s="3">
        <v>1E-3</v>
      </c>
      <c r="M470" s="3">
        <f t="shared" si="52"/>
        <v>0.33</v>
      </c>
      <c r="N470" s="5"/>
      <c r="O470" s="5"/>
      <c r="P470" s="5"/>
      <c r="Q470" s="5"/>
      <c r="R470" s="1"/>
      <c r="S470" s="3" t="s">
        <v>258</v>
      </c>
      <c r="T470" s="3">
        <v>0.9</v>
      </c>
      <c r="U470" s="3">
        <v>0.5</v>
      </c>
      <c r="V470" s="3">
        <v>0.6</v>
      </c>
      <c r="W470" s="3">
        <v>0.3</v>
      </c>
      <c r="X470" s="7">
        <v>665.29711899999995</v>
      </c>
      <c r="Y470" s="3">
        <v>2E-3</v>
      </c>
      <c r="AA470" s="3" t="s">
        <v>258</v>
      </c>
      <c r="AB470" s="3">
        <v>0.32</v>
      </c>
      <c r="AC470" s="6">
        <v>662.74267599999996</v>
      </c>
      <c r="AD470" s="3">
        <v>0</v>
      </c>
      <c r="AE470" s="3">
        <f t="shared" si="53"/>
        <v>0.31</v>
      </c>
      <c r="AF470" s="5"/>
      <c r="AG470" s="5"/>
      <c r="AH470" s="5"/>
      <c r="AI470" s="5"/>
      <c r="AJ470" s="1"/>
      <c r="AK470" s="3" t="s">
        <v>259</v>
      </c>
      <c r="AL470" s="3">
        <v>0.9</v>
      </c>
      <c r="AM470" s="3">
        <v>0.5</v>
      </c>
      <c r="AN470" s="3">
        <v>0.6</v>
      </c>
      <c r="AO470" s="3">
        <v>0.31</v>
      </c>
      <c r="AP470" s="6">
        <v>1011.5105589999999</v>
      </c>
      <c r="AQ470" s="3">
        <v>0.01</v>
      </c>
      <c r="AS470" s="3" t="s">
        <v>259</v>
      </c>
      <c r="AT470" s="3">
        <v>0.3</v>
      </c>
      <c r="AU470" s="7">
        <v>1030.240967</v>
      </c>
      <c r="AV470" s="3">
        <v>1E-3</v>
      </c>
      <c r="AW470" s="3">
        <f t="shared" si="54"/>
        <v>0.30499999999999999</v>
      </c>
      <c r="AX470" s="5"/>
      <c r="AY470" s="5"/>
      <c r="AZ470" s="5"/>
      <c r="BA470" s="5"/>
      <c r="BB470" s="1"/>
      <c r="BC470" s="3" t="s">
        <v>259</v>
      </c>
      <c r="BD470" s="3">
        <v>0.9</v>
      </c>
      <c r="BE470" s="3">
        <v>0.5</v>
      </c>
      <c r="BF470" s="3">
        <v>0.6</v>
      </c>
      <c r="BG470" s="3">
        <v>0.42</v>
      </c>
      <c r="BH470" s="7">
        <v>1008.706726</v>
      </c>
      <c r="BI470" s="3">
        <v>8.0000000000000002E-3</v>
      </c>
      <c r="BK470" s="3" t="s">
        <v>259</v>
      </c>
      <c r="BL470" s="3">
        <v>0.3</v>
      </c>
      <c r="BM470" s="6">
        <v>969.76129200000003</v>
      </c>
      <c r="BN470" s="3">
        <v>0</v>
      </c>
      <c r="BO470" s="3">
        <f t="shared" si="55"/>
        <v>0.36</v>
      </c>
    </row>
    <row r="471" spans="1:71" x14ac:dyDescent="0.3">
      <c r="A471" s="3" t="s">
        <v>260</v>
      </c>
      <c r="B471" s="3">
        <v>0.9</v>
      </c>
      <c r="C471" s="3">
        <v>0.5</v>
      </c>
      <c r="D471" s="3">
        <v>0.6</v>
      </c>
      <c r="E471" s="3">
        <v>0.32</v>
      </c>
      <c r="F471" s="7">
        <v>716.754639</v>
      </c>
      <c r="G471" s="3">
        <v>3.0000000000000001E-3</v>
      </c>
      <c r="I471" s="3" t="s">
        <v>260</v>
      </c>
      <c r="J471" s="3">
        <v>0.3</v>
      </c>
      <c r="K471" s="6">
        <v>702.12097200000005</v>
      </c>
      <c r="L471" s="3">
        <v>0</v>
      </c>
      <c r="M471" s="3">
        <f t="shared" si="52"/>
        <v>0.31</v>
      </c>
      <c r="N471" s="5"/>
      <c r="O471" s="5"/>
      <c r="P471" s="5"/>
      <c r="Q471" s="5"/>
      <c r="R471" s="1"/>
      <c r="S471" s="3" t="s">
        <v>260</v>
      </c>
      <c r="T471" s="3">
        <v>0.9</v>
      </c>
      <c r="U471" s="3">
        <v>0.5</v>
      </c>
      <c r="V471" s="3">
        <v>0.6</v>
      </c>
      <c r="W471" s="3">
        <v>0.31</v>
      </c>
      <c r="X471" s="7">
        <v>701.87750200000005</v>
      </c>
      <c r="Y471" s="3">
        <v>3.0000000000000001E-3</v>
      </c>
      <c r="AA471" s="3" t="s">
        <v>260</v>
      </c>
      <c r="AB471" s="3">
        <v>0.3</v>
      </c>
      <c r="AC471" s="6">
        <v>690.99792500000001</v>
      </c>
      <c r="AD471" s="3">
        <v>1E-3</v>
      </c>
      <c r="AE471" s="3">
        <f t="shared" si="53"/>
        <v>0.30499999999999999</v>
      </c>
      <c r="AF471" s="5"/>
      <c r="AG471" s="5"/>
      <c r="AH471" s="5"/>
      <c r="AI471" s="5"/>
      <c r="AJ471" s="1"/>
      <c r="AK471" s="3" t="s">
        <v>261</v>
      </c>
      <c r="AL471" s="3">
        <v>0.9</v>
      </c>
      <c r="AM471" s="3">
        <v>0.5</v>
      </c>
      <c r="AN471" s="3">
        <v>0.6</v>
      </c>
      <c r="AO471" s="3">
        <v>0.3</v>
      </c>
      <c r="AP471" s="6">
        <v>995.90124500000002</v>
      </c>
      <c r="AQ471" s="3">
        <v>1.2E-2</v>
      </c>
      <c r="AS471" s="3" t="s">
        <v>261</v>
      </c>
      <c r="AT471" s="3">
        <v>0.33</v>
      </c>
      <c r="AU471" s="7">
        <v>996.024719</v>
      </c>
      <c r="AV471" s="3">
        <v>1E-3</v>
      </c>
      <c r="AW471" s="3">
        <f t="shared" si="54"/>
        <v>0.315</v>
      </c>
      <c r="AX471" s="5"/>
      <c r="AY471" s="5"/>
      <c r="AZ471" s="5"/>
      <c r="BA471" s="5"/>
      <c r="BB471" s="1"/>
      <c r="BC471" s="3" t="s">
        <v>261</v>
      </c>
      <c r="BD471" s="3">
        <v>0.9</v>
      </c>
      <c r="BE471" s="3">
        <v>0.5</v>
      </c>
      <c r="BF471" s="3">
        <v>0.6</v>
      </c>
      <c r="BG471" s="3">
        <v>0.33</v>
      </c>
      <c r="BH471" s="7">
        <v>950.37536599999999</v>
      </c>
      <c r="BI471" s="3">
        <v>8.0000000000000002E-3</v>
      </c>
      <c r="BK471" s="3" t="s">
        <v>261</v>
      </c>
      <c r="BL471" s="3">
        <v>0.31</v>
      </c>
      <c r="BM471" s="6">
        <v>943.78021200000001</v>
      </c>
      <c r="BN471" s="3">
        <v>0</v>
      </c>
      <c r="BO471" s="3">
        <f t="shared" si="55"/>
        <v>0.32</v>
      </c>
    </row>
    <row r="472" spans="1:71" x14ac:dyDescent="0.3">
      <c r="A472" s="3" t="s">
        <v>262</v>
      </c>
      <c r="B472" s="3">
        <v>0.9</v>
      </c>
      <c r="C472" s="3">
        <v>0.5</v>
      </c>
      <c r="D472" s="3">
        <v>0.6</v>
      </c>
      <c r="E472" s="3">
        <v>0.3</v>
      </c>
      <c r="F472" s="7">
        <v>753.54058799999996</v>
      </c>
      <c r="G472" s="3">
        <v>4.0000000000000001E-3</v>
      </c>
      <c r="I472" s="3" t="s">
        <v>262</v>
      </c>
      <c r="J472" s="3">
        <v>0.32</v>
      </c>
      <c r="K472" s="6">
        <v>740.31140100000005</v>
      </c>
      <c r="L472" s="3">
        <v>1E-3</v>
      </c>
      <c r="M472" s="3">
        <f t="shared" si="52"/>
        <v>0.31</v>
      </c>
      <c r="N472" s="5"/>
      <c r="O472" s="5"/>
      <c r="P472" s="5"/>
      <c r="Q472" s="5"/>
      <c r="R472" s="1"/>
      <c r="S472" s="3" t="s">
        <v>262</v>
      </c>
      <c r="T472" s="3">
        <v>0.9</v>
      </c>
      <c r="U472" s="3">
        <v>0.5</v>
      </c>
      <c r="V472" s="3">
        <v>0.6</v>
      </c>
      <c r="W472" s="3">
        <v>0.3</v>
      </c>
      <c r="X472" s="7">
        <v>737.22241199999996</v>
      </c>
      <c r="Y472" s="3">
        <v>3.0000000000000001E-3</v>
      </c>
      <c r="AA472" s="3" t="s">
        <v>262</v>
      </c>
      <c r="AB472" s="3">
        <v>0.33</v>
      </c>
      <c r="AC472" s="6">
        <v>722.02923599999997</v>
      </c>
      <c r="AD472" s="3">
        <v>0</v>
      </c>
      <c r="AE472" s="3">
        <f t="shared" si="53"/>
        <v>0.315</v>
      </c>
      <c r="AF472" s="5"/>
      <c r="AG472" s="5"/>
      <c r="AH472" s="5"/>
      <c r="AI472" s="5"/>
      <c r="AJ472" s="1"/>
      <c r="AK472" s="3" t="s">
        <v>263</v>
      </c>
      <c r="AL472" s="3">
        <v>0.9</v>
      </c>
      <c r="AM472" s="3">
        <v>0.5</v>
      </c>
      <c r="AN472" s="3">
        <v>0.6</v>
      </c>
      <c r="AO472" s="3">
        <v>0.3</v>
      </c>
      <c r="AP472" s="7">
        <v>1019.43042</v>
      </c>
      <c r="AQ472" s="3">
        <v>8.0000000000000002E-3</v>
      </c>
      <c r="AS472" s="3" t="s">
        <v>263</v>
      </c>
      <c r="AT472" s="3">
        <v>0.3</v>
      </c>
      <c r="AU472" s="6">
        <v>1012.313843</v>
      </c>
      <c r="AV472" s="3">
        <v>1E-3</v>
      </c>
      <c r="AW472" s="3">
        <f t="shared" si="54"/>
        <v>0.3</v>
      </c>
      <c r="AX472" s="5"/>
      <c r="AY472" s="5"/>
      <c r="AZ472" s="5"/>
      <c r="BA472" s="5"/>
      <c r="BB472" s="1"/>
      <c r="BC472" s="3" t="s">
        <v>263</v>
      </c>
      <c r="BD472" s="3">
        <v>0.9</v>
      </c>
      <c r="BE472" s="3">
        <v>0.5</v>
      </c>
      <c r="BF472" s="3">
        <v>0.6</v>
      </c>
      <c r="BG472" s="3">
        <v>0.31</v>
      </c>
      <c r="BH472" s="6">
        <v>1001.333923</v>
      </c>
      <c r="BI472" s="3">
        <v>8.0000000000000002E-3</v>
      </c>
      <c r="BK472" s="3" t="s">
        <v>263</v>
      </c>
      <c r="BL472" s="3">
        <v>0.3</v>
      </c>
      <c r="BM472" s="7">
        <v>1004.160767</v>
      </c>
      <c r="BN472" s="3">
        <v>1E-3</v>
      </c>
      <c r="BO472" s="3">
        <f t="shared" si="55"/>
        <v>0.30499999999999999</v>
      </c>
    </row>
    <row r="473" spans="1:71" x14ac:dyDescent="0.3">
      <c r="A473" s="3" t="s">
        <v>264</v>
      </c>
      <c r="B473" s="3">
        <v>0.9</v>
      </c>
      <c r="C473" s="3">
        <v>0.5</v>
      </c>
      <c r="D473" s="3">
        <v>0.6</v>
      </c>
      <c r="E473" s="3">
        <v>0.34</v>
      </c>
      <c r="F473" s="6">
        <v>734.376892</v>
      </c>
      <c r="G473" s="3">
        <v>3.0000000000000001E-3</v>
      </c>
      <c r="I473" s="3" t="s">
        <v>264</v>
      </c>
      <c r="J473" s="3">
        <v>0.31</v>
      </c>
      <c r="K473" s="7">
        <v>756.06964100000005</v>
      </c>
      <c r="L473" s="3">
        <v>1E-3</v>
      </c>
      <c r="M473" s="3">
        <f t="shared" si="52"/>
        <v>0.32500000000000001</v>
      </c>
      <c r="N473" s="5"/>
      <c r="O473" s="5"/>
      <c r="P473" s="5"/>
      <c r="Q473" s="5"/>
      <c r="R473" s="1"/>
      <c r="S473" s="3" t="s">
        <v>264</v>
      </c>
      <c r="T473" s="3">
        <v>0.9</v>
      </c>
      <c r="U473" s="3">
        <v>0.5</v>
      </c>
      <c r="V473" s="3">
        <v>0.6</v>
      </c>
      <c r="W473" s="3">
        <v>0.3</v>
      </c>
      <c r="X473" s="6">
        <v>712.62994400000002</v>
      </c>
      <c r="Y473" s="3">
        <v>3.0000000000000001E-3</v>
      </c>
      <c r="AA473" s="3" t="s">
        <v>264</v>
      </c>
      <c r="AB473" s="3">
        <v>0.33</v>
      </c>
      <c r="AC473" s="7">
        <v>717.42388900000003</v>
      </c>
      <c r="AD473" s="3">
        <v>1E-3</v>
      </c>
      <c r="AE473" s="3">
        <f t="shared" si="53"/>
        <v>0.315</v>
      </c>
      <c r="AF473" s="5"/>
      <c r="AG473" s="5"/>
      <c r="AH473" s="5"/>
      <c r="AI473" s="5"/>
      <c r="AJ473" s="1"/>
      <c r="AK473" s="3" t="s">
        <v>265</v>
      </c>
      <c r="AL473" s="3">
        <v>0.9</v>
      </c>
      <c r="AM473" s="3">
        <v>0.5</v>
      </c>
      <c r="AN473" s="3">
        <v>0.6</v>
      </c>
      <c r="AO473" s="3">
        <v>0.31</v>
      </c>
      <c r="AP473" s="6">
        <v>1003.853394</v>
      </c>
      <c r="AQ473" s="3">
        <v>0.02</v>
      </c>
      <c r="AS473" s="3" t="s">
        <v>265</v>
      </c>
      <c r="AT473" s="3">
        <v>0.32</v>
      </c>
      <c r="AU473" s="7">
        <v>1013.219055</v>
      </c>
      <c r="AV473" s="3">
        <v>1E-3</v>
      </c>
      <c r="AW473" s="3">
        <f t="shared" si="54"/>
        <v>0.315</v>
      </c>
      <c r="AX473" s="5"/>
      <c r="AY473" s="5"/>
      <c r="AZ473" s="5"/>
      <c r="BA473" s="5"/>
      <c r="BB473" s="1"/>
      <c r="BC473" s="3" t="s">
        <v>265</v>
      </c>
      <c r="BD473" s="3">
        <v>0.9</v>
      </c>
      <c r="BE473" s="3">
        <v>0.5</v>
      </c>
      <c r="BF473" s="3">
        <v>0.6</v>
      </c>
      <c r="BG473" s="3">
        <v>0.32</v>
      </c>
      <c r="BH473" s="6">
        <v>965.18951400000003</v>
      </c>
      <c r="BI473" s="3">
        <v>8.0000000000000002E-3</v>
      </c>
      <c r="BK473" s="3" t="s">
        <v>265</v>
      </c>
      <c r="BL473" s="3">
        <v>0.34</v>
      </c>
      <c r="BM473" s="7">
        <v>970.29211399999997</v>
      </c>
      <c r="BN473" s="3">
        <v>1E-3</v>
      </c>
      <c r="BO473" s="3">
        <f t="shared" si="55"/>
        <v>0.33</v>
      </c>
    </row>
    <row r="474" spans="1:71" x14ac:dyDescent="0.3">
      <c r="A474" s="3" t="s">
        <v>266</v>
      </c>
      <c r="B474" s="3">
        <v>0.9</v>
      </c>
      <c r="C474" s="3">
        <v>0.5</v>
      </c>
      <c r="D474" s="3">
        <v>0.6</v>
      </c>
      <c r="E474" s="3">
        <v>0.38</v>
      </c>
      <c r="F474" s="6">
        <v>664.18463099999997</v>
      </c>
      <c r="G474" s="3">
        <v>3.0000000000000001E-3</v>
      </c>
      <c r="I474" s="3" t="s">
        <v>266</v>
      </c>
      <c r="J474" s="3">
        <v>0.3</v>
      </c>
      <c r="K474" s="7">
        <v>665.88519299999996</v>
      </c>
      <c r="L474" s="3">
        <v>0</v>
      </c>
      <c r="M474" s="3">
        <f t="shared" si="52"/>
        <v>0.33999999999999997</v>
      </c>
      <c r="N474" s="5"/>
      <c r="O474" s="5"/>
      <c r="P474" s="5"/>
      <c r="Q474" s="5"/>
      <c r="R474" s="1"/>
      <c r="S474" s="3" t="s">
        <v>266</v>
      </c>
      <c r="T474" s="3">
        <v>0.9</v>
      </c>
      <c r="U474" s="3">
        <v>0.5</v>
      </c>
      <c r="V474" s="3">
        <v>0.6</v>
      </c>
      <c r="W474" s="3">
        <v>0.32</v>
      </c>
      <c r="X474" s="7">
        <v>634.85668899999996</v>
      </c>
      <c r="Y474" s="3">
        <v>2E-3</v>
      </c>
      <c r="AA474" s="3" t="s">
        <v>266</v>
      </c>
      <c r="AB474" s="3">
        <v>0.3</v>
      </c>
      <c r="AC474" s="6">
        <v>611.659851</v>
      </c>
      <c r="AD474" s="3">
        <v>0</v>
      </c>
      <c r="AE474" s="3">
        <f t="shared" si="53"/>
        <v>0.31</v>
      </c>
      <c r="AF474" s="5"/>
      <c r="AG474" s="5"/>
      <c r="AH474" s="5"/>
      <c r="AI474" s="5"/>
      <c r="AJ474" s="1"/>
      <c r="AK474" s="3" t="s">
        <v>267</v>
      </c>
      <c r="AL474" s="3">
        <v>0.9</v>
      </c>
      <c r="AM474" s="3">
        <v>0.5</v>
      </c>
      <c r="AN474" s="3">
        <v>0.6</v>
      </c>
      <c r="AO474" s="3">
        <v>0.31</v>
      </c>
      <c r="AP474" s="7">
        <v>1049.55603</v>
      </c>
      <c r="AQ474" s="3">
        <v>1.0999999999999999E-2</v>
      </c>
      <c r="AS474" s="3" t="s">
        <v>267</v>
      </c>
      <c r="AT474" s="3">
        <v>0.3</v>
      </c>
      <c r="AU474" s="6">
        <v>1029.696899</v>
      </c>
      <c r="AV474" s="3">
        <v>2E-3</v>
      </c>
      <c r="AW474" s="3">
        <f t="shared" si="54"/>
        <v>0.30499999999999999</v>
      </c>
      <c r="AX474" s="5"/>
      <c r="AY474" s="5"/>
      <c r="AZ474" s="5"/>
      <c r="BA474" s="5"/>
      <c r="BB474" s="1"/>
      <c r="BC474" s="3" t="s">
        <v>267</v>
      </c>
      <c r="BD474" s="3">
        <v>0.9</v>
      </c>
      <c r="BE474" s="3">
        <v>0.5</v>
      </c>
      <c r="BF474" s="3">
        <v>0.6</v>
      </c>
      <c r="BG474" s="3">
        <v>0.33</v>
      </c>
      <c r="BH474" s="7">
        <v>1013.558899</v>
      </c>
      <c r="BI474" s="3">
        <v>8.0000000000000002E-3</v>
      </c>
      <c r="BK474" s="3" t="s">
        <v>267</v>
      </c>
      <c r="BL474" s="3">
        <v>0.3</v>
      </c>
      <c r="BM474" s="6">
        <v>1012.074829</v>
      </c>
      <c r="BN474" s="3">
        <v>1E-3</v>
      </c>
      <c r="BO474" s="3">
        <f t="shared" si="55"/>
        <v>0.315</v>
      </c>
    </row>
    <row r="475" spans="1:71" x14ac:dyDescent="0.3">
      <c r="A475" s="3" t="s">
        <v>268</v>
      </c>
      <c r="B475" s="3">
        <v>0.9</v>
      </c>
      <c r="C475" s="3">
        <v>0.5</v>
      </c>
      <c r="D475" s="3">
        <v>0.6</v>
      </c>
      <c r="E475" s="3">
        <v>0.3</v>
      </c>
      <c r="F475" s="7">
        <v>727.42108199999996</v>
      </c>
      <c r="G475" s="3">
        <v>3.0000000000000001E-3</v>
      </c>
      <c r="I475" s="3" t="s">
        <v>268</v>
      </c>
      <c r="J475" s="3">
        <v>0.31</v>
      </c>
      <c r="K475" s="6">
        <v>724.55371100000002</v>
      </c>
      <c r="L475" s="3">
        <v>1E-3</v>
      </c>
      <c r="M475" s="3">
        <f t="shared" si="52"/>
        <v>0.30499999999999999</v>
      </c>
      <c r="N475" s="5"/>
      <c r="O475" s="5"/>
      <c r="P475" s="5"/>
      <c r="Q475" s="5"/>
      <c r="R475" s="1"/>
      <c r="S475" s="3" t="s">
        <v>268</v>
      </c>
      <c r="T475" s="3">
        <v>0.9</v>
      </c>
      <c r="U475" s="3">
        <v>0.5</v>
      </c>
      <c r="V475" s="3">
        <v>0.6</v>
      </c>
      <c r="W475" s="3">
        <v>0.38</v>
      </c>
      <c r="X475" s="7">
        <v>705.80127000000005</v>
      </c>
      <c r="Y475" s="3">
        <v>2E-3</v>
      </c>
      <c r="AA475" s="3" t="s">
        <v>268</v>
      </c>
      <c r="AB475" s="3">
        <v>0.3</v>
      </c>
      <c r="AC475" s="6">
        <v>704.09619099999998</v>
      </c>
      <c r="AD475" s="3">
        <v>0</v>
      </c>
      <c r="AE475" s="3">
        <f t="shared" si="53"/>
        <v>0.33999999999999997</v>
      </c>
      <c r="AF475" s="5"/>
      <c r="AG475" s="5"/>
      <c r="AH475" s="5"/>
      <c r="AI475" s="5"/>
      <c r="AJ475" s="1"/>
      <c r="AK475" s="3" t="s">
        <v>269</v>
      </c>
      <c r="AL475" s="3">
        <v>0.9</v>
      </c>
      <c r="AM475" s="3">
        <v>0.5</v>
      </c>
      <c r="AN475" s="3">
        <v>0.6</v>
      </c>
      <c r="AO475" s="3">
        <v>0.3</v>
      </c>
      <c r="AP475" s="6">
        <v>995.05761700000005</v>
      </c>
      <c r="AQ475" s="3">
        <v>0.01</v>
      </c>
      <c r="AS475" s="3" t="s">
        <v>269</v>
      </c>
      <c r="AT475" s="3">
        <v>0.31</v>
      </c>
      <c r="AU475" s="7">
        <v>998.84375</v>
      </c>
      <c r="AV475" s="3">
        <v>0</v>
      </c>
      <c r="AW475" s="3">
        <f t="shared" si="54"/>
        <v>0.30499999999999999</v>
      </c>
      <c r="AX475" s="5"/>
      <c r="AY475" s="5"/>
      <c r="AZ475" s="5"/>
      <c r="BA475" s="5"/>
      <c r="BB475" s="1"/>
      <c r="BC475" s="3" t="s">
        <v>269</v>
      </c>
      <c r="BD475" s="3">
        <v>0.9</v>
      </c>
      <c r="BE475" s="3">
        <v>0.5</v>
      </c>
      <c r="BF475" s="3">
        <v>0.6</v>
      </c>
      <c r="BG475" s="3">
        <v>0.3</v>
      </c>
      <c r="BH475" s="6">
        <v>958.09942599999999</v>
      </c>
      <c r="BI475" s="3">
        <v>8.0000000000000002E-3</v>
      </c>
      <c r="BK475" s="3" t="s">
        <v>269</v>
      </c>
      <c r="BL475" s="3">
        <v>0.3</v>
      </c>
      <c r="BM475" s="7">
        <v>970.500854</v>
      </c>
      <c r="BN475" s="3">
        <v>1E-3</v>
      </c>
      <c r="BO475" s="3">
        <f t="shared" si="55"/>
        <v>0.3</v>
      </c>
    </row>
    <row r="476" spans="1:71" x14ac:dyDescent="0.3">
      <c r="A476" s="3" t="s">
        <v>270</v>
      </c>
      <c r="B476" s="3">
        <v>0.9</v>
      </c>
      <c r="C476" s="3">
        <v>0.5</v>
      </c>
      <c r="D476" s="3">
        <v>0.6</v>
      </c>
      <c r="E476" s="3">
        <v>0.32</v>
      </c>
      <c r="F476" s="7">
        <v>630.65563999999995</v>
      </c>
      <c r="G476" s="3">
        <v>3.0000000000000001E-3</v>
      </c>
      <c r="I476" s="3" t="s">
        <v>270</v>
      </c>
      <c r="J476" s="3">
        <v>0.31</v>
      </c>
      <c r="K476" s="6">
        <v>617.46978799999999</v>
      </c>
      <c r="L476" s="3">
        <v>0</v>
      </c>
      <c r="M476" s="3">
        <f t="shared" si="52"/>
        <v>0.315</v>
      </c>
      <c r="N476" s="5"/>
      <c r="O476" s="5"/>
      <c r="P476" s="5"/>
      <c r="Q476" s="5"/>
      <c r="R476" s="1"/>
      <c r="S476" s="3" t="s">
        <v>270</v>
      </c>
      <c r="T476" s="3">
        <v>0.9</v>
      </c>
      <c r="U476" s="3">
        <v>0.5</v>
      </c>
      <c r="V476" s="3">
        <v>0.6</v>
      </c>
      <c r="W476" s="3">
        <v>0.34</v>
      </c>
      <c r="X476" s="7">
        <v>591.30731200000002</v>
      </c>
      <c r="Y476" s="3">
        <v>2E-3</v>
      </c>
      <c r="AA476" s="3" t="s">
        <v>270</v>
      </c>
      <c r="AB476" s="3">
        <v>0.37</v>
      </c>
      <c r="AC476" s="6">
        <v>583.96002199999998</v>
      </c>
      <c r="AD476" s="3">
        <v>0</v>
      </c>
      <c r="AE476" s="3">
        <f t="shared" si="53"/>
        <v>0.35499999999999998</v>
      </c>
      <c r="AF476" s="5"/>
      <c r="AG476" s="5"/>
      <c r="AH476" s="5"/>
      <c r="AI476" s="5"/>
      <c r="AJ476" s="1"/>
      <c r="AK476" s="3" t="s">
        <v>271</v>
      </c>
      <c r="AL476" s="3">
        <v>0.9</v>
      </c>
      <c r="AM476" s="3">
        <v>0.5</v>
      </c>
      <c r="AN476" s="3">
        <v>0.6</v>
      </c>
      <c r="AO476" s="3">
        <v>0.31</v>
      </c>
      <c r="AP476" s="7">
        <v>1007.261719</v>
      </c>
      <c r="AQ476" s="3">
        <v>8.9999999999999993E-3</v>
      </c>
      <c r="AS476" s="3" t="s">
        <v>271</v>
      </c>
      <c r="AT476" s="3">
        <v>0.32</v>
      </c>
      <c r="AU476" s="6">
        <v>996.75616500000001</v>
      </c>
      <c r="AV476" s="3">
        <v>1E-3</v>
      </c>
      <c r="AW476" s="3">
        <f t="shared" si="54"/>
        <v>0.315</v>
      </c>
      <c r="AX476" s="5"/>
      <c r="AY476" s="5"/>
      <c r="AZ476" s="5"/>
      <c r="BA476" s="5"/>
      <c r="BB476" s="1"/>
      <c r="BC476" s="3" t="s">
        <v>271</v>
      </c>
      <c r="BD476" s="3">
        <v>0.9</v>
      </c>
      <c r="BE476" s="3">
        <v>0.5</v>
      </c>
      <c r="BF476" s="3">
        <v>0.6</v>
      </c>
      <c r="BG476" s="3">
        <v>0.31</v>
      </c>
      <c r="BH476" s="7">
        <v>981.47357199999999</v>
      </c>
      <c r="BI476" s="3">
        <v>8.9999999999999993E-3</v>
      </c>
      <c r="BK476" s="3" t="s">
        <v>271</v>
      </c>
      <c r="BL476" s="3">
        <v>0.32</v>
      </c>
      <c r="BM476" s="6">
        <v>968.08111599999995</v>
      </c>
      <c r="BN476" s="3">
        <v>1E-3</v>
      </c>
      <c r="BO476" s="3">
        <f t="shared" si="55"/>
        <v>0.315</v>
      </c>
    </row>
    <row r="477" spans="1:71" x14ac:dyDescent="0.3">
      <c r="A477" s="3" t="s">
        <v>272</v>
      </c>
      <c r="B477" s="3">
        <v>0.9</v>
      </c>
      <c r="C477" s="3">
        <v>0.5</v>
      </c>
      <c r="D477" s="3">
        <v>0.6</v>
      </c>
      <c r="E477" s="3">
        <v>0.35</v>
      </c>
      <c r="F477" s="7">
        <v>783.14379899999994</v>
      </c>
      <c r="G477" s="3">
        <v>8.0000000000000002E-3</v>
      </c>
      <c r="I477" s="3" t="s">
        <v>272</v>
      </c>
      <c r="J477" s="3">
        <v>0.33</v>
      </c>
      <c r="K477" s="6">
        <v>778.99865699999998</v>
      </c>
      <c r="L477" s="3">
        <v>0</v>
      </c>
      <c r="M477" s="3">
        <f t="shared" si="52"/>
        <v>0.33999999999999997</v>
      </c>
      <c r="N477" s="5"/>
      <c r="O477" s="5"/>
      <c r="P477" s="5"/>
      <c r="Q477" s="5"/>
      <c r="R477" s="1"/>
      <c r="S477" s="3" t="s">
        <v>272</v>
      </c>
      <c r="T477" s="3">
        <v>0.9</v>
      </c>
      <c r="U477" s="3">
        <v>0.5</v>
      </c>
      <c r="V477" s="3">
        <v>0.6</v>
      </c>
      <c r="W477" s="3">
        <v>0.34</v>
      </c>
      <c r="X477" s="6">
        <v>742.618652</v>
      </c>
      <c r="Y477" s="3">
        <v>3.0000000000000001E-3</v>
      </c>
      <c r="AA477" s="3" t="s">
        <v>272</v>
      </c>
      <c r="AB477" s="3">
        <v>0.32</v>
      </c>
      <c r="AC477" s="7">
        <v>769.40954599999998</v>
      </c>
      <c r="AD477" s="3">
        <v>1E-3</v>
      </c>
      <c r="AE477" s="3">
        <f t="shared" si="53"/>
        <v>0.33</v>
      </c>
      <c r="AF477" s="5"/>
      <c r="AG477" s="5"/>
      <c r="AH477" s="5"/>
      <c r="AI477" s="5"/>
      <c r="AJ477" s="1"/>
      <c r="AK477" s="3" t="s">
        <v>273</v>
      </c>
      <c r="AL477" s="3">
        <v>0.9</v>
      </c>
      <c r="AM477" s="3">
        <v>0.5</v>
      </c>
      <c r="AN477" s="3">
        <v>0.6</v>
      </c>
      <c r="AO477" s="3">
        <v>0.33</v>
      </c>
      <c r="AP477" s="6">
        <v>1024.8781739999999</v>
      </c>
      <c r="AQ477" s="3">
        <v>1.4999999999999999E-2</v>
      </c>
      <c r="AS477" s="3" t="s">
        <v>273</v>
      </c>
      <c r="AT477" s="3">
        <v>0.31</v>
      </c>
      <c r="AU477" s="7">
        <v>1036.973755</v>
      </c>
      <c r="AV477" s="3">
        <v>1E-3</v>
      </c>
      <c r="AW477" s="3">
        <f t="shared" si="54"/>
        <v>0.32</v>
      </c>
      <c r="AX477" s="5"/>
      <c r="AY477" s="5"/>
      <c r="AZ477" s="5"/>
      <c r="BA477" s="5"/>
      <c r="BB477" s="1"/>
      <c r="BC477" s="3" t="s">
        <v>273</v>
      </c>
      <c r="BD477" s="3">
        <v>0.9</v>
      </c>
      <c r="BE477" s="3">
        <v>0.5</v>
      </c>
      <c r="BF477" s="3">
        <v>0.6</v>
      </c>
      <c r="BG477" s="3">
        <v>0.32</v>
      </c>
      <c r="BH477" s="7">
        <v>1012.478638</v>
      </c>
      <c r="BI477" s="3">
        <v>8.0000000000000002E-3</v>
      </c>
      <c r="BK477" s="3" t="s">
        <v>273</v>
      </c>
      <c r="BL477" s="3">
        <v>0.3</v>
      </c>
      <c r="BM477" s="6">
        <v>1004.592834</v>
      </c>
      <c r="BN477" s="3">
        <v>1E-3</v>
      </c>
      <c r="BO477" s="3">
        <f t="shared" si="55"/>
        <v>0.31</v>
      </c>
    </row>
    <row r="478" spans="1:71" x14ac:dyDescent="0.3">
      <c r="A478" s="3" t="s">
        <v>274</v>
      </c>
      <c r="B478" s="3">
        <v>0.9</v>
      </c>
      <c r="C478" s="3">
        <v>0.5</v>
      </c>
      <c r="D478" s="3">
        <v>0.6</v>
      </c>
      <c r="E478" s="3">
        <v>0.3</v>
      </c>
      <c r="F478" s="7">
        <v>833.07189900000003</v>
      </c>
      <c r="G478" s="3">
        <v>5.0000000000000001E-3</v>
      </c>
      <c r="I478" s="3" t="s">
        <v>274</v>
      </c>
      <c r="J478" s="3">
        <v>0.3</v>
      </c>
      <c r="K478" s="6">
        <v>829.26709000000005</v>
      </c>
      <c r="L478" s="3">
        <v>1E-3</v>
      </c>
      <c r="M478" s="3">
        <f t="shared" si="52"/>
        <v>0.3</v>
      </c>
      <c r="N478" s="5"/>
      <c r="O478" s="5"/>
      <c r="P478" s="5"/>
      <c r="Q478" s="5"/>
      <c r="R478" s="1"/>
      <c r="S478" s="3" t="s">
        <v>274</v>
      </c>
      <c r="T478" s="3">
        <v>0.9</v>
      </c>
      <c r="U478" s="3">
        <v>0.5</v>
      </c>
      <c r="V478" s="3">
        <v>0.6</v>
      </c>
      <c r="W478" s="3">
        <v>0.32</v>
      </c>
      <c r="X478" s="7">
        <v>822.37542699999995</v>
      </c>
      <c r="Y478" s="3">
        <v>3.0000000000000001E-3</v>
      </c>
      <c r="AA478" s="3" t="s">
        <v>274</v>
      </c>
      <c r="AB478" s="3">
        <v>0.32</v>
      </c>
      <c r="AC478" s="6">
        <v>805.59124799999995</v>
      </c>
      <c r="AD478" s="3">
        <v>1E-3</v>
      </c>
      <c r="AE478" s="3">
        <f t="shared" si="53"/>
        <v>0.32</v>
      </c>
      <c r="AF478" s="5"/>
      <c r="AG478" s="5"/>
      <c r="AH478" s="5"/>
      <c r="AI478" s="5"/>
      <c r="AJ478" s="1"/>
      <c r="AK478" s="3" t="s">
        <v>275</v>
      </c>
      <c r="AL478" s="3">
        <v>0.9</v>
      </c>
      <c r="AM478" s="3">
        <v>0.5</v>
      </c>
      <c r="AN478" s="3">
        <v>0.6</v>
      </c>
      <c r="AO478" s="3">
        <v>0.3</v>
      </c>
      <c r="AP478" s="7">
        <v>1138.2301030000001</v>
      </c>
      <c r="AQ478" s="3">
        <v>1.0999999999999999E-2</v>
      </c>
      <c r="AS478" s="3" t="s">
        <v>275</v>
      </c>
      <c r="AT478" s="3">
        <v>0.3</v>
      </c>
      <c r="AU478" s="6">
        <v>1129.7304690000001</v>
      </c>
      <c r="AV478" s="3">
        <v>1E-3</v>
      </c>
      <c r="AW478" s="3">
        <f t="shared" si="54"/>
        <v>0.3</v>
      </c>
      <c r="AX478" s="5"/>
      <c r="AY478" s="5"/>
      <c r="AZ478" s="5"/>
      <c r="BA478" s="5"/>
      <c r="BB478" s="1"/>
      <c r="BC478" s="3" t="s">
        <v>275</v>
      </c>
      <c r="BD478" s="3">
        <v>0.9</v>
      </c>
      <c r="BE478" s="3">
        <v>0.5</v>
      </c>
      <c r="BF478" s="3">
        <v>0.6</v>
      </c>
      <c r="BG478" s="3">
        <v>0.31</v>
      </c>
      <c r="BH478" s="6">
        <v>1118.424438</v>
      </c>
      <c r="BI478" s="3">
        <v>8.9999999999999993E-3</v>
      </c>
      <c r="BK478" s="3" t="s">
        <v>275</v>
      </c>
      <c r="BL478" s="3">
        <v>0.3</v>
      </c>
      <c r="BM478" s="7">
        <v>1129.2539059999999</v>
      </c>
      <c r="BN478" s="3">
        <v>1E-3</v>
      </c>
      <c r="BO478" s="3">
        <f t="shared" si="55"/>
        <v>0.30499999999999999</v>
      </c>
    </row>
    <row r="479" spans="1:71" x14ac:dyDescent="0.3">
      <c r="A479" s="3" t="s">
        <v>276</v>
      </c>
      <c r="B479" s="3">
        <v>0.9</v>
      </c>
      <c r="C479" s="3">
        <v>0.5</v>
      </c>
      <c r="D479" s="3">
        <v>0.6</v>
      </c>
      <c r="E479" s="3">
        <v>0.3</v>
      </c>
      <c r="F479" s="6">
        <v>720.60504200000003</v>
      </c>
      <c r="G479" s="3">
        <v>4.0000000000000001E-3</v>
      </c>
      <c r="I479" s="3" t="s">
        <v>276</v>
      </c>
      <c r="J479" s="3">
        <v>0.32</v>
      </c>
      <c r="K479" s="7">
        <v>722.54333499999996</v>
      </c>
      <c r="L479" s="3">
        <v>1E-3</v>
      </c>
      <c r="M479" s="3">
        <f t="shared" si="52"/>
        <v>0.31</v>
      </c>
      <c r="N479" s="5"/>
      <c r="O479" s="5"/>
      <c r="P479" s="5"/>
      <c r="Q479" s="5"/>
      <c r="R479" s="1"/>
      <c r="S479" s="3" t="s">
        <v>276</v>
      </c>
      <c r="T479" s="3">
        <v>0.9</v>
      </c>
      <c r="U479" s="3">
        <v>0.5</v>
      </c>
      <c r="V479" s="3">
        <v>0.6</v>
      </c>
      <c r="W479" s="3">
        <v>0.31</v>
      </c>
      <c r="X479" s="6">
        <v>696.82617200000004</v>
      </c>
      <c r="Y479" s="3">
        <v>3.0000000000000001E-3</v>
      </c>
      <c r="AA479" s="3" t="s">
        <v>276</v>
      </c>
      <c r="AB479" s="3">
        <v>0.31</v>
      </c>
      <c r="AC479" s="7">
        <v>700.31219499999997</v>
      </c>
      <c r="AD479" s="3">
        <v>0</v>
      </c>
      <c r="AE479" s="3">
        <f t="shared" si="53"/>
        <v>0.31</v>
      </c>
      <c r="AF479" s="5"/>
      <c r="AG479" s="5"/>
      <c r="AH479" s="5"/>
      <c r="AI479" s="5"/>
      <c r="AJ479" s="1"/>
      <c r="AK479" s="3" t="s">
        <v>277</v>
      </c>
      <c r="AL479" s="3">
        <v>0.9</v>
      </c>
      <c r="AM479" s="3">
        <v>0.5</v>
      </c>
      <c r="AN479" s="3">
        <v>0.6</v>
      </c>
      <c r="AO479" s="3">
        <v>0.3</v>
      </c>
      <c r="AP479" s="6">
        <v>1010.922607</v>
      </c>
      <c r="AQ479" s="3">
        <v>1.0999999999999999E-2</v>
      </c>
      <c r="AS479" s="3" t="s">
        <v>277</v>
      </c>
      <c r="AT479" s="3">
        <v>0.31</v>
      </c>
      <c r="AU479" s="7">
        <v>1052.8481449999999</v>
      </c>
      <c r="AV479" s="3">
        <v>1E-3</v>
      </c>
      <c r="AW479" s="3">
        <f t="shared" si="54"/>
        <v>0.30499999999999999</v>
      </c>
      <c r="AX479" s="5"/>
      <c r="AY479" s="5"/>
      <c r="AZ479" s="5"/>
      <c r="BA479" s="5"/>
      <c r="BB479" s="1"/>
      <c r="BC479" s="3" t="s">
        <v>277</v>
      </c>
      <c r="BD479" s="3">
        <v>0.9</v>
      </c>
      <c r="BE479" s="3">
        <v>0.5</v>
      </c>
      <c r="BF479" s="3">
        <v>0.6</v>
      </c>
      <c r="BG479" s="3">
        <v>0.3</v>
      </c>
      <c r="BH479" s="6">
        <v>1003.68396</v>
      </c>
      <c r="BI479" s="3">
        <v>8.0000000000000002E-3</v>
      </c>
      <c r="BK479" s="3" t="s">
        <v>277</v>
      </c>
      <c r="BL479" s="3">
        <v>0.31</v>
      </c>
      <c r="BM479" s="7">
        <v>1029.7254640000001</v>
      </c>
      <c r="BN479" s="3">
        <v>1E-3</v>
      </c>
      <c r="BO479" s="3">
        <f t="shared" si="55"/>
        <v>0.30499999999999999</v>
      </c>
    </row>
    <row r="480" spans="1:71" x14ac:dyDescent="0.3">
      <c r="A480" s="3" t="s">
        <v>278</v>
      </c>
      <c r="B480" s="3">
        <v>0.9</v>
      </c>
      <c r="C480" s="3">
        <v>0.5</v>
      </c>
      <c r="D480" s="3">
        <v>0.6</v>
      </c>
      <c r="E480" s="3">
        <v>0.31</v>
      </c>
      <c r="F480" s="7">
        <v>677.85064699999998</v>
      </c>
      <c r="G480" s="3">
        <v>3.0000000000000001E-3</v>
      </c>
      <c r="I480" s="3" t="s">
        <v>278</v>
      </c>
      <c r="J480" s="3">
        <v>0.3</v>
      </c>
      <c r="K480" s="6">
        <v>667.93609600000002</v>
      </c>
      <c r="L480" s="3">
        <v>0</v>
      </c>
      <c r="M480" s="3">
        <f t="shared" si="52"/>
        <v>0.30499999999999999</v>
      </c>
      <c r="N480" s="5"/>
      <c r="O480" s="5"/>
      <c r="P480" s="5"/>
      <c r="Q480" s="5"/>
      <c r="R480" s="1"/>
      <c r="S480" s="3" t="s">
        <v>278</v>
      </c>
      <c r="T480" s="3">
        <v>0.9</v>
      </c>
      <c r="U480" s="3">
        <v>0.5</v>
      </c>
      <c r="V480" s="3">
        <v>0.6</v>
      </c>
      <c r="W480" s="3">
        <v>0.31</v>
      </c>
      <c r="X480" s="6">
        <v>659.14538600000003</v>
      </c>
      <c r="Y480" s="3">
        <v>3.0000000000000001E-3</v>
      </c>
      <c r="AA480" s="3" t="s">
        <v>278</v>
      </c>
      <c r="AB480" s="3">
        <v>0.34</v>
      </c>
      <c r="AC480" s="7">
        <v>661.65167199999996</v>
      </c>
      <c r="AD480" s="3">
        <v>0</v>
      </c>
      <c r="AE480" s="3">
        <f t="shared" si="53"/>
        <v>0.32500000000000001</v>
      </c>
      <c r="AF480" s="5"/>
      <c r="AG480" s="5"/>
      <c r="AH480" s="5"/>
      <c r="AI480" s="5"/>
      <c r="AJ480" s="1"/>
      <c r="AK480" s="3" t="s">
        <v>279</v>
      </c>
      <c r="AL480" s="3">
        <v>0.9</v>
      </c>
      <c r="AM480" s="3">
        <v>0.5</v>
      </c>
      <c r="AN480" s="3">
        <v>0.6</v>
      </c>
      <c r="AO480" s="3">
        <v>0.3</v>
      </c>
      <c r="AP480" s="7">
        <v>1179.5954589999999</v>
      </c>
      <c r="AQ480" s="3">
        <v>0.01</v>
      </c>
      <c r="AS480" s="3" t="s">
        <v>279</v>
      </c>
      <c r="AT480" s="3">
        <v>0.31</v>
      </c>
      <c r="AU480" s="6">
        <v>1166.3070070000001</v>
      </c>
      <c r="AV480" s="3">
        <v>1E-3</v>
      </c>
      <c r="AW480" s="3">
        <f t="shared" si="54"/>
        <v>0.30499999999999999</v>
      </c>
      <c r="AX480" s="5"/>
      <c r="AY480" s="5"/>
      <c r="AZ480" s="5"/>
      <c r="BA480" s="5"/>
      <c r="BB480" s="1"/>
      <c r="BC480" s="3" t="s">
        <v>279</v>
      </c>
      <c r="BD480" s="3">
        <v>0.9</v>
      </c>
      <c r="BE480" s="3">
        <v>0.5</v>
      </c>
      <c r="BF480" s="3">
        <v>0.6</v>
      </c>
      <c r="BG480" s="3">
        <v>0.33</v>
      </c>
      <c r="BH480" s="6">
        <v>1131.363159</v>
      </c>
      <c r="BI480" s="3">
        <v>8.9999999999999993E-3</v>
      </c>
      <c r="BK480" s="3" t="s">
        <v>279</v>
      </c>
      <c r="BL480" s="3">
        <v>0.31</v>
      </c>
      <c r="BM480" s="7">
        <v>1146.4957280000001</v>
      </c>
      <c r="BN480" s="3">
        <v>1E-3</v>
      </c>
      <c r="BO480" s="3">
        <f t="shared" si="55"/>
        <v>0.32</v>
      </c>
    </row>
    <row r="481" spans="1:67" x14ac:dyDescent="0.3">
      <c r="A481" s="3" t="s">
        <v>280</v>
      </c>
      <c r="B481" s="3">
        <v>0.9</v>
      </c>
      <c r="C481" s="3">
        <v>0.5</v>
      </c>
      <c r="D481" s="3">
        <v>0.6</v>
      </c>
      <c r="E481" s="3">
        <v>0.3</v>
      </c>
      <c r="F481" s="6">
        <v>905.378784</v>
      </c>
      <c r="G481" s="3">
        <v>4.0000000000000001E-3</v>
      </c>
      <c r="I481" s="3" t="s">
        <v>280</v>
      </c>
      <c r="J481" s="3">
        <v>0.3</v>
      </c>
      <c r="K481" s="7">
        <v>935.58343500000001</v>
      </c>
      <c r="L481" s="3">
        <v>0</v>
      </c>
      <c r="M481" s="3">
        <f t="shared" si="52"/>
        <v>0.3</v>
      </c>
      <c r="N481" s="5"/>
      <c r="O481" s="5"/>
      <c r="P481" s="5"/>
      <c r="Q481" s="5"/>
      <c r="R481" s="1"/>
      <c r="S481" s="3" t="s">
        <v>280</v>
      </c>
      <c r="T481" s="3">
        <v>0.9</v>
      </c>
      <c r="U481" s="3">
        <v>0.5</v>
      </c>
      <c r="V481" s="3">
        <v>0.6</v>
      </c>
      <c r="W481" s="3">
        <v>0.3</v>
      </c>
      <c r="X481" s="6">
        <v>918.597534</v>
      </c>
      <c r="Y481" s="3">
        <v>3.0000000000000001E-3</v>
      </c>
      <c r="AA481" s="3" t="s">
        <v>280</v>
      </c>
      <c r="AB481" s="3">
        <v>0.32</v>
      </c>
      <c r="AC481" s="7">
        <v>927.36206100000004</v>
      </c>
      <c r="AD481" s="3">
        <v>0</v>
      </c>
      <c r="AE481" s="3">
        <f t="shared" si="53"/>
        <v>0.31</v>
      </c>
      <c r="AF481" s="5"/>
      <c r="AG481" s="5"/>
      <c r="AH481" s="5"/>
      <c r="AI481" s="5"/>
      <c r="AJ481" s="1"/>
      <c r="AK481" s="3" t="s">
        <v>281</v>
      </c>
      <c r="AL481" s="3">
        <v>0.9</v>
      </c>
      <c r="AM481" s="3">
        <v>0.5</v>
      </c>
      <c r="AN481" s="3">
        <v>0.6</v>
      </c>
      <c r="AO481" s="3">
        <v>0.32</v>
      </c>
      <c r="AP481" s="6">
        <v>1084.477783</v>
      </c>
      <c r="AQ481" s="3">
        <v>1.2E-2</v>
      </c>
      <c r="AS481" s="3" t="s">
        <v>281</v>
      </c>
      <c r="AT481" s="3">
        <v>0.3</v>
      </c>
      <c r="AU481" s="7">
        <v>1102.9792480000001</v>
      </c>
      <c r="AV481" s="3">
        <v>1E-3</v>
      </c>
      <c r="AW481" s="3">
        <f t="shared" si="54"/>
        <v>0.31</v>
      </c>
      <c r="AX481" s="5"/>
      <c r="AY481" s="5"/>
      <c r="AZ481" s="5"/>
      <c r="BA481" s="5"/>
      <c r="BB481" s="1"/>
      <c r="BC481" s="3" t="s">
        <v>281</v>
      </c>
      <c r="BD481" s="3">
        <v>0.9</v>
      </c>
      <c r="BE481" s="3">
        <v>0.5</v>
      </c>
      <c r="BF481" s="3">
        <v>0.6</v>
      </c>
      <c r="BG481" s="3">
        <v>0.33</v>
      </c>
      <c r="BH481" s="7">
        <v>1094.220947</v>
      </c>
      <c r="BI481" s="3">
        <v>0.01</v>
      </c>
      <c r="BK481" s="3" t="s">
        <v>281</v>
      </c>
      <c r="BL481" s="3">
        <v>0.33</v>
      </c>
      <c r="BM481" s="6">
        <v>1088.5633539999999</v>
      </c>
      <c r="BN481" s="3">
        <v>1E-3</v>
      </c>
      <c r="BO481" s="3">
        <f t="shared" si="55"/>
        <v>0.33</v>
      </c>
    </row>
    <row r="482" spans="1:67" x14ac:dyDescent="0.3">
      <c r="A482" s="3" t="s">
        <v>282</v>
      </c>
      <c r="B482" s="3">
        <v>0.9</v>
      </c>
      <c r="C482" s="3">
        <v>0.5</v>
      </c>
      <c r="D482" s="3">
        <v>0.6</v>
      </c>
      <c r="E482" s="3">
        <v>0.31</v>
      </c>
      <c r="F482" s="7">
        <v>830.02734399999997</v>
      </c>
      <c r="G482" s="3">
        <v>7.0000000000000001E-3</v>
      </c>
      <c r="I482" s="3" t="s">
        <v>282</v>
      </c>
      <c r="J482" s="3">
        <v>0.32</v>
      </c>
      <c r="K482" s="6">
        <v>821.08410600000002</v>
      </c>
      <c r="L482" s="3">
        <v>0</v>
      </c>
      <c r="M482" s="3">
        <f t="shared" si="52"/>
        <v>0.315</v>
      </c>
      <c r="N482" s="5"/>
      <c r="O482" s="5"/>
      <c r="P482" s="5"/>
      <c r="Q482" s="5"/>
      <c r="R482" s="1"/>
      <c r="S482" s="3" t="s">
        <v>282</v>
      </c>
      <c r="T482" s="3">
        <v>0.9</v>
      </c>
      <c r="U482" s="3">
        <v>0.5</v>
      </c>
      <c r="V482" s="3">
        <v>0.6</v>
      </c>
      <c r="W482" s="3">
        <v>0.32</v>
      </c>
      <c r="X482" s="6">
        <v>794.37683100000004</v>
      </c>
      <c r="Y482" s="3">
        <v>3.0000000000000001E-3</v>
      </c>
      <c r="AA482" s="3" t="s">
        <v>282</v>
      </c>
      <c r="AB482" s="3">
        <v>0.34</v>
      </c>
      <c r="AC482" s="7">
        <v>820.09143100000006</v>
      </c>
      <c r="AD482" s="3">
        <v>1E-3</v>
      </c>
      <c r="AE482" s="3">
        <f t="shared" si="53"/>
        <v>0.33</v>
      </c>
      <c r="AF482" s="5"/>
      <c r="AG482" s="5"/>
      <c r="AH482" s="5"/>
      <c r="AI482" s="5"/>
      <c r="AJ482" s="1"/>
      <c r="AK482" s="3" t="s">
        <v>283</v>
      </c>
      <c r="AL482" s="3">
        <v>0.9</v>
      </c>
      <c r="AM482" s="3">
        <v>0.5</v>
      </c>
      <c r="AN482" s="3">
        <v>0.6</v>
      </c>
      <c r="AO482" s="3">
        <v>0.33</v>
      </c>
      <c r="AP482" s="6">
        <v>1046.912476</v>
      </c>
      <c r="AQ482" s="3">
        <v>1.6E-2</v>
      </c>
      <c r="AS482" s="3" t="s">
        <v>283</v>
      </c>
      <c r="AT482" s="3">
        <v>0.3</v>
      </c>
      <c r="AU482" s="7">
        <v>1062.8009030000001</v>
      </c>
      <c r="AV482" s="3">
        <v>1E-3</v>
      </c>
      <c r="AW482" s="3">
        <f t="shared" si="54"/>
        <v>0.315</v>
      </c>
      <c r="AX482" s="5"/>
      <c r="AY482" s="5"/>
      <c r="AZ482" s="5"/>
      <c r="BA482" s="5"/>
      <c r="BB482" s="1"/>
      <c r="BC482" s="3" t="s">
        <v>283</v>
      </c>
      <c r="BD482" s="3">
        <v>0.9</v>
      </c>
      <c r="BE482" s="3">
        <v>0.5</v>
      </c>
      <c r="BF482" s="3">
        <v>0.6</v>
      </c>
      <c r="BG482" s="3">
        <v>0.3</v>
      </c>
      <c r="BH482" s="7">
        <v>1048.671875</v>
      </c>
      <c r="BI482" s="3">
        <v>1.0999999999999999E-2</v>
      </c>
      <c r="BK482" s="3" t="s">
        <v>283</v>
      </c>
      <c r="BL482" s="3">
        <v>0.34</v>
      </c>
      <c r="BM482" s="6">
        <v>1043.3645019999999</v>
      </c>
      <c r="BN482" s="3">
        <v>1E-3</v>
      </c>
      <c r="BO482" s="3">
        <f t="shared" si="55"/>
        <v>0.32</v>
      </c>
    </row>
    <row r="483" spans="1:67" x14ac:dyDescent="0.3">
      <c r="A483" s="3" t="s">
        <v>284</v>
      </c>
      <c r="B483" s="3">
        <v>0.9</v>
      </c>
      <c r="C483" s="3">
        <v>0.5</v>
      </c>
      <c r="D483" s="3">
        <v>0.6</v>
      </c>
      <c r="E483" s="3">
        <v>0.31</v>
      </c>
      <c r="F483" s="7">
        <v>880.04125999999997</v>
      </c>
      <c r="G483" s="3">
        <v>5.0000000000000001E-3</v>
      </c>
      <c r="I483" s="3" t="s">
        <v>284</v>
      </c>
      <c r="J483" s="3">
        <v>0.3</v>
      </c>
      <c r="K483" s="6">
        <v>875.80181900000002</v>
      </c>
      <c r="L483" s="3">
        <v>0</v>
      </c>
      <c r="M483" s="3">
        <f t="shared" si="52"/>
        <v>0.30499999999999999</v>
      </c>
      <c r="N483" s="5"/>
      <c r="O483" s="5"/>
      <c r="P483" s="5"/>
      <c r="Q483" s="5"/>
      <c r="R483" s="1"/>
      <c r="S483" s="3" t="s">
        <v>284</v>
      </c>
      <c r="T483" s="3">
        <v>0.9</v>
      </c>
      <c r="U483" s="3">
        <v>0.5</v>
      </c>
      <c r="V483" s="3">
        <v>0.6</v>
      </c>
      <c r="W483" s="3">
        <v>0.3</v>
      </c>
      <c r="X483" s="6">
        <v>844.53802499999995</v>
      </c>
      <c r="Y483" s="3">
        <v>3.0000000000000001E-3</v>
      </c>
      <c r="AA483" s="3" t="s">
        <v>284</v>
      </c>
      <c r="AB483" s="3">
        <v>0.36</v>
      </c>
      <c r="AC483" s="7">
        <v>857.96472200000005</v>
      </c>
      <c r="AD483" s="3">
        <v>1E-3</v>
      </c>
      <c r="AE483" s="3">
        <f t="shared" si="53"/>
        <v>0.32999999999999996</v>
      </c>
      <c r="AF483" s="5"/>
      <c r="AG483" s="5"/>
      <c r="AH483" s="5"/>
      <c r="AI483" s="5"/>
      <c r="AJ483" s="1"/>
      <c r="AK483" s="3" t="s">
        <v>285</v>
      </c>
      <c r="AL483" s="3">
        <v>0.9</v>
      </c>
      <c r="AM483" s="3">
        <v>0.5</v>
      </c>
      <c r="AN483" s="3">
        <v>0.6</v>
      </c>
      <c r="AO483" s="3">
        <v>0.31</v>
      </c>
      <c r="AP483" s="6">
        <v>1133.4798579999999</v>
      </c>
      <c r="AQ483" s="3">
        <v>1.7000000000000001E-2</v>
      </c>
      <c r="AS483" s="3" t="s">
        <v>285</v>
      </c>
      <c r="AT483" s="3">
        <v>0.3</v>
      </c>
      <c r="AU483" s="7">
        <v>1146.831909</v>
      </c>
      <c r="AV483" s="3">
        <v>2E-3</v>
      </c>
      <c r="AW483" s="3">
        <f t="shared" si="54"/>
        <v>0.30499999999999999</v>
      </c>
      <c r="AX483" s="5"/>
      <c r="AY483" s="5"/>
      <c r="AZ483" s="5"/>
      <c r="BA483" s="5"/>
      <c r="BB483" s="1"/>
      <c r="BC483" s="3" t="s">
        <v>285</v>
      </c>
      <c r="BD483" s="3">
        <v>0.9</v>
      </c>
      <c r="BE483" s="3">
        <v>0.5</v>
      </c>
      <c r="BF483" s="3">
        <v>0.6</v>
      </c>
      <c r="BG483" s="3">
        <v>0.3</v>
      </c>
      <c r="BH483" s="6">
        <v>1080.993408</v>
      </c>
      <c r="BI483" s="3">
        <v>0.01</v>
      </c>
      <c r="BK483" s="3" t="s">
        <v>285</v>
      </c>
      <c r="BL483" s="3">
        <v>0.31</v>
      </c>
      <c r="BM483" s="7">
        <v>1113.533447</v>
      </c>
      <c r="BN483" s="3">
        <v>1E-3</v>
      </c>
      <c r="BO483" s="3">
        <f t="shared" si="55"/>
        <v>0.30499999999999999</v>
      </c>
    </row>
    <row r="484" spans="1:67" x14ac:dyDescent="0.3">
      <c r="A484" s="3" t="s">
        <v>286</v>
      </c>
      <c r="B484" s="3">
        <v>0.9</v>
      </c>
      <c r="C484" s="3">
        <v>0.5</v>
      </c>
      <c r="D484" s="3">
        <v>0.6</v>
      </c>
      <c r="E484" s="3">
        <v>0.32</v>
      </c>
      <c r="F484" s="6">
        <v>728.07934599999999</v>
      </c>
      <c r="G484" s="3">
        <v>4.0000000000000001E-3</v>
      </c>
      <c r="I484" s="3" t="s">
        <v>286</v>
      </c>
      <c r="J484" s="3">
        <v>0.3</v>
      </c>
      <c r="K484" s="7">
        <v>748.22808799999996</v>
      </c>
      <c r="L484" s="3">
        <v>1E-3</v>
      </c>
      <c r="M484" s="3">
        <f t="shared" si="52"/>
        <v>0.31</v>
      </c>
      <c r="N484" s="5"/>
      <c r="O484" s="5"/>
      <c r="P484" s="5"/>
      <c r="Q484" s="5"/>
      <c r="R484" s="1"/>
      <c r="S484" s="3" t="s">
        <v>286</v>
      </c>
      <c r="T484" s="3">
        <v>0.9</v>
      </c>
      <c r="U484" s="3">
        <v>0.5</v>
      </c>
      <c r="V484" s="3">
        <v>0.6</v>
      </c>
      <c r="W484" s="3">
        <v>0.3</v>
      </c>
      <c r="X484" s="6">
        <v>701.49176</v>
      </c>
      <c r="Y484" s="3">
        <v>3.0000000000000001E-3</v>
      </c>
      <c r="AA484" s="3" t="s">
        <v>286</v>
      </c>
      <c r="AB484" s="3">
        <v>0.3</v>
      </c>
      <c r="AC484" s="7">
        <v>719.44988999999998</v>
      </c>
      <c r="AD484" s="3">
        <v>1E-3</v>
      </c>
      <c r="AE484" s="3">
        <f t="shared" si="53"/>
        <v>0.3</v>
      </c>
      <c r="AF484" s="5"/>
      <c r="AG484" s="5"/>
      <c r="AH484" s="5"/>
      <c r="AI484" s="5"/>
      <c r="AJ484" s="1"/>
      <c r="AK484" s="3" t="s">
        <v>287</v>
      </c>
      <c r="AL484" s="3">
        <v>0.9</v>
      </c>
      <c r="AM484" s="3">
        <v>0.5</v>
      </c>
      <c r="AN484" s="3">
        <v>0.6</v>
      </c>
      <c r="AO484" s="3">
        <v>0.33</v>
      </c>
      <c r="AP484" s="7">
        <v>1058.607788</v>
      </c>
      <c r="AQ484" s="3">
        <v>1.0999999999999999E-2</v>
      </c>
      <c r="AS484" s="3" t="s">
        <v>287</v>
      </c>
      <c r="AT484" s="3">
        <v>0.33</v>
      </c>
      <c r="AU484" s="6">
        <v>1049.996216</v>
      </c>
      <c r="AV484" s="3">
        <v>1E-3</v>
      </c>
      <c r="AW484" s="3">
        <f t="shared" si="54"/>
        <v>0.33</v>
      </c>
      <c r="AX484" s="5"/>
      <c r="AY484" s="5"/>
      <c r="AZ484" s="5"/>
      <c r="BA484" s="5"/>
      <c r="BB484" s="1"/>
      <c r="BC484" s="3" t="s">
        <v>287</v>
      </c>
      <c r="BD484" s="3">
        <v>0.9</v>
      </c>
      <c r="BE484" s="3">
        <v>0.5</v>
      </c>
      <c r="BF484" s="3">
        <v>0.6</v>
      </c>
      <c r="BG484" s="3">
        <v>0.31</v>
      </c>
      <c r="BH484" s="7">
        <v>1049.001221</v>
      </c>
      <c r="BI484" s="3">
        <v>8.9999999999999993E-3</v>
      </c>
      <c r="BK484" s="3" t="s">
        <v>287</v>
      </c>
      <c r="BL484" s="3">
        <v>0.3</v>
      </c>
      <c r="BM484" s="6">
        <v>1039.3275149999999</v>
      </c>
      <c r="BN484" s="3">
        <v>1E-3</v>
      </c>
      <c r="BO484" s="3">
        <f t="shared" si="55"/>
        <v>0.30499999999999999</v>
      </c>
    </row>
    <row r="485" spans="1:67" x14ac:dyDescent="0.3">
      <c r="A485" s="3" t="s">
        <v>288</v>
      </c>
      <c r="B485" s="3">
        <v>0.9</v>
      </c>
      <c r="C485" s="3">
        <v>0.5</v>
      </c>
      <c r="D485" s="3">
        <v>0.6</v>
      </c>
      <c r="E485" s="3">
        <v>0.31</v>
      </c>
      <c r="F485" s="6">
        <v>738.00299099999995</v>
      </c>
      <c r="G485" s="3">
        <v>5.0000000000000001E-3</v>
      </c>
      <c r="I485" s="3" t="s">
        <v>288</v>
      </c>
      <c r="J485" s="3">
        <v>0.31</v>
      </c>
      <c r="K485" s="7">
        <v>742.19274900000005</v>
      </c>
      <c r="L485" s="3">
        <v>0</v>
      </c>
      <c r="M485" s="3">
        <f t="shared" si="52"/>
        <v>0.31</v>
      </c>
      <c r="N485" s="5"/>
      <c r="O485" s="5"/>
      <c r="P485" s="5"/>
      <c r="Q485" s="5"/>
      <c r="R485" s="1"/>
      <c r="S485" s="3" t="s">
        <v>288</v>
      </c>
      <c r="T485" s="3">
        <v>0.9</v>
      </c>
      <c r="U485" s="3">
        <v>0.5</v>
      </c>
      <c r="V485" s="3">
        <v>0.6</v>
      </c>
      <c r="W485" s="3">
        <v>0.31</v>
      </c>
      <c r="X485" s="7">
        <v>737.00195299999996</v>
      </c>
      <c r="Y485" s="3">
        <v>3.0000000000000001E-3</v>
      </c>
      <c r="AA485" s="3" t="s">
        <v>288</v>
      </c>
      <c r="AB485" s="3">
        <v>0.3</v>
      </c>
      <c r="AC485" s="6">
        <v>726.84893799999998</v>
      </c>
      <c r="AD485" s="3">
        <v>0</v>
      </c>
      <c r="AE485" s="3">
        <f t="shared" si="53"/>
        <v>0.30499999999999999</v>
      </c>
      <c r="AF485" s="5"/>
      <c r="AG485" s="5"/>
      <c r="AH485" s="5"/>
      <c r="AI485" s="5"/>
      <c r="AJ485" s="1"/>
      <c r="AK485" s="3" t="s">
        <v>289</v>
      </c>
      <c r="AL485" s="3">
        <v>0.9</v>
      </c>
      <c r="AM485" s="3">
        <v>0.5</v>
      </c>
      <c r="AN485" s="3">
        <v>0.6</v>
      </c>
      <c r="AO485" s="3">
        <v>0.3</v>
      </c>
      <c r="AP485" s="6">
        <v>1116.1123050000001</v>
      </c>
      <c r="AQ485" s="3">
        <v>1.2E-2</v>
      </c>
      <c r="AS485" s="3" t="s">
        <v>289</v>
      </c>
      <c r="AT485" s="3">
        <v>0.3</v>
      </c>
      <c r="AU485" s="7">
        <v>1120.9520259999999</v>
      </c>
      <c r="AV485" s="3">
        <v>1E-3</v>
      </c>
      <c r="AW485" s="3">
        <f t="shared" si="54"/>
        <v>0.3</v>
      </c>
      <c r="AX485" s="5"/>
      <c r="AY485" s="5"/>
      <c r="AZ485" s="5"/>
      <c r="BA485" s="5"/>
      <c r="BB485" s="1"/>
      <c r="BC485" s="3" t="s">
        <v>289</v>
      </c>
      <c r="BD485" s="3">
        <v>0.9</v>
      </c>
      <c r="BE485" s="3">
        <v>0.5</v>
      </c>
      <c r="BF485" s="3">
        <v>0.6</v>
      </c>
      <c r="BG485" s="3">
        <v>0.31</v>
      </c>
      <c r="BH485" s="6">
        <v>1116.2773440000001</v>
      </c>
      <c r="BI485" s="3">
        <v>8.9999999999999993E-3</v>
      </c>
      <c r="BK485" s="3" t="s">
        <v>289</v>
      </c>
      <c r="BL485" s="3">
        <v>0.31</v>
      </c>
      <c r="BM485" s="7">
        <v>1118.1164550000001</v>
      </c>
      <c r="BN485" s="3">
        <v>1E-3</v>
      </c>
      <c r="BO485" s="3">
        <f t="shared" si="55"/>
        <v>0.31</v>
      </c>
    </row>
    <row r="486" spans="1:67" x14ac:dyDescent="0.3">
      <c r="A486" s="3" t="s">
        <v>290</v>
      </c>
      <c r="B486" s="3">
        <v>0.9</v>
      </c>
      <c r="C486" s="3">
        <v>0.5</v>
      </c>
      <c r="D486" s="3">
        <v>0.6</v>
      </c>
      <c r="E486" s="3">
        <v>0.3</v>
      </c>
      <c r="F486" s="8">
        <v>740.64269999999999</v>
      </c>
      <c r="G486" s="3">
        <v>3.0000000000000001E-3</v>
      </c>
      <c r="I486" s="3" t="s">
        <v>290</v>
      </c>
      <c r="J486" s="3">
        <v>0.3</v>
      </c>
      <c r="K486" s="6">
        <v>740.11669900000004</v>
      </c>
      <c r="L486" s="3">
        <v>1E-3</v>
      </c>
      <c r="M486" s="3">
        <f t="shared" si="52"/>
        <v>0.3</v>
      </c>
      <c r="N486" s="5"/>
      <c r="O486" s="5"/>
      <c r="P486" s="5"/>
      <c r="Q486" s="5"/>
      <c r="R486" s="1"/>
      <c r="S486" s="3" t="s">
        <v>290</v>
      </c>
      <c r="T486" s="3">
        <v>0.9</v>
      </c>
      <c r="U486" s="3">
        <v>0.5</v>
      </c>
      <c r="V486" s="3">
        <v>0.6</v>
      </c>
      <c r="W486" s="3">
        <v>0.31</v>
      </c>
      <c r="X486" s="7">
        <v>728.834473</v>
      </c>
      <c r="Y486" s="3">
        <v>3.0000000000000001E-3</v>
      </c>
      <c r="AA486" s="3" t="s">
        <v>290</v>
      </c>
      <c r="AB486" s="3">
        <v>0.31</v>
      </c>
      <c r="AC486" s="6">
        <v>722.77703899999995</v>
      </c>
      <c r="AD486" s="3">
        <v>1E-3</v>
      </c>
      <c r="AE486" s="3">
        <f t="shared" si="53"/>
        <v>0.31</v>
      </c>
      <c r="AF486" s="5"/>
      <c r="AG486" s="5"/>
      <c r="AH486" s="5"/>
      <c r="AI486" s="5"/>
      <c r="AJ486" s="1"/>
      <c r="AK486" s="3" t="s">
        <v>291</v>
      </c>
      <c r="AL486" s="3">
        <v>0.9</v>
      </c>
      <c r="AM486" s="3">
        <v>0.5</v>
      </c>
      <c r="AN486" s="3">
        <v>0.6</v>
      </c>
      <c r="AO486" s="3">
        <v>0.3</v>
      </c>
      <c r="AP486" s="7">
        <v>1097.5852050000001</v>
      </c>
      <c r="AQ486" s="3">
        <v>0.01</v>
      </c>
      <c r="AS486" s="3" t="s">
        <v>291</v>
      </c>
      <c r="AT486" s="3">
        <v>0.3</v>
      </c>
      <c r="AU486" s="6">
        <v>1081.8975829999999</v>
      </c>
      <c r="AV486" s="3">
        <v>2E-3</v>
      </c>
      <c r="AW486" s="3">
        <f t="shared" si="54"/>
        <v>0.3</v>
      </c>
      <c r="AX486" s="5"/>
      <c r="AY486" s="5"/>
      <c r="AZ486" s="5"/>
      <c r="BA486" s="5"/>
      <c r="BB486" s="1"/>
      <c r="BC486" s="3" t="s">
        <v>291</v>
      </c>
      <c r="BD486" s="3">
        <v>0.9</v>
      </c>
      <c r="BE486" s="3">
        <v>0.5</v>
      </c>
      <c r="BF486" s="3">
        <v>0.6</v>
      </c>
      <c r="BG486" s="3">
        <v>0.32</v>
      </c>
      <c r="BH486" s="6">
        <v>1041.721558</v>
      </c>
      <c r="BI486" s="3">
        <v>8.9999999999999993E-3</v>
      </c>
      <c r="BK486" s="3" t="s">
        <v>291</v>
      </c>
      <c r="BL486" s="3">
        <v>0.35</v>
      </c>
      <c r="BM486" s="7">
        <v>1066.4772949999999</v>
      </c>
      <c r="BN486" s="3">
        <v>1E-3</v>
      </c>
      <c r="BO486" s="3">
        <f t="shared" si="55"/>
        <v>0.33499999999999996</v>
      </c>
    </row>
    <row r="487" spans="1:67" x14ac:dyDescent="0.3">
      <c r="A487" s="3" t="s">
        <v>292</v>
      </c>
      <c r="B487" s="3">
        <v>0.9</v>
      </c>
      <c r="C487" s="3">
        <v>0.5</v>
      </c>
      <c r="D487" s="3">
        <v>0.6</v>
      </c>
      <c r="E487" s="3">
        <v>0.3</v>
      </c>
      <c r="F487" s="7">
        <v>822.70788600000003</v>
      </c>
      <c r="G487" s="3">
        <v>7.0000000000000001E-3</v>
      </c>
      <c r="I487" s="3" t="s">
        <v>292</v>
      </c>
      <c r="J487" s="3">
        <v>0.4</v>
      </c>
      <c r="K487" s="6">
        <v>814.11840800000004</v>
      </c>
      <c r="L487" s="3">
        <v>0</v>
      </c>
      <c r="M487" s="3">
        <f t="shared" si="52"/>
        <v>0.35</v>
      </c>
      <c r="N487" s="5"/>
      <c r="O487" s="5"/>
      <c r="P487" s="5"/>
      <c r="Q487" s="5"/>
      <c r="R487" s="1"/>
      <c r="S487" s="3" t="s">
        <v>292</v>
      </c>
      <c r="T487" s="3">
        <v>0.9</v>
      </c>
      <c r="U487" s="3">
        <v>0.5</v>
      </c>
      <c r="V487" s="3">
        <v>0.6</v>
      </c>
      <c r="W487" s="3">
        <v>0.3</v>
      </c>
      <c r="X487" s="7">
        <v>794.46606399999996</v>
      </c>
      <c r="Y487" s="3">
        <v>3.0000000000000001E-3</v>
      </c>
      <c r="AA487" s="3" t="s">
        <v>292</v>
      </c>
      <c r="AB487" s="3">
        <v>0.34</v>
      </c>
      <c r="AC487" s="6">
        <v>788.62493900000004</v>
      </c>
      <c r="AD487" s="3">
        <v>0</v>
      </c>
      <c r="AE487" s="3">
        <f t="shared" si="53"/>
        <v>0.32</v>
      </c>
      <c r="AF487" s="5"/>
      <c r="AG487" s="5"/>
      <c r="AH487" s="5"/>
      <c r="AI487" s="5"/>
      <c r="AJ487" s="1"/>
      <c r="AK487" s="3" t="s">
        <v>293</v>
      </c>
      <c r="AL487" s="3">
        <v>0.9</v>
      </c>
      <c r="AM487" s="3">
        <v>0.5</v>
      </c>
      <c r="AN487" s="3">
        <v>0.6</v>
      </c>
      <c r="AO487" s="3">
        <v>0.32</v>
      </c>
      <c r="AP487" s="7">
        <v>1132.5371090000001</v>
      </c>
      <c r="AQ487" s="3">
        <v>1.6E-2</v>
      </c>
      <c r="AS487" s="3" t="s">
        <v>293</v>
      </c>
      <c r="AT487" s="3">
        <v>0.3</v>
      </c>
      <c r="AU487" s="6">
        <v>1126.036621</v>
      </c>
      <c r="AV487" s="3">
        <v>1E-3</v>
      </c>
      <c r="AW487" s="3">
        <f t="shared" si="54"/>
        <v>0.31</v>
      </c>
      <c r="AX487" s="5"/>
      <c r="AY487" s="5"/>
      <c r="AZ487" s="5"/>
      <c r="BA487" s="5"/>
      <c r="BB487" s="1"/>
      <c r="BC487" s="3" t="s">
        <v>293</v>
      </c>
      <c r="BD487" s="3">
        <v>0.9</v>
      </c>
      <c r="BE487" s="3">
        <v>0.5</v>
      </c>
      <c r="BF487" s="3">
        <v>0.6</v>
      </c>
      <c r="BG487" s="3">
        <v>0.31</v>
      </c>
      <c r="BH487" s="6">
        <v>1116.8828120000001</v>
      </c>
      <c r="BI487" s="3">
        <v>8.9999999999999993E-3</v>
      </c>
      <c r="BK487" s="3" t="s">
        <v>293</v>
      </c>
      <c r="BL487" s="3">
        <v>0.35</v>
      </c>
      <c r="BM487" s="7">
        <v>1120.5988769999999</v>
      </c>
      <c r="BN487" s="3">
        <v>1E-3</v>
      </c>
      <c r="BO487" s="3">
        <f t="shared" si="55"/>
        <v>0.32999999999999996</v>
      </c>
    </row>
    <row r="488" spans="1:67" x14ac:dyDescent="0.3">
      <c r="A488" s="3" t="s">
        <v>294</v>
      </c>
      <c r="B488" s="3">
        <v>0.9</v>
      </c>
      <c r="C488" s="3">
        <v>0.5</v>
      </c>
      <c r="D488" s="3">
        <v>0.6</v>
      </c>
      <c r="E488" s="3">
        <v>0.3</v>
      </c>
      <c r="F488" s="7">
        <v>944.66210899999999</v>
      </c>
      <c r="G488" s="3">
        <v>5.0000000000000001E-3</v>
      </c>
      <c r="I488" s="3" t="s">
        <v>294</v>
      </c>
      <c r="J488" s="3">
        <v>0.33</v>
      </c>
      <c r="K488" s="6">
        <v>934.37365699999998</v>
      </c>
      <c r="L488" s="3">
        <v>0</v>
      </c>
      <c r="M488" s="3">
        <f t="shared" si="52"/>
        <v>0.315</v>
      </c>
      <c r="N488" s="5"/>
      <c r="O488" s="5"/>
      <c r="P488" s="5"/>
      <c r="Q488" s="5"/>
      <c r="R488" s="1"/>
      <c r="S488" s="3" t="s">
        <v>294</v>
      </c>
      <c r="T488" s="3">
        <v>0.9</v>
      </c>
      <c r="U488" s="3">
        <v>0.5</v>
      </c>
      <c r="V488" s="3">
        <v>0.6</v>
      </c>
      <c r="W488" s="3">
        <v>0.31</v>
      </c>
      <c r="X488" s="6">
        <v>906.38415499999996</v>
      </c>
      <c r="Y488" s="3">
        <v>3.0000000000000001E-3</v>
      </c>
      <c r="AA488" s="3" t="s">
        <v>294</v>
      </c>
      <c r="AB488" s="3">
        <v>0.33</v>
      </c>
      <c r="AC488" s="7">
        <v>928.04437299999995</v>
      </c>
      <c r="AD488" s="3">
        <v>0</v>
      </c>
      <c r="AE488" s="3">
        <f t="shared" si="53"/>
        <v>0.32</v>
      </c>
      <c r="AF488" s="5"/>
      <c r="AG488" s="5"/>
      <c r="AH488" s="5"/>
      <c r="AI488" s="5"/>
      <c r="AJ488" s="1"/>
      <c r="AK488" s="3" t="s">
        <v>295</v>
      </c>
      <c r="AL488" s="3">
        <v>0.9</v>
      </c>
      <c r="AM488" s="3">
        <v>0.5</v>
      </c>
      <c r="AN488" s="3">
        <v>0.6</v>
      </c>
      <c r="AO488" s="3">
        <v>0.3</v>
      </c>
      <c r="AP488" s="6">
        <v>1220.599976</v>
      </c>
      <c r="AQ488" s="3">
        <v>1.2E-2</v>
      </c>
      <c r="AS488" s="3" t="s">
        <v>295</v>
      </c>
      <c r="AT488" s="3">
        <v>0.3</v>
      </c>
      <c r="AU488" s="7">
        <v>1224.018433</v>
      </c>
      <c r="AV488" s="3">
        <v>2E-3</v>
      </c>
      <c r="AW488" s="3">
        <f t="shared" si="54"/>
        <v>0.3</v>
      </c>
      <c r="AX488" s="5"/>
      <c r="AY488" s="5"/>
      <c r="AZ488" s="5"/>
      <c r="BA488" s="5"/>
      <c r="BB488" s="1"/>
      <c r="BC488" s="3" t="s">
        <v>295</v>
      </c>
      <c r="BD488" s="3">
        <v>0.9</v>
      </c>
      <c r="BE488" s="3">
        <v>0.5</v>
      </c>
      <c r="BF488" s="3">
        <v>0.6</v>
      </c>
      <c r="BG488" s="3">
        <v>0.3</v>
      </c>
      <c r="BH488" s="6">
        <v>1214.5576169999999</v>
      </c>
      <c r="BI488" s="3">
        <v>1.2E-2</v>
      </c>
      <c r="BK488" s="3" t="s">
        <v>295</v>
      </c>
      <c r="BL488" s="3">
        <v>0.3</v>
      </c>
      <c r="BM488" s="7">
        <v>1235.653687</v>
      </c>
      <c r="BN488" s="3">
        <v>1E-3</v>
      </c>
      <c r="BO488" s="3">
        <f t="shared" si="55"/>
        <v>0.3</v>
      </c>
    </row>
    <row r="489" spans="1:67" x14ac:dyDescent="0.3">
      <c r="A489" s="3" t="s">
        <v>296</v>
      </c>
      <c r="B489" s="3">
        <v>0.9</v>
      </c>
      <c r="C489" s="3">
        <v>0.5</v>
      </c>
      <c r="D489" s="3">
        <v>0.6</v>
      </c>
      <c r="E489" s="3">
        <v>0.32</v>
      </c>
      <c r="F489" s="6">
        <v>928.26263400000005</v>
      </c>
      <c r="G489" s="3">
        <v>3.0000000000000001E-3</v>
      </c>
      <c r="I489" s="3" t="s">
        <v>296</v>
      </c>
      <c r="J489" s="3">
        <v>0.31</v>
      </c>
      <c r="K489" s="7">
        <v>944.70477300000005</v>
      </c>
      <c r="L489" s="3">
        <v>0</v>
      </c>
      <c r="M489" s="3">
        <f t="shared" si="52"/>
        <v>0.315</v>
      </c>
      <c r="N489" s="5"/>
      <c r="O489" s="5"/>
      <c r="P489" s="5"/>
      <c r="Q489" s="5"/>
      <c r="R489" s="1"/>
      <c r="S489" s="3" t="s">
        <v>296</v>
      </c>
      <c r="T489" s="3">
        <v>0.9</v>
      </c>
      <c r="U489" s="3">
        <v>0.5</v>
      </c>
      <c r="V489" s="3">
        <v>0.6</v>
      </c>
      <c r="W489" s="3">
        <v>0.3</v>
      </c>
      <c r="X489" s="6">
        <v>913.64996299999996</v>
      </c>
      <c r="Y489" s="3">
        <v>3.0000000000000001E-3</v>
      </c>
      <c r="AA489" s="3" t="s">
        <v>296</v>
      </c>
      <c r="AB489" s="3">
        <v>0.3</v>
      </c>
      <c r="AC489" s="7">
        <v>922.14959699999997</v>
      </c>
      <c r="AD489" s="3">
        <v>0</v>
      </c>
      <c r="AE489" s="3">
        <f t="shared" si="53"/>
        <v>0.3</v>
      </c>
      <c r="AF489" s="5"/>
      <c r="AG489" s="5"/>
      <c r="AH489" s="5"/>
      <c r="AI489" s="5"/>
      <c r="AJ489" s="1"/>
      <c r="AK489" s="3" t="s">
        <v>297</v>
      </c>
      <c r="AL489" s="3">
        <v>0.9</v>
      </c>
      <c r="AM489" s="3">
        <v>0.5</v>
      </c>
      <c r="AN489" s="3">
        <v>0.6</v>
      </c>
      <c r="AO489" s="3">
        <v>0.3</v>
      </c>
      <c r="AP489" s="7">
        <v>1180.3618160000001</v>
      </c>
      <c r="AQ489" s="3">
        <v>1.4999999999999999E-2</v>
      </c>
      <c r="AS489" s="3" t="s">
        <v>297</v>
      </c>
      <c r="AT489" s="3">
        <v>0.34</v>
      </c>
      <c r="AU489" s="6">
        <v>1178.7542719999999</v>
      </c>
      <c r="AV489" s="3">
        <v>2E-3</v>
      </c>
      <c r="AW489" s="3">
        <f t="shared" si="54"/>
        <v>0.32</v>
      </c>
      <c r="AX489" s="5"/>
      <c r="AY489" s="5"/>
      <c r="AZ489" s="5"/>
      <c r="BA489" s="5"/>
      <c r="BB489" s="1"/>
      <c r="BC489" s="3" t="s">
        <v>297</v>
      </c>
      <c r="BD489" s="3">
        <v>0.9</v>
      </c>
      <c r="BE489" s="3">
        <v>0.5</v>
      </c>
      <c r="BF489" s="3">
        <v>0.6</v>
      </c>
      <c r="BG489" s="3">
        <v>0.34</v>
      </c>
      <c r="BH489" s="6">
        <v>1164.8603519999999</v>
      </c>
      <c r="BI489" s="3">
        <v>0.01</v>
      </c>
      <c r="BK489" s="3" t="s">
        <v>297</v>
      </c>
      <c r="BL489" s="3">
        <v>0.3</v>
      </c>
      <c r="BM489" s="7">
        <v>1188.4602050000001</v>
      </c>
      <c r="BN489" s="3">
        <v>1E-3</v>
      </c>
      <c r="BO489" s="3">
        <f t="shared" si="55"/>
        <v>0.32</v>
      </c>
    </row>
    <row r="490" spans="1:67" x14ac:dyDescent="0.3">
      <c r="A490" s="3" t="s">
        <v>298</v>
      </c>
      <c r="B490" s="3">
        <v>0.9</v>
      </c>
      <c r="C490" s="3">
        <v>0.5</v>
      </c>
      <c r="D490" s="3">
        <v>0.6</v>
      </c>
      <c r="E490" s="3">
        <v>0.3</v>
      </c>
      <c r="F490" s="8">
        <v>798.21234100000004</v>
      </c>
      <c r="G490" s="3">
        <v>4.0000000000000001E-3</v>
      </c>
      <c r="I490" s="3" t="s">
        <v>298</v>
      </c>
      <c r="J490" s="3">
        <v>0.31</v>
      </c>
      <c r="K490" s="6">
        <v>798.17120399999999</v>
      </c>
      <c r="L490" s="3">
        <v>1E-3</v>
      </c>
      <c r="M490" s="3">
        <f t="shared" si="52"/>
        <v>0.30499999999999999</v>
      </c>
      <c r="N490" s="5"/>
      <c r="O490" s="5"/>
      <c r="P490" s="5"/>
      <c r="Q490" s="5"/>
      <c r="R490" s="1"/>
      <c r="S490" s="3" t="s">
        <v>298</v>
      </c>
      <c r="T490" s="3">
        <v>0.9</v>
      </c>
      <c r="U490" s="3">
        <v>0.5</v>
      </c>
      <c r="V490" s="3">
        <v>0.6</v>
      </c>
      <c r="W490" s="3">
        <v>0.31</v>
      </c>
      <c r="X490" s="7">
        <v>790.79315199999996</v>
      </c>
      <c r="Y490" s="3">
        <v>3.0000000000000001E-3</v>
      </c>
      <c r="AA490" s="3" t="s">
        <v>298</v>
      </c>
      <c r="AB490" s="3">
        <v>0.31</v>
      </c>
      <c r="AC490" s="6">
        <v>778.98053000000004</v>
      </c>
      <c r="AD490" s="3">
        <v>0</v>
      </c>
      <c r="AE490" s="3">
        <f t="shared" si="53"/>
        <v>0.31</v>
      </c>
      <c r="AF490" s="5"/>
      <c r="AG490" s="5"/>
      <c r="AH490" s="5"/>
      <c r="AI490" s="5"/>
      <c r="AJ490" s="1"/>
      <c r="AK490" s="3" t="s">
        <v>299</v>
      </c>
      <c r="AL490" s="3">
        <v>0.9</v>
      </c>
      <c r="AM490" s="3">
        <v>0.5</v>
      </c>
      <c r="AN490" s="3">
        <v>0.6</v>
      </c>
      <c r="AO490" s="3">
        <v>0.31</v>
      </c>
      <c r="AP490" s="7">
        <v>1197.708862</v>
      </c>
      <c r="AQ490" s="3">
        <v>1.2E-2</v>
      </c>
      <c r="AS490" s="3" t="s">
        <v>299</v>
      </c>
      <c r="AT490" s="3">
        <v>0.31</v>
      </c>
      <c r="AU490" s="6">
        <v>1184.821899</v>
      </c>
      <c r="AV490" s="3">
        <v>2E-3</v>
      </c>
      <c r="AW490" s="3">
        <f t="shared" si="54"/>
        <v>0.31</v>
      </c>
      <c r="AX490" s="5"/>
      <c r="AY490" s="5"/>
      <c r="AZ490" s="5"/>
      <c r="BA490" s="5"/>
      <c r="BB490" s="1"/>
      <c r="BC490" s="3" t="s">
        <v>299</v>
      </c>
      <c r="BD490" s="3">
        <v>0.9</v>
      </c>
      <c r="BE490" s="3">
        <v>0.5</v>
      </c>
      <c r="BF490" s="3">
        <v>0.6</v>
      </c>
      <c r="BG490" s="3">
        <v>0.3</v>
      </c>
      <c r="BH490" s="7">
        <v>1205.012939</v>
      </c>
      <c r="BI490" s="3">
        <v>0.01</v>
      </c>
      <c r="BK490" s="3" t="s">
        <v>299</v>
      </c>
      <c r="BL490" s="3">
        <v>0.32</v>
      </c>
      <c r="BM490" s="6">
        <v>1181.1107179999999</v>
      </c>
      <c r="BN490" s="3">
        <v>1E-3</v>
      </c>
      <c r="BO490" s="3">
        <f t="shared" si="55"/>
        <v>0.31</v>
      </c>
    </row>
    <row r="491" spans="1:67" x14ac:dyDescent="0.3">
      <c r="A491" s="3" t="s">
        <v>300</v>
      </c>
      <c r="B491" s="3">
        <v>0.9</v>
      </c>
      <c r="C491" s="3">
        <v>0.5</v>
      </c>
      <c r="D491" s="3">
        <v>0.6</v>
      </c>
      <c r="E491" s="3">
        <v>0.3</v>
      </c>
      <c r="F491" s="7">
        <v>868.07818599999996</v>
      </c>
      <c r="G491" s="3">
        <v>3.0000000000000001E-3</v>
      </c>
      <c r="I491" s="3" t="s">
        <v>300</v>
      </c>
      <c r="J491" s="3">
        <v>0.33</v>
      </c>
      <c r="K491" s="6">
        <v>849.42047100000002</v>
      </c>
      <c r="L491" s="3">
        <v>0</v>
      </c>
      <c r="M491" s="3">
        <f t="shared" si="52"/>
        <v>0.315</v>
      </c>
      <c r="N491" s="5"/>
      <c r="O491" s="5"/>
      <c r="P491" s="5"/>
      <c r="Q491" s="5"/>
      <c r="R491" s="1"/>
      <c r="S491" s="3" t="s">
        <v>300</v>
      </c>
      <c r="T491" s="3">
        <v>0.9</v>
      </c>
      <c r="U491" s="3">
        <v>0.5</v>
      </c>
      <c r="V491" s="3">
        <v>0.6</v>
      </c>
      <c r="W491" s="3">
        <v>0.34</v>
      </c>
      <c r="X491" s="7">
        <v>861.31701699999996</v>
      </c>
      <c r="Y491" s="3">
        <v>3.0000000000000001E-3</v>
      </c>
      <c r="AA491" s="3" t="s">
        <v>300</v>
      </c>
      <c r="AB491" s="3">
        <v>0.3</v>
      </c>
      <c r="AC491" s="6">
        <v>858.53143299999999</v>
      </c>
      <c r="AD491" s="3">
        <v>0</v>
      </c>
      <c r="AE491" s="3">
        <f t="shared" si="53"/>
        <v>0.32</v>
      </c>
      <c r="AF491" s="5"/>
      <c r="AG491" s="5"/>
      <c r="AH491" s="5"/>
      <c r="AI491" s="5"/>
      <c r="AJ491" s="1"/>
      <c r="AK491" s="3" t="s">
        <v>301</v>
      </c>
      <c r="AL491" s="3">
        <v>0.9</v>
      </c>
      <c r="AM491" s="3">
        <v>0.5</v>
      </c>
      <c r="AN491" s="3">
        <v>0.6</v>
      </c>
      <c r="AO491" s="3">
        <v>0.3</v>
      </c>
      <c r="AP491" s="7">
        <v>1192.068237</v>
      </c>
      <c r="AQ491" s="3">
        <v>1.6E-2</v>
      </c>
      <c r="AS491" s="3" t="s">
        <v>301</v>
      </c>
      <c r="AT491" s="3">
        <v>0.32</v>
      </c>
      <c r="AU491" s="6">
        <v>1152.3835449999999</v>
      </c>
      <c r="AV491" s="3">
        <v>2E-3</v>
      </c>
      <c r="AW491" s="3">
        <f t="shared" si="54"/>
        <v>0.31</v>
      </c>
      <c r="AX491" s="5"/>
      <c r="AY491" s="5"/>
      <c r="AZ491" s="5"/>
      <c r="BA491" s="5"/>
      <c r="BB491" s="1"/>
      <c r="BC491" s="3" t="s">
        <v>301</v>
      </c>
      <c r="BD491" s="3">
        <v>0.9</v>
      </c>
      <c r="BE491" s="3">
        <v>0.5</v>
      </c>
      <c r="BF491" s="3">
        <v>0.6</v>
      </c>
      <c r="BG491" s="3">
        <v>0.31</v>
      </c>
      <c r="BH491" s="7">
        <v>1175.271362</v>
      </c>
      <c r="BI491" s="3">
        <v>0.01</v>
      </c>
      <c r="BK491" s="3" t="s">
        <v>301</v>
      </c>
      <c r="BL491" s="3">
        <v>0.3</v>
      </c>
      <c r="BM491" s="6">
        <v>1160.409668</v>
      </c>
      <c r="BN491" s="3">
        <v>2E-3</v>
      </c>
      <c r="BO491" s="3">
        <f t="shared" si="55"/>
        <v>0.30499999999999999</v>
      </c>
    </row>
    <row r="492" spans="1:67" x14ac:dyDescent="0.3">
      <c r="A492" s="3" t="s">
        <v>302</v>
      </c>
      <c r="B492" s="3">
        <v>0.9</v>
      </c>
      <c r="C492" s="3">
        <v>0.5</v>
      </c>
      <c r="D492" s="3">
        <v>0.6</v>
      </c>
      <c r="E492" s="3">
        <v>0.33</v>
      </c>
      <c r="F492" s="6">
        <v>793.82922399999995</v>
      </c>
      <c r="G492" s="3">
        <v>6.0000000000000001E-3</v>
      </c>
      <c r="I492" s="3" t="s">
        <v>302</v>
      </c>
      <c r="J492" s="3">
        <v>0.31</v>
      </c>
      <c r="K492" s="7">
        <v>818.01275599999997</v>
      </c>
      <c r="L492" s="3">
        <v>0</v>
      </c>
      <c r="M492" s="3">
        <f t="shared" si="52"/>
        <v>0.32</v>
      </c>
      <c r="N492" s="5"/>
      <c r="O492" s="5"/>
      <c r="P492" s="5"/>
      <c r="Q492" s="5"/>
      <c r="R492" s="1"/>
      <c r="S492" s="3" t="s">
        <v>302</v>
      </c>
      <c r="T492" s="3">
        <v>0.9</v>
      </c>
      <c r="U492" s="3">
        <v>0.5</v>
      </c>
      <c r="V492" s="3">
        <v>0.6</v>
      </c>
      <c r="W492" s="3">
        <v>0.37</v>
      </c>
      <c r="X492" s="7">
        <v>833.92767300000003</v>
      </c>
      <c r="Y492" s="3">
        <v>3.0000000000000001E-3</v>
      </c>
      <c r="AA492" s="3" t="s">
        <v>302</v>
      </c>
      <c r="AB492" s="3">
        <v>0.32</v>
      </c>
      <c r="AC492" s="6">
        <v>832.90057400000001</v>
      </c>
      <c r="AD492" s="3">
        <v>1E-3</v>
      </c>
      <c r="AE492" s="3">
        <f t="shared" si="53"/>
        <v>0.34499999999999997</v>
      </c>
      <c r="AF492" s="5"/>
      <c r="AG492" s="5"/>
      <c r="AH492" s="5"/>
      <c r="AI492" s="5"/>
      <c r="AJ492" s="1"/>
      <c r="AK492" s="3" t="s">
        <v>303</v>
      </c>
      <c r="AL492" s="3">
        <v>0.9</v>
      </c>
      <c r="AM492" s="3">
        <v>0.5</v>
      </c>
      <c r="AN492" s="3">
        <v>0.6</v>
      </c>
      <c r="AO492" s="3">
        <v>0.3</v>
      </c>
      <c r="AP492" s="7">
        <v>1155.9343260000001</v>
      </c>
      <c r="AQ492" s="3">
        <v>1.4999999999999999E-2</v>
      </c>
      <c r="AS492" s="3" t="s">
        <v>303</v>
      </c>
      <c r="AT492" s="3">
        <v>0.31</v>
      </c>
      <c r="AU492" s="6">
        <v>1151.642212</v>
      </c>
      <c r="AV492" s="3">
        <v>3.0000000000000001E-3</v>
      </c>
      <c r="AW492" s="3">
        <f t="shared" si="54"/>
        <v>0.30499999999999999</v>
      </c>
      <c r="AX492" s="5"/>
      <c r="AY492" s="5"/>
      <c r="AZ492" s="5"/>
      <c r="BA492" s="5"/>
      <c r="BB492" s="1"/>
      <c r="BC492" s="3" t="s">
        <v>303</v>
      </c>
      <c r="BD492" s="3">
        <v>0.9</v>
      </c>
      <c r="BE492" s="3">
        <v>0.5</v>
      </c>
      <c r="BF492" s="3">
        <v>0.6</v>
      </c>
      <c r="BG492" s="3">
        <v>0.3</v>
      </c>
      <c r="BH492" s="7">
        <v>1160.2508539999999</v>
      </c>
      <c r="BI492" s="3">
        <v>1.0999999999999999E-2</v>
      </c>
      <c r="BK492" s="3" t="s">
        <v>303</v>
      </c>
      <c r="BL492" s="3">
        <v>0.31</v>
      </c>
      <c r="BM492" s="6">
        <v>1128.9445800000001</v>
      </c>
      <c r="BN492" s="3">
        <v>1E-3</v>
      </c>
      <c r="BO492" s="3">
        <f t="shared" si="55"/>
        <v>0.30499999999999999</v>
      </c>
    </row>
    <row r="493" spans="1:67" x14ac:dyDescent="0.3">
      <c r="A493" s="3" t="s">
        <v>304</v>
      </c>
      <c r="B493" s="3">
        <v>0.9</v>
      </c>
      <c r="C493" s="3">
        <v>0.5</v>
      </c>
      <c r="D493" s="3">
        <v>0.6</v>
      </c>
      <c r="E493" s="3">
        <v>0.32</v>
      </c>
      <c r="F493" s="7">
        <v>929.91241500000001</v>
      </c>
      <c r="G493" s="3">
        <v>4.0000000000000001E-3</v>
      </c>
      <c r="I493" s="3" t="s">
        <v>304</v>
      </c>
      <c r="J493" s="3">
        <v>0.3</v>
      </c>
      <c r="K493" s="6">
        <v>926.00543200000004</v>
      </c>
      <c r="L493" s="3">
        <v>0</v>
      </c>
      <c r="M493" s="3">
        <f t="shared" si="52"/>
        <v>0.31</v>
      </c>
      <c r="N493" s="5"/>
      <c r="O493" s="5"/>
      <c r="P493" s="5"/>
      <c r="Q493" s="5"/>
      <c r="R493" s="1"/>
      <c r="S493" s="3" t="s">
        <v>304</v>
      </c>
      <c r="T493" s="3">
        <v>0.9</v>
      </c>
      <c r="U493" s="3">
        <v>0.5</v>
      </c>
      <c r="V493" s="3">
        <v>0.6</v>
      </c>
      <c r="W493" s="3">
        <v>0.3</v>
      </c>
      <c r="X493" s="6">
        <v>906.12994400000002</v>
      </c>
      <c r="Y493" s="3">
        <v>3.0000000000000001E-3</v>
      </c>
      <c r="AA493" s="3" t="s">
        <v>304</v>
      </c>
      <c r="AB493" s="3">
        <v>0.34</v>
      </c>
      <c r="AC493" s="7">
        <v>939.23486300000002</v>
      </c>
      <c r="AD493" s="3">
        <v>0</v>
      </c>
      <c r="AE493" s="3">
        <f t="shared" si="53"/>
        <v>0.32</v>
      </c>
      <c r="AF493" s="5"/>
      <c r="AG493" s="5"/>
      <c r="AH493" s="5"/>
      <c r="AI493" s="5"/>
      <c r="AJ493" s="1"/>
      <c r="AK493" s="3" t="s">
        <v>305</v>
      </c>
      <c r="AL493" s="3">
        <v>0.9</v>
      </c>
      <c r="AM493" s="3">
        <v>0.5</v>
      </c>
      <c r="AN493" s="3">
        <v>0.6</v>
      </c>
      <c r="AO493" s="3">
        <v>0.3</v>
      </c>
      <c r="AP493" s="6">
        <v>1188.4019780000001</v>
      </c>
      <c r="AQ493" s="3">
        <v>1.4E-2</v>
      </c>
      <c r="AS493" s="3" t="s">
        <v>305</v>
      </c>
      <c r="AT493" s="3">
        <v>0.3</v>
      </c>
      <c r="AU493" s="7">
        <v>1192.3988039999999</v>
      </c>
      <c r="AV493" s="3">
        <v>3.0000000000000001E-3</v>
      </c>
      <c r="AW493" s="3">
        <f t="shared" si="54"/>
        <v>0.3</v>
      </c>
      <c r="AX493" s="5"/>
      <c r="AY493" s="5"/>
      <c r="AZ493" s="5"/>
      <c r="BA493" s="5"/>
      <c r="BB493" s="1"/>
      <c r="BC493" s="3" t="s">
        <v>305</v>
      </c>
      <c r="BD493" s="3">
        <v>0.9</v>
      </c>
      <c r="BE493" s="3">
        <v>0.5</v>
      </c>
      <c r="BF493" s="3">
        <v>0.6</v>
      </c>
      <c r="BG493" s="3">
        <v>0.31</v>
      </c>
      <c r="BH493" s="6">
        <v>1205.322876</v>
      </c>
      <c r="BI493" s="3">
        <v>1.2E-2</v>
      </c>
      <c r="BK493" s="3" t="s">
        <v>305</v>
      </c>
      <c r="BL493" s="3">
        <v>0.3</v>
      </c>
      <c r="BM493" s="7">
        <v>1209.39624</v>
      </c>
      <c r="BN493" s="3">
        <v>1E-3</v>
      </c>
      <c r="BO493" s="3">
        <f t="shared" si="55"/>
        <v>0.30499999999999999</v>
      </c>
    </row>
    <row r="494" spans="1:67" x14ac:dyDescent="0.3">
      <c r="A494" s="3" t="s">
        <v>306</v>
      </c>
      <c r="B494" s="3">
        <v>0.9</v>
      </c>
      <c r="C494" s="3">
        <v>0.5</v>
      </c>
      <c r="D494" s="3">
        <v>0.6</v>
      </c>
      <c r="E494" s="3">
        <v>0.36</v>
      </c>
      <c r="F494" s="7">
        <v>957.875</v>
      </c>
      <c r="G494" s="3">
        <v>7.0000000000000001E-3</v>
      </c>
      <c r="I494" s="3" t="s">
        <v>306</v>
      </c>
      <c r="J494" s="3">
        <v>0.3</v>
      </c>
      <c r="K494" s="6">
        <v>956.83581500000003</v>
      </c>
      <c r="L494" s="3">
        <v>0</v>
      </c>
      <c r="M494" s="3">
        <f t="shared" si="52"/>
        <v>0.32999999999999996</v>
      </c>
      <c r="N494" s="5"/>
      <c r="O494" s="5"/>
      <c r="P494" s="5"/>
      <c r="Q494" s="5"/>
      <c r="R494" s="1"/>
      <c r="S494" s="3" t="s">
        <v>306</v>
      </c>
      <c r="T494" s="3">
        <v>0.9</v>
      </c>
      <c r="U494" s="3">
        <v>0.5</v>
      </c>
      <c r="V494" s="3">
        <v>0.6</v>
      </c>
      <c r="W494" s="3">
        <v>0.32</v>
      </c>
      <c r="X494" s="6">
        <v>919.946777</v>
      </c>
      <c r="Y494" s="3">
        <v>4.0000000000000001E-3</v>
      </c>
      <c r="AA494" s="3" t="s">
        <v>306</v>
      </c>
      <c r="AB494" s="3">
        <v>0.31</v>
      </c>
      <c r="AC494" s="7">
        <v>934.07678199999998</v>
      </c>
      <c r="AD494" s="3">
        <v>1E-3</v>
      </c>
      <c r="AE494" s="3">
        <f t="shared" si="53"/>
        <v>0.315</v>
      </c>
      <c r="AF494" s="5"/>
      <c r="AG494" s="5"/>
      <c r="AH494" s="5"/>
      <c r="AI494" s="5"/>
      <c r="AJ494" s="1"/>
      <c r="AK494" s="3" t="s">
        <v>307</v>
      </c>
      <c r="AL494" s="3">
        <v>0.9</v>
      </c>
      <c r="AM494" s="3">
        <v>0.5</v>
      </c>
      <c r="AN494" s="3">
        <v>0.6</v>
      </c>
      <c r="AO494" s="3">
        <v>0.31</v>
      </c>
      <c r="AP494" s="6">
        <v>1168.204712</v>
      </c>
      <c r="AQ494" s="3">
        <v>1.7000000000000001E-2</v>
      </c>
      <c r="AS494" s="3" t="s">
        <v>307</v>
      </c>
      <c r="AT494" s="3">
        <v>0.31</v>
      </c>
      <c r="AU494" s="7">
        <v>1190.9517820000001</v>
      </c>
      <c r="AV494" s="3">
        <v>2E-3</v>
      </c>
      <c r="AW494" s="3">
        <f t="shared" si="54"/>
        <v>0.31</v>
      </c>
      <c r="AX494" s="5"/>
      <c r="AY494" s="5"/>
      <c r="AZ494" s="5"/>
      <c r="BA494" s="5"/>
      <c r="BB494" s="1"/>
      <c r="BC494" s="3" t="s">
        <v>307</v>
      </c>
      <c r="BD494" s="3">
        <v>0.9</v>
      </c>
      <c r="BE494" s="3">
        <v>0.5</v>
      </c>
      <c r="BF494" s="3">
        <v>0.6</v>
      </c>
      <c r="BG494" s="3">
        <v>0.33</v>
      </c>
      <c r="BH494" s="6">
        <v>1167.3831789999999</v>
      </c>
      <c r="BI494" s="3">
        <v>0.01</v>
      </c>
      <c r="BK494" s="3" t="s">
        <v>307</v>
      </c>
      <c r="BL494" s="3">
        <v>0.31</v>
      </c>
      <c r="BM494" s="7">
        <v>1176.7344969999999</v>
      </c>
      <c r="BN494" s="3">
        <v>1E-3</v>
      </c>
      <c r="BO494" s="3">
        <f t="shared" si="55"/>
        <v>0.32</v>
      </c>
    </row>
    <row r="495" spans="1:67" x14ac:dyDescent="0.3">
      <c r="A495" s="3" t="s">
        <v>308</v>
      </c>
      <c r="B495" s="3">
        <v>0.9</v>
      </c>
      <c r="C495" s="3">
        <v>0.5</v>
      </c>
      <c r="D495" s="3">
        <v>0.6</v>
      </c>
      <c r="E495" s="3">
        <v>0.34</v>
      </c>
      <c r="F495" s="6">
        <v>954.61773700000003</v>
      </c>
      <c r="G495" s="3">
        <v>4.0000000000000001E-3</v>
      </c>
      <c r="I495" s="3" t="s">
        <v>308</v>
      </c>
      <c r="J495" s="3">
        <v>0.31</v>
      </c>
      <c r="K495" s="7">
        <v>958.52380400000004</v>
      </c>
      <c r="L495" s="3">
        <v>0</v>
      </c>
      <c r="M495" s="3">
        <f t="shared" si="52"/>
        <v>0.32500000000000001</v>
      </c>
      <c r="N495" s="5"/>
      <c r="O495" s="5"/>
      <c r="P495" s="5"/>
      <c r="Q495" s="5"/>
      <c r="R495" s="1"/>
      <c r="S495" s="3" t="s">
        <v>308</v>
      </c>
      <c r="T495" s="3">
        <v>0.9</v>
      </c>
      <c r="U495" s="3">
        <v>0.5</v>
      </c>
      <c r="V495" s="3">
        <v>0.6</v>
      </c>
      <c r="W495" s="3">
        <v>0.32</v>
      </c>
      <c r="X495" s="6">
        <v>931.02593999999999</v>
      </c>
      <c r="Y495" s="3">
        <v>4.0000000000000001E-3</v>
      </c>
      <c r="AA495" s="3" t="s">
        <v>308</v>
      </c>
      <c r="AB495" s="3">
        <v>0.37</v>
      </c>
      <c r="AC495" s="7">
        <v>949.98284899999999</v>
      </c>
      <c r="AD495" s="3">
        <v>0</v>
      </c>
      <c r="AE495" s="3">
        <f t="shared" si="53"/>
        <v>0.34499999999999997</v>
      </c>
      <c r="AF495" s="5"/>
      <c r="AG495" s="5"/>
      <c r="AH495" s="5"/>
      <c r="AI495" s="5"/>
      <c r="AJ495" s="1"/>
      <c r="AK495" s="3" t="s">
        <v>309</v>
      </c>
      <c r="AL495" s="3">
        <v>0.9</v>
      </c>
      <c r="AM495" s="3">
        <v>0.5</v>
      </c>
      <c r="AN495" s="3">
        <v>0.6</v>
      </c>
      <c r="AO495" s="3">
        <v>0.3</v>
      </c>
      <c r="AP495" s="6">
        <v>1154.349365</v>
      </c>
      <c r="AQ495" s="3">
        <v>1.0999999999999999E-2</v>
      </c>
      <c r="AS495" s="3" t="s">
        <v>309</v>
      </c>
      <c r="AT495" s="3">
        <v>0.3</v>
      </c>
      <c r="AU495" s="7">
        <v>1206.2510990000001</v>
      </c>
      <c r="AV495" s="3">
        <v>2E-3</v>
      </c>
      <c r="AW495" s="3">
        <f t="shared" si="54"/>
        <v>0.3</v>
      </c>
      <c r="AX495" s="5"/>
      <c r="AY495" s="5"/>
      <c r="AZ495" s="5"/>
      <c r="BA495" s="5"/>
      <c r="BB495" s="1"/>
      <c r="BC495" s="3" t="s">
        <v>309</v>
      </c>
      <c r="BD495" s="3">
        <v>0.9</v>
      </c>
      <c r="BE495" s="3">
        <v>0.5</v>
      </c>
      <c r="BF495" s="3">
        <v>0.6</v>
      </c>
      <c r="BG495" s="3">
        <v>0.33</v>
      </c>
      <c r="BH495" s="7">
        <v>1197.0397949999999</v>
      </c>
      <c r="BI495" s="3">
        <v>1.0999999999999999E-2</v>
      </c>
      <c r="BK495" s="3" t="s">
        <v>309</v>
      </c>
      <c r="BL495" s="3">
        <v>0.3</v>
      </c>
      <c r="BM495" s="6">
        <v>1162.5817870000001</v>
      </c>
      <c r="BN495" s="3">
        <v>1E-3</v>
      </c>
      <c r="BO495" s="3">
        <f t="shared" si="55"/>
        <v>0.315</v>
      </c>
    </row>
    <row r="496" spans="1:67" x14ac:dyDescent="0.3">
      <c r="A496" s="3" t="s">
        <v>310</v>
      </c>
      <c r="B496" s="3">
        <v>0.9</v>
      </c>
      <c r="C496" s="3">
        <v>0.5</v>
      </c>
      <c r="D496" s="3">
        <v>0.6</v>
      </c>
      <c r="E496" s="3">
        <v>0.3</v>
      </c>
      <c r="F496" s="6">
        <v>928.96258499999999</v>
      </c>
      <c r="G496" s="3">
        <v>8.0000000000000002E-3</v>
      </c>
      <c r="I496" s="3" t="s">
        <v>310</v>
      </c>
      <c r="J496" s="3">
        <v>0.32</v>
      </c>
      <c r="K496" s="7">
        <v>929.49401899999998</v>
      </c>
      <c r="L496" s="3">
        <v>0</v>
      </c>
      <c r="M496" s="3">
        <f t="shared" si="52"/>
        <v>0.31</v>
      </c>
      <c r="N496" s="5"/>
      <c r="O496" s="5"/>
      <c r="P496" s="5"/>
      <c r="Q496" s="5"/>
      <c r="R496" s="1"/>
      <c r="S496" s="3" t="s">
        <v>310</v>
      </c>
      <c r="T496" s="3">
        <v>0.9</v>
      </c>
      <c r="U496" s="3">
        <v>0.5</v>
      </c>
      <c r="V496" s="3">
        <v>0.6</v>
      </c>
      <c r="W496" s="3">
        <v>0.33</v>
      </c>
      <c r="X496" s="6">
        <v>908.57861300000002</v>
      </c>
      <c r="Y496" s="3">
        <v>4.0000000000000001E-3</v>
      </c>
      <c r="AA496" s="3" t="s">
        <v>310</v>
      </c>
      <c r="AB496" s="3">
        <v>0.3</v>
      </c>
      <c r="AC496" s="7">
        <v>926.100098</v>
      </c>
      <c r="AD496" s="3">
        <v>0</v>
      </c>
      <c r="AE496" s="3">
        <f t="shared" si="53"/>
        <v>0.315</v>
      </c>
      <c r="AF496" s="5"/>
      <c r="AG496" s="5"/>
      <c r="AH496" s="5"/>
      <c r="AI496" s="5"/>
      <c r="AJ496" s="1"/>
      <c r="AK496" s="3" t="s">
        <v>311</v>
      </c>
      <c r="AL496" s="3">
        <v>0.9</v>
      </c>
      <c r="AM496" s="3">
        <v>0.5</v>
      </c>
      <c r="AN496" s="3">
        <v>0.6</v>
      </c>
      <c r="AO496" s="3">
        <v>0.3</v>
      </c>
      <c r="AP496" s="7">
        <v>1223.0201420000001</v>
      </c>
      <c r="AQ496" s="3">
        <v>0.01</v>
      </c>
      <c r="AS496" s="3" t="s">
        <v>311</v>
      </c>
      <c r="AT496" s="3">
        <v>0.33</v>
      </c>
      <c r="AU496" s="6">
        <v>1212.6442870000001</v>
      </c>
      <c r="AV496" s="3">
        <v>1E-3</v>
      </c>
      <c r="AW496" s="3">
        <f t="shared" si="54"/>
        <v>0.315</v>
      </c>
      <c r="AX496" s="5"/>
      <c r="AY496" s="5"/>
      <c r="AZ496" s="5"/>
      <c r="BA496" s="5"/>
      <c r="BB496" s="1"/>
      <c r="BC496" s="3" t="s">
        <v>311</v>
      </c>
      <c r="BD496" s="3">
        <v>0.9</v>
      </c>
      <c r="BE496" s="3">
        <v>0.5</v>
      </c>
      <c r="BF496" s="3">
        <v>0.6</v>
      </c>
      <c r="BG496" s="3">
        <v>0.32</v>
      </c>
      <c r="BH496" s="7">
        <v>1228.051025</v>
      </c>
      <c r="BI496" s="3">
        <v>0.01</v>
      </c>
      <c r="BK496" s="3" t="s">
        <v>311</v>
      </c>
      <c r="BL496" s="3">
        <v>0.3</v>
      </c>
      <c r="BM496" s="6">
        <v>1207.460693</v>
      </c>
      <c r="BN496" s="3">
        <v>1E-3</v>
      </c>
      <c r="BO496" s="3">
        <f t="shared" si="55"/>
        <v>0.31</v>
      </c>
    </row>
    <row r="497" spans="1:71" x14ac:dyDescent="0.3">
      <c r="A497" s="3" t="s">
        <v>312</v>
      </c>
      <c r="B497" s="3">
        <v>0.9</v>
      </c>
      <c r="C497" s="3">
        <v>0.5</v>
      </c>
      <c r="D497" s="3">
        <v>0.6</v>
      </c>
      <c r="E497" s="3">
        <v>0.3</v>
      </c>
      <c r="F497" s="6">
        <v>889.36700399999995</v>
      </c>
      <c r="G497" s="3">
        <v>6.0000000000000001E-3</v>
      </c>
      <c r="I497" s="3" t="s">
        <v>312</v>
      </c>
      <c r="J497" s="3">
        <v>0.31</v>
      </c>
      <c r="K497" s="7">
        <v>914.56188999999995</v>
      </c>
      <c r="L497" s="3">
        <v>0</v>
      </c>
      <c r="M497" s="3">
        <f t="shared" si="52"/>
        <v>0.30499999999999999</v>
      </c>
      <c r="N497" s="5"/>
      <c r="O497" s="5"/>
      <c r="P497" s="5"/>
      <c r="Q497" s="5"/>
      <c r="R497" s="1"/>
      <c r="S497" s="3" t="s">
        <v>312</v>
      </c>
      <c r="T497" s="3">
        <v>0.9</v>
      </c>
      <c r="U497" s="3">
        <v>0.5</v>
      </c>
      <c r="V497" s="3">
        <v>0.6</v>
      </c>
      <c r="W497" s="3">
        <v>0.31</v>
      </c>
      <c r="X497" s="6">
        <v>867.36395300000004</v>
      </c>
      <c r="Y497" s="3">
        <v>3.0000000000000001E-3</v>
      </c>
      <c r="AA497" s="3" t="s">
        <v>312</v>
      </c>
      <c r="AB497" s="3">
        <v>0.37</v>
      </c>
      <c r="AC497" s="7">
        <v>893.88311799999997</v>
      </c>
      <c r="AD497" s="3">
        <v>0</v>
      </c>
      <c r="AE497" s="3">
        <f t="shared" si="53"/>
        <v>0.33999999999999997</v>
      </c>
      <c r="AF497" s="5"/>
      <c r="AG497" s="5"/>
      <c r="AH497" s="5"/>
      <c r="AI497" s="5"/>
      <c r="AJ497" s="1"/>
      <c r="AK497" s="3" t="s">
        <v>313</v>
      </c>
      <c r="AL497" s="3">
        <v>0.9</v>
      </c>
      <c r="AM497" s="3">
        <v>0.5</v>
      </c>
      <c r="AN497" s="3">
        <v>0.6</v>
      </c>
      <c r="AO497" s="3">
        <v>0.31</v>
      </c>
      <c r="AP497" s="7">
        <v>1207.748169</v>
      </c>
      <c r="AQ497" s="3">
        <v>8.9999999999999993E-3</v>
      </c>
      <c r="AS497" s="3" t="s">
        <v>313</v>
      </c>
      <c r="AT497" s="3">
        <v>0.33</v>
      </c>
      <c r="AU497" s="6">
        <v>1203.7854</v>
      </c>
      <c r="AV497" s="3">
        <v>1E-3</v>
      </c>
      <c r="AW497" s="3">
        <f t="shared" si="54"/>
        <v>0.32</v>
      </c>
      <c r="AX497" s="5"/>
      <c r="AY497" s="5"/>
      <c r="AZ497" s="5"/>
      <c r="BA497" s="5"/>
      <c r="BB497" s="1"/>
      <c r="BC497" s="3" t="s">
        <v>313</v>
      </c>
      <c r="BD497" s="3">
        <v>0.9</v>
      </c>
      <c r="BE497" s="3">
        <v>0.5</v>
      </c>
      <c r="BF497" s="3">
        <v>0.6</v>
      </c>
      <c r="BG497" s="3">
        <v>0.3</v>
      </c>
      <c r="BH497" s="6">
        <v>1200.739624</v>
      </c>
      <c r="BI497" s="3">
        <v>8.9999999999999993E-3</v>
      </c>
      <c r="BK497" s="3" t="s">
        <v>313</v>
      </c>
      <c r="BL497" s="3">
        <v>0.31</v>
      </c>
      <c r="BM497" s="7">
        <v>1206.7860109999999</v>
      </c>
      <c r="BN497" s="3">
        <v>1E-3</v>
      </c>
      <c r="BO497" s="3">
        <f t="shared" si="55"/>
        <v>0.30499999999999999</v>
      </c>
    </row>
    <row r="498" spans="1:71" x14ac:dyDescent="0.3">
      <c r="A498" s="9" t="s">
        <v>316</v>
      </c>
      <c r="E498" s="9">
        <f>AVERAGE(E468:E497)</f>
        <v>0.31599999999999995</v>
      </c>
      <c r="I498" s="9" t="s">
        <v>316</v>
      </c>
      <c r="J498" s="9">
        <f>AVERAGE(J468:J497)</f>
        <v>0.313</v>
      </c>
      <c r="R498" s="1"/>
      <c r="S498" s="9" t="s">
        <v>316</v>
      </c>
      <c r="W498" s="9">
        <f>AVERAGE(W468:W497)</f>
        <v>0.31766666666666665</v>
      </c>
      <c r="AA498" s="9" t="s">
        <v>316</v>
      </c>
      <c r="AB498" s="9">
        <f>AVERAGE(AB468:AB497)</f>
        <v>0.32300000000000001</v>
      </c>
      <c r="AJ498" s="1"/>
      <c r="AK498" s="9" t="s">
        <v>316</v>
      </c>
      <c r="AO498" s="9">
        <f>AVERAGE(AO468:AO497)</f>
        <v>0.30733333333333335</v>
      </c>
      <c r="AS498" s="9" t="s">
        <v>316</v>
      </c>
      <c r="AT498" s="9">
        <f>AVERAGE(AT468:AT497)</f>
        <v>0.3106666666666667</v>
      </c>
      <c r="BB498" s="1"/>
      <c r="BC498" s="9" t="s">
        <v>316</v>
      </c>
      <c r="BG498" s="9">
        <f>AVERAGE(BG468:BG497)</f>
        <v>0.3166666666666666</v>
      </c>
      <c r="BK498" s="9" t="s">
        <v>316</v>
      </c>
      <c r="BL498" s="9">
        <f>AVERAGE(BL468:BL497)</f>
        <v>0.31166666666666665</v>
      </c>
    </row>
    <row r="499" spans="1:71" x14ac:dyDescent="0.3">
      <c r="R499" s="1"/>
      <c r="AJ499" s="1"/>
      <c r="BB499" s="1"/>
    </row>
    <row r="500" spans="1:71" x14ac:dyDescent="0.3">
      <c r="R500" s="1"/>
      <c r="AJ500" s="1"/>
      <c r="BB500" s="1"/>
    </row>
    <row r="501" spans="1:71" x14ac:dyDescent="0.3">
      <c r="A501" s="19" t="s">
        <v>314</v>
      </c>
      <c r="B501" s="19"/>
      <c r="C501" s="19"/>
      <c r="D501" s="19"/>
      <c r="E501" s="19"/>
      <c r="F501" s="19"/>
      <c r="G501" s="19"/>
      <c r="I501" s="19" t="s">
        <v>315</v>
      </c>
      <c r="J501" s="19"/>
      <c r="K501" s="19"/>
      <c r="L501" s="19"/>
      <c r="M501" s="19"/>
      <c r="N501" s="11"/>
      <c r="O501" s="11"/>
      <c r="P501" s="11"/>
      <c r="Q501" s="11"/>
      <c r="R501" s="1"/>
      <c r="S501" s="19" t="s">
        <v>314</v>
      </c>
      <c r="T501" s="19"/>
      <c r="U501" s="19"/>
      <c r="V501" s="19"/>
      <c r="W501" s="19"/>
      <c r="X501" s="19"/>
      <c r="Y501" s="19"/>
      <c r="AA501" s="19" t="s">
        <v>315</v>
      </c>
      <c r="AB501" s="19"/>
      <c r="AC501" s="19"/>
      <c r="AD501" s="19"/>
      <c r="AE501" s="19"/>
      <c r="AF501" s="11"/>
      <c r="AG501" s="11"/>
      <c r="AH501" s="11"/>
      <c r="AI501" s="11"/>
      <c r="AJ501" s="1"/>
      <c r="AK501" s="19" t="s">
        <v>314</v>
      </c>
      <c r="AL501" s="19"/>
      <c r="AM501" s="19"/>
      <c r="AN501" s="19"/>
      <c r="AO501" s="19"/>
      <c r="AP501" s="19"/>
      <c r="AQ501" s="19"/>
      <c r="AS501" s="19" t="s">
        <v>315</v>
      </c>
      <c r="AT501" s="19"/>
      <c r="AU501" s="19"/>
      <c r="AV501" s="19"/>
      <c r="AW501" s="19"/>
      <c r="AX501" s="11"/>
      <c r="AY501" s="11"/>
      <c r="AZ501" s="11"/>
      <c r="BA501" s="11"/>
      <c r="BB501" s="1"/>
      <c r="BC501" s="19" t="s">
        <v>314</v>
      </c>
      <c r="BD501" s="19"/>
      <c r="BE501" s="19"/>
      <c r="BF501" s="19"/>
      <c r="BG501" s="19"/>
      <c r="BH501" s="19"/>
      <c r="BI501" s="19"/>
      <c r="BK501" s="19" t="s">
        <v>315</v>
      </c>
      <c r="BL501" s="19"/>
      <c r="BM501" s="19"/>
      <c r="BN501" s="19"/>
      <c r="BO501" s="19"/>
    </row>
    <row r="502" spans="1:71" x14ac:dyDescent="0.3">
      <c r="A502" s="19" t="s">
        <v>72</v>
      </c>
      <c r="B502" s="19"/>
      <c r="C502" s="19"/>
      <c r="D502" s="19"/>
      <c r="E502" s="19"/>
      <c r="F502" s="19"/>
      <c r="G502" s="19"/>
      <c r="I502" s="19" t="s">
        <v>72</v>
      </c>
      <c r="J502" s="19"/>
      <c r="K502" s="19"/>
      <c r="L502" s="19"/>
      <c r="M502" s="19"/>
      <c r="N502" s="11"/>
      <c r="O502" s="11"/>
      <c r="P502" s="11"/>
      <c r="Q502" s="11"/>
      <c r="R502" s="1"/>
      <c r="S502" s="19" t="s">
        <v>73</v>
      </c>
      <c r="T502" s="19"/>
      <c r="U502" s="19"/>
      <c r="V502" s="19"/>
      <c r="W502" s="19"/>
      <c r="X502" s="19"/>
      <c r="Y502" s="19"/>
      <c r="AA502" s="19" t="s">
        <v>73</v>
      </c>
      <c r="AB502" s="19"/>
      <c r="AC502" s="19"/>
      <c r="AD502" s="19"/>
      <c r="AE502" s="19"/>
      <c r="AF502" s="11"/>
      <c r="AG502" s="11"/>
      <c r="AH502" s="11"/>
      <c r="AI502" s="11"/>
      <c r="AJ502" s="1"/>
      <c r="AK502" s="19" t="s">
        <v>72</v>
      </c>
      <c r="AL502" s="19"/>
      <c r="AM502" s="19"/>
      <c r="AN502" s="19"/>
      <c r="AO502" s="19"/>
      <c r="AP502" s="19"/>
      <c r="AQ502" s="19"/>
      <c r="AS502" s="19" t="s">
        <v>72</v>
      </c>
      <c r="AT502" s="19"/>
      <c r="AU502" s="19"/>
      <c r="AV502" s="19"/>
      <c r="AW502" s="19"/>
      <c r="AX502" s="11"/>
      <c r="AY502" s="11"/>
      <c r="AZ502" s="11"/>
      <c r="BA502" s="11"/>
      <c r="BB502" s="1"/>
      <c r="BC502" s="19" t="s">
        <v>73</v>
      </c>
      <c r="BD502" s="19"/>
      <c r="BE502" s="19"/>
      <c r="BF502" s="19"/>
      <c r="BG502" s="19"/>
      <c r="BH502" s="19"/>
      <c r="BI502" s="19"/>
      <c r="BK502" s="19" t="s">
        <v>73</v>
      </c>
      <c r="BL502" s="19"/>
      <c r="BM502" s="19"/>
      <c r="BN502" s="19"/>
      <c r="BO502" s="19"/>
    </row>
    <row r="503" spans="1:71" x14ac:dyDescent="0.3">
      <c r="A503" s="3" t="s">
        <v>2</v>
      </c>
      <c r="B503" s="3" t="s">
        <v>3</v>
      </c>
      <c r="C503" s="3" t="s">
        <v>4</v>
      </c>
      <c r="D503" s="3" t="s">
        <v>5</v>
      </c>
      <c r="E503" s="3" t="s">
        <v>6</v>
      </c>
      <c r="F503" s="3" t="s">
        <v>7</v>
      </c>
      <c r="G503" s="3" t="s">
        <v>8</v>
      </c>
      <c r="I503" s="3" t="s">
        <v>2</v>
      </c>
      <c r="J503" s="3" t="s">
        <v>6</v>
      </c>
      <c r="K503" s="3" t="s">
        <v>7</v>
      </c>
      <c r="L503" s="3" t="s">
        <v>8</v>
      </c>
      <c r="M503" s="3" t="s">
        <v>9</v>
      </c>
      <c r="N503" s="3" t="s">
        <v>322</v>
      </c>
      <c r="O503" s="3" t="s">
        <v>323</v>
      </c>
      <c r="P503" s="3" t="s">
        <v>322</v>
      </c>
      <c r="Q503" s="3" t="s">
        <v>323</v>
      </c>
      <c r="R503" s="1"/>
      <c r="S503" s="3" t="s">
        <v>2</v>
      </c>
      <c r="T503" s="3" t="s">
        <v>3</v>
      </c>
      <c r="U503" s="3" t="s">
        <v>4</v>
      </c>
      <c r="V503" s="3" t="s">
        <v>5</v>
      </c>
      <c r="W503" s="3" t="s">
        <v>6</v>
      </c>
      <c r="X503" s="3" t="s">
        <v>7</v>
      </c>
      <c r="Y503" s="3" t="s">
        <v>8</v>
      </c>
      <c r="AA503" s="3" t="s">
        <v>2</v>
      </c>
      <c r="AB503" s="3" t="s">
        <v>6</v>
      </c>
      <c r="AC503" s="3" t="s">
        <v>7</v>
      </c>
      <c r="AD503" s="3" t="s">
        <v>8</v>
      </c>
      <c r="AE503" s="3" t="s">
        <v>9</v>
      </c>
      <c r="AF503" s="3" t="s">
        <v>322</v>
      </c>
      <c r="AG503" s="3" t="s">
        <v>323</v>
      </c>
      <c r="AH503" s="3" t="s">
        <v>322</v>
      </c>
      <c r="AI503" s="3" t="s">
        <v>323</v>
      </c>
      <c r="AJ503" s="1"/>
      <c r="AK503" s="3" t="s">
        <v>2</v>
      </c>
      <c r="AL503" s="3" t="s">
        <v>3</v>
      </c>
      <c r="AM503" s="3" t="s">
        <v>4</v>
      </c>
      <c r="AN503" s="3" t="s">
        <v>5</v>
      </c>
      <c r="AO503" s="3" t="s">
        <v>6</v>
      </c>
      <c r="AP503" s="3" t="s">
        <v>7</v>
      </c>
      <c r="AQ503" s="3" t="s">
        <v>8</v>
      </c>
      <c r="AS503" s="3" t="s">
        <v>2</v>
      </c>
      <c r="AT503" s="3" t="s">
        <v>6</v>
      </c>
      <c r="AU503" s="3" t="s">
        <v>7</v>
      </c>
      <c r="AV503" s="3" t="s">
        <v>8</v>
      </c>
      <c r="AW503" s="3" t="s">
        <v>9</v>
      </c>
      <c r="AX503" s="3" t="s">
        <v>322</v>
      </c>
      <c r="AY503" s="3" t="s">
        <v>323</v>
      </c>
      <c r="AZ503" s="3" t="s">
        <v>322</v>
      </c>
      <c r="BA503" s="3" t="s">
        <v>323</v>
      </c>
      <c r="BB503" s="1"/>
      <c r="BC503" s="3" t="s">
        <v>2</v>
      </c>
      <c r="BD503" s="3" t="s">
        <v>3</v>
      </c>
      <c r="BE503" s="3" t="s">
        <v>4</v>
      </c>
      <c r="BF503" s="3" t="s">
        <v>5</v>
      </c>
      <c r="BG503" s="3" t="s">
        <v>6</v>
      </c>
      <c r="BH503" s="3" t="s">
        <v>7</v>
      </c>
      <c r="BI503" s="3" t="s">
        <v>8</v>
      </c>
      <c r="BK503" s="3" t="s">
        <v>2</v>
      </c>
      <c r="BL503" s="3" t="s">
        <v>6</v>
      </c>
      <c r="BM503" s="3" t="s">
        <v>7</v>
      </c>
      <c r="BN503" s="3" t="s">
        <v>8</v>
      </c>
      <c r="BO503" s="3" t="s">
        <v>9</v>
      </c>
      <c r="BP503" s="3" t="s">
        <v>322</v>
      </c>
      <c r="BQ503" s="3" t="s">
        <v>323</v>
      </c>
      <c r="BR503" s="3" t="s">
        <v>322</v>
      </c>
      <c r="BS503" s="3" t="s">
        <v>323</v>
      </c>
    </row>
    <row r="504" spans="1:71" x14ac:dyDescent="0.3">
      <c r="A504" s="3" t="s">
        <v>254</v>
      </c>
      <c r="B504" s="3">
        <v>0.9</v>
      </c>
      <c r="C504" s="3">
        <v>0.5</v>
      </c>
      <c r="D504" s="3">
        <v>0.6</v>
      </c>
      <c r="E504" s="3">
        <v>0.3</v>
      </c>
      <c r="F504" s="6">
        <v>679.70611599999995</v>
      </c>
      <c r="G504" s="3">
        <v>2E-3</v>
      </c>
      <c r="I504" s="3" t="s">
        <v>254</v>
      </c>
      <c r="J504" s="3">
        <v>0.3</v>
      </c>
      <c r="K504" s="7">
        <v>686.17468299999996</v>
      </c>
      <c r="L504" s="3">
        <v>0</v>
      </c>
      <c r="M504" s="3">
        <f t="shared" ref="M504:M533" si="56">AVERAGE(E504,J504)</f>
        <v>0.3</v>
      </c>
      <c r="N504" s="4" t="s">
        <v>320</v>
      </c>
      <c r="O504" s="4" t="s">
        <v>320</v>
      </c>
      <c r="P504" s="4" t="s">
        <v>321</v>
      </c>
      <c r="Q504" s="4" t="s">
        <v>321</v>
      </c>
      <c r="R504" s="1"/>
      <c r="S504" s="3" t="s">
        <v>254</v>
      </c>
      <c r="T504" s="3">
        <v>0.9</v>
      </c>
      <c r="U504" s="3">
        <v>0.5</v>
      </c>
      <c r="V504" s="3">
        <v>0.6</v>
      </c>
      <c r="W504" s="3">
        <v>0.32</v>
      </c>
      <c r="X504" s="7">
        <v>679.07751499999995</v>
      </c>
      <c r="Y504" s="3">
        <v>4.0000000000000001E-3</v>
      </c>
      <c r="AA504" s="3" t="s">
        <v>254</v>
      </c>
      <c r="AB504" s="3">
        <v>0.32</v>
      </c>
      <c r="AC504" s="6">
        <v>664.94323699999995</v>
      </c>
      <c r="AD504" s="3">
        <v>0</v>
      </c>
      <c r="AE504" s="3">
        <f t="shared" ref="AE504:AE533" si="57">AVERAGE(W504,AB504)</f>
        <v>0.32</v>
      </c>
      <c r="AF504" s="4" t="s">
        <v>320</v>
      </c>
      <c r="AG504" s="4" t="s">
        <v>320</v>
      </c>
      <c r="AH504" s="4" t="s">
        <v>321</v>
      </c>
      <c r="AI504" s="4" t="s">
        <v>321</v>
      </c>
      <c r="AJ504" s="1"/>
      <c r="AK504" s="3" t="s">
        <v>255</v>
      </c>
      <c r="AL504" s="3">
        <v>0.9</v>
      </c>
      <c r="AM504" s="3">
        <v>0.5</v>
      </c>
      <c r="AN504" s="3">
        <v>0.6</v>
      </c>
      <c r="AO504" s="3">
        <v>0.3</v>
      </c>
      <c r="AP504" s="7">
        <v>1054.5460210000001</v>
      </c>
      <c r="AQ504" s="3">
        <v>8.0000000000000002E-3</v>
      </c>
      <c r="AS504" s="3" t="s">
        <v>255</v>
      </c>
      <c r="AT504" s="3">
        <v>0.3</v>
      </c>
      <c r="AU504" s="6">
        <v>1051.1640620000001</v>
      </c>
      <c r="AV504" s="3">
        <v>1E-3</v>
      </c>
      <c r="AW504" s="3">
        <f t="shared" ref="AW504:AW533" si="58">AVERAGE(AO504,AT504)</f>
        <v>0.3</v>
      </c>
      <c r="AX504" s="4" t="s">
        <v>320</v>
      </c>
      <c r="AY504" s="4" t="s">
        <v>320</v>
      </c>
      <c r="AZ504" s="4" t="s">
        <v>321</v>
      </c>
      <c r="BA504" s="4" t="s">
        <v>321</v>
      </c>
      <c r="BB504" s="1"/>
      <c r="BC504" s="3" t="s">
        <v>255</v>
      </c>
      <c r="BD504" s="3">
        <v>0.9</v>
      </c>
      <c r="BE504" s="3">
        <v>0.5</v>
      </c>
      <c r="BF504" s="3">
        <v>0.6</v>
      </c>
      <c r="BG504" s="3">
        <v>0.31</v>
      </c>
      <c r="BH504" s="7">
        <v>1032.615845</v>
      </c>
      <c r="BI504" s="3">
        <v>1.7000000000000001E-2</v>
      </c>
      <c r="BK504" s="3" t="s">
        <v>255</v>
      </c>
      <c r="BL504" s="3">
        <v>0.33</v>
      </c>
      <c r="BM504" s="6">
        <v>1026.618774</v>
      </c>
      <c r="BN504" s="3">
        <v>1E-3</v>
      </c>
      <c r="BO504" s="3">
        <f t="shared" ref="BO504:BO533" si="59">AVERAGE(BG504,BL504)</f>
        <v>0.32</v>
      </c>
      <c r="BP504" s="4" t="s">
        <v>320</v>
      </c>
      <c r="BQ504" s="4" t="s">
        <v>320</v>
      </c>
      <c r="BR504" s="4" t="s">
        <v>321</v>
      </c>
      <c r="BS504" s="4" t="s">
        <v>321</v>
      </c>
    </row>
    <row r="505" spans="1:71" x14ac:dyDescent="0.3">
      <c r="A505" s="3" t="s">
        <v>256</v>
      </c>
      <c r="B505" s="3">
        <v>0.9</v>
      </c>
      <c r="C505" s="3">
        <v>0.5</v>
      </c>
      <c r="D505" s="3">
        <v>0.6</v>
      </c>
      <c r="E505" s="3">
        <v>0.31</v>
      </c>
      <c r="F505" s="7">
        <v>710.54901099999995</v>
      </c>
      <c r="G505" s="3">
        <v>3.0000000000000001E-3</v>
      </c>
      <c r="I505" s="3" t="s">
        <v>256</v>
      </c>
      <c r="J505" s="3">
        <v>0.36</v>
      </c>
      <c r="K505" s="6">
        <v>704.23107900000002</v>
      </c>
      <c r="L505" s="3">
        <v>1E-3</v>
      </c>
      <c r="M505" s="3">
        <f t="shared" si="56"/>
        <v>0.33499999999999996</v>
      </c>
      <c r="N505" s="3">
        <f>COUNT(F504,F510:F511,F514:F515,F517:F518,F520:F521,F525:F532)</f>
        <v>17</v>
      </c>
      <c r="O505" s="3">
        <f>30-N505</f>
        <v>13</v>
      </c>
      <c r="P505" s="3">
        <f>COUNT(K505:K510,K512:K513,K516,K519,K522:K524,K533)</f>
        <v>14</v>
      </c>
      <c r="Q505" s="3">
        <f>30-P505</f>
        <v>16</v>
      </c>
      <c r="R505" s="1"/>
      <c r="S505" s="3" t="s">
        <v>256</v>
      </c>
      <c r="T505" s="3">
        <v>0.9</v>
      </c>
      <c r="U505" s="3">
        <v>0.5</v>
      </c>
      <c r="V505" s="3">
        <v>0.6</v>
      </c>
      <c r="W505" s="3">
        <v>0.34</v>
      </c>
      <c r="X505" s="6">
        <v>686.58764599999995</v>
      </c>
      <c r="Y505" s="3">
        <v>3.0000000000000001E-3</v>
      </c>
      <c r="AA505" s="3" t="s">
        <v>256</v>
      </c>
      <c r="AB505" s="3">
        <v>0.33</v>
      </c>
      <c r="AC505" s="7">
        <v>690.09503199999995</v>
      </c>
      <c r="AD505" s="3">
        <v>0</v>
      </c>
      <c r="AE505" s="3">
        <f t="shared" si="57"/>
        <v>0.33500000000000002</v>
      </c>
      <c r="AF505" s="3">
        <f>COUNT(X505,X507,X509,X512:X513,X515:X516,X521,X526:X527,X529,X531:X532)</f>
        <v>13</v>
      </c>
      <c r="AG505" s="3">
        <f>30-AF505</f>
        <v>17</v>
      </c>
      <c r="AH505" s="3">
        <f>COUNT(,AC504,AC506,AC508,AC510:AC511,AC514,AC517:AC520,AC522:AC525,AC528,AC530,AC533)</f>
        <v>18</v>
      </c>
      <c r="AI505" s="3">
        <f>30-AH505</f>
        <v>12</v>
      </c>
      <c r="AJ505" s="1"/>
      <c r="AK505" s="3" t="s">
        <v>257</v>
      </c>
      <c r="AL505" s="3">
        <v>0.9</v>
      </c>
      <c r="AM505" s="3">
        <v>0.5</v>
      </c>
      <c r="AN505" s="3">
        <v>0.6</v>
      </c>
      <c r="AO505" s="3">
        <v>0.31</v>
      </c>
      <c r="AP505" s="7">
        <v>1014.87207</v>
      </c>
      <c r="AQ505" s="3">
        <v>8.9999999999999993E-3</v>
      </c>
      <c r="AS505" s="3" t="s">
        <v>257</v>
      </c>
      <c r="AT505" s="3">
        <v>0.31</v>
      </c>
      <c r="AU505" s="6">
        <v>995.85723900000005</v>
      </c>
      <c r="AV505" s="3">
        <v>1E-3</v>
      </c>
      <c r="AW505" s="3">
        <f t="shared" si="58"/>
        <v>0.31</v>
      </c>
      <c r="AX505" s="3">
        <f>COUNT(AP507:AP508,AP511:AP512,AP515:AP516,AP518,AP520,AP523:AP524,AP526,AP529:AP533)</f>
        <v>16</v>
      </c>
      <c r="AY505" s="3">
        <f>30-AX505</f>
        <v>14</v>
      </c>
      <c r="AZ505" s="3">
        <f>COUNT(AU504:AU506,AU509:AU510,AU513:AU514,AU517,AU519,AU521:AU522,AU525,AU527:AU528)</f>
        <v>14</v>
      </c>
      <c r="BA505" s="3">
        <f>30-AZ505</f>
        <v>16</v>
      </c>
      <c r="BB505" s="1"/>
      <c r="BC505" s="3" t="s">
        <v>257</v>
      </c>
      <c r="BD505" s="3">
        <v>0.9</v>
      </c>
      <c r="BE505" s="3">
        <v>0.5</v>
      </c>
      <c r="BF505" s="3">
        <v>0.6</v>
      </c>
      <c r="BG505" s="3">
        <v>0.31</v>
      </c>
      <c r="BH505" s="6">
        <v>986.72198500000002</v>
      </c>
      <c r="BI505" s="3">
        <v>0.01</v>
      </c>
      <c r="BK505" s="3" t="s">
        <v>257</v>
      </c>
      <c r="BL505" s="3">
        <v>0.3</v>
      </c>
      <c r="BM505" s="7">
        <v>992.29614300000003</v>
      </c>
      <c r="BN505" s="3">
        <v>0</v>
      </c>
      <c r="BO505" s="3">
        <f t="shared" si="59"/>
        <v>0.30499999999999999</v>
      </c>
      <c r="BP505" s="3">
        <f>COUNT(BH505,BH508,BH512,BH514,BH517,BH519:BH520,BH522,BH524:BH529,BH532:BH533)</f>
        <v>16</v>
      </c>
      <c r="BQ505" s="3">
        <f>30-BP505</f>
        <v>14</v>
      </c>
      <c r="BR505" s="3">
        <f>COUNT(BM504,BM506:BM507,BM509:BM511,BM513,BM515,BM516,BM518,BM521,BM523,BM530:BM531)</f>
        <v>14</v>
      </c>
      <c r="BS505" s="3">
        <f>30-BR505</f>
        <v>16</v>
      </c>
    </row>
    <row r="506" spans="1:71" x14ac:dyDescent="0.3">
      <c r="A506" s="3" t="s">
        <v>258</v>
      </c>
      <c r="B506" s="3">
        <v>0.9</v>
      </c>
      <c r="C506" s="3">
        <v>0.5</v>
      </c>
      <c r="D506" s="3">
        <v>0.6</v>
      </c>
      <c r="E506" s="3">
        <v>0.3</v>
      </c>
      <c r="F506" s="7">
        <v>687.29931599999998</v>
      </c>
      <c r="G506" s="3">
        <v>4.0000000000000001E-3</v>
      </c>
      <c r="I506" s="3" t="s">
        <v>258</v>
      </c>
      <c r="J506" s="3">
        <v>0.31</v>
      </c>
      <c r="K506" s="6">
        <v>683.86737100000005</v>
      </c>
      <c r="L506" s="3">
        <v>0</v>
      </c>
      <c r="M506" s="3">
        <f t="shared" si="56"/>
        <v>0.30499999999999999</v>
      </c>
      <c r="N506" s="5"/>
      <c r="O506" s="5"/>
      <c r="P506" s="5"/>
      <c r="Q506" s="5"/>
      <c r="R506" s="1"/>
      <c r="S506" s="3" t="s">
        <v>258</v>
      </c>
      <c r="T506" s="3">
        <v>0.9</v>
      </c>
      <c r="U506" s="3">
        <v>0.5</v>
      </c>
      <c r="V506" s="3">
        <v>0.6</v>
      </c>
      <c r="W506" s="3">
        <v>0.31</v>
      </c>
      <c r="X506" s="7">
        <v>670.76342799999998</v>
      </c>
      <c r="Y506" s="3">
        <v>3.0000000000000001E-3</v>
      </c>
      <c r="AA506" s="3" t="s">
        <v>258</v>
      </c>
      <c r="AB506" s="3">
        <v>0.3</v>
      </c>
      <c r="AC506" s="6">
        <v>668.40197799999999</v>
      </c>
      <c r="AD506" s="3">
        <v>0</v>
      </c>
      <c r="AE506" s="3">
        <f t="shared" si="57"/>
        <v>0.30499999999999999</v>
      </c>
      <c r="AF506" s="5"/>
      <c r="AG506" s="5"/>
      <c r="AH506" s="5"/>
      <c r="AI506" s="5"/>
      <c r="AJ506" s="1"/>
      <c r="AK506" s="3" t="s">
        <v>259</v>
      </c>
      <c r="AL506" s="3">
        <v>0.9</v>
      </c>
      <c r="AM506" s="3">
        <v>0.5</v>
      </c>
      <c r="AN506" s="3">
        <v>0.6</v>
      </c>
      <c r="AO506" s="3">
        <v>0.3</v>
      </c>
      <c r="AP506" s="7">
        <v>1023.995911</v>
      </c>
      <c r="AQ506" s="3">
        <v>8.0000000000000002E-3</v>
      </c>
      <c r="AS506" s="3" t="s">
        <v>259</v>
      </c>
      <c r="AT506" s="3">
        <v>0.32</v>
      </c>
      <c r="AU506" s="6">
        <v>1019.266968</v>
      </c>
      <c r="AV506" s="3">
        <v>1E-3</v>
      </c>
      <c r="AW506" s="3">
        <f t="shared" si="58"/>
        <v>0.31</v>
      </c>
      <c r="AX506" s="5"/>
      <c r="AY506" s="5"/>
      <c r="AZ506" s="5"/>
      <c r="BA506" s="5"/>
      <c r="BB506" s="1"/>
      <c r="BC506" s="3" t="s">
        <v>259</v>
      </c>
      <c r="BD506" s="3">
        <v>0.9</v>
      </c>
      <c r="BE506" s="3">
        <v>0.5</v>
      </c>
      <c r="BF506" s="3">
        <v>0.6</v>
      </c>
      <c r="BG506" s="3">
        <v>0.3</v>
      </c>
      <c r="BH506" s="7">
        <v>1029.0161129999999</v>
      </c>
      <c r="BI506" s="3">
        <v>0.01</v>
      </c>
      <c r="BK506" s="3" t="s">
        <v>259</v>
      </c>
      <c r="BL506" s="3">
        <v>0.32</v>
      </c>
      <c r="BM506" s="6">
        <v>1009.641663</v>
      </c>
      <c r="BN506" s="3">
        <v>2E-3</v>
      </c>
      <c r="BO506" s="3">
        <f t="shared" si="59"/>
        <v>0.31</v>
      </c>
    </row>
    <row r="507" spans="1:71" x14ac:dyDescent="0.3">
      <c r="A507" s="3" t="s">
        <v>260</v>
      </c>
      <c r="B507" s="3">
        <v>0.9</v>
      </c>
      <c r="C507" s="3">
        <v>0.5</v>
      </c>
      <c r="D507" s="3">
        <v>0.6</v>
      </c>
      <c r="E507" s="3">
        <v>0.35</v>
      </c>
      <c r="F507" s="7">
        <v>723.85162400000002</v>
      </c>
      <c r="G507" s="3">
        <v>3.0000000000000001E-3</v>
      </c>
      <c r="I507" s="3" t="s">
        <v>260</v>
      </c>
      <c r="J507" s="3">
        <v>0.3</v>
      </c>
      <c r="K507" s="6">
        <v>722.10400400000003</v>
      </c>
      <c r="L507" s="3">
        <v>0</v>
      </c>
      <c r="M507" s="3">
        <f t="shared" si="56"/>
        <v>0.32499999999999996</v>
      </c>
      <c r="N507" s="5"/>
      <c r="O507" s="5"/>
      <c r="P507" s="5"/>
      <c r="Q507" s="5"/>
      <c r="R507" s="1"/>
      <c r="S507" s="3" t="s">
        <v>260</v>
      </c>
      <c r="T507" s="3">
        <v>0.9</v>
      </c>
      <c r="U507" s="3">
        <v>0.5</v>
      </c>
      <c r="V507" s="3">
        <v>0.6</v>
      </c>
      <c r="W507" s="3">
        <v>0.32</v>
      </c>
      <c r="X507" s="6">
        <v>712.31542999999999</v>
      </c>
      <c r="Y507" s="3">
        <v>4.0000000000000001E-3</v>
      </c>
      <c r="AA507" s="3" t="s">
        <v>260</v>
      </c>
      <c r="AB507" s="3">
        <v>0.32</v>
      </c>
      <c r="AC507" s="7">
        <v>715.62884499999996</v>
      </c>
      <c r="AD507" s="3">
        <v>0</v>
      </c>
      <c r="AE507" s="3">
        <f t="shared" si="57"/>
        <v>0.32</v>
      </c>
      <c r="AF507" s="5"/>
      <c r="AG507" s="5"/>
      <c r="AH507" s="5"/>
      <c r="AI507" s="5"/>
      <c r="AJ507" s="1"/>
      <c r="AK507" s="3" t="s">
        <v>261</v>
      </c>
      <c r="AL507" s="3">
        <v>0.9</v>
      </c>
      <c r="AM507" s="3">
        <v>0.5</v>
      </c>
      <c r="AN507" s="3">
        <v>0.6</v>
      </c>
      <c r="AO507" s="3">
        <v>0.3</v>
      </c>
      <c r="AP507" s="6">
        <v>985.50390600000003</v>
      </c>
      <c r="AQ507" s="3">
        <v>8.0000000000000002E-3</v>
      </c>
      <c r="AS507" s="3" t="s">
        <v>261</v>
      </c>
      <c r="AT507" s="3">
        <v>0.33</v>
      </c>
      <c r="AU507" s="7">
        <v>992.04766800000004</v>
      </c>
      <c r="AV507" s="3">
        <v>1E-3</v>
      </c>
      <c r="AW507" s="3">
        <f t="shared" si="58"/>
        <v>0.315</v>
      </c>
      <c r="AX507" s="5"/>
      <c r="AY507" s="5"/>
      <c r="AZ507" s="5"/>
      <c r="BA507" s="5"/>
      <c r="BB507" s="1"/>
      <c r="BC507" s="3" t="s">
        <v>261</v>
      </c>
      <c r="BD507" s="3">
        <v>0.9</v>
      </c>
      <c r="BE507" s="3">
        <v>0.5</v>
      </c>
      <c r="BF507" s="3">
        <v>0.6</v>
      </c>
      <c r="BG507" s="3">
        <v>0.3</v>
      </c>
      <c r="BH507" s="7">
        <v>980.40490699999998</v>
      </c>
      <c r="BI507" s="3">
        <v>1.2E-2</v>
      </c>
      <c r="BK507" s="3" t="s">
        <v>261</v>
      </c>
      <c r="BL507" s="3">
        <v>0.38</v>
      </c>
      <c r="BM507" s="6">
        <v>971.69177200000001</v>
      </c>
      <c r="BN507" s="3">
        <v>1E-3</v>
      </c>
      <c r="BO507" s="3">
        <f t="shared" si="59"/>
        <v>0.33999999999999997</v>
      </c>
    </row>
    <row r="508" spans="1:71" x14ac:dyDescent="0.3">
      <c r="A508" s="3" t="s">
        <v>262</v>
      </c>
      <c r="B508" s="3">
        <v>0.9</v>
      </c>
      <c r="C508" s="3">
        <v>0.5</v>
      </c>
      <c r="D508" s="3">
        <v>0.6</v>
      </c>
      <c r="E508" s="3">
        <v>0.31</v>
      </c>
      <c r="F508" s="7">
        <v>762.24292000000003</v>
      </c>
      <c r="G508" s="3">
        <v>4.0000000000000001E-3</v>
      </c>
      <c r="I508" s="3" t="s">
        <v>262</v>
      </c>
      <c r="J508" s="3">
        <v>0.3</v>
      </c>
      <c r="K508" s="6">
        <v>741.92681900000002</v>
      </c>
      <c r="L508" s="3">
        <v>0</v>
      </c>
      <c r="M508" s="3">
        <f t="shared" si="56"/>
        <v>0.30499999999999999</v>
      </c>
      <c r="N508" s="5"/>
      <c r="O508" s="5"/>
      <c r="P508" s="5"/>
      <c r="Q508" s="5"/>
      <c r="R508" s="1"/>
      <c r="S508" s="3" t="s">
        <v>262</v>
      </c>
      <c r="T508" s="3">
        <v>0.9</v>
      </c>
      <c r="U508" s="3">
        <v>0.5</v>
      </c>
      <c r="V508" s="3">
        <v>0.6</v>
      </c>
      <c r="W508" s="3">
        <v>0.33</v>
      </c>
      <c r="X508" s="7">
        <v>752.30993699999999</v>
      </c>
      <c r="Y508" s="3">
        <v>6.0000000000000001E-3</v>
      </c>
      <c r="AA508" s="3" t="s">
        <v>262</v>
      </c>
      <c r="AB508" s="3">
        <v>0.44</v>
      </c>
      <c r="AC508" s="6">
        <v>732.29540999999995</v>
      </c>
      <c r="AD508" s="3">
        <v>0</v>
      </c>
      <c r="AE508" s="3">
        <f t="shared" si="57"/>
        <v>0.38500000000000001</v>
      </c>
      <c r="AF508" s="5"/>
      <c r="AG508" s="5"/>
      <c r="AH508" s="5"/>
      <c r="AI508" s="5"/>
      <c r="AJ508" s="1"/>
      <c r="AK508" s="3" t="s">
        <v>263</v>
      </c>
      <c r="AL508" s="3">
        <v>0.9</v>
      </c>
      <c r="AM508" s="3">
        <v>0.5</v>
      </c>
      <c r="AN508" s="3">
        <v>0.6</v>
      </c>
      <c r="AO508" s="3">
        <v>0.3</v>
      </c>
      <c r="AP508" s="6">
        <v>1029.8436280000001</v>
      </c>
      <c r="AQ508" s="3">
        <v>8.9999999999999993E-3</v>
      </c>
      <c r="AS508" s="3" t="s">
        <v>263</v>
      </c>
      <c r="AT508" s="3">
        <v>0.3</v>
      </c>
      <c r="AU508" s="7">
        <v>1030.921875</v>
      </c>
      <c r="AV508" s="3">
        <v>1E-3</v>
      </c>
      <c r="AW508" s="3">
        <f t="shared" si="58"/>
        <v>0.3</v>
      </c>
      <c r="AX508" s="5"/>
      <c r="AY508" s="5"/>
      <c r="AZ508" s="5"/>
      <c r="BA508" s="5"/>
      <c r="BB508" s="1"/>
      <c r="BC508" s="3" t="s">
        <v>263</v>
      </c>
      <c r="BD508" s="3">
        <v>0.9</v>
      </c>
      <c r="BE508" s="3">
        <v>0.5</v>
      </c>
      <c r="BF508" s="3">
        <v>0.6</v>
      </c>
      <c r="BG508" s="3">
        <v>0.33</v>
      </c>
      <c r="BH508" s="6">
        <v>1009.391785</v>
      </c>
      <c r="BI508" s="3">
        <v>1.4E-2</v>
      </c>
      <c r="BK508" s="3" t="s">
        <v>263</v>
      </c>
      <c r="BL508" s="3">
        <v>0.31</v>
      </c>
      <c r="BM508" s="7">
        <v>1018.668823</v>
      </c>
      <c r="BN508" s="3">
        <v>1E-3</v>
      </c>
      <c r="BO508" s="3">
        <f t="shared" si="59"/>
        <v>0.32</v>
      </c>
    </row>
    <row r="509" spans="1:71" x14ac:dyDescent="0.3">
      <c r="A509" s="3" t="s">
        <v>264</v>
      </c>
      <c r="B509" s="3">
        <v>0.9</v>
      </c>
      <c r="C509" s="3">
        <v>0.5</v>
      </c>
      <c r="D509" s="3">
        <v>0.6</v>
      </c>
      <c r="E509" s="3">
        <v>0.35</v>
      </c>
      <c r="F509" s="7">
        <v>747.60601799999995</v>
      </c>
      <c r="G509" s="3">
        <v>3.0000000000000001E-3</v>
      </c>
      <c r="I509" s="3" t="s">
        <v>264</v>
      </c>
      <c r="J509" s="3">
        <v>0.31</v>
      </c>
      <c r="K509" s="6">
        <v>746.98748799999998</v>
      </c>
      <c r="L509" s="3">
        <v>0</v>
      </c>
      <c r="M509" s="3">
        <f t="shared" si="56"/>
        <v>0.32999999999999996</v>
      </c>
      <c r="N509" s="5"/>
      <c r="O509" s="5"/>
      <c r="P509" s="5"/>
      <c r="Q509" s="5"/>
      <c r="R509" s="1"/>
      <c r="S509" s="3" t="s">
        <v>264</v>
      </c>
      <c r="T509" s="3">
        <v>0.9</v>
      </c>
      <c r="U509" s="3">
        <v>0.5</v>
      </c>
      <c r="V509" s="3">
        <v>0.6</v>
      </c>
      <c r="W509" s="3">
        <v>0.3</v>
      </c>
      <c r="X509" s="6">
        <v>728.92211899999995</v>
      </c>
      <c r="Y509" s="3">
        <v>4.0000000000000001E-3</v>
      </c>
      <c r="AA509" s="3" t="s">
        <v>264</v>
      </c>
      <c r="AB509" s="3">
        <v>0.37</v>
      </c>
      <c r="AC509" s="7">
        <v>733.47051999999996</v>
      </c>
      <c r="AD509" s="3">
        <v>0</v>
      </c>
      <c r="AE509" s="3">
        <f t="shared" si="57"/>
        <v>0.33499999999999996</v>
      </c>
      <c r="AF509" s="5"/>
      <c r="AG509" s="5"/>
      <c r="AH509" s="5"/>
      <c r="AI509" s="5"/>
      <c r="AJ509" s="1"/>
      <c r="AK509" s="3" t="s">
        <v>265</v>
      </c>
      <c r="AL509" s="3">
        <v>0.9</v>
      </c>
      <c r="AM509" s="3">
        <v>0.5</v>
      </c>
      <c r="AN509" s="3">
        <v>0.6</v>
      </c>
      <c r="AO509" s="3">
        <v>0.3</v>
      </c>
      <c r="AP509" s="7">
        <v>1011.1942749999999</v>
      </c>
      <c r="AQ509" s="3">
        <v>0.01</v>
      </c>
      <c r="AS509" s="3" t="s">
        <v>265</v>
      </c>
      <c r="AT509" s="3">
        <v>0.31</v>
      </c>
      <c r="AU509" s="6">
        <v>1004.650391</v>
      </c>
      <c r="AV509" s="3">
        <v>1E-3</v>
      </c>
      <c r="AW509" s="3">
        <f t="shared" si="58"/>
        <v>0.30499999999999999</v>
      </c>
      <c r="AX509" s="5"/>
      <c r="AY509" s="5"/>
      <c r="AZ509" s="5"/>
      <c r="BA509" s="5"/>
      <c r="BB509" s="1"/>
      <c r="BC509" s="3" t="s">
        <v>265</v>
      </c>
      <c r="BD509" s="3">
        <v>0.9</v>
      </c>
      <c r="BE509" s="3">
        <v>0.5</v>
      </c>
      <c r="BF509" s="3">
        <v>0.6</v>
      </c>
      <c r="BG509" s="3">
        <v>0.3</v>
      </c>
      <c r="BH509" s="7">
        <v>998.01739499999996</v>
      </c>
      <c r="BI509" s="3">
        <v>1.0999999999999999E-2</v>
      </c>
      <c r="BK509" s="3" t="s">
        <v>265</v>
      </c>
      <c r="BL509" s="3">
        <v>0.32</v>
      </c>
      <c r="BM509" s="6">
        <v>997.77612299999998</v>
      </c>
      <c r="BN509" s="3">
        <v>1E-3</v>
      </c>
      <c r="BO509" s="3">
        <f t="shared" si="59"/>
        <v>0.31</v>
      </c>
    </row>
    <row r="510" spans="1:71" x14ac:dyDescent="0.3">
      <c r="A510" s="3" t="s">
        <v>266</v>
      </c>
      <c r="B510" s="3">
        <v>0.9</v>
      </c>
      <c r="C510" s="3">
        <v>0.5</v>
      </c>
      <c r="D510" s="3">
        <v>0.6</v>
      </c>
      <c r="E510" s="3">
        <v>0.31</v>
      </c>
      <c r="F510" s="6">
        <v>658.08770800000002</v>
      </c>
      <c r="G510" s="3">
        <v>2E-3</v>
      </c>
      <c r="I510" s="3" t="s">
        <v>266</v>
      </c>
      <c r="J510" s="3">
        <v>0.3</v>
      </c>
      <c r="K510" s="8">
        <v>658.95105000000001</v>
      </c>
      <c r="L510" s="3">
        <v>0</v>
      </c>
      <c r="M510" s="3">
        <f t="shared" si="56"/>
        <v>0.30499999999999999</v>
      </c>
      <c r="N510" s="5"/>
      <c r="O510" s="5"/>
      <c r="P510" s="5"/>
      <c r="Q510" s="5"/>
      <c r="R510" s="1"/>
      <c r="S510" s="3" t="s">
        <v>266</v>
      </c>
      <c r="T510" s="3">
        <v>0.9</v>
      </c>
      <c r="U510" s="3">
        <v>0.5</v>
      </c>
      <c r="V510" s="3">
        <v>0.6</v>
      </c>
      <c r="W510" s="3">
        <v>0.3</v>
      </c>
      <c r="X510" s="7">
        <v>634.33019999999999</v>
      </c>
      <c r="Y510" s="3">
        <v>2E-3</v>
      </c>
      <c r="AA510" s="3" t="s">
        <v>266</v>
      </c>
      <c r="AB510" s="3">
        <v>0.3</v>
      </c>
      <c r="AC510" s="6">
        <v>633.026794</v>
      </c>
      <c r="AD510" s="3">
        <v>1E-3</v>
      </c>
      <c r="AE510" s="3">
        <f t="shared" si="57"/>
        <v>0.3</v>
      </c>
      <c r="AF510" s="5"/>
      <c r="AG510" s="5"/>
      <c r="AH510" s="5"/>
      <c r="AI510" s="5"/>
      <c r="AJ510" s="1"/>
      <c r="AK510" s="3" t="s">
        <v>267</v>
      </c>
      <c r="AL510" s="3">
        <v>0.9</v>
      </c>
      <c r="AM510" s="3">
        <v>0.5</v>
      </c>
      <c r="AN510" s="3">
        <v>0.6</v>
      </c>
      <c r="AO510" s="3">
        <v>0.3</v>
      </c>
      <c r="AP510" s="7">
        <v>1058.125</v>
      </c>
      <c r="AQ510" s="3">
        <v>8.9999999999999993E-3</v>
      </c>
      <c r="AS510" s="3" t="s">
        <v>267</v>
      </c>
      <c r="AT510" s="3">
        <v>0.33</v>
      </c>
      <c r="AU510" s="6">
        <v>1055.7680660000001</v>
      </c>
      <c r="AV510" s="3">
        <v>1E-3</v>
      </c>
      <c r="AW510" s="3">
        <f t="shared" si="58"/>
        <v>0.315</v>
      </c>
      <c r="AX510" s="5"/>
      <c r="AY510" s="5"/>
      <c r="AZ510" s="5"/>
      <c r="BA510" s="5"/>
      <c r="BB510" s="1"/>
      <c r="BC510" s="3" t="s">
        <v>267</v>
      </c>
      <c r="BD510" s="3">
        <v>0.9</v>
      </c>
      <c r="BE510" s="3">
        <v>0.5</v>
      </c>
      <c r="BF510" s="3">
        <v>0.6</v>
      </c>
      <c r="BG510" s="3">
        <v>0.31</v>
      </c>
      <c r="BH510" s="7">
        <v>1033.338379</v>
      </c>
      <c r="BI510" s="3">
        <v>1.2E-2</v>
      </c>
      <c r="BK510" s="3" t="s">
        <v>267</v>
      </c>
      <c r="BL510" s="3">
        <v>0.34</v>
      </c>
      <c r="BM510" s="6">
        <v>1017.32312</v>
      </c>
      <c r="BN510" s="3">
        <v>2E-3</v>
      </c>
      <c r="BO510" s="3">
        <f t="shared" si="59"/>
        <v>0.32500000000000001</v>
      </c>
    </row>
    <row r="511" spans="1:71" x14ac:dyDescent="0.3">
      <c r="A511" s="3" t="s">
        <v>268</v>
      </c>
      <c r="B511" s="3">
        <v>0.9</v>
      </c>
      <c r="C511" s="3">
        <v>0.5</v>
      </c>
      <c r="D511" s="3">
        <v>0.6</v>
      </c>
      <c r="E511" s="3">
        <v>0.31</v>
      </c>
      <c r="F511" s="6">
        <v>707.29949999999997</v>
      </c>
      <c r="G511" s="3">
        <v>3.0000000000000001E-3</v>
      </c>
      <c r="I511" s="3" t="s">
        <v>268</v>
      </c>
      <c r="J511" s="3">
        <v>0.32</v>
      </c>
      <c r="K511" s="7">
        <v>719.96441700000003</v>
      </c>
      <c r="L511" s="3">
        <v>0</v>
      </c>
      <c r="M511" s="3">
        <f t="shared" si="56"/>
        <v>0.315</v>
      </c>
      <c r="N511" s="5"/>
      <c r="O511" s="5"/>
      <c r="P511" s="5"/>
      <c r="Q511" s="5"/>
      <c r="R511" s="1"/>
      <c r="S511" s="3" t="s">
        <v>268</v>
      </c>
      <c r="T511" s="3">
        <v>0.9</v>
      </c>
      <c r="U511" s="3">
        <v>0.5</v>
      </c>
      <c r="V511" s="3">
        <v>0.6</v>
      </c>
      <c r="W511" s="3">
        <v>0.3</v>
      </c>
      <c r="X511" s="7">
        <v>716.982483</v>
      </c>
      <c r="Y511" s="3">
        <v>3.0000000000000001E-3</v>
      </c>
      <c r="AA511" s="3" t="s">
        <v>268</v>
      </c>
      <c r="AB511" s="3">
        <v>0.32</v>
      </c>
      <c r="AC511" s="6">
        <v>711.66851799999995</v>
      </c>
      <c r="AD511" s="3">
        <v>0</v>
      </c>
      <c r="AE511" s="3">
        <f t="shared" si="57"/>
        <v>0.31</v>
      </c>
      <c r="AF511" s="5"/>
      <c r="AG511" s="5"/>
      <c r="AH511" s="5"/>
      <c r="AI511" s="5"/>
      <c r="AJ511" s="1"/>
      <c r="AK511" s="3" t="s">
        <v>269</v>
      </c>
      <c r="AL511" s="3">
        <v>0.9</v>
      </c>
      <c r="AM511" s="3">
        <v>0.5</v>
      </c>
      <c r="AN511" s="3">
        <v>0.6</v>
      </c>
      <c r="AO511" s="3">
        <v>0.32</v>
      </c>
      <c r="AP511" s="6">
        <v>973.14160200000003</v>
      </c>
      <c r="AQ511" s="3">
        <v>8.0000000000000002E-3</v>
      </c>
      <c r="AS511" s="3" t="s">
        <v>269</v>
      </c>
      <c r="AT511" s="3">
        <v>0.31</v>
      </c>
      <c r="AU511" s="7">
        <v>994.65905799999996</v>
      </c>
      <c r="AV511" s="3">
        <v>1E-3</v>
      </c>
      <c r="AW511" s="3">
        <f t="shared" si="58"/>
        <v>0.315</v>
      </c>
      <c r="AX511" s="5"/>
      <c r="AY511" s="5"/>
      <c r="AZ511" s="5"/>
      <c r="BA511" s="5"/>
      <c r="BB511" s="1"/>
      <c r="BC511" s="3" t="s">
        <v>269</v>
      </c>
      <c r="BD511" s="3">
        <v>0.9</v>
      </c>
      <c r="BE511" s="3">
        <v>0.5</v>
      </c>
      <c r="BF511" s="3">
        <v>0.6</v>
      </c>
      <c r="BG511" s="3">
        <v>0.3</v>
      </c>
      <c r="BH511" s="7">
        <v>986.68414299999995</v>
      </c>
      <c r="BI511" s="3">
        <v>8.9999999999999993E-3</v>
      </c>
      <c r="BK511" s="3" t="s">
        <v>269</v>
      </c>
      <c r="BL511" s="3">
        <v>0.3</v>
      </c>
      <c r="BM511" s="6">
        <v>958.65380900000002</v>
      </c>
      <c r="BN511" s="3">
        <v>0</v>
      </c>
      <c r="BO511" s="3">
        <f t="shared" si="59"/>
        <v>0.3</v>
      </c>
    </row>
    <row r="512" spans="1:71" x14ac:dyDescent="0.3">
      <c r="A512" s="3" t="s">
        <v>270</v>
      </c>
      <c r="B512" s="3">
        <v>0.9</v>
      </c>
      <c r="C512" s="3">
        <v>0.5</v>
      </c>
      <c r="D512" s="3">
        <v>0.6</v>
      </c>
      <c r="E512" s="3">
        <v>0.32</v>
      </c>
      <c r="F512" s="7">
        <v>627.78906199999994</v>
      </c>
      <c r="G512" s="3">
        <v>3.0000000000000001E-3</v>
      </c>
      <c r="I512" s="3" t="s">
        <v>270</v>
      </c>
      <c r="J512" s="3">
        <v>0.31</v>
      </c>
      <c r="K512" s="6">
        <v>619.96710199999995</v>
      </c>
      <c r="L512" s="3">
        <v>0</v>
      </c>
      <c r="M512" s="3">
        <f t="shared" si="56"/>
        <v>0.315</v>
      </c>
      <c r="N512" s="5"/>
      <c r="O512" s="5"/>
      <c r="P512" s="5"/>
      <c r="Q512" s="5"/>
      <c r="R512" s="1"/>
      <c r="S512" s="3" t="s">
        <v>270</v>
      </c>
      <c r="T512" s="3">
        <v>0.9</v>
      </c>
      <c r="U512" s="3">
        <v>0.5</v>
      </c>
      <c r="V512" s="3">
        <v>0.6</v>
      </c>
      <c r="W512" s="3">
        <v>0.3</v>
      </c>
      <c r="X512" s="6">
        <v>608.10400400000003</v>
      </c>
      <c r="Y512" s="3">
        <v>4.0000000000000001E-3</v>
      </c>
      <c r="AA512" s="3" t="s">
        <v>270</v>
      </c>
      <c r="AB512" s="3">
        <v>0.32</v>
      </c>
      <c r="AC512" s="7">
        <v>616.59515399999998</v>
      </c>
      <c r="AD512" s="3">
        <v>1E-3</v>
      </c>
      <c r="AE512" s="3">
        <f t="shared" si="57"/>
        <v>0.31</v>
      </c>
      <c r="AF512" s="5"/>
      <c r="AG512" s="5"/>
      <c r="AH512" s="5"/>
      <c r="AI512" s="5"/>
      <c r="AJ512" s="1"/>
      <c r="AK512" s="3" t="s">
        <v>271</v>
      </c>
      <c r="AL512" s="3">
        <v>0.9</v>
      </c>
      <c r="AM512" s="3">
        <v>0.5</v>
      </c>
      <c r="AN512" s="3">
        <v>0.6</v>
      </c>
      <c r="AO512" s="3">
        <v>0.3</v>
      </c>
      <c r="AP512" s="6">
        <v>984.66272000000004</v>
      </c>
      <c r="AQ512" s="3">
        <v>8.0000000000000002E-3</v>
      </c>
      <c r="AS512" s="3" t="s">
        <v>271</v>
      </c>
      <c r="AT512" s="3">
        <v>0.3</v>
      </c>
      <c r="AU512" s="7">
        <v>995.16345200000001</v>
      </c>
      <c r="AV512" s="3">
        <v>1E-3</v>
      </c>
      <c r="AW512" s="3">
        <f t="shared" si="58"/>
        <v>0.3</v>
      </c>
      <c r="AX512" s="5"/>
      <c r="AY512" s="5"/>
      <c r="AZ512" s="5"/>
      <c r="BA512" s="5"/>
      <c r="BB512" s="1"/>
      <c r="BC512" s="3" t="s">
        <v>271</v>
      </c>
      <c r="BD512" s="3">
        <v>0.9</v>
      </c>
      <c r="BE512" s="3">
        <v>0.5</v>
      </c>
      <c r="BF512" s="3">
        <v>0.6</v>
      </c>
      <c r="BG512" s="3">
        <v>0.3</v>
      </c>
      <c r="BH512" s="6">
        <v>997.90954599999998</v>
      </c>
      <c r="BI512" s="3">
        <v>1.2999999999999999E-2</v>
      </c>
      <c r="BK512" s="3" t="s">
        <v>271</v>
      </c>
      <c r="BL512" s="3">
        <v>0.32</v>
      </c>
      <c r="BM512" s="7">
        <v>1003.851624</v>
      </c>
      <c r="BN512" s="3">
        <v>1E-3</v>
      </c>
      <c r="BO512" s="3">
        <f t="shared" si="59"/>
        <v>0.31</v>
      </c>
    </row>
    <row r="513" spans="1:67" x14ac:dyDescent="0.3">
      <c r="A513" s="3" t="s">
        <v>272</v>
      </c>
      <c r="B513" s="3">
        <v>0.9</v>
      </c>
      <c r="C513" s="3">
        <v>0.5</v>
      </c>
      <c r="D513" s="3">
        <v>0.6</v>
      </c>
      <c r="E513" s="3">
        <v>0.31</v>
      </c>
      <c r="F513" s="7">
        <v>773.11444100000006</v>
      </c>
      <c r="G513" s="3">
        <v>3.0000000000000001E-3</v>
      </c>
      <c r="I513" s="3" t="s">
        <v>272</v>
      </c>
      <c r="J513" s="3">
        <v>0.31</v>
      </c>
      <c r="K513" s="6">
        <v>767.24169900000004</v>
      </c>
      <c r="L513" s="3">
        <v>0</v>
      </c>
      <c r="M513" s="3">
        <f t="shared" si="56"/>
        <v>0.31</v>
      </c>
      <c r="N513" s="5"/>
      <c r="O513" s="5"/>
      <c r="P513" s="5"/>
      <c r="Q513" s="5"/>
      <c r="R513" s="1"/>
      <c r="S513" s="3" t="s">
        <v>272</v>
      </c>
      <c r="T513" s="3">
        <v>0.9</v>
      </c>
      <c r="U513" s="3">
        <v>0.5</v>
      </c>
      <c r="V513" s="3">
        <v>0.6</v>
      </c>
      <c r="W513" s="3">
        <v>0.36</v>
      </c>
      <c r="X513" s="6">
        <v>779.08752400000003</v>
      </c>
      <c r="Y513" s="3">
        <v>6.0000000000000001E-3</v>
      </c>
      <c r="AA513" s="3" t="s">
        <v>272</v>
      </c>
      <c r="AB513" s="3">
        <v>0.31</v>
      </c>
      <c r="AC513" s="7">
        <v>781.20288100000005</v>
      </c>
      <c r="AD513" s="3">
        <v>0</v>
      </c>
      <c r="AE513" s="3">
        <f t="shared" si="57"/>
        <v>0.33499999999999996</v>
      </c>
      <c r="AF513" s="5"/>
      <c r="AG513" s="5"/>
      <c r="AH513" s="5"/>
      <c r="AI513" s="5"/>
      <c r="AJ513" s="1"/>
      <c r="AK513" s="3" t="s">
        <v>273</v>
      </c>
      <c r="AL513" s="3">
        <v>0.9</v>
      </c>
      <c r="AM513" s="3">
        <v>0.5</v>
      </c>
      <c r="AN513" s="3">
        <v>0.6</v>
      </c>
      <c r="AO513" s="3">
        <v>0.32</v>
      </c>
      <c r="AP513" s="7">
        <v>1040.2113039999999</v>
      </c>
      <c r="AQ513" s="3">
        <v>8.0000000000000002E-3</v>
      </c>
      <c r="AS513" s="3" t="s">
        <v>273</v>
      </c>
      <c r="AT513" s="3">
        <v>0.3</v>
      </c>
      <c r="AU513" s="6">
        <v>1034.1108400000001</v>
      </c>
      <c r="AV513" s="3">
        <v>1E-3</v>
      </c>
      <c r="AW513" s="3">
        <f t="shared" si="58"/>
        <v>0.31</v>
      </c>
      <c r="AX513" s="5"/>
      <c r="AY513" s="5"/>
      <c r="AZ513" s="5"/>
      <c r="BA513" s="5"/>
      <c r="BB513" s="1"/>
      <c r="BC513" s="3" t="s">
        <v>273</v>
      </c>
      <c r="BD513" s="3">
        <v>0.9</v>
      </c>
      <c r="BE513" s="3">
        <v>0.5</v>
      </c>
      <c r="BF513" s="3">
        <v>0.6</v>
      </c>
      <c r="BG513" s="3">
        <v>0.31</v>
      </c>
      <c r="BH513" s="7">
        <v>1034.6964109999999</v>
      </c>
      <c r="BI513" s="3">
        <v>1.2E-2</v>
      </c>
      <c r="BK513" s="3" t="s">
        <v>273</v>
      </c>
      <c r="BL513" s="3">
        <v>0.32</v>
      </c>
      <c r="BM513" s="6">
        <v>1027.430664</v>
      </c>
      <c r="BN513" s="3">
        <v>1E-3</v>
      </c>
      <c r="BO513" s="3">
        <f t="shared" si="59"/>
        <v>0.315</v>
      </c>
    </row>
    <row r="514" spans="1:67" x14ac:dyDescent="0.3">
      <c r="A514" s="3" t="s">
        <v>274</v>
      </c>
      <c r="B514" s="3">
        <v>0.9</v>
      </c>
      <c r="C514" s="3">
        <v>0.5</v>
      </c>
      <c r="D514" s="3">
        <v>0.6</v>
      </c>
      <c r="E514" s="3">
        <v>0.3</v>
      </c>
      <c r="F514" s="6">
        <v>841.65661599999999</v>
      </c>
      <c r="G514" s="3">
        <v>3.0000000000000001E-3</v>
      </c>
      <c r="I514" s="3" t="s">
        <v>274</v>
      </c>
      <c r="J514" s="3">
        <v>0.3</v>
      </c>
      <c r="K514" s="7">
        <v>856.046875</v>
      </c>
      <c r="L514" s="3">
        <v>0</v>
      </c>
      <c r="M514" s="3">
        <f t="shared" si="56"/>
        <v>0.3</v>
      </c>
      <c r="N514" s="5"/>
      <c r="O514" s="5"/>
      <c r="P514" s="5"/>
      <c r="Q514" s="5"/>
      <c r="R514" s="1"/>
      <c r="S514" s="3" t="s">
        <v>274</v>
      </c>
      <c r="T514" s="3">
        <v>0.9</v>
      </c>
      <c r="U514" s="3">
        <v>0.5</v>
      </c>
      <c r="V514" s="3">
        <v>0.6</v>
      </c>
      <c r="W514" s="3">
        <v>0.3</v>
      </c>
      <c r="X514" s="7">
        <v>832.49505599999998</v>
      </c>
      <c r="Y514" s="3">
        <v>4.0000000000000001E-3</v>
      </c>
      <c r="AA514" s="3" t="s">
        <v>274</v>
      </c>
      <c r="AB514" s="3">
        <v>0.33</v>
      </c>
      <c r="AC514" s="6">
        <v>816.382385</v>
      </c>
      <c r="AD514" s="3">
        <v>0</v>
      </c>
      <c r="AE514" s="3">
        <f t="shared" si="57"/>
        <v>0.315</v>
      </c>
      <c r="AF514" s="5"/>
      <c r="AG514" s="5"/>
      <c r="AH514" s="5"/>
      <c r="AI514" s="5"/>
      <c r="AJ514" s="1"/>
      <c r="AK514" s="3" t="s">
        <v>275</v>
      </c>
      <c r="AL514" s="3">
        <v>0.9</v>
      </c>
      <c r="AM514" s="3">
        <v>0.5</v>
      </c>
      <c r="AN514" s="3">
        <v>0.6</v>
      </c>
      <c r="AO514" s="3">
        <v>0.31</v>
      </c>
      <c r="AP514" s="7">
        <v>1132.8203120000001</v>
      </c>
      <c r="AQ514" s="3">
        <v>0.01</v>
      </c>
      <c r="AS514" s="3" t="s">
        <v>275</v>
      </c>
      <c r="AT514" s="3">
        <v>0.3</v>
      </c>
      <c r="AU514" s="6">
        <v>1129.879639</v>
      </c>
      <c r="AV514" s="3">
        <v>1E-3</v>
      </c>
      <c r="AW514" s="3">
        <f t="shared" si="58"/>
        <v>0.30499999999999999</v>
      </c>
      <c r="AX514" s="5"/>
      <c r="AY514" s="5"/>
      <c r="AZ514" s="5"/>
      <c r="BA514" s="5"/>
      <c r="BB514" s="1"/>
      <c r="BC514" s="3" t="s">
        <v>275</v>
      </c>
      <c r="BD514" s="3">
        <v>0.9</v>
      </c>
      <c r="BE514" s="3">
        <v>0.5</v>
      </c>
      <c r="BF514" s="3">
        <v>0.6</v>
      </c>
      <c r="BG514" s="3">
        <v>0.33</v>
      </c>
      <c r="BH514" s="6">
        <v>1135.067749</v>
      </c>
      <c r="BI514" s="3">
        <v>1.0999999999999999E-2</v>
      </c>
      <c r="BK514" s="3" t="s">
        <v>275</v>
      </c>
      <c r="BL514" s="3">
        <v>0.3</v>
      </c>
      <c r="BM514" s="7">
        <v>1144.1917719999999</v>
      </c>
      <c r="BN514" s="3">
        <v>2E-3</v>
      </c>
      <c r="BO514" s="3">
        <f t="shared" si="59"/>
        <v>0.315</v>
      </c>
    </row>
    <row r="515" spans="1:67" x14ac:dyDescent="0.3">
      <c r="A515" s="3" t="s">
        <v>276</v>
      </c>
      <c r="B515" s="3">
        <v>0.9</v>
      </c>
      <c r="C515" s="3">
        <v>0.5</v>
      </c>
      <c r="D515" s="3">
        <v>0.6</v>
      </c>
      <c r="E515" s="3">
        <v>0.3</v>
      </c>
      <c r="F515" s="6">
        <v>719.25231900000006</v>
      </c>
      <c r="G515" s="3">
        <v>3.0000000000000001E-3</v>
      </c>
      <c r="I515" s="3" t="s">
        <v>276</v>
      </c>
      <c r="J515" s="3">
        <v>0.3</v>
      </c>
      <c r="K515" s="7">
        <v>722.84313999999995</v>
      </c>
      <c r="L515" s="3">
        <v>0</v>
      </c>
      <c r="M515" s="3">
        <f t="shared" si="56"/>
        <v>0.3</v>
      </c>
      <c r="N515" s="5"/>
      <c r="O515" s="5"/>
      <c r="P515" s="5"/>
      <c r="Q515" s="5"/>
      <c r="R515" s="1"/>
      <c r="S515" s="3" t="s">
        <v>276</v>
      </c>
      <c r="T515" s="3">
        <v>0.9</v>
      </c>
      <c r="U515" s="3">
        <v>0.5</v>
      </c>
      <c r="V515" s="3">
        <v>0.6</v>
      </c>
      <c r="W515" s="3">
        <v>0.3</v>
      </c>
      <c r="X515" s="6">
        <v>713.06512499999997</v>
      </c>
      <c r="Y515" s="3">
        <v>4.0000000000000001E-3</v>
      </c>
      <c r="AA515" s="3" t="s">
        <v>276</v>
      </c>
      <c r="AB515" s="3">
        <v>0.31</v>
      </c>
      <c r="AC515" s="7">
        <v>719.43872099999999</v>
      </c>
      <c r="AD515" s="3">
        <v>0</v>
      </c>
      <c r="AE515" s="3">
        <f t="shared" si="57"/>
        <v>0.30499999999999999</v>
      </c>
      <c r="AF515" s="5"/>
      <c r="AG515" s="5"/>
      <c r="AH515" s="5"/>
      <c r="AI515" s="5"/>
      <c r="AJ515" s="1"/>
      <c r="AK515" s="3" t="s">
        <v>277</v>
      </c>
      <c r="AL515" s="3">
        <v>0.9</v>
      </c>
      <c r="AM515" s="3">
        <v>0.5</v>
      </c>
      <c r="AN515" s="3">
        <v>0.6</v>
      </c>
      <c r="AO515" s="3">
        <v>0.3</v>
      </c>
      <c r="AP515" s="6">
        <v>1038.733154</v>
      </c>
      <c r="AQ515" s="3">
        <v>0.01</v>
      </c>
      <c r="AS515" s="3" t="s">
        <v>277</v>
      </c>
      <c r="AT515" s="3">
        <v>0.32</v>
      </c>
      <c r="AU515" s="7">
        <v>1040.872192</v>
      </c>
      <c r="AV515" s="3">
        <v>1E-3</v>
      </c>
      <c r="AW515" s="3">
        <f t="shared" si="58"/>
        <v>0.31</v>
      </c>
      <c r="AX515" s="5"/>
      <c r="AY515" s="5"/>
      <c r="AZ515" s="5"/>
      <c r="BA515" s="5"/>
      <c r="BB515" s="1"/>
      <c r="BC515" s="3" t="s">
        <v>277</v>
      </c>
      <c r="BD515" s="3">
        <v>0.9</v>
      </c>
      <c r="BE515" s="3">
        <v>0.5</v>
      </c>
      <c r="BF515" s="3">
        <v>0.6</v>
      </c>
      <c r="BG515" s="3">
        <v>0.3</v>
      </c>
      <c r="BH515" s="7">
        <v>1045.997192</v>
      </c>
      <c r="BI515" s="3">
        <v>1.2999999999999999E-2</v>
      </c>
      <c r="BK515" s="3" t="s">
        <v>277</v>
      </c>
      <c r="BL515" s="3">
        <v>0.31</v>
      </c>
      <c r="BM515" s="6">
        <v>1031.2108149999999</v>
      </c>
      <c r="BN515" s="3">
        <v>2E-3</v>
      </c>
      <c r="BO515" s="3">
        <f t="shared" si="59"/>
        <v>0.30499999999999999</v>
      </c>
    </row>
    <row r="516" spans="1:67" x14ac:dyDescent="0.3">
      <c r="A516" s="3" t="s">
        <v>278</v>
      </c>
      <c r="B516" s="3">
        <v>0.9</v>
      </c>
      <c r="C516" s="3">
        <v>0.5</v>
      </c>
      <c r="D516" s="3">
        <v>0.6</v>
      </c>
      <c r="E516" s="3">
        <v>0.31</v>
      </c>
      <c r="F516" s="7">
        <v>685.23809800000004</v>
      </c>
      <c r="G516" s="3">
        <v>3.0000000000000001E-3</v>
      </c>
      <c r="I516" s="3" t="s">
        <v>278</v>
      </c>
      <c r="J516" s="3">
        <v>0.31</v>
      </c>
      <c r="K516" s="6">
        <v>671.50030500000003</v>
      </c>
      <c r="L516" s="3">
        <v>1E-3</v>
      </c>
      <c r="M516" s="3">
        <f t="shared" si="56"/>
        <v>0.31</v>
      </c>
      <c r="N516" s="5"/>
      <c r="O516" s="5"/>
      <c r="P516" s="5"/>
      <c r="Q516" s="5"/>
      <c r="R516" s="1"/>
      <c r="S516" s="3" t="s">
        <v>278</v>
      </c>
      <c r="T516" s="3">
        <v>0.9</v>
      </c>
      <c r="U516" s="3">
        <v>0.5</v>
      </c>
      <c r="V516" s="3">
        <v>0.6</v>
      </c>
      <c r="W516" s="3">
        <v>0.3</v>
      </c>
      <c r="X516" s="6">
        <v>651.11669900000004</v>
      </c>
      <c r="Y516" s="3">
        <v>4.0000000000000001E-3</v>
      </c>
      <c r="AA516" s="3" t="s">
        <v>278</v>
      </c>
      <c r="AB516" s="3">
        <v>0.3</v>
      </c>
      <c r="AC516" s="7">
        <v>674.32861300000002</v>
      </c>
      <c r="AD516" s="3">
        <v>1E-3</v>
      </c>
      <c r="AE516" s="3">
        <f t="shared" si="57"/>
        <v>0.3</v>
      </c>
      <c r="AF516" s="5"/>
      <c r="AG516" s="5"/>
      <c r="AH516" s="5"/>
      <c r="AI516" s="5"/>
      <c r="AJ516" s="1"/>
      <c r="AK516" s="3" t="s">
        <v>279</v>
      </c>
      <c r="AL516" s="3">
        <v>0.9</v>
      </c>
      <c r="AM516" s="3">
        <v>0.5</v>
      </c>
      <c r="AN516" s="3">
        <v>0.6</v>
      </c>
      <c r="AO516" s="3">
        <v>0.3</v>
      </c>
      <c r="AP516" s="6">
        <v>1155.8629149999999</v>
      </c>
      <c r="AQ516" s="3">
        <v>8.9999999999999993E-3</v>
      </c>
      <c r="AS516" s="3" t="s">
        <v>279</v>
      </c>
      <c r="AT516" s="3">
        <v>0.3</v>
      </c>
      <c r="AU516" s="7">
        <v>1175.488159</v>
      </c>
      <c r="AV516" s="3">
        <v>1E-3</v>
      </c>
      <c r="AW516" s="3">
        <f t="shared" si="58"/>
        <v>0.3</v>
      </c>
      <c r="AX516" s="5"/>
      <c r="AY516" s="5"/>
      <c r="AZ516" s="5"/>
      <c r="BA516" s="5"/>
      <c r="BB516" s="1"/>
      <c r="BC516" s="3" t="s">
        <v>279</v>
      </c>
      <c r="BD516" s="3">
        <v>0.9</v>
      </c>
      <c r="BE516" s="3">
        <v>0.5</v>
      </c>
      <c r="BF516" s="3">
        <v>0.6</v>
      </c>
      <c r="BG516" s="3">
        <v>0.36</v>
      </c>
      <c r="BH516" s="7">
        <v>1156.5196530000001</v>
      </c>
      <c r="BI516" s="3">
        <v>0.01</v>
      </c>
      <c r="BK516" s="3" t="s">
        <v>279</v>
      </c>
      <c r="BL516" s="3">
        <v>0.31</v>
      </c>
      <c r="BM516" s="6">
        <v>1153.2398679999999</v>
      </c>
      <c r="BN516" s="3">
        <v>1E-3</v>
      </c>
      <c r="BO516" s="3">
        <f t="shared" si="59"/>
        <v>0.33499999999999996</v>
      </c>
    </row>
    <row r="517" spans="1:67" x14ac:dyDescent="0.3">
      <c r="A517" s="3" t="s">
        <v>280</v>
      </c>
      <c r="B517" s="3">
        <v>0.9</v>
      </c>
      <c r="C517" s="3">
        <v>0.5</v>
      </c>
      <c r="D517" s="3">
        <v>0.6</v>
      </c>
      <c r="E517" s="3">
        <v>0.34</v>
      </c>
      <c r="F517" s="6">
        <v>938.65411400000005</v>
      </c>
      <c r="G517" s="3">
        <v>3.0000000000000001E-3</v>
      </c>
      <c r="I517" s="3" t="s">
        <v>280</v>
      </c>
      <c r="J517" s="3">
        <v>0.3</v>
      </c>
      <c r="K517" s="7">
        <v>939.01135299999999</v>
      </c>
      <c r="L517" s="3">
        <v>0</v>
      </c>
      <c r="M517" s="3">
        <f t="shared" si="56"/>
        <v>0.32</v>
      </c>
      <c r="N517" s="5"/>
      <c r="O517" s="5"/>
      <c r="P517" s="5"/>
      <c r="Q517" s="5"/>
      <c r="R517" s="1"/>
      <c r="S517" s="3" t="s">
        <v>280</v>
      </c>
      <c r="T517" s="3">
        <v>0.9</v>
      </c>
      <c r="U517" s="3">
        <v>0.5</v>
      </c>
      <c r="V517" s="3">
        <v>0.6</v>
      </c>
      <c r="W517" s="3">
        <v>0.33</v>
      </c>
      <c r="X517" s="7">
        <v>929.74395800000002</v>
      </c>
      <c r="Y517" s="3">
        <v>5.0000000000000001E-3</v>
      </c>
      <c r="AA517" s="3" t="s">
        <v>280</v>
      </c>
      <c r="AB517" s="3">
        <v>0.38</v>
      </c>
      <c r="AC517" s="6">
        <v>922.48358199999996</v>
      </c>
      <c r="AD517" s="3">
        <v>1E-3</v>
      </c>
      <c r="AE517" s="3">
        <f t="shared" si="57"/>
        <v>0.35499999999999998</v>
      </c>
      <c r="AF517" s="5"/>
      <c r="AG517" s="5"/>
      <c r="AH517" s="5"/>
      <c r="AI517" s="5"/>
      <c r="AJ517" s="1"/>
      <c r="AK517" s="3" t="s">
        <v>281</v>
      </c>
      <c r="AL517" s="3">
        <v>0.9</v>
      </c>
      <c r="AM517" s="3">
        <v>0.5</v>
      </c>
      <c r="AN517" s="3">
        <v>0.6</v>
      </c>
      <c r="AO517" s="3">
        <v>0.3</v>
      </c>
      <c r="AP517" s="7">
        <v>1112.176514</v>
      </c>
      <c r="AQ517" s="3">
        <v>8.9999999999999993E-3</v>
      </c>
      <c r="AS517" s="3" t="s">
        <v>281</v>
      </c>
      <c r="AT517" s="3">
        <v>0.33</v>
      </c>
      <c r="AU517" s="6">
        <v>1071.909302</v>
      </c>
      <c r="AV517" s="3">
        <v>1E-3</v>
      </c>
      <c r="AW517" s="3">
        <f t="shared" si="58"/>
        <v>0.315</v>
      </c>
      <c r="AX517" s="5"/>
      <c r="AY517" s="5"/>
      <c r="AZ517" s="5"/>
      <c r="BA517" s="5"/>
      <c r="BB517" s="1"/>
      <c r="BC517" s="3" t="s">
        <v>281</v>
      </c>
      <c r="BD517" s="3">
        <v>0.9</v>
      </c>
      <c r="BE517" s="3">
        <v>0.5</v>
      </c>
      <c r="BF517" s="3">
        <v>0.6</v>
      </c>
      <c r="BG517" s="3">
        <v>0.3</v>
      </c>
      <c r="BH517" s="6">
        <v>1084.362427</v>
      </c>
      <c r="BI517" s="3">
        <v>1.0999999999999999E-2</v>
      </c>
      <c r="BK517" s="3" t="s">
        <v>281</v>
      </c>
      <c r="BL517" s="3">
        <v>0.32</v>
      </c>
      <c r="BM517" s="7">
        <v>1095.9388429999999</v>
      </c>
      <c r="BN517" s="3">
        <v>1E-3</v>
      </c>
      <c r="BO517" s="3">
        <f t="shared" si="59"/>
        <v>0.31</v>
      </c>
    </row>
    <row r="518" spans="1:67" x14ac:dyDescent="0.3">
      <c r="A518" s="3" t="s">
        <v>282</v>
      </c>
      <c r="B518" s="3">
        <v>0.9</v>
      </c>
      <c r="C518" s="3">
        <v>0.5</v>
      </c>
      <c r="D518" s="3">
        <v>0.6</v>
      </c>
      <c r="E518" s="3">
        <v>0.32</v>
      </c>
      <c r="F518" s="6">
        <v>830.69946300000004</v>
      </c>
      <c r="G518" s="3">
        <v>3.0000000000000001E-3</v>
      </c>
      <c r="I518" s="3" t="s">
        <v>282</v>
      </c>
      <c r="J518" s="3">
        <v>0.33</v>
      </c>
      <c r="K518" s="7">
        <v>839.12927200000001</v>
      </c>
      <c r="L518" s="3">
        <v>0</v>
      </c>
      <c r="M518" s="3">
        <f t="shared" si="56"/>
        <v>0.32500000000000001</v>
      </c>
      <c r="N518" s="5"/>
      <c r="O518" s="5"/>
      <c r="P518" s="5"/>
      <c r="Q518" s="5"/>
      <c r="R518" s="1"/>
      <c r="S518" s="3" t="s">
        <v>282</v>
      </c>
      <c r="T518" s="3">
        <v>0.9</v>
      </c>
      <c r="U518" s="3">
        <v>0.5</v>
      </c>
      <c r="V518" s="3">
        <v>0.6</v>
      </c>
      <c r="W518" s="3">
        <v>0.35</v>
      </c>
      <c r="X518" s="7">
        <v>824.240723</v>
      </c>
      <c r="Y518" s="3">
        <v>6.0000000000000001E-3</v>
      </c>
      <c r="AA518" s="3" t="s">
        <v>282</v>
      </c>
      <c r="AB518" s="3">
        <v>0.31</v>
      </c>
      <c r="AC518" s="6">
        <v>823.205872</v>
      </c>
      <c r="AD518" s="3">
        <v>0</v>
      </c>
      <c r="AE518" s="3">
        <f t="shared" si="57"/>
        <v>0.32999999999999996</v>
      </c>
      <c r="AF518" s="5"/>
      <c r="AG518" s="5"/>
      <c r="AH518" s="5"/>
      <c r="AI518" s="5"/>
      <c r="AJ518" s="1"/>
      <c r="AK518" s="3" t="s">
        <v>283</v>
      </c>
      <c r="AL518" s="3">
        <v>0.9</v>
      </c>
      <c r="AM518" s="3">
        <v>0.5</v>
      </c>
      <c r="AN518" s="3">
        <v>0.6</v>
      </c>
      <c r="AO518" s="3">
        <v>0.31</v>
      </c>
      <c r="AP518" s="6">
        <v>1061.742798</v>
      </c>
      <c r="AQ518" s="3">
        <v>8.9999999999999993E-3</v>
      </c>
      <c r="AS518" s="3" t="s">
        <v>283</v>
      </c>
      <c r="AT518" s="3">
        <v>0.3</v>
      </c>
      <c r="AU518" s="7">
        <v>1076.7595209999999</v>
      </c>
      <c r="AV518" s="3">
        <v>1E-3</v>
      </c>
      <c r="AW518" s="3">
        <f t="shared" si="58"/>
        <v>0.30499999999999999</v>
      </c>
      <c r="AX518" s="5"/>
      <c r="AY518" s="5"/>
      <c r="AZ518" s="5"/>
      <c r="BA518" s="5"/>
      <c r="BB518" s="1"/>
      <c r="BC518" s="3" t="s">
        <v>283</v>
      </c>
      <c r="BD518" s="3">
        <v>0.9</v>
      </c>
      <c r="BE518" s="3">
        <v>0.5</v>
      </c>
      <c r="BF518" s="3">
        <v>0.6</v>
      </c>
      <c r="BG518" s="3">
        <v>0.32</v>
      </c>
      <c r="BH518" s="7">
        <v>1064.0543210000001</v>
      </c>
      <c r="BI518" s="3">
        <v>1.0999999999999999E-2</v>
      </c>
      <c r="BK518" s="3" t="s">
        <v>283</v>
      </c>
      <c r="BL518" s="3">
        <v>0.3</v>
      </c>
      <c r="BM518" s="6">
        <v>1063.7285159999999</v>
      </c>
      <c r="BN518" s="3">
        <v>2E-3</v>
      </c>
      <c r="BO518" s="3">
        <f t="shared" si="59"/>
        <v>0.31</v>
      </c>
    </row>
    <row r="519" spans="1:67" x14ac:dyDescent="0.3">
      <c r="A519" s="3" t="s">
        <v>284</v>
      </c>
      <c r="B519" s="3">
        <v>0.9</v>
      </c>
      <c r="C519" s="3">
        <v>0.5</v>
      </c>
      <c r="D519" s="3">
        <v>0.6</v>
      </c>
      <c r="E519" s="3">
        <v>0.34</v>
      </c>
      <c r="F519" s="7">
        <v>900.30566399999998</v>
      </c>
      <c r="G519" s="3">
        <v>4.0000000000000001E-3</v>
      </c>
      <c r="I519" s="3" t="s">
        <v>284</v>
      </c>
      <c r="J519" s="3">
        <v>0.32</v>
      </c>
      <c r="K519" s="6">
        <v>878.81640600000003</v>
      </c>
      <c r="L519" s="3">
        <v>1E-3</v>
      </c>
      <c r="M519" s="3">
        <f t="shared" si="56"/>
        <v>0.33</v>
      </c>
      <c r="N519" s="5"/>
      <c r="O519" s="5"/>
      <c r="P519" s="5"/>
      <c r="Q519" s="5"/>
      <c r="R519" s="1"/>
      <c r="S519" s="3" t="s">
        <v>284</v>
      </c>
      <c r="T519" s="3">
        <v>0.9</v>
      </c>
      <c r="U519" s="3">
        <v>0.5</v>
      </c>
      <c r="V519" s="3">
        <v>0.6</v>
      </c>
      <c r="W519" s="3">
        <v>0.35</v>
      </c>
      <c r="X519" s="7">
        <v>869.80798300000004</v>
      </c>
      <c r="Y519" s="3">
        <v>6.0000000000000001E-3</v>
      </c>
      <c r="AA519" s="3" t="s">
        <v>284</v>
      </c>
      <c r="AB519" s="3">
        <v>0.34</v>
      </c>
      <c r="AC519" s="6">
        <v>845.65460199999995</v>
      </c>
      <c r="AD519" s="3">
        <v>0</v>
      </c>
      <c r="AE519" s="3">
        <f t="shared" si="57"/>
        <v>0.34499999999999997</v>
      </c>
      <c r="AF519" s="5"/>
      <c r="AG519" s="5"/>
      <c r="AH519" s="5"/>
      <c r="AI519" s="5"/>
      <c r="AJ519" s="1"/>
      <c r="AK519" s="3" t="s">
        <v>285</v>
      </c>
      <c r="AL519" s="3">
        <v>0.9</v>
      </c>
      <c r="AM519" s="3">
        <v>0.5</v>
      </c>
      <c r="AN519" s="3">
        <v>0.6</v>
      </c>
      <c r="AO519" s="3">
        <v>0.32</v>
      </c>
      <c r="AP519" s="7">
        <v>1140.8946530000001</v>
      </c>
      <c r="AQ519" s="3">
        <v>8.9999999999999993E-3</v>
      </c>
      <c r="AS519" s="3" t="s">
        <v>285</v>
      </c>
      <c r="AT519" s="3">
        <v>0.37</v>
      </c>
      <c r="AU519" s="6">
        <v>1130.5180660000001</v>
      </c>
      <c r="AV519" s="3">
        <v>1E-3</v>
      </c>
      <c r="AW519" s="3">
        <f t="shared" si="58"/>
        <v>0.34499999999999997</v>
      </c>
      <c r="AX519" s="5"/>
      <c r="AY519" s="5"/>
      <c r="AZ519" s="5"/>
      <c r="BA519" s="5"/>
      <c r="BB519" s="1"/>
      <c r="BC519" s="3" t="s">
        <v>285</v>
      </c>
      <c r="BD519" s="3">
        <v>0.9</v>
      </c>
      <c r="BE519" s="3">
        <v>0.5</v>
      </c>
      <c r="BF519" s="3">
        <v>0.6</v>
      </c>
      <c r="BG519" s="3">
        <v>0.3</v>
      </c>
      <c r="BH519" s="6">
        <v>1135.616211</v>
      </c>
      <c r="BI519" s="3">
        <v>1.0999999999999999E-2</v>
      </c>
      <c r="BK519" s="3" t="s">
        <v>285</v>
      </c>
      <c r="BL519" s="3">
        <v>0.33</v>
      </c>
      <c r="BM519" s="7">
        <v>1144.3400879999999</v>
      </c>
      <c r="BN519" s="3">
        <v>1E-3</v>
      </c>
      <c r="BO519" s="3">
        <f t="shared" si="59"/>
        <v>0.315</v>
      </c>
    </row>
    <row r="520" spans="1:67" x14ac:dyDescent="0.3">
      <c r="A520" s="3" t="s">
        <v>286</v>
      </c>
      <c r="B520" s="3">
        <v>0.9</v>
      </c>
      <c r="C520" s="3">
        <v>0.5</v>
      </c>
      <c r="D520" s="3">
        <v>0.6</v>
      </c>
      <c r="E520" s="3">
        <v>0.3</v>
      </c>
      <c r="F520" s="6">
        <v>736.14825399999995</v>
      </c>
      <c r="G520" s="3">
        <v>3.0000000000000001E-3</v>
      </c>
      <c r="I520" s="3" t="s">
        <v>286</v>
      </c>
      <c r="J520" s="3">
        <v>0.31</v>
      </c>
      <c r="K520" s="7">
        <v>743.15948500000002</v>
      </c>
      <c r="L520" s="3">
        <v>0</v>
      </c>
      <c r="M520" s="3">
        <f t="shared" si="56"/>
        <v>0.30499999999999999</v>
      </c>
      <c r="N520" s="5"/>
      <c r="O520" s="5"/>
      <c r="P520" s="5"/>
      <c r="Q520" s="5"/>
      <c r="R520" s="1"/>
      <c r="S520" s="3" t="s">
        <v>286</v>
      </c>
      <c r="T520" s="3">
        <v>0.9</v>
      </c>
      <c r="U520" s="3">
        <v>0.5</v>
      </c>
      <c r="V520" s="3">
        <v>0.6</v>
      </c>
      <c r="W520" s="3">
        <v>0.32</v>
      </c>
      <c r="X520" s="7">
        <v>738.36224400000003</v>
      </c>
      <c r="Y520" s="3">
        <v>4.0000000000000001E-3</v>
      </c>
      <c r="AA520" s="3" t="s">
        <v>286</v>
      </c>
      <c r="AB520" s="3">
        <v>0.3</v>
      </c>
      <c r="AC520" s="6">
        <v>718.46319600000004</v>
      </c>
      <c r="AD520" s="3">
        <v>0</v>
      </c>
      <c r="AE520" s="3">
        <f t="shared" si="57"/>
        <v>0.31</v>
      </c>
      <c r="AF520" s="5"/>
      <c r="AG520" s="5"/>
      <c r="AH520" s="5"/>
      <c r="AI520" s="5"/>
      <c r="AJ520" s="1"/>
      <c r="AK520" s="3" t="s">
        <v>287</v>
      </c>
      <c r="AL520" s="3">
        <v>0.9</v>
      </c>
      <c r="AM520" s="3">
        <v>0.5</v>
      </c>
      <c r="AN520" s="3">
        <v>0.6</v>
      </c>
      <c r="AO520" s="3">
        <v>0.31</v>
      </c>
      <c r="AP520" s="6">
        <v>1060.9051509999999</v>
      </c>
      <c r="AQ520" s="3">
        <v>1.0999999999999999E-2</v>
      </c>
      <c r="AS520" s="3" t="s">
        <v>287</v>
      </c>
      <c r="AT520" s="3">
        <v>0.3</v>
      </c>
      <c r="AU520" s="7">
        <v>1072.858154</v>
      </c>
      <c r="AV520" s="3">
        <v>1E-3</v>
      </c>
      <c r="AW520" s="3">
        <f t="shared" si="58"/>
        <v>0.30499999999999999</v>
      </c>
      <c r="AX520" s="5"/>
      <c r="AY520" s="5"/>
      <c r="AZ520" s="5"/>
      <c r="BA520" s="5"/>
      <c r="BB520" s="1"/>
      <c r="BC520" s="3" t="s">
        <v>287</v>
      </c>
      <c r="BD520" s="3">
        <v>0.9</v>
      </c>
      <c r="BE520" s="3">
        <v>0.5</v>
      </c>
      <c r="BF520" s="3">
        <v>0.6</v>
      </c>
      <c r="BG520" s="3">
        <v>0.32</v>
      </c>
      <c r="BH520" s="6">
        <v>1050.972168</v>
      </c>
      <c r="BI520" s="3">
        <v>1.2999999999999999E-2</v>
      </c>
      <c r="BK520" s="3" t="s">
        <v>287</v>
      </c>
      <c r="BL520" s="3">
        <v>0.3</v>
      </c>
      <c r="BM520" s="7">
        <v>1070.1475829999999</v>
      </c>
      <c r="BN520" s="3">
        <v>1E-3</v>
      </c>
      <c r="BO520" s="3">
        <f t="shared" si="59"/>
        <v>0.31</v>
      </c>
    </row>
    <row r="521" spans="1:67" x14ac:dyDescent="0.3">
      <c r="A521" s="3" t="s">
        <v>288</v>
      </c>
      <c r="B521" s="3">
        <v>0.9</v>
      </c>
      <c r="C521" s="3">
        <v>0.5</v>
      </c>
      <c r="D521" s="3">
        <v>0.6</v>
      </c>
      <c r="E521" s="3">
        <v>0.3</v>
      </c>
      <c r="F521" s="6">
        <v>744.23571800000002</v>
      </c>
      <c r="G521" s="3">
        <v>3.0000000000000001E-3</v>
      </c>
      <c r="I521" s="3" t="s">
        <v>288</v>
      </c>
      <c r="J521" s="3">
        <v>0.3</v>
      </c>
      <c r="K521" s="7">
        <v>746.30480999999997</v>
      </c>
      <c r="L521" s="3">
        <v>1E-3</v>
      </c>
      <c r="M521" s="3">
        <f t="shared" si="56"/>
        <v>0.3</v>
      </c>
      <c r="N521" s="5"/>
      <c r="O521" s="5"/>
      <c r="P521" s="5"/>
      <c r="Q521" s="5"/>
      <c r="R521" s="1"/>
      <c r="S521" s="3" t="s">
        <v>288</v>
      </c>
      <c r="T521" s="3">
        <v>0.9</v>
      </c>
      <c r="U521" s="3">
        <v>0.5</v>
      </c>
      <c r="V521" s="3">
        <v>0.6</v>
      </c>
      <c r="W521" s="3">
        <v>0.32</v>
      </c>
      <c r="X521" s="6">
        <v>739.30731200000002</v>
      </c>
      <c r="Y521" s="3">
        <v>6.0000000000000001E-3</v>
      </c>
      <c r="AA521" s="3" t="s">
        <v>288</v>
      </c>
      <c r="AB521" s="3">
        <v>0.31</v>
      </c>
      <c r="AC521" s="7">
        <v>753.99731399999996</v>
      </c>
      <c r="AD521" s="3">
        <v>1E-3</v>
      </c>
      <c r="AE521" s="3">
        <f t="shared" si="57"/>
        <v>0.315</v>
      </c>
      <c r="AF521" s="5"/>
      <c r="AG521" s="5"/>
      <c r="AH521" s="5"/>
      <c r="AI521" s="5"/>
      <c r="AJ521" s="1"/>
      <c r="AK521" s="3" t="s">
        <v>289</v>
      </c>
      <c r="AL521" s="3">
        <v>0.9</v>
      </c>
      <c r="AM521" s="3">
        <v>0.5</v>
      </c>
      <c r="AN521" s="3">
        <v>0.6</v>
      </c>
      <c r="AO521" s="3">
        <v>0.31</v>
      </c>
      <c r="AP521" s="7">
        <v>1120.913086</v>
      </c>
      <c r="AQ521" s="3">
        <v>0.01</v>
      </c>
      <c r="AS521" s="3" t="s">
        <v>289</v>
      </c>
      <c r="AT521" s="3">
        <v>0.3</v>
      </c>
      <c r="AU521" s="6">
        <v>1109.760376</v>
      </c>
      <c r="AV521" s="3">
        <v>1E-3</v>
      </c>
      <c r="AW521" s="3">
        <f t="shared" si="58"/>
        <v>0.30499999999999999</v>
      </c>
      <c r="AX521" s="5"/>
      <c r="AY521" s="5"/>
      <c r="AZ521" s="5"/>
      <c r="BA521" s="5"/>
      <c r="BB521" s="1"/>
      <c r="BC521" s="3" t="s">
        <v>289</v>
      </c>
      <c r="BD521" s="3">
        <v>0.9</v>
      </c>
      <c r="BE521" s="3">
        <v>0.5</v>
      </c>
      <c r="BF521" s="3">
        <v>0.6</v>
      </c>
      <c r="BG521" s="3">
        <v>0.3</v>
      </c>
      <c r="BH521" s="7">
        <v>1139.3154300000001</v>
      </c>
      <c r="BI521" s="3">
        <v>1.7000000000000001E-2</v>
      </c>
      <c r="BK521" s="3" t="s">
        <v>289</v>
      </c>
      <c r="BL521" s="3">
        <v>0.3</v>
      </c>
      <c r="BM521" s="6">
        <v>1080.9814449999999</v>
      </c>
      <c r="BN521" s="3">
        <v>1E-3</v>
      </c>
      <c r="BO521" s="3">
        <f t="shared" si="59"/>
        <v>0.3</v>
      </c>
    </row>
    <row r="522" spans="1:67" x14ac:dyDescent="0.3">
      <c r="A522" s="3" t="s">
        <v>290</v>
      </c>
      <c r="B522" s="3">
        <v>0.9</v>
      </c>
      <c r="C522" s="3">
        <v>0.5</v>
      </c>
      <c r="D522" s="3">
        <v>0.6</v>
      </c>
      <c r="E522" s="3">
        <v>0.34</v>
      </c>
      <c r="F522" s="7">
        <v>745.12347399999999</v>
      </c>
      <c r="G522" s="3">
        <v>3.0000000000000001E-3</v>
      </c>
      <c r="I522" s="3" t="s">
        <v>290</v>
      </c>
      <c r="J522" s="3">
        <v>0.3</v>
      </c>
      <c r="K522" s="6">
        <v>741.06768799999998</v>
      </c>
      <c r="L522" s="3">
        <v>0</v>
      </c>
      <c r="M522" s="3">
        <f t="shared" si="56"/>
        <v>0.32</v>
      </c>
      <c r="N522" s="5"/>
      <c r="O522" s="5"/>
      <c r="P522" s="5"/>
      <c r="Q522" s="5"/>
      <c r="R522" s="1"/>
      <c r="S522" s="3" t="s">
        <v>290</v>
      </c>
      <c r="T522" s="3">
        <v>0.9</v>
      </c>
      <c r="U522" s="3">
        <v>0.5</v>
      </c>
      <c r="V522" s="3">
        <v>0.6</v>
      </c>
      <c r="W522" s="3">
        <v>0.31</v>
      </c>
      <c r="X522" s="7">
        <v>746.68963599999995</v>
      </c>
      <c r="Y522" s="3">
        <v>6.0000000000000001E-3</v>
      </c>
      <c r="AA522" s="3" t="s">
        <v>290</v>
      </c>
      <c r="AB522" s="3">
        <v>0.37</v>
      </c>
      <c r="AC522" s="6">
        <v>744.98999000000003</v>
      </c>
      <c r="AD522" s="3">
        <v>1E-3</v>
      </c>
      <c r="AE522" s="3">
        <f t="shared" si="57"/>
        <v>0.33999999999999997</v>
      </c>
      <c r="AF522" s="5"/>
      <c r="AG522" s="5"/>
      <c r="AH522" s="5"/>
      <c r="AI522" s="5"/>
      <c r="AJ522" s="1"/>
      <c r="AK522" s="3" t="s">
        <v>291</v>
      </c>
      <c r="AL522" s="3">
        <v>0.9</v>
      </c>
      <c r="AM522" s="3">
        <v>0.5</v>
      </c>
      <c r="AN522" s="3">
        <v>0.6</v>
      </c>
      <c r="AO522" s="3">
        <v>0.3</v>
      </c>
      <c r="AP522" s="7">
        <v>1084.837769</v>
      </c>
      <c r="AQ522" s="3">
        <v>8.9999999999999993E-3</v>
      </c>
      <c r="AS522" s="3" t="s">
        <v>291</v>
      </c>
      <c r="AT522" s="3">
        <v>0.31</v>
      </c>
      <c r="AU522" s="6">
        <v>1078.8558350000001</v>
      </c>
      <c r="AV522" s="3">
        <v>1E-3</v>
      </c>
      <c r="AW522" s="3">
        <f t="shared" si="58"/>
        <v>0.30499999999999999</v>
      </c>
      <c r="AX522" s="5"/>
      <c r="AY522" s="5"/>
      <c r="AZ522" s="5"/>
      <c r="BA522" s="5"/>
      <c r="BB522" s="1"/>
      <c r="BC522" s="3" t="s">
        <v>291</v>
      </c>
      <c r="BD522" s="3">
        <v>0.9</v>
      </c>
      <c r="BE522" s="3">
        <v>0.5</v>
      </c>
      <c r="BF522" s="3">
        <v>0.6</v>
      </c>
      <c r="BG522" s="3">
        <v>0.3</v>
      </c>
      <c r="BH522" s="6">
        <v>1089.849731</v>
      </c>
      <c r="BI522" s="3">
        <v>1.4E-2</v>
      </c>
      <c r="BK522" s="3" t="s">
        <v>291</v>
      </c>
      <c r="BL522" s="3">
        <v>0.3</v>
      </c>
      <c r="BM522" s="7">
        <v>1100.2813719999999</v>
      </c>
      <c r="BN522" s="3">
        <v>2E-3</v>
      </c>
      <c r="BO522" s="3">
        <f t="shared" si="59"/>
        <v>0.3</v>
      </c>
    </row>
    <row r="523" spans="1:67" x14ac:dyDescent="0.3">
      <c r="A523" s="3" t="s">
        <v>292</v>
      </c>
      <c r="B523" s="3">
        <v>0.9</v>
      </c>
      <c r="C523" s="3">
        <v>0.5</v>
      </c>
      <c r="D523" s="3">
        <v>0.6</v>
      </c>
      <c r="E523" s="3">
        <v>0.32</v>
      </c>
      <c r="F523" s="7">
        <v>803.55395499999997</v>
      </c>
      <c r="G523" s="3">
        <v>3.0000000000000001E-3</v>
      </c>
      <c r="I523" s="3" t="s">
        <v>292</v>
      </c>
      <c r="J523" s="3">
        <v>0.3</v>
      </c>
      <c r="K523" s="6">
        <v>791.785889</v>
      </c>
      <c r="L523" s="3">
        <v>0</v>
      </c>
      <c r="M523" s="3">
        <f t="shared" si="56"/>
        <v>0.31</v>
      </c>
      <c r="N523" s="5"/>
      <c r="O523" s="5"/>
      <c r="P523" s="5"/>
      <c r="Q523" s="5"/>
      <c r="R523" s="1"/>
      <c r="S523" s="3" t="s">
        <v>292</v>
      </c>
      <c r="T523" s="3">
        <v>0.9</v>
      </c>
      <c r="U523" s="3">
        <v>0.5</v>
      </c>
      <c r="V523" s="3">
        <v>0.6</v>
      </c>
      <c r="W523" s="3">
        <v>0.3</v>
      </c>
      <c r="X523" s="7">
        <v>810.06994599999996</v>
      </c>
      <c r="Y523" s="3">
        <v>4.0000000000000001E-3</v>
      </c>
      <c r="AA523" s="3" t="s">
        <v>292</v>
      </c>
      <c r="AB523" s="3">
        <v>0.36</v>
      </c>
      <c r="AC523" s="6">
        <v>789.91180399999996</v>
      </c>
      <c r="AD523" s="3">
        <v>1E-3</v>
      </c>
      <c r="AE523" s="3">
        <f t="shared" si="57"/>
        <v>0.32999999999999996</v>
      </c>
      <c r="AF523" s="5"/>
      <c r="AG523" s="5"/>
      <c r="AH523" s="5"/>
      <c r="AI523" s="5"/>
      <c r="AJ523" s="1"/>
      <c r="AK523" s="3" t="s">
        <v>293</v>
      </c>
      <c r="AL523" s="3">
        <v>0.9</v>
      </c>
      <c r="AM523" s="3">
        <v>0.5</v>
      </c>
      <c r="AN523" s="3">
        <v>0.6</v>
      </c>
      <c r="AO523" s="3">
        <v>0.32</v>
      </c>
      <c r="AP523" s="6">
        <v>1130.606567</v>
      </c>
      <c r="AQ523" s="3">
        <v>0.01</v>
      </c>
      <c r="AS523" s="3" t="s">
        <v>293</v>
      </c>
      <c r="AT523" s="3">
        <v>0.33</v>
      </c>
      <c r="AU523" s="7">
        <v>1162.4770510000001</v>
      </c>
      <c r="AV523" s="3">
        <v>1E-3</v>
      </c>
      <c r="AW523" s="3">
        <f t="shared" si="58"/>
        <v>0.32500000000000001</v>
      </c>
      <c r="AX523" s="5"/>
      <c r="AY523" s="5"/>
      <c r="AZ523" s="5"/>
      <c r="BA523" s="5"/>
      <c r="BB523" s="1"/>
      <c r="BC523" s="3" t="s">
        <v>293</v>
      </c>
      <c r="BD523" s="3">
        <v>0.9</v>
      </c>
      <c r="BE523" s="3">
        <v>0.5</v>
      </c>
      <c r="BF523" s="3">
        <v>0.6</v>
      </c>
      <c r="BG523" s="3">
        <v>0.3</v>
      </c>
      <c r="BH523" s="7">
        <v>1146.1613769999999</v>
      </c>
      <c r="BI523" s="3">
        <v>0.02</v>
      </c>
      <c r="BK523" s="3" t="s">
        <v>293</v>
      </c>
      <c r="BL523" s="3">
        <v>0.3</v>
      </c>
      <c r="BM523" s="6">
        <v>1131.989746</v>
      </c>
      <c r="BN523" s="3">
        <v>1E-3</v>
      </c>
      <c r="BO523" s="3">
        <f t="shared" si="59"/>
        <v>0.3</v>
      </c>
    </row>
    <row r="524" spans="1:67" x14ac:dyDescent="0.3">
      <c r="A524" s="3" t="s">
        <v>294</v>
      </c>
      <c r="B524" s="3">
        <v>0.9</v>
      </c>
      <c r="C524" s="3">
        <v>0.5</v>
      </c>
      <c r="D524" s="3">
        <v>0.6</v>
      </c>
      <c r="E524" s="3">
        <v>0.32</v>
      </c>
      <c r="F524" s="7">
        <v>962.00006099999996</v>
      </c>
      <c r="G524" s="3">
        <v>4.0000000000000001E-3</v>
      </c>
      <c r="I524" s="3" t="s">
        <v>294</v>
      </c>
      <c r="J524" s="3">
        <v>0.32</v>
      </c>
      <c r="K524" s="6">
        <v>936.82849099999999</v>
      </c>
      <c r="L524" s="3">
        <v>1E-3</v>
      </c>
      <c r="M524" s="3">
        <f t="shared" si="56"/>
        <v>0.32</v>
      </c>
      <c r="N524" s="5"/>
      <c r="O524" s="5"/>
      <c r="P524" s="5"/>
      <c r="Q524" s="5"/>
      <c r="R524" s="1"/>
      <c r="S524" s="3" t="s">
        <v>294</v>
      </c>
      <c r="T524" s="3">
        <v>0.9</v>
      </c>
      <c r="U524" s="3">
        <v>0.5</v>
      </c>
      <c r="V524" s="3">
        <v>0.6</v>
      </c>
      <c r="W524" s="3">
        <v>0.31</v>
      </c>
      <c r="X524" s="7">
        <v>946.67114300000003</v>
      </c>
      <c r="Y524" s="3">
        <v>5.0000000000000001E-3</v>
      </c>
      <c r="AA524" s="3" t="s">
        <v>294</v>
      </c>
      <c r="AB524" s="3">
        <v>0.3</v>
      </c>
      <c r="AC524" s="6">
        <v>937.81188999999995</v>
      </c>
      <c r="AD524" s="3">
        <v>0</v>
      </c>
      <c r="AE524" s="3">
        <f t="shared" si="57"/>
        <v>0.30499999999999999</v>
      </c>
      <c r="AF524" s="5"/>
      <c r="AG524" s="5"/>
      <c r="AH524" s="5"/>
      <c r="AI524" s="5"/>
      <c r="AJ524" s="1"/>
      <c r="AK524" s="3" t="s">
        <v>295</v>
      </c>
      <c r="AL524" s="3">
        <v>0.9</v>
      </c>
      <c r="AM524" s="3">
        <v>0.5</v>
      </c>
      <c r="AN524" s="3">
        <v>0.6</v>
      </c>
      <c r="AO524" s="3">
        <v>0.31</v>
      </c>
      <c r="AP524" s="6">
        <v>1218.6689449999999</v>
      </c>
      <c r="AQ524" s="3">
        <v>1.0999999999999999E-2</v>
      </c>
      <c r="AS524" s="3" t="s">
        <v>295</v>
      </c>
      <c r="AT524" s="3">
        <v>0.3</v>
      </c>
      <c r="AU524" s="7">
        <v>1234.47876</v>
      </c>
      <c r="AV524" s="3">
        <v>1E-3</v>
      </c>
      <c r="AW524" s="3">
        <f t="shared" si="58"/>
        <v>0.30499999999999999</v>
      </c>
      <c r="AX524" s="5"/>
      <c r="AY524" s="5"/>
      <c r="AZ524" s="5"/>
      <c r="BA524" s="5"/>
      <c r="BB524" s="1"/>
      <c r="BC524" s="3" t="s">
        <v>295</v>
      </c>
      <c r="BD524" s="3">
        <v>0.9</v>
      </c>
      <c r="BE524" s="3">
        <v>0.5</v>
      </c>
      <c r="BF524" s="3">
        <v>0.6</v>
      </c>
      <c r="BG524" s="3">
        <v>0.32</v>
      </c>
      <c r="BH524" s="6">
        <v>1224.6313479999999</v>
      </c>
      <c r="BI524" s="3">
        <v>1.7000000000000001E-2</v>
      </c>
      <c r="BK524" s="3" t="s">
        <v>295</v>
      </c>
      <c r="BL524" s="3">
        <v>0.31</v>
      </c>
      <c r="BM524" s="7">
        <v>1226.8587649999999</v>
      </c>
      <c r="BN524" s="3">
        <v>3.0000000000000001E-3</v>
      </c>
      <c r="BO524" s="3">
        <f t="shared" si="59"/>
        <v>0.315</v>
      </c>
    </row>
    <row r="525" spans="1:67" x14ac:dyDescent="0.3">
      <c r="A525" s="3" t="s">
        <v>296</v>
      </c>
      <c r="B525" s="3">
        <v>0.9</v>
      </c>
      <c r="C525" s="3">
        <v>0.5</v>
      </c>
      <c r="D525" s="3">
        <v>0.6</v>
      </c>
      <c r="E525" s="3">
        <v>0.3</v>
      </c>
      <c r="F525" s="6">
        <v>925.25183100000004</v>
      </c>
      <c r="G525" s="3">
        <v>3.0000000000000001E-3</v>
      </c>
      <c r="I525" s="3" t="s">
        <v>296</v>
      </c>
      <c r="J525" s="3">
        <v>0.32</v>
      </c>
      <c r="K525" s="7">
        <v>934.56207300000005</v>
      </c>
      <c r="L525" s="3">
        <v>0</v>
      </c>
      <c r="M525" s="3">
        <f t="shared" si="56"/>
        <v>0.31</v>
      </c>
      <c r="N525" s="5"/>
      <c r="O525" s="5"/>
      <c r="P525" s="5"/>
      <c r="Q525" s="5"/>
      <c r="R525" s="1"/>
      <c r="S525" s="3" t="s">
        <v>296</v>
      </c>
      <c r="T525" s="3">
        <v>0.9</v>
      </c>
      <c r="U525" s="3">
        <v>0.5</v>
      </c>
      <c r="V525" s="3">
        <v>0.6</v>
      </c>
      <c r="W525" s="3">
        <v>0.31</v>
      </c>
      <c r="X525" s="7">
        <v>949.22143600000004</v>
      </c>
      <c r="Y525" s="3">
        <v>7.0000000000000001E-3</v>
      </c>
      <c r="AA525" s="3" t="s">
        <v>296</v>
      </c>
      <c r="AB525" s="3">
        <v>0.31</v>
      </c>
      <c r="AC525" s="6">
        <v>943.84509300000002</v>
      </c>
      <c r="AD525" s="3">
        <v>0</v>
      </c>
      <c r="AE525" s="3">
        <f t="shared" si="57"/>
        <v>0.31</v>
      </c>
      <c r="AF525" s="5"/>
      <c r="AG525" s="5"/>
      <c r="AH525" s="5"/>
      <c r="AI525" s="5"/>
      <c r="AJ525" s="1"/>
      <c r="AK525" s="3" t="s">
        <v>297</v>
      </c>
      <c r="AL525" s="3">
        <v>0.9</v>
      </c>
      <c r="AM525" s="3">
        <v>0.5</v>
      </c>
      <c r="AN525" s="3">
        <v>0.6</v>
      </c>
      <c r="AO525" s="3">
        <v>0.32</v>
      </c>
      <c r="AP525" s="7">
        <v>1189.103638</v>
      </c>
      <c r="AQ525" s="3">
        <v>8.9999999999999993E-3</v>
      </c>
      <c r="AS525" s="3" t="s">
        <v>297</v>
      </c>
      <c r="AT525" s="3">
        <v>0.3</v>
      </c>
      <c r="AU525" s="6">
        <v>1172.0263669999999</v>
      </c>
      <c r="AV525" s="3">
        <v>2E-3</v>
      </c>
      <c r="AW525" s="3">
        <f t="shared" si="58"/>
        <v>0.31</v>
      </c>
      <c r="AX525" s="5"/>
      <c r="AY525" s="5"/>
      <c r="AZ525" s="5"/>
      <c r="BA525" s="5"/>
      <c r="BB525" s="1"/>
      <c r="BC525" s="3" t="s">
        <v>297</v>
      </c>
      <c r="BD525" s="3">
        <v>0.9</v>
      </c>
      <c r="BE525" s="3">
        <v>0.5</v>
      </c>
      <c r="BF525" s="3">
        <v>0.6</v>
      </c>
      <c r="BG525" s="3">
        <v>0.3</v>
      </c>
      <c r="BH525" s="6">
        <v>1117.4776609999999</v>
      </c>
      <c r="BI525" s="3">
        <v>1.6E-2</v>
      </c>
      <c r="BK525" s="3" t="s">
        <v>297</v>
      </c>
      <c r="BL525" s="3">
        <v>0.31</v>
      </c>
      <c r="BM525" s="7">
        <v>1170.6442870000001</v>
      </c>
      <c r="BN525" s="3">
        <v>2E-3</v>
      </c>
      <c r="BO525" s="3">
        <f t="shared" si="59"/>
        <v>0.30499999999999999</v>
      </c>
    </row>
    <row r="526" spans="1:67" x14ac:dyDescent="0.3">
      <c r="A526" s="3" t="s">
        <v>298</v>
      </c>
      <c r="B526" s="3">
        <v>0.9</v>
      </c>
      <c r="C526" s="3">
        <v>0.5</v>
      </c>
      <c r="D526" s="3">
        <v>0.6</v>
      </c>
      <c r="E526" s="3">
        <v>0.32</v>
      </c>
      <c r="F526" s="6">
        <v>795.98419200000001</v>
      </c>
      <c r="G526" s="3">
        <v>5.0000000000000001E-3</v>
      </c>
      <c r="I526" s="3" t="s">
        <v>298</v>
      </c>
      <c r="J526" s="3">
        <v>0.3</v>
      </c>
      <c r="K526" s="7">
        <v>822.68347200000005</v>
      </c>
      <c r="L526" s="3">
        <v>0</v>
      </c>
      <c r="M526" s="3">
        <f t="shared" si="56"/>
        <v>0.31</v>
      </c>
      <c r="N526" s="5"/>
      <c r="O526" s="5"/>
      <c r="P526" s="5"/>
      <c r="Q526" s="5"/>
      <c r="R526" s="1"/>
      <c r="S526" s="3" t="s">
        <v>298</v>
      </c>
      <c r="T526" s="3">
        <v>0.9</v>
      </c>
      <c r="U526" s="3">
        <v>0.5</v>
      </c>
      <c r="V526" s="3">
        <v>0.6</v>
      </c>
      <c r="W526" s="3">
        <v>0.3</v>
      </c>
      <c r="X526" s="6">
        <v>797.88378899999998</v>
      </c>
      <c r="Y526" s="3">
        <v>5.0000000000000001E-3</v>
      </c>
      <c r="AA526" s="3" t="s">
        <v>298</v>
      </c>
      <c r="AB526" s="3">
        <v>0.3</v>
      </c>
      <c r="AC526" s="7">
        <v>833.86291500000004</v>
      </c>
      <c r="AD526" s="3">
        <v>1E-3</v>
      </c>
      <c r="AE526" s="3">
        <f t="shared" si="57"/>
        <v>0.3</v>
      </c>
      <c r="AF526" s="5"/>
      <c r="AG526" s="5"/>
      <c r="AH526" s="5"/>
      <c r="AI526" s="5"/>
      <c r="AJ526" s="1"/>
      <c r="AK526" s="3" t="s">
        <v>299</v>
      </c>
      <c r="AL526" s="3">
        <v>0.9</v>
      </c>
      <c r="AM526" s="3">
        <v>0.5</v>
      </c>
      <c r="AN526" s="3">
        <v>0.6</v>
      </c>
      <c r="AO526" s="3">
        <v>0.33</v>
      </c>
      <c r="AP526" s="6">
        <v>1195.5864260000001</v>
      </c>
      <c r="AQ526" s="3">
        <v>0.01</v>
      </c>
      <c r="AS526" s="3" t="s">
        <v>299</v>
      </c>
      <c r="AT526" s="3">
        <v>0.32</v>
      </c>
      <c r="AU526" s="7">
        <v>1201.570068</v>
      </c>
      <c r="AV526" s="3">
        <v>2E-3</v>
      </c>
      <c r="AW526" s="3">
        <f t="shared" si="58"/>
        <v>0.32500000000000001</v>
      </c>
      <c r="AX526" s="5"/>
      <c r="AY526" s="5"/>
      <c r="AZ526" s="5"/>
      <c r="BA526" s="5"/>
      <c r="BB526" s="1"/>
      <c r="BC526" s="3" t="s">
        <v>299</v>
      </c>
      <c r="BD526" s="3">
        <v>0.9</v>
      </c>
      <c r="BE526" s="3">
        <v>0.5</v>
      </c>
      <c r="BF526" s="3">
        <v>0.6</v>
      </c>
      <c r="BG526" s="3">
        <v>0.3</v>
      </c>
      <c r="BH526" s="6">
        <v>1205.013672</v>
      </c>
      <c r="BI526" s="3">
        <v>1.2E-2</v>
      </c>
      <c r="BK526" s="3" t="s">
        <v>299</v>
      </c>
      <c r="BL526" s="3">
        <v>0.31</v>
      </c>
      <c r="BM526" s="7">
        <v>1211.1669919999999</v>
      </c>
      <c r="BN526" s="3">
        <v>1E-3</v>
      </c>
      <c r="BO526" s="3">
        <f t="shared" si="59"/>
        <v>0.30499999999999999</v>
      </c>
    </row>
    <row r="527" spans="1:67" x14ac:dyDescent="0.3">
      <c r="A527" s="3" t="s">
        <v>300</v>
      </c>
      <c r="B527" s="3">
        <v>0.9</v>
      </c>
      <c r="C527" s="3">
        <v>0.5</v>
      </c>
      <c r="D527" s="3">
        <v>0.6</v>
      </c>
      <c r="E527" s="3">
        <v>0.31</v>
      </c>
      <c r="F527" s="6">
        <v>859.44512899999995</v>
      </c>
      <c r="G527" s="3">
        <v>4.0000000000000001E-3</v>
      </c>
      <c r="I527" s="3" t="s">
        <v>300</v>
      </c>
      <c r="J527" s="3">
        <v>0.3</v>
      </c>
      <c r="K527" s="7">
        <v>873.58764599999995</v>
      </c>
      <c r="L527" s="3">
        <v>0</v>
      </c>
      <c r="M527" s="3">
        <f t="shared" si="56"/>
        <v>0.30499999999999999</v>
      </c>
      <c r="N527" s="5"/>
      <c r="O527" s="5"/>
      <c r="P527" s="5"/>
      <c r="Q527" s="5"/>
      <c r="R527" s="1"/>
      <c r="S527" s="3" t="s">
        <v>300</v>
      </c>
      <c r="T527" s="3">
        <v>0.9</v>
      </c>
      <c r="U527" s="3">
        <v>0.5</v>
      </c>
      <c r="V527" s="3">
        <v>0.6</v>
      </c>
      <c r="W527" s="3">
        <v>0.35</v>
      </c>
      <c r="X527" s="6">
        <v>832.82849099999999</v>
      </c>
      <c r="Y527" s="3">
        <v>3.0000000000000001E-3</v>
      </c>
      <c r="AA527" s="3" t="s">
        <v>300</v>
      </c>
      <c r="AB527" s="3">
        <v>0.38</v>
      </c>
      <c r="AC527" s="7">
        <v>833.54272500000002</v>
      </c>
      <c r="AD527" s="3">
        <v>0</v>
      </c>
      <c r="AE527" s="3">
        <f t="shared" si="57"/>
        <v>0.36499999999999999</v>
      </c>
      <c r="AF527" s="5"/>
      <c r="AG527" s="5"/>
      <c r="AH527" s="5"/>
      <c r="AI527" s="5"/>
      <c r="AJ527" s="1"/>
      <c r="AK527" s="3" t="s">
        <v>301</v>
      </c>
      <c r="AL527" s="3">
        <v>0.9</v>
      </c>
      <c r="AM527" s="3">
        <v>0.5</v>
      </c>
      <c r="AN527" s="3">
        <v>0.6</v>
      </c>
      <c r="AO527" s="3">
        <v>0.3</v>
      </c>
      <c r="AP527" s="7">
        <v>1195.0170900000001</v>
      </c>
      <c r="AQ527" s="3">
        <v>8.9999999999999993E-3</v>
      </c>
      <c r="AS527" s="3" t="s">
        <v>301</v>
      </c>
      <c r="AT527" s="3">
        <v>0.35</v>
      </c>
      <c r="AU527" s="6">
        <v>1176.548462</v>
      </c>
      <c r="AV527" s="3">
        <v>1E-3</v>
      </c>
      <c r="AW527" s="3">
        <f t="shared" si="58"/>
        <v>0.32499999999999996</v>
      </c>
      <c r="AX527" s="5"/>
      <c r="AY527" s="5"/>
      <c r="AZ527" s="5"/>
      <c r="BA527" s="5"/>
      <c r="BB527" s="1"/>
      <c r="BC527" s="3" t="s">
        <v>301</v>
      </c>
      <c r="BD527" s="3">
        <v>0.9</v>
      </c>
      <c r="BE527" s="3">
        <v>0.5</v>
      </c>
      <c r="BF527" s="3">
        <v>0.6</v>
      </c>
      <c r="BG527" s="3">
        <v>0.31</v>
      </c>
      <c r="BH527" s="6">
        <v>1159.2531739999999</v>
      </c>
      <c r="BI527" s="3">
        <v>1.6E-2</v>
      </c>
      <c r="BK527" s="3" t="s">
        <v>301</v>
      </c>
      <c r="BL527" s="3">
        <v>0.32</v>
      </c>
      <c r="BM527" s="7">
        <v>1206.29126</v>
      </c>
      <c r="BN527" s="3">
        <v>2E-3</v>
      </c>
      <c r="BO527" s="3">
        <f t="shared" si="59"/>
        <v>0.315</v>
      </c>
    </row>
    <row r="528" spans="1:67" x14ac:dyDescent="0.3">
      <c r="A528" s="3" t="s">
        <v>302</v>
      </c>
      <c r="B528" s="3">
        <v>0.9</v>
      </c>
      <c r="C528" s="3">
        <v>0.5</v>
      </c>
      <c r="D528" s="3">
        <v>0.6</v>
      </c>
      <c r="E528" s="3">
        <v>0.31</v>
      </c>
      <c r="F528" s="6">
        <v>838.38708499999996</v>
      </c>
      <c r="G528" s="3">
        <v>4.0000000000000001E-3</v>
      </c>
      <c r="I528" s="3" t="s">
        <v>302</v>
      </c>
      <c r="J528" s="3">
        <v>0.32</v>
      </c>
      <c r="K528" s="7">
        <v>851.03283699999997</v>
      </c>
      <c r="L528" s="3">
        <v>1E-3</v>
      </c>
      <c r="M528" s="3">
        <f t="shared" si="56"/>
        <v>0.315</v>
      </c>
      <c r="N528" s="5"/>
      <c r="O528" s="5"/>
      <c r="P528" s="5"/>
      <c r="Q528" s="5"/>
      <c r="R528" s="1"/>
      <c r="S528" s="3" t="s">
        <v>302</v>
      </c>
      <c r="T528" s="3">
        <v>0.9</v>
      </c>
      <c r="U528" s="3">
        <v>0.5</v>
      </c>
      <c r="V528" s="3">
        <v>0.6</v>
      </c>
      <c r="W528" s="3">
        <v>0.3</v>
      </c>
      <c r="X528" s="7">
        <v>830.33563200000003</v>
      </c>
      <c r="Y528" s="3">
        <v>7.0000000000000001E-3</v>
      </c>
      <c r="AA528" s="3" t="s">
        <v>302</v>
      </c>
      <c r="AB528" s="3">
        <v>0.3</v>
      </c>
      <c r="AC528" s="6">
        <v>829.30059800000004</v>
      </c>
      <c r="AD528" s="3">
        <v>0</v>
      </c>
      <c r="AE528" s="3">
        <f t="shared" si="57"/>
        <v>0.3</v>
      </c>
      <c r="AF528" s="5"/>
      <c r="AG528" s="5"/>
      <c r="AH528" s="5"/>
      <c r="AI528" s="5"/>
      <c r="AJ528" s="1"/>
      <c r="AK528" s="3" t="s">
        <v>303</v>
      </c>
      <c r="AL528" s="3">
        <v>0.9</v>
      </c>
      <c r="AM528" s="3">
        <v>0.5</v>
      </c>
      <c r="AN528" s="3">
        <v>0.6</v>
      </c>
      <c r="AO528" s="3">
        <v>0.3</v>
      </c>
      <c r="AP528" s="7">
        <v>1161.1920170000001</v>
      </c>
      <c r="AQ528" s="3">
        <v>0.01</v>
      </c>
      <c r="AS528" s="3" t="s">
        <v>303</v>
      </c>
      <c r="AT528" s="3">
        <v>0.31</v>
      </c>
      <c r="AU528" s="6">
        <v>1156.228638</v>
      </c>
      <c r="AV528" s="3">
        <v>1E-3</v>
      </c>
      <c r="AW528" s="3">
        <f t="shared" si="58"/>
        <v>0.30499999999999999</v>
      </c>
      <c r="AX528" s="5"/>
      <c r="AY528" s="5"/>
      <c r="AZ528" s="5"/>
      <c r="BA528" s="5"/>
      <c r="BB528" s="1"/>
      <c r="BC528" s="3" t="s">
        <v>303</v>
      </c>
      <c r="BD528" s="3">
        <v>0.9</v>
      </c>
      <c r="BE528" s="3">
        <v>0.5</v>
      </c>
      <c r="BF528" s="3">
        <v>0.6</v>
      </c>
      <c r="BG528" s="3">
        <v>0.31</v>
      </c>
      <c r="BH528" s="6">
        <v>1131.8514399999999</v>
      </c>
      <c r="BI528" s="3">
        <v>1.2E-2</v>
      </c>
      <c r="BK528" s="3" t="s">
        <v>303</v>
      </c>
      <c r="BL528" s="3">
        <v>0.34</v>
      </c>
      <c r="BM528" s="7">
        <v>1143.8801269999999</v>
      </c>
      <c r="BN528" s="3">
        <v>1E-3</v>
      </c>
      <c r="BO528" s="3">
        <f t="shared" si="59"/>
        <v>0.32500000000000001</v>
      </c>
    </row>
    <row r="529" spans="1:67" x14ac:dyDescent="0.3">
      <c r="A529" s="3" t="s">
        <v>304</v>
      </c>
      <c r="B529" s="3">
        <v>0.9</v>
      </c>
      <c r="C529" s="3">
        <v>0.5</v>
      </c>
      <c r="D529" s="3">
        <v>0.6</v>
      </c>
      <c r="E529" s="3">
        <v>0.31</v>
      </c>
      <c r="F529" s="6">
        <v>924.9375</v>
      </c>
      <c r="G529" s="3">
        <v>4.0000000000000001E-3</v>
      </c>
      <c r="I529" s="3" t="s">
        <v>304</v>
      </c>
      <c r="J529" s="3">
        <v>0.31</v>
      </c>
      <c r="K529" s="7">
        <v>952.28747599999997</v>
      </c>
      <c r="L529" s="3">
        <v>0</v>
      </c>
      <c r="M529" s="3">
        <f t="shared" si="56"/>
        <v>0.31</v>
      </c>
      <c r="N529" s="5"/>
      <c r="O529" s="5"/>
      <c r="P529" s="5"/>
      <c r="Q529" s="5"/>
      <c r="R529" s="1"/>
      <c r="S529" s="3" t="s">
        <v>304</v>
      </c>
      <c r="T529" s="3">
        <v>0.9</v>
      </c>
      <c r="U529" s="3">
        <v>0.5</v>
      </c>
      <c r="V529" s="3">
        <v>0.6</v>
      </c>
      <c r="W529" s="3">
        <v>0.33</v>
      </c>
      <c r="X529" s="6">
        <v>926.47937000000002</v>
      </c>
      <c r="Y529" s="3">
        <v>4.0000000000000001E-3</v>
      </c>
      <c r="AA529" s="3" t="s">
        <v>304</v>
      </c>
      <c r="AB529" s="3">
        <v>0.3</v>
      </c>
      <c r="AC529" s="7">
        <v>956.01275599999997</v>
      </c>
      <c r="AD529" s="3">
        <v>0</v>
      </c>
      <c r="AE529" s="3">
        <f t="shared" si="57"/>
        <v>0.315</v>
      </c>
      <c r="AF529" s="5"/>
      <c r="AG529" s="5"/>
      <c r="AH529" s="5"/>
      <c r="AI529" s="5"/>
      <c r="AJ529" s="1"/>
      <c r="AK529" s="3" t="s">
        <v>305</v>
      </c>
      <c r="AL529" s="3">
        <v>0.9</v>
      </c>
      <c r="AM529" s="3">
        <v>0.5</v>
      </c>
      <c r="AN529" s="3">
        <v>0.6</v>
      </c>
      <c r="AO529" s="3">
        <v>0.3</v>
      </c>
      <c r="AP529" s="6">
        <v>1173.6026609999999</v>
      </c>
      <c r="AQ529" s="3">
        <v>0.01</v>
      </c>
      <c r="AS529" s="3" t="s">
        <v>305</v>
      </c>
      <c r="AT529" s="3">
        <v>0.31</v>
      </c>
      <c r="AU529" s="7">
        <v>1210.3676760000001</v>
      </c>
      <c r="AV529" s="3">
        <v>2E-3</v>
      </c>
      <c r="AW529" s="3">
        <f t="shared" si="58"/>
        <v>0.30499999999999999</v>
      </c>
      <c r="AX529" s="5"/>
      <c r="AY529" s="5"/>
      <c r="AZ529" s="5"/>
      <c r="BA529" s="5"/>
      <c r="BB529" s="1"/>
      <c r="BC529" s="3" t="s">
        <v>305</v>
      </c>
      <c r="BD529" s="3">
        <v>0.9</v>
      </c>
      <c r="BE529" s="3">
        <v>0.5</v>
      </c>
      <c r="BF529" s="3">
        <v>0.6</v>
      </c>
      <c r="BG529" s="3">
        <v>0.3</v>
      </c>
      <c r="BH529" s="6">
        <v>1186.466797</v>
      </c>
      <c r="BI529" s="3">
        <v>2.3E-2</v>
      </c>
      <c r="BK529" s="3" t="s">
        <v>305</v>
      </c>
      <c r="BL529" s="3">
        <v>0.31</v>
      </c>
      <c r="BM529" s="7">
        <v>1213.076294</v>
      </c>
      <c r="BN529" s="3">
        <v>1E-3</v>
      </c>
      <c r="BO529" s="3">
        <f t="shared" si="59"/>
        <v>0.30499999999999999</v>
      </c>
    </row>
    <row r="530" spans="1:67" x14ac:dyDescent="0.3">
      <c r="A530" s="3" t="s">
        <v>306</v>
      </c>
      <c r="B530" s="3">
        <v>0.9</v>
      </c>
      <c r="C530" s="3">
        <v>0.5</v>
      </c>
      <c r="D530" s="3">
        <v>0.6</v>
      </c>
      <c r="E530" s="3">
        <v>0.32</v>
      </c>
      <c r="F530" s="6">
        <v>953.01605199999995</v>
      </c>
      <c r="G530" s="3">
        <v>3.0000000000000001E-3</v>
      </c>
      <c r="I530" s="3" t="s">
        <v>306</v>
      </c>
      <c r="J530" s="3">
        <v>0.32</v>
      </c>
      <c r="K530" s="7">
        <v>971.90521200000001</v>
      </c>
      <c r="L530" s="3">
        <v>0</v>
      </c>
      <c r="M530" s="3">
        <f t="shared" si="56"/>
        <v>0.32</v>
      </c>
      <c r="N530" s="5"/>
      <c r="O530" s="5"/>
      <c r="P530" s="5"/>
      <c r="Q530" s="5"/>
      <c r="R530" s="1"/>
      <c r="S530" s="3" t="s">
        <v>306</v>
      </c>
      <c r="T530" s="3">
        <v>0.9</v>
      </c>
      <c r="U530" s="3">
        <v>0.5</v>
      </c>
      <c r="V530" s="3">
        <v>0.6</v>
      </c>
      <c r="W530" s="3">
        <v>0.3</v>
      </c>
      <c r="X530" s="7">
        <v>973.77099599999997</v>
      </c>
      <c r="Y530" s="3">
        <v>5.0000000000000001E-3</v>
      </c>
      <c r="AA530" s="3" t="s">
        <v>306</v>
      </c>
      <c r="AB530" s="3">
        <v>0.32</v>
      </c>
      <c r="AC530" s="6">
        <v>966.01300000000003</v>
      </c>
      <c r="AD530" s="3">
        <v>0</v>
      </c>
      <c r="AE530" s="3">
        <f t="shared" si="57"/>
        <v>0.31</v>
      </c>
      <c r="AF530" s="5"/>
      <c r="AG530" s="5"/>
      <c r="AH530" s="5"/>
      <c r="AI530" s="5"/>
      <c r="AJ530" s="1"/>
      <c r="AK530" s="3" t="s">
        <v>307</v>
      </c>
      <c r="AL530" s="3">
        <v>0.9</v>
      </c>
      <c r="AM530" s="3">
        <v>0.5</v>
      </c>
      <c r="AN530" s="3">
        <v>0.6</v>
      </c>
      <c r="AO530" s="3">
        <v>0.31</v>
      </c>
      <c r="AP530" s="6">
        <v>1172.9764399999999</v>
      </c>
      <c r="AQ530" s="3">
        <v>0.01</v>
      </c>
      <c r="AS530" s="3" t="s">
        <v>307</v>
      </c>
      <c r="AT530" s="3">
        <v>0.3</v>
      </c>
      <c r="AU530" s="7">
        <v>1176.3120120000001</v>
      </c>
      <c r="AV530" s="3">
        <v>1E-3</v>
      </c>
      <c r="AW530" s="3">
        <f t="shared" si="58"/>
        <v>0.30499999999999999</v>
      </c>
      <c r="AX530" s="5"/>
      <c r="AY530" s="5"/>
      <c r="AZ530" s="5"/>
      <c r="BA530" s="5"/>
      <c r="BB530" s="1"/>
      <c r="BC530" s="3" t="s">
        <v>307</v>
      </c>
      <c r="BD530" s="3">
        <v>0.9</v>
      </c>
      <c r="BE530" s="3">
        <v>0.5</v>
      </c>
      <c r="BF530" s="3">
        <v>0.6</v>
      </c>
      <c r="BG530" s="3">
        <v>0.31</v>
      </c>
      <c r="BH530" s="7">
        <v>1179.3845209999999</v>
      </c>
      <c r="BI530" s="3">
        <v>1.2E-2</v>
      </c>
      <c r="BK530" s="3" t="s">
        <v>307</v>
      </c>
      <c r="BL530" s="3">
        <v>0.3</v>
      </c>
      <c r="BM530" s="6">
        <v>1173.650024</v>
      </c>
      <c r="BN530" s="3">
        <v>1E-3</v>
      </c>
      <c r="BO530" s="3">
        <f t="shared" si="59"/>
        <v>0.30499999999999999</v>
      </c>
    </row>
    <row r="531" spans="1:67" x14ac:dyDescent="0.3">
      <c r="A531" s="3" t="s">
        <v>308</v>
      </c>
      <c r="B531" s="3">
        <v>0.9</v>
      </c>
      <c r="C531" s="3">
        <v>0.5</v>
      </c>
      <c r="D531" s="3">
        <v>0.6</v>
      </c>
      <c r="E531" s="3">
        <v>0.31</v>
      </c>
      <c r="F531" s="6">
        <v>952.17028800000003</v>
      </c>
      <c r="G531" s="3">
        <v>5.0000000000000001E-3</v>
      </c>
      <c r="I531" s="3" t="s">
        <v>308</v>
      </c>
      <c r="J531" s="3">
        <v>0.3</v>
      </c>
      <c r="K531" s="7">
        <v>965.02441399999998</v>
      </c>
      <c r="L531" s="3">
        <v>0</v>
      </c>
      <c r="M531" s="3">
        <f t="shared" si="56"/>
        <v>0.30499999999999999</v>
      </c>
      <c r="N531" s="5"/>
      <c r="O531" s="5"/>
      <c r="P531" s="5"/>
      <c r="Q531" s="5"/>
      <c r="R531" s="1"/>
      <c r="S531" s="3" t="s">
        <v>308</v>
      </c>
      <c r="T531" s="3">
        <v>0.9</v>
      </c>
      <c r="U531" s="3">
        <v>0.5</v>
      </c>
      <c r="V531" s="3">
        <v>0.6</v>
      </c>
      <c r="W531" s="3">
        <v>0.31</v>
      </c>
      <c r="X531" s="6">
        <v>958.56872599999997</v>
      </c>
      <c r="Y531" s="3">
        <v>5.0000000000000001E-3</v>
      </c>
      <c r="AA531" s="3" t="s">
        <v>308</v>
      </c>
      <c r="AB531" s="3">
        <v>0.32</v>
      </c>
      <c r="AC531" s="7">
        <v>959.09082000000001</v>
      </c>
      <c r="AD531" s="3">
        <v>0</v>
      </c>
      <c r="AE531" s="3">
        <f t="shared" si="57"/>
        <v>0.315</v>
      </c>
      <c r="AF531" s="5"/>
      <c r="AG531" s="5"/>
      <c r="AH531" s="5"/>
      <c r="AI531" s="5"/>
      <c r="AJ531" s="1"/>
      <c r="AK531" s="3" t="s">
        <v>309</v>
      </c>
      <c r="AL531" s="3">
        <v>0.9</v>
      </c>
      <c r="AM531" s="3">
        <v>0.5</v>
      </c>
      <c r="AN531" s="3">
        <v>0.6</v>
      </c>
      <c r="AO531" s="3">
        <v>0.32</v>
      </c>
      <c r="AP531" s="6">
        <v>1164.185303</v>
      </c>
      <c r="AQ531" s="3">
        <v>0.01</v>
      </c>
      <c r="AS531" s="3" t="s">
        <v>309</v>
      </c>
      <c r="AT531" s="3">
        <v>0.32</v>
      </c>
      <c r="AU531" s="7">
        <v>1182.3602289999999</v>
      </c>
      <c r="AV531" s="3">
        <v>1E-3</v>
      </c>
      <c r="AW531" s="3">
        <f t="shared" si="58"/>
        <v>0.32</v>
      </c>
      <c r="AX531" s="5"/>
      <c r="AY531" s="5"/>
      <c r="AZ531" s="5"/>
      <c r="BA531" s="5"/>
      <c r="BB531" s="1"/>
      <c r="BC531" s="3" t="s">
        <v>309</v>
      </c>
      <c r="BD531" s="3">
        <v>0.9</v>
      </c>
      <c r="BE531" s="3">
        <v>0.5</v>
      </c>
      <c r="BF531" s="3">
        <v>0.6</v>
      </c>
      <c r="BG531" s="3">
        <v>0.31</v>
      </c>
      <c r="BH531" s="7">
        <v>1189.9210210000001</v>
      </c>
      <c r="BI531" s="3">
        <v>1.7999999999999999E-2</v>
      </c>
      <c r="BK531" s="3" t="s">
        <v>309</v>
      </c>
      <c r="BL531" s="3">
        <v>0.31</v>
      </c>
      <c r="BM531" s="6">
        <v>1182.467163</v>
      </c>
      <c r="BN531" s="3">
        <v>2E-3</v>
      </c>
      <c r="BO531" s="3">
        <f t="shared" si="59"/>
        <v>0.31</v>
      </c>
    </row>
    <row r="532" spans="1:67" x14ac:dyDescent="0.3">
      <c r="A532" s="3" t="s">
        <v>310</v>
      </c>
      <c r="B532" s="3">
        <v>0.9</v>
      </c>
      <c r="C532" s="3">
        <v>0.5</v>
      </c>
      <c r="D532" s="3">
        <v>0.6</v>
      </c>
      <c r="E532" s="3">
        <v>0.3</v>
      </c>
      <c r="F532" s="6">
        <v>905.31243900000004</v>
      </c>
      <c r="G532" s="3">
        <v>4.0000000000000001E-3</v>
      </c>
      <c r="I532" s="3" t="s">
        <v>310</v>
      </c>
      <c r="J532" s="3">
        <v>0.3</v>
      </c>
      <c r="K532" s="7">
        <v>936.04547100000002</v>
      </c>
      <c r="L532" s="3">
        <v>0</v>
      </c>
      <c r="M532" s="3">
        <f t="shared" si="56"/>
        <v>0.3</v>
      </c>
      <c r="N532" s="5"/>
      <c r="O532" s="5"/>
      <c r="P532" s="5"/>
      <c r="Q532" s="5"/>
      <c r="R532" s="1"/>
      <c r="S532" s="3" t="s">
        <v>310</v>
      </c>
      <c r="T532" s="3">
        <v>0.9</v>
      </c>
      <c r="U532" s="3">
        <v>0.5</v>
      </c>
      <c r="V532" s="3">
        <v>0.6</v>
      </c>
      <c r="W532" s="3">
        <v>0.33</v>
      </c>
      <c r="X532" s="6">
        <v>926.10180700000001</v>
      </c>
      <c r="Y532" s="3">
        <v>6.0000000000000001E-3</v>
      </c>
      <c r="AA532" s="3" t="s">
        <v>310</v>
      </c>
      <c r="AB532" s="3">
        <v>0.3</v>
      </c>
      <c r="AC532" s="7">
        <v>927.13665800000001</v>
      </c>
      <c r="AD532" s="3">
        <v>1E-3</v>
      </c>
      <c r="AE532" s="3">
        <f t="shared" si="57"/>
        <v>0.315</v>
      </c>
      <c r="AF532" s="5"/>
      <c r="AG532" s="5"/>
      <c r="AH532" s="5"/>
      <c r="AI532" s="5"/>
      <c r="AJ532" s="1"/>
      <c r="AK532" s="3" t="s">
        <v>311</v>
      </c>
      <c r="AL532" s="3">
        <v>0.9</v>
      </c>
      <c r="AM532" s="3">
        <v>0.5</v>
      </c>
      <c r="AN532" s="3">
        <v>0.6</v>
      </c>
      <c r="AO532" s="3">
        <v>0.34</v>
      </c>
      <c r="AP532" s="6">
        <v>1197.119263</v>
      </c>
      <c r="AQ532" s="3">
        <v>1.0999999999999999E-2</v>
      </c>
      <c r="AS532" s="3" t="s">
        <v>311</v>
      </c>
      <c r="AT532" s="3">
        <v>0.31</v>
      </c>
      <c r="AU532" s="7">
        <v>1231.8510739999999</v>
      </c>
      <c r="AV532" s="3">
        <v>1E-3</v>
      </c>
      <c r="AW532" s="3">
        <f t="shared" si="58"/>
        <v>0.32500000000000001</v>
      </c>
      <c r="AX532" s="5"/>
      <c r="AY532" s="5"/>
      <c r="AZ532" s="5"/>
      <c r="BA532" s="5"/>
      <c r="BB532" s="1"/>
      <c r="BC532" s="3" t="s">
        <v>311</v>
      </c>
      <c r="BD532" s="3">
        <v>0.9</v>
      </c>
      <c r="BE532" s="3">
        <v>0.5</v>
      </c>
      <c r="BF532" s="3">
        <v>0.6</v>
      </c>
      <c r="BG532" s="3">
        <v>0.31</v>
      </c>
      <c r="BH532" s="6">
        <v>1181.4993899999999</v>
      </c>
      <c r="BI532" s="3">
        <v>1.2E-2</v>
      </c>
      <c r="BK532" s="3" t="s">
        <v>311</v>
      </c>
      <c r="BL532" s="3">
        <v>0.3</v>
      </c>
      <c r="BM532" s="7">
        <v>1226.7392580000001</v>
      </c>
      <c r="BN532" s="3">
        <v>2E-3</v>
      </c>
      <c r="BO532" s="3">
        <f t="shared" si="59"/>
        <v>0.30499999999999999</v>
      </c>
    </row>
    <row r="533" spans="1:67" x14ac:dyDescent="0.3">
      <c r="A533" s="3" t="s">
        <v>312</v>
      </c>
      <c r="B533" s="3">
        <v>0.9</v>
      </c>
      <c r="C533" s="3">
        <v>0.5</v>
      </c>
      <c r="D533" s="3">
        <v>0.6</v>
      </c>
      <c r="E533" s="3">
        <v>0.42</v>
      </c>
      <c r="F533" s="7">
        <v>921.28192100000001</v>
      </c>
      <c r="G533" s="3">
        <v>6.0000000000000001E-3</v>
      </c>
      <c r="I533" s="3" t="s">
        <v>312</v>
      </c>
      <c r="J533" s="3">
        <v>0.31</v>
      </c>
      <c r="K533" s="6">
        <v>917.831909</v>
      </c>
      <c r="L533" s="3">
        <v>0</v>
      </c>
      <c r="M533" s="3">
        <f t="shared" si="56"/>
        <v>0.36499999999999999</v>
      </c>
      <c r="N533" s="5"/>
      <c r="O533" s="5"/>
      <c r="P533" s="5"/>
      <c r="Q533" s="5"/>
      <c r="R533" s="1"/>
      <c r="S533" s="3" t="s">
        <v>312</v>
      </c>
      <c r="T533" s="3">
        <v>0.9</v>
      </c>
      <c r="U533" s="3">
        <v>0.5</v>
      </c>
      <c r="V533" s="3">
        <v>0.6</v>
      </c>
      <c r="W533" s="3">
        <v>0.37</v>
      </c>
      <c r="X533" s="7">
        <v>906.011841</v>
      </c>
      <c r="Y533" s="3">
        <v>5.0000000000000001E-3</v>
      </c>
      <c r="AA533" s="3" t="s">
        <v>312</v>
      </c>
      <c r="AB533" s="3">
        <v>0.36</v>
      </c>
      <c r="AC533" s="6">
        <v>895.70703100000003</v>
      </c>
      <c r="AD533" s="3">
        <v>1E-3</v>
      </c>
      <c r="AE533" s="3">
        <f t="shared" si="57"/>
        <v>0.36499999999999999</v>
      </c>
      <c r="AF533" s="5"/>
      <c r="AG533" s="5"/>
      <c r="AH533" s="5"/>
      <c r="AI533" s="5"/>
      <c r="AJ533" s="1"/>
      <c r="AK533" s="3" t="s">
        <v>313</v>
      </c>
      <c r="AL533" s="3">
        <v>0.9</v>
      </c>
      <c r="AM533" s="3">
        <v>0.5</v>
      </c>
      <c r="AN533" s="3">
        <v>0.6</v>
      </c>
      <c r="AO533" s="3">
        <v>0.39</v>
      </c>
      <c r="AP533" s="6">
        <v>1196.5538329999999</v>
      </c>
      <c r="AQ533" s="3">
        <v>1.2E-2</v>
      </c>
      <c r="AS533" s="3" t="s">
        <v>313</v>
      </c>
      <c r="AT533" s="3">
        <v>0.3</v>
      </c>
      <c r="AU533" s="7">
        <v>1223.663452</v>
      </c>
      <c r="AV533" s="3">
        <v>2E-3</v>
      </c>
      <c r="AW533" s="3">
        <f t="shared" si="58"/>
        <v>0.34499999999999997</v>
      </c>
      <c r="AX533" s="5"/>
      <c r="AY533" s="5"/>
      <c r="AZ533" s="5"/>
      <c r="BA533" s="5"/>
      <c r="BB533" s="1"/>
      <c r="BC533" s="3" t="s">
        <v>313</v>
      </c>
      <c r="BD533" s="3">
        <v>0.9</v>
      </c>
      <c r="BE533" s="3">
        <v>0.5</v>
      </c>
      <c r="BF533" s="3">
        <v>0.6</v>
      </c>
      <c r="BG533" s="3">
        <v>0.32</v>
      </c>
      <c r="BH533" s="6">
        <v>1205.542725</v>
      </c>
      <c r="BI533" s="3">
        <v>1.6E-2</v>
      </c>
      <c r="BK533" s="3" t="s">
        <v>313</v>
      </c>
      <c r="BL533" s="3">
        <v>0.31</v>
      </c>
      <c r="BM533" s="7">
        <v>1211.460693</v>
      </c>
      <c r="BN533" s="3">
        <v>2E-3</v>
      </c>
      <c r="BO533" s="3">
        <f t="shared" si="59"/>
        <v>0.315</v>
      </c>
    </row>
    <row r="534" spans="1:67" x14ac:dyDescent="0.3">
      <c r="A534" s="9" t="s">
        <v>316</v>
      </c>
      <c r="E534" s="9">
        <f>AVERAGE(E504:E533)</f>
        <v>0.31866666666666671</v>
      </c>
      <c r="I534" s="9" t="s">
        <v>316</v>
      </c>
      <c r="J534" s="9">
        <f>AVERAGE(J504:J533)</f>
        <v>0.3096666666666667</v>
      </c>
      <c r="R534" s="1"/>
      <c r="S534" s="9" t="s">
        <v>316</v>
      </c>
      <c r="W534" s="9">
        <f>AVERAGE(W504:W533)</f>
        <v>0.31899999999999989</v>
      </c>
      <c r="AA534" s="9" t="s">
        <v>316</v>
      </c>
      <c r="AB534" s="9">
        <f>AVERAGE(AB504:AB533)</f>
        <v>0.32766666666666666</v>
      </c>
      <c r="AJ534" s="1"/>
      <c r="AK534" s="9" t="s">
        <v>316</v>
      </c>
      <c r="AO534" s="9">
        <f>AVERAGE(AO504:AO533)</f>
        <v>0.31166666666666659</v>
      </c>
      <c r="AS534" s="9" t="s">
        <v>316</v>
      </c>
      <c r="AT534" s="9">
        <f>AVERAGE(AT504:AT533)</f>
        <v>0.313</v>
      </c>
      <c r="BB534" s="1"/>
      <c r="BC534" s="9" t="s">
        <v>316</v>
      </c>
      <c r="BG534" s="9">
        <f>AVERAGE(BG504:BG533)</f>
        <v>0.3096666666666667</v>
      </c>
      <c r="BK534" s="9" t="s">
        <v>316</v>
      </c>
      <c r="BL534" s="9">
        <f>AVERAGE(BL504:BL533)</f>
        <v>0.3143333333333333</v>
      </c>
    </row>
  </sheetData>
  <mergeCells count="240">
    <mergeCell ref="BC1:BI1"/>
    <mergeCell ref="BK1:BO1"/>
    <mergeCell ref="A2:G2"/>
    <mergeCell ref="I2:M2"/>
    <mergeCell ref="S2:Y2"/>
    <mergeCell ref="AA2:AE2"/>
    <mergeCell ref="AK2:AQ2"/>
    <mergeCell ref="AS2:AW2"/>
    <mergeCell ref="BC2:BI2"/>
    <mergeCell ref="BK2:BO2"/>
    <mergeCell ref="A1:G1"/>
    <mergeCell ref="I1:M1"/>
    <mergeCell ref="S1:Y1"/>
    <mergeCell ref="AA1:AE1"/>
    <mergeCell ref="AK1:AQ1"/>
    <mergeCell ref="AS1:AW1"/>
    <mergeCell ref="BC37:BI37"/>
    <mergeCell ref="BK37:BO37"/>
    <mergeCell ref="A38:G38"/>
    <mergeCell ref="I38:M38"/>
    <mergeCell ref="S38:Y38"/>
    <mergeCell ref="AA38:AE38"/>
    <mergeCell ref="AK38:AQ38"/>
    <mergeCell ref="AS38:AW38"/>
    <mergeCell ref="BC38:BI38"/>
    <mergeCell ref="BK38:BO38"/>
    <mergeCell ref="A37:G37"/>
    <mergeCell ref="I37:M37"/>
    <mergeCell ref="S37:Y37"/>
    <mergeCell ref="AA37:AE37"/>
    <mergeCell ref="AK37:AQ37"/>
    <mergeCell ref="AS37:AW37"/>
    <mergeCell ref="BC73:BI73"/>
    <mergeCell ref="BK73:BO73"/>
    <mergeCell ref="A74:G74"/>
    <mergeCell ref="I74:M74"/>
    <mergeCell ref="S74:Y74"/>
    <mergeCell ref="AA74:AE74"/>
    <mergeCell ref="AK74:AQ74"/>
    <mergeCell ref="AS74:AW74"/>
    <mergeCell ref="BC74:BI74"/>
    <mergeCell ref="BK74:BO74"/>
    <mergeCell ref="A73:G73"/>
    <mergeCell ref="I73:M73"/>
    <mergeCell ref="S73:Y73"/>
    <mergeCell ref="AA73:AE73"/>
    <mergeCell ref="AK73:AQ73"/>
    <mergeCell ref="AS73:AW73"/>
    <mergeCell ref="BC108:BI108"/>
    <mergeCell ref="BK108:BO108"/>
    <mergeCell ref="A109:G109"/>
    <mergeCell ref="I109:M109"/>
    <mergeCell ref="S109:Y109"/>
    <mergeCell ref="AA109:AE109"/>
    <mergeCell ref="AK109:AQ109"/>
    <mergeCell ref="AS109:AW109"/>
    <mergeCell ref="BC109:BI109"/>
    <mergeCell ref="BK109:BO109"/>
    <mergeCell ref="A108:G108"/>
    <mergeCell ref="I108:M108"/>
    <mergeCell ref="S108:Y108"/>
    <mergeCell ref="AA108:AE108"/>
    <mergeCell ref="AK108:AQ108"/>
    <mergeCell ref="AS108:AW108"/>
    <mergeCell ref="BC144:BI144"/>
    <mergeCell ref="BK144:BO144"/>
    <mergeCell ref="A145:G145"/>
    <mergeCell ref="I145:M145"/>
    <mergeCell ref="S145:Y145"/>
    <mergeCell ref="AA145:AE145"/>
    <mergeCell ref="AK145:AQ145"/>
    <mergeCell ref="AS145:AW145"/>
    <mergeCell ref="BC145:BI145"/>
    <mergeCell ref="BK145:BO145"/>
    <mergeCell ref="A144:G144"/>
    <mergeCell ref="I144:M144"/>
    <mergeCell ref="S144:Y144"/>
    <mergeCell ref="AA144:AE144"/>
    <mergeCell ref="AK144:AQ144"/>
    <mergeCell ref="AS144:AW144"/>
    <mergeCell ref="BC180:BI180"/>
    <mergeCell ref="BK180:BO180"/>
    <mergeCell ref="A181:G181"/>
    <mergeCell ref="I181:M181"/>
    <mergeCell ref="S181:Y181"/>
    <mergeCell ref="AA181:AE181"/>
    <mergeCell ref="AK181:AQ181"/>
    <mergeCell ref="AS181:AW181"/>
    <mergeCell ref="BC181:BI181"/>
    <mergeCell ref="BK181:BO181"/>
    <mergeCell ref="A180:G180"/>
    <mergeCell ref="I180:M180"/>
    <mergeCell ref="S180:Y180"/>
    <mergeCell ref="AA180:AE180"/>
    <mergeCell ref="AK180:AQ180"/>
    <mergeCell ref="AS180:AW180"/>
    <mergeCell ref="BC215:BI215"/>
    <mergeCell ref="BK215:BO215"/>
    <mergeCell ref="A216:G216"/>
    <mergeCell ref="I216:M216"/>
    <mergeCell ref="S216:Y216"/>
    <mergeCell ref="AA216:AE216"/>
    <mergeCell ref="AK216:AQ216"/>
    <mergeCell ref="AS216:AW216"/>
    <mergeCell ref="BC216:BI216"/>
    <mergeCell ref="BK216:BO216"/>
    <mergeCell ref="A215:G215"/>
    <mergeCell ref="I215:M215"/>
    <mergeCell ref="S215:Y215"/>
    <mergeCell ref="AA215:AE215"/>
    <mergeCell ref="AK215:AQ215"/>
    <mergeCell ref="AS215:AW215"/>
    <mergeCell ref="BC251:BI251"/>
    <mergeCell ref="BK251:BO251"/>
    <mergeCell ref="A252:G252"/>
    <mergeCell ref="I252:M252"/>
    <mergeCell ref="S252:Y252"/>
    <mergeCell ref="AA252:AE252"/>
    <mergeCell ref="AK252:AQ252"/>
    <mergeCell ref="AS252:AW252"/>
    <mergeCell ref="BC252:BI252"/>
    <mergeCell ref="BK252:BO252"/>
    <mergeCell ref="A251:G251"/>
    <mergeCell ref="I251:M251"/>
    <mergeCell ref="S251:Y251"/>
    <mergeCell ref="AA251:AE251"/>
    <mergeCell ref="AK251:AQ251"/>
    <mergeCell ref="AS251:AW251"/>
    <mergeCell ref="BC287:BI287"/>
    <mergeCell ref="BK287:BO287"/>
    <mergeCell ref="A288:G288"/>
    <mergeCell ref="I288:M288"/>
    <mergeCell ref="S288:Y288"/>
    <mergeCell ref="AA288:AE288"/>
    <mergeCell ref="AK288:AQ288"/>
    <mergeCell ref="AS288:AW288"/>
    <mergeCell ref="BC288:BI288"/>
    <mergeCell ref="BK288:BO288"/>
    <mergeCell ref="A287:G287"/>
    <mergeCell ref="I287:M287"/>
    <mergeCell ref="S287:Y287"/>
    <mergeCell ref="AA287:AE287"/>
    <mergeCell ref="AK287:AQ287"/>
    <mergeCell ref="AS287:AW287"/>
    <mergeCell ref="BC322:BI322"/>
    <mergeCell ref="BK322:BO322"/>
    <mergeCell ref="A323:G323"/>
    <mergeCell ref="I323:M323"/>
    <mergeCell ref="S323:Y323"/>
    <mergeCell ref="AA323:AE323"/>
    <mergeCell ref="AK323:AQ323"/>
    <mergeCell ref="AS323:AW323"/>
    <mergeCell ref="BC323:BI323"/>
    <mergeCell ref="BK323:BO323"/>
    <mergeCell ref="A322:G322"/>
    <mergeCell ref="I322:M322"/>
    <mergeCell ref="S322:Y322"/>
    <mergeCell ref="AA322:AE322"/>
    <mergeCell ref="AK322:AQ322"/>
    <mergeCell ref="AS322:AW322"/>
    <mergeCell ref="BC358:BI358"/>
    <mergeCell ref="BK358:BO358"/>
    <mergeCell ref="A359:G359"/>
    <mergeCell ref="I359:M359"/>
    <mergeCell ref="S359:Y359"/>
    <mergeCell ref="AA359:AE359"/>
    <mergeCell ref="AK359:AQ359"/>
    <mergeCell ref="AS359:AW359"/>
    <mergeCell ref="BC359:BI359"/>
    <mergeCell ref="BK359:BO359"/>
    <mergeCell ref="A358:G358"/>
    <mergeCell ref="I358:M358"/>
    <mergeCell ref="S358:Y358"/>
    <mergeCell ref="AA358:AE358"/>
    <mergeCell ref="AK358:AQ358"/>
    <mergeCell ref="AS358:AW358"/>
    <mergeCell ref="BC394:BI394"/>
    <mergeCell ref="BK394:BO394"/>
    <mergeCell ref="A395:G395"/>
    <mergeCell ref="I395:M395"/>
    <mergeCell ref="S395:Y395"/>
    <mergeCell ref="AA395:AE395"/>
    <mergeCell ref="AK395:AQ395"/>
    <mergeCell ref="AS395:AW395"/>
    <mergeCell ref="BC395:BI395"/>
    <mergeCell ref="BK395:BO395"/>
    <mergeCell ref="A394:G394"/>
    <mergeCell ref="I394:M394"/>
    <mergeCell ref="S394:Y394"/>
    <mergeCell ref="AA394:AE394"/>
    <mergeCell ref="AK394:AQ394"/>
    <mergeCell ref="AS394:AW394"/>
    <mergeCell ref="BC429:BI429"/>
    <mergeCell ref="BK429:BO429"/>
    <mergeCell ref="A430:G430"/>
    <mergeCell ref="I430:M430"/>
    <mergeCell ref="S430:Y430"/>
    <mergeCell ref="AA430:AE430"/>
    <mergeCell ref="AK430:AQ430"/>
    <mergeCell ref="AS430:AW430"/>
    <mergeCell ref="BC430:BI430"/>
    <mergeCell ref="BK430:BO430"/>
    <mergeCell ref="A429:G429"/>
    <mergeCell ref="I429:M429"/>
    <mergeCell ref="S429:Y429"/>
    <mergeCell ref="AA429:AE429"/>
    <mergeCell ref="AK429:AQ429"/>
    <mergeCell ref="AS429:AW429"/>
    <mergeCell ref="BC465:BI465"/>
    <mergeCell ref="BK465:BO465"/>
    <mergeCell ref="A466:G466"/>
    <mergeCell ref="I466:M466"/>
    <mergeCell ref="S466:Y466"/>
    <mergeCell ref="AA466:AE466"/>
    <mergeCell ref="AK466:AQ466"/>
    <mergeCell ref="AS466:AW466"/>
    <mergeCell ref="BC466:BI466"/>
    <mergeCell ref="BK466:BO466"/>
    <mergeCell ref="A465:G465"/>
    <mergeCell ref="I465:M465"/>
    <mergeCell ref="S465:Y465"/>
    <mergeCell ref="AA465:AE465"/>
    <mergeCell ref="AK465:AQ465"/>
    <mergeCell ref="AS465:AW465"/>
    <mergeCell ref="BC501:BI501"/>
    <mergeCell ref="BK501:BO501"/>
    <mergeCell ref="A502:G502"/>
    <mergeCell ref="I502:M502"/>
    <mergeCell ref="S502:Y502"/>
    <mergeCell ref="AA502:AE502"/>
    <mergeCell ref="AK502:AQ502"/>
    <mergeCell ref="AS502:AW502"/>
    <mergeCell ref="BC502:BI502"/>
    <mergeCell ref="BK502:BO502"/>
    <mergeCell ref="A501:G501"/>
    <mergeCell ref="I501:M501"/>
    <mergeCell ref="S501:Y501"/>
    <mergeCell ref="AA501:AE501"/>
    <mergeCell ref="AK501:AQ501"/>
    <mergeCell ref="AS501:AW501"/>
  </mergeCells>
  <pageMargins left="0.7" right="0.7" top="0.75" bottom="0.75" header="0.3" footer="0.3"/>
  <ignoredErrors>
    <ignoredError sqref="P5 P41 P77 P112 P148 P184 P219 P255 P291 P326 P362 P398 P433 P469 P505 AH5 AH41 AH77 AH112 AH148 AH184 AH219 AH255 AH291 AH326 AH362 AH398 AH433 AH469 AH505 AZ5 AZ41 AZ77 AZ112 AZ148 AZ184 AZ219 AZ255 AZ291 AZ326 AZ362 AZ398 AZ433 AZ469 AZ505 BR505 BR469 BR433 BR398 BR362 BR326 BR291 BR255 BR219 BR184 BR148 BR112 BR77 BR41 BR5"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34"/>
  <sheetViews>
    <sheetView topLeftCell="BB506" zoomScaleNormal="100" workbookViewId="0">
      <selection activeCell="BM504" activeCellId="4" sqref="BM76:BM105 BM183:BM212 BM290:BM319 BM397:BM426 BM504:BM533"/>
    </sheetView>
  </sheetViews>
  <sheetFormatPr baseColWidth="10" defaultRowHeight="14.4" x14ac:dyDescent="0.3"/>
  <cols>
    <col min="1" max="1" width="15.88671875" bestFit="1" customWidth="1"/>
    <col min="2" max="4" width="4.77734375" bestFit="1" customWidth="1"/>
    <col min="5" max="6" width="13.6640625" bestFit="1" customWidth="1"/>
    <col min="7" max="7" width="7" bestFit="1" customWidth="1"/>
    <col min="9" max="9" width="15.88671875" bestFit="1" customWidth="1"/>
    <col min="10" max="11" width="13.6640625" bestFit="1" customWidth="1"/>
    <col min="12" max="12" width="7" bestFit="1" customWidth="1"/>
    <col min="13" max="13" width="16.77734375" bestFit="1" customWidth="1"/>
    <col min="14" max="15" width="15.21875" bestFit="1" customWidth="1"/>
    <col min="16" max="17" width="10.5546875" bestFit="1" customWidth="1"/>
    <col min="18" max="18" width="11.5546875" style="1"/>
    <col min="19" max="19" width="15.88671875" bestFit="1" customWidth="1"/>
    <col min="20" max="22" width="4.77734375" bestFit="1" customWidth="1"/>
    <col min="23" max="24" width="13.6640625" bestFit="1" customWidth="1"/>
    <col min="25" max="25" width="7" bestFit="1" customWidth="1"/>
    <col min="27" max="27" width="15.88671875" bestFit="1" customWidth="1"/>
    <col min="28" max="29" width="13.6640625" bestFit="1" customWidth="1"/>
    <col min="30" max="30" width="7" bestFit="1" customWidth="1"/>
    <col min="31" max="31" width="16.77734375" bestFit="1" customWidth="1"/>
    <col min="32" max="33" width="15.21875" bestFit="1" customWidth="1"/>
    <col min="34" max="35" width="10.5546875" bestFit="1" customWidth="1"/>
    <col min="36" max="36" width="11.5546875" style="1"/>
    <col min="37" max="37" width="15.88671875" bestFit="1" customWidth="1"/>
    <col min="38" max="40" width="4.77734375" bestFit="1" customWidth="1"/>
    <col min="41" max="42" width="13.6640625" bestFit="1" customWidth="1"/>
    <col min="43" max="43" width="7" bestFit="1" customWidth="1"/>
    <col min="45" max="45" width="15.88671875" bestFit="1" customWidth="1"/>
    <col min="46" max="47" width="13.6640625" bestFit="1" customWidth="1"/>
    <col min="48" max="48" width="7" bestFit="1" customWidth="1"/>
    <col min="49" max="49" width="16.77734375" bestFit="1" customWidth="1"/>
    <col min="50" max="51" width="15.21875" bestFit="1" customWidth="1"/>
    <col min="52" max="53" width="10.5546875" bestFit="1" customWidth="1"/>
    <col min="54" max="54" width="11.5546875" style="1"/>
    <col min="55" max="55" width="15.88671875" bestFit="1" customWidth="1"/>
    <col min="56" max="58" width="4.77734375" bestFit="1" customWidth="1"/>
    <col min="59" max="60" width="13.6640625" bestFit="1" customWidth="1"/>
    <col min="61" max="61" width="7" bestFit="1" customWidth="1"/>
    <col min="63" max="63" width="15.88671875" bestFit="1" customWidth="1"/>
    <col min="64" max="65" width="13.6640625" bestFit="1" customWidth="1"/>
    <col min="66" max="66" width="7" bestFit="1" customWidth="1"/>
    <col min="67" max="67" width="16.77734375" bestFit="1" customWidth="1"/>
    <col min="68" max="69" width="15.21875" bestFit="1" customWidth="1"/>
    <col min="70" max="71" width="10.5546875" bestFit="1" customWidth="1"/>
  </cols>
  <sheetData>
    <row r="1" spans="1:71" x14ac:dyDescent="0.3">
      <c r="A1" s="19" t="s">
        <v>314</v>
      </c>
      <c r="B1" s="19"/>
      <c r="C1" s="19"/>
      <c r="D1" s="19"/>
      <c r="E1" s="19"/>
      <c r="F1" s="19"/>
      <c r="G1" s="19"/>
      <c r="I1" s="19" t="s">
        <v>315</v>
      </c>
      <c r="J1" s="19"/>
      <c r="K1" s="19"/>
      <c r="L1" s="19"/>
      <c r="M1" s="19"/>
      <c r="N1" s="11"/>
      <c r="O1" s="11"/>
      <c r="P1" s="11"/>
      <c r="Q1" s="11"/>
      <c r="S1" s="19" t="s">
        <v>314</v>
      </c>
      <c r="T1" s="19"/>
      <c r="U1" s="19"/>
      <c r="V1" s="19"/>
      <c r="W1" s="19"/>
      <c r="X1" s="19"/>
      <c r="Y1" s="19"/>
      <c r="AA1" s="19" t="s">
        <v>315</v>
      </c>
      <c r="AB1" s="19"/>
      <c r="AC1" s="19"/>
      <c r="AD1" s="19"/>
      <c r="AE1" s="19"/>
      <c r="AF1" s="11"/>
      <c r="AG1" s="11"/>
      <c r="AH1" s="11"/>
      <c r="AI1" s="11"/>
      <c r="AK1" s="19" t="s">
        <v>314</v>
      </c>
      <c r="AL1" s="19"/>
      <c r="AM1" s="19"/>
      <c r="AN1" s="19"/>
      <c r="AO1" s="19"/>
      <c r="AP1" s="19"/>
      <c r="AQ1" s="19"/>
      <c r="AS1" s="19" t="s">
        <v>315</v>
      </c>
      <c r="AT1" s="19"/>
      <c r="AU1" s="19"/>
      <c r="AV1" s="19"/>
      <c r="AW1" s="19"/>
      <c r="AX1" s="11"/>
      <c r="AY1" s="11"/>
      <c r="AZ1" s="11"/>
      <c r="BA1" s="11"/>
      <c r="BC1" s="19" t="s">
        <v>314</v>
      </c>
      <c r="BD1" s="19"/>
      <c r="BE1" s="19"/>
      <c r="BF1" s="19"/>
      <c r="BG1" s="19"/>
      <c r="BH1" s="19"/>
      <c r="BI1" s="19"/>
      <c r="BK1" s="19" t="s">
        <v>315</v>
      </c>
      <c r="BL1" s="19"/>
      <c r="BM1" s="19"/>
      <c r="BN1" s="19"/>
      <c r="BO1" s="19"/>
    </row>
    <row r="2" spans="1:71" x14ac:dyDescent="0.3">
      <c r="A2" s="3" t="s">
        <v>0</v>
      </c>
      <c r="B2" s="3"/>
      <c r="C2" s="3"/>
      <c r="D2" s="3"/>
      <c r="E2" s="3"/>
      <c r="F2" s="3"/>
      <c r="G2" s="3"/>
      <c r="I2" s="3" t="s">
        <v>0</v>
      </c>
      <c r="J2" s="3"/>
      <c r="K2" s="3"/>
      <c r="L2" s="3"/>
      <c r="M2" s="3"/>
      <c r="N2" s="3" t="s">
        <v>322</v>
      </c>
      <c r="O2" s="3" t="s">
        <v>323</v>
      </c>
      <c r="P2" s="3" t="s">
        <v>322</v>
      </c>
      <c r="Q2" s="3" t="s">
        <v>323</v>
      </c>
      <c r="S2" s="3" t="s">
        <v>1</v>
      </c>
      <c r="T2" s="3"/>
      <c r="U2" s="3"/>
      <c r="V2" s="3"/>
      <c r="W2" s="3"/>
      <c r="X2" s="3"/>
      <c r="Y2" s="3"/>
      <c r="AA2" s="3" t="s">
        <v>1</v>
      </c>
      <c r="AB2" s="3"/>
      <c r="AC2" s="3"/>
      <c r="AD2" s="3"/>
      <c r="AE2" s="3"/>
      <c r="AF2" s="3" t="s">
        <v>322</v>
      </c>
      <c r="AG2" s="3" t="s">
        <v>323</v>
      </c>
      <c r="AH2" s="3" t="s">
        <v>322</v>
      </c>
      <c r="AI2" s="3" t="s">
        <v>323</v>
      </c>
      <c r="AK2" s="3" t="s">
        <v>0</v>
      </c>
      <c r="AL2" s="3"/>
      <c r="AM2" s="3"/>
      <c r="AN2" s="3"/>
      <c r="AO2" s="3"/>
      <c r="AP2" s="3"/>
      <c r="AQ2" s="3"/>
      <c r="AS2" s="3" t="s">
        <v>0</v>
      </c>
      <c r="AT2" s="3"/>
      <c r="AU2" s="3"/>
      <c r="AV2" s="3"/>
      <c r="AW2" s="3"/>
      <c r="AX2" s="3" t="s">
        <v>322</v>
      </c>
      <c r="AY2" s="3" t="s">
        <v>323</v>
      </c>
      <c r="AZ2" s="3" t="s">
        <v>322</v>
      </c>
      <c r="BA2" s="3" t="s">
        <v>323</v>
      </c>
      <c r="BC2" s="3" t="s">
        <v>1</v>
      </c>
      <c r="BD2" s="3"/>
      <c r="BE2" s="3"/>
      <c r="BF2" s="3"/>
      <c r="BG2" s="3"/>
      <c r="BH2" s="3"/>
      <c r="BI2" s="3"/>
      <c r="BK2" s="3" t="s">
        <v>1</v>
      </c>
      <c r="BL2" s="3"/>
      <c r="BM2" s="3"/>
      <c r="BN2" s="3"/>
      <c r="BO2" s="3"/>
      <c r="BP2" s="3" t="s">
        <v>322</v>
      </c>
      <c r="BQ2" s="3" t="s">
        <v>323</v>
      </c>
      <c r="BR2" s="3" t="s">
        <v>322</v>
      </c>
      <c r="BS2" s="3" t="s">
        <v>323</v>
      </c>
    </row>
    <row r="3" spans="1:71" x14ac:dyDescent="0.3">
      <c r="A3" s="3" t="s">
        <v>2</v>
      </c>
      <c r="B3" s="3" t="s">
        <v>3</v>
      </c>
      <c r="C3" s="3" t="s">
        <v>4</v>
      </c>
      <c r="D3" s="3" t="s">
        <v>5</v>
      </c>
      <c r="E3" s="3" t="s">
        <v>6</v>
      </c>
      <c r="F3" s="3" t="s">
        <v>7</v>
      </c>
      <c r="G3" s="3" t="s">
        <v>8</v>
      </c>
      <c r="I3" s="3" t="s">
        <v>2</v>
      </c>
      <c r="J3" s="3" t="s">
        <v>6</v>
      </c>
      <c r="K3" s="3" t="s">
        <v>7</v>
      </c>
      <c r="L3" s="3" t="s">
        <v>8</v>
      </c>
      <c r="M3" s="3" t="s">
        <v>9</v>
      </c>
      <c r="N3" s="4" t="s">
        <v>320</v>
      </c>
      <c r="O3" s="4" t="s">
        <v>320</v>
      </c>
      <c r="P3" s="4" t="s">
        <v>321</v>
      </c>
      <c r="Q3" s="4" t="s">
        <v>321</v>
      </c>
      <c r="S3" s="3" t="s">
        <v>2</v>
      </c>
      <c r="T3" s="3" t="s">
        <v>3</v>
      </c>
      <c r="U3" s="3" t="s">
        <v>4</v>
      </c>
      <c r="V3" s="3" t="s">
        <v>5</v>
      </c>
      <c r="W3" s="3" t="s">
        <v>6</v>
      </c>
      <c r="X3" s="3" t="s">
        <v>7</v>
      </c>
      <c r="Y3" s="3" t="s">
        <v>8</v>
      </c>
      <c r="AA3" s="3" t="s">
        <v>2</v>
      </c>
      <c r="AB3" s="3" t="s">
        <v>6</v>
      </c>
      <c r="AC3" s="3" t="s">
        <v>7</v>
      </c>
      <c r="AD3" s="3" t="s">
        <v>8</v>
      </c>
      <c r="AE3" s="3" t="s">
        <v>9</v>
      </c>
      <c r="AF3" s="4" t="s">
        <v>320</v>
      </c>
      <c r="AG3" s="4" t="s">
        <v>320</v>
      </c>
      <c r="AH3" s="4" t="s">
        <v>321</v>
      </c>
      <c r="AI3" s="4" t="s">
        <v>321</v>
      </c>
      <c r="AK3" s="3" t="s">
        <v>2</v>
      </c>
      <c r="AL3" s="3" t="s">
        <v>3</v>
      </c>
      <c r="AM3" s="3" t="s">
        <v>4</v>
      </c>
      <c r="AN3" s="3" t="s">
        <v>5</v>
      </c>
      <c r="AO3" s="3" t="s">
        <v>6</v>
      </c>
      <c r="AP3" s="3" t="s">
        <v>7</v>
      </c>
      <c r="AQ3" s="3" t="s">
        <v>8</v>
      </c>
      <c r="AS3" s="3" t="s">
        <v>2</v>
      </c>
      <c r="AT3" s="3" t="s">
        <v>6</v>
      </c>
      <c r="AU3" s="3" t="s">
        <v>7</v>
      </c>
      <c r="AV3" s="3" t="s">
        <v>8</v>
      </c>
      <c r="AW3" s="3" t="s">
        <v>9</v>
      </c>
      <c r="AX3" s="4" t="s">
        <v>320</v>
      </c>
      <c r="AY3" s="4" t="s">
        <v>320</v>
      </c>
      <c r="AZ3" s="4" t="s">
        <v>321</v>
      </c>
      <c r="BA3" s="4" t="s">
        <v>321</v>
      </c>
      <c r="BC3" s="3" t="s">
        <v>2</v>
      </c>
      <c r="BD3" s="3" t="s">
        <v>3</v>
      </c>
      <c r="BE3" s="3" t="s">
        <v>4</v>
      </c>
      <c r="BF3" s="3" t="s">
        <v>5</v>
      </c>
      <c r="BG3" s="3" t="s">
        <v>6</v>
      </c>
      <c r="BH3" s="3" t="s">
        <v>7</v>
      </c>
      <c r="BI3" s="3" t="s">
        <v>8</v>
      </c>
      <c r="BK3" s="3" t="s">
        <v>2</v>
      </c>
      <c r="BL3" s="3" t="s">
        <v>6</v>
      </c>
      <c r="BM3" s="3" t="s">
        <v>7</v>
      </c>
      <c r="BN3" s="3" t="s">
        <v>8</v>
      </c>
      <c r="BO3" s="3" t="s">
        <v>9</v>
      </c>
      <c r="BP3" s="4" t="s">
        <v>320</v>
      </c>
      <c r="BQ3" s="4" t="s">
        <v>320</v>
      </c>
      <c r="BR3" s="4" t="s">
        <v>321</v>
      </c>
      <c r="BS3" s="4" t="s">
        <v>321</v>
      </c>
    </row>
    <row r="4" spans="1:71" x14ac:dyDescent="0.3">
      <c r="A4" s="3" t="s">
        <v>10</v>
      </c>
      <c r="B4" s="3">
        <v>0.9</v>
      </c>
      <c r="C4" s="3">
        <v>0.5</v>
      </c>
      <c r="D4" s="3">
        <v>0.6</v>
      </c>
      <c r="E4" s="3">
        <v>0.01</v>
      </c>
      <c r="F4" s="6">
        <v>469.01501500000001</v>
      </c>
      <c r="G4" s="3">
        <v>1.6E-2</v>
      </c>
      <c r="I4" s="3" t="s">
        <v>10</v>
      </c>
      <c r="J4" s="3">
        <v>0.01</v>
      </c>
      <c r="K4" s="6">
        <v>469.01501500000001</v>
      </c>
      <c r="L4" s="3">
        <v>2E-3</v>
      </c>
      <c r="M4" s="3">
        <f t="shared" ref="M4:M33" si="0">AVERAGE(E4,J4)</f>
        <v>0.01</v>
      </c>
      <c r="N4" s="3">
        <f>COUNT(F4:F7,F9:F10,F12,F14:F15,F18,F21,F24,F26:F27,F29,F31:F33)</f>
        <v>18</v>
      </c>
      <c r="O4" s="3">
        <f>COUNT(F8,F11,F13,F16:F17,F19:F20,F22:F23,F25,F28,F30)</f>
        <v>12</v>
      </c>
      <c r="P4" s="3">
        <f>COUNT(K4,K8,K10,K11,K13,K15:K17,K19,K20,K22:K23,K28,K30)</f>
        <v>14</v>
      </c>
      <c r="Q4" s="3">
        <f>COUNT(K5:K7,K9,K12,K14,K18,K21,K24:K27,K29,K31:K33)</f>
        <v>16</v>
      </c>
      <c r="S4" s="3" t="s">
        <v>10</v>
      </c>
      <c r="T4" s="3">
        <v>0.9</v>
      </c>
      <c r="U4" s="3">
        <v>0.5</v>
      </c>
      <c r="V4" s="3">
        <v>0.6</v>
      </c>
      <c r="W4" s="3">
        <v>0.01</v>
      </c>
      <c r="X4" s="6">
        <v>431.67184400000002</v>
      </c>
      <c r="Y4" s="3">
        <v>1.2E-2</v>
      </c>
      <c r="AA4" s="3" t="s">
        <v>10</v>
      </c>
      <c r="AB4" s="3">
        <v>0.01</v>
      </c>
      <c r="AC4" s="6">
        <v>431.67184400000002</v>
      </c>
      <c r="AD4" s="3">
        <v>2E-3</v>
      </c>
      <c r="AE4" s="3">
        <f t="shared" ref="AE4:AE33" si="1">AVERAGE(W4,AB4)</f>
        <v>0.01</v>
      </c>
      <c r="AF4" s="3">
        <f>COUNT(X4:X6,X8,X10,X12:X15,X17,X19:X20,X22:X23,X26:X28,X30,X33)</f>
        <v>19</v>
      </c>
      <c r="AG4" s="3">
        <f>COUNT(X7,X9,X11,X16,X18,X21,X24:X25,X29,X31:X32)</f>
        <v>11</v>
      </c>
      <c r="AH4" s="3">
        <f>COUNT(AC4,AC7,AC9,AC11:AC12,AC15:AC16,AC18,AC21,AC24:AC25,AC29:AC32)</f>
        <v>15</v>
      </c>
      <c r="AI4" s="3">
        <f>COUNT(AC5:AC6,AC8,AC10,AC13:AC14,AC17,AC19:AC20,AC22:AC23,AC26:AC28,AC33)</f>
        <v>15</v>
      </c>
      <c r="AK4" s="3" t="s">
        <v>11</v>
      </c>
      <c r="AL4" s="3">
        <v>0.9</v>
      </c>
      <c r="AM4" s="3">
        <v>0.5</v>
      </c>
      <c r="AN4" s="3">
        <v>0.6</v>
      </c>
      <c r="AO4" s="3">
        <v>0.01</v>
      </c>
      <c r="AP4" s="6">
        <v>711.196777</v>
      </c>
      <c r="AQ4" s="3">
        <v>4.4999999999999998E-2</v>
      </c>
      <c r="AS4" s="3" t="s">
        <v>11</v>
      </c>
      <c r="AT4" s="3">
        <v>0.01</v>
      </c>
      <c r="AU4" s="6">
        <v>711.196777</v>
      </c>
      <c r="AV4" s="3">
        <v>8.0000000000000002E-3</v>
      </c>
      <c r="AW4" s="3">
        <f t="shared" ref="AW4:AW33" si="2">AVERAGE(AO4,AT4)</f>
        <v>0.01</v>
      </c>
      <c r="AX4" s="3">
        <f>COUNT(AP4:AP5,AP10,AP12,AP14:AP15,AP17:AP19,AP24:AP25,AP28,AP32:AP33)</f>
        <v>14</v>
      </c>
      <c r="AY4" s="3">
        <f>COUNT(AP6:AP9,AP11,AP13,AP16,AP20:AP23,AP26:AP27,AP29:AP31)</f>
        <v>16</v>
      </c>
      <c r="AZ4" s="3">
        <f>COUNT(AU4,AU6:AU9,AU11,AU13,AU16,AU20:AU23,AU26:AU27,AU29:AU31)</f>
        <v>17</v>
      </c>
      <c r="BA4" s="3">
        <f>COUNT(AU5,AU10,AU12,AU14:AU15,AU17:AU19,AU24:AU25,AU28,AU32:AU33)</f>
        <v>13</v>
      </c>
      <c r="BC4" s="3" t="s">
        <v>11</v>
      </c>
      <c r="BD4" s="3">
        <v>0.9</v>
      </c>
      <c r="BE4" s="3">
        <v>0.5</v>
      </c>
      <c r="BF4" s="3">
        <v>0.6</v>
      </c>
      <c r="BG4" s="3">
        <v>0.01</v>
      </c>
      <c r="BH4" s="6">
        <v>651.34509300000002</v>
      </c>
      <c r="BI4" s="3">
        <v>1.0999999999999999E-2</v>
      </c>
      <c r="BK4" s="3" t="s">
        <v>11</v>
      </c>
      <c r="BL4" s="3">
        <v>0.01</v>
      </c>
      <c r="BM4" s="6">
        <v>651.34509300000002</v>
      </c>
      <c r="BN4" s="3">
        <v>1E-3</v>
      </c>
      <c r="BO4" s="3">
        <f t="shared" ref="BO4:BO33" si="3">AVERAGE(BG4,BL4)</f>
        <v>0.01</v>
      </c>
      <c r="BP4" s="3">
        <f>COUNT(BH4,BH6:BH9,BH11,BH14,BH17:BH18,BH20:BH21,BH23:BH26,BH28,BH30:BH31,BH33)</f>
        <v>19</v>
      </c>
      <c r="BQ4" s="3">
        <f>30-BP4</f>
        <v>11</v>
      </c>
      <c r="BR4" s="3">
        <f>COUNT(BM4:BM5,BM10,BM12:BM13,BM15:BM16,BM19,BM22:BM23,BM27,BM29,BM32)</f>
        <v>13</v>
      </c>
      <c r="BS4" s="3">
        <f>30-BR4</f>
        <v>17</v>
      </c>
    </row>
    <row r="5" spans="1:71" x14ac:dyDescent="0.3">
      <c r="A5" s="3" t="s">
        <v>12</v>
      </c>
      <c r="B5" s="3">
        <v>0.9</v>
      </c>
      <c r="C5" s="3">
        <v>0.5</v>
      </c>
      <c r="D5" s="3">
        <v>0.6</v>
      </c>
      <c r="E5" s="3">
        <v>0.59</v>
      </c>
      <c r="F5" s="6">
        <v>427.772583</v>
      </c>
      <c r="G5" s="3">
        <v>1.7999999999999999E-2</v>
      </c>
      <c r="I5" s="3" t="s">
        <v>12</v>
      </c>
      <c r="J5" s="3">
        <v>0.91</v>
      </c>
      <c r="K5" s="7">
        <v>467.93060300000002</v>
      </c>
      <c r="L5" s="3">
        <v>0</v>
      </c>
      <c r="M5" s="3">
        <f t="shared" si="0"/>
        <v>0.75</v>
      </c>
      <c r="N5" s="5"/>
      <c r="O5" s="5"/>
      <c r="P5" s="5"/>
      <c r="Q5" s="5"/>
      <c r="S5" s="3" t="s">
        <v>12</v>
      </c>
      <c r="T5" s="3">
        <v>0.9</v>
      </c>
      <c r="U5" s="3">
        <v>0.5</v>
      </c>
      <c r="V5" s="3">
        <v>0.6</v>
      </c>
      <c r="W5" s="3">
        <v>0.27</v>
      </c>
      <c r="X5" s="6">
        <v>404.93225100000001</v>
      </c>
      <c r="Y5" s="3">
        <v>1.4E-2</v>
      </c>
      <c r="AA5" s="3" t="s">
        <v>12</v>
      </c>
      <c r="AB5" s="3">
        <v>0.11</v>
      </c>
      <c r="AC5" s="7">
        <v>408.94638099999997</v>
      </c>
      <c r="AD5" s="3">
        <v>1E-3</v>
      </c>
      <c r="AE5" s="3">
        <f t="shared" si="1"/>
        <v>0.19</v>
      </c>
      <c r="AF5" s="5"/>
      <c r="AG5" s="5"/>
      <c r="AH5" s="5"/>
      <c r="AI5" s="5"/>
      <c r="AK5" s="3" t="s">
        <v>13</v>
      </c>
      <c r="AL5" s="3">
        <v>0.9</v>
      </c>
      <c r="AM5" s="3">
        <v>0.5</v>
      </c>
      <c r="AN5" s="3">
        <v>0.6</v>
      </c>
      <c r="AO5" s="3">
        <v>0.5</v>
      </c>
      <c r="AP5" s="6">
        <v>723.30432099999996</v>
      </c>
      <c r="AQ5" s="3">
        <v>2.3E-2</v>
      </c>
      <c r="AS5" s="3" t="s">
        <v>13</v>
      </c>
      <c r="AT5" s="3">
        <v>0.77</v>
      </c>
      <c r="AU5" s="7">
        <v>752.45239300000003</v>
      </c>
      <c r="AV5" s="3">
        <v>6.0000000000000001E-3</v>
      </c>
      <c r="AW5" s="3">
        <f t="shared" si="2"/>
        <v>0.63500000000000001</v>
      </c>
      <c r="AX5" s="5"/>
      <c r="AY5" s="5"/>
      <c r="AZ5" s="5"/>
      <c r="BA5" s="5"/>
      <c r="BC5" s="3" t="s">
        <v>13</v>
      </c>
      <c r="BD5" s="3">
        <v>0.9</v>
      </c>
      <c r="BE5" s="3">
        <v>0.5</v>
      </c>
      <c r="BF5" s="3">
        <v>0.6</v>
      </c>
      <c r="BG5" s="3">
        <v>0.78</v>
      </c>
      <c r="BH5" s="7">
        <v>732.751892</v>
      </c>
      <c r="BI5" s="3">
        <v>2.3E-2</v>
      </c>
      <c r="BK5" s="3" t="s">
        <v>13</v>
      </c>
      <c r="BL5" s="3">
        <v>0.69</v>
      </c>
      <c r="BM5" s="6">
        <v>725.49585000000002</v>
      </c>
      <c r="BN5" s="3">
        <v>4.0000000000000001E-3</v>
      </c>
      <c r="BO5" s="3">
        <f t="shared" si="3"/>
        <v>0.73499999999999999</v>
      </c>
    </row>
    <row r="6" spans="1:71" x14ac:dyDescent="0.3">
      <c r="A6" s="3" t="s">
        <v>14</v>
      </c>
      <c r="B6" s="3">
        <v>0.9</v>
      </c>
      <c r="C6" s="3">
        <v>0.5</v>
      </c>
      <c r="D6" s="3">
        <v>0.6</v>
      </c>
      <c r="E6" s="3">
        <v>0.26</v>
      </c>
      <c r="F6" s="6">
        <v>368.59149200000002</v>
      </c>
      <c r="G6" s="3">
        <v>0.01</v>
      </c>
      <c r="I6" s="3" t="s">
        <v>14</v>
      </c>
      <c r="J6" s="3">
        <v>0.33</v>
      </c>
      <c r="K6" s="7">
        <v>370.78454599999998</v>
      </c>
      <c r="L6" s="3">
        <v>1E-3</v>
      </c>
      <c r="M6" s="3">
        <f t="shared" si="0"/>
        <v>0.29500000000000004</v>
      </c>
      <c r="N6" s="5"/>
      <c r="O6" s="5"/>
      <c r="P6" s="5"/>
      <c r="Q6" s="5"/>
      <c r="S6" s="3" t="s">
        <v>14</v>
      </c>
      <c r="T6" s="3">
        <v>0.9</v>
      </c>
      <c r="U6" s="3">
        <v>0.5</v>
      </c>
      <c r="V6" s="3">
        <v>0.6</v>
      </c>
      <c r="W6" s="3">
        <v>0.31</v>
      </c>
      <c r="X6" s="6">
        <v>338.09899899999999</v>
      </c>
      <c r="Y6" s="3">
        <v>1.2E-2</v>
      </c>
      <c r="AA6" s="3" t="s">
        <v>14</v>
      </c>
      <c r="AB6" s="3">
        <v>0.61</v>
      </c>
      <c r="AC6" s="7">
        <v>344.15121499999998</v>
      </c>
      <c r="AD6" s="3">
        <v>0</v>
      </c>
      <c r="AE6" s="3">
        <f t="shared" si="1"/>
        <v>0.45999999999999996</v>
      </c>
      <c r="AF6" s="5"/>
      <c r="AG6" s="5"/>
      <c r="AH6" s="5"/>
      <c r="AI6" s="5"/>
      <c r="AK6" s="3" t="s">
        <v>15</v>
      </c>
      <c r="AL6" s="3">
        <v>0.9</v>
      </c>
      <c r="AM6" s="3">
        <v>0.5</v>
      </c>
      <c r="AN6" s="3">
        <v>0.6</v>
      </c>
      <c r="AO6" s="3">
        <v>0.88</v>
      </c>
      <c r="AP6" s="7">
        <v>904.07055700000001</v>
      </c>
      <c r="AQ6" s="3">
        <v>1.7999999999999999E-2</v>
      </c>
      <c r="AS6" s="3" t="s">
        <v>15</v>
      </c>
      <c r="AT6" s="3">
        <v>0.37</v>
      </c>
      <c r="AU6" s="6">
        <v>732.78301999999996</v>
      </c>
      <c r="AV6" s="3">
        <v>2E-3</v>
      </c>
      <c r="AW6" s="3">
        <f t="shared" si="2"/>
        <v>0.625</v>
      </c>
      <c r="AX6" s="5"/>
      <c r="AY6" s="5"/>
      <c r="AZ6" s="5"/>
      <c r="BA6" s="5"/>
      <c r="BC6" s="3" t="s">
        <v>15</v>
      </c>
      <c r="BD6" s="3">
        <v>0.9</v>
      </c>
      <c r="BE6" s="3">
        <v>0.5</v>
      </c>
      <c r="BF6" s="3">
        <v>0.6</v>
      </c>
      <c r="BG6" s="3">
        <v>0.28000000000000003</v>
      </c>
      <c r="BH6" s="6">
        <v>674.43102999999996</v>
      </c>
      <c r="BI6" s="3">
        <v>1.7000000000000001E-2</v>
      </c>
      <c r="BK6" s="3" t="s">
        <v>15</v>
      </c>
      <c r="BL6" s="3">
        <v>0.94</v>
      </c>
      <c r="BM6" s="7">
        <v>849.34350600000005</v>
      </c>
      <c r="BN6" s="3">
        <v>2E-3</v>
      </c>
      <c r="BO6" s="3">
        <f t="shared" si="3"/>
        <v>0.61</v>
      </c>
    </row>
    <row r="7" spans="1:71" x14ac:dyDescent="0.3">
      <c r="A7" s="3" t="s">
        <v>16</v>
      </c>
      <c r="B7" s="3">
        <v>0.9</v>
      </c>
      <c r="C7" s="3">
        <v>0.5</v>
      </c>
      <c r="D7" s="3">
        <v>0.6</v>
      </c>
      <c r="E7" s="3">
        <v>0.42</v>
      </c>
      <c r="F7" s="6">
        <v>401.51928700000002</v>
      </c>
      <c r="G7" s="3">
        <v>2.9000000000000001E-2</v>
      </c>
      <c r="I7" s="3" t="s">
        <v>16</v>
      </c>
      <c r="J7" s="3">
        <v>0.74</v>
      </c>
      <c r="K7" s="7">
        <v>409.18640099999999</v>
      </c>
      <c r="L7" s="3">
        <v>1E-3</v>
      </c>
      <c r="M7" s="3">
        <f t="shared" si="0"/>
        <v>0.57999999999999996</v>
      </c>
      <c r="N7" s="5"/>
      <c r="O7" s="5"/>
      <c r="P7" s="5"/>
      <c r="Q7" s="5"/>
      <c r="S7" s="3" t="s">
        <v>16</v>
      </c>
      <c r="T7" s="3">
        <v>0.9</v>
      </c>
      <c r="U7" s="3">
        <v>0.5</v>
      </c>
      <c r="V7" s="3">
        <v>0.6</v>
      </c>
      <c r="W7" s="3">
        <v>0.86</v>
      </c>
      <c r="X7" s="7">
        <v>398.96127300000001</v>
      </c>
      <c r="Y7" s="3">
        <v>1.9E-2</v>
      </c>
      <c r="AA7" s="3" t="s">
        <v>16</v>
      </c>
      <c r="AB7" s="3">
        <v>0.53</v>
      </c>
      <c r="AC7" s="6">
        <v>383.53454599999998</v>
      </c>
      <c r="AD7" s="3">
        <v>0</v>
      </c>
      <c r="AE7" s="3">
        <f t="shared" si="1"/>
        <v>0.69500000000000006</v>
      </c>
      <c r="AF7" s="5"/>
      <c r="AG7" s="5"/>
      <c r="AH7" s="5"/>
      <c r="AI7" s="5"/>
      <c r="AK7" s="3" t="s">
        <v>17</v>
      </c>
      <c r="AL7" s="3">
        <v>0.9</v>
      </c>
      <c r="AM7" s="3">
        <v>0.5</v>
      </c>
      <c r="AN7" s="3">
        <v>0.6</v>
      </c>
      <c r="AO7" s="3">
        <v>0.35</v>
      </c>
      <c r="AP7" s="7">
        <v>726.82226600000001</v>
      </c>
      <c r="AQ7" s="3">
        <v>3.1E-2</v>
      </c>
      <c r="AS7" s="3" t="s">
        <v>17</v>
      </c>
      <c r="AT7" s="3">
        <v>0.37</v>
      </c>
      <c r="AU7" s="6">
        <v>722.44897500000002</v>
      </c>
      <c r="AV7" s="3">
        <v>1E-3</v>
      </c>
      <c r="AW7" s="3">
        <f t="shared" si="2"/>
        <v>0.36</v>
      </c>
      <c r="AX7" s="5"/>
      <c r="AY7" s="5"/>
      <c r="AZ7" s="5"/>
      <c r="BA7" s="5"/>
      <c r="BC7" s="3" t="s">
        <v>17</v>
      </c>
      <c r="BD7" s="3">
        <v>0.9</v>
      </c>
      <c r="BE7" s="3">
        <v>0.5</v>
      </c>
      <c r="BF7" s="3">
        <v>0.6</v>
      </c>
      <c r="BG7" s="3">
        <v>0.25</v>
      </c>
      <c r="BH7" s="6">
        <v>662.15063499999997</v>
      </c>
      <c r="BI7" s="3">
        <v>1.7000000000000001E-2</v>
      </c>
      <c r="BK7" s="3" t="s">
        <v>17</v>
      </c>
      <c r="BL7" s="3">
        <v>0.53</v>
      </c>
      <c r="BM7" s="7">
        <v>746.95367399999998</v>
      </c>
      <c r="BN7" s="3">
        <v>3.0000000000000001E-3</v>
      </c>
      <c r="BO7" s="3">
        <f t="shared" si="3"/>
        <v>0.39</v>
      </c>
    </row>
    <row r="8" spans="1:71" x14ac:dyDescent="0.3">
      <c r="A8" s="3" t="s">
        <v>18</v>
      </c>
      <c r="B8" s="3">
        <v>0.9</v>
      </c>
      <c r="C8" s="3">
        <v>0.5</v>
      </c>
      <c r="D8" s="3">
        <v>0.6</v>
      </c>
      <c r="E8" s="3">
        <v>0.9</v>
      </c>
      <c r="F8" s="7">
        <v>359.961792</v>
      </c>
      <c r="G8" s="3">
        <v>3.3000000000000002E-2</v>
      </c>
      <c r="I8" s="3" t="s">
        <v>18</v>
      </c>
      <c r="J8" s="3">
        <v>0.56999999999999995</v>
      </c>
      <c r="K8" s="6">
        <v>356.35272200000003</v>
      </c>
      <c r="L8" s="3">
        <v>1E-3</v>
      </c>
      <c r="M8" s="3">
        <f t="shared" si="0"/>
        <v>0.73499999999999999</v>
      </c>
      <c r="N8" s="5"/>
      <c r="O8" s="5"/>
      <c r="P8" s="5"/>
      <c r="Q8" s="5"/>
      <c r="S8" s="3" t="s">
        <v>18</v>
      </c>
      <c r="T8" s="3">
        <v>0.9</v>
      </c>
      <c r="U8" s="3">
        <v>0.5</v>
      </c>
      <c r="V8" s="3">
        <v>0.6</v>
      </c>
      <c r="W8" s="3">
        <v>0.31</v>
      </c>
      <c r="X8" s="6">
        <v>322.78381300000001</v>
      </c>
      <c r="Y8" s="3">
        <v>1.0999999999999999E-2</v>
      </c>
      <c r="AA8" s="3" t="s">
        <v>18</v>
      </c>
      <c r="AB8" s="3">
        <v>0.42</v>
      </c>
      <c r="AC8" s="7">
        <v>328.93576000000002</v>
      </c>
      <c r="AD8" s="3">
        <v>0</v>
      </c>
      <c r="AE8" s="3">
        <f t="shared" si="1"/>
        <v>0.36499999999999999</v>
      </c>
      <c r="AF8" s="5"/>
      <c r="AG8" s="5"/>
      <c r="AH8" s="5"/>
      <c r="AI8" s="5"/>
      <c r="AK8" s="3" t="s">
        <v>19</v>
      </c>
      <c r="AL8" s="3">
        <v>0.9</v>
      </c>
      <c r="AM8" s="3">
        <v>0.5</v>
      </c>
      <c r="AN8" s="3">
        <v>0.6</v>
      </c>
      <c r="AO8" s="3">
        <v>0.94</v>
      </c>
      <c r="AP8" s="7">
        <v>891.04199200000005</v>
      </c>
      <c r="AQ8" s="3">
        <v>2.5000000000000001E-2</v>
      </c>
      <c r="AS8" s="3" t="s">
        <v>19</v>
      </c>
      <c r="AT8" s="3">
        <v>0.42</v>
      </c>
      <c r="AU8" s="6">
        <v>763.50824</v>
      </c>
      <c r="AV8" s="3">
        <v>5.0000000000000001E-3</v>
      </c>
      <c r="AW8" s="3">
        <f t="shared" si="2"/>
        <v>0.67999999999999994</v>
      </c>
      <c r="AX8" s="5"/>
      <c r="AY8" s="5"/>
      <c r="AZ8" s="5"/>
      <c r="BA8" s="5"/>
      <c r="BC8" s="3" t="s">
        <v>19</v>
      </c>
      <c r="BD8" s="3">
        <v>0.9</v>
      </c>
      <c r="BE8" s="3">
        <v>0.5</v>
      </c>
      <c r="BF8" s="3">
        <v>0.6</v>
      </c>
      <c r="BG8" s="3">
        <v>0.05</v>
      </c>
      <c r="BH8" s="6">
        <v>631.02655000000004</v>
      </c>
      <c r="BI8" s="3">
        <v>1.9E-2</v>
      </c>
      <c r="BK8" s="3" t="s">
        <v>19</v>
      </c>
      <c r="BL8" s="3">
        <v>0.91</v>
      </c>
      <c r="BM8" s="7">
        <v>841.86804199999995</v>
      </c>
      <c r="BN8" s="3">
        <v>3.0000000000000001E-3</v>
      </c>
      <c r="BO8" s="3">
        <f t="shared" si="3"/>
        <v>0.48000000000000004</v>
      </c>
    </row>
    <row r="9" spans="1:71" x14ac:dyDescent="0.3">
      <c r="A9" s="3" t="s">
        <v>20</v>
      </c>
      <c r="B9" s="3">
        <v>0.9</v>
      </c>
      <c r="C9" s="3">
        <v>0.5</v>
      </c>
      <c r="D9" s="3">
        <v>0.6</v>
      </c>
      <c r="E9" s="3">
        <v>0.51</v>
      </c>
      <c r="F9" s="6">
        <v>411.12417599999998</v>
      </c>
      <c r="G9" s="3">
        <v>1.9E-2</v>
      </c>
      <c r="I9" s="3" t="s">
        <v>20</v>
      </c>
      <c r="J9" s="3">
        <v>0.64</v>
      </c>
      <c r="K9" s="7">
        <v>415.0401</v>
      </c>
      <c r="L9" s="3">
        <v>2E-3</v>
      </c>
      <c r="M9" s="3">
        <f t="shared" si="0"/>
        <v>0.57499999999999996</v>
      </c>
      <c r="N9" s="5"/>
      <c r="O9" s="5"/>
      <c r="P9" s="5"/>
      <c r="Q9" s="5"/>
      <c r="S9" s="3" t="s">
        <v>20</v>
      </c>
      <c r="T9" s="3">
        <v>0.9</v>
      </c>
      <c r="U9" s="3">
        <v>0.5</v>
      </c>
      <c r="V9" s="3">
        <v>0.6</v>
      </c>
      <c r="W9" s="3">
        <v>0.33</v>
      </c>
      <c r="X9" s="7">
        <v>385.83401500000002</v>
      </c>
      <c r="Y9" s="3">
        <v>1.2E-2</v>
      </c>
      <c r="AA9" s="3" t="s">
        <v>20</v>
      </c>
      <c r="AB9" s="3">
        <v>0.48</v>
      </c>
      <c r="AC9" s="6">
        <v>383.946594</v>
      </c>
      <c r="AD9" s="3">
        <v>7.0000000000000001E-3</v>
      </c>
      <c r="AE9" s="3">
        <f t="shared" si="1"/>
        <v>0.40500000000000003</v>
      </c>
      <c r="AF9" s="5"/>
      <c r="AG9" s="5"/>
      <c r="AH9" s="5"/>
      <c r="AI9" s="5"/>
      <c r="AK9" s="3" t="s">
        <v>21</v>
      </c>
      <c r="AL9" s="3">
        <v>0.9</v>
      </c>
      <c r="AM9" s="3">
        <v>0.5</v>
      </c>
      <c r="AN9" s="3">
        <v>0.6</v>
      </c>
      <c r="AO9" s="3">
        <v>0.83</v>
      </c>
      <c r="AP9" s="7">
        <v>921.168274</v>
      </c>
      <c r="AQ9" s="3">
        <v>0.03</v>
      </c>
      <c r="AS9" s="3" t="s">
        <v>21</v>
      </c>
      <c r="AT9" s="3">
        <v>0.78</v>
      </c>
      <c r="AU9" s="6">
        <v>877.45550500000002</v>
      </c>
      <c r="AV9" s="3">
        <v>3.0000000000000001E-3</v>
      </c>
      <c r="AW9" s="3">
        <f t="shared" si="2"/>
        <v>0.80499999999999994</v>
      </c>
      <c r="AX9" s="5"/>
      <c r="AY9" s="5"/>
      <c r="AZ9" s="5"/>
      <c r="BA9" s="5"/>
      <c r="BC9" s="3" t="s">
        <v>21</v>
      </c>
      <c r="BD9" s="3">
        <v>0.9</v>
      </c>
      <c r="BE9" s="3">
        <v>0.5</v>
      </c>
      <c r="BF9" s="3">
        <v>0.6</v>
      </c>
      <c r="BG9" s="3">
        <v>0.7</v>
      </c>
      <c r="BH9" s="6">
        <v>851.12951699999996</v>
      </c>
      <c r="BI9" s="3">
        <v>4.2000000000000003E-2</v>
      </c>
      <c r="BK9" s="3" t="s">
        <v>21</v>
      </c>
      <c r="BL9" s="3">
        <v>0.95</v>
      </c>
      <c r="BM9" s="7">
        <v>867.85064699999998</v>
      </c>
      <c r="BN9" s="3">
        <v>4.0000000000000001E-3</v>
      </c>
      <c r="BO9" s="3">
        <f t="shared" si="3"/>
        <v>0.82499999999999996</v>
      </c>
    </row>
    <row r="10" spans="1:71" x14ac:dyDescent="0.3">
      <c r="A10" s="3" t="s">
        <v>22</v>
      </c>
      <c r="B10" s="3">
        <v>0.9</v>
      </c>
      <c r="C10" s="3">
        <v>0.5</v>
      </c>
      <c r="D10" s="3">
        <v>0.6</v>
      </c>
      <c r="E10" s="3">
        <v>0.32</v>
      </c>
      <c r="F10" s="6">
        <v>391.49529999999999</v>
      </c>
      <c r="G10" s="3">
        <v>2.5999999999999999E-2</v>
      </c>
      <c r="I10" s="3" t="s">
        <v>22</v>
      </c>
      <c r="J10" s="3">
        <v>0.04</v>
      </c>
      <c r="K10" s="8">
        <v>391.62503099999998</v>
      </c>
      <c r="L10" s="3">
        <v>5.0000000000000001E-3</v>
      </c>
      <c r="M10" s="3">
        <f t="shared" si="0"/>
        <v>0.18</v>
      </c>
      <c r="N10" s="5"/>
      <c r="O10" s="5"/>
      <c r="P10" s="5"/>
      <c r="Q10" s="5"/>
      <c r="S10" s="3" t="s">
        <v>22</v>
      </c>
      <c r="T10" s="3">
        <v>0.9</v>
      </c>
      <c r="U10" s="3">
        <v>0.5</v>
      </c>
      <c r="V10" s="3">
        <v>0.6</v>
      </c>
      <c r="W10" s="3">
        <v>0.37</v>
      </c>
      <c r="X10" s="6">
        <v>367.10611</v>
      </c>
      <c r="Y10" s="3">
        <v>1.6E-2</v>
      </c>
      <c r="AA10" s="3" t="s">
        <v>22</v>
      </c>
      <c r="AB10" s="3">
        <v>0.6</v>
      </c>
      <c r="AC10" s="7">
        <v>370.73803700000002</v>
      </c>
      <c r="AD10" s="3">
        <v>3.0000000000000001E-3</v>
      </c>
      <c r="AE10" s="3">
        <f t="shared" si="1"/>
        <v>0.48499999999999999</v>
      </c>
      <c r="AF10" s="5"/>
      <c r="AG10" s="5"/>
      <c r="AH10" s="5"/>
      <c r="AI10" s="5"/>
      <c r="AK10" s="3" t="s">
        <v>23</v>
      </c>
      <c r="AL10" s="3">
        <v>0.9</v>
      </c>
      <c r="AM10" s="3">
        <v>0.5</v>
      </c>
      <c r="AN10" s="3">
        <v>0.6</v>
      </c>
      <c r="AO10" s="3">
        <v>0.55000000000000004</v>
      </c>
      <c r="AP10" s="6">
        <v>823.63378899999998</v>
      </c>
      <c r="AQ10" s="3">
        <v>3.2000000000000001E-2</v>
      </c>
      <c r="AS10" s="3" t="s">
        <v>23</v>
      </c>
      <c r="AT10" s="3">
        <v>0.59</v>
      </c>
      <c r="AU10" s="7">
        <v>847.53753700000004</v>
      </c>
      <c r="AV10" s="3">
        <v>3.0000000000000001E-3</v>
      </c>
      <c r="AW10" s="3">
        <f t="shared" si="2"/>
        <v>0.57000000000000006</v>
      </c>
      <c r="AX10" s="5"/>
      <c r="AY10" s="5"/>
      <c r="AZ10" s="5"/>
      <c r="BA10" s="5"/>
      <c r="BC10" s="3" t="s">
        <v>23</v>
      </c>
      <c r="BD10" s="3">
        <v>0.9</v>
      </c>
      <c r="BE10" s="3">
        <v>0.5</v>
      </c>
      <c r="BF10" s="3">
        <v>0.6</v>
      </c>
      <c r="BG10" s="3">
        <v>0.77</v>
      </c>
      <c r="BH10" s="7">
        <v>822.07428000000004</v>
      </c>
      <c r="BI10" s="3">
        <v>2.5999999999999999E-2</v>
      </c>
      <c r="BK10" s="3" t="s">
        <v>23</v>
      </c>
      <c r="BL10" s="3">
        <v>0.43</v>
      </c>
      <c r="BM10" s="6">
        <v>747.77533000000005</v>
      </c>
      <c r="BN10" s="3">
        <v>4.0000000000000001E-3</v>
      </c>
      <c r="BO10" s="3">
        <f t="shared" si="3"/>
        <v>0.6</v>
      </c>
    </row>
    <row r="11" spans="1:71" x14ac:dyDescent="0.3">
      <c r="A11" s="3" t="s">
        <v>24</v>
      </c>
      <c r="B11" s="3">
        <v>0.9</v>
      </c>
      <c r="C11" s="3">
        <v>0.5</v>
      </c>
      <c r="D11" s="3">
        <v>0.6</v>
      </c>
      <c r="E11" s="3">
        <v>0.88</v>
      </c>
      <c r="F11" s="7">
        <v>498.953033</v>
      </c>
      <c r="G11" s="3">
        <v>1.2E-2</v>
      </c>
      <c r="I11" s="3" t="s">
        <v>24</v>
      </c>
      <c r="J11" s="3">
        <v>0.92</v>
      </c>
      <c r="K11" s="6">
        <v>488.72198500000002</v>
      </c>
      <c r="L11" s="3">
        <v>3.0000000000000001E-3</v>
      </c>
      <c r="M11" s="3">
        <f t="shared" si="0"/>
        <v>0.9</v>
      </c>
      <c r="N11" s="5"/>
      <c r="O11" s="5"/>
      <c r="P11" s="5"/>
      <c r="Q11" s="5"/>
      <c r="S11" s="3" t="s">
        <v>24</v>
      </c>
      <c r="T11" s="3">
        <v>0.9</v>
      </c>
      <c r="U11" s="3">
        <v>0.5</v>
      </c>
      <c r="V11" s="3">
        <v>0.6</v>
      </c>
      <c r="W11" s="3">
        <v>0.99</v>
      </c>
      <c r="X11" s="7">
        <v>433.86465500000003</v>
      </c>
      <c r="Y11" s="3">
        <v>0.03</v>
      </c>
      <c r="AA11" s="3" t="s">
        <v>24</v>
      </c>
      <c r="AB11" s="3">
        <v>0.6</v>
      </c>
      <c r="AC11" s="6">
        <v>424.39956699999999</v>
      </c>
      <c r="AD11" s="3">
        <v>0</v>
      </c>
      <c r="AE11" s="3">
        <f t="shared" si="1"/>
        <v>0.79499999999999993</v>
      </c>
      <c r="AF11" s="5"/>
      <c r="AG11" s="5"/>
      <c r="AH11" s="5"/>
      <c r="AI11" s="5"/>
      <c r="AK11" s="3" t="s">
        <v>25</v>
      </c>
      <c r="AL11" s="3">
        <v>0.9</v>
      </c>
      <c r="AM11" s="3">
        <v>0.5</v>
      </c>
      <c r="AN11" s="3">
        <v>0.6</v>
      </c>
      <c r="AO11" s="3">
        <v>0.79</v>
      </c>
      <c r="AP11" s="7">
        <v>878.49902299999997</v>
      </c>
      <c r="AQ11" s="3">
        <v>2.5999999999999999E-2</v>
      </c>
      <c r="AS11" s="3" t="s">
        <v>25</v>
      </c>
      <c r="AT11" s="3">
        <v>0.44</v>
      </c>
      <c r="AU11" s="6">
        <v>745.563354</v>
      </c>
      <c r="AV11" s="3">
        <v>3.0000000000000001E-3</v>
      </c>
      <c r="AW11" s="3">
        <f t="shared" si="2"/>
        <v>0.61499999999999999</v>
      </c>
      <c r="AX11" s="5"/>
      <c r="AY11" s="5"/>
      <c r="AZ11" s="5"/>
      <c r="BA11" s="5"/>
      <c r="BC11" s="3" t="s">
        <v>25</v>
      </c>
      <c r="BD11" s="3">
        <v>0.9</v>
      </c>
      <c r="BE11" s="3">
        <v>0.5</v>
      </c>
      <c r="BF11" s="3">
        <v>0.6</v>
      </c>
      <c r="BG11" s="3">
        <v>0.24</v>
      </c>
      <c r="BH11" s="6">
        <v>696.77606200000002</v>
      </c>
      <c r="BI11" s="3">
        <v>2.5000000000000001E-2</v>
      </c>
      <c r="BK11" s="3" t="s">
        <v>25</v>
      </c>
      <c r="BL11" s="3">
        <v>0.6</v>
      </c>
      <c r="BM11" s="7">
        <v>808.55932600000006</v>
      </c>
      <c r="BN11" s="3">
        <v>1E-3</v>
      </c>
      <c r="BO11" s="3">
        <f t="shared" si="3"/>
        <v>0.42</v>
      </c>
    </row>
    <row r="12" spans="1:71" x14ac:dyDescent="0.3">
      <c r="A12" s="3" t="s">
        <v>26</v>
      </c>
      <c r="B12" s="3">
        <v>0.9</v>
      </c>
      <c r="C12" s="3">
        <v>0.5</v>
      </c>
      <c r="D12" s="3">
        <v>0.6</v>
      </c>
      <c r="E12" s="3">
        <v>0.21</v>
      </c>
      <c r="F12" s="6">
        <v>418.77362099999999</v>
      </c>
      <c r="G12" s="3">
        <v>0.02</v>
      </c>
      <c r="I12" s="3" t="s">
        <v>26</v>
      </c>
      <c r="J12" s="3">
        <v>0.54</v>
      </c>
      <c r="K12" s="7">
        <v>427.01058999999998</v>
      </c>
      <c r="L12" s="3">
        <v>1.6E-2</v>
      </c>
      <c r="M12" s="3">
        <f t="shared" si="0"/>
        <v>0.375</v>
      </c>
      <c r="N12" s="5"/>
      <c r="O12" s="5"/>
      <c r="P12" s="5"/>
      <c r="Q12" s="5"/>
      <c r="S12" s="3" t="s">
        <v>26</v>
      </c>
      <c r="T12" s="3">
        <v>0.9</v>
      </c>
      <c r="U12" s="3">
        <v>0.5</v>
      </c>
      <c r="V12" s="3">
        <v>0.6</v>
      </c>
      <c r="W12" s="3">
        <v>0.27</v>
      </c>
      <c r="X12" s="8">
        <v>397.89511099999999</v>
      </c>
      <c r="Y12" s="3">
        <v>2.5999999999999999E-2</v>
      </c>
      <c r="AA12" s="3" t="s">
        <v>26</v>
      </c>
      <c r="AB12" s="3">
        <v>0.16</v>
      </c>
      <c r="AC12" s="6">
        <v>397.24148600000001</v>
      </c>
      <c r="AD12" s="3">
        <v>4.0000000000000001E-3</v>
      </c>
      <c r="AE12" s="3">
        <f t="shared" si="1"/>
        <v>0.21500000000000002</v>
      </c>
      <c r="AF12" s="5"/>
      <c r="AG12" s="5"/>
      <c r="AH12" s="5"/>
      <c r="AI12" s="5"/>
      <c r="AK12" s="3" t="s">
        <v>27</v>
      </c>
      <c r="AL12" s="3">
        <v>0.9</v>
      </c>
      <c r="AM12" s="3">
        <v>0.5</v>
      </c>
      <c r="AN12" s="3">
        <v>0.6</v>
      </c>
      <c r="AO12" s="3">
        <v>0.93</v>
      </c>
      <c r="AP12" s="6">
        <v>879.67346199999997</v>
      </c>
      <c r="AQ12" s="3">
        <v>2.5999999999999999E-2</v>
      </c>
      <c r="AS12" s="3" t="s">
        <v>27</v>
      </c>
      <c r="AT12" s="3">
        <v>0.97</v>
      </c>
      <c r="AU12" s="7">
        <v>912.73846400000002</v>
      </c>
      <c r="AV12" s="3">
        <v>3.0000000000000001E-3</v>
      </c>
      <c r="AW12" s="3">
        <f t="shared" si="2"/>
        <v>0.95</v>
      </c>
      <c r="AX12" s="5"/>
      <c r="AY12" s="5"/>
      <c r="AZ12" s="5"/>
      <c r="BA12" s="5"/>
      <c r="BC12" s="3" t="s">
        <v>27</v>
      </c>
      <c r="BD12" s="3">
        <v>0.9</v>
      </c>
      <c r="BE12" s="3">
        <v>0.5</v>
      </c>
      <c r="BF12" s="3">
        <v>0.6</v>
      </c>
      <c r="BG12" s="3">
        <v>0.42</v>
      </c>
      <c r="BH12" s="7">
        <v>726.48376499999995</v>
      </c>
      <c r="BI12" s="3">
        <v>2.5999999999999999E-2</v>
      </c>
      <c r="BK12" s="3" t="s">
        <v>27</v>
      </c>
      <c r="BL12" s="3">
        <v>0.01</v>
      </c>
      <c r="BM12" s="6">
        <v>602.47210700000005</v>
      </c>
      <c r="BN12" s="3">
        <v>3.0000000000000001E-3</v>
      </c>
      <c r="BO12" s="3">
        <f t="shared" si="3"/>
        <v>0.215</v>
      </c>
    </row>
    <row r="13" spans="1:71" x14ac:dyDescent="0.3">
      <c r="A13" s="3" t="s">
        <v>28</v>
      </c>
      <c r="B13" s="3">
        <v>0.9</v>
      </c>
      <c r="C13" s="3">
        <v>0.5</v>
      </c>
      <c r="D13" s="3">
        <v>0.6</v>
      </c>
      <c r="E13" s="3">
        <v>0.98</v>
      </c>
      <c r="F13" s="7">
        <v>376.05883799999998</v>
      </c>
      <c r="G13" s="3">
        <v>1.7000000000000001E-2</v>
      </c>
      <c r="I13" s="3" t="s">
        <v>28</v>
      </c>
      <c r="J13" s="3">
        <v>0.69</v>
      </c>
      <c r="K13" s="6">
        <v>361.857147</v>
      </c>
      <c r="L13" s="3">
        <v>6.0000000000000001E-3</v>
      </c>
      <c r="M13" s="3">
        <f t="shared" si="0"/>
        <v>0.83499999999999996</v>
      </c>
      <c r="N13" s="5"/>
      <c r="O13" s="5"/>
      <c r="P13" s="5"/>
      <c r="Q13" s="5"/>
      <c r="S13" s="3" t="s">
        <v>28</v>
      </c>
      <c r="T13" s="3">
        <v>0.9</v>
      </c>
      <c r="U13" s="3">
        <v>0.5</v>
      </c>
      <c r="V13" s="3">
        <v>0.6</v>
      </c>
      <c r="W13" s="3">
        <v>0.81</v>
      </c>
      <c r="X13" s="6">
        <v>339.77645899999999</v>
      </c>
      <c r="Y13" s="3">
        <v>1.7999999999999999E-2</v>
      </c>
      <c r="AA13" s="3" t="s">
        <v>28</v>
      </c>
      <c r="AB13" s="3">
        <v>0.93</v>
      </c>
      <c r="AC13" s="7">
        <v>342.702271</v>
      </c>
      <c r="AD13" s="3">
        <v>0</v>
      </c>
      <c r="AE13" s="3">
        <f t="shared" si="1"/>
        <v>0.87000000000000011</v>
      </c>
      <c r="AF13" s="5"/>
      <c r="AG13" s="5"/>
      <c r="AH13" s="5"/>
      <c r="AI13" s="5"/>
      <c r="AK13" s="3" t="s">
        <v>29</v>
      </c>
      <c r="AL13" s="3">
        <v>0.9</v>
      </c>
      <c r="AM13" s="3">
        <v>0.5</v>
      </c>
      <c r="AN13" s="3">
        <v>0.6</v>
      </c>
      <c r="AO13" s="3">
        <v>0.72</v>
      </c>
      <c r="AP13" s="7">
        <v>886.31347700000003</v>
      </c>
      <c r="AQ13" s="3">
        <v>3.2000000000000001E-2</v>
      </c>
      <c r="AS13" s="3" t="s">
        <v>29</v>
      </c>
      <c r="AT13" s="3">
        <v>0.18</v>
      </c>
      <c r="AU13" s="6">
        <v>699.42944299999999</v>
      </c>
      <c r="AV13" s="3">
        <v>1E-3</v>
      </c>
      <c r="AW13" s="3">
        <f t="shared" si="2"/>
        <v>0.44999999999999996</v>
      </c>
      <c r="AX13" s="5"/>
      <c r="AY13" s="5"/>
      <c r="AZ13" s="5"/>
      <c r="BA13" s="5"/>
      <c r="BC13" s="3" t="s">
        <v>29</v>
      </c>
      <c r="BD13" s="3">
        <v>0.9</v>
      </c>
      <c r="BE13" s="3">
        <v>0.5</v>
      </c>
      <c r="BF13" s="3">
        <v>0.6</v>
      </c>
      <c r="BG13" s="3">
        <v>0.59</v>
      </c>
      <c r="BH13" s="7">
        <v>805.082581</v>
      </c>
      <c r="BI13" s="3">
        <v>2.8000000000000001E-2</v>
      </c>
      <c r="BK13" s="3" t="s">
        <v>29</v>
      </c>
      <c r="BL13" s="3">
        <v>0.49</v>
      </c>
      <c r="BM13" s="6">
        <v>773.06079099999999</v>
      </c>
      <c r="BN13" s="3">
        <v>0</v>
      </c>
      <c r="BO13" s="3">
        <f t="shared" si="3"/>
        <v>0.54</v>
      </c>
    </row>
    <row r="14" spans="1:71" x14ac:dyDescent="0.3">
      <c r="A14" s="3" t="s">
        <v>30</v>
      </c>
      <c r="B14" s="3">
        <v>0.9</v>
      </c>
      <c r="C14" s="3">
        <v>0.5</v>
      </c>
      <c r="D14" s="3">
        <v>0.6</v>
      </c>
      <c r="E14" s="3">
        <v>0.53</v>
      </c>
      <c r="F14" s="6">
        <v>571.85943599999996</v>
      </c>
      <c r="G14" s="3">
        <v>1.0999999999999999E-2</v>
      </c>
      <c r="I14" s="3" t="s">
        <v>30</v>
      </c>
      <c r="J14" s="3">
        <v>0.88</v>
      </c>
      <c r="K14" s="7">
        <v>600.22570800000005</v>
      </c>
      <c r="L14" s="3">
        <v>1E-3</v>
      </c>
      <c r="M14" s="3">
        <f t="shared" si="0"/>
        <v>0.70500000000000007</v>
      </c>
      <c r="N14" s="5"/>
      <c r="O14" s="5"/>
      <c r="P14" s="5"/>
      <c r="Q14" s="5"/>
      <c r="S14" s="3" t="s">
        <v>30</v>
      </c>
      <c r="T14" s="3">
        <v>0.9</v>
      </c>
      <c r="U14" s="3">
        <v>0.5</v>
      </c>
      <c r="V14" s="3">
        <v>0.6</v>
      </c>
      <c r="W14" s="3">
        <v>0.17</v>
      </c>
      <c r="X14" s="6">
        <v>524.67742899999996</v>
      </c>
      <c r="Y14" s="3">
        <v>3.3000000000000002E-2</v>
      </c>
      <c r="AA14" s="3" t="s">
        <v>30</v>
      </c>
      <c r="AB14" s="3">
        <v>0.66</v>
      </c>
      <c r="AC14" s="7">
        <v>554.20727499999998</v>
      </c>
      <c r="AD14" s="3">
        <v>1E-3</v>
      </c>
      <c r="AE14" s="3">
        <f t="shared" si="1"/>
        <v>0.41500000000000004</v>
      </c>
      <c r="AF14" s="5"/>
      <c r="AG14" s="5"/>
      <c r="AH14" s="5"/>
      <c r="AI14" s="5"/>
      <c r="AK14" s="3" t="s">
        <v>31</v>
      </c>
      <c r="AL14" s="3">
        <v>0.9</v>
      </c>
      <c r="AM14" s="3">
        <v>0.5</v>
      </c>
      <c r="AN14" s="3">
        <v>0.6</v>
      </c>
      <c r="AO14" s="3">
        <v>0.01</v>
      </c>
      <c r="AP14" s="6">
        <v>713.79406700000004</v>
      </c>
      <c r="AQ14" s="3">
        <v>1.7000000000000001E-2</v>
      </c>
      <c r="AS14" s="3" t="s">
        <v>31</v>
      </c>
      <c r="AT14" s="3">
        <v>0.21</v>
      </c>
      <c r="AU14" s="7">
        <v>779.526611</v>
      </c>
      <c r="AV14" s="3">
        <v>3.0000000000000001E-3</v>
      </c>
      <c r="AW14" s="3">
        <f t="shared" si="2"/>
        <v>0.11</v>
      </c>
      <c r="AX14" s="5"/>
      <c r="AY14" s="5"/>
      <c r="AZ14" s="5"/>
      <c r="BA14" s="5"/>
      <c r="BC14" s="3" t="s">
        <v>31</v>
      </c>
      <c r="BD14" s="3">
        <v>0.9</v>
      </c>
      <c r="BE14" s="3">
        <v>0.5</v>
      </c>
      <c r="BF14" s="3">
        <v>0.6</v>
      </c>
      <c r="BG14" s="3">
        <v>0.4</v>
      </c>
      <c r="BH14" s="6">
        <v>874.93866000000003</v>
      </c>
      <c r="BI14" s="3">
        <v>2.1999999999999999E-2</v>
      </c>
      <c r="BK14" s="3" t="s">
        <v>31</v>
      </c>
      <c r="BL14" s="3">
        <v>0.39</v>
      </c>
      <c r="BM14" s="7">
        <v>890.34765600000003</v>
      </c>
      <c r="BN14" s="3">
        <v>8.9999999999999993E-3</v>
      </c>
      <c r="BO14" s="3">
        <f t="shared" si="3"/>
        <v>0.39500000000000002</v>
      </c>
    </row>
    <row r="15" spans="1:71" x14ac:dyDescent="0.3">
      <c r="A15" s="3" t="s">
        <v>32</v>
      </c>
      <c r="B15" s="3">
        <v>0.9</v>
      </c>
      <c r="C15" s="3">
        <v>0.5</v>
      </c>
      <c r="D15" s="3">
        <v>0.6</v>
      </c>
      <c r="E15" s="3">
        <v>0.01</v>
      </c>
      <c r="F15" s="6">
        <v>471.94580100000002</v>
      </c>
      <c r="G15" s="3">
        <v>1.7000000000000001E-2</v>
      </c>
      <c r="I15" s="3" t="s">
        <v>32</v>
      </c>
      <c r="J15" s="3">
        <v>0.05</v>
      </c>
      <c r="K15" s="6">
        <v>471.94580100000002</v>
      </c>
      <c r="L15" s="3">
        <v>1.0999999999999999E-2</v>
      </c>
      <c r="M15" s="3">
        <f t="shared" si="0"/>
        <v>3.0000000000000002E-2</v>
      </c>
      <c r="N15" s="5"/>
      <c r="O15" s="5"/>
      <c r="P15" s="5"/>
      <c r="Q15" s="5"/>
      <c r="S15" s="3" t="s">
        <v>32</v>
      </c>
      <c r="T15" s="3">
        <v>0.9</v>
      </c>
      <c r="U15" s="3">
        <v>0.5</v>
      </c>
      <c r="V15" s="3">
        <v>0.6</v>
      </c>
      <c r="W15" s="3">
        <v>0.05</v>
      </c>
      <c r="X15" s="8">
        <v>435.87612899999999</v>
      </c>
      <c r="Y15" s="3">
        <v>3.0000000000000001E-3</v>
      </c>
      <c r="AA15" s="3" t="s">
        <v>32</v>
      </c>
      <c r="AB15" s="3">
        <v>0.25</v>
      </c>
      <c r="AC15" s="6">
        <v>435.57107500000001</v>
      </c>
      <c r="AD15" s="3">
        <v>6.0000000000000001E-3</v>
      </c>
      <c r="AE15" s="3">
        <f t="shared" si="1"/>
        <v>0.15</v>
      </c>
      <c r="AF15" s="5"/>
      <c r="AG15" s="5"/>
      <c r="AH15" s="5"/>
      <c r="AI15" s="5"/>
      <c r="AK15" s="3" t="s">
        <v>33</v>
      </c>
      <c r="AL15" s="3">
        <v>0.9</v>
      </c>
      <c r="AM15" s="3">
        <v>0.5</v>
      </c>
      <c r="AN15" s="3">
        <v>0.6</v>
      </c>
      <c r="AO15" s="3">
        <v>0.17</v>
      </c>
      <c r="AP15" s="6">
        <v>719.89679000000001</v>
      </c>
      <c r="AQ15" s="3">
        <v>2.4E-2</v>
      </c>
      <c r="AS15" s="3" t="s">
        <v>33</v>
      </c>
      <c r="AT15" s="3">
        <v>0.5</v>
      </c>
      <c r="AU15" s="7">
        <v>880.63177499999995</v>
      </c>
      <c r="AV15" s="3">
        <v>1E-3</v>
      </c>
      <c r="AW15" s="3">
        <f t="shared" si="2"/>
        <v>0.33500000000000002</v>
      </c>
      <c r="AX15" s="5"/>
      <c r="AY15" s="5"/>
      <c r="AZ15" s="5"/>
      <c r="BA15" s="5"/>
      <c r="BC15" s="3" t="s">
        <v>33</v>
      </c>
      <c r="BD15" s="3">
        <v>0.9</v>
      </c>
      <c r="BE15" s="3">
        <v>0.5</v>
      </c>
      <c r="BF15" s="3">
        <v>0.6</v>
      </c>
      <c r="BG15" s="3">
        <v>0.71</v>
      </c>
      <c r="BH15" s="7">
        <v>956.14782700000001</v>
      </c>
      <c r="BI15" s="3">
        <v>2.4E-2</v>
      </c>
      <c r="BK15" s="3" t="s">
        <v>33</v>
      </c>
      <c r="BL15" s="3">
        <v>0.64</v>
      </c>
      <c r="BM15" s="6">
        <v>923.90210000000002</v>
      </c>
      <c r="BN15" s="3">
        <v>2E-3</v>
      </c>
      <c r="BO15" s="3">
        <f t="shared" si="3"/>
        <v>0.67500000000000004</v>
      </c>
    </row>
    <row r="16" spans="1:71" x14ac:dyDescent="0.3">
      <c r="A16" s="3" t="s">
        <v>34</v>
      </c>
      <c r="B16" s="3">
        <v>0.9</v>
      </c>
      <c r="C16" s="3">
        <v>0.5</v>
      </c>
      <c r="D16" s="3">
        <v>0.6</v>
      </c>
      <c r="E16" s="3">
        <v>0.78</v>
      </c>
      <c r="F16" s="7">
        <v>463.67385899999999</v>
      </c>
      <c r="G16" s="3">
        <v>1.2E-2</v>
      </c>
      <c r="I16" s="3" t="s">
        <v>34</v>
      </c>
      <c r="J16" s="3">
        <v>0.94</v>
      </c>
      <c r="K16" s="6">
        <v>457.025757</v>
      </c>
      <c r="L16" s="3">
        <v>4.0000000000000001E-3</v>
      </c>
      <c r="M16" s="3">
        <f t="shared" si="0"/>
        <v>0.86</v>
      </c>
      <c r="N16" s="5"/>
      <c r="O16" s="5"/>
      <c r="P16" s="5"/>
      <c r="Q16" s="5"/>
      <c r="S16" s="3" t="s">
        <v>34</v>
      </c>
      <c r="T16" s="3">
        <v>0.9</v>
      </c>
      <c r="U16" s="3">
        <v>0.5</v>
      </c>
      <c r="V16" s="3">
        <v>0.6</v>
      </c>
      <c r="W16" s="3">
        <v>0.93</v>
      </c>
      <c r="X16" s="7">
        <v>460.62802099999999</v>
      </c>
      <c r="Y16" s="3">
        <v>1.4999999999999999E-2</v>
      </c>
      <c r="AA16" s="3" t="s">
        <v>34</v>
      </c>
      <c r="AB16" s="3">
        <v>0.93</v>
      </c>
      <c r="AC16" s="6">
        <v>443.97247299999998</v>
      </c>
      <c r="AD16" s="3">
        <v>1E-3</v>
      </c>
      <c r="AE16" s="3">
        <f t="shared" si="1"/>
        <v>0.93</v>
      </c>
      <c r="AF16" s="5"/>
      <c r="AG16" s="5"/>
      <c r="AH16" s="5"/>
      <c r="AI16" s="5"/>
      <c r="AK16" s="3" t="s">
        <v>35</v>
      </c>
      <c r="AL16" s="3">
        <v>0.9</v>
      </c>
      <c r="AM16" s="3">
        <v>0.5</v>
      </c>
      <c r="AN16" s="3">
        <v>0.6</v>
      </c>
      <c r="AO16" s="3">
        <v>0.33</v>
      </c>
      <c r="AP16" s="7">
        <v>805.95459000000005</v>
      </c>
      <c r="AQ16" s="3">
        <v>2.9000000000000001E-2</v>
      </c>
      <c r="AS16" s="3" t="s">
        <v>35</v>
      </c>
      <c r="AT16" s="3">
        <v>0.19</v>
      </c>
      <c r="AU16" s="6">
        <v>720.90393100000006</v>
      </c>
      <c r="AV16" s="3">
        <v>4.0000000000000001E-3</v>
      </c>
      <c r="AW16" s="3">
        <f t="shared" si="2"/>
        <v>0.26</v>
      </c>
      <c r="AX16" s="5"/>
      <c r="AY16" s="5"/>
      <c r="AZ16" s="5"/>
      <c r="BA16" s="5"/>
      <c r="BC16" s="3" t="s">
        <v>35</v>
      </c>
      <c r="BD16" s="3">
        <v>0.9</v>
      </c>
      <c r="BE16" s="3">
        <v>0.5</v>
      </c>
      <c r="BF16" s="3">
        <v>0.6</v>
      </c>
      <c r="BG16" s="3">
        <v>0.49</v>
      </c>
      <c r="BH16" s="7">
        <v>889.19586200000003</v>
      </c>
      <c r="BI16" s="3">
        <v>1.4E-2</v>
      </c>
      <c r="BK16" s="3" t="s">
        <v>35</v>
      </c>
      <c r="BL16" s="3">
        <v>0.35</v>
      </c>
      <c r="BM16" s="6">
        <v>813.40777600000001</v>
      </c>
      <c r="BN16" s="3">
        <v>3.0000000000000001E-3</v>
      </c>
      <c r="BO16" s="3">
        <f t="shared" si="3"/>
        <v>0.42</v>
      </c>
    </row>
    <row r="17" spans="1:67" x14ac:dyDescent="0.3">
      <c r="A17" s="3" t="s">
        <v>36</v>
      </c>
      <c r="B17" s="3">
        <v>0.9</v>
      </c>
      <c r="C17" s="3">
        <v>0.5</v>
      </c>
      <c r="D17" s="3">
        <v>0.6</v>
      </c>
      <c r="E17" s="3">
        <v>0.96</v>
      </c>
      <c r="F17" s="7">
        <v>581.48138400000005</v>
      </c>
      <c r="G17" s="3">
        <v>8.0000000000000002E-3</v>
      </c>
      <c r="I17" s="3" t="s">
        <v>36</v>
      </c>
      <c r="J17" s="3">
        <v>0.26</v>
      </c>
      <c r="K17" s="6">
        <v>517.63293499999997</v>
      </c>
      <c r="L17" s="3">
        <v>0</v>
      </c>
      <c r="M17" s="3">
        <f t="shared" si="0"/>
        <v>0.61</v>
      </c>
      <c r="N17" s="5"/>
      <c r="O17" s="5"/>
      <c r="P17" s="5"/>
      <c r="Q17" s="5"/>
      <c r="S17" s="3" t="s">
        <v>36</v>
      </c>
      <c r="T17" s="3">
        <v>0.9</v>
      </c>
      <c r="U17" s="3">
        <v>0.5</v>
      </c>
      <c r="V17" s="3">
        <v>0.6</v>
      </c>
      <c r="W17" s="3">
        <v>0.11</v>
      </c>
      <c r="X17" s="6">
        <v>471.11056500000001</v>
      </c>
      <c r="Y17" s="3">
        <v>8.9999999999999993E-3</v>
      </c>
      <c r="AA17" s="3" t="s">
        <v>36</v>
      </c>
      <c r="AB17" s="3">
        <v>0.4</v>
      </c>
      <c r="AC17" s="7">
        <v>482.05789199999998</v>
      </c>
      <c r="AD17" s="3">
        <v>0.01</v>
      </c>
      <c r="AE17" s="3">
        <f t="shared" si="1"/>
        <v>0.255</v>
      </c>
      <c r="AF17" s="5"/>
      <c r="AG17" s="5"/>
      <c r="AH17" s="5"/>
      <c r="AI17" s="5"/>
      <c r="AK17" s="3" t="s">
        <v>37</v>
      </c>
      <c r="AL17" s="3">
        <v>0.9</v>
      </c>
      <c r="AM17" s="3">
        <v>0.5</v>
      </c>
      <c r="AN17" s="3">
        <v>0.6</v>
      </c>
      <c r="AO17" s="3">
        <v>0.17</v>
      </c>
      <c r="AP17" s="6">
        <v>742.49468999999999</v>
      </c>
      <c r="AQ17" s="3">
        <v>0.02</v>
      </c>
      <c r="AS17" s="3" t="s">
        <v>37</v>
      </c>
      <c r="AT17" s="3">
        <v>0.87</v>
      </c>
      <c r="AU17" s="7">
        <v>982.27484100000004</v>
      </c>
      <c r="AV17" s="3">
        <v>2E-3</v>
      </c>
      <c r="AW17" s="3">
        <f t="shared" si="2"/>
        <v>0.52</v>
      </c>
      <c r="AX17" s="5"/>
      <c r="AY17" s="5"/>
      <c r="AZ17" s="5"/>
      <c r="BA17" s="5"/>
      <c r="BC17" s="3" t="s">
        <v>37</v>
      </c>
      <c r="BD17" s="3">
        <v>0.9</v>
      </c>
      <c r="BE17" s="3">
        <v>0.5</v>
      </c>
      <c r="BF17" s="3">
        <v>0.6</v>
      </c>
      <c r="BG17" s="3">
        <v>0.19</v>
      </c>
      <c r="BH17" s="6">
        <v>707.02404799999999</v>
      </c>
      <c r="BI17" s="3">
        <v>3.9E-2</v>
      </c>
      <c r="BK17" s="3" t="s">
        <v>37</v>
      </c>
      <c r="BL17" s="3">
        <v>0.36</v>
      </c>
      <c r="BM17" s="7">
        <v>778.86999500000002</v>
      </c>
      <c r="BN17" s="3">
        <v>8.0000000000000002E-3</v>
      </c>
      <c r="BO17" s="3">
        <f t="shared" si="3"/>
        <v>0.27500000000000002</v>
      </c>
    </row>
    <row r="18" spans="1:67" x14ac:dyDescent="0.3">
      <c r="A18" s="3" t="s">
        <v>38</v>
      </c>
      <c r="B18" s="3">
        <v>0.9</v>
      </c>
      <c r="C18" s="3">
        <v>0.5</v>
      </c>
      <c r="D18" s="3">
        <v>0.6</v>
      </c>
      <c r="E18" s="3">
        <v>0.08</v>
      </c>
      <c r="F18" s="6">
        <v>471.74896200000001</v>
      </c>
      <c r="G18" s="3">
        <v>2.1999999999999999E-2</v>
      </c>
      <c r="I18" s="3" t="s">
        <v>38</v>
      </c>
      <c r="J18" s="3">
        <v>0.78</v>
      </c>
      <c r="K18" s="7">
        <v>484.65313700000002</v>
      </c>
      <c r="L18" s="3">
        <v>1E-3</v>
      </c>
      <c r="M18" s="3">
        <f t="shared" si="0"/>
        <v>0.43</v>
      </c>
      <c r="N18" s="5"/>
      <c r="O18" s="5"/>
      <c r="P18" s="5"/>
      <c r="Q18" s="5"/>
      <c r="S18" s="3" t="s">
        <v>38</v>
      </c>
      <c r="T18" s="3">
        <v>0.9</v>
      </c>
      <c r="U18" s="3">
        <v>0.5</v>
      </c>
      <c r="V18" s="3">
        <v>0.6</v>
      </c>
      <c r="W18" s="3">
        <v>0.57999999999999996</v>
      </c>
      <c r="X18" s="7">
        <v>457.28793300000001</v>
      </c>
      <c r="Y18" s="3">
        <v>8.0000000000000002E-3</v>
      </c>
      <c r="AA18" s="3" t="s">
        <v>38</v>
      </c>
      <c r="AB18" s="3">
        <v>0.05</v>
      </c>
      <c r="AC18" s="6">
        <v>436.86099200000001</v>
      </c>
      <c r="AD18" s="3">
        <v>2E-3</v>
      </c>
      <c r="AE18" s="3">
        <f t="shared" si="1"/>
        <v>0.315</v>
      </c>
      <c r="AF18" s="5"/>
      <c r="AG18" s="5"/>
      <c r="AH18" s="5"/>
      <c r="AI18" s="5"/>
      <c r="AK18" s="3" t="s">
        <v>39</v>
      </c>
      <c r="AL18" s="3">
        <v>0.9</v>
      </c>
      <c r="AM18" s="3">
        <v>0.5</v>
      </c>
      <c r="AN18" s="3">
        <v>0.6</v>
      </c>
      <c r="AO18" s="3">
        <v>0.1</v>
      </c>
      <c r="AP18" s="6">
        <v>709.44702099999995</v>
      </c>
      <c r="AQ18" s="3">
        <v>1.9E-2</v>
      </c>
      <c r="AS18" s="3" t="s">
        <v>39</v>
      </c>
      <c r="AT18" s="3">
        <v>0.85</v>
      </c>
      <c r="AU18" s="7">
        <v>999.88867200000004</v>
      </c>
      <c r="AV18" s="3">
        <v>1E-3</v>
      </c>
      <c r="AW18" s="3">
        <f t="shared" si="2"/>
        <v>0.47499999999999998</v>
      </c>
      <c r="AX18" s="5"/>
      <c r="AY18" s="5"/>
      <c r="AZ18" s="5"/>
      <c r="BA18" s="5"/>
      <c r="BC18" s="3" t="s">
        <v>39</v>
      </c>
      <c r="BD18" s="3">
        <v>0.9</v>
      </c>
      <c r="BE18" s="3">
        <v>0.5</v>
      </c>
      <c r="BF18" s="3">
        <v>0.6</v>
      </c>
      <c r="BG18" s="3">
        <v>0.09</v>
      </c>
      <c r="BH18" s="6">
        <v>681.59057600000006</v>
      </c>
      <c r="BI18" s="3">
        <v>2.7E-2</v>
      </c>
      <c r="BK18" s="3" t="s">
        <v>39</v>
      </c>
      <c r="BL18" s="3">
        <v>0.26</v>
      </c>
      <c r="BM18" s="7">
        <v>743.08044400000006</v>
      </c>
      <c r="BN18" s="3">
        <v>4.0000000000000001E-3</v>
      </c>
      <c r="BO18" s="3">
        <f t="shared" si="3"/>
        <v>0.17499999999999999</v>
      </c>
    </row>
    <row r="19" spans="1:67" x14ac:dyDescent="0.3">
      <c r="A19" s="3" t="s">
        <v>40</v>
      </c>
      <c r="B19" s="3">
        <v>0.9</v>
      </c>
      <c r="C19" s="3">
        <v>0.5</v>
      </c>
      <c r="D19" s="3">
        <v>0.6</v>
      </c>
      <c r="E19" s="3">
        <v>0.95</v>
      </c>
      <c r="F19" s="7">
        <v>465.63330100000002</v>
      </c>
      <c r="G19" s="3">
        <v>1.4999999999999999E-2</v>
      </c>
      <c r="I19" s="3" t="s">
        <v>40</v>
      </c>
      <c r="J19" s="3">
        <v>0.33</v>
      </c>
      <c r="K19" s="6">
        <v>401.75589000000002</v>
      </c>
      <c r="L19" s="3">
        <v>3.0000000000000001E-3</v>
      </c>
      <c r="M19" s="3">
        <f t="shared" si="0"/>
        <v>0.64</v>
      </c>
      <c r="N19" s="5"/>
      <c r="O19" s="5"/>
      <c r="P19" s="5"/>
      <c r="Q19" s="5"/>
      <c r="S19" s="3" t="s">
        <v>40</v>
      </c>
      <c r="T19" s="3">
        <v>0.9</v>
      </c>
      <c r="U19" s="3">
        <v>0.5</v>
      </c>
      <c r="V19" s="3">
        <v>0.6</v>
      </c>
      <c r="W19" s="3">
        <v>0.5</v>
      </c>
      <c r="X19" s="6">
        <v>380.45025600000002</v>
      </c>
      <c r="Y19" s="3">
        <v>1.0999999999999999E-2</v>
      </c>
      <c r="AA19" s="3" t="s">
        <v>40</v>
      </c>
      <c r="AB19" s="3">
        <v>0.3</v>
      </c>
      <c r="AC19" s="7">
        <v>390.596497</v>
      </c>
      <c r="AD19" s="3">
        <v>3.0000000000000001E-3</v>
      </c>
      <c r="AE19" s="3">
        <f t="shared" si="1"/>
        <v>0.4</v>
      </c>
      <c r="AF19" s="5"/>
      <c r="AG19" s="5"/>
      <c r="AH19" s="5"/>
      <c r="AI19" s="5"/>
      <c r="AK19" s="3" t="s">
        <v>41</v>
      </c>
      <c r="AL19" s="3">
        <v>0.9</v>
      </c>
      <c r="AM19" s="3">
        <v>0.5</v>
      </c>
      <c r="AN19" s="3">
        <v>0.6</v>
      </c>
      <c r="AO19" s="3">
        <v>0.16</v>
      </c>
      <c r="AP19" s="6">
        <v>779.53704800000003</v>
      </c>
      <c r="AQ19" s="3">
        <v>0.02</v>
      </c>
      <c r="AS19" s="3" t="s">
        <v>41</v>
      </c>
      <c r="AT19" s="3">
        <v>0.34</v>
      </c>
      <c r="AU19" s="7">
        <v>923.78021200000001</v>
      </c>
      <c r="AV19" s="3">
        <v>1E-3</v>
      </c>
      <c r="AW19" s="3">
        <f t="shared" si="2"/>
        <v>0.25</v>
      </c>
      <c r="AX19" s="5"/>
      <c r="AY19" s="5"/>
      <c r="AZ19" s="5"/>
      <c r="BA19" s="5"/>
      <c r="BC19" s="3" t="s">
        <v>41</v>
      </c>
      <c r="BD19" s="3">
        <v>0.9</v>
      </c>
      <c r="BE19" s="3">
        <v>0.5</v>
      </c>
      <c r="BF19" s="3">
        <v>0.6</v>
      </c>
      <c r="BG19" s="3">
        <v>0.89</v>
      </c>
      <c r="BH19" s="7">
        <v>1050.3919679999999</v>
      </c>
      <c r="BI19" s="3">
        <v>2.4E-2</v>
      </c>
      <c r="BK19" s="3" t="s">
        <v>41</v>
      </c>
      <c r="BL19" s="3">
        <v>0.44</v>
      </c>
      <c r="BM19" s="6">
        <v>923.03521699999999</v>
      </c>
      <c r="BN19" s="3">
        <v>4.0000000000000001E-3</v>
      </c>
      <c r="BO19" s="3">
        <f t="shared" si="3"/>
        <v>0.66500000000000004</v>
      </c>
    </row>
    <row r="20" spans="1:67" x14ac:dyDescent="0.3">
      <c r="A20" s="3" t="s">
        <v>42</v>
      </c>
      <c r="B20" s="3">
        <v>0.9</v>
      </c>
      <c r="C20" s="3">
        <v>0.5</v>
      </c>
      <c r="D20" s="3">
        <v>0.6</v>
      </c>
      <c r="E20" s="3">
        <v>0.92</v>
      </c>
      <c r="F20" s="7">
        <v>471.45211799999998</v>
      </c>
      <c r="G20" s="3">
        <v>8.9999999999999993E-3</v>
      </c>
      <c r="I20" s="3" t="s">
        <v>42</v>
      </c>
      <c r="J20" s="3">
        <v>0.21</v>
      </c>
      <c r="K20" s="6">
        <v>425.89080799999999</v>
      </c>
      <c r="L20" s="3">
        <v>2E-3</v>
      </c>
      <c r="M20" s="3">
        <f t="shared" si="0"/>
        <v>0.56500000000000006</v>
      </c>
      <c r="N20" s="5"/>
      <c r="O20" s="5"/>
      <c r="P20" s="5"/>
      <c r="Q20" s="5"/>
      <c r="S20" s="3" t="s">
        <v>42</v>
      </c>
      <c r="T20" s="3">
        <v>0.9</v>
      </c>
      <c r="U20" s="3">
        <v>0.5</v>
      </c>
      <c r="V20" s="3">
        <v>0.6</v>
      </c>
      <c r="W20" s="3">
        <v>0.33</v>
      </c>
      <c r="X20" s="6">
        <v>408.54623400000003</v>
      </c>
      <c r="Y20" s="3">
        <v>1.0999999999999999E-2</v>
      </c>
      <c r="AA20" s="3" t="s">
        <v>42</v>
      </c>
      <c r="AB20" s="3">
        <v>0.8</v>
      </c>
      <c r="AC20" s="7">
        <v>455.65957600000002</v>
      </c>
      <c r="AD20" s="3">
        <v>0</v>
      </c>
      <c r="AE20" s="3">
        <f t="shared" si="1"/>
        <v>0.56500000000000006</v>
      </c>
      <c r="AF20" s="5"/>
      <c r="AG20" s="5"/>
      <c r="AH20" s="5"/>
      <c r="AI20" s="5"/>
      <c r="AK20" s="3" t="s">
        <v>43</v>
      </c>
      <c r="AL20" s="3">
        <v>0.9</v>
      </c>
      <c r="AM20" s="3">
        <v>0.5</v>
      </c>
      <c r="AN20" s="3">
        <v>0.6</v>
      </c>
      <c r="AO20" s="3">
        <v>0.69</v>
      </c>
      <c r="AP20" s="7">
        <v>964.67181400000004</v>
      </c>
      <c r="AQ20" s="3">
        <v>2.1000000000000001E-2</v>
      </c>
      <c r="AS20" s="3" t="s">
        <v>43</v>
      </c>
      <c r="AT20" s="3">
        <v>0.06</v>
      </c>
      <c r="AU20" s="6">
        <v>730.75482199999999</v>
      </c>
      <c r="AV20" s="3">
        <v>1E-3</v>
      </c>
      <c r="AW20" s="3">
        <f t="shared" si="2"/>
        <v>0.375</v>
      </c>
      <c r="AX20" s="5"/>
      <c r="AY20" s="5"/>
      <c r="AZ20" s="5"/>
      <c r="BA20" s="5"/>
      <c r="BC20" s="3" t="s">
        <v>43</v>
      </c>
      <c r="BD20" s="3">
        <v>0.9</v>
      </c>
      <c r="BE20" s="3">
        <v>0.5</v>
      </c>
      <c r="BF20" s="3">
        <v>0.6</v>
      </c>
      <c r="BG20" s="3">
        <v>0.24</v>
      </c>
      <c r="BH20" s="6">
        <v>744.63104199999998</v>
      </c>
      <c r="BI20" s="3">
        <v>1.7000000000000001E-2</v>
      </c>
      <c r="BK20" s="3" t="s">
        <v>43</v>
      </c>
      <c r="BL20" s="3">
        <v>0.52</v>
      </c>
      <c r="BM20" s="7">
        <v>866.66833499999996</v>
      </c>
      <c r="BN20" s="3">
        <v>2E-3</v>
      </c>
      <c r="BO20" s="3">
        <f t="shared" si="3"/>
        <v>0.38</v>
      </c>
    </row>
    <row r="21" spans="1:67" x14ac:dyDescent="0.3">
      <c r="A21" s="3" t="s">
        <v>44</v>
      </c>
      <c r="B21" s="3">
        <v>0.9</v>
      </c>
      <c r="C21" s="3">
        <v>0.5</v>
      </c>
      <c r="D21" s="3">
        <v>0.6</v>
      </c>
      <c r="E21" s="3">
        <v>0.01</v>
      </c>
      <c r="F21" s="6">
        <v>530.40942399999994</v>
      </c>
      <c r="G21" s="3">
        <v>4.9000000000000002E-2</v>
      </c>
      <c r="I21" s="3" t="s">
        <v>44</v>
      </c>
      <c r="J21" s="3">
        <v>0.79</v>
      </c>
      <c r="K21" s="7">
        <v>576.68469200000004</v>
      </c>
      <c r="L21" s="3">
        <v>0</v>
      </c>
      <c r="M21" s="3">
        <f t="shared" si="0"/>
        <v>0.4</v>
      </c>
      <c r="N21" s="5"/>
      <c r="O21" s="5"/>
      <c r="P21" s="5"/>
      <c r="Q21" s="5"/>
      <c r="S21" s="3" t="s">
        <v>44</v>
      </c>
      <c r="T21" s="3">
        <v>0.9</v>
      </c>
      <c r="U21" s="3">
        <v>0.5</v>
      </c>
      <c r="V21" s="3">
        <v>0.6</v>
      </c>
      <c r="W21" s="3">
        <v>0.61</v>
      </c>
      <c r="X21" s="7">
        <v>548.02740500000004</v>
      </c>
      <c r="Y21" s="3">
        <v>1.2999999999999999E-2</v>
      </c>
      <c r="AA21" s="3" t="s">
        <v>44</v>
      </c>
      <c r="AB21" s="3">
        <v>0.94</v>
      </c>
      <c r="AC21" s="6">
        <v>527.30468800000006</v>
      </c>
      <c r="AD21" s="3">
        <v>7.0000000000000001E-3</v>
      </c>
      <c r="AE21" s="3">
        <f t="shared" si="1"/>
        <v>0.77499999999999991</v>
      </c>
      <c r="AF21" s="5"/>
      <c r="AG21" s="5"/>
      <c r="AH21" s="5"/>
      <c r="AI21" s="5"/>
      <c r="AK21" s="3" t="s">
        <v>45</v>
      </c>
      <c r="AL21" s="3">
        <v>0.9</v>
      </c>
      <c r="AM21" s="3">
        <v>0.5</v>
      </c>
      <c r="AN21" s="3">
        <v>0.6</v>
      </c>
      <c r="AO21" s="3">
        <v>0.87</v>
      </c>
      <c r="AP21" s="7">
        <v>1056.284302</v>
      </c>
      <c r="AQ21" s="3">
        <v>4.8000000000000001E-2</v>
      </c>
      <c r="AS21" s="3" t="s">
        <v>45</v>
      </c>
      <c r="AT21" s="3">
        <v>0.43</v>
      </c>
      <c r="AU21" s="6">
        <v>942.41235400000005</v>
      </c>
      <c r="AV21" s="3">
        <v>3.0000000000000001E-3</v>
      </c>
      <c r="AW21" s="3">
        <f t="shared" si="2"/>
        <v>0.65</v>
      </c>
      <c r="AX21" s="5"/>
      <c r="AY21" s="5"/>
      <c r="AZ21" s="5"/>
      <c r="BA21" s="5"/>
      <c r="BC21" s="3" t="s">
        <v>45</v>
      </c>
      <c r="BD21" s="3">
        <v>0.9</v>
      </c>
      <c r="BE21" s="3">
        <v>0.5</v>
      </c>
      <c r="BF21" s="3">
        <v>0.6</v>
      </c>
      <c r="BG21" s="3">
        <v>0.17</v>
      </c>
      <c r="BH21" s="6">
        <v>747.82495100000006</v>
      </c>
      <c r="BI21" s="3">
        <v>1.4999999999999999E-2</v>
      </c>
      <c r="BK21" s="3" t="s">
        <v>45</v>
      </c>
      <c r="BL21" s="3">
        <v>0.81</v>
      </c>
      <c r="BM21" s="7">
        <v>1045.862793</v>
      </c>
      <c r="BN21" s="3">
        <v>1E-3</v>
      </c>
      <c r="BO21" s="3">
        <f t="shared" si="3"/>
        <v>0.49000000000000005</v>
      </c>
    </row>
    <row r="22" spans="1:67" x14ac:dyDescent="0.3">
      <c r="A22" s="3" t="s">
        <v>46</v>
      </c>
      <c r="B22" s="3">
        <v>0.9</v>
      </c>
      <c r="C22" s="3">
        <v>0.5</v>
      </c>
      <c r="D22" s="3">
        <v>0.6</v>
      </c>
      <c r="E22" s="3">
        <v>0.75</v>
      </c>
      <c r="F22" s="7">
        <v>530.06219499999997</v>
      </c>
      <c r="G22" s="3">
        <v>1.4E-2</v>
      </c>
      <c r="I22" s="3" t="s">
        <v>46</v>
      </c>
      <c r="J22" s="3">
        <v>0.47</v>
      </c>
      <c r="K22" s="6">
        <v>488.446686</v>
      </c>
      <c r="L22" s="3">
        <v>8.9999999999999993E-3</v>
      </c>
      <c r="M22" s="3">
        <f t="shared" si="0"/>
        <v>0.61</v>
      </c>
      <c r="N22" s="5"/>
      <c r="O22" s="5"/>
      <c r="P22" s="5"/>
      <c r="Q22" s="5"/>
      <c r="S22" s="3" t="s">
        <v>46</v>
      </c>
      <c r="T22" s="3">
        <v>0.9</v>
      </c>
      <c r="U22" s="3">
        <v>0.5</v>
      </c>
      <c r="V22" s="3">
        <v>0.6</v>
      </c>
      <c r="W22" s="3">
        <v>0.55000000000000004</v>
      </c>
      <c r="X22" s="6">
        <v>473.81469700000002</v>
      </c>
      <c r="Y22" s="3">
        <v>8.0000000000000002E-3</v>
      </c>
      <c r="AA22" s="3" t="s">
        <v>46</v>
      </c>
      <c r="AB22" s="3">
        <v>0.89</v>
      </c>
      <c r="AC22" s="7">
        <v>514.63207999999997</v>
      </c>
      <c r="AD22" s="3">
        <v>2E-3</v>
      </c>
      <c r="AE22" s="3">
        <f t="shared" si="1"/>
        <v>0.72</v>
      </c>
      <c r="AF22" s="5"/>
      <c r="AG22" s="5"/>
      <c r="AH22" s="5"/>
      <c r="AI22" s="5"/>
      <c r="AK22" s="3" t="s">
        <v>47</v>
      </c>
      <c r="AL22" s="3">
        <v>0.9</v>
      </c>
      <c r="AM22" s="3">
        <v>0.5</v>
      </c>
      <c r="AN22" s="3">
        <v>0.6</v>
      </c>
      <c r="AO22" s="3">
        <v>0.51</v>
      </c>
      <c r="AP22" s="7">
        <v>896.92150900000001</v>
      </c>
      <c r="AQ22" s="3">
        <v>3.3000000000000002E-2</v>
      </c>
      <c r="AS22" s="3" t="s">
        <v>47</v>
      </c>
      <c r="AT22" s="3">
        <v>0.99</v>
      </c>
      <c r="AU22" s="6">
        <v>978.711365</v>
      </c>
      <c r="AV22" s="3">
        <v>2E-3</v>
      </c>
      <c r="AW22" s="3">
        <f t="shared" si="2"/>
        <v>0.75</v>
      </c>
      <c r="AX22" s="5"/>
      <c r="AY22" s="5"/>
      <c r="AZ22" s="5"/>
      <c r="BA22" s="5"/>
      <c r="BC22" s="3" t="s">
        <v>47</v>
      </c>
      <c r="BD22" s="3">
        <v>0.9</v>
      </c>
      <c r="BE22" s="3">
        <v>0.5</v>
      </c>
      <c r="BF22" s="3">
        <v>0.6</v>
      </c>
      <c r="BG22" s="3">
        <v>0.8</v>
      </c>
      <c r="BH22" s="7">
        <v>920.77783199999999</v>
      </c>
      <c r="BI22" s="3">
        <v>1.9E-2</v>
      </c>
      <c r="BK22" s="3" t="s">
        <v>47</v>
      </c>
      <c r="BL22" s="3">
        <v>0.6</v>
      </c>
      <c r="BM22" s="6">
        <v>867.14398200000005</v>
      </c>
      <c r="BN22" s="3">
        <v>2E-3</v>
      </c>
      <c r="BO22" s="3">
        <f t="shared" si="3"/>
        <v>0.7</v>
      </c>
    </row>
    <row r="23" spans="1:67" x14ac:dyDescent="0.3">
      <c r="A23" s="3" t="s">
        <v>48</v>
      </c>
      <c r="B23" s="3">
        <v>0.9</v>
      </c>
      <c r="C23" s="3">
        <v>0.5</v>
      </c>
      <c r="D23" s="3">
        <v>0.6</v>
      </c>
      <c r="E23" s="3">
        <v>0.71</v>
      </c>
      <c r="F23" s="7">
        <v>514.61462400000005</v>
      </c>
      <c r="G23" s="3">
        <v>1.4999999999999999E-2</v>
      </c>
      <c r="I23" s="3" t="s">
        <v>48</v>
      </c>
      <c r="J23" s="3">
        <v>0.93</v>
      </c>
      <c r="K23" s="6">
        <v>502.27145400000001</v>
      </c>
      <c r="L23" s="3">
        <v>2E-3</v>
      </c>
      <c r="M23" s="3">
        <f t="shared" si="0"/>
        <v>0.82000000000000006</v>
      </c>
      <c r="N23" s="5"/>
      <c r="O23" s="5"/>
      <c r="P23" s="5"/>
      <c r="Q23" s="5"/>
      <c r="S23" s="3" t="s">
        <v>48</v>
      </c>
      <c r="T23" s="3">
        <v>0.9</v>
      </c>
      <c r="U23" s="3">
        <v>0.5</v>
      </c>
      <c r="V23" s="3">
        <v>0.6</v>
      </c>
      <c r="W23" s="3">
        <v>0.59</v>
      </c>
      <c r="X23" s="6">
        <v>454.364441</v>
      </c>
      <c r="Y23" s="3">
        <v>1.4999999999999999E-2</v>
      </c>
      <c r="AA23" s="3" t="s">
        <v>48</v>
      </c>
      <c r="AB23" s="3">
        <v>0.89</v>
      </c>
      <c r="AC23" s="7">
        <v>473.30667099999999</v>
      </c>
      <c r="AD23" s="3">
        <v>1E-3</v>
      </c>
      <c r="AE23" s="3">
        <f t="shared" si="1"/>
        <v>0.74</v>
      </c>
      <c r="AF23" s="5"/>
      <c r="AG23" s="5"/>
      <c r="AH23" s="5"/>
      <c r="AI23" s="5"/>
      <c r="AK23" s="3" t="s">
        <v>49</v>
      </c>
      <c r="AL23" s="3">
        <v>0.9</v>
      </c>
      <c r="AM23" s="3">
        <v>0.5</v>
      </c>
      <c r="AN23" s="3">
        <v>0.6</v>
      </c>
      <c r="AO23" s="3">
        <v>0.94</v>
      </c>
      <c r="AP23" s="7">
        <v>1004.4151000000001</v>
      </c>
      <c r="AQ23" s="3">
        <v>3.4000000000000002E-2</v>
      </c>
      <c r="AS23" s="3" t="s">
        <v>49</v>
      </c>
      <c r="AT23" s="3">
        <v>0.93</v>
      </c>
      <c r="AU23" s="6">
        <v>1002.044373</v>
      </c>
      <c r="AV23" s="3">
        <v>1E-3</v>
      </c>
      <c r="AW23" s="3">
        <f t="shared" si="2"/>
        <v>0.93500000000000005</v>
      </c>
      <c r="AX23" s="5"/>
      <c r="AY23" s="5"/>
      <c r="AZ23" s="5"/>
      <c r="BA23" s="5"/>
      <c r="BC23" s="3" t="s">
        <v>49</v>
      </c>
      <c r="BD23" s="3">
        <v>0.9</v>
      </c>
      <c r="BE23" s="3">
        <v>0.5</v>
      </c>
      <c r="BF23" s="3">
        <v>0.6</v>
      </c>
      <c r="BG23" s="3">
        <v>0.3</v>
      </c>
      <c r="BH23" s="6">
        <v>773.03851299999997</v>
      </c>
      <c r="BI23" s="3">
        <v>1.7999999999999999E-2</v>
      </c>
      <c r="BK23" s="3" t="s">
        <v>49</v>
      </c>
      <c r="BL23" s="3">
        <v>0.28999999999999998</v>
      </c>
      <c r="BM23" s="8">
        <v>773.84112500000003</v>
      </c>
      <c r="BN23" s="3">
        <v>2E-3</v>
      </c>
      <c r="BO23" s="3">
        <f t="shared" si="3"/>
        <v>0.29499999999999998</v>
      </c>
    </row>
    <row r="24" spans="1:67" x14ac:dyDescent="0.3">
      <c r="A24" s="3" t="s">
        <v>50</v>
      </c>
      <c r="B24" s="3">
        <v>0.9</v>
      </c>
      <c r="C24" s="3">
        <v>0.5</v>
      </c>
      <c r="D24" s="3">
        <v>0.6</v>
      </c>
      <c r="E24" s="3">
        <v>0.28000000000000003</v>
      </c>
      <c r="F24" s="6">
        <v>461.79037499999998</v>
      </c>
      <c r="G24" s="3">
        <v>7.0000000000000001E-3</v>
      </c>
      <c r="I24" s="3" t="s">
        <v>50</v>
      </c>
      <c r="J24" s="3">
        <v>0.3</v>
      </c>
      <c r="K24" s="7">
        <v>462.08261099999999</v>
      </c>
      <c r="L24" s="3">
        <v>4.0000000000000001E-3</v>
      </c>
      <c r="M24" s="3">
        <f t="shared" si="0"/>
        <v>0.29000000000000004</v>
      </c>
      <c r="N24" s="5"/>
      <c r="O24" s="5"/>
      <c r="P24" s="5"/>
      <c r="Q24" s="5"/>
      <c r="S24" s="3" t="s">
        <v>50</v>
      </c>
      <c r="T24" s="3">
        <v>0.9</v>
      </c>
      <c r="U24" s="3">
        <v>0.5</v>
      </c>
      <c r="V24" s="3">
        <v>0.6</v>
      </c>
      <c r="W24" s="3">
        <v>0.9</v>
      </c>
      <c r="X24" s="7">
        <v>485.73327599999999</v>
      </c>
      <c r="Y24" s="3">
        <v>8.0000000000000002E-3</v>
      </c>
      <c r="AA24" s="3" t="s">
        <v>50</v>
      </c>
      <c r="AB24" s="3">
        <v>0.74</v>
      </c>
      <c r="AC24" s="6">
        <v>446.555115</v>
      </c>
      <c r="AD24" s="3">
        <v>0</v>
      </c>
      <c r="AE24" s="3">
        <f t="shared" si="1"/>
        <v>0.82000000000000006</v>
      </c>
      <c r="AF24" s="5"/>
      <c r="AG24" s="5"/>
      <c r="AH24" s="5"/>
      <c r="AI24" s="5"/>
      <c r="AK24" s="3" t="s">
        <v>51</v>
      </c>
      <c r="AL24" s="3">
        <v>0.9</v>
      </c>
      <c r="AM24" s="3">
        <v>0.5</v>
      </c>
      <c r="AN24" s="3">
        <v>0.6</v>
      </c>
      <c r="AO24" s="3">
        <v>0.59</v>
      </c>
      <c r="AP24" s="6">
        <v>1135.721802</v>
      </c>
      <c r="AQ24" s="3">
        <v>0.03</v>
      </c>
      <c r="AS24" s="3" t="s">
        <v>51</v>
      </c>
      <c r="AT24" s="3">
        <v>0.77</v>
      </c>
      <c r="AU24" s="7">
        <v>1203.5164789999999</v>
      </c>
      <c r="AV24" s="3">
        <v>3.0000000000000001E-3</v>
      </c>
      <c r="AW24" s="3">
        <f t="shared" si="2"/>
        <v>0.67999999999999994</v>
      </c>
      <c r="AX24" s="5"/>
      <c r="AY24" s="5"/>
      <c r="AZ24" s="5"/>
      <c r="BA24" s="5"/>
      <c r="BC24" s="3" t="s">
        <v>51</v>
      </c>
      <c r="BD24" s="3">
        <v>0.9</v>
      </c>
      <c r="BE24" s="3">
        <v>0.5</v>
      </c>
      <c r="BF24" s="3">
        <v>0.6</v>
      </c>
      <c r="BG24" s="3">
        <v>0.13</v>
      </c>
      <c r="BH24" s="6">
        <v>858.52239999999995</v>
      </c>
      <c r="BI24" s="3">
        <v>2.8000000000000001E-2</v>
      </c>
      <c r="BK24" s="3" t="s">
        <v>51</v>
      </c>
      <c r="BL24" s="3">
        <v>0.41</v>
      </c>
      <c r="BM24" s="7">
        <v>1028.1759030000001</v>
      </c>
      <c r="BN24" s="3">
        <v>3.0000000000000001E-3</v>
      </c>
      <c r="BO24" s="3">
        <f t="shared" si="3"/>
        <v>0.27</v>
      </c>
    </row>
    <row r="25" spans="1:67" x14ac:dyDescent="0.3">
      <c r="A25" s="3" t="s">
        <v>52</v>
      </c>
      <c r="B25" s="3">
        <v>0.9</v>
      </c>
      <c r="C25" s="3">
        <v>0.5</v>
      </c>
      <c r="D25" s="3">
        <v>0.6</v>
      </c>
      <c r="E25" s="3">
        <v>0.67</v>
      </c>
      <c r="F25" s="7">
        <v>465.930725</v>
      </c>
      <c r="G25" s="3">
        <v>0.03</v>
      </c>
      <c r="I25" s="3" t="s">
        <v>52</v>
      </c>
      <c r="J25" s="3">
        <v>0.42</v>
      </c>
      <c r="K25" s="7">
        <v>464.24362200000002</v>
      </c>
      <c r="L25" s="3">
        <v>2E-3</v>
      </c>
      <c r="M25" s="3">
        <f t="shared" si="0"/>
        <v>0.54500000000000004</v>
      </c>
      <c r="N25" s="5"/>
      <c r="O25" s="5"/>
      <c r="P25" s="5"/>
      <c r="Q25" s="5"/>
      <c r="S25" s="3" t="s">
        <v>52</v>
      </c>
      <c r="T25" s="3">
        <v>0.9</v>
      </c>
      <c r="U25" s="3">
        <v>0.5</v>
      </c>
      <c r="V25" s="3">
        <v>0.6</v>
      </c>
      <c r="W25" s="3">
        <v>0.82</v>
      </c>
      <c r="X25" s="7">
        <v>527.52667199999996</v>
      </c>
      <c r="Y25" s="3">
        <v>1.2999999999999999E-2</v>
      </c>
      <c r="AA25" s="3" t="s">
        <v>52</v>
      </c>
      <c r="AB25" s="3">
        <v>0.33</v>
      </c>
      <c r="AC25" s="6">
        <v>448.12795999999997</v>
      </c>
      <c r="AD25" s="3">
        <v>3.0000000000000001E-3</v>
      </c>
      <c r="AE25" s="3">
        <f t="shared" si="1"/>
        <v>0.57499999999999996</v>
      </c>
      <c r="AF25" s="5"/>
      <c r="AG25" s="5"/>
      <c r="AH25" s="5"/>
      <c r="AI25" s="5"/>
      <c r="AK25" s="3" t="s">
        <v>53</v>
      </c>
      <c r="AL25" s="3">
        <v>0.9</v>
      </c>
      <c r="AM25" s="3">
        <v>0.5</v>
      </c>
      <c r="AN25" s="3">
        <v>0.6</v>
      </c>
      <c r="AO25" s="3">
        <v>0.1</v>
      </c>
      <c r="AP25" s="6">
        <v>862.04901099999995</v>
      </c>
      <c r="AQ25" s="3">
        <v>1.7999999999999999E-2</v>
      </c>
      <c r="AS25" s="3" t="s">
        <v>53</v>
      </c>
      <c r="AT25" s="3">
        <v>0.76</v>
      </c>
      <c r="AU25" s="7">
        <v>1126.709351</v>
      </c>
      <c r="AV25" s="3">
        <v>5.0000000000000001E-3</v>
      </c>
      <c r="AW25" s="3">
        <f t="shared" si="2"/>
        <v>0.43</v>
      </c>
      <c r="AX25" s="5"/>
      <c r="AY25" s="5"/>
      <c r="AZ25" s="5"/>
      <c r="BA25" s="5"/>
      <c r="BC25" s="3" t="s">
        <v>53</v>
      </c>
      <c r="BD25" s="3">
        <v>0.9</v>
      </c>
      <c r="BE25" s="3">
        <v>0.5</v>
      </c>
      <c r="BF25" s="3">
        <v>0.6</v>
      </c>
      <c r="BG25" s="3">
        <v>0.73</v>
      </c>
      <c r="BH25" s="6">
        <v>1093.250732</v>
      </c>
      <c r="BI25" s="3">
        <v>3.2000000000000001E-2</v>
      </c>
      <c r="BK25" s="3" t="s">
        <v>53</v>
      </c>
      <c r="BL25" s="3">
        <v>0.84</v>
      </c>
      <c r="BM25" s="7">
        <v>1126.260254</v>
      </c>
      <c r="BN25" s="3">
        <v>2E-3</v>
      </c>
      <c r="BO25" s="3">
        <f t="shared" si="3"/>
        <v>0.78499999999999992</v>
      </c>
    </row>
    <row r="26" spans="1:67" x14ac:dyDescent="0.3">
      <c r="A26" s="3" t="s">
        <v>54</v>
      </c>
      <c r="B26" s="3">
        <v>0.9</v>
      </c>
      <c r="C26" s="3">
        <v>0.5</v>
      </c>
      <c r="D26" s="3">
        <v>0.6</v>
      </c>
      <c r="E26" s="3">
        <v>0.7</v>
      </c>
      <c r="F26" s="6">
        <v>586.57788100000005</v>
      </c>
      <c r="G26" s="3">
        <v>1.9E-2</v>
      </c>
      <c r="I26" s="3" t="s">
        <v>54</v>
      </c>
      <c r="J26" s="3">
        <v>0.99</v>
      </c>
      <c r="K26" s="7">
        <v>596.10003700000004</v>
      </c>
      <c r="L26" s="3">
        <v>1E-3</v>
      </c>
      <c r="M26" s="3">
        <f t="shared" si="0"/>
        <v>0.84499999999999997</v>
      </c>
      <c r="N26" s="5"/>
      <c r="O26" s="5"/>
      <c r="P26" s="5"/>
      <c r="Q26" s="5"/>
      <c r="S26" s="3" t="s">
        <v>54</v>
      </c>
      <c r="T26" s="3">
        <v>0.9</v>
      </c>
      <c r="U26" s="3">
        <v>0.5</v>
      </c>
      <c r="V26" s="3">
        <v>0.6</v>
      </c>
      <c r="W26" s="3">
        <v>0.22</v>
      </c>
      <c r="X26" s="6">
        <v>535.27423099999999</v>
      </c>
      <c r="Y26" s="3">
        <v>8.9999999999999993E-3</v>
      </c>
      <c r="AA26" s="3" t="s">
        <v>54</v>
      </c>
      <c r="AB26" s="3">
        <v>0.56000000000000005</v>
      </c>
      <c r="AC26" s="7">
        <v>555.761169</v>
      </c>
      <c r="AD26" s="3">
        <v>1E-3</v>
      </c>
      <c r="AE26" s="3">
        <f t="shared" si="1"/>
        <v>0.39</v>
      </c>
      <c r="AF26" s="5"/>
      <c r="AG26" s="5"/>
      <c r="AH26" s="5"/>
      <c r="AI26" s="5"/>
      <c r="AK26" s="3" t="s">
        <v>55</v>
      </c>
      <c r="AL26" s="3">
        <v>0.9</v>
      </c>
      <c r="AM26" s="3">
        <v>0.5</v>
      </c>
      <c r="AN26" s="3">
        <v>0.6</v>
      </c>
      <c r="AO26" s="3">
        <v>0.51</v>
      </c>
      <c r="AP26" s="7">
        <v>1021.463928</v>
      </c>
      <c r="AQ26" s="3">
        <v>4.1000000000000002E-2</v>
      </c>
      <c r="AS26" s="3" t="s">
        <v>55</v>
      </c>
      <c r="AT26" s="3">
        <v>0.46</v>
      </c>
      <c r="AU26" s="6">
        <v>1011.9535519999999</v>
      </c>
      <c r="AV26" s="3">
        <v>3.0000000000000001E-3</v>
      </c>
      <c r="AW26" s="3">
        <f t="shared" si="2"/>
        <v>0.48499999999999999</v>
      </c>
      <c r="AX26" s="5"/>
      <c r="AY26" s="5"/>
      <c r="AZ26" s="5"/>
      <c r="BA26" s="5"/>
      <c r="BC26" s="3" t="s">
        <v>55</v>
      </c>
      <c r="BD26" s="3">
        <v>0.9</v>
      </c>
      <c r="BE26" s="3">
        <v>0.5</v>
      </c>
      <c r="BF26" s="3">
        <v>0.6</v>
      </c>
      <c r="BG26" s="3">
        <v>0.17</v>
      </c>
      <c r="BH26" s="6">
        <v>843.37316899999996</v>
      </c>
      <c r="BI26" s="3">
        <v>1.7999999999999999E-2</v>
      </c>
      <c r="BK26" s="3" t="s">
        <v>55</v>
      </c>
      <c r="BL26" s="3">
        <v>0.72</v>
      </c>
      <c r="BM26" s="7">
        <v>1091.1333010000001</v>
      </c>
      <c r="BN26" s="3">
        <v>3.0000000000000001E-3</v>
      </c>
      <c r="BO26" s="3">
        <f t="shared" si="3"/>
        <v>0.44500000000000001</v>
      </c>
    </row>
    <row r="27" spans="1:67" x14ac:dyDescent="0.3">
      <c r="A27" s="3" t="s">
        <v>56</v>
      </c>
      <c r="B27" s="3">
        <v>0.9</v>
      </c>
      <c r="C27" s="3">
        <v>0.5</v>
      </c>
      <c r="D27" s="3">
        <v>0.6</v>
      </c>
      <c r="E27" s="3">
        <v>0.14000000000000001</v>
      </c>
      <c r="F27" s="6">
        <v>451.63757299999997</v>
      </c>
      <c r="G27" s="3">
        <v>1.7000000000000001E-2</v>
      </c>
      <c r="I27" s="3" t="s">
        <v>56</v>
      </c>
      <c r="J27" s="3">
        <v>0.36</v>
      </c>
      <c r="K27" s="7">
        <v>453.979309</v>
      </c>
      <c r="L27" s="3">
        <v>1E-3</v>
      </c>
      <c r="M27" s="3">
        <f t="shared" si="0"/>
        <v>0.25</v>
      </c>
      <c r="N27" s="5"/>
      <c r="O27" s="5"/>
      <c r="P27" s="5"/>
      <c r="Q27" s="5"/>
      <c r="S27" s="3" t="s">
        <v>56</v>
      </c>
      <c r="T27" s="3">
        <v>0.9</v>
      </c>
      <c r="U27" s="3">
        <v>0.5</v>
      </c>
      <c r="V27" s="3">
        <v>0.6</v>
      </c>
      <c r="W27" s="3">
        <v>0.64</v>
      </c>
      <c r="X27" s="6">
        <v>455.023346</v>
      </c>
      <c r="Y27" s="3">
        <v>8.0000000000000002E-3</v>
      </c>
      <c r="AA27" s="3" t="s">
        <v>56</v>
      </c>
      <c r="AB27" s="3">
        <v>0.87</v>
      </c>
      <c r="AC27" s="7">
        <v>513.55737299999998</v>
      </c>
      <c r="AD27" s="3">
        <v>4.0000000000000001E-3</v>
      </c>
      <c r="AE27" s="3">
        <f t="shared" si="1"/>
        <v>0.755</v>
      </c>
      <c r="AF27" s="5"/>
      <c r="AG27" s="5"/>
      <c r="AH27" s="5"/>
      <c r="AI27" s="5"/>
      <c r="AK27" s="3" t="s">
        <v>57</v>
      </c>
      <c r="AL27" s="3">
        <v>0.9</v>
      </c>
      <c r="AM27" s="3">
        <v>0.5</v>
      </c>
      <c r="AN27" s="3">
        <v>0.6</v>
      </c>
      <c r="AO27" s="3">
        <v>0.75</v>
      </c>
      <c r="AP27" s="7">
        <v>1111.0966800000001</v>
      </c>
      <c r="AQ27" s="3">
        <v>2.3E-2</v>
      </c>
      <c r="AS27" s="3" t="s">
        <v>57</v>
      </c>
      <c r="AT27" s="3">
        <v>0.3</v>
      </c>
      <c r="AU27" s="6">
        <v>935.107483</v>
      </c>
      <c r="AV27" s="3">
        <v>4.0000000000000001E-3</v>
      </c>
      <c r="AW27" s="3">
        <f t="shared" si="2"/>
        <v>0.52500000000000002</v>
      </c>
      <c r="AX27" s="5"/>
      <c r="AY27" s="5"/>
      <c r="AZ27" s="5"/>
      <c r="BA27" s="5"/>
      <c r="BC27" s="3" t="s">
        <v>57</v>
      </c>
      <c r="BD27" s="3">
        <v>0.9</v>
      </c>
      <c r="BE27" s="3">
        <v>0.5</v>
      </c>
      <c r="BF27" s="3">
        <v>0.6</v>
      </c>
      <c r="BG27" s="3">
        <v>0.94</v>
      </c>
      <c r="BH27" s="7">
        <v>1138.8374020000001</v>
      </c>
      <c r="BI27" s="3">
        <v>1.7000000000000001E-2</v>
      </c>
      <c r="BK27" s="3" t="s">
        <v>57</v>
      </c>
      <c r="BL27" s="3">
        <v>0.84</v>
      </c>
      <c r="BM27" s="6">
        <v>1123.3242190000001</v>
      </c>
      <c r="BN27" s="3">
        <v>1E-3</v>
      </c>
      <c r="BO27" s="3">
        <f t="shared" si="3"/>
        <v>0.8899999999999999</v>
      </c>
    </row>
    <row r="28" spans="1:67" x14ac:dyDescent="0.3">
      <c r="A28" s="3" t="s">
        <v>58</v>
      </c>
      <c r="B28" s="3">
        <v>0.9</v>
      </c>
      <c r="C28" s="3">
        <v>0.5</v>
      </c>
      <c r="D28" s="3">
        <v>0.6</v>
      </c>
      <c r="E28" s="3">
        <v>0.02</v>
      </c>
      <c r="F28" s="7">
        <v>487.14477499999998</v>
      </c>
      <c r="G28" s="3">
        <v>2.1999999999999999E-2</v>
      </c>
      <c r="I28" s="3" t="s">
        <v>58</v>
      </c>
      <c r="J28" s="3">
        <v>0.44</v>
      </c>
      <c r="K28" s="6">
        <v>471.93350199999998</v>
      </c>
      <c r="L28" s="3">
        <v>0</v>
      </c>
      <c r="M28" s="3">
        <f t="shared" si="0"/>
        <v>0.23</v>
      </c>
      <c r="N28" s="5"/>
      <c r="O28" s="5"/>
      <c r="P28" s="5"/>
      <c r="Q28" s="5"/>
      <c r="S28" s="3" t="s">
        <v>58</v>
      </c>
      <c r="T28" s="3">
        <v>0.9</v>
      </c>
      <c r="U28" s="3">
        <v>0.5</v>
      </c>
      <c r="V28" s="3">
        <v>0.6</v>
      </c>
      <c r="W28" s="3">
        <v>0.96</v>
      </c>
      <c r="X28" s="6">
        <v>533.95043899999996</v>
      </c>
      <c r="Y28" s="3">
        <v>8.9999999999999993E-3</v>
      </c>
      <c r="AA28" s="3" t="s">
        <v>58</v>
      </c>
      <c r="AB28" s="3">
        <v>0.76</v>
      </c>
      <c r="AC28" s="7">
        <v>560.70324700000003</v>
      </c>
      <c r="AD28" s="3">
        <v>0</v>
      </c>
      <c r="AE28" s="3">
        <f t="shared" si="1"/>
        <v>0.86</v>
      </c>
      <c r="AF28" s="5"/>
      <c r="AG28" s="5"/>
      <c r="AH28" s="5"/>
      <c r="AI28" s="5"/>
      <c r="AK28" s="3" t="s">
        <v>59</v>
      </c>
      <c r="AL28" s="3">
        <v>0.9</v>
      </c>
      <c r="AM28" s="3">
        <v>0.5</v>
      </c>
      <c r="AN28" s="3">
        <v>0.6</v>
      </c>
      <c r="AO28" s="3">
        <v>0.28000000000000003</v>
      </c>
      <c r="AP28" s="6">
        <v>865.863831</v>
      </c>
      <c r="AQ28" s="3">
        <v>2.5000000000000001E-2</v>
      </c>
      <c r="AS28" s="3" t="s">
        <v>59</v>
      </c>
      <c r="AT28" s="3">
        <v>0.71</v>
      </c>
      <c r="AU28" s="7">
        <v>1040.4086910000001</v>
      </c>
      <c r="AV28" s="3">
        <v>1E-3</v>
      </c>
      <c r="AW28" s="3">
        <f t="shared" si="2"/>
        <v>0.495</v>
      </c>
      <c r="AX28" s="5"/>
      <c r="AY28" s="5"/>
      <c r="AZ28" s="5"/>
      <c r="BA28" s="5"/>
      <c r="BC28" s="3" t="s">
        <v>59</v>
      </c>
      <c r="BD28" s="3">
        <v>0.9</v>
      </c>
      <c r="BE28" s="3">
        <v>0.5</v>
      </c>
      <c r="BF28" s="3">
        <v>0.6</v>
      </c>
      <c r="BG28" s="3">
        <v>0.35</v>
      </c>
      <c r="BH28" s="6">
        <v>881.48053000000004</v>
      </c>
      <c r="BI28" s="3">
        <v>1.0999999999999999E-2</v>
      </c>
      <c r="BK28" s="3" t="s">
        <v>59</v>
      </c>
      <c r="BL28" s="3">
        <v>0.78</v>
      </c>
      <c r="BM28" s="7">
        <v>1048.7358400000001</v>
      </c>
      <c r="BN28" s="3">
        <v>6.0000000000000001E-3</v>
      </c>
      <c r="BO28" s="3">
        <f t="shared" si="3"/>
        <v>0.56499999999999995</v>
      </c>
    </row>
    <row r="29" spans="1:67" x14ac:dyDescent="0.3">
      <c r="A29" s="3" t="s">
        <v>60</v>
      </c>
      <c r="B29" s="3">
        <v>0.9</v>
      </c>
      <c r="C29" s="3">
        <v>0.5</v>
      </c>
      <c r="D29" s="3">
        <v>0.6</v>
      </c>
      <c r="E29" s="3">
        <v>0.96</v>
      </c>
      <c r="F29" s="6">
        <v>616.73663299999998</v>
      </c>
      <c r="G29" s="3">
        <v>0.02</v>
      </c>
      <c r="I29" s="3" t="s">
        <v>60</v>
      </c>
      <c r="J29" s="3">
        <v>0.1</v>
      </c>
      <c r="K29" s="7">
        <v>618.02789299999995</v>
      </c>
      <c r="L29" s="3">
        <v>1.2999999999999999E-2</v>
      </c>
      <c r="M29" s="3">
        <f t="shared" si="0"/>
        <v>0.53</v>
      </c>
      <c r="N29" s="5"/>
      <c r="O29" s="5"/>
      <c r="P29" s="5"/>
      <c r="Q29" s="5"/>
      <c r="S29" s="3" t="s">
        <v>60</v>
      </c>
      <c r="T29" s="3">
        <v>0.9</v>
      </c>
      <c r="U29" s="3">
        <v>0.5</v>
      </c>
      <c r="V29" s="3">
        <v>0.6</v>
      </c>
      <c r="W29" s="3">
        <v>0.03</v>
      </c>
      <c r="X29" s="7">
        <v>613.99249299999997</v>
      </c>
      <c r="Y29" s="3">
        <v>1.4E-2</v>
      </c>
      <c r="AA29" s="3" t="s">
        <v>60</v>
      </c>
      <c r="AB29" s="3">
        <v>0.19</v>
      </c>
      <c r="AC29" s="6">
        <v>596.30114700000001</v>
      </c>
      <c r="AD29" s="3">
        <v>1E-3</v>
      </c>
      <c r="AE29" s="3">
        <f t="shared" si="1"/>
        <v>0.11</v>
      </c>
      <c r="AF29" s="5"/>
      <c r="AG29" s="5"/>
      <c r="AH29" s="5"/>
      <c r="AI29" s="5"/>
      <c r="AK29" s="3" t="s">
        <v>61</v>
      </c>
      <c r="AL29" s="3">
        <v>0.9</v>
      </c>
      <c r="AM29" s="3">
        <v>0.5</v>
      </c>
      <c r="AN29" s="3">
        <v>0.6</v>
      </c>
      <c r="AO29" s="3">
        <v>0.73</v>
      </c>
      <c r="AP29" s="7">
        <v>1201.4674070000001</v>
      </c>
      <c r="AQ29" s="3">
        <v>4.4999999999999998E-2</v>
      </c>
      <c r="AS29" s="3" t="s">
        <v>61</v>
      </c>
      <c r="AT29" s="3">
        <v>0.13</v>
      </c>
      <c r="AU29" s="6">
        <v>882.15698199999997</v>
      </c>
      <c r="AV29" s="3">
        <v>3.0000000000000001E-3</v>
      </c>
      <c r="AW29" s="3">
        <f t="shared" si="2"/>
        <v>0.43</v>
      </c>
      <c r="AX29" s="5"/>
      <c r="AY29" s="5"/>
      <c r="AZ29" s="5"/>
      <c r="BA29" s="5"/>
      <c r="BC29" s="3" t="s">
        <v>61</v>
      </c>
      <c r="BD29" s="3">
        <v>0.9</v>
      </c>
      <c r="BE29" s="3">
        <v>0.5</v>
      </c>
      <c r="BF29" s="3">
        <v>0.6</v>
      </c>
      <c r="BG29" s="3">
        <v>0.56999999999999995</v>
      </c>
      <c r="BH29" s="7">
        <v>1103.3013920000001</v>
      </c>
      <c r="BI29" s="3">
        <v>2.3E-2</v>
      </c>
      <c r="BK29" s="3" t="s">
        <v>61</v>
      </c>
      <c r="BL29" s="3">
        <v>0.15</v>
      </c>
      <c r="BM29" s="6">
        <v>882.01178000000004</v>
      </c>
      <c r="BN29" s="3">
        <v>1E-3</v>
      </c>
      <c r="BO29" s="3">
        <f t="shared" si="3"/>
        <v>0.36</v>
      </c>
    </row>
    <row r="30" spans="1:67" x14ac:dyDescent="0.3">
      <c r="A30" s="3" t="s">
        <v>62</v>
      </c>
      <c r="B30" s="3">
        <v>0.9</v>
      </c>
      <c r="C30" s="3">
        <v>0.5</v>
      </c>
      <c r="D30" s="3">
        <v>0.6</v>
      </c>
      <c r="E30" s="3">
        <v>0.65</v>
      </c>
      <c r="F30" s="7">
        <v>415.38476600000001</v>
      </c>
      <c r="G30" s="3">
        <v>1.2999999999999999E-2</v>
      </c>
      <c r="I30" s="3" t="s">
        <v>62</v>
      </c>
      <c r="J30" s="3">
        <v>0.14000000000000001</v>
      </c>
      <c r="K30" s="6">
        <v>395.271637</v>
      </c>
      <c r="L30" s="3">
        <v>0</v>
      </c>
      <c r="M30" s="3">
        <f t="shared" si="0"/>
        <v>0.39500000000000002</v>
      </c>
      <c r="N30" s="5"/>
      <c r="O30" s="5"/>
      <c r="P30" s="5"/>
      <c r="Q30" s="5"/>
      <c r="S30" s="3" t="s">
        <v>62</v>
      </c>
      <c r="T30" s="3">
        <v>0.9</v>
      </c>
      <c r="U30" s="3">
        <v>0.5</v>
      </c>
      <c r="V30" s="3">
        <v>0.6</v>
      </c>
      <c r="W30" s="3">
        <v>0.41</v>
      </c>
      <c r="X30" s="6">
        <v>380.51156600000002</v>
      </c>
      <c r="Y30" s="3">
        <v>2.5999999999999999E-2</v>
      </c>
      <c r="AA30" s="3" t="s">
        <v>62</v>
      </c>
      <c r="AB30" s="3">
        <v>0.28000000000000003</v>
      </c>
      <c r="AC30" s="6">
        <v>380.51156600000002</v>
      </c>
      <c r="AD30" s="3">
        <v>3.0000000000000001E-3</v>
      </c>
      <c r="AE30" s="3">
        <f t="shared" si="1"/>
        <v>0.34499999999999997</v>
      </c>
      <c r="AF30" s="5"/>
      <c r="AG30" s="5"/>
      <c r="AH30" s="5"/>
      <c r="AI30" s="5"/>
      <c r="AK30" s="3" t="s">
        <v>63</v>
      </c>
      <c r="AL30" s="3">
        <v>0.9</v>
      </c>
      <c r="AM30" s="3">
        <v>0.5</v>
      </c>
      <c r="AN30" s="3">
        <v>0.6</v>
      </c>
      <c r="AO30" s="3">
        <v>0.79</v>
      </c>
      <c r="AP30" s="7">
        <v>1126.302856</v>
      </c>
      <c r="AQ30" s="3">
        <v>1.4999999999999999E-2</v>
      </c>
      <c r="AS30" s="3" t="s">
        <v>63</v>
      </c>
      <c r="AT30" s="3">
        <v>0.54</v>
      </c>
      <c r="AU30" s="6">
        <v>1076.900513</v>
      </c>
      <c r="AV30" s="3">
        <v>1.4E-2</v>
      </c>
      <c r="AW30" s="3">
        <f t="shared" si="2"/>
        <v>0.66500000000000004</v>
      </c>
      <c r="AX30" s="5"/>
      <c r="AY30" s="5"/>
      <c r="AZ30" s="5"/>
      <c r="BA30" s="5"/>
      <c r="BC30" s="3" t="s">
        <v>63</v>
      </c>
      <c r="BD30" s="3">
        <v>0.9</v>
      </c>
      <c r="BE30" s="3">
        <v>0.5</v>
      </c>
      <c r="BF30" s="3">
        <v>0.6</v>
      </c>
      <c r="BG30" s="3">
        <v>0.18</v>
      </c>
      <c r="BH30" s="6">
        <v>815.48504600000001</v>
      </c>
      <c r="BI30" s="3">
        <v>1.0999999999999999E-2</v>
      </c>
      <c r="BK30" s="3" t="s">
        <v>63</v>
      </c>
      <c r="BL30" s="3">
        <v>0.91</v>
      </c>
      <c r="BM30" s="7">
        <v>1131.2502440000001</v>
      </c>
      <c r="BN30" s="3">
        <v>1E-3</v>
      </c>
      <c r="BO30" s="3">
        <f t="shared" si="3"/>
        <v>0.54500000000000004</v>
      </c>
    </row>
    <row r="31" spans="1:67" x14ac:dyDescent="0.3">
      <c r="A31" s="3" t="s">
        <v>64</v>
      </c>
      <c r="B31" s="3">
        <v>0.9</v>
      </c>
      <c r="C31" s="3">
        <v>0.5</v>
      </c>
      <c r="D31" s="3">
        <v>0.6</v>
      </c>
      <c r="E31" s="3">
        <v>0.06</v>
      </c>
      <c r="F31" s="6">
        <v>589.04247999999995</v>
      </c>
      <c r="G31" s="3">
        <v>7.0000000000000001E-3</v>
      </c>
      <c r="I31" s="3" t="s">
        <v>64</v>
      </c>
      <c r="J31" s="3">
        <v>0.82</v>
      </c>
      <c r="K31" s="7">
        <v>591.88800000000003</v>
      </c>
      <c r="L31" s="3">
        <v>3.0000000000000001E-3</v>
      </c>
      <c r="M31" s="3">
        <f t="shared" si="0"/>
        <v>0.43999999999999995</v>
      </c>
      <c r="N31" s="5"/>
      <c r="O31" s="5"/>
      <c r="P31" s="5"/>
      <c r="Q31" s="5"/>
      <c r="S31" s="3" t="s">
        <v>64</v>
      </c>
      <c r="T31" s="3">
        <v>0.9</v>
      </c>
      <c r="U31" s="3">
        <v>0.5</v>
      </c>
      <c r="V31" s="3">
        <v>0.6</v>
      </c>
      <c r="W31" s="3">
        <v>0.98</v>
      </c>
      <c r="X31" s="7">
        <v>617.44872999999995</v>
      </c>
      <c r="Y31" s="3">
        <v>1.0999999999999999E-2</v>
      </c>
      <c r="AA31" s="3" t="s">
        <v>64</v>
      </c>
      <c r="AB31" s="3">
        <v>0.91</v>
      </c>
      <c r="AC31" s="6">
        <v>589.14569100000006</v>
      </c>
      <c r="AD31" s="3">
        <v>2E-3</v>
      </c>
      <c r="AE31" s="3">
        <f t="shared" si="1"/>
        <v>0.94500000000000006</v>
      </c>
      <c r="AF31" s="5"/>
      <c r="AG31" s="5"/>
      <c r="AH31" s="5"/>
      <c r="AI31" s="5"/>
      <c r="AK31" s="3" t="s">
        <v>65</v>
      </c>
      <c r="AL31" s="3">
        <v>0.9</v>
      </c>
      <c r="AM31" s="3">
        <v>0.5</v>
      </c>
      <c r="AN31" s="3">
        <v>0.6</v>
      </c>
      <c r="AO31" s="3">
        <v>0.16</v>
      </c>
      <c r="AP31" s="7">
        <v>839.11273200000005</v>
      </c>
      <c r="AQ31" s="3">
        <v>1.2999999999999999E-2</v>
      </c>
      <c r="AS31" s="3" t="s">
        <v>65</v>
      </c>
      <c r="AT31" s="3">
        <v>0.11</v>
      </c>
      <c r="AU31" s="6">
        <v>796.74609399999997</v>
      </c>
      <c r="AV31" s="3">
        <v>4.0000000000000001E-3</v>
      </c>
      <c r="AW31" s="3">
        <f t="shared" si="2"/>
        <v>0.13500000000000001</v>
      </c>
      <c r="AX31" s="5"/>
      <c r="AY31" s="5"/>
      <c r="AZ31" s="5"/>
      <c r="BA31" s="5"/>
      <c r="BC31" s="3" t="s">
        <v>65</v>
      </c>
      <c r="BD31" s="3">
        <v>0.9</v>
      </c>
      <c r="BE31" s="3">
        <v>0.5</v>
      </c>
      <c r="BF31" s="3">
        <v>0.6</v>
      </c>
      <c r="BG31" s="3">
        <v>0.04</v>
      </c>
      <c r="BH31" s="6">
        <v>766.56213400000001</v>
      </c>
      <c r="BI31" s="3">
        <v>1.7000000000000001E-2</v>
      </c>
      <c r="BK31" s="3" t="s">
        <v>65</v>
      </c>
      <c r="BL31" s="3">
        <v>0.42</v>
      </c>
      <c r="BM31" s="7">
        <v>949.56750499999998</v>
      </c>
      <c r="BN31" s="3">
        <v>3.0000000000000001E-3</v>
      </c>
      <c r="BO31" s="3">
        <f t="shared" si="3"/>
        <v>0.22999999999999998</v>
      </c>
    </row>
    <row r="32" spans="1:67" x14ac:dyDescent="0.3">
      <c r="A32" s="3" t="s">
        <v>66</v>
      </c>
      <c r="B32" s="3">
        <v>0.9</v>
      </c>
      <c r="C32" s="3">
        <v>0.5</v>
      </c>
      <c r="D32" s="3">
        <v>0.6</v>
      </c>
      <c r="E32" s="3">
        <v>0.45</v>
      </c>
      <c r="F32" s="6">
        <v>526.229919</v>
      </c>
      <c r="G32" s="3">
        <v>1.2E-2</v>
      </c>
      <c r="I32" s="3" t="s">
        <v>66</v>
      </c>
      <c r="J32" s="3">
        <v>0.03</v>
      </c>
      <c r="K32" s="7">
        <v>542.88458300000002</v>
      </c>
      <c r="L32" s="3">
        <v>0</v>
      </c>
      <c r="M32" s="3">
        <f t="shared" si="0"/>
        <v>0.24</v>
      </c>
      <c r="N32" s="5"/>
      <c r="O32" s="5"/>
      <c r="P32" s="5"/>
      <c r="Q32" s="5"/>
      <c r="S32" s="3" t="s">
        <v>66</v>
      </c>
      <c r="T32" s="3">
        <v>0.9</v>
      </c>
      <c r="U32" s="3">
        <v>0.5</v>
      </c>
      <c r="V32" s="3">
        <v>0.6</v>
      </c>
      <c r="W32" s="3">
        <v>0.56000000000000005</v>
      </c>
      <c r="X32" s="7">
        <v>516.986267</v>
      </c>
      <c r="Y32" s="3">
        <v>1.4E-2</v>
      </c>
      <c r="AA32" s="3" t="s">
        <v>66</v>
      </c>
      <c r="AB32" s="3">
        <v>0.46</v>
      </c>
      <c r="AC32" s="6">
        <v>510.27301</v>
      </c>
      <c r="AD32" s="3">
        <v>4.0000000000000001E-3</v>
      </c>
      <c r="AE32" s="3">
        <f t="shared" si="1"/>
        <v>0.51</v>
      </c>
      <c r="AF32" s="5"/>
      <c r="AG32" s="5"/>
      <c r="AH32" s="5"/>
      <c r="AI32" s="5"/>
      <c r="AK32" s="3" t="s">
        <v>67</v>
      </c>
      <c r="AL32" s="3">
        <v>0.9</v>
      </c>
      <c r="AM32" s="3">
        <v>0.5</v>
      </c>
      <c r="AN32" s="3">
        <v>0.6</v>
      </c>
      <c r="AO32" s="3">
        <v>0.59</v>
      </c>
      <c r="AP32" s="6">
        <v>1099.721802</v>
      </c>
      <c r="AQ32" s="3">
        <v>0.02</v>
      </c>
      <c r="AS32" s="3" t="s">
        <v>67</v>
      </c>
      <c r="AT32" s="3">
        <v>0.77</v>
      </c>
      <c r="AU32" s="7">
        <v>1124.4644780000001</v>
      </c>
      <c r="AV32" s="3">
        <v>6.0000000000000001E-3</v>
      </c>
      <c r="AW32" s="3">
        <f t="shared" si="2"/>
        <v>0.67999999999999994</v>
      </c>
      <c r="AX32" s="5"/>
      <c r="AY32" s="5"/>
      <c r="AZ32" s="5"/>
      <c r="BA32" s="5"/>
      <c r="BC32" s="3" t="s">
        <v>67</v>
      </c>
      <c r="BD32" s="3">
        <v>0.9</v>
      </c>
      <c r="BE32" s="3">
        <v>0.5</v>
      </c>
      <c r="BF32" s="3">
        <v>0.6</v>
      </c>
      <c r="BG32" s="3">
        <v>0.97</v>
      </c>
      <c r="BH32" s="7">
        <v>1197.5217290000001</v>
      </c>
      <c r="BI32" s="3">
        <v>1.2E-2</v>
      </c>
      <c r="BK32" s="3" t="s">
        <v>67</v>
      </c>
      <c r="BL32" s="3">
        <v>0.27</v>
      </c>
      <c r="BM32" s="6">
        <v>933.64746100000002</v>
      </c>
      <c r="BN32" s="3">
        <v>2E-3</v>
      </c>
      <c r="BO32" s="3">
        <f t="shared" si="3"/>
        <v>0.62</v>
      </c>
    </row>
    <row r="33" spans="1:71" x14ac:dyDescent="0.3">
      <c r="A33" s="3" t="s">
        <v>68</v>
      </c>
      <c r="B33" s="3">
        <v>0.9</v>
      </c>
      <c r="C33" s="3">
        <v>0.5</v>
      </c>
      <c r="D33" s="3">
        <v>0.6</v>
      </c>
      <c r="E33" s="3">
        <v>0.15</v>
      </c>
      <c r="F33" s="6">
        <v>397.60961900000001</v>
      </c>
      <c r="G33" s="3">
        <v>1.2999999999999999E-2</v>
      </c>
      <c r="I33" s="3" t="s">
        <v>68</v>
      </c>
      <c r="J33" s="3">
        <v>0.71</v>
      </c>
      <c r="K33" s="7">
        <v>405.38751200000002</v>
      </c>
      <c r="L33" s="3">
        <v>3.0000000000000001E-3</v>
      </c>
      <c r="M33" s="3">
        <f t="shared" si="0"/>
        <v>0.43</v>
      </c>
      <c r="N33" s="5"/>
      <c r="O33" s="5"/>
      <c r="P33" s="5"/>
      <c r="Q33" s="5"/>
      <c r="S33" s="3" t="s">
        <v>68</v>
      </c>
      <c r="T33" s="3">
        <v>0.9</v>
      </c>
      <c r="U33" s="3">
        <v>0.5</v>
      </c>
      <c r="V33" s="3">
        <v>0.6</v>
      </c>
      <c r="W33" s="3">
        <v>0.56000000000000005</v>
      </c>
      <c r="X33" s="6">
        <v>381.56494099999998</v>
      </c>
      <c r="Y33" s="3">
        <v>8.0000000000000002E-3</v>
      </c>
      <c r="AA33" s="3" t="s">
        <v>68</v>
      </c>
      <c r="AB33" s="3">
        <v>0.56999999999999995</v>
      </c>
      <c r="AC33" s="7">
        <v>390.64013699999998</v>
      </c>
      <c r="AD33" s="3">
        <v>5.0000000000000001E-3</v>
      </c>
      <c r="AE33" s="3">
        <f t="shared" si="1"/>
        <v>0.56499999999999995</v>
      </c>
      <c r="AF33" s="5"/>
      <c r="AG33" s="5"/>
      <c r="AH33" s="5"/>
      <c r="AI33" s="5"/>
      <c r="AK33" s="3" t="s">
        <v>69</v>
      </c>
      <c r="AL33" s="3">
        <v>0.9</v>
      </c>
      <c r="AM33" s="3">
        <v>0.5</v>
      </c>
      <c r="AN33" s="3">
        <v>0.6</v>
      </c>
      <c r="AO33" s="3">
        <v>0.03</v>
      </c>
      <c r="AP33" s="6">
        <v>761.84149200000002</v>
      </c>
      <c r="AQ33" s="3">
        <v>3.5000000000000003E-2</v>
      </c>
      <c r="AS33" s="3" t="s">
        <v>69</v>
      </c>
      <c r="AT33" s="3">
        <v>0.31</v>
      </c>
      <c r="AU33" s="7">
        <v>994.03295900000001</v>
      </c>
      <c r="AV33" s="3">
        <v>6.0000000000000001E-3</v>
      </c>
      <c r="AW33" s="3">
        <f t="shared" si="2"/>
        <v>0.16999999999999998</v>
      </c>
      <c r="AX33" s="5"/>
      <c r="AY33" s="5"/>
      <c r="AZ33" s="5"/>
      <c r="BA33" s="5"/>
      <c r="BC33" s="3" t="s">
        <v>69</v>
      </c>
      <c r="BD33" s="3">
        <v>0.9</v>
      </c>
      <c r="BE33" s="3">
        <v>0.5</v>
      </c>
      <c r="BF33" s="3">
        <v>0.6</v>
      </c>
      <c r="BG33" s="3">
        <v>0.28999999999999998</v>
      </c>
      <c r="BH33" s="6">
        <v>951.292236</v>
      </c>
      <c r="BI33" s="3">
        <v>1.2999999999999999E-2</v>
      </c>
      <c r="BK33" s="3" t="s">
        <v>69</v>
      </c>
      <c r="BL33" s="3">
        <v>0.88</v>
      </c>
      <c r="BM33" s="7">
        <v>1150.1953120000001</v>
      </c>
      <c r="BN33" s="3">
        <v>5.0000000000000001E-3</v>
      </c>
      <c r="BO33" s="3">
        <f t="shared" si="3"/>
        <v>0.58499999999999996</v>
      </c>
    </row>
    <row r="34" spans="1:71" x14ac:dyDescent="0.3">
      <c r="A34" s="9" t="s">
        <v>316</v>
      </c>
      <c r="E34" s="9">
        <f>AVERAGE(E4:E33)</f>
        <v>0.49533333333333335</v>
      </c>
      <c r="I34" s="9" t="s">
        <v>316</v>
      </c>
      <c r="J34" s="9">
        <f>AVERAGE(J4:J33)</f>
        <v>0.51133333333333331</v>
      </c>
      <c r="M34" s="5"/>
      <c r="N34" s="5"/>
      <c r="O34" s="5"/>
      <c r="P34" s="5"/>
      <c r="Q34" s="5"/>
      <c r="S34" s="9" t="s">
        <v>316</v>
      </c>
      <c r="W34" s="9">
        <f>AVERAGE(W4:W33)</f>
        <v>0.50100000000000011</v>
      </c>
      <c r="AA34" s="9" t="s">
        <v>316</v>
      </c>
      <c r="AB34" s="9">
        <f>AVERAGE(AB4:AB33)</f>
        <v>0.54100000000000004</v>
      </c>
      <c r="AE34" s="5"/>
      <c r="AF34" s="5"/>
      <c r="AG34" s="5"/>
      <c r="AH34" s="5"/>
      <c r="AI34" s="5"/>
      <c r="AK34" s="9" t="s">
        <v>316</v>
      </c>
      <c r="AO34" s="9">
        <f>AVERAGE(AO4:AO33)</f>
        <v>0.49933333333333318</v>
      </c>
      <c r="AS34" s="9" t="s">
        <v>316</v>
      </c>
      <c r="AT34" s="9">
        <f>AVERAGE(AT4:AT33)</f>
        <v>0.50433333333333341</v>
      </c>
      <c r="AW34" s="5"/>
      <c r="AX34" s="5"/>
      <c r="AY34" s="5"/>
      <c r="AZ34" s="5"/>
      <c r="BA34" s="5"/>
      <c r="BC34" s="9" t="s">
        <v>316</v>
      </c>
      <c r="BG34" s="9">
        <f>AVERAGE(BG4:BG33)</f>
        <v>0.42466666666666669</v>
      </c>
      <c r="BK34" s="9" t="s">
        <v>316</v>
      </c>
      <c r="BL34" s="9">
        <f>AVERAGE(BL4:BL33)</f>
        <v>0.54799999999999993</v>
      </c>
      <c r="BO34" s="5"/>
    </row>
    <row r="35" spans="1:71" x14ac:dyDescent="0.3">
      <c r="M35" s="5"/>
      <c r="N35" s="5"/>
      <c r="O35" s="5"/>
      <c r="P35" s="5"/>
      <c r="Q35" s="5"/>
      <c r="AE35" s="5"/>
      <c r="AF35" s="5"/>
      <c r="AG35" s="5"/>
      <c r="AH35" s="5"/>
      <c r="AI35" s="5"/>
      <c r="AW35" s="5"/>
      <c r="AX35" s="5"/>
      <c r="AY35" s="5"/>
      <c r="AZ35" s="5"/>
      <c r="BA35" s="5"/>
      <c r="BO35" s="5"/>
    </row>
    <row r="36" spans="1:71" x14ac:dyDescent="0.3">
      <c r="M36" s="5"/>
      <c r="N36" s="5"/>
      <c r="O36" s="5"/>
      <c r="P36" s="5"/>
      <c r="Q36" s="5"/>
      <c r="AE36" s="5"/>
      <c r="AF36" s="5"/>
      <c r="AG36" s="5"/>
      <c r="AH36" s="5"/>
      <c r="AI36" s="5"/>
      <c r="AW36" s="5"/>
      <c r="AX36" s="5"/>
      <c r="AY36" s="5"/>
      <c r="AZ36" s="5"/>
      <c r="BA36" s="5"/>
      <c r="BO36" s="5"/>
    </row>
    <row r="37" spans="1:71" x14ac:dyDescent="0.3">
      <c r="A37" s="20" t="s">
        <v>314</v>
      </c>
      <c r="B37" s="21"/>
      <c r="C37" s="21"/>
      <c r="D37" s="21"/>
      <c r="E37" s="21"/>
      <c r="F37" s="21"/>
      <c r="G37" s="22"/>
      <c r="I37" s="20" t="s">
        <v>315</v>
      </c>
      <c r="J37" s="21"/>
      <c r="K37" s="21"/>
      <c r="L37" s="21"/>
      <c r="M37" s="22"/>
      <c r="N37" s="11"/>
      <c r="O37" s="11"/>
      <c r="P37" s="11"/>
      <c r="Q37" s="11"/>
      <c r="S37" s="20" t="s">
        <v>314</v>
      </c>
      <c r="T37" s="21"/>
      <c r="U37" s="21"/>
      <c r="V37" s="21"/>
      <c r="W37" s="21"/>
      <c r="X37" s="21"/>
      <c r="Y37" s="22"/>
      <c r="AA37" s="20" t="s">
        <v>315</v>
      </c>
      <c r="AB37" s="21"/>
      <c r="AC37" s="21"/>
      <c r="AD37" s="21"/>
      <c r="AE37" s="22"/>
      <c r="AF37" s="11"/>
      <c r="AG37" s="11"/>
      <c r="AH37" s="11"/>
      <c r="AI37" s="11"/>
      <c r="AK37" s="20" t="s">
        <v>314</v>
      </c>
      <c r="AL37" s="21"/>
      <c r="AM37" s="21"/>
      <c r="AN37" s="21"/>
      <c r="AO37" s="21"/>
      <c r="AP37" s="21"/>
      <c r="AQ37" s="22"/>
      <c r="AS37" s="20" t="s">
        <v>315</v>
      </c>
      <c r="AT37" s="21"/>
      <c r="AU37" s="21"/>
      <c r="AV37" s="21"/>
      <c r="AW37" s="22"/>
      <c r="AX37" s="11"/>
      <c r="AY37" s="11"/>
      <c r="AZ37" s="11"/>
      <c r="BA37" s="11"/>
      <c r="BC37" s="20" t="s">
        <v>314</v>
      </c>
      <c r="BD37" s="21"/>
      <c r="BE37" s="21"/>
      <c r="BF37" s="21"/>
      <c r="BG37" s="21"/>
      <c r="BH37" s="21"/>
      <c r="BI37" s="22"/>
      <c r="BK37" s="20" t="s">
        <v>315</v>
      </c>
      <c r="BL37" s="21"/>
      <c r="BM37" s="21"/>
      <c r="BN37" s="21"/>
      <c r="BO37" s="22"/>
    </row>
    <row r="38" spans="1:71" x14ac:dyDescent="0.3">
      <c r="A38" s="3" t="s">
        <v>70</v>
      </c>
      <c r="B38" s="3"/>
      <c r="C38" s="3"/>
      <c r="D38" s="3"/>
      <c r="E38" s="3"/>
      <c r="F38" s="3"/>
      <c r="G38" s="3"/>
      <c r="I38" s="3" t="s">
        <v>70</v>
      </c>
      <c r="J38" s="3"/>
      <c r="K38" s="3"/>
      <c r="L38" s="3"/>
      <c r="M38" s="3"/>
      <c r="N38" s="3" t="s">
        <v>322</v>
      </c>
      <c r="O38" s="3" t="s">
        <v>323</v>
      </c>
      <c r="P38" s="3" t="s">
        <v>322</v>
      </c>
      <c r="Q38" s="3" t="s">
        <v>323</v>
      </c>
      <c r="S38" s="3" t="s">
        <v>71</v>
      </c>
      <c r="T38" s="3"/>
      <c r="U38" s="3"/>
      <c r="V38" s="3"/>
      <c r="W38" s="3"/>
      <c r="X38" s="3"/>
      <c r="Y38" s="3"/>
      <c r="AA38" s="3" t="s">
        <v>71</v>
      </c>
      <c r="AB38" s="3"/>
      <c r="AC38" s="3"/>
      <c r="AD38" s="3"/>
      <c r="AE38" s="3"/>
      <c r="AF38" s="3" t="s">
        <v>322</v>
      </c>
      <c r="AG38" s="3" t="s">
        <v>323</v>
      </c>
      <c r="AH38" s="3" t="s">
        <v>322</v>
      </c>
      <c r="AI38" s="3" t="s">
        <v>323</v>
      </c>
      <c r="AK38" s="3" t="s">
        <v>70</v>
      </c>
      <c r="AL38" s="3"/>
      <c r="AM38" s="3"/>
      <c r="AN38" s="3"/>
      <c r="AO38" s="3"/>
      <c r="AP38" s="3"/>
      <c r="AQ38" s="3"/>
      <c r="AS38" s="3" t="s">
        <v>70</v>
      </c>
      <c r="AT38" s="3"/>
      <c r="AU38" s="3"/>
      <c r="AV38" s="3"/>
      <c r="AW38" s="3"/>
      <c r="AX38" s="3" t="s">
        <v>322</v>
      </c>
      <c r="AY38" s="3" t="s">
        <v>323</v>
      </c>
      <c r="AZ38" s="3" t="s">
        <v>322</v>
      </c>
      <c r="BA38" s="3" t="s">
        <v>323</v>
      </c>
      <c r="BC38" s="3" t="s">
        <v>71</v>
      </c>
      <c r="BD38" s="3"/>
      <c r="BE38" s="3"/>
      <c r="BF38" s="3"/>
      <c r="BG38" s="3"/>
      <c r="BH38" s="3"/>
      <c r="BI38" s="3"/>
      <c r="BK38" s="3" t="s">
        <v>71</v>
      </c>
      <c r="BL38" s="3"/>
      <c r="BM38" s="3"/>
      <c r="BN38" s="3"/>
      <c r="BO38" s="3"/>
      <c r="BP38" s="3" t="s">
        <v>322</v>
      </c>
      <c r="BQ38" s="3" t="s">
        <v>323</v>
      </c>
      <c r="BR38" s="3" t="s">
        <v>322</v>
      </c>
      <c r="BS38" s="3" t="s">
        <v>323</v>
      </c>
    </row>
    <row r="39" spans="1:71" x14ac:dyDescent="0.3">
      <c r="A39" s="3" t="s">
        <v>2</v>
      </c>
      <c r="B39" s="3" t="s">
        <v>3</v>
      </c>
      <c r="C39" s="3" t="s">
        <v>4</v>
      </c>
      <c r="D39" s="3" t="s">
        <v>5</v>
      </c>
      <c r="E39" s="3" t="s">
        <v>6</v>
      </c>
      <c r="F39" s="3" t="s">
        <v>7</v>
      </c>
      <c r="G39" s="3" t="s">
        <v>8</v>
      </c>
      <c r="I39" s="3" t="s">
        <v>2</v>
      </c>
      <c r="J39" s="3" t="s">
        <v>6</v>
      </c>
      <c r="K39" s="3" t="s">
        <v>7</v>
      </c>
      <c r="L39" s="3" t="s">
        <v>8</v>
      </c>
      <c r="M39" s="3" t="s">
        <v>9</v>
      </c>
      <c r="N39" s="4" t="s">
        <v>320</v>
      </c>
      <c r="O39" s="4" t="s">
        <v>320</v>
      </c>
      <c r="P39" s="4" t="s">
        <v>321</v>
      </c>
      <c r="Q39" s="4" t="s">
        <v>321</v>
      </c>
      <c r="S39" s="3" t="s">
        <v>2</v>
      </c>
      <c r="T39" s="3" t="s">
        <v>3</v>
      </c>
      <c r="U39" s="3" t="s">
        <v>4</v>
      </c>
      <c r="V39" s="3" t="s">
        <v>5</v>
      </c>
      <c r="W39" s="3" t="s">
        <v>6</v>
      </c>
      <c r="X39" s="3" t="s">
        <v>7</v>
      </c>
      <c r="Y39" s="3" t="s">
        <v>8</v>
      </c>
      <c r="AA39" s="3" t="s">
        <v>2</v>
      </c>
      <c r="AB39" s="3" t="s">
        <v>6</v>
      </c>
      <c r="AC39" s="3" t="s">
        <v>7</v>
      </c>
      <c r="AD39" s="3" t="s">
        <v>8</v>
      </c>
      <c r="AE39" s="3" t="s">
        <v>9</v>
      </c>
      <c r="AF39" s="4" t="s">
        <v>320</v>
      </c>
      <c r="AG39" s="4" t="s">
        <v>320</v>
      </c>
      <c r="AH39" s="4" t="s">
        <v>321</v>
      </c>
      <c r="AI39" s="4" t="s">
        <v>321</v>
      </c>
      <c r="AK39" s="3" t="s">
        <v>2</v>
      </c>
      <c r="AL39" s="3" t="s">
        <v>3</v>
      </c>
      <c r="AM39" s="3" t="s">
        <v>4</v>
      </c>
      <c r="AN39" s="3" t="s">
        <v>5</v>
      </c>
      <c r="AO39" s="3" t="s">
        <v>6</v>
      </c>
      <c r="AP39" s="3" t="s">
        <v>7</v>
      </c>
      <c r="AQ39" s="3" t="s">
        <v>8</v>
      </c>
      <c r="AS39" s="3" t="s">
        <v>2</v>
      </c>
      <c r="AT39" s="3" t="s">
        <v>6</v>
      </c>
      <c r="AU39" s="3" t="s">
        <v>7</v>
      </c>
      <c r="AV39" s="3" t="s">
        <v>8</v>
      </c>
      <c r="AW39" s="3" t="s">
        <v>9</v>
      </c>
      <c r="AX39" s="4" t="s">
        <v>320</v>
      </c>
      <c r="AY39" s="4" t="s">
        <v>320</v>
      </c>
      <c r="AZ39" s="4" t="s">
        <v>321</v>
      </c>
      <c r="BA39" s="4" t="s">
        <v>321</v>
      </c>
      <c r="BC39" s="3" t="s">
        <v>2</v>
      </c>
      <c r="BD39" s="3" t="s">
        <v>3</v>
      </c>
      <c r="BE39" s="3" t="s">
        <v>4</v>
      </c>
      <c r="BF39" s="3" t="s">
        <v>5</v>
      </c>
      <c r="BG39" s="3" t="s">
        <v>6</v>
      </c>
      <c r="BH39" s="3" t="s">
        <v>7</v>
      </c>
      <c r="BI39" s="3" t="s">
        <v>8</v>
      </c>
      <c r="BK39" s="3" t="s">
        <v>2</v>
      </c>
      <c r="BL39" s="3" t="s">
        <v>6</v>
      </c>
      <c r="BM39" s="3" t="s">
        <v>7</v>
      </c>
      <c r="BN39" s="3" t="s">
        <v>8</v>
      </c>
      <c r="BO39" s="3" t="s">
        <v>9</v>
      </c>
      <c r="BP39" s="4" t="s">
        <v>320</v>
      </c>
      <c r="BQ39" s="4" t="s">
        <v>320</v>
      </c>
      <c r="BR39" s="4" t="s">
        <v>321</v>
      </c>
      <c r="BS39" s="4" t="s">
        <v>321</v>
      </c>
    </row>
    <row r="40" spans="1:71" x14ac:dyDescent="0.3">
      <c r="A40" s="3" t="s">
        <v>10</v>
      </c>
      <c r="B40" s="3">
        <v>0.9</v>
      </c>
      <c r="C40" s="3">
        <v>0.5</v>
      </c>
      <c r="D40" s="3">
        <v>0.6</v>
      </c>
      <c r="E40" s="3">
        <v>0.01</v>
      </c>
      <c r="F40" s="6">
        <v>469.01501500000001</v>
      </c>
      <c r="G40" s="3">
        <v>1.6E-2</v>
      </c>
      <c r="I40" s="3" t="s">
        <v>10</v>
      </c>
      <c r="J40" s="3">
        <v>0.01</v>
      </c>
      <c r="K40" s="6">
        <v>469.01501500000001</v>
      </c>
      <c r="L40" s="3">
        <v>2E-3</v>
      </c>
      <c r="M40" s="3">
        <f t="shared" ref="M40:M69" si="4">AVERAGE(E40,J40)</f>
        <v>0.01</v>
      </c>
      <c r="N40" s="3">
        <f>COUNT(F40,F43,F45:F47,F49:F51,F53:F56,F58:F59,F61,F65:F66)</f>
        <v>17</v>
      </c>
      <c r="O40" s="3">
        <f>COUNT(F41,F42,F44,F48,F52,F57,F60,F62:F64,F67:F69)</f>
        <v>13</v>
      </c>
      <c r="P40" s="3">
        <f>COUNT(K40:K42,K44,K47:K48,K52,K57,K60,K62:K64,K67:K69)</f>
        <v>15</v>
      </c>
      <c r="Q40" s="3">
        <f>COUNT(K43,K45:K46,K49:K51,K53:K56,K58:K59,K61,K65:K66)</f>
        <v>15</v>
      </c>
      <c r="S40" s="3" t="s">
        <v>10</v>
      </c>
      <c r="T40" s="3">
        <v>0.9</v>
      </c>
      <c r="U40" s="3">
        <v>0.5</v>
      </c>
      <c r="V40" s="3">
        <v>0.6</v>
      </c>
      <c r="W40" s="3">
        <v>0.01</v>
      </c>
      <c r="X40" s="6">
        <v>444.11608899999999</v>
      </c>
      <c r="Y40" s="3">
        <v>1.4999999999999999E-2</v>
      </c>
      <c r="AA40" s="3" t="s">
        <v>10</v>
      </c>
      <c r="AB40" s="3">
        <v>0.01</v>
      </c>
      <c r="AC40" s="6">
        <v>444.11608899999999</v>
      </c>
      <c r="AD40" s="3">
        <v>3.0000000000000001E-3</v>
      </c>
      <c r="AE40" s="3">
        <f t="shared" ref="AE40:AE69" si="5">AVERAGE(W40,AB40)</f>
        <v>0.01</v>
      </c>
      <c r="AF40" s="3">
        <f>COUNT(X40,X43,X45:X51,X53:X55,X57:X58,X61:X62,X69)</f>
        <v>17</v>
      </c>
      <c r="AG40" s="3">
        <f>COUNT(X41:X42,X44,X52,X56,X59:X60,X63:X68)</f>
        <v>13</v>
      </c>
      <c r="AH40" s="3">
        <f>COUNT(AC40:AC42,AC44,AC48,AC52,AC54,AC56,AC59:AC60,AC63:AC68)</f>
        <v>16</v>
      </c>
      <c r="AI40" s="3">
        <f>COUNT(AC43,AC45:AC47,AC49:AC51,AC53,AC55,AC57:AC58,AC61:AC62,AC69)</f>
        <v>14</v>
      </c>
      <c r="AK40" s="3" t="s">
        <v>11</v>
      </c>
      <c r="AL40" s="3">
        <v>0.9</v>
      </c>
      <c r="AM40" s="3">
        <v>0.5</v>
      </c>
      <c r="AN40" s="3">
        <v>0.6</v>
      </c>
      <c r="AO40" s="3">
        <v>0.01</v>
      </c>
      <c r="AP40" s="6">
        <v>714.58148200000005</v>
      </c>
      <c r="AQ40" s="3">
        <v>1.2999999999999999E-2</v>
      </c>
      <c r="AS40" s="3" t="s">
        <v>11</v>
      </c>
      <c r="AT40" s="3">
        <v>0.01</v>
      </c>
      <c r="AU40" s="6">
        <v>714.58148200000005</v>
      </c>
      <c r="AV40" s="3">
        <v>3.0000000000000001E-3</v>
      </c>
      <c r="AW40" s="3">
        <f t="shared" ref="AW40:AW69" si="6">AVERAGE(AO40,AT40)</f>
        <v>0.01</v>
      </c>
      <c r="AX40" s="3">
        <f>COUNT(AP40,AP44:AP50,AP54,AP56:AP57,AP59,AP62:AP65,AP68)</f>
        <v>17</v>
      </c>
      <c r="AY40" s="3">
        <f>COUNT(AP41:AP43,AP51:AP53,AP55,AP58,AP60:AP61,AP66:AP67,AP69)</f>
        <v>13</v>
      </c>
      <c r="AZ40" s="3">
        <f>COUNT(AU40:AU43,AU51:AU53,AU55,AU58,AU60:AU61,AU66:AU67,AU69)</f>
        <v>14</v>
      </c>
      <c r="BA40" s="3">
        <f>COUNT(AU44:AU50,AU54,AU56:AU57,AU59,AU62:AU65,AU68)</f>
        <v>16</v>
      </c>
      <c r="BC40" s="3" t="s">
        <v>11</v>
      </c>
      <c r="BD40" s="3">
        <v>0.9</v>
      </c>
      <c r="BE40" s="3">
        <v>0.5</v>
      </c>
      <c r="BF40" s="3">
        <v>0.6</v>
      </c>
      <c r="BG40" s="3">
        <v>0.01</v>
      </c>
      <c r="BH40" s="6">
        <v>665.46801800000003</v>
      </c>
      <c r="BI40" s="3">
        <v>2.1999999999999999E-2</v>
      </c>
      <c r="BK40" s="3" t="s">
        <v>11</v>
      </c>
      <c r="BL40" s="3">
        <v>0.01</v>
      </c>
      <c r="BM40" s="6">
        <v>665.46801800000003</v>
      </c>
      <c r="BN40" s="3">
        <v>4.0000000000000001E-3</v>
      </c>
      <c r="BO40" s="3">
        <f t="shared" ref="BO40:BO69" si="7">AVERAGE(BG40,BL40)</f>
        <v>0.01</v>
      </c>
      <c r="BP40" s="3">
        <f>COUNT(BH40:BH42,BH46:BH47,BH49:BH52,BH54,BH56:BH58,BH60:BH61,BH63,BH65,BH67:BH69)</f>
        <v>20</v>
      </c>
      <c r="BQ40" s="3">
        <f>30-BP40</f>
        <v>10</v>
      </c>
      <c r="BR40" s="3">
        <f>COUNT(BM40,BM43:BM45,BM48,BM53,BM55,BM59:BM60,BM62,BM64,BM66)</f>
        <v>12</v>
      </c>
      <c r="BS40" s="3">
        <f>30-BR40</f>
        <v>18</v>
      </c>
    </row>
    <row r="41" spans="1:71" x14ac:dyDescent="0.3">
      <c r="A41" s="3" t="s">
        <v>12</v>
      </c>
      <c r="B41" s="3">
        <v>0.9</v>
      </c>
      <c r="C41" s="3">
        <v>0.5</v>
      </c>
      <c r="D41" s="3">
        <v>0.6</v>
      </c>
      <c r="E41" s="3">
        <v>0.67</v>
      </c>
      <c r="F41" s="7">
        <v>463.97686800000002</v>
      </c>
      <c r="G41" s="3">
        <v>1.2999999999999999E-2</v>
      </c>
      <c r="I41" s="3" t="s">
        <v>12</v>
      </c>
      <c r="J41" s="3">
        <v>0.35</v>
      </c>
      <c r="K41" s="6">
        <v>453.72763099999997</v>
      </c>
      <c r="L41" s="3">
        <v>1.2999999999999999E-2</v>
      </c>
      <c r="M41" s="3">
        <f t="shared" si="4"/>
        <v>0.51</v>
      </c>
      <c r="N41" s="5"/>
      <c r="O41" s="5"/>
      <c r="P41" s="5"/>
      <c r="Q41" s="5"/>
      <c r="S41" s="3" t="s">
        <v>12</v>
      </c>
      <c r="T41" s="3">
        <v>0.9</v>
      </c>
      <c r="U41" s="3">
        <v>0.5</v>
      </c>
      <c r="V41" s="3">
        <v>0.6</v>
      </c>
      <c r="W41" s="3">
        <v>0.22</v>
      </c>
      <c r="X41" s="7">
        <v>417.50387599999999</v>
      </c>
      <c r="Y41" s="3">
        <v>1.7999999999999999E-2</v>
      </c>
      <c r="AA41" s="3" t="s">
        <v>12</v>
      </c>
      <c r="AB41" s="3">
        <v>0.34</v>
      </c>
      <c r="AC41" s="6">
        <v>414.44003300000003</v>
      </c>
      <c r="AD41" s="3">
        <v>1E-3</v>
      </c>
      <c r="AE41" s="3">
        <f t="shared" si="5"/>
        <v>0.28000000000000003</v>
      </c>
      <c r="AF41" s="5"/>
      <c r="AG41" s="5"/>
      <c r="AH41" s="5"/>
      <c r="AI41" s="5"/>
      <c r="AK41" s="3" t="s">
        <v>13</v>
      </c>
      <c r="AL41" s="3">
        <v>0.9</v>
      </c>
      <c r="AM41" s="3">
        <v>0.5</v>
      </c>
      <c r="AN41" s="3">
        <v>0.6</v>
      </c>
      <c r="AO41" s="3">
        <v>0.68</v>
      </c>
      <c r="AP41" s="7">
        <v>770.78802499999995</v>
      </c>
      <c r="AQ41" s="3">
        <v>1.7000000000000001E-2</v>
      </c>
      <c r="AS41" s="3" t="s">
        <v>13</v>
      </c>
      <c r="AT41" s="3">
        <v>0.12</v>
      </c>
      <c r="AU41" s="6">
        <v>625.87512200000003</v>
      </c>
      <c r="AV41" s="3">
        <v>1E-3</v>
      </c>
      <c r="AW41" s="3">
        <f t="shared" si="6"/>
        <v>0.4</v>
      </c>
      <c r="AX41" s="5"/>
      <c r="AY41" s="5"/>
      <c r="AZ41" s="5"/>
      <c r="BA41" s="5"/>
      <c r="BC41" s="3" t="s">
        <v>13</v>
      </c>
      <c r="BD41" s="3">
        <v>0.9</v>
      </c>
      <c r="BE41" s="3">
        <v>0.5</v>
      </c>
      <c r="BF41" s="3">
        <v>0.6</v>
      </c>
      <c r="BG41" s="3">
        <v>0.06</v>
      </c>
      <c r="BH41" s="6">
        <v>577.810608</v>
      </c>
      <c r="BI41" s="3">
        <v>1.4999999999999999E-2</v>
      </c>
      <c r="BK41" s="3" t="s">
        <v>13</v>
      </c>
      <c r="BL41" s="3">
        <v>0.01</v>
      </c>
      <c r="BM41" s="7">
        <v>607.74829099999999</v>
      </c>
      <c r="BN41" s="3">
        <v>0</v>
      </c>
      <c r="BO41" s="3">
        <f t="shared" si="7"/>
        <v>3.4999999999999996E-2</v>
      </c>
    </row>
    <row r="42" spans="1:71" x14ac:dyDescent="0.3">
      <c r="A42" s="3" t="s">
        <v>14</v>
      </c>
      <c r="B42" s="3">
        <v>0.9</v>
      </c>
      <c r="C42" s="3">
        <v>0.5</v>
      </c>
      <c r="D42" s="3">
        <v>0.6</v>
      </c>
      <c r="E42" s="3">
        <v>0.01</v>
      </c>
      <c r="F42" s="7">
        <v>407.78213499999998</v>
      </c>
      <c r="G42" s="3">
        <v>1.4999999999999999E-2</v>
      </c>
      <c r="I42" s="3" t="s">
        <v>14</v>
      </c>
      <c r="J42" s="3">
        <v>0.19</v>
      </c>
      <c r="K42" s="6">
        <v>368.80773900000003</v>
      </c>
      <c r="L42" s="3">
        <v>0</v>
      </c>
      <c r="M42" s="3">
        <f t="shared" si="4"/>
        <v>0.1</v>
      </c>
      <c r="N42" s="5"/>
      <c r="O42" s="5"/>
      <c r="P42" s="5"/>
      <c r="Q42" s="5"/>
      <c r="S42" s="3" t="s">
        <v>14</v>
      </c>
      <c r="T42" s="3">
        <v>0.9</v>
      </c>
      <c r="U42" s="3">
        <v>0.5</v>
      </c>
      <c r="V42" s="3">
        <v>0.6</v>
      </c>
      <c r="W42" s="3">
        <v>0.54</v>
      </c>
      <c r="X42" s="7">
        <v>354.68279999999999</v>
      </c>
      <c r="Y42" s="3">
        <v>2.1999999999999999E-2</v>
      </c>
      <c r="AA42" s="3" t="s">
        <v>14</v>
      </c>
      <c r="AB42" s="3">
        <v>0.47</v>
      </c>
      <c r="AC42" s="6">
        <v>353.65548699999999</v>
      </c>
      <c r="AD42" s="3">
        <v>5.0000000000000001E-3</v>
      </c>
      <c r="AE42" s="3">
        <f t="shared" si="5"/>
        <v>0.505</v>
      </c>
      <c r="AF42" s="5"/>
      <c r="AG42" s="5"/>
      <c r="AH42" s="5"/>
      <c r="AI42" s="5"/>
      <c r="AK42" s="3" t="s">
        <v>15</v>
      </c>
      <c r="AL42" s="3">
        <v>0.9</v>
      </c>
      <c r="AM42" s="3">
        <v>0.5</v>
      </c>
      <c r="AN42" s="3">
        <v>0.6</v>
      </c>
      <c r="AO42" s="3">
        <v>0.57999999999999996</v>
      </c>
      <c r="AP42" s="7">
        <v>827.30084199999999</v>
      </c>
      <c r="AQ42" s="3">
        <v>0.02</v>
      </c>
      <c r="AS42" s="3" t="s">
        <v>15</v>
      </c>
      <c r="AT42" s="3">
        <v>0.27</v>
      </c>
      <c r="AU42" s="6">
        <v>701.47222899999997</v>
      </c>
      <c r="AV42" s="3">
        <v>2E-3</v>
      </c>
      <c r="AW42" s="3">
        <f t="shared" si="6"/>
        <v>0.42499999999999999</v>
      </c>
      <c r="AX42" s="5"/>
      <c r="AY42" s="5"/>
      <c r="AZ42" s="5"/>
      <c r="BA42" s="5"/>
      <c r="BC42" s="3" t="s">
        <v>15</v>
      </c>
      <c r="BD42" s="3">
        <v>0.9</v>
      </c>
      <c r="BE42" s="3">
        <v>0.5</v>
      </c>
      <c r="BF42" s="3">
        <v>0.6</v>
      </c>
      <c r="BG42" s="3">
        <v>0.04</v>
      </c>
      <c r="BH42" s="6">
        <v>602.979736</v>
      </c>
      <c r="BI42" s="3">
        <v>1.4E-2</v>
      </c>
      <c r="BK42" s="3" t="s">
        <v>15</v>
      </c>
      <c r="BL42" s="3">
        <v>0.32</v>
      </c>
      <c r="BM42" s="7">
        <v>696.01092500000004</v>
      </c>
      <c r="BN42" s="3">
        <v>1E-3</v>
      </c>
      <c r="BO42" s="3">
        <f t="shared" si="7"/>
        <v>0.18</v>
      </c>
    </row>
    <row r="43" spans="1:71" x14ac:dyDescent="0.3">
      <c r="A43" s="3" t="s">
        <v>16</v>
      </c>
      <c r="B43" s="3">
        <v>0.9</v>
      </c>
      <c r="C43" s="3">
        <v>0.5</v>
      </c>
      <c r="D43" s="3">
        <v>0.6</v>
      </c>
      <c r="E43" s="3">
        <v>0.06</v>
      </c>
      <c r="F43" s="6">
        <v>398.10732999999999</v>
      </c>
      <c r="G43" s="3">
        <v>0.01</v>
      </c>
      <c r="I43" s="3" t="s">
        <v>16</v>
      </c>
      <c r="J43" s="3">
        <v>0.6</v>
      </c>
      <c r="K43" s="7">
        <v>409.77117900000002</v>
      </c>
      <c r="L43" s="3">
        <v>0</v>
      </c>
      <c r="M43" s="3">
        <f t="shared" si="4"/>
        <v>0.32999999999999996</v>
      </c>
      <c r="N43" s="5"/>
      <c r="O43" s="5"/>
      <c r="P43" s="5"/>
      <c r="Q43" s="5"/>
      <c r="S43" s="3" t="s">
        <v>16</v>
      </c>
      <c r="T43" s="3">
        <v>0.9</v>
      </c>
      <c r="U43" s="3">
        <v>0.5</v>
      </c>
      <c r="V43" s="3">
        <v>0.6</v>
      </c>
      <c r="W43" s="3">
        <v>0.41</v>
      </c>
      <c r="X43" s="6">
        <v>392.34265099999999</v>
      </c>
      <c r="Y43" s="3">
        <v>1.2E-2</v>
      </c>
      <c r="AA43" s="3" t="s">
        <v>16</v>
      </c>
      <c r="AB43" s="3">
        <v>0.69</v>
      </c>
      <c r="AC43" s="7">
        <v>400.05706800000002</v>
      </c>
      <c r="AD43" s="3">
        <v>8.9999999999999993E-3</v>
      </c>
      <c r="AE43" s="3">
        <f t="shared" si="5"/>
        <v>0.54999999999999993</v>
      </c>
      <c r="AF43" s="5"/>
      <c r="AG43" s="5"/>
      <c r="AH43" s="5"/>
      <c r="AI43" s="5"/>
      <c r="AK43" s="3" t="s">
        <v>17</v>
      </c>
      <c r="AL43" s="3">
        <v>0.9</v>
      </c>
      <c r="AM43" s="3">
        <v>0.5</v>
      </c>
      <c r="AN43" s="3">
        <v>0.6</v>
      </c>
      <c r="AO43" s="3">
        <v>0.93</v>
      </c>
      <c r="AP43" s="7">
        <v>886.31329300000004</v>
      </c>
      <c r="AQ43" s="3">
        <v>1.4E-2</v>
      </c>
      <c r="AS43" s="3" t="s">
        <v>17</v>
      </c>
      <c r="AT43" s="3">
        <v>0.6</v>
      </c>
      <c r="AU43" s="6">
        <v>805.22772199999997</v>
      </c>
      <c r="AV43" s="3">
        <v>7.0000000000000001E-3</v>
      </c>
      <c r="AW43" s="3">
        <f t="shared" si="6"/>
        <v>0.76500000000000001</v>
      </c>
      <c r="AX43" s="5"/>
      <c r="AY43" s="5"/>
      <c r="AZ43" s="5"/>
      <c r="BA43" s="5"/>
      <c r="BC43" s="3" t="s">
        <v>17</v>
      </c>
      <c r="BD43" s="3">
        <v>0.9</v>
      </c>
      <c r="BE43" s="3">
        <v>0.5</v>
      </c>
      <c r="BF43" s="3">
        <v>0.6</v>
      </c>
      <c r="BG43" s="3">
        <v>0.76</v>
      </c>
      <c r="BH43" s="7">
        <v>831.582581</v>
      </c>
      <c r="BI43" s="3">
        <v>1.4E-2</v>
      </c>
      <c r="BK43" s="3" t="s">
        <v>17</v>
      </c>
      <c r="BL43" s="3">
        <v>0.01</v>
      </c>
      <c r="BM43" s="6">
        <v>640.24505599999998</v>
      </c>
      <c r="BN43" s="3">
        <v>3.0000000000000001E-3</v>
      </c>
      <c r="BO43" s="3">
        <f t="shared" si="7"/>
        <v>0.38500000000000001</v>
      </c>
    </row>
    <row r="44" spans="1:71" x14ac:dyDescent="0.3">
      <c r="A44" s="3" t="s">
        <v>18</v>
      </c>
      <c r="B44" s="3">
        <v>0.9</v>
      </c>
      <c r="C44" s="3">
        <v>0.5</v>
      </c>
      <c r="D44" s="3">
        <v>0.6</v>
      </c>
      <c r="E44" s="3">
        <v>0.74</v>
      </c>
      <c r="F44" s="7">
        <v>365.83923299999998</v>
      </c>
      <c r="G44" s="3">
        <v>1.0999999999999999E-2</v>
      </c>
      <c r="I44" s="3" t="s">
        <v>18</v>
      </c>
      <c r="J44" s="3">
        <v>0.59</v>
      </c>
      <c r="K44" s="6">
        <v>358.286835</v>
      </c>
      <c r="L44" s="3">
        <v>5.0000000000000001E-3</v>
      </c>
      <c r="M44" s="3">
        <f t="shared" si="4"/>
        <v>0.66500000000000004</v>
      </c>
      <c r="N44" s="5"/>
      <c r="O44" s="5"/>
      <c r="P44" s="5"/>
      <c r="Q44" s="5"/>
      <c r="S44" s="3" t="s">
        <v>18</v>
      </c>
      <c r="T44" s="3">
        <v>0.9</v>
      </c>
      <c r="U44" s="3">
        <v>0.5</v>
      </c>
      <c r="V44" s="3">
        <v>0.6</v>
      </c>
      <c r="W44" s="3">
        <v>0.96</v>
      </c>
      <c r="X44" s="7">
        <v>354.216339</v>
      </c>
      <c r="Y44" s="3">
        <v>0.01</v>
      </c>
      <c r="AA44" s="3" t="s">
        <v>18</v>
      </c>
      <c r="AB44" s="3">
        <v>0.38</v>
      </c>
      <c r="AC44" s="6">
        <v>335.51470899999998</v>
      </c>
      <c r="AD44" s="3">
        <v>1.2999999999999999E-2</v>
      </c>
      <c r="AE44" s="3">
        <f t="shared" si="5"/>
        <v>0.66999999999999993</v>
      </c>
      <c r="AF44" s="5"/>
      <c r="AG44" s="5"/>
      <c r="AH44" s="5"/>
      <c r="AI44" s="5"/>
      <c r="AK44" s="3" t="s">
        <v>19</v>
      </c>
      <c r="AL44" s="3">
        <v>0.9</v>
      </c>
      <c r="AM44" s="3">
        <v>0.5</v>
      </c>
      <c r="AN44" s="3">
        <v>0.6</v>
      </c>
      <c r="AO44" s="3">
        <v>0.14000000000000001</v>
      </c>
      <c r="AP44" s="6">
        <v>697.42907700000001</v>
      </c>
      <c r="AQ44" s="3">
        <v>1.7000000000000001E-2</v>
      </c>
      <c r="AS44" s="3" t="s">
        <v>19</v>
      </c>
      <c r="AT44" s="3">
        <v>0.39</v>
      </c>
      <c r="AU44" s="7">
        <v>773.81683299999997</v>
      </c>
      <c r="AV44" s="3">
        <v>3.0000000000000001E-3</v>
      </c>
      <c r="AW44" s="3">
        <f t="shared" si="6"/>
        <v>0.26500000000000001</v>
      </c>
      <c r="AX44" s="5"/>
      <c r="AY44" s="5"/>
      <c r="AZ44" s="5"/>
      <c r="BA44" s="5"/>
      <c r="BC44" s="3" t="s">
        <v>19</v>
      </c>
      <c r="BD44" s="3">
        <v>0.9</v>
      </c>
      <c r="BE44" s="3">
        <v>0.5</v>
      </c>
      <c r="BF44" s="3">
        <v>0.6</v>
      </c>
      <c r="BG44" s="3">
        <v>0.56999999999999995</v>
      </c>
      <c r="BH44" s="7">
        <v>801.44714399999998</v>
      </c>
      <c r="BI44" s="3">
        <v>1.4999999999999999E-2</v>
      </c>
      <c r="BK44" s="3" t="s">
        <v>19</v>
      </c>
      <c r="BL44" s="3">
        <v>0.11</v>
      </c>
      <c r="BM44" s="6">
        <v>667.43621800000005</v>
      </c>
      <c r="BN44" s="3">
        <v>1E-3</v>
      </c>
      <c r="BO44" s="3">
        <f t="shared" si="7"/>
        <v>0.33999999999999997</v>
      </c>
    </row>
    <row r="45" spans="1:71" x14ac:dyDescent="0.3">
      <c r="A45" s="3" t="s">
        <v>20</v>
      </c>
      <c r="B45" s="3">
        <v>0.9</v>
      </c>
      <c r="C45" s="3">
        <v>0.5</v>
      </c>
      <c r="D45" s="3">
        <v>0.6</v>
      </c>
      <c r="E45" s="3">
        <v>0.71</v>
      </c>
      <c r="F45" s="6">
        <v>416.73880000000003</v>
      </c>
      <c r="G45" s="3">
        <v>1.4E-2</v>
      </c>
      <c r="I45" s="3" t="s">
        <v>20</v>
      </c>
      <c r="J45" s="3">
        <v>0.87</v>
      </c>
      <c r="K45" s="7">
        <v>432.16851800000001</v>
      </c>
      <c r="L45" s="3">
        <v>3.0000000000000001E-3</v>
      </c>
      <c r="M45" s="3">
        <f t="shared" si="4"/>
        <v>0.79</v>
      </c>
      <c r="N45" s="5"/>
      <c r="O45" s="5"/>
      <c r="P45" s="5"/>
      <c r="Q45" s="5"/>
      <c r="S45" s="3" t="s">
        <v>20</v>
      </c>
      <c r="T45" s="3">
        <v>0.9</v>
      </c>
      <c r="U45" s="3">
        <v>0.5</v>
      </c>
      <c r="V45" s="3">
        <v>0.6</v>
      </c>
      <c r="W45" s="3">
        <v>0.43</v>
      </c>
      <c r="X45" s="6">
        <v>401.08624300000002</v>
      </c>
      <c r="Y45" s="3">
        <v>1.7999999999999999E-2</v>
      </c>
      <c r="AA45" s="3" t="s">
        <v>20</v>
      </c>
      <c r="AB45" s="3">
        <v>0.92</v>
      </c>
      <c r="AC45" s="7">
        <v>411.03692599999999</v>
      </c>
      <c r="AD45" s="3">
        <v>8.9999999999999993E-3</v>
      </c>
      <c r="AE45" s="3">
        <f t="shared" si="5"/>
        <v>0.67500000000000004</v>
      </c>
      <c r="AF45" s="5"/>
      <c r="AG45" s="5"/>
      <c r="AH45" s="5"/>
      <c r="AI45" s="5"/>
      <c r="AK45" s="3" t="s">
        <v>21</v>
      </c>
      <c r="AL45" s="3">
        <v>0.9</v>
      </c>
      <c r="AM45" s="3">
        <v>0.5</v>
      </c>
      <c r="AN45" s="3">
        <v>0.6</v>
      </c>
      <c r="AO45" s="3">
        <v>0.01</v>
      </c>
      <c r="AP45" s="6">
        <v>668.41412400000002</v>
      </c>
      <c r="AQ45" s="3">
        <v>1.4E-2</v>
      </c>
      <c r="AS45" s="3" t="s">
        <v>21</v>
      </c>
      <c r="AT45" s="3">
        <v>0.68</v>
      </c>
      <c r="AU45" s="7">
        <v>884.40850799999998</v>
      </c>
      <c r="AV45" s="3">
        <v>1E-3</v>
      </c>
      <c r="AW45" s="3">
        <f t="shared" si="6"/>
        <v>0.34500000000000003</v>
      </c>
      <c r="AX45" s="5"/>
      <c r="AY45" s="5"/>
      <c r="AZ45" s="5"/>
      <c r="BA45" s="5"/>
      <c r="BC45" s="3" t="s">
        <v>21</v>
      </c>
      <c r="BD45" s="3">
        <v>0.9</v>
      </c>
      <c r="BE45" s="3">
        <v>0.5</v>
      </c>
      <c r="BF45" s="3">
        <v>0.6</v>
      </c>
      <c r="BG45" s="3">
        <v>0.16</v>
      </c>
      <c r="BH45" s="7">
        <v>663.37573199999997</v>
      </c>
      <c r="BI45" s="3">
        <v>1.0999999999999999E-2</v>
      </c>
      <c r="BK45" s="3" t="s">
        <v>21</v>
      </c>
      <c r="BL45" s="3">
        <v>0.11</v>
      </c>
      <c r="BM45" s="6">
        <v>647.89855999999997</v>
      </c>
      <c r="BN45" s="3">
        <v>2E-3</v>
      </c>
      <c r="BO45" s="3">
        <f t="shared" si="7"/>
        <v>0.13500000000000001</v>
      </c>
    </row>
    <row r="46" spans="1:71" x14ac:dyDescent="0.3">
      <c r="A46" s="3" t="s">
        <v>22</v>
      </c>
      <c r="B46" s="3">
        <v>0.9</v>
      </c>
      <c r="C46" s="3">
        <v>0.5</v>
      </c>
      <c r="D46" s="3">
        <v>0.6</v>
      </c>
      <c r="E46" s="3">
        <v>0.02</v>
      </c>
      <c r="F46" s="6">
        <v>392.16110200000003</v>
      </c>
      <c r="G46" s="3">
        <v>1.9E-2</v>
      </c>
      <c r="I46" s="3" t="s">
        <v>22</v>
      </c>
      <c r="J46" s="3">
        <v>0.47</v>
      </c>
      <c r="K46" s="7">
        <v>393.58596799999998</v>
      </c>
      <c r="L46" s="3">
        <v>1E-3</v>
      </c>
      <c r="M46" s="3">
        <f t="shared" si="4"/>
        <v>0.245</v>
      </c>
      <c r="N46" s="5"/>
      <c r="O46" s="5"/>
      <c r="P46" s="5"/>
      <c r="Q46" s="5"/>
      <c r="S46" s="3" t="s">
        <v>22</v>
      </c>
      <c r="T46" s="3">
        <v>0.9</v>
      </c>
      <c r="U46" s="3">
        <v>0.5</v>
      </c>
      <c r="V46" s="3">
        <v>0.6</v>
      </c>
      <c r="W46" s="3">
        <v>0.98</v>
      </c>
      <c r="X46" s="6">
        <v>390.95031699999998</v>
      </c>
      <c r="Y46" s="3">
        <v>1.0999999999999999E-2</v>
      </c>
      <c r="AA46" s="3" t="s">
        <v>22</v>
      </c>
      <c r="AB46" s="3">
        <v>0.88</v>
      </c>
      <c r="AC46" s="7">
        <v>394.04083300000002</v>
      </c>
      <c r="AD46" s="3">
        <v>4.0000000000000001E-3</v>
      </c>
      <c r="AE46" s="3">
        <f t="shared" si="5"/>
        <v>0.92999999999999994</v>
      </c>
      <c r="AF46" s="5"/>
      <c r="AG46" s="5"/>
      <c r="AH46" s="5"/>
      <c r="AI46" s="5"/>
      <c r="AK46" s="3" t="s">
        <v>23</v>
      </c>
      <c r="AL46" s="3">
        <v>0.9</v>
      </c>
      <c r="AM46" s="3">
        <v>0.5</v>
      </c>
      <c r="AN46" s="3">
        <v>0.6</v>
      </c>
      <c r="AO46" s="3">
        <v>0.33</v>
      </c>
      <c r="AP46" s="6">
        <v>745.76147500000002</v>
      </c>
      <c r="AQ46" s="3">
        <v>2.7E-2</v>
      </c>
      <c r="AS46" s="3" t="s">
        <v>23</v>
      </c>
      <c r="AT46" s="3">
        <v>0.56999999999999995</v>
      </c>
      <c r="AU46" s="7">
        <v>858.41516100000001</v>
      </c>
      <c r="AV46" s="3">
        <v>1E-3</v>
      </c>
      <c r="AW46" s="3">
        <f t="shared" si="6"/>
        <v>0.44999999999999996</v>
      </c>
      <c r="AX46" s="5"/>
      <c r="AY46" s="5"/>
      <c r="AZ46" s="5"/>
      <c r="BA46" s="5"/>
      <c r="BC46" s="3" t="s">
        <v>23</v>
      </c>
      <c r="BD46" s="3">
        <v>0.9</v>
      </c>
      <c r="BE46" s="3">
        <v>0.5</v>
      </c>
      <c r="BF46" s="3">
        <v>0.6</v>
      </c>
      <c r="BG46" s="3">
        <v>0.18</v>
      </c>
      <c r="BH46" s="6">
        <v>677.18414299999995</v>
      </c>
      <c r="BI46" s="3">
        <v>1.9E-2</v>
      </c>
      <c r="BK46" s="3" t="s">
        <v>23</v>
      </c>
      <c r="BL46" s="3">
        <v>0.3</v>
      </c>
      <c r="BM46" s="7">
        <v>705.42327899999998</v>
      </c>
      <c r="BN46" s="3">
        <v>2E-3</v>
      </c>
      <c r="BO46" s="3">
        <f t="shared" si="7"/>
        <v>0.24</v>
      </c>
    </row>
    <row r="47" spans="1:71" x14ac:dyDescent="0.3">
      <c r="A47" s="3" t="s">
        <v>24</v>
      </c>
      <c r="B47" s="3">
        <v>0.9</v>
      </c>
      <c r="C47" s="3">
        <v>0.5</v>
      </c>
      <c r="D47" s="3">
        <v>0.6</v>
      </c>
      <c r="E47" s="3">
        <v>0.41</v>
      </c>
      <c r="F47" s="6">
        <v>466.05148300000002</v>
      </c>
      <c r="G47" s="3">
        <v>1.4E-2</v>
      </c>
      <c r="I47" s="3" t="s">
        <v>24</v>
      </c>
      <c r="J47" s="3">
        <v>0.47</v>
      </c>
      <c r="K47" s="6">
        <v>466.05148300000002</v>
      </c>
      <c r="L47" s="3">
        <v>0</v>
      </c>
      <c r="M47" s="3">
        <f t="shared" si="4"/>
        <v>0.43999999999999995</v>
      </c>
      <c r="N47" s="5"/>
      <c r="O47" s="5"/>
      <c r="P47" s="5"/>
      <c r="Q47" s="5"/>
      <c r="S47" s="3" t="s">
        <v>24</v>
      </c>
      <c r="T47" s="3">
        <v>0.9</v>
      </c>
      <c r="U47" s="3">
        <v>0.5</v>
      </c>
      <c r="V47" s="3">
        <v>0.6</v>
      </c>
      <c r="W47" s="3">
        <v>7.0000000000000007E-2</v>
      </c>
      <c r="X47" s="6">
        <v>442.87179600000002</v>
      </c>
      <c r="Y47" s="3">
        <v>1.4999999999999999E-2</v>
      </c>
      <c r="AA47" s="3" t="s">
        <v>24</v>
      </c>
      <c r="AB47" s="3">
        <v>0.91</v>
      </c>
      <c r="AC47" s="7">
        <v>461.85595699999999</v>
      </c>
      <c r="AD47" s="3">
        <v>3.0000000000000001E-3</v>
      </c>
      <c r="AE47" s="3">
        <f t="shared" si="5"/>
        <v>0.49</v>
      </c>
      <c r="AF47" s="5"/>
      <c r="AG47" s="5"/>
      <c r="AH47" s="5"/>
      <c r="AI47" s="5"/>
      <c r="AK47" s="3" t="s">
        <v>25</v>
      </c>
      <c r="AL47" s="3">
        <v>0.9</v>
      </c>
      <c r="AM47" s="3">
        <v>0.5</v>
      </c>
      <c r="AN47" s="3">
        <v>0.6</v>
      </c>
      <c r="AO47" s="3">
        <v>0.35</v>
      </c>
      <c r="AP47" s="6">
        <v>768.32745399999999</v>
      </c>
      <c r="AQ47" s="3">
        <v>0.01</v>
      </c>
      <c r="AS47" s="3" t="s">
        <v>25</v>
      </c>
      <c r="AT47" s="3">
        <v>0.54</v>
      </c>
      <c r="AU47" s="7">
        <v>789.115906</v>
      </c>
      <c r="AV47" s="3">
        <v>4.0000000000000001E-3</v>
      </c>
      <c r="AW47" s="3">
        <f t="shared" si="6"/>
        <v>0.44500000000000001</v>
      </c>
      <c r="AX47" s="5"/>
      <c r="AY47" s="5"/>
      <c r="AZ47" s="5"/>
      <c r="BA47" s="5"/>
      <c r="BC47" s="3" t="s">
        <v>25</v>
      </c>
      <c r="BD47" s="3">
        <v>0.9</v>
      </c>
      <c r="BE47" s="3">
        <v>0.5</v>
      </c>
      <c r="BF47" s="3">
        <v>0.6</v>
      </c>
      <c r="BG47" s="3">
        <v>0.62</v>
      </c>
      <c r="BH47" s="6">
        <v>814.37048300000004</v>
      </c>
      <c r="BI47" s="3">
        <v>1.7999999999999999E-2</v>
      </c>
      <c r="BK47" s="3" t="s">
        <v>25</v>
      </c>
      <c r="BL47" s="3">
        <v>0.59</v>
      </c>
      <c r="BM47" s="7">
        <v>821.06701699999996</v>
      </c>
      <c r="BN47" s="3">
        <v>1E-3</v>
      </c>
      <c r="BO47" s="3">
        <f t="shared" si="7"/>
        <v>0.60499999999999998</v>
      </c>
    </row>
    <row r="48" spans="1:71" x14ac:dyDescent="0.3">
      <c r="A48" s="3" t="s">
        <v>26</v>
      </c>
      <c r="B48" s="3">
        <v>0.9</v>
      </c>
      <c r="C48" s="3">
        <v>0.5</v>
      </c>
      <c r="D48" s="3">
        <v>0.6</v>
      </c>
      <c r="E48" s="3">
        <v>0.55000000000000004</v>
      </c>
      <c r="F48" s="7">
        <v>429.30593900000002</v>
      </c>
      <c r="G48" s="3">
        <v>1.2E-2</v>
      </c>
      <c r="I48" s="3" t="s">
        <v>26</v>
      </c>
      <c r="J48" s="3">
        <v>0.12</v>
      </c>
      <c r="K48" s="6">
        <v>420.60867300000001</v>
      </c>
      <c r="L48" s="3">
        <v>0</v>
      </c>
      <c r="M48" s="3">
        <f t="shared" si="4"/>
        <v>0.33500000000000002</v>
      </c>
      <c r="N48" s="5"/>
      <c r="O48" s="5"/>
      <c r="P48" s="5"/>
      <c r="Q48" s="5"/>
      <c r="S48" s="3" t="s">
        <v>26</v>
      </c>
      <c r="T48" s="3">
        <v>0.9</v>
      </c>
      <c r="U48" s="3">
        <v>0.5</v>
      </c>
      <c r="V48" s="3">
        <v>0.6</v>
      </c>
      <c r="W48" s="3">
        <v>0.46</v>
      </c>
      <c r="X48" s="6">
        <v>409.87942500000003</v>
      </c>
      <c r="Y48" s="3">
        <v>0.06</v>
      </c>
      <c r="AA48" s="3" t="s">
        <v>26</v>
      </c>
      <c r="AB48" s="3">
        <v>0.53</v>
      </c>
      <c r="AC48" s="6">
        <v>409.87942500000003</v>
      </c>
      <c r="AD48" s="3">
        <v>8.0000000000000002E-3</v>
      </c>
      <c r="AE48" s="3">
        <f t="shared" si="5"/>
        <v>0.495</v>
      </c>
      <c r="AF48" s="5"/>
      <c r="AG48" s="5"/>
      <c r="AH48" s="5"/>
      <c r="AI48" s="5"/>
      <c r="AK48" s="3" t="s">
        <v>27</v>
      </c>
      <c r="AL48" s="3">
        <v>0.9</v>
      </c>
      <c r="AM48" s="3">
        <v>0.5</v>
      </c>
      <c r="AN48" s="3">
        <v>0.6</v>
      </c>
      <c r="AO48" s="3">
        <v>0.38</v>
      </c>
      <c r="AP48" s="6">
        <v>758.743652</v>
      </c>
      <c r="AQ48" s="3">
        <v>0.01</v>
      </c>
      <c r="AS48" s="3" t="s">
        <v>27</v>
      </c>
      <c r="AT48" s="3">
        <v>0.8</v>
      </c>
      <c r="AU48" s="7">
        <v>853.67993200000001</v>
      </c>
      <c r="AV48" s="3">
        <v>5.0000000000000001E-3</v>
      </c>
      <c r="AW48" s="3">
        <f t="shared" si="6"/>
        <v>0.59000000000000008</v>
      </c>
      <c r="AX48" s="5"/>
      <c r="AY48" s="5"/>
      <c r="AZ48" s="5"/>
      <c r="BA48" s="5"/>
      <c r="BC48" s="3" t="s">
        <v>27</v>
      </c>
      <c r="BD48" s="3">
        <v>0.9</v>
      </c>
      <c r="BE48" s="3">
        <v>0.5</v>
      </c>
      <c r="BF48" s="3">
        <v>0.6</v>
      </c>
      <c r="BG48" s="3">
        <v>0.17</v>
      </c>
      <c r="BH48" s="7">
        <v>643.71209699999997</v>
      </c>
      <c r="BI48" s="3">
        <v>1.0999999999999999E-2</v>
      </c>
      <c r="BK48" s="3" t="s">
        <v>27</v>
      </c>
      <c r="BL48" s="3">
        <v>0.01</v>
      </c>
      <c r="BM48" s="6">
        <v>589.27282700000001</v>
      </c>
      <c r="BN48" s="3">
        <v>0</v>
      </c>
      <c r="BO48" s="3">
        <f t="shared" si="7"/>
        <v>9.0000000000000011E-2</v>
      </c>
    </row>
    <row r="49" spans="1:67" x14ac:dyDescent="0.3">
      <c r="A49" s="3" t="s">
        <v>28</v>
      </c>
      <c r="B49" s="3">
        <v>0.9</v>
      </c>
      <c r="C49" s="3">
        <v>0.5</v>
      </c>
      <c r="D49" s="3">
        <v>0.6</v>
      </c>
      <c r="E49" s="3">
        <v>0.09</v>
      </c>
      <c r="F49" s="6">
        <v>342.79367100000002</v>
      </c>
      <c r="G49" s="3">
        <v>1.0999999999999999E-2</v>
      </c>
      <c r="I49" s="3" t="s">
        <v>28</v>
      </c>
      <c r="J49" s="3">
        <v>0.62</v>
      </c>
      <c r="K49" s="7">
        <v>360.05484000000001</v>
      </c>
      <c r="L49" s="3">
        <v>1E-3</v>
      </c>
      <c r="M49" s="3">
        <f t="shared" si="4"/>
        <v>0.35499999999999998</v>
      </c>
      <c r="N49" s="5"/>
      <c r="O49" s="5"/>
      <c r="P49" s="5"/>
      <c r="Q49" s="5"/>
      <c r="S49" s="3" t="s">
        <v>28</v>
      </c>
      <c r="T49" s="3">
        <v>0.9</v>
      </c>
      <c r="U49" s="3">
        <v>0.5</v>
      </c>
      <c r="V49" s="3">
        <v>0.6</v>
      </c>
      <c r="W49" s="3">
        <v>0.56000000000000005</v>
      </c>
      <c r="X49" s="6">
        <v>336.56967200000003</v>
      </c>
      <c r="Y49" s="3">
        <v>1.6E-2</v>
      </c>
      <c r="AA49" s="3" t="s">
        <v>28</v>
      </c>
      <c r="AB49" s="3">
        <v>0.82</v>
      </c>
      <c r="AC49" s="7">
        <v>339.66891500000003</v>
      </c>
      <c r="AD49" s="3">
        <v>1E-3</v>
      </c>
      <c r="AE49" s="3">
        <f t="shared" si="5"/>
        <v>0.69</v>
      </c>
      <c r="AF49" s="5"/>
      <c r="AG49" s="5"/>
      <c r="AH49" s="5"/>
      <c r="AI49" s="5"/>
      <c r="AK49" s="3" t="s">
        <v>29</v>
      </c>
      <c r="AL49" s="3">
        <v>0.9</v>
      </c>
      <c r="AM49" s="3">
        <v>0.5</v>
      </c>
      <c r="AN49" s="3">
        <v>0.6</v>
      </c>
      <c r="AO49" s="3">
        <v>0.34</v>
      </c>
      <c r="AP49" s="6">
        <v>765.08569299999999</v>
      </c>
      <c r="AQ49" s="3">
        <v>1.2E-2</v>
      </c>
      <c r="AS49" s="3" t="s">
        <v>29</v>
      </c>
      <c r="AT49" s="3">
        <v>0.9</v>
      </c>
      <c r="AU49" s="7">
        <v>884.12231399999996</v>
      </c>
      <c r="AV49" s="3">
        <v>1E-3</v>
      </c>
      <c r="AW49" s="3">
        <f t="shared" si="6"/>
        <v>0.62</v>
      </c>
      <c r="AX49" s="5"/>
      <c r="AY49" s="5"/>
      <c r="AZ49" s="5"/>
      <c r="BA49" s="5"/>
      <c r="BC49" s="3" t="s">
        <v>29</v>
      </c>
      <c r="BD49" s="3">
        <v>0.9</v>
      </c>
      <c r="BE49" s="3">
        <v>0.5</v>
      </c>
      <c r="BF49" s="3">
        <v>0.6</v>
      </c>
      <c r="BG49" s="3">
        <v>0.05</v>
      </c>
      <c r="BH49" s="6">
        <v>633.13159199999996</v>
      </c>
      <c r="BI49" s="3">
        <v>1.4E-2</v>
      </c>
      <c r="BK49" s="3" t="s">
        <v>29</v>
      </c>
      <c r="BL49" s="3">
        <v>0.39</v>
      </c>
      <c r="BM49" s="7">
        <v>759.58483899999999</v>
      </c>
      <c r="BN49" s="3">
        <v>1E-3</v>
      </c>
      <c r="BO49" s="3">
        <f t="shared" si="7"/>
        <v>0.22</v>
      </c>
    </row>
    <row r="50" spans="1:67" x14ac:dyDescent="0.3">
      <c r="A50" s="3" t="s">
        <v>30</v>
      </c>
      <c r="B50" s="3">
        <v>0.9</v>
      </c>
      <c r="C50" s="3">
        <v>0.5</v>
      </c>
      <c r="D50" s="3">
        <v>0.6</v>
      </c>
      <c r="E50" s="3">
        <v>0.95</v>
      </c>
      <c r="F50" s="6">
        <v>599.32690400000001</v>
      </c>
      <c r="G50" s="3">
        <v>1.0999999999999999E-2</v>
      </c>
      <c r="I50" s="3" t="s">
        <v>30</v>
      </c>
      <c r="J50" s="3">
        <v>0.87</v>
      </c>
      <c r="K50" s="7">
        <v>603.02252199999998</v>
      </c>
      <c r="L50" s="3">
        <v>1E-3</v>
      </c>
      <c r="M50" s="3">
        <f t="shared" si="4"/>
        <v>0.90999999999999992</v>
      </c>
      <c r="N50" s="5"/>
      <c r="O50" s="5"/>
      <c r="P50" s="5"/>
      <c r="Q50" s="5"/>
      <c r="S50" s="3" t="s">
        <v>30</v>
      </c>
      <c r="T50" s="3">
        <v>0.9</v>
      </c>
      <c r="U50" s="3">
        <v>0.5</v>
      </c>
      <c r="V50" s="3">
        <v>0.6</v>
      </c>
      <c r="W50" s="3">
        <v>0.87</v>
      </c>
      <c r="X50" s="6">
        <v>593.26654099999996</v>
      </c>
      <c r="Y50" s="3">
        <v>1.2E-2</v>
      </c>
      <c r="AA50" s="3" t="s">
        <v>30</v>
      </c>
      <c r="AB50" s="3">
        <v>0.76</v>
      </c>
      <c r="AC50" s="7">
        <v>600.88287400000002</v>
      </c>
      <c r="AD50" s="3">
        <v>2E-3</v>
      </c>
      <c r="AE50" s="3">
        <f t="shared" si="5"/>
        <v>0.81499999999999995</v>
      </c>
      <c r="AF50" s="5"/>
      <c r="AG50" s="5"/>
      <c r="AH50" s="5"/>
      <c r="AI50" s="5"/>
      <c r="AK50" s="3" t="s">
        <v>31</v>
      </c>
      <c r="AL50" s="3">
        <v>0.9</v>
      </c>
      <c r="AM50" s="3">
        <v>0.5</v>
      </c>
      <c r="AN50" s="3">
        <v>0.6</v>
      </c>
      <c r="AO50" s="3">
        <v>0.56000000000000005</v>
      </c>
      <c r="AP50" s="6">
        <v>1003.76532</v>
      </c>
      <c r="AQ50" s="3">
        <v>2.5000000000000001E-2</v>
      </c>
      <c r="AS50" s="3" t="s">
        <v>31</v>
      </c>
      <c r="AT50" s="3">
        <v>0.74</v>
      </c>
      <c r="AU50" s="7">
        <v>1043.227173</v>
      </c>
      <c r="AV50" s="3">
        <v>2E-3</v>
      </c>
      <c r="AW50" s="3">
        <f t="shared" si="6"/>
        <v>0.65</v>
      </c>
      <c r="AX50" s="5"/>
      <c r="AY50" s="5"/>
      <c r="AZ50" s="5"/>
      <c r="BA50" s="5"/>
      <c r="BC50" s="3" t="s">
        <v>31</v>
      </c>
      <c r="BD50" s="3">
        <v>0.9</v>
      </c>
      <c r="BE50" s="3">
        <v>0.5</v>
      </c>
      <c r="BF50" s="3">
        <v>0.6</v>
      </c>
      <c r="BG50" s="3">
        <v>0.63</v>
      </c>
      <c r="BH50" s="6">
        <v>1017.88147</v>
      </c>
      <c r="BI50" s="3">
        <v>3.2000000000000001E-2</v>
      </c>
      <c r="BK50" s="3" t="s">
        <v>31</v>
      </c>
      <c r="BL50" s="3">
        <v>0.82</v>
      </c>
      <c r="BM50" s="7">
        <v>1057.6142580000001</v>
      </c>
      <c r="BN50" s="3">
        <v>0.01</v>
      </c>
      <c r="BO50" s="3">
        <f t="shared" si="7"/>
        <v>0.72499999999999998</v>
      </c>
    </row>
    <row r="51" spans="1:67" x14ac:dyDescent="0.3">
      <c r="A51" s="3" t="s">
        <v>32</v>
      </c>
      <c r="B51" s="3">
        <v>0.9</v>
      </c>
      <c r="C51" s="3">
        <v>0.5</v>
      </c>
      <c r="D51" s="3">
        <v>0.6</v>
      </c>
      <c r="E51" s="3">
        <v>0.39</v>
      </c>
      <c r="F51" s="6">
        <v>492.27050800000001</v>
      </c>
      <c r="G51" s="3">
        <v>0.01</v>
      </c>
      <c r="I51" s="3" t="s">
        <v>32</v>
      </c>
      <c r="J51" s="3">
        <v>0.75</v>
      </c>
      <c r="K51" s="7">
        <v>516.55157499999996</v>
      </c>
      <c r="L51" s="3">
        <v>7.0000000000000001E-3</v>
      </c>
      <c r="M51" s="3">
        <f t="shared" si="4"/>
        <v>0.57000000000000006</v>
      </c>
      <c r="N51" s="5"/>
      <c r="O51" s="5"/>
      <c r="P51" s="5"/>
      <c r="Q51" s="5"/>
      <c r="S51" s="3" t="s">
        <v>32</v>
      </c>
      <c r="T51" s="3">
        <v>0.9</v>
      </c>
      <c r="U51" s="3">
        <v>0.5</v>
      </c>
      <c r="V51" s="3">
        <v>0.6</v>
      </c>
      <c r="W51" s="3">
        <v>0.42</v>
      </c>
      <c r="X51" s="6">
        <v>451.13433800000001</v>
      </c>
      <c r="Y51" s="3">
        <v>3.5000000000000003E-2</v>
      </c>
      <c r="AA51" s="3" t="s">
        <v>32</v>
      </c>
      <c r="AB51" s="3">
        <v>0.69</v>
      </c>
      <c r="AC51" s="7">
        <v>463.791473</v>
      </c>
      <c r="AD51" s="3">
        <v>6.0000000000000001E-3</v>
      </c>
      <c r="AE51" s="3">
        <f t="shared" si="5"/>
        <v>0.55499999999999994</v>
      </c>
      <c r="AF51" s="5"/>
      <c r="AG51" s="5"/>
      <c r="AH51" s="5"/>
      <c r="AI51" s="5"/>
      <c r="AK51" s="3" t="s">
        <v>33</v>
      </c>
      <c r="AL51" s="3">
        <v>0.9</v>
      </c>
      <c r="AM51" s="3">
        <v>0.5</v>
      </c>
      <c r="AN51" s="3">
        <v>0.6</v>
      </c>
      <c r="AO51" s="3">
        <v>0.19</v>
      </c>
      <c r="AP51" s="7">
        <v>724.33154300000001</v>
      </c>
      <c r="AQ51" s="3">
        <v>2.8000000000000001E-2</v>
      </c>
      <c r="AS51" s="3" t="s">
        <v>33</v>
      </c>
      <c r="AT51" s="3">
        <v>0.05</v>
      </c>
      <c r="AU51" s="6">
        <v>661.04296899999997</v>
      </c>
      <c r="AV51" s="3">
        <v>2E-3</v>
      </c>
      <c r="AW51" s="3">
        <f t="shared" si="6"/>
        <v>0.12</v>
      </c>
      <c r="AX51" s="5"/>
      <c r="AY51" s="5"/>
      <c r="AZ51" s="5"/>
      <c r="BA51" s="5"/>
      <c r="BC51" s="3" t="s">
        <v>33</v>
      </c>
      <c r="BD51" s="3">
        <v>0.9</v>
      </c>
      <c r="BE51" s="3">
        <v>0.5</v>
      </c>
      <c r="BF51" s="3">
        <v>0.6</v>
      </c>
      <c r="BG51" s="3">
        <v>0.59</v>
      </c>
      <c r="BH51" s="6">
        <v>929.01080300000001</v>
      </c>
      <c r="BI51" s="3">
        <v>1.6E-2</v>
      </c>
      <c r="BK51" s="3" t="s">
        <v>33</v>
      </c>
      <c r="BL51" s="3">
        <v>0.65</v>
      </c>
      <c r="BM51" s="7">
        <v>948.393372</v>
      </c>
      <c r="BN51" s="3">
        <v>1E-3</v>
      </c>
      <c r="BO51" s="3">
        <f t="shared" si="7"/>
        <v>0.62</v>
      </c>
    </row>
    <row r="52" spans="1:67" x14ac:dyDescent="0.3">
      <c r="A52" s="3" t="s">
        <v>34</v>
      </c>
      <c r="B52" s="3">
        <v>0.9</v>
      </c>
      <c r="C52" s="3">
        <v>0.5</v>
      </c>
      <c r="D52" s="3">
        <v>0.6</v>
      </c>
      <c r="E52" s="3">
        <v>0.93</v>
      </c>
      <c r="F52" s="7">
        <v>476.92193600000002</v>
      </c>
      <c r="G52" s="3">
        <v>0.02</v>
      </c>
      <c r="I52" s="3" t="s">
        <v>34</v>
      </c>
      <c r="J52" s="3">
        <v>0.77</v>
      </c>
      <c r="K52" s="6">
        <v>469.93460099999999</v>
      </c>
      <c r="L52" s="3">
        <v>1E-3</v>
      </c>
      <c r="M52" s="3">
        <f t="shared" si="4"/>
        <v>0.85000000000000009</v>
      </c>
      <c r="N52" s="5"/>
      <c r="O52" s="5"/>
      <c r="P52" s="5"/>
      <c r="Q52" s="5"/>
      <c r="S52" s="3" t="s">
        <v>34</v>
      </c>
      <c r="T52" s="3">
        <v>0.9</v>
      </c>
      <c r="U52" s="3">
        <v>0.5</v>
      </c>
      <c r="V52" s="3">
        <v>0.6</v>
      </c>
      <c r="W52" s="3">
        <v>0.66</v>
      </c>
      <c r="X52" s="7">
        <v>411.86706500000003</v>
      </c>
      <c r="Y52" s="3">
        <v>3.4000000000000002E-2</v>
      </c>
      <c r="AA52" s="3" t="s">
        <v>34</v>
      </c>
      <c r="AB52" s="3">
        <v>0.38</v>
      </c>
      <c r="AC52" s="6">
        <v>406.80706800000002</v>
      </c>
      <c r="AD52" s="3">
        <v>0</v>
      </c>
      <c r="AE52" s="3">
        <f t="shared" si="5"/>
        <v>0.52</v>
      </c>
      <c r="AF52" s="5"/>
      <c r="AG52" s="5"/>
      <c r="AH52" s="5"/>
      <c r="AI52" s="5"/>
      <c r="AK52" s="3" t="s">
        <v>35</v>
      </c>
      <c r="AL52" s="3">
        <v>0.9</v>
      </c>
      <c r="AM52" s="3">
        <v>0.5</v>
      </c>
      <c r="AN52" s="3">
        <v>0.6</v>
      </c>
      <c r="AO52" s="3">
        <v>0.09</v>
      </c>
      <c r="AP52" s="7">
        <v>691.70568800000001</v>
      </c>
      <c r="AQ52" s="3">
        <v>1.2E-2</v>
      </c>
      <c r="AS52" s="3" t="s">
        <v>35</v>
      </c>
      <c r="AT52" s="3">
        <v>0.01</v>
      </c>
      <c r="AU52" s="6">
        <v>670.75079300000004</v>
      </c>
      <c r="AV52" s="3">
        <v>1E-3</v>
      </c>
      <c r="AW52" s="3">
        <f t="shared" si="6"/>
        <v>4.9999999999999996E-2</v>
      </c>
      <c r="AX52" s="5"/>
      <c r="AY52" s="5"/>
      <c r="AZ52" s="5"/>
      <c r="BA52" s="5"/>
      <c r="BC52" s="3" t="s">
        <v>35</v>
      </c>
      <c r="BD52" s="3">
        <v>0.9</v>
      </c>
      <c r="BE52" s="3">
        <v>0.5</v>
      </c>
      <c r="BF52" s="3">
        <v>0.6</v>
      </c>
      <c r="BG52" s="3">
        <v>0.62</v>
      </c>
      <c r="BH52" s="6">
        <v>969.627747</v>
      </c>
      <c r="BI52" s="3">
        <v>1.0999999999999999E-2</v>
      </c>
      <c r="BK52" s="3" t="s">
        <v>35</v>
      </c>
      <c r="BL52" s="3">
        <v>0.97</v>
      </c>
      <c r="BM52" s="7">
        <v>1011.909973</v>
      </c>
      <c r="BN52" s="3">
        <v>2E-3</v>
      </c>
      <c r="BO52" s="3">
        <f t="shared" si="7"/>
        <v>0.79499999999999993</v>
      </c>
    </row>
    <row r="53" spans="1:67" x14ac:dyDescent="0.3">
      <c r="A53" s="3" t="s">
        <v>36</v>
      </c>
      <c r="B53" s="3">
        <v>0.9</v>
      </c>
      <c r="C53" s="3">
        <v>0.5</v>
      </c>
      <c r="D53" s="3">
        <v>0.6</v>
      </c>
      <c r="E53" s="3">
        <v>0.05</v>
      </c>
      <c r="F53" s="6">
        <v>524.63445999999999</v>
      </c>
      <c r="G53" s="3">
        <v>1.7999999999999999E-2</v>
      </c>
      <c r="I53" s="3" t="s">
        <v>36</v>
      </c>
      <c r="J53" s="3">
        <v>0.44</v>
      </c>
      <c r="K53" s="7">
        <v>543.59320100000002</v>
      </c>
      <c r="L53" s="3">
        <v>4.0000000000000001E-3</v>
      </c>
      <c r="M53" s="3">
        <f t="shared" si="4"/>
        <v>0.245</v>
      </c>
      <c r="N53" s="5"/>
      <c r="O53" s="5"/>
      <c r="P53" s="5"/>
      <c r="Q53" s="5"/>
      <c r="S53" s="3" t="s">
        <v>36</v>
      </c>
      <c r="T53" s="3">
        <v>0.9</v>
      </c>
      <c r="U53" s="3">
        <v>0.5</v>
      </c>
      <c r="V53" s="3">
        <v>0.6</v>
      </c>
      <c r="W53" s="3">
        <v>0.32</v>
      </c>
      <c r="X53" s="6">
        <v>515.84991500000001</v>
      </c>
      <c r="Y53" s="3">
        <v>1.4E-2</v>
      </c>
      <c r="AA53" s="3" t="s">
        <v>36</v>
      </c>
      <c r="AB53" s="3">
        <v>0.92</v>
      </c>
      <c r="AC53" s="7">
        <v>569.834473</v>
      </c>
      <c r="AD53" s="3">
        <v>0</v>
      </c>
      <c r="AE53" s="3">
        <f t="shared" si="5"/>
        <v>0.62</v>
      </c>
      <c r="AF53" s="5"/>
      <c r="AG53" s="5"/>
      <c r="AH53" s="5"/>
      <c r="AI53" s="5"/>
      <c r="AK53" s="3" t="s">
        <v>37</v>
      </c>
      <c r="AL53" s="3">
        <v>0.9</v>
      </c>
      <c r="AM53" s="3">
        <v>0.5</v>
      </c>
      <c r="AN53" s="3">
        <v>0.6</v>
      </c>
      <c r="AO53" s="3">
        <v>0.69</v>
      </c>
      <c r="AP53" s="7">
        <v>958.21044900000004</v>
      </c>
      <c r="AQ53" s="3">
        <v>1.7999999999999999E-2</v>
      </c>
      <c r="AS53" s="3" t="s">
        <v>37</v>
      </c>
      <c r="AT53" s="3">
        <v>0.18</v>
      </c>
      <c r="AU53" s="6">
        <v>724.22760000000005</v>
      </c>
      <c r="AV53" s="3">
        <v>1E-3</v>
      </c>
      <c r="AW53" s="3">
        <f t="shared" si="6"/>
        <v>0.43499999999999994</v>
      </c>
      <c r="AX53" s="5"/>
      <c r="AY53" s="5"/>
      <c r="AZ53" s="5"/>
      <c r="BA53" s="5"/>
      <c r="BC53" s="3" t="s">
        <v>37</v>
      </c>
      <c r="BD53" s="3">
        <v>0.9</v>
      </c>
      <c r="BE53" s="3">
        <v>0.5</v>
      </c>
      <c r="BF53" s="3">
        <v>0.6</v>
      </c>
      <c r="BG53" s="3">
        <v>0.02</v>
      </c>
      <c r="BH53" s="7">
        <v>688.94085700000005</v>
      </c>
      <c r="BI53" s="3">
        <v>1.7999999999999999E-2</v>
      </c>
      <c r="BK53" s="3" t="s">
        <v>37</v>
      </c>
      <c r="BL53" s="3">
        <v>0.64</v>
      </c>
      <c r="BM53" s="6">
        <v>911.34863299999995</v>
      </c>
      <c r="BN53" s="3">
        <v>1E-3</v>
      </c>
      <c r="BO53" s="3">
        <f t="shared" si="7"/>
        <v>0.33</v>
      </c>
    </row>
    <row r="54" spans="1:67" x14ac:dyDescent="0.3">
      <c r="A54" s="3" t="s">
        <v>38</v>
      </c>
      <c r="B54" s="3">
        <v>0.9</v>
      </c>
      <c r="C54" s="3">
        <v>0.5</v>
      </c>
      <c r="D54" s="3">
        <v>0.6</v>
      </c>
      <c r="E54" s="3">
        <v>0.16</v>
      </c>
      <c r="F54" s="6">
        <v>460.70144699999997</v>
      </c>
      <c r="G54" s="3">
        <v>0.02</v>
      </c>
      <c r="I54" s="3" t="s">
        <v>38</v>
      </c>
      <c r="J54" s="3">
        <v>0.91</v>
      </c>
      <c r="K54" s="7">
        <v>505.44018599999998</v>
      </c>
      <c r="L54" s="3">
        <v>3.0000000000000001E-3</v>
      </c>
      <c r="M54" s="3">
        <f t="shared" si="4"/>
        <v>0.53500000000000003</v>
      </c>
      <c r="N54" s="5"/>
      <c r="O54" s="5"/>
      <c r="P54" s="5"/>
      <c r="Q54" s="5"/>
      <c r="S54" s="3" t="s">
        <v>38</v>
      </c>
      <c r="T54" s="3">
        <v>0.9</v>
      </c>
      <c r="U54" s="3">
        <v>0.5</v>
      </c>
      <c r="V54" s="3">
        <v>0.6</v>
      </c>
      <c r="W54" s="3">
        <v>0.9</v>
      </c>
      <c r="X54" s="6">
        <v>480.62985200000003</v>
      </c>
      <c r="Y54" s="3">
        <v>1.0999999999999999E-2</v>
      </c>
      <c r="AA54" s="3" t="s">
        <v>38</v>
      </c>
      <c r="AB54" s="3">
        <v>0.88</v>
      </c>
      <c r="AC54" s="6">
        <v>480.62985200000003</v>
      </c>
      <c r="AD54" s="3">
        <v>3.0000000000000001E-3</v>
      </c>
      <c r="AE54" s="3">
        <f t="shared" si="5"/>
        <v>0.89</v>
      </c>
      <c r="AF54" s="5"/>
      <c r="AG54" s="5"/>
      <c r="AH54" s="5"/>
      <c r="AI54" s="5"/>
      <c r="AK54" s="3" t="s">
        <v>39</v>
      </c>
      <c r="AL54" s="3">
        <v>0.9</v>
      </c>
      <c r="AM54" s="3">
        <v>0.5</v>
      </c>
      <c r="AN54" s="3">
        <v>0.6</v>
      </c>
      <c r="AO54" s="3">
        <v>0.08</v>
      </c>
      <c r="AP54" s="6">
        <v>712.37927200000001</v>
      </c>
      <c r="AQ54" s="3">
        <v>8.9999999999999993E-3</v>
      </c>
      <c r="AS54" s="3" t="s">
        <v>39</v>
      </c>
      <c r="AT54" s="3">
        <v>0.43</v>
      </c>
      <c r="AU54" s="7">
        <v>862.33898899999997</v>
      </c>
      <c r="AV54" s="3">
        <v>4.0000000000000001E-3</v>
      </c>
      <c r="AW54" s="3">
        <f t="shared" si="6"/>
        <v>0.255</v>
      </c>
      <c r="AX54" s="5"/>
      <c r="AY54" s="5"/>
      <c r="AZ54" s="5"/>
      <c r="BA54" s="5"/>
      <c r="BC54" s="3" t="s">
        <v>39</v>
      </c>
      <c r="BD54" s="3">
        <v>0.9</v>
      </c>
      <c r="BE54" s="3">
        <v>0.5</v>
      </c>
      <c r="BF54" s="3">
        <v>0.6</v>
      </c>
      <c r="BG54" s="3">
        <v>0.4</v>
      </c>
      <c r="BH54" s="6">
        <v>794.63861099999997</v>
      </c>
      <c r="BI54" s="3">
        <v>1.2E-2</v>
      </c>
      <c r="BK54" s="3" t="s">
        <v>39</v>
      </c>
      <c r="BL54" s="3">
        <v>0.78</v>
      </c>
      <c r="BM54" s="7">
        <v>993.73632799999996</v>
      </c>
      <c r="BN54" s="3">
        <v>0</v>
      </c>
      <c r="BO54" s="3">
        <f t="shared" si="7"/>
        <v>0.59000000000000008</v>
      </c>
    </row>
    <row r="55" spans="1:67" x14ac:dyDescent="0.3">
      <c r="A55" s="3" t="s">
        <v>40</v>
      </c>
      <c r="B55" s="3">
        <v>0.9</v>
      </c>
      <c r="C55" s="3">
        <v>0.5</v>
      </c>
      <c r="D55" s="3">
        <v>0.6</v>
      </c>
      <c r="E55" s="3">
        <v>0.44</v>
      </c>
      <c r="F55" s="6">
        <v>409.011078</v>
      </c>
      <c r="G55" s="3">
        <v>1.2E-2</v>
      </c>
      <c r="I55" s="3" t="s">
        <v>40</v>
      </c>
      <c r="J55" s="3">
        <v>0.94</v>
      </c>
      <c r="K55" s="7">
        <v>468.56997699999999</v>
      </c>
      <c r="L55" s="3">
        <v>0</v>
      </c>
      <c r="M55" s="3">
        <f t="shared" si="4"/>
        <v>0.69</v>
      </c>
      <c r="N55" s="5"/>
      <c r="O55" s="5"/>
      <c r="P55" s="5"/>
      <c r="Q55" s="5"/>
      <c r="S55" s="3" t="s">
        <v>40</v>
      </c>
      <c r="T55" s="3">
        <v>0.9</v>
      </c>
      <c r="U55" s="3">
        <v>0.5</v>
      </c>
      <c r="V55" s="3">
        <v>0.6</v>
      </c>
      <c r="W55" s="3">
        <v>0.55000000000000004</v>
      </c>
      <c r="X55" s="6">
        <v>404.30941799999999</v>
      </c>
      <c r="Y55" s="3">
        <v>2.5999999999999999E-2</v>
      </c>
      <c r="AA55" s="3" t="s">
        <v>40</v>
      </c>
      <c r="AB55" s="3">
        <v>0.06</v>
      </c>
      <c r="AC55" s="7">
        <v>406.91375699999998</v>
      </c>
      <c r="AD55" s="3">
        <v>8.0000000000000002E-3</v>
      </c>
      <c r="AE55" s="3">
        <f t="shared" si="5"/>
        <v>0.30500000000000005</v>
      </c>
      <c r="AF55" s="5"/>
      <c r="AG55" s="5"/>
      <c r="AH55" s="5"/>
      <c r="AI55" s="5"/>
      <c r="AK55" s="3" t="s">
        <v>41</v>
      </c>
      <c r="AL55" s="3">
        <v>0.9</v>
      </c>
      <c r="AM55" s="3">
        <v>0.5</v>
      </c>
      <c r="AN55" s="3">
        <v>0.6</v>
      </c>
      <c r="AO55" s="3">
        <v>0.04</v>
      </c>
      <c r="AP55" s="7">
        <v>741.34246800000005</v>
      </c>
      <c r="AQ55" s="3">
        <v>1.6E-2</v>
      </c>
      <c r="AS55" s="3" t="s">
        <v>41</v>
      </c>
      <c r="AT55" s="3">
        <v>0.01</v>
      </c>
      <c r="AU55" s="6">
        <v>739.99163799999997</v>
      </c>
      <c r="AV55" s="3">
        <v>4.0000000000000001E-3</v>
      </c>
      <c r="AW55" s="3">
        <f t="shared" si="6"/>
        <v>2.5000000000000001E-2</v>
      </c>
      <c r="AX55" s="5"/>
      <c r="AY55" s="5"/>
      <c r="AZ55" s="5"/>
      <c r="BA55" s="5"/>
      <c r="BC55" s="3" t="s">
        <v>41</v>
      </c>
      <c r="BD55" s="3">
        <v>0.9</v>
      </c>
      <c r="BE55" s="3">
        <v>0.5</v>
      </c>
      <c r="BF55" s="3">
        <v>0.6</v>
      </c>
      <c r="BG55" s="3">
        <v>0.6</v>
      </c>
      <c r="BH55" s="7">
        <v>1023.988159</v>
      </c>
      <c r="BI55" s="3">
        <v>2.8000000000000001E-2</v>
      </c>
      <c r="BK55" s="3" t="s">
        <v>41</v>
      </c>
      <c r="BL55" s="3">
        <v>0.23</v>
      </c>
      <c r="BM55" s="6">
        <v>825.75414999999998</v>
      </c>
      <c r="BN55" s="3">
        <v>1E-3</v>
      </c>
      <c r="BO55" s="3">
        <f t="shared" si="7"/>
        <v>0.41499999999999998</v>
      </c>
    </row>
    <row r="56" spans="1:67" x14ac:dyDescent="0.3">
      <c r="A56" s="3" t="s">
        <v>42</v>
      </c>
      <c r="B56" s="3">
        <v>0.9</v>
      </c>
      <c r="C56" s="3">
        <v>0.5</v>
      </c>
      <c r="D56" s="3">
        <v>0.6</v>
      </c>
      <c r="E56" s="3">
        <v>0.47</v>
      </c>
      <c r="F56" s="6">
        <v>446.863831</v>
      </c>
      <c r="G56" s="3">
        <v>2.5999999999999999E-2</v>
      </c>
      <c r="I56" s="3" t="s">
        <v>42</v>
      </c>
      <c r="J56" s="3">
        <v>0.73</v>
      </c>
      <c r="K56" s="7">
        <v>471.45211799999998</v>
      </c>
      <c r="L56" s="3">
        <v>0</v>
      </c>
      <c r="M56" s="3">
        <f t="shared" si="4"/>
        <v>0.6</v>
      </c>
      <c r="N56" s="5"/>
      <c r="O56" s="5"/>
      <c r="P56" s="5"/>
      <c r="Q56" s="5"/>
      <c r="S56" s="3" t="s">
        <v>42</v>
      </c>
      <c r="T56" s="3">
        <v>0.9</v>
      </c>
      <c r="U56" s="3">
        <v>0.5</v>
      </c>
      <c r="V56" s="3">
        <v>0.6</v>
      </c>
      <c r="W56" s="3">
        <v>0.79</v>
      </c>
      <c r="X56" s="7">
        <v>466.98504600000001</v>
      </c>
      <c r="Y56" s="3">
        <v>1.2E-2</v>
      </c>
      <c r="AA56" s="3" t="s">
        <v>42</v>
      </c>
      <c r="AB56" s="3">
        <v>0.11</v>
      </c>
      <c r="AC56" s="6">
        <v>420.310181</v>
      </c>
      <c r="AD56" s="3">
        <v>1.4E-2</v>
      </c>
      <c r="AE56" s="3">
        <f t="shared" si="5"/>
        <v>0.45</v>
      </c>
      <c r="AF56" s="5"/>
      <c r="AG56" s="5"/>
      <c r="AH56" s="5"/>
      <c r="AI56" s="5"/>
      <c r="AK56" s="3" t="s">
        <v>43</v>
      </c>
      <c r="AL56" s="3">
        <v>0.9</v>
      </c>
      <c r="AM56" s="3">
        <v>0.5</v>
      </c>
      <c r="AN56" s="3">
        <v>0.6</v>
      </c>
      <c r="AO56" s="3">
        <v>0.88</v>
      </c>
      <c r="AP56" s="6">
        <v>983.80688499999997</v>
      </c>
      <c r="AQ56" s="3">
        <v>1.4999999999999999E-2</v>
      </c>
      <c r="AS56" s="3" t="s">
        <v>43</v>
      </c>
      <c r="AT56" s="3">
        <v>0.8</v>
      </c>
      <c r="AU56" s="7">
        <v>996.67535399999997</v>
      </c>
      <c r="AV56" s="3">
        <v>2E-3</v>
      </c>
      <c r="AW56" s="3">
        <f t="shared" si="6"/>
        <v>0.84000000000000008</v>
      </c>
      <c r="AX56" s="5"/>
      <c r="AY56" s="5"/>
      <c r="AZ56" s="5"/>
      <c r="BA56" s="5"/>
      <c r="BC56" s="3" t="s">
        <v>43</v>
      </c>
      <c r="BD56" s="3">
        <v>0.9</v>
      </c>
      <c r="BE56" s="3">
        <v>0.5</v>
      </c>
      <c r="BF56" s="3">
        <v>0.6</v>
      </c>
      <c r="BG56" s="3">
        <v>0.52</v>
      </c>
      <c r="BH56" s="6">
        <v>888.82391399999995</v>
      </c>
      <c r="BI56" s="3">
        <v>1.2999999999999999E-2</v>
      </c>
      <c r="BK56" s="3" t="s">
        <v>43</v>
      </c>
      <c r="BL56" s="3">
        <v>0.66</v>
      </c>
      <c r="BM56" s="7">
        <v>921.712219</v>
      </c>
      <c r="BN56" s="3">
        <v>3.0000000000000001E-3</v>
      </c>
      <c r="BO56" s="3">
        <f t="shared" si="7"/>
        <v>0.59000000000000008</v>
      </c>
    </row>
    <row r="57" spans="1:67" x14ac:dyDescent="0.3">
      <c r="A57" s="3" t="s">
        <v>44</v>
      </c>
      <c r="B57" s="3">
        <v>0.9</v>
      </c>
      <c r="C57" s="3">
        <v>0.5</v>
      </c>
      <c r="D57" s="3">
        <v>0.6</v>
      </c>
      <c r="E57" s="3">
        <v>0.48</v>
      </c>
      <c r="F57" s="7">
        <v>540.86798099999999</v>
      </c>
      <c r="G57" s="3">
        <v>1.2E-2</v>
      </c>
      <c r="I57" s="3" t="s">
        <v>44</v>
      </c>
      <c r="J57" s="3">
        <v>0.13</v>
      </c>
      <c r="K57" s="6">
        <v>515.799622</v>
      </c>
      <c r="L57" s="3">
        <v>3.0000000000000001E-3</v>
      </c>
      <c r="M57" s="3">
        <f t="shared" si="4"/>
        <v>0.30499999999999999</v>
      </c>
      <c r="N57" s="5"/>
      <c r="O57" s="5"/>
      <c r="P57" s="5"/>
      <c r="Q57" s="5"/>
      <c r="S57" s="3" t="s">
        <v>44</v>
      </c>
      <c r="T57" s="3">
        <v>0.9</v>
      </c>
      <c r="U57" s="3">
        <v>0.5</v>
      </c>
      <c r="V57" s="3">
        <v>0.6</v>
      </c>
      <c r="W57" s="3">
        <v>0.08</v>
      </c>
      <c r="X57" s="6">
        <v>493.68411300000002</v>
      </c>
      <c r="Y57" s="3">
        <v>1.4999999999999999E-2</v>
      </c>
      <c r="AA57" s="3" t="s">
        <v>44</v>
      </c>
      <c r="AB57" s="3">
        <v>0.08</v>
      </c>
      <c r="AC57" s="7">
        <v>494.142944</v>
      </c>
      <c r="AD57" s="3">
        <v>1E-3</v>
      </c>
      <c r="AE57" s="3">
        <f t="shared" si="5"/>
        <v>0.08</v>
      </c>
      <c r="AF57" s="5"/>
      <c r="AG57" s="5"/>
      <c r="AH57" s="5"/>
      <c r="AI57" s="5"/>
      <c r="AK57" s="3" t="s">
        <v>45</v>
      </c>
      <c r="AL57" s="3">
        <v>0.9</v>
      </c>
      <c r="AM57" s="3">
        <v>0.5</v>
      </c>
      <c r="AN57" s="3">
        <v>0.6</v>
      </c>
      <c r="AO57" s="3">
        <v>0.51</v>
      </c>
      <c r="AP57" s="6">
        <v>970.62969999999996</v>
      </c>
      <c r="AQ57" s="3">
        <v>1.4999999999999999E-2</v>
      </c>
      <c r="AS57" s="3" t="s">
        <v>45</v>
      </c>
      <c r="AT57" s="3">
        <v>0.65</v>
      </c>
      <c r="AU57" s="7">
        <v>1041.7856449999999</v>
      </c>
      <c r="AV57" s="3">
        <v>1E-3</v>
      </c>
      <c r="AW57" s="3">
        <f t="shared" si="6"/>
        <v>0.58000000000000007</v>
      </c>
      <c r="AX57" s="5"/>
      <c r="AY57" s="5"/>
      <c r="AZ57" s="5"/>
      <c r="BA57" s="5"/>
      <c r="BC57" s="3" t="s">
        <v>45</v>
      </c>
      <c r="BD57" s="3">
        <v>0.9</v>
      </c>
      <c r="BE57" s="3">
        <v>0.5</v>
      </c>
      <c r="BF57" s="3">
        <v>0.6</v>
      </c>
      <c r="BG57" s="3">
        <v>0.25</v>
      </c>
      <c r="BH57" s="6">
        <v>800.54461700000002</v>
      </c>
      <c r="BI57" s="3">
        <v>2.5000000000000001E-2</v>
      </c>
      <c r="BK57" s="3" t="s">
        <v>45</v>
      </c>
      <c r="BL57" s="3">
        <v>0.81</v>
      </c>
      <c r="BM57" s="7">
        <v>1068.3530270000001</v>
      </c>
      <c r="BN57" s="3">
        <v>2E-3</v>
      </c>
      <c r="BO57" s="3">
        <f t="shared" si="7"/>
        <v>0.53</v>
      </c>
    </row>
    <row r="58" spans="1:67" x14ac:dyDescent="0.3">
      <c r="A58" s="3" t="s">
        <v>46</v>
      </c>
      <c r="B58" s="3">
        <v>0.9</v>
      </c>
      <c r="C58" s="3">
        <v>0.5</v>
      </c>
      <c r="D58" s="3">
        <v>0.6</v>
      </c>
      <c r="E58" s="3">
        <v>0.63</v>
      </c>
      <c r="F58" s="6">
        <v>496.26355000000001</v>
      </c>
      <c r="G58" s="3">
        <v>3.4000000000000002E-2</v>
      </c>
      <c r="I58" s="3" t="s">
        <v>46</v>
      </c>
      <c r="J58" s="3">
        <v>0.03</v>
      </c>
      <c r="K58" s="7">
        <v>542.59246800000005</v>
      </c>
      <c r="L58" s="3">
        <v>6.0000000000000001E-3</v>
      </c>
      <c r="M58" s="3">
        <f t="shared" si="4"/>
        <v>0.33</v>
      </c>
      <c r="N58" s="5"/>
      <c r="O58" s="5"/>
      <c r="P58" s="5"/>
      <c r="Q58" s="5"/>
      <c r="S58" s="3" t="s">
        <v>46</v>
      </c>
      <c r="T58" s="3">
        <v>0.9</v>
      </c>
      <c r="U58" s="3">
        <v>0.5</v>
      </c>
      <c r="V58" s="3">
        <v>0.6</v>
      </c>
      <c r="W58" s="3">
        <v>0.7</v>
      </c>
      <c r="X58" s="6">
        <v>487.16113300000001</v>
      </c>
      <c r="Y58" s="3">
        <v>1.7999999999999999E-2</v>
      </c>
      <c r="AA58" s="3" t="s">
        <v>46</v>
      </c>
      <c r="AB58" s="3">
        <v>0.02</v>
      </c>
      <c r="AC58" s="7">
        <v>533.70880099999999</v>
      </c>
      <c r="AD58" s="3">
        <v>6.0000000000000001E-3</v>
      </c>
      <c r="AE58" s="3">
        <f t="shared" si="5"/>
        <v>0.36</v>
      </c>
      <c r="AF58" s="5"/>
      <c r="AG58" s="5"/>
      <c r="AH58" s="5"/>
      <c r="AI58" s="5"/>
      <c r="AK58" s="3" t="s">
        <v>47</v>
      </c>
      <c r="AL58" s="3">
        <v>0.9</v>
      </c>
      <c r="AM58" s="3">
        <v>0.5</v>
      </c>
      <c r="AN58" s="3">
        <v>0.6</v>
      </c>
      <c r="AO58" s="3">
        <v>0.98</v>
      </c>
      <c r="AP58" s="7">
        <v>987.79699700000003</v>
      </c>
      <c r="AQ58" s="3">
        <v>2.5000000000000001E-2</v>
      </c>
      <c r="AS58" s="3" t="s">
        <v>47</v>
      </c>
      <c r="AT58" s="3">
        <v>0.51</v>
      </c>
      <c r="AU58" s="6">
        <v>894.83898899999997</v>
      </c>
      <c r="AV58" s="3">
        <v>2E-3</v>
      </c>
      <c r="AW58" s="3">
        <f t="shared" si="6"/>
        <v>0.745</v>
      </c>
      <c r="AX58" s="5"/>
      <c r="AY58" s="5"/>
      <c r="AZ58" s="5"/>
      <c r="BA58" s="5"/>
      <c r="BC58" s="3" t="s">
        <v>47</v>
      </c>
      <c r="BD58" s="3">
        <v>0.9</v>
      </c>
      <c r="BE58" s="3">
        <v>0.5</v>
      </c>
      <c r="BF58" s="3">
        <v>0.6</v>
      </c>
      <c r="BG58" s="3">
        <v>0.73</v>
      </c>
      <c r="BH58" s="6">
        <v>935.40039100000001</v>
      </c>
      <c r="BI58" s="3">
        <v>0.01</v>
      </c>
      <c r="BK58" s="3" t="s">
        <v>47</v>
      </c>
      <c r="BL58" s="3">
        <v>0.94</v>
      </c>
      <c r="BM58" s="7">
        <v>947.45117200000004</v>
      </c>
      <c r="BN58" s="3">
        <v>5.0000000000000001E-3</v>
      </c>
      <c r="BO58" s="3">
        <f t="shared" si="7"/>
        <v>0.83499999999999996</v>
      </c>
    </row>
    <row r="59" spans="1:67" x14ac:dyDescent="0.3">
      <c r="A59" s="3" t="s">
        <v>48</v>
      </c>
      <c r="B59" s="3">
        <v>0.9</v>
      </c>
      <c r="C59" s="3">
        <v>0.5</v>
      </c>
      <c r="D59" s="3">
        <v>0.6</v>
      </c>
      <c r="E59" s="3">
        <v>0.87</v>
      </c>
      <c r="F59" s="6">
        <v>505.35818499999999</v>
      </c>
      <c r="G59" s="3">
        <v>6.0000000000000001E-3</v>
      </c>
      <c r="I59" s="3" t="s">
        <v>48</v>
      </c>
      <c r="J59" s="3">
        <v>0.85</v>
      </c>
      <c r="K59" s="7">
        <v>529.74853499999995</v>
      </c>
      <c r="L59" s="3">
        <v>1.2999999999999999E-2</v>
      </c>
      <c r="M59" s="3">
        <f t="shared" si="4"/>
        <v>0.86</v>
      </c>
      <c r="N59" s="5"/>
      <c r="O59" s="5"/>
      <c r="P59" s="5"/>
      <c r="Q59" s="5"/>
      <c r="S59" s="3" t="s">
        <v>48</v>
      </c>
      <c r="T59" s="3">
        <v>0.9</v>
      </c>
      <c r="U59" s="3">
        <v>0.5</v>
      </c>
      <c r="V59" s="3">
        <v>0.6</v>
      </c>
      <c r="W59" s="3">
        <v>0.88</v>
      </c>
      <c r="X59" s="7">
        <v>490.06985500000002</v>
      </c>
      <c r="Y59" s="3">
        <v>8.9999999999999993E-3</v>
      </c>
      <c r="AA59" s="3" t="s">
        <v>48</v>
      </c>
      <c r="AB59" s="3">
        <v>7.0000000000000007E-2</v>
      </c>
      <c r="AC59" s="6">
        <v>488.77832000000001</v>
      </c>
      <c r="AD59" s="3">
        <v>1E-3</v>
      </c>
      <c r="AE59" s="3">
        <f t="shared" si="5"/>
        <v>0.47499999999999998</v>
      </c>
      <c r="AF59" s="5"/>
      <c r="AG59" s="5"/>
      <c r="AH59" s="5"/>
      <c r="AI59" s="5"/>
      <c r="AK59" s="3" t="s">
        <v>49</v>
      </c>
      <c r="AL59" s="3">
        <v>0.9</v>
      </c>
      <c r="AM59" s="3">
        <v>0.5</v>
      </c>
      <c r="AN59" s="3">
        <v>0.6</v>
      </c>
      <c r="AO59" s="3">
        <v>0.31</v>
      </c>
      <c r="AP59" s="6">
        <v>823.80255099999999</v>
      </c>
      <c r="AQ59" s="3">
        <v>1.4999999999999999E-2</v>
      </c>
      <c r="AS59" s="3" t="s">
        <v>49</v>
      </c>
      <c r="AT59" s="3">
        <v>0.37</v>
      </c>
      <c r="AU59" s="7">
        <v>852.99255400000004</v>
      </c>
      <c r="AV59" s="3">
        <v>3.0000000000000001E-3</v>
      </c>
      <c r="AW59" s="3">
        <f t="shared" si="6"/>
        <v>0.33999999999999997</v>
      </c>
      <c r="AX59" s="5"/>
      <c r="AY59" s="5"/>
      <c r="AZ59" s="5"/>
      <c r="BA59" s="5"/>
      <c r="BC59" s="3" t="s">
        <v>49</v>
      </c>
      <c r="BD59" s="3">
        <v>0.9</v>
      </c>
      <c r="BE59" s="3">
        <v>0.5</v>
      </c>
      <c r="BF59" s="3">
        <v>0.6</v>
      </c>
      <c r="BG59" s="3">
        <v>0.56999999999999995</v>
      </c>
      <c r="BH59" s="7">
        <v>889.14404300000001</v>
      </c>
      <c r="BI59" s="3">
        <v>2.3E-2</v>
      </c>
      <c r="BK59" s="3" t="s">
        <v>49</v>
      </c>
      <c r="BL59" s="3">
        <v>0.12</v>
      </c>
      <c r="BM59" s="6">
        <v>726.34551999999996</v>
      </c>
      <c r="BN59" s="3">
        <v>5.0000000000000001E-3</v>
      </c>
      <c r="BO59" s="3">
        <f t="shared" si="7"/>
        <v>0.34499999999999997</v>
      </c>
    </row>
    <row r="60" spans="1:67" x14ac:dyDescent="0.3">
      <c r="A60" s="3" t="s">
        <v>50</v>
      </c>
      <c r="B60" s="3">
        <v>0.9</v>
      </c>
      <c r="C60" s="3">
        <v>0.5</v>
      </c>
      <c r="D60" s="3">
        <v>0.6</v>
      </c>
      <c r="E60" s="3">
        <v>0.69</v>
      </c>
      <c r="F60" s="7">
        <v>523.51831100000004</v>
      </c>
      <c r="G60" s="3">
        <v>1.0999999999999999E-2</v>
      </c>
      <c r="I60" s="3" t="s">
        <v>50</v>
      </c>
      <c r="J60" s="3">
        <v>0.12</v>
      </c>
      <c r="K60" s="6">
        <v>455.642853</v>
      </c>
      <c r="L60" s="3">
        <v>2E-3</v>
      </c>
      <c r="M60" s="3">
        <f t="shared" si="4"/>
        <v>0.40499999999999997</v>
      </c>
      <c r="N60" s="5"/>
      <c r="O60" s="5"/>
      <c r="P60" s="5"/>
      <c r="Q60" s="5"/>
      <c r="S60" s="3" t="s">
        <v>50</v>
      </c>
      <c r="T60" s="3">
        <v>0.9</v>
      </c>
      <c r="U60" s="3">
        <v>0.5</v>
      </c>
      <c r="V60" s="3">
        <v>0.6</v>
      </c>
      <c r="W60" s="3">
        <v>0.3</v>
      </c>
      <c r="X60" s="7">
        <v>458.80484000000001</v>
      </c>
      <c r="Y60" s="3">
        <v>8.0000000000000002E-3</v>
      </c>
      <c r="AA60" s="3" t="s">
        <v>50</v>
      </c>
      <c r="AB60" s="3">
        <v>0.33</v>
      </c>
      <c r="AC60" s="6">
        <v>441.879211</v>
      </c>
      <c r="AD60" s="3">
        <v>0.01</v>
      </c>
      <c r="AE60" s="3">
        <f t="shared" si="5"/>
        <v>0.315</v>
      </c>
      <c r="AF60" s="5"/>
      <c r="AG60" s="5"/>
      <c r="AH60" s="5"/>
      <c r="AI60" s="5"/>
      <c r="AK60" s="3" t="s">
        <v>51</v>
      </c>
      <c r="AL60" s="3">
        <v>0.9</v>
      </c>
      <c r="AM60" s="3">
        <v>0.5</v>
      </c>
      <c r="AN60" s="3">
        <v>0.6</v>
      </c>
      <c r="AO60" s="3">
        <v>0.6</v>
      </c>
      <c r="AP60" s="7">
        <v>1122.199707</v>
      </c>
      <c r="AQ60" s="3">
        <v>2.1000000000000001E-2</v>
      </c>
      <c r="AS60" s="3" t="s">
        <v>51</v>
      </c>
      <c r="AT60" s="3">
        <v>0.3</v>
      </c>
      <c r="AU60" s="6">
        <v>979.64263900000003</v>
      </c>
      <c r="AV60" s="3">
        <v>1E-3</v>
      </c>
      <c r="AW60" s="3">
        <f t="shared" si="6"/>
        <v>0.44999999999999996</v>
      </c>
      <c r="AX60" s="5"/>
      <c r="AY60" s="5"/>
      <c r="AZ60" s="5"/>
      <c r="BA60" s="5"/>
      <c r="BC60" s="3" t="s">
        <v>51</v>
      </c>
      <c r="BD60" s="3">
        <v>0.9</v>
      </c>
      <c r="BE60" s="3">
        <v>0.5</v>
      </c>
      <c r="BF60" s="3">
        <v>0.6</v>
      </c>
      <c r="BG60" s="3">
        <v>0.97</v>
      </c>
      <c r="BH60" s="6">
        <v>1244.8831789999999</v>
      </c>
      <c r="BI60" s="3">
        <v>2.1000000000000001E-2</v>
      </c>
      <c r="BK60" s="3" t="s">
        <v>51</v>
      </c>
      <c r="BL60" s="3">
        <v>0.99</v>
      </c>
      <c r="BM60" s="6">
        <v>1244.8831789999999</v>
      </c>
      <c r="BN60" s="3">
        <v>5.0000000000000001E-3</v>
      </c>
      <c r="BO60" s="3">
        <f t="shared" si="7"/>
        <v>0.98</v>
      </c>
    </row>
    <row r="61" spans="1:67" x14ac:dyDescent="0.3">
      <c r="A61" s="3" t="s">
        <v>52</v>
      </c>
      <c r="B61" s="3">
        <v>0.9</v>
      </c>
      <c r="C61" s="3">
        <v>0.5</v>
      </c>
      <c r="D61" s="3">
        <v>0.6</v>
      </c>
      <c r="E61" s="3">
        <v>0.57999999999999996</v>
      </c>
      <c r="F61" s="6">
        <v>530.33508300000005</v>
      </c>
      <c r="G61" s="3">
        <v>1.2E-2</v>
      </c>
      <c r="I61" s="3" t="s">
        <v>52</v>
      </c>
      <c r="J61" s="3">
        <v>0.99</v>
      </c>
      <c r="K61" s="7">
        <v>573.04803500000003</v>
      </c>
      <c r="L61" s="3">
        <v>8.0000000000000002E-3</v>
      </c>
      <c r="M61" s="3">
        <f t="shared" si="4"/>
        <v>0.78499999999999992</v>
      </c>
      <c r="N61" s="5"/>
      <c r="O61" s="5"/>
      <c r="P61" s="5"/>
      <c r="Q61" s="5"/>
      <c r="S61" s="3" t="s">
        <v>52</v>
      </c>
      <c r="T61" s="3">
        <v>0.9</v>
      </c>
      <c r="U61" s="3">
        <v>0.5</v>
      </c>
      <c r="V61" s="3">
        <v>0.6</v>
      </c>
      <c r="W61" s="3">
        <v>0.23</v>
      </c>
      <c r="X61" s="6">
        <v>459.364014</v>
      </c>
      <c r="Y61" s="3">
        <v>7.0000000000000001E-3</v>
      </c>
      <c r="AA61" s="3" t="s">
        <v>52</v>
      </c>
      <c r="AB61" s="3">
        <v>0.85</v>
      </c>
      <c r="AC61" s="7">
        <v>539.93908699999997</v>
      </c>
      <c r="AD61" s="3">
        <v>0.01</v>
      </c>
      <c r="AE61" s="3">
        <f t="shared" si="5"/>
        <v>0.54</v>
      </c>
      <c r="AF61" s="5"/>
      <c r="AG61" s="5"/>
      <c r="AH61" s="5"/>
      <c r="AI61" s="5"/>
      <c r="AK61" s="3" t="s">
        <v>53</v>
      </c>
      <c r="AL61" s="3">
        <v>0.9</v>
      </c>
      <c r="AM61" s="3">
        <v>0.5</v>
      </c>
      <c r="AN61" s="3">
        <v>0.6</v>
      </c>
      <c r="AO61" s="3">
        <v>0.82</v>
      </c>
      <c r="AP61" s="7">
        <v>1161.131592</v>
      </c>
      <c r="AQ61" s="3">
        <v>1.7000000000000001E-2</v>
      </c>
      <c r="AS61" s="3" t="s">
        <v>53</v>
      </c>
      <c r="AT61" s="3">
        <v>0.1</v>
      </c>
      <c r="AU61" s="6">
        <v>857.54736300000002</v>
      </c>
      <c r="AV61" s="3">
        <v>6.0000000000000001E-3</v>
      </c>
      <c r="AW61" s="3">
        <f t="shared" si="6"/>
        <v>0.45999999999999996</v>
      </c>
      <c r="AX61" s="5"/>
      <c r="AY61" s="5"/>
      <c r="AZ61" s="5"/>
      <c r="BA61" s="5"/>
      <c r="BC61" s="3" t="s">
        <v>53</v>
      </c>
      <c r="BD61" s="3">
        <v>0.9</v>
      </c>
      <c r="BE61" s="3">
        <v>0.5</v>
      </c>
      <c r="BF61" s="3">
        <v>0.6</v>
      </c>
      <c r="BG61" s="3">
        <v>0.44</v>
      </c>
      <c r="BH61" s="6">
        <v>997.14141800000004</v>
      </c>
      <c r="BI61" s="3">
        <v>2.3E-2</v>
      </c>
      <c r="BK61" s="3" t="s">
        <v>53</v>
      </c>
      <c r="BL61" s="3">
        <v>0.82</v>
      </c>
      <c r="BM61" s="7">
        <v>1146.4812010000001</v>
      </c>
      <c r="BN61" s="3">
        <v>1E-3</v>
      </c>
      <c r="BO61" s="3">
        <f t="shared" si="7"/>
        <v>0.63</v>
      </c>
    </row>
    <row r="62" spans="1:67" x14ac:dyDescent="0.3">
      <c r="A62" s="3" t="s">
        <v>54</v>
      </c>
      <c r="B62" s="3">
        <v>0.9</v>
      </c>
      <c r="C62" s="3">
        <v>0.5</v>
      </c>
      <c r="D62" s="3">
        <v>0.6</v>
      </c>
      <c r="E62" s="3">
        <v>0.01</v>
      </c>
      <c r="F62" s="7">
        <v>580.88555899999994</v>
      </c>
      <c r="G62" s="3">
        <v>2.7E-2</v>
      </c>
      <c r="I62" s="3" t="s">
        <v>54</v>
      </c>
      <c r="J62" s="3">
        <v>0.12</v>
      </c>
      <c r="K62" s="6">
        <v>573.993652</v>
      </c>
      <c r="L62" s="3">
        <v>1E-3</v>
      </c>
      <c r="M62" s="3">
        <f t="shared" si="4"/>
        <v>6.5000000000000002E-2</v>
      </c>
      <c r="N62" s="5"/>
      <c r="O62" s="5"/>
      <c r="P62" s="5"/>
      <c r="Q62" s="5"/>
      <c r="S62" s="3" t="s">
        <v>54</v>
      </c>
      <c r="T62" s="3">
        <v>0.9</v>
      </c>
      <c r="U62" s="3">
        <v>0.5</v>
      </c>
      <c r="V62" s="3">
        <v>0.6</v>
      </c>
      <c r="W62" s="3">
        <v>0.05</v>
      </c>
      <c r="X62" s="6">
        <v>574.77880900000002</v>
      </c>
      <c r="Y62" s="3">
        <v>1.9E-2</v>
      </c>
      <c r="AA62" s="3" t="s">
        <v>54</v>
      </c>
      <c r="AB62" s="3">
        <v>0.99</v>
      </c>
      <c r="AC62" s="7">
        <v>614.49108899999999</v>
      </c>
      <c r="AD62" s="3">
        <v>0</v>
      </c>
      <c r="AE62" s="3">
        <f t="shared" si="5"/>
        <v>0.52</v>
      </c>
      <c r="AF62" s="5"/>
      <c r="AG62" s="5"/>
      <c r="AH62" s="5"/>
      <c r="AI62" s="5"/>
      <c r="AK62" s="3" t="s">
        <v>55</v>
      </c>
      <c r="AL62" s="3">
        <v>0.9</v>
      </c>
      <c r="AM62" s="3">
        <v>0.5</v>
      </c>
      <c r="AN62" s="3">
        <v>0.6</v>
      </c>
      <c r="AO62" s="3">
        <v>0.44</v>
      </c>
      <c r="AP62" s="6">
        <v>1015.68042</v>
      </c>
      <c r="AQ62" s="3">
        <v>2.3E-2</v>
      </c>
      <c r="AS62" s="3" t="s">
        <v>55</v>
      </c>
      <c r="AT62" s="3">
        <v>0.46</v>
      </c>
      <c r="AU62" s="7">
        <v>1037.27124</v>
      </c>
      <c r="AV62" s="3">
        <v>3.0000000000000001E-3</v>
      </c>
      <c r="AW62" s="3">
        <f t="shared" si="6"/>
        <v>0.45</v>
      </c>
      <c r="AX62" s="5"/>
      <c r="AY62" s="5"/>
      <c r="AZ62" s="5"/>
      <c r="BA62" s="5"/>
      <c r="BC62" s="3" t="s">
        <v>55</v>
      </c>
      <c r="BD62" s="3">
        <v>0.9</v>
      </c>
      <c r="BE62" s="3">
        <v>0.5</v>
      </c>
      <c r="BF62" s="3">
        <v>0.6</v>
      </c>
      <c r="BG62" s="3">
        <v>0.93</v>
      </c>
      <c r="BH62" s="7">
        <v>1137.1789550000001</v>
      </c>
      <c r="BI62" s="3">
        <v>1.9E-2</v>
      </c>
      <c r="BK62" s="3" t="s">
        <v>55</v>
      </c>
      <c r="BL62" s="3">
        <v>0.84</v>
      </c>
      <c r="BM62" s="6">
        <v>1115.4998780000001</v>
      </c>
      <c r="BN62" s="3">
        <v>8.0000000000000002E-3</v>
      </c>
      <c r="BO62" s="3">
        <f t="shared" si="7"/>
        <v>0.88500000000000001</v>
      </c>
    </row>
    <row r="63" spans="1:67" x14ac:dyDescent="0.3">
      <c r="A63" s="3" t="s">
        <v>56</v>
      </c>
      <c r="B63" s="3">
        <v>0.9</v>
      </c>
      <c r="C63" s="3">
        <v>0.5</v>
      </c>
      <c r="D63" s="3">
        <v>0.6</v>
      </c>
      <c r="E63" s="3">
        <v>0.93</v>
      </c>
      <c r="F63" s="7">
        <v>577.11499000000003</v>
      </c>
      <c r="G63" s="3">
        <v>8.9999999999999993E-3</v>
      </c>
      <c r="I63" s="3" t="s">
        <v>56</v>
      </c>
      <c r="J63" s="3">
        <v>0.89</v>
      </c>
      <c r="K63" s="6">
        <v>571.09283400000004</v>
      </c>
      <c r="L63" s="3">
        <v>1E-3</v>
      </c>
      <c r="M63" s="3">
        <f t="shared" si="4"/>
        <v>0.91</v>
      </c>
      <c r="N63" s="5"/>
      <c r="O63" s="5"/>
      <c r="P63" s="5"/>
      <c r="Q63" s="5"/>
      <c r="S63" s="3" t="s">
        <v>56</v>
      </c>
      <c r="T63" s="3">
        <v>0.9</v>
      </c>
      <c r="U63" s="3">
        <v>0.5</v>
      </c>
      <c r="V63" s="3">
        <v>0.6</v>
      </c>
      <c r="W63" s="3">
        <v>0.09</v>
      </c>
      <c r="X63" s="7">
        <v>454.64901700000001</v>
      </c>
      <c r="Y63" s="3">
        <v>2.5999999999999999E-2</v>
      </c>
      <c r="AA63" s="3" t="s">
        <v>56</v>
      </c>
      <c r="AB63" s="3">
        <v>0.33</v>
      </c>
      <c r="AC63" s="6">
        <v>447.51660199999998</v>
      </c>
      <c r="AD63" s="3">
        <v>1E-3</v>
      </c>
      <c r="AE63" s="3">
        <f t="shared" si="5"/>
        <v>0.21000000000000002</v>
      </c>
      <c r="AF63" s="5"/>
      <c r="AG63" s="5"/>
      <c r="AH63" s="5"/>
      <c r="AI63" s="5"/>
      <c r="AK63" s="3" t="s">
        <v>57</v>
      </c>
      <c r="AL63" s="3">
        <v>0.9</v>
      </c>
      <c r="AM63" s="3">
        <v>0.5</v>
      </c>
      <c r="AN63" s="3">
        <v>0.6</v>
      </c>
      <c r="AO63" s="3">
        <v>0.46</v>
      </c>
      <c r="AP63" s="6">
        <v>986.64843800000006</v>
      </c>
      <c r="AQ63" s="3">
        <v>1.4E-2</v>
      </c>
      <c r="AS63" s="3" t="s">
        <v>57</v>
      </c>
      <c r="AT63" s="3">
        <v>0.8</v>
      </c>
      <c r="AU63" s="7">
        <v>1121.635986</v>
      </c>
      <c r="AV63" s="3">
        <v>5.0000000000000001E-3</v>
      </c>
      <c r="AW63" s="3">
        <f t="shared" si="6"/>
        <v>0.63</v>
      </c>
      <c r="AX63" s="5"/>
      <c r="AY63" s="5"/>
      <c r="AZ63" s="5"/>
      <c r="BA63" s="5"/>
      <c r="BC63" s="3" t="s">
        <v>57</v>
      </c>
      <c r="BD63" s="3">
        <v>0.9</v>
      </c>
      <c r="BE63" s="3">
        <v>0.5</v>
      </c>
      <c r="BF63" s="3">
        <v>0.6</v>
      </c>
      <c r="BG63" s="3">
        <v>0.39</v>
      </c>
      <c r="BH63" s="6">
        <v>978.18066399999998</v>
      </c>
      <c r="BI63" s="3">
        <v>2.3E-2</v>
      </c>
      <c r="BK63" s="3" t="s">
        <v>57</v>
      </c>
      <c r="BL63" s="3">
        <v>0.66</v>
      </c>
      <c r="BM63" s="7">
        <v>1066.924561</v>
      </c>
      <c r="BN63" s="3">
        <v>1E-3</v>
      </c>
      <c r="BO63" s="3">
        <f t="shared" si="7"/>
        <v>0.52500000000000002</v>
      </c>
    </row>
    <row r="64" spans="1:67" x14ac:dyDescent="0.3">
      <c r="A64" s="3" t="s">
        <v>58</v>
      </c>
      <c r="B64" s="3">
        <v>0.9</v>
      </c>
      <c r="C64" s="3">
        <v>0.5</v>
      </c>
      <c r="D64" s="3">
        <v>0.6</v>
      </c>
      <c r="E64" s="3">
        <v>0.59</v>
      </c>
      <c r="F64" s="7">
        <v>543.69921899999997</v>
      </c>
      <c r="G64" s="3">
        <v>2.1999999999999999E-2</v>
      </c>
      <c r="I64" s="3" t="s">
        <v>58</v>
      </c>
      <c r="J64" s="3">
        <v>0.53</v>
      </c>
      <c r="K64" s="6">
        <v>530.52410899999995</v>
      </c>
      <c r="L64" s="3">
        <v>7.0000000000000001E-3</v>
      </c>
      <c r="M64" s="3">
        <f t="shared" si="4"/>
        <v>0.56000000000000005</v>
      </c>
      <c r="N64" s="5"/>
      <c r="O64" s="5"/>
      <c r="P64" s="5"/>
      <c r="Q64" s="5"/>
      <c r="S64" s="3" t="s">
        <v>58</v>
      </c>
      <c r="T64" s="3">
        <v>0.9</v>
      </c>
      <c r="U64" s="3">
        <v>0.5</v>
      </c>
      <c r="V64" s="3">
        <v>0.6</v>
      </c>
      <c r="W64" s="3">
        <v>0.53</v>
      </c>
      <c r="X64" s="7">
        <v>530.34112500000003</v>
      </c>
      <c r="Y64" s="3">
        <v>8.9999999999999993E-3</v>
      </c>
      <c r="AA64" s="3" t="s">
        <v>58</v>
      </c>
      <c r="AB64" s="3">
        <v>0.23</v>
      </c>
      <c r="AC64" s="6">
        <v>461.47448700000001</v>
      </c>
      <c r="AD64" s="3">
        <v>0</v>
      </c>
      <c r="AE64" s="3">
        <f t="shared" si="5"/>
        <v>0.38</v>
      </c>
      <c r="AF64" s="5"/>
      <c r="AG64" s="5"/>
      <c r="AH64" s="5"/>
      <c r="AI64" s="5"/>
      <c r="AK64" s="3" t="s">
        <v>59</v>
      </c>
      <c r="AL64" s="3">
        <v>0.9</v>
      </c>
      <c r="AM64" s="3">
        <v>0.5</v>
      </c>
      <c r="AN64" s="3">
        <v>0.6</v>
      </c>
      <c r="AO64" s="3">
        <v>0.08</v>
      </c>
      <c r="AP64" s="6">
        <v>759.77484100000004</v>
      </c>
      <c r="AQ64" s="3">
        <v>1.6E-2</v>
      </c>
      <c r="AS64" s="3" t="s">
        <v>59</v>
      </c>
      <c r="AT64" s="3">
        <v>0.83</v>
      </c>
      <c r="AU64" s="7">
        <v>1053.319092</v>
      </c>
      <c r="AV64" s="3">
        <v>1E-3</v>
      </c>
      <c r="AW64" s="3">
        <f t="shared" si="6"/>
        <v>0.45499999999999996</v>
      </c>
      <c r="AX64" s="5"/>
      <c r="AY64" s="5"/>
      <c r="AZ64" s="5"/>
      <c r="BA64" s="5"/>
      <c r="BC64" s="3" t="s">
        <v>59</v>
      </c>
      <c r="BD64" s="3">
        <v>0.9</v>
      </c>
      <c r="BE64" s="3">
        <v>0.5</v>
      </c>
      <c r="BF64" s="3">
        <v>0.6</v>
      </c>
      <c r="BG64" s="3">
        <v>0.94</v>
      </c>
      <c r="BH64" s="7">
        <v>1099.02478</v>
      </c>
      <c r="BI64" s="3">
        <v>1.2E-2</v>
      </c>
      <c r="BK64" s="3" t="s">
        <v>59</v>
      </c>
      <c r="BL64" s="3">
        <v>0.6</v>
      </c>
      <c r="BM64" s="6">
        <v>1018.080933</v>
      </c>
      <c r="BN64" s="3">
        <v>1E-3</v>
      </c>
      <c r="BO64" s="3">
        <f t="shared" si="7"/>
        <v>0.77</v>
      </c>
    </row>
    <row r="65" spans="1:71" x14ac:dyDescent="0.3">
      <c r="A65" s="3" t="s">
        <v>60</v>
      </c>
      <c r="B65" s="3">
        <v>0.9</v>
      </c>
      <c r="C65" s="3">
        <v>0.5</v>
      </c>
      <c r="D65" s="3">
        <v>0.6</v>
      </c>
      <c r="E65" s="3">
        <v>0.54</v>
      </c>
      <c r="F65" s="6">
        <v>614.75720200000001</v>
      </c>
      <c r="G65" s="3">
        <v>1.2999999999999999E-2</v>
      </c>
      <c r="I65" s="3" t="s">
        <v>60</v>
      </c>
      <c r="J65" s="3">
        <v>0.13</v>
      </c>
      <c r="K65" s="7">
        <v>618.71691899999996</v>
      </c>
      <c r="L65" s="3">
        <v>1E-3</v>
      </c>
      <c r="M65" s="3">
        <f t="shared" si="4"/>
        <v>0.33500000000000002</v>
      </c>
      <c r="N65" s="5"/>
      <c r="O65" s="5"/>
      <c r="P65" s="5"/>
      <c r="Q65" s="5"/>
      <c r="S65" s="3" t="s">
        <v>60</v>
      </c>
      <c r="T65" s="3">
        <v>0.9</v>
      </c>
      <c r="U65" s="3">
        <v>0.5</v>
      </c>
      <c r="V65" s="3">
        <v>0.6</v>
      </c>
      <c r="W65" s="3">
        <v>0.64</v>
      </c>
      <c r="X65" s="7">
        <v>617.78466800000001</v>
      </c>
      <c r="Y65" s="3">
        <v>1.0999999999999999E-2</v>
      </c>
      <c r="AA65" s="3" t="s">
        <v>60</v>
      </c>
      <c r="AB65" s="3">
        <v>0.28000000000000003</v>
      </c>
      <c r="AC65" s="6">
        <v>566.19207800000004</v>
      </c>
      <c r="AD65" s="3">
        <v>2E-3</v>
      </c>
      <c r="AE65" s="3">
        <f t="shared" si="5"/>
        <v>0.46</v>
      </c>
      <c r="AF65" s="5"/>
      <c r="AG65" s="5"/>
      <c r="AH65" s="5"/>
      <c r="AI65" s="5"/>
      <c r="AK65" s="3" t="s">
        <v>61</v>
      </c>
      <c r="AL65" s="3">
        <v>0.9</v>
      </c>
      <c r="AM65" s="3">
        <v>0.5</v>
      </c>
      <c r="AN65" s="3">
        <v>0.6</v>
      </c>
      <c r="AO65" s="3">
        <v>0.46</v>
      </c>
      <c r="AP65" s="6">
        <v>1084.8055420000001</v>
      </c>
      <c r="AQ65" s="3">
        <v>2.9000000000000001E-2</v>
      </c>
      <c r="AS65" s="3" t="s">
        <v>61</v>
      </c>
      <c r="AT65" s="3">
        <v>0.93</v>
      </c>
      <c r="AU65" s="7">
        <v>1227.309448</v>
      </c>
      <c r="AV65" s="3">
        <v>4.0000000000000001E-3</v>
      </c>
      <c r="AW65" s="3">
        <f t="shared" si="6"/>
        <v>0.69500000000000006</v>
      </c>
      <c r="AX65" s="5"/>
      <c r="AY65" s="5"/>
      <c r="AZ65" s="5"/>
      <c r="BA65" s="5"/>
      <c r="BC65" s="3" t="s">
        <v>61</v>
      </c>
      <c r="BD65" s="3">
        <v>0.9</v>
      </c>
      <c r="BE65" s="3">
        <v>0.5</v>
      </c>
      <c r="BF65" s="3">
        <v>0.6</v>
      </c>
      <c r="BG65" s="3">
        <v>0.65</v>
      </c>
      <c r="BH65" s="6">
        <v>1121.7337649999999</v>
      </c>
      <c r="BI65" s="3">
        <v>1.2999999999999999E-2</v>
      </c>
      <c r="BK65" s="3" t="s">
        <v>61</v>
      </c>
      <c r="BL65" s="3">
        <v>0.71</v>
      </c>
      <c r="BM65" s="7">
        <v>1147.748779</v>
      </c>
      <c r="BN65" s="3">
        <v>1E-3</v>
      </c>
      <c r="BO65" s="3">
        <f t="shared" si="7"/>
        <v>0.67999999999999994</v>
      </c>
    </row>
    <row r="66" spans="1:71" x14ac:dyDescent="0.3">
      <c r="A66" s="3" t="s">
        <v>62</v>
      </c>
      <c r="B66" s="3">
        <v>0.9</v>
      </c>
      <c r="C66" s="3">
        <v>0.5</v>
      </c>
      <c r="D66" s="3">
        <v>0.6</v>
      </c>
      <c r="E66" s="3">
        <v>0.71</v>
      </c>
      <c r="F66" s="6">
        <v>418.71951300000001</v>
      </c>
      <c r="G66" s="3">
        <v>3.2000000000000001E-2</v>
      </c>
      <c r="I66" s="3" t="s">
        <v>62</v>
      </c>
      <c r="J66" s="3">
        <v>0.94</v>
      </c>
      <c r="K66" s="7">
        <v>454.167664</v>
      </c>
      <c r="L66" s="3">
        <v>6.0000000000000001E-3</v>
      </c>
      <c r="M66" s="3">
        <f t="shared" si="4"/>
        <v>0.82499999999999996</v>
      </c>
      <c r="N66" s="5"/>
      <c r="O66" s="5"/>
      <c r="P66" s="5"/>
      <c r="Q66" s="5"/>
      <c r="S66" s="3" t="s">
        <v>62</v>
      </c>
      <c r="T66" s="3">
        <v>0.9</v>
      </c>
      <c r="U66" s="3">
        <v>0.5</v>
      </c>
      <c r="V66" s="3">
        <v>0.6</v>
      </c>
      <c r="W66" s="3">
        <v>0.71</v>
      </c>
      <c r="X66" s="7">
        <v>412.57354700000002</v>
      </c>
      <c r="Y66" s="3">
        <v>2.3E-2</v>
      </c>
      <c r="AA66" s="3" t="s">
        <v>62</v>
      </c>
      <c r="AB66" s="3">
        <v>0.61</v>
      </c>
      <c r="AC66" s="6">
        <v>402.32195999999999</v>
      </c>
      <c r="AD66" s="3">
        <v>2E-3</v>
      </c>
      <c r="AE66" s="3">
        <f t="shared" si="5"/>
        <v>0.65999999999999992</v>
      </c>
      <c r="AF66" s="5"/>
      <c r="AG66" s="5"/>
      <c r="AH66" s="5"/>
      <c r="AI66" s="5"/>
      <c r="AK66" s="3" t="s">
        <v>63</v>
      </c>
      <c r="AL66" s="3">
        <v>0.9</v>
      </c>
      <c r="AM66" s="3">
        <v>0.5</v>
      </c>
      <c r="AN66" s="3">
        <v>0.6</v>
      </c>
      <c r="AO66" s="3">
        <v>0.94</v>
      </c>
      <c r="AP66" s="7">
        <v>1138.9736330000001</v>
      </c>
      <c r="AQ66" s="3">
        <v>2.4E-2</v>
      </c>
      <c r="AS66" s="3" t="s">
        <v>63</v>
      </c>
      <c r="AT66" s="3">
        <v>0.63</v>
      </c>
      <c r="AU66" s="6">
        <v>1088.6719969999999</v>
      </c>
      <c r="AV66" s="3">
        <v>5.0000000000000001E-3</v>
      </c>
      <c r="AW66" s="3">
        <f t="shared" si="6"/>
        <v>0.78499999999999992</v>
      </c>
      <c r="AX66" s="5"/>
      <c r="AY66" s="5"/>
      <c r="AZ66" s="5"/>
      <c r="BA66" s="5"/>
      <c r="BC66" s="3" t="s">
        <v>63</v>
      </c>
      <c r="BD66" s="3">
        <v>0.9</v>
      </c>
      <c r="BE66" s="3">
        <v>0.5</v>
      </c>
      <c r="BF66" s="3">
        <v>0.6</v>
      </c>
      <c r="BG66" s="3">
        <v>0.9</v>
      </c>
      <c r="BH66" s="7">
        <v>1141.4655760000001</v>
      </c>
      <c r="BI66" s="3">
        <v>1.4999999999999999E-2</v>
      </c>
      <c r="BK66" s="3" t="s">
        <v>63</v>
      </c>
      <c r="BL66" s="3">
        <v>0.13</v>
      </c>
      <c r="BM66" s="6">
        <v>811.59411599999999</v>
      </c>
      <c r="BN66" s="3">
        <v>2E-3</v>
      </c>
      <c r="BO66" s="3">
        <f t="shared" si="7"/>
        <v>0.51500000000000001</v>
      </c>
    </row>
    <row r="67" spans="1:71" x14ac:dyDescent="0.3">
      <c r="A67" s="3" t="s">
        <v>64</v>
      </c>
      <c r="B67" s="3">
        <v>0.9</v>
      </c>
      <c r="C67" s="3">
        <v>0.5</v>
      </c>
      <c r="D67" s="3">
        <v>0.6</v>
      </c>
      <c r="E67" s="3">
        <v>0.96</v>
      </c>
      <c r="F67" s="7">
        <v>626.46758999999997</v>
      </c>
      <c r="G67" s="3">
        <v>1.4999999999999999E-2</v>
      </c>
      <c r="I67" s="3" t="s">
        <v>64</v>
      </c>
      <c r="J67" s="3">
        <v>0.28000000000000003</v>
      </c>
      <c r="K67" s="6">
        <v>561.22814900000003</v>
      </c>
      <c r="L67" s="3">
        <v>7.0000000000000001E-3</v>
      </c>
      <c r="M67" s="3">
        <f t="shared" si="4"/>
        <v>0.62</v>
      </c>
      <c r="N67" s="5"/>
      <c r="O67" s="5"/>
      <c r="P67" s="5"/>
      <c r="Q67" s="5"/>
      <c r="S67" s="3" t="s">
        <v>64</v>
      </c>
      <c r="T67" s="3">
        <v>0.9</v>
      </c>
      <c r="U67" s="3">
        <v>0.5</v>
      </c>
      <c r="V67" s="3">
        <v>0.6</v>
      </c>
      <c r="W67" s="3">
        <v>0.1</v>
      </c>
      <c r="X67" s="7">
        <v>584.44262700000002</v>
      </c>
      <c r="Y67" s="3">
        <v>1.0999999999999999E-2</v>
      </c>
      <c r="AA67" s="3" t="s">
        <v>64</v>
      </c>
      <c r="AB67" s="3">
        <v>0.39</v>
      </c>
      <c r="AC67" s="6">
        <v>566.50073199999997</v>
      </c>
      <c r="AD67" s="3">
        <v>5.0000000000000001E-3</v>
      </c>
      <c r="AE67" s="3">
        <f t="shared" si="5"/>
        <v>0.245</v>
      </c>
      <c r="AF67" s="5"/>
      <c r="AG67" s="5"/>
      <c r="AH67" s="5"/>
      <c r="AI67" s="5"/>
      <c r="AK67" s="3" t="s">
        <v>65</v>
      </c>
      <c r="AL67" s="3">
        <v>0.9</v>
      </c>
      <c r="AM67" s="3">
        <v>0.5</v>
      </c>
      <c r="AN67" s="3">
        <v>0.6</v>
      </c>
      <c r="AO67" s="3">
        <v>0.87</v>
      </c>
      <c r="AP67" s="7">
        <v>1157.4842530000001</v>
      </c>
      <c r="AQ67" s="3">
        <v>1.7999999999999999E-2</v>
      </c>
      <c r="AS67" s="3" t="s">
        <v>65</v>
      </c>
      <c r="AT67" s="3">
        <v>0.5</v>
      </c>
      <c r="AU67" s="6">
        <v>993.82818599999996</v>
      </c>
      <c r="AV67" s="3">
        <v>1E-3</v>
      </c>
      <c r="AW67" s="3">
        <f t="shared" si="6"/>
        <v>0.68500000000000005</v>
      </c>
      <c r="AX67" s="5"/>
      <c r="AY67" s="5"/>
      <c r="AZ67" s="5"/>
      <c r="BA67" s="5"/>
      <c r="BC67" s="3" t="s">
        <v>65</v>
      </c>
      <c r="BD67" s="3">
        <v>0.9</v>
      </c>
      <c r="BE67" s="3">
        <v>0.5</v>
      </c>
      <c r="BF67" s="3">
        <v>0.6</v>
      </c>
      <c r="BG67" s="3">
        <v>0.03</v>
      </c>
      <c r="BH67" s="6">
        <v>797.10034199999996</v>
      </c>
      <c r="BI67" s="3">
        <v>2.4E-2</v>
      </c>
      <c r="BK67" s="3" t="s">
        <v>65</v>
      </c>
      <c r="BL67" s="3">
        <v>0.64</v>
      </c>
      <c r="BM67" s="7">
        <v>1062.0299070000001</v>
      </c>
      <c r="BN67" s="3">
        <v>1E-3</v>
      </c>
      <c r="BO67" s="3">
        <f t="shared" si="7"/>
        <v>0.33500000000000002</v>
      </c>
    </row>
    <row r="68" spans="1:71" x14ac:dyDescent="0.3">
      <c r="A68" s="3" t="s">
        <v>66</v>
      </c>
      <c r="B68" s="3">
        <v>0.9</v>
      </c>
      <c r="C68" s="3">
        <v>0.5</v>
      </c>
      <c r="D68" s="3">
        <v>0.6</v>
      </c>
      <c r="E68" s="3">
        <v>0.9</v>
      </c>
      <c r="F68" s="7">
        <v>600.08453399999996</v>
      </c>
      <c r="G68" s="3">
        <v>0.02</v>
      </c>
      <c r="I68" s="3" t="s">
        <v>66</v>
      </c>
      <c r="J68" s="3">
        <v>0.42</v>
      </c>
      <c r="K68" s="6">
        <v>523.20550500000002</v>
      </c>
      <c r="L68" s="3">
        <v>2E-3</v>
      </c>
      <c r="M68" s="3">
        <f t="shared" si="4"/>
        <v>0.66</v>
      </c>
      <c r="N68" s="5"/>
      <c r="O68" s="5"/>
      <c r="P68" s="5"/>
      <c r="Q68" s="5"/>
      <c r="S68" s="3" t="s">
        <v>66</v>
      </c>
      <c r="T68" s="3">
        <v>0.9</v>
      </c>
      <c r="U68" s="3">
        <v>0.5</v>
      </c>
      <c r="V68" s="3">
        <v>0.6</v>
      </c>
      <c r="W68" s="3">
        <v>0.92</v>
      </c>
      <c r="X68" s="7">
        <v>594.48809800000004</v>
      </c>
      <c r="Y68" s="3">
        <v>2.9000000000000001E-2</v>
      </c>
      <c r="AA68" s="3" t="s">
        <v>66</v>
      </c>
      <c r="AB68" s="3">
        <v>0.95</v>
      </c>
      <c r="AC68" s="6">
        <v>582.39849900000002</v>
      </c>
      <c r="AD68" s="3">
        <v>0.01</v>
      </c>
      <c r="AE68" s="3">
        <f t="shared" si="5"/>
        <v>0.93500000000000005</v>
      </c>
      <c r="AF68" s="5"/>
      <c r="AG68" s="5"/>
      <c r="AH68" s="5"/>
      <c r="AI68" s="5"/>
      <c r="AK68" s="3" t="s">
        <v>67</v>
      </c>
      <c r="AL68" s="3">
        <v>0.9</v>
      </c>
      <c r="AM68" s="3">
        <v>0.5</v>
      </c>
      <c r="AN68" s="3">
        <v>0.6</v>
      </c>
      <c r="AO68" s="3">
        <v>0.49</v>
      </c>
      <c r="AP68" s="6">
        <v>1050.8127440000001</v>
      </c>
      <c r="AQ68" s="3">
        <v>0.01</v>
      </c>
      <c r="AS68" s="3" t="s">
        <v>67</v>
      </c>
      <c r="AT68" s="3">
        <v>0.56999999999999995</v>
      </c>
      <c r="AU68" s="7">
        <v>1076.8480219999999</v>
      </c>
      <c r="AV68" s="3">
        <v>3.0000000000000001E-3</v>
      </c>
      <c r="AW68" s="3">
        <f t="shared" si="6"/>
        <v>0.53</v>
      </c>
      <c r="AX68" s="5"/>
      <c r="AY68" s="5"/>
      <c r="AZ68" s="5"/>
      <c r="BA68" s="5"/>
      <c r="BC68" s="3" t="s">
        <v>67</v>
      </c>
      <c r="BD68" s="3">
        <v>0.9</v>
      </c>
      <c r="BE68" s="3">
        <v>0.5</v>
      </c>
      <c r="BF68" s="3">
        <v>0.6</v>
      </c>
      <c r="BG68" s="3">
        <v>0.31</v>
      </c>
      <c r="BH68" s="6">
        <v>961.68780500000003</v>
      </c>
      <c r="BI68" s="3">
        <v>1.4E-2</v>
      </c>
      <c r="BK68" s="3" t="s">
        <v>67</v>
      </c>
      <c r="BL68" s="3">
        <v>0.42</v>
      </c>
      <c r="BM68" s="7">
        <v>1018.998779</v>
      </c>
      <c r="BN68" s="3">
        <v>1E-3</v>
      </c>
      <c r="BO68" s="3">
        <f t="shared" si="7"/>
        <v>0.36499999999999999</v>
      </c>
    </row>
    <row r="69" spans="1:71" x14ac:dyDescent="0.3">
      <c r="A69" s="3" t="s">
        <v>68</v>
      </c>
      <c r="B69" s="3">
        <v>0.9</v>
      </c>
      <c r="C69" s="3">
        <v>0.5</v>
      </c>
      <c r="D69" s="3">
        <v>0.6</v>
      </c>
      <c r="E69" s="3">
        <v>0.66</v>
      </c>
      <c r="F69" s="7">
        <v>409.623199</v>
      </c>
      <c r="G69" s="3">
        <v>1.2E-2</v>
      </c>
      <c r="I69" s="3" t="s">
        <v>68</v>
      </c>
      <c r="J69" s="3">
        <v>0.3</v>
      </c>
      <c r="K69" s="6">
        <v>398.85427900000002</v>
      </c>
      <c r="L69" s="3">
        <v>3.0000000000000001E-3</v>
      </c>
      <c r="M69" s="3">
        <f t="shared" si="4"/>
        <v>0.48</v>
      </c>
      <c r="N69" s="5"/>
      <c r="O69" s="5"/>
      <c r="P69" s="5"/>
      <c r="Q69" s="5"/>
      <c r="S69" s="3" t="s">
        <v>68</v>
      </c>
      <c r="T69" s="3">
        <v>0.9</v>
      </c>
      <c r="U69" s="3">
        <v>0.5</v>
      </c>
      <c r="V69" s="3">
        <v>0.6</v>
      </c>
      <c r="W69" s="3">
        <v>0.37</v>
      </c>
      <c r="X69" s="6">
        <v>391.63028000000003</v>
      </c>
      <c r="Y69" s="3">
        <v>1.4999999999999999E-2</v>
      </c>
      <c r="AA69" s="3" t="s">
        <v>68</v>
      </c>
      <c r="AB69" s="3">
        <v>0.88</v>
      </c>
      <c r="AC69" s="7">
        <v>406.03457600000002</v>
      </c>
      <c r="AD69" s="3">
        <v>3.0000000000000001E-3</v>
      </c>
      <c r="AE69" s="3">
        <f t="shared" si="5"/>
        <v>0.625</v>
      </c>
      <c r="AF69" s="5"/>
      <c r="AG69" s="5"/>
      <c r="AH69" s="5"/>
      <c r="AI69" s="5"/>
      <c r="AK69" s="3" t="s">
        <v>69</v>
      </c>
      <c r="AL69" s="3">
        <v>0.9</v>
      </c>
      <c r="AM69" s="3">
        <v>0.5</v>
      </c>
      <c r="AN69" s="3">
        <v>0.6</v>
      </c>
      <c r="AO69" s="3">
        <v>0.66</v>
      </c>
      <c r="AP69" s="7">
        <v>1124.822754</v>
      </c>
      <c r="AQ69" s="3">
        <v>2.1000000000000001E-2</v>
      </c>
      <c r="AS69" s="3" t="s">
        <v>69</v>
      </c>
      <c r="AT69" s="3">
        <v>0.59</v>
      </c>
      <c r="AU69" s="6">
        <v>1092.8725589999999</v>
      </c>
      <c r="AV69" s="3">
        <v>1E-3</v>
      </c>
      <c r="AW69" s="3">
        <f t="shared" si="6"/>
        <v>0.625</v>
      </c>
      <c r="AX69" s="5"/>
      <c r="AY69" s="5"/>
      <c r="AZ69" s="5"/>
      <c r="BA69" s="5"/>
      <c r="BC69" s="3" t="s">
        <v>69</v>
      </c>
      <c r="BD69" s="3">
        <v>0.9</v>
      </c>
      <c r="BE69" s="3">
        <v>0.5</v>
      </c>
      <c r="BF69" s="3">
        <v>0.6</v>
      </c>
      <c r="BG69" s="3">
        <v>0.86</v>
      </c>
      <c r="BH69" s="6">
        <v>1179.2617190000001</v>
      </c>
      <c r="BI69" s="3">
        <v>1.2E-2</v>
      </c>
      <c r="BK69" s="3" t="s">
        <v>69</v>
      </c>
      <c r="BL69" s="3">
        <v>0.95</v>
      </c>
      <c r="BM69" s="7">
        <v>1212.0897219999999</v>
      </c>
      <c r="BN69" s="3">
        <v>2E-3</v>
      </c>
      <c r="BO69" s="3">
        <f t="shared" si="7"/>
        <v>0.90500000000000003</v>
      </c>
    </row>
    <row r="70" spans="1:71" x14ac:dyDescent="0.3">
      <c r="A70" s="9" t="s">
        <v>316</v>
      </c>
      <c r="E70" s="9">
        <f>AVERAGE(E40:E69)</f>
        <v>0.50700000000000012</v>
      </c>
      <c r="I70" s="9" t="s">
        <v>316</v>
      </c>
      <c r="J70" s="9">
        <f>AVERAGE(J40:J69)</f>
        <v>0.51433333333333331</v>
      </c>
      <c r="M70" s="5"/>
      <c r="N70" s="5"/>
      <c r="O70" s="5"/>
      <c r="P70" s="5"/>
      <c r="Q70" s="5"/>
      <c r="S70" s="9" t="s">
        <v>316</v>
      </c>
      <c r="W70" s="9">
        <f>AVERAGE(W40:W69)</f>
        <v>0.49166666666666675</v>
      </c>
      <c r="AA70" s="9" t="s">
        <v>316</v>
      </c>
      <c r="AB70" s="9">
        <f>AVERAGE(AB40:AB69)</f>
        <v>0.52533333333333343</v>
      </c>
      <c r="AE70" s="5"/>
      <c r="AF70" s="5"/>
      <c r="AG70" s="5"/>
      <c r="AH70" s="5"/>
      <c r="AI70" s="5"/>
      <c r="AK70" s="9" t="s">
        <v>316</v>
      </c>
      <c r="AO70" s="9">
        <f>AVERAGE(AO40:AO69)</f>
        <v>0.46333333333333343</v>
      </c>
      <c r="AS70" s="9" t="s">
        <v>316</v>
      </c>
      <c r="AT70" s="9">
        <f>AVERAGE(AT40:AT69)</f>
        <v>0.47800000000000004</v>
      </c>
      <c r="AW70" s="5"/>
      <c r="AX70" s="5"/>
      <c r="AY70" s="5"/>
      <c r="AZ70" s="5"/>
      <c r="BA70" s="5"/>
      <c r="BC70" s="9" t="s">
        <v>316</v>
      </c>
      <c r="BG70" s="9">
        <f>AVERAGE(BG40:BG69)</f>
        <v>0.46566666666666662</v>
      </c>
      <c r="BK70" s="9" t="s">
        <v>316</v>
      </c>
      <c r="BL70" s="9">
        <f>AVERAGE(BL40:BL69)</f>
        <v>0.5079999999999999</v>
      </c>
      <c r="BO70" s="5"/>
    </row>
    <row r="71" spans="1:71" x14ac:dyDescent="0.3">
      <c r="M71" s="5"/>
      <c r="N71" s="5"/>
      <c r="O71" s="5"/>
      <c r="P71" s="5"/>
      <c r="Q71" s="5"/>
      <c r="AE71" s="5"/>
      <c r="AF71" s="5"/>
      <c r="AG71" s="5"/>
      <c r="AH71" s="5"/>
      <c r="AI71" s="5"/>
      <c r="AW71" s="5"/>
      <c r="AX71" s="5"/>
      <c r="AY71" s="5"/>
      <c r="AZ71" s="5"/>
      <c r="BA71" s="5"/>
      <c r="BO71" s="5"/>
    </row>
    <row r="72" spans="1:71" x14ac:dyDescent="0.3">
      <c r="M72" s="5"/>
      <c r="N72" s="5"/>
      <c r="O72" s="5"/>
      <c r="P72" s="5"/>
      <c r="Q72" s="5"/>
      <c r="AE72" s="5"/>
      <c r="AF72" s="5"/>
      <c r="AG72" s="5"/>
      <c r="AH72" s="5"/>
      <c r="AI72" s="5"/>
      <c r="AW72" s="5"/>
      <c r="AX72" s="5"/>
      <c r="AY72" s="5"/>
      <c r="AZ72" s="5"/>
      <c r="BA72" s="5"/>
      <c r="BO72" s="5"/>
    </row>
    <row r="73" spans="1:71" x14ac:dyDescent="0.3">
      <c r="A73" s="20" t="s">
        <v>314</v>
      </c>
      <c r="B73" s="21"/>
      <c r="C73" s="21"/>
      <c r="D73" s="21"/>
      <c r="E73" s="21"/>
      <c r="F73" s="21"/>
      <c r="G73" s="22"/>
      <c r="I73" s="20" t="s">
        <v>315</v>
      </c>
      <c r="J73" s="21"/>
      <c r="K73" s="21"/>
      <c r="L73" s="21"/>
      <c r="M73" s="22"/>
      <c r="N73" s="11"/>
      <c r="O73" s="11"/>
      <c r="P73" s="11"/>
      <c r="Q73" s="11"/>
      <c r="S73" s="20" t="s">
        <v>314</v>
      </c>
      <c r="T73" s="21"/>
      <c r="U73" s="21"/>
      <c r="V73" s="21"/>
      <c r="W73" s="21"/>
      <c r="X73" s="21"/>
      <c r="Y73" s="22"/>
      <c r="AA73" s="20" t="s">
        <v>315</v>
      </c>
      <c r="AB73" s="21"/>
      <c r="AC73" s="21"/>
      <c r="AD73" s="21"/>
      <c r="AE73" s="22"/>
      <c r="AF73" s="11"/>
      <c r="AG73" s="11"/>
      <c r="AH73" s="11"/>
      <c r="AI73" s="11"/>
      <c r="AK73" s="20" t="s">
        <v>314</v>
      </c>
      <c r="AL73" s="21"/>
      <c r="AM73" s="21"/>
      <c r="AN73" s="21"/>
      <c r="AO73" s="21"/>
      <c r="AP73" s="21"/>
      <c r="AQ73" s="22"/>
      <c r="AS73" s="20" t="s">
        <v>315</v>
      </c>
      <c r="AT73" s="21"/>
      <c r="AU73" s="21"/>
      <c r="AV73" s="21"/>
      <c r="AW73" s="22"/>
      <c r="AX73" s="11"/>
      <c r="AY73" s="11"/>
      <c r="AZ73" s="11"/>
      <c r="BA73" s="11"/>
      <c r="BC73" s="20" t="s">
        <v>314</v>
      </c>
      <c r="BD73" s="21"/>
      <c r="BE73" s="21"/>
      <c r="BF73" s="21"/>
      <c r="BG73" s="21"/>
      <c r="BH73" s="21"/>
      <c r="BI73" s="22"/>
      <c r="BK73" s="20" t="s">
        <v>315</v>
      </c>
      <c r="BL73" s="21"/>
      <c r="BM73" s="21"/>
      <c r="BN73" s="21"/>
      <c r="BO73" s="22"/>
    </row>
    <row r="74" spans="1:71" x14ac:dyDescent="0.3">
      <c r="A74" s="3" t="s">
        <v>72</v>
      </c>
      <c r="B74" s="3"/>
      <c r="C74" s="3"/>
      <c r="D74" s="3"/>
      <c r="E74" s="3"/>
      <c r="F74" s="3"/>
      <c r="G74" s="3"/>
      <c r="H74" s="5"/>
      <c r="I74" s="3" t="s">
        <v>72</v>
      </c>
      <c r="J74" s="3"/>
      <c r="K74" s="3"/>
      <c r="L74" s="3"/>
      <c r="M74" s="3"/>
      <c r="N74" s="3" t="s">
        <v>322</v>
      </c>
      <c r="O74" s="3" t="s">
        <v>323</v>
      </c>
      <c r="P74" s="3" t="s">
        <v>322</v>
      </c>
      <c r="Q74" s="3" t="s">
        <v>323</v>
      </c>
      <c r="S74" s="3" t="s">
        <v>73</v>
      </c>
      <c r="T74" s="3"/>
      <c r="U74" s="3"/>
      <c r="V74" s="3"/>
      <c r="W74" s="3"/>
      <c r="X74" s="3"/>
      <c r="Y74" s="3"/>
      <c r="AA74" s="3" t="s">
        <v>73</v>
      </c>
      <c r="AB74" s="3"/>
      <c r="AC74" s="3"/>
      <c r="AD74" s="3"/>
      <c r="AE74" s="3"/>
      <c r="AF74" s="3" t="s">
        <v>322</v>
      </c>
      <c r="AG74" s="3" t="s">
        <v>323</v>
      </c>
      <c r="AH74" s="3" t="s">
        <v>322</v>
      </c>
      <c r="AI74" s="3" t="s">
        <v>323</v>
      </c>
      <c r="AK74" s="3" t="s">
        <v>72</v>
      </c>
      <c r="AL74" s="3"/>
      <c r="AM74" s="3"/>
      <c r="AN74" s="3"/>
      <c r="AO74" s="3"/>
      <c r="AP74" s="3"/>
      <c r="AQ74" s="3"/>
      <c r="AS74" s="3" t="s">
        <v>72</v>
      </c>
      <c r="AT74" s="3"/>
      <c r="AU74" s="3"/>
      <c r="AV74" s="3"/>
      <c r="AW74" s="3"/>
      <c r="AX74" s="3" t="s">
        <v>322</v>
      </c>
      <c r="AY74" s="3" t="s">
        <v>323</v>
      </c>
      <c r="AZ74" s="3" t="s">
        <v>322</v>
      </c>
      <c r="BA74" s="3" t="s">
        <v>323</v>
      </c>
      <c r="BC74" s="3" t="s">
        <v>73</v>
      </c>
      <c r="BD74" s="3"/>
      <c r="BE74" s="3"/>
      <c r="BF74" s="3"/>
      <c r="BG74" s="3"/>
      <c r="BH74" s="3"/>
      <c r="BI74" s="3"/>
      <c r="BK74" s="3" t="s">
        <v>73</v>
      </c>
      <c r="BL74" s="3"/>
      <c r="BM74" s="3"/>
      <c r="BN74" s="3"/>
      <c r="BO74" s="3"/>
      <c r="BP74" s="3" t="s">
        <v>322</v>
      </c>
      <c r="BQ74" s="3" t="s">
        <v>323</v>
      </c>
      <c r="BR74" s="3" t="s">
        <v>322</v>
      </c>
      <c r="BS74" s="3" t="s">
        <v>323</v>
      </c>
    </row>
    <row r="75" spans="1:71" x14ac:dyDescent="0.3">
      <c r="A75" s="3" t="s">
        <v>2</v>
      </c>
      <c r="B75" s="3" t="s">
        <v>3</v>
      </c>
      <c r="C75" s="3" t="s">
        <v>4</v>
      </c>
      <c r="D75" s="3" t="s">
        <v>5</v>
      </c>
      <c r="E75" s="3" t="s">
        <v>6</v>
      </c>
      <c r="F75" s="3" t="s">
        <v>7</v>
      </c>
      <c r="G75" s="3" t="s">
        <v>8</v>
      </c>
      <c r="H75" s="5"/>
      <c r="I75" s="3" t="s">
        <v>2</v>
      </c>
      <c r="J75" s="3" t="s">
        <v>6</v>
      </c>
      <c r="K75" s="3" t="s">
        <v>7</v>
      </c>
      <c r="L75" s="3" t="s">
        <v>8</v>
      </c>
      <c r="M75" s="3" t="s">
        <v>9</v>
      </c>
      <c r="N75" s="4" t="s">
        <v>320</v>
      </c>
      <c r="O75" s="4" t="s">
        <v>320</v>
      </c>
      <c r="P75" s="4" t="s">
        <v>321</v>
      </c>
      <c r="Q75" s="4" t="s">
        <v>321</v>
      </c>
      <c r="S75" s="3" t="s">
        <v>2</v>
      </c>
      <c r="T75" s="3" t="s">
        <v>3</v>
      </c>
      <c r="U75" s="3" t="s">
        <v>4</v>
      </c>
      <c r="V75" s="3" t="s">
        <v>5</v>
      </c>
      <c r="W75" s="3" t="s">
        <v>6</v>
      </c>
      <c r="X75" s="3" t="s">
        <v>7</v>
      </c>
      <c r="Y75" s="3" t="s">
        <v>8</v>
      </c>
      <c r="AA75" s="3" t="s">
        <v>2</v>
      </c>
      <c r="AB75" s="3" t="s">
        <v>6</v>
      </c>
      <c r="AC75" s="3" t="s">
        <v>7</v>
      </c>
      <c r="AD75" s="3" t="s">
        <v>8</v>
      </c>
      <c r="AE75" s="3" t="s">
        <v>9</v>
      </c>
      <c r="AF75" s="4" t="s">
        <v>320</v>
      </c>
      <c r="AG75" s="4" t="s">
        <v>320</v>
      </c>
      <c r="AH75" s="4" t="s">
        <v>321</v>
      </c>
      <c r="AI75" s="4" t="s">
        <v>321</v>
      </c>
      <c r="AK75" s="3" t="s">
        <v>2</v>
      </c>
      <c r="AL75" s="3" t="s">
        <v>3</v>
      </c>
      <c r="AM75" s="3" t="s">
        <v>4</v>
      </c>
      <c r="AN75" s="3" t="s">
        <v>5</v>
      </c>
      <c r="AO75" s="3" t="s">
        <v>6</v>
      </c>
      <c r="AP75" s="3" t="s">
        <v>7</v>
      </c>
      <c r="AQ75" s="3" t="s">
        <v>8</v>
      </c>
      <c r="AS75" s="3" t="s">
        <v>2</v>
      </c>
      <c r="AT75" s="3" t="s">
        <v>6</v>
      </c>
      <c r="AU75" s="3" t="s">
        <v>7</v>
      </c>
      <c r="AV75" s="3" t="s">
        <v>8</v>
      </c>
      <c r="AW75" s="3" t="s">
        <v>9</v>
      </c>
      <c r="AX75" s="4" t="s">
        <v>320</v>
      </c>
      <c r="AY75" s="4" t="s">
        <v>320</v>
      </c>
      <c r="AZ75" s="4" t="s">
        <v>321</v>
      </c>
      <c r="BA75" s="4" t="s">
        <v>321</v>
      </c>
      <c r="BC75" s="3" t="s">
        <v>2</v>
      </c>
      <c r="BD75" s="3" t="s">
        <v>3</v>
      </c>
      <c r="BE75" s="3" t="s">
        <v>4</v>
      </c>
      <c r="BF75" s="3" t="s">
        <v>5</v>
      </c>
      <c r="BG75" s="3" t="s">
        <v>6</v>
      </c>
      <c r="BH75" s="3" t="s">
        <v>7</v>
      </c>
      <c r="BI75" s="3" t="s">
        <v>8</v>
      </c>
      <c r="BK75" s="3" t="s">
        <v>2</v>
      </c>
      <c r="BL75" s="3" t="s">
        <v>6</v>
      </c>
      <c r="BM75" s="3" t="s">
        <v>7</v>
      </c>
      <c r="BN75" s="3" t="s">
        <v>8</v>
      </c>
      <c r="BO75" s="3" t="s">
        <v>9</v>
      </c>
      <c r="BP75" s="4" t="s">
        <v>320</v>
      </c>
      <c r="BQ75" s="4" t="s">
        <v>320</v>
      </c>
      <c r="BR75" s="4" t="s">
        <v>321</v>
      </c>
      <c r="BS75" s="4" t="s">
        <v>321</v>
      </c>
    </row>
    <row r="76" spans="1:71" x14ac:dyDescent="0.3">
      <c r="A76" s="3" t="s">
        <v>10</v>
      </c>
      <c r="B76" s="3">
        <v>0.9</v>
      </c>
      <c r="C76" s="3">
        <v>0.5</v>
      </c>
      <c r="D76" s="3">
        <v>0.6</v>
      </c>
      <c r="E76" s="3">
        <v>0.01</v>
      </c>
      <c r="F76" s="6">
        <v>469.01501500000001</v>
      </c>
      <c r="G76" s="3">
        <v>3.1E-2</v>
      </c>
      <c r="H76" s="5"/>
      <c r="I76" s="3" t="s">
        <v>10</v>
      </c>
      <c r="J76" s="3">
        <v>0.01</v>
      </c>
      <c r="K76" s="6">
        <v>469.01501500000001</v>
      </c>
      <c r="L76" s="3">
        <v>3.0000000000000001E-3</v>
      </c>
      <c r="M76" s="3">
        <f t="shared" ref="M76:M105" si="8">AVERAGE(E76,J76)</f>
        <v>0.01</v>
      </c>
      <c r="N76" s="3">
        <f>COUNT(F76:F77,F79:F85,F87:F89,F91:F94,F96:F98,F101)</f>
        <v>20</v>
      </c>
      <c r="O76" s="3">
        <f>COUNT(F78,F86,F90,F95,F99:F100,F102:F105)</f>
        <v>10</v>
      </c>
      <c r="P76" s="3">
        <f>COUNT(K76,K78,K80:K81,K84,K86,K88,K90,K92,K95,K98:K100,K102:K105)</f>
        <v>17</v>
      </c>
      <c r="Q76" s="3">
        <f>COUNT(K77,K79,K82:K83,K85,K87,K89,K91,K93:K94,K96:K97,K101)</f>
        <v>13</v>
      </c>
      <c r="S76" s="3" t="s">
        <v>10</v>
      </c>
      <c r="T76" s="3">
        <v>0.9</v>
      </c>
      <c r="U76" s="3">
        <v>0.5</v>
      </c>
      <c r="V76" s="3">
        <v>0.6</v>
      </c>
      <c r="W76" s="3">
        <v>0.01</v>
      </c>
      <c r="X76" s="6">
        <v>455.15219100000002</v>
      </c>
      <c r="Y76" s="3">
        <v>1.2E-2</v>
      </c>
      <c r="AA76" s="3" t="s">
        <v>10</v>
      </c>
      <c r="AB76" s="3">
        <v>0.01</v>
      </c>
      <c r="AC76" s="6">
        <v>455.15219100000002</v>
      </c>
      <c r="AD76" s="3">
        <v>3.0000000000000001E-3</v>
      </c>
      <c r="AE76" s="3">
        <f t="shared" ref="AE76:AE105" si="9">AVERAGE(W76,AB76)</f>
        <v>0.01</v>
      </c>
      <c r="AF76" s="3">
        <f>COUNT(X76:X79,X81,X83,X85:X89,X92,X94:X96,X99:X100,X104:X105)</f>
        <v>19</v>
      </c>
      <c r="AG76" s="3">
        <f>COUNT(X80,X82,X84,X90:X91,X93,X97:X98,X101:X103)</f>
        <v>11</v>
      </c>
      <c r="AH76" s="3">
        <f>COUNT(AC76,AC79:AC84,AC87,AC90:AC91,AC93,AC97:AC98,AC101:AC103,AC105)</f>
        <v>17</v>
      </c>
      <c r="AI76" s="3">
        <f>COUNT(AC77:AC78,AC85:AC86,AC88:AC89,AC92,AC94:AC96,AC99:AC100,AC104)</f>
        <v>13</v>
      </c>
      <c r="AK76" s="3" t="s">
        <v>11</v>
      </c>
      <c r="AL76" s="3">
        <v>0.9</v>
      </c>
      <c r="AM76" s="3">
        <v>0.5</v>
      </c>
      <c r="AN76" s="3">
        <v>0.6</v>
      </c>
      <c r="AO76" s="3">
        <v>0.01</v>
      </c>
      <c r="AP76" s="6">
        <v>703.49676499999998</v>
      </c>
      <c r="AQ76" s="3">
        <v>0.04</v>
      </c>
      <c r="AS76" s="3" t="s">
        <v>11</v>
      </c>
      <c r="AT76" s="3">
        <v>0.01</v>
      </c>
      <c r="AU76" s="6">
        <v>703.49676499999998</v>
      </c>
      <c r="AV76" s="3">
        <v>8.9999999999999993E-3</v>
      </c>
      <c r="AW76" s="3">
        <f t="shared" ref="AW76:AW105" si="10">AVERAGE(AO76,AT76)</f>
        <v>0.01</v>
      </c>
      <c r="AX76" s="3">
        <f>COUNT(AP76,AP79:AP87,AP90:AP91,AP94:AP97,AP99:AP101)</f>
        <v>19</v>
      </c>
      <c r="AY76" s="3">
        <f>COUNT(AP77:AP78,AP88:AP89,AP92:AP93,AP98,AP102:AP105)</f>
        <v>11</v>
      </c>
      <c r="AZ76" s="3">
        <f>COUNT(AU76:AU78,AU88:AU89,AU92:AU93,AU98,AU102:AU105)</f>
        <v>12</v>
      </c>
      <c r="BA76" s="3">
        <f>COUNT(AU79:AU87,AU90:AU91,AU94:AU97,AU99:AU101)</f>
        <v>18</v>
      </c>
      <c r="BC76" s="3" t="s">
        <v>11</v>
      </c>
      <c r="BD76" s="3">
        <v>0.9</v>
      </c>
      <c r="BE76" s="3">
        <v>0.5</v>
      </c>
      <c r="BF76" s="3">
        <v>0.6</v>
      </c>
      <c r="BG76" s="3">
        <v>0.01</v>
      </c>
      <c r="BH76" s="6">
        <v>692.25921600000004</v>
      </c>
      <c r="BI76" s="3">
        <v>1.4E-2</v>
      </c>
      <c r="BK76" s="3" t="s">
        <v>11</v>
      </c>
      <c r="BL76" s="3">
        <v>0.01</v>
      </c>
      <c r="BM76" s="6">
        <v>692.25921600000004</v>
      </c>
      <c r="BN76" s="3">
        <v>3.0000000000000001E-3</v>
      </c>
      <c r="BO76" s="3">
        <f t="shared" ref="BO76:BO105" si="11">AVERAGE(BG76,BL76)</f>
        <v>0.01</v>
      </c>
      <c r="BP76" s="3">
        <f>COUNT(BH76:BH79,BH81:BH82,BH85:BH86,BH88:BH90,BH92,BH96:BH97,BH99:BH100,BH103)</f>
        <v>17</v>
      </c>
      <c r="BQ76" s="3">
        <f>30-BP76</f>
        <v>13</v>
      </c>
      <c r="BR76" s="3">
        <f>COUNT(BM76,BM80,BM83:BM84,BM88,BM90:BM91,BM93:BM95,BM98,BM101:BM102,BM104:BM105)</f>
        <v>15</v>
      </c>
      <c r="BS76" s="3">
        <f>30-BR76</f>
        <v>15</v>
      </c>
    </row>
    <row r="77" spans="1:71" x14ac:dyDescent="0.3">
      <c r="A77" s="3" t="s">
        <v>12</v>
      </c>
      <c r="B77" s="3">
        <v>0.9</v>
      </c>
      <c r="C77" s="3">
        <v>0.5</v>
      </c>
      <c r="D77" s="3">
        <v>0.6</v>
      </c>
      <c r="E77" s="3">
        <v>0.16</v>
      </c>
      <c r="F77" s="6">
        <v>435.30145299999998</v>
      </c>
      <c r="G77" s="3">
        <v>3.3000000000000002E-2</v>
      </c>
      <c r="H77" s="5"/>
      <c r="I77" s="3" t="s">
        <v>12</v>
      </c>
      <c r="J77" s="3">
        <v>0.4</v>
      </c>
      <c r="K77" s="7">
        <v>456.58843999999999</v>
      </c>
      <c r="L77" s="3">
        <v>0</v>
      </c>
      <c r="M77" s="3">
        <f t="shared" si="8"/>
        <v>0.28000000000000003</v>
      </c>
      <c r="N77" s="5"/>
      <c r="O77" s="5"/>
      <c r="P77" s="5"/>
      <c r="Q77" s="5"/>
      <c r="S77" s="3" t="s">
        <v>12</v>
      </c>
      <c r="T77" s="3">
        <v>0.9</v>
      </c>
      <c r="U77" s="3">
        <v>0.5</v>
      </c>
      <c r="V77" s="3">
        <v>0.6</v>
      </c>
      <c r="W77" s="3">
        <v>0.57999999999999996</v>
      </c>
      <c r="X77" s="6">
        <v>425.35144000000003</v>
      </c>
      <c r="Y77" s="3">
        <v>1.6E-2</v>
      </c>
      <c r="AA77" s="3" t="s">
        <v>12</v>
      </c>
      <c r="AB77" s="3">
        <v>0.44</v>
      </c>
      <c r="AC77" s="7">
        <v>451.48419200000001</v>
      </c>
      <c r="AD77" s="3">
        <v>6.0000000000000001E-3</v>
      </c>
      <c r="AE77" s="3">
        <f t="shared" si="9"/>
        <v>0.51</v>
      </c>
      <c r="AF77" s="5"/>
      <c r="AG77" s="5"/>
      <c r="AH77" s="5"/>
      <c r="AI77" s="5"/>
      <c r="AK77" s="3" t="s">
        <v>13</v>
      </c>
      <c r="AL77" s="3">
        <v>0.9</v>
      </c>
      <c r="AM77" s="3">
        <v>0.5</v>
      </c>
      <c r="AN77" s="3">
        <v>0.6</v>
      </c>
      <c r="AO77" s="3">
        <v>0.94</v>
      </c>
      <c r="AP77" s="7">
        <v>781.18280000000004</v>
      </c>
      <c r="AQ77" s="3">
        <v>2.4E-2</v>
      </c>
      <c r="AS77" s="3" t="s">
        <v>13</v>
      </c>
      <c r="AT77" s="3">
        <v>0.69</v>
      </c>
      <c r="AU77" s="6">
        <v>772.63055399999996</v>
      </c>
      <c r="AV77" s="3">
        <v>7.0000000000000001E-3</v>
      </c>
      <c r="AW77" s="3">
        <f t="shared" si="10"/>
        <v>0.81499999999999995</v>
      </c>
      <c r="AX77" s="5"/>
      <c r="AY77" s="5"/>
      <c r="AZ77" s="5"/>
      <c r="BA77" s="5"/>
      <c r="BC77" s="3" t="s">
        <v>13</v>
      </c>
      <c r="BD77" s="3">
        <v>0.9</v>
      </c>
      <c r="BE77" s="3">
        <v>0.5</v>
      </c>
      <c r="BF77" s="3">
        <v>0.6</v>
      </c>
      <c r="BG77" s="3">
        <v>0.46</v>
      </c>
      <c r="BH77" s="6">
        <v>712.25866699999995</v>
      </c>
      <c r="BI77" s="3">
        <v>1.4E-2</v>
      </c>
      <c r="BK77" s="3" t="s">
        <v>13</v>
      </c>
      <c r="BL77" s="3">
        <v>0.72</v>
      </c>
      <c r="BM77" s="7">
        <v>774.97961399999997</v>
      </c>
      <c r="BN77" s="3">
        <v>4.0000000000000001E-3</v>
      </c>
      <c r="BO77" s="3">
        <f t="shared" si="11"/>
        <v>0.59</v>
      </c>
    </row>
    <row r="78" spans="1:71" x14ac:dyDescent="0.3">
      <c r="A78" s="3" t="s">
        <v>14</v>
      </c>
      <c r="B78" s="3">
        <v>0.9</v>
      </c>
      <c r="C78" s="3">
        <v>0.5</v>
      </c>
      <c r="D78" s="3">
        <v>0.6</v>
      </c>
      <c r="E78" s="3">
        <v>0.97</v>
      </c>
      <c r="F78" s="7">
        <v>387.20840500000003</v>
      </c>
      <c r="G78" s="3">
        <v>2.5999999999999999E-2</v>
      </c>
      <c r="H78" s="5"/>
      <c r="I78" s="3" t="s">
        <v>14</v>
      </c>
      <c r="J78" s="3">
        <v>0.04</v>
      </c>
      <c r="K78" s="6">
        <v>380.08401500000002</v>
      </c>
      <c r="L78" s="3">
        <v>8.0000000000000002E-3</v>
      </c>
      <c r="M78" s="3">
        <f t="shared" si="8"/>
        <v>0.505</v>
      </c>
      <c r="N78" s="5"/>
      <c r="O78" s="5"/>
      <c r="P78" s="5"/>
      <c r="Q78" s="5"/>
      <c r="S78" s="3" t="s">
        <v>14</v>
      </c>
      <c r="T78" s="3">
        <v>0.9</v>
      </c>
      <c r="U78" s="3">
        <v>0.5</v>
      </c>
      <c r="V78" s="3">
        <v>0.6</v>
      </c>
      <c r="W78" s="3">
        <v>0.18</v>
      </c>
      <c r="X78" s="6">
        <v>357.13305700000001</v>
      </c>
      <c r="Y78" s="3">
        <v>1.7000000000000001E-2</v>
      </c>
      <c r="AA78" s="3" t="s">
        <v>14</v>
      </c>
      <c r="AB78" s="3">
        <v>0.93</v>
      </c>
      <c r="AC78" s="7">
        <v>372.03949</v>
      </c>
      <c r="AD78" s="3">
        <v>5.0000000000000001E-3</v>
      </c>
      <c r="AE78" s="3">
        <f t="shared" si="9"/>
        <v>0.55500000000000005</v>
      </c>
      <c r="AF78" s="5"/>
      <c r="AG78" s="5"/>
      <c r="AH78" s="5"/>
      <c r="AI78" s="5"/>
      <c r="AK78" s="3" t="s">
        <v>15</v>
      </c>
      <c r="AL78" s="3">
        <v>0.9</v>
      </c>
      <c r="AM78" s="3">
        <v>0.5</v>
      </c>
      <c r="AN78" s="3">
        <v>0.6</v>
      </c>
      <c r="AO78" s="3">
        <v>0.75</v>
      </c>
      <c r="AP78" s="7">
        <v>887.11901899999998</v>
      </c>
      <c r="AQ78" s="3">
        <v>0.02</v>
      </c>
      <c r="AS78" s="3" t="s">
        <v>15</v>
      </c>
      <c r="AT78" s="3">
        <v>0.68</v>
      </c>
      <c r="AU78" s="6">
        <v>876.94360400000005</v>
      </c>
      <c r="AV78" s="3">
        <v>4.0000000000000001E-3</v>
      </c>
      <c r="AW78" s="3">
        <f t="shared" si="10"/>
        <v>0.71500000000000008</v>
      </c>
      <c r="AX78" s="5"/>
      <c r="AY78" s="5"/>
      <c r="AZ78" s="5"/>
      <c r="BA78" s="5"/>
      <c r="BC78" s="3" t="s">
        <v>15</v>
      </c>
      <c r="BD78" s="3">
        <v>0.9</v>
      </c>
      <c r="BE78" s="3">
        <v>0.5</v>
      </c>
      <c r="BF78" s="3">
        <v>0.6</v>
      </c>
      <c r="BG78" s="3">
        <v>0.4</v>
      </c>
      <c r="BH78" s="6">
        <v>759.70996100000002</v>
      </c>
      <c r="BI78" s="3">
        <v>1.9E-2</v>
      </c>
      <c r="BK78" s="3" t="s">
        <v>15</v>
      </c>
      <c r="BL78" s="3">
        <v>0.63</v>
      </c>
      <c r="BM78" s="7">
        <v>856.42315699999995</v>
      </c>
      <c r="BN78" s="3">
        <v>2E-3</v>
      </c>
      <c r="BO78" s="3">
        <f t="shared" si="11"/>
        <v>0.51500000000000001</v>
      </c>
    </row>
    <row r="79" spans="1:71" x14ac:dyDescent="0.3">
      <c r="A79" s="3" t="s">
        <v>16</v>
      </c>
      <c r="B79" s="3">
        <v>0.9</v>
      </c>
      <c r="C79" s="3">
        <v>0.5</v>
      </c>
      <c r="D79" s="3">
        <v>0.6</v>
      </c>
      <c r="E79" s="3">
        <v>0.28000000000000003</v>
      </c>
      <c r="F79" s="6">
        <v>396.49188199999998</v>
      </c>
      <c r="G79" s="3">
        <v>8.0000000000000002E-3</v>
      </c>
      <c r="H79" s="5"/>
      <c r="I79" s="3" t="s">
        <v>16</v>
      </c>
      <c r="J79" s="3">
        <v>0.81</v>
      </c>
      <c r="K79" s="7">
        <v>413.207336</v>
      </c>
      <c r="L79" s="3">
        <v>1.0999999999999999E-2</v>
      </c>
      <c r="M79" s="3">
        <f t="shared" si="8"/>
        <v>0.54500000000000004</v>
      </c>
      <c r="N79" s="5"/>
      <c r="O79" s="5"/>
      <c r="P79" s="5"/>
      <c r="Q79" s="5"/>
      <c r="S79" s="3" t="s">
        <v>16</v>
      </c>
      <c r="T79" s="3">
        <v>0.9</v>
      </c>
      <c r="U79" s="3">
        <v>0.5</v>
      </c>
      <c r="V79" s="3">
        <v>0.6</v>
      </c>
      <c r="W79" s="3">
        <v>0.63</v>
      </c>
      <c r="X79" s="6">
        <v>405.18270899999999</v>
      </c>
      <c r="Y79" s="3">
        <v>2.1999999999999999E-2</v>
      </c>
      <c r="AA79" s="3" t="s">
        <v>16</v>
      </c>
      <c r="AB79" s="3">
        <v>0.65</v>
      </c>
      <c r="AC79" s="6">
        <v>405.18270899999999</v>
      </c>
      <c r="AD79" s="3">
        <v>2E-3</v>
      </c>
      <c r="AE79" s="3">
        <f t="shared" si="9"/>
        <v>0.64</v>
      </c>
      <c r="AF79" s="5"/>
      <c r="AG79" s="5"/>
      <c r="AH79" s="5"/>
      <c r="AI79" s="5"/>
      <c r="AK79" s="3" t="s">
        <v>17</v>
      </c>
      <c r="AL79" s="3">
        <v>0.9</v>
      </c>
      <c r="AM79" s="3">
        <v>0.5</v>
      </c>
      <c r="AN79" s="3">
        <v>0.6</v>
      </c>
      <c r="AO79" s="3">
        <v>0.09</v>
      </c>
      <c r="AP79" s="6">
        <v>654.11505099999999</v>
      </c>
      <c r="AQ79" s="3">
        <v>1.4999999999999999E-2</v>
      </c>
      <c r="AS79" s="3" t="s">
        <v>17</v>
      </c>
      <c r="AT79" s="3">
        <v>0.78</v>
      </c>
      <c r="AU79" s="7">
        <v>850.32165499999996</v>
      </c>
      <c r="AV79" s="3">
        <v>0</v>
      </c>
      <c r="AW79" s="3">
        <f t="shared" si="10"/>
        <v>0.435</v>
      </c>
      <c r="AX79" s="5"/>
      <c r="AY79" s="5"/>
      <c r="AZ79" s="5"/>
      <c r="BA79" s="5"/>
      <c r="BC79" s="3" t="s">
        <v>17</v>
      </c>
      <c r="BD79" s="3">
        <v>0.9</v>
      </c>
      <c r="BE79" s="3">
        <v>0.5</v>
      </c>
      <c r="BF79" s="3">
        <v>0.6</v>
      </c>
      <c r="BG79" s="3">
        <v>0.16</v>
      </c>
      <c r="BH79" s="6">
        <v>661.024719</v>
      </c>
      <c r="BI79" s="3">
        <v>1.9E-2</v>
      </c>
      <c r="BK79" s="3" t="s">
        <v>17</v>
      </c>
      <c r="BL79" s="3">
        <v>0.52</v>
      </c>
      <c r="BM79" s="7">
        <v>777.99511700000005</v>
      </c>
      <c r="BN79" s="3">
        <v>1E-3</v>
      </c>
      <c r="BO79" s="3">
        <f t="shared" si="11"/>
        <v>0.34</v>
      </c>
    </row>
    <row r="80" spans="1:71" x14ac:dyDescent="0.3">
      <c r="A80" s="3" t="s">
        <v>18</v>
      </c>
      <c r="B80" s="3">
        <v>0.9</v>
      </c>
      <c r="C80" s="3">
        <v>0.5</v>
      </c>
      <c r="D80" s="3">
        <v>0.6</v>
      </c>
      <c r="E80" s="3">
        <v>0.56000000000000005</v>
      </c>
      <c r="F80" s="6">
        <v>354.978973</v>
      </c>
      <c r="G80" s="3">
        <v>1.6E-2</v>
      </c>
      <c r="H80" s="5"/>
      <c r="I80" s="3" t="s">
        <v>18</v>
      </c>
      <c r="J80" s="3">
        <v>0.47</v>
      </c>
      <c r="K80" s="6">
        <v>354.978973</v>
      </c>
      <c r="L80" s="3">
        <v>3.0000000000000001E-3</v>
      </c>
      <c r="M80" s="3">
        <f t="shared" si="8"/>
        <v>0.51500000000000001</v>
      </c>
      <c r="N80" s="5"/>
      <c r="O80" s="5"/>
      <c r="P80" s="5"/>
      <c r="Q80" s="5"/>
      <c r="S80" s="3" t="s">
        <v>18</v>
      </c>
      <c r="T80" s="3">
        <v>0.9</v>
      </c>
      <c r="U80" s="3">
        <v>0.5</v>
      </c>
      <c r="V80" s="3">
        <v>0.6</v>
      </c>
      <c r="W80" s="3">
        <v>0.72</v>
      </c>
      <c r="X80" s="7">
        <v>364.76736499999998</v>
      </c>
      <c r="Y80" s="3">
        <v>2.3E-2</v>
      </c>
      <c r="AA80" s="3" t="s">
        <v>18</v>
      </c>
      <c r="AB80" s="3">
        <v>0.06</v>
      </c>
      <c r="AC80" s="6">
        <v>354.91146900000001</v>
      </c>
      <c r="AD80" s="3">
        <v>4.0000000000000001E-3</v>
      </c>
      <c r="AE80" s="3">
        <f t="shared" si="9"/>
        <v>0.39</v>
      </c>
      <c r="AF80" s="5"/>
      <c r="AG80" s="5"/>
      <c r="AH80" s="5"/>
      <c r="AI80" s="5"/>
      <c r="AK80" s="3" t="s">
        <v>19</v>
      </c>
      <c r="AL80" s="3">
        <v>0.9</v>
      </c>
      <c r="AM80" s="3">
        <v>0.5</v>
      </c>
      <c r="AN80" s="3">
        <v>0.6</v>
      </c>
      <c r="AO80" s="3">
        <v>0.63</v>
      </c>
      <c r="AP80" s="6">
        <v>853.75671399999999</v>
      </c>
      <c r="AQ80" s="3">
        <v>1.7000000000000001E-2</v>
      </c>
      <c r="AS80" s="3" t="s">
        <v>19</v>
      </c>
      <c r="AT80" s="3">
        <v>0.94</v>
      </c>
      <c r="AU80" s="7">
        <v>929.03289800000005</v>
      </c>
      <c r="AV80" s="3">
        <v>2E-3</v>
      </c>
      <c r="AW80" s="3">
        <f t="shared" si="10"/>
        <v>0.78499999999999992</v>
      </c>
      <c r="AX80" s="5"/>
      <c r="AY80" s="5"/>
      <c r="AZ80" s="5"/>
      <c r="BA80" s="5"/>
      <c r="BC80" s="3" t="s">
        <v>19</v>
      </c>
      <c r="BD80" s="3">
        <v>0.9</v>
      </c>
      <c r="BE80" s="3">
        <v>0.5</v>
      </c>
      <c r="BF80" s="3">
        <v>0.6</v>
      </c>
      <c r="BG80" s="3">
        <v>0.87</v>
      </c>
      <c r="BH80" s="7">
        <v>889.009094</v>
      </c>
      <c r="BI80" s="3">
        <v>1.0999999999999999E-2</v>
      </c>
      <c r="BK80" s="3" t="s">
        <v>19</v>
      </c>
      <c r="BL80" s="3">
        <v>0.17</v>
      </c>
      <c r="BM80" s="6">
        <v>692.32647699999995</v>
      </c>
      <c r="BN80" s="3">
        <v>1E-3</v>
      </c>
      <c r="BO80" s="3">
        <f t="shared" si="11"/>
        <v>0.52</v>
      </c>
    </row>
    <row r="81" spans="1:67" x14ac:dyDescent="0.3">
      <c r="A81" s="3" t="s">
        <v>20</v>
      </c>
      <c r="B81" s="3">
        <v>0.9</v>
      </c>
      <c r="C81" s="3">
        <v>0.5</v>
      </c>
      <c r="D81" s="3">
        <v>0.6</v>
      </c>
      <c r="E81" s="3">
        <v>0.43</v>
      </c>
      <c r="F81" s="6">
        <v>415.33334400000001</v>
      </c>
      <c r="G81" s="3">
        <v>6.0000000000000001E-3</v>
      </c>
      <c r="H81" s="5"/>
      <c r="I81" s="3" t="s">
        <v>20</v>
      </c>
      <c r="J81" s="3">
        <v>0.72</v>
      </c>
      <c r="K81" s="8">
        <v>415.88998400000003</v>
      </c>
      <c r="L81" s="3">
        <v>0</v>
      </c>
      <c r="M81" s="3">
        <f t="shared" si="8"/>
        <v>0.57499999999999996</v>
      </c>
      <c r="N81" s="5"/>
      <c r="O81" s="5"/>
      <c r="P81" s="5"/>
      <c r="Q81" s="5"/>
      <c r="S81" s="3" t="s">
        <v>20</v>
      </c>
      <c r="T81" s="3">
        <v>0.9</v>
      </c>
      <c r="U81" s="3">
        <v>0.5</v>
      </c>
      <c r="V81" s="3">
        <v>0.6</v>
      </c>
      <c r="W81" s="3">
        <v>0.5</v>
      </c>
      <c r="X81" s="6">
        <v>408.54724099999999</v>
      </c>
      <c r="Y81" s="3">
        <v>0.02</v>
      </c>
      <c r="AA81" s="3" t="s">
        <v>20</v>
      </c>
      <c r="AB81" s="3">
        <v>0.56999999999999995</v>
      </c>
      <c r="AC81" s="6">
        <v>408.54724099999999</v>
      </c>
      <c r="AD81" s="3">
        <v>1E-3</v>
      </c>
      <c r="AE81" s="3">
        <f t="shared" si="9"/>
        <v>0.53499999999999992</v>
      </c>
      <c r="AF81" s="5"/>
      <c r="AG81" s="5"/>
      <c r="AH81" s="5"/>
      <c r="AI81" s="5"/>
      <c r="AK81" s="3" t="s">
        <v>21</v>
      </c>
      <c r="AL81" s="3">
        <v>0.9</v>
      </c>
      <c r="AM81" s="3">
        <v>0.5</v>
      </c>
      <c r="AN81" s="3">
        <v>0.6</v>
      </c>
      <c r="AO81" s="3">
        <v>0.64</v>
      </c>
      <c r="AP81" s="6">
        <v>876.73376499999995</v>
      </c>
      <c r="AQ81" s="3">
        <v>3.4000000000000002E-2</v>
      </c>
      <c r="AS81" s="3" t="s">
        <v>21</v>
      </c>
      <c r="AT81" s="3">
        <v>0.66</v>
      </c>
      <c r="AU81" s="7">
        <v>880.612122</v>
      </c>
      <c r="AV81" s="3">
        <v>3.0000000000000001E-3</v>
      </c>
      <c r="AW81" s="3">
        <f t="shared" si="10"/>
        <v>0.65</v>
      </c>
      <c r="AX81" s="5"/>
      <c r="AY81" s="5"/>
      <c r="AZ81" s="5"/>
      <c r="BA81" s="5"/>
      <c r="BC81" s="3" t="s">
        <v>21</v>
      </c>
      <c r="BD81" s="3">
        <v>0.9</v>
      </c>
      <c r="BE81" s="3">
        <v>0.5</v>
      </c>
      <c r="BF81" s="3">
        <v>0.6</v>
      </c>
      <c r="BG81" s="3">
        <v>0.22</v>
      </c>
      <c r="BH81" s="6">
        <v>703.45190400000001</v>
      </c>
      <c r="BI81" s="3">
        <v>1.4E-2</v>
      </c>
      <c r="BK81" s="3" t="s">
        <v>21</v>
      </c>
      <c r="BL81" s="3">
        <v>0.98</v>
      </c>
      <c r="BM81" s="7">
        <v>945.82739300000003</v>
      </c>
      <c r="BN81" s="3">
        <v>4.0000000000000001E-3</v>
      </c>
      <c r="BO81" s="3">
        <f t="shared" si="11"/>
        <v>0.6</v>
      </c>
    </row>
    <row r="82" spans="1:67" x14ac:dyDescent="0.3">
      <c r="A82" s="3" t="s">
        <v>22</v>
      </c>
      <c r="B82" s="3">
        <v>0.9</v>
      </c>
      <c r="C82" s="3">
        <v>0.5</v>
      </c>
      <c r="D82" s="3">
        <v>0.6</v>
      </c>
      <c r="E82" s="3">
        <v>0.23</v>
      </c>
      <c r="F82" s="6">
        <v>392.53036500000002</v>
      </c>
      <c r="G82" s="3">
        <v>8.9999999999999993E-3</v>
      </c>
      <c r="H82" s="5"/>
      <c r="I82" s="3" t="s">
        <v>22</v>
      </c>
      <c r="J82" s="3">
        <v>0.52</v>
      </c>
      <c r="K82" s="7">
        <v>401.42971799999998</v>
      </c>
      <c r="L82" s="3">
        <v>4.0000000000000001E-3</v>
      </c>
      <c r="M82" s="3">
        <f t="shared" si="8"/>
        <v>0.375</v>
      </c>
      <c r="N82" s="5"/>
      <c r="O82" s="5"/>
      <c r="P82" s="5"/>
      <c r="Q82" s="5"/>
      <c r="S82" s="3" t="s">
        <v>22</v>
      </c>
      <c r="T82" s="3">
        <v>0.9</v>
      </c>
      <c r="U82" s="3">
        <v>0.5</v>
      </c>
      <c r="V82" s="3">
        <v>0.6</v>
      </c>
      <c r="W82" s="3">
        <v>0.54</v>
      </c>
      <c r="X82" s="7">
        <v>399.55404700000003</v>
      </c>
      <c r="Y82" s="3">
        <v>1.7999999999999999E-2</v>
      </c>
      <c r="AA82" s="3" t="s">
        <v>22</v>
      </c>
      <c r="AB82" s="3">
        <v>0.12</v>
      </c>
      <c r="AC82" s="6">
        <v>383.956818</v>
      </c>
      <c r="AD82" s="3">
        <v>5.0000000000000001E-3</v>
      </c>
      <c r="AE82" s="3">
        <f t="shared" si="9"/>
        <v>0.33</v>
      </c>
      <c r="AF82" s="5"/>
      <c r="AG82" s="5"/>
      <c r="AH82" s="5"/>
      <c r="AI82" s="5"/>
      <c r="AK82" s="3" t="s">
        <v>23</v>
      </c>
      <c r="AL82" s="3">
        <v>0.9</v>
      </c>
      <c r="AM82" s="3">
        <v>0.5</v>
      </c>
      <c r="AN82" s="3">
        <v>0.6</v>
      </c>
      <c r="AO82" s="3">
        <v>0.91</v>
      </c>
      <c r="AP82" s="6">
        <v>903.92932099999996</v>
      </c>
      <c r="AQ82" s="3">
        <v>3.3000000000000002E-2</v>
      </c>
      <c r="AS82" s="3" t="s">
        <v>23</v>
      </c>
      <c r="AT82" s="3">
        <v>0.85</v>
      </c>
      <c r="AU82" s="7">
        <v>909.73809800000004</v>
      </c>
      <c r="AV82" s="3">
        <v>2E-3</v>
      </c>
      <c r="AW82" s="3">
        <f t="shared" si="10"/>
        <v>0.88</v>
      </c>
      <c r="AX82" s="5"/>
      <c r="AY82" s="5"/>
      <c r="AZ82" s="5"/>
      <c r="BA82" s="5"/>
      <c r="BC82" s="3" t="s">
        <v>23</v>
      </c>
      <c r="BD82" s="3">
        <v>0.9</v>
      </c>
      <c r="BE82" s="3">
        <v>0.5</v>
      </c>
      <c r="BF82" s="3">
        <v>0.6</v>
      </c>
      <c r="BG82" s="3">
        <v>0.13</v>
      </c>
      <c r="BH82" s="6">
        <v>667.31390399999998</v>
      </c>
      <c r="BI82" s="3">
        <v>1.2999999999999999E-2</v>
      </c>
      <c r="BK82" s="3" t="s">
        <v>23</v>
      </c>
      <c r="BL82" s="3">
        <v>0.43</v>
      </c>
      <c r="BM82" s="7">
        <v>782.64343299999996</v>
      </c>
      <c r="BN82" s="3">
        <v>1.9E-2</v>
      </c>
      <c r="BO82" s="3">
        <f t="shared" si="11"/>
        <v>0.28000000000000003</v>
      </c>
    </row>
    <row r="83" spans="1:67" x14ac:dyDescent="0.3">
      <c r="A83" s="3" t="s">
        <v>24</v>
      </c>
      <c r="B83" s="3">
        <v>0.9</v>
      </c>
      <c r="C83" s="3">
        <v>0.5</v>
      </c>
      <c r="D83" s="3">
        <v>0.6</v>
      </c>
      <c r="E83" s="3">
        <v>0.21</v>
      </c>
      <c r="F83" s="6">
        <v>469.45126299999998</v>
      </c>
      <c r="G83" s="3">
        <v>1.4E-2</v>
      </c>
      <c r="H83" s="5"/>
      <c r="I83" s="3" t="s">
        <v>24</v>
      </c>
      <c r="J83" s="3">
        <v>0.65</v>
      </c>
      <c r="K83" s="7">
        <v>479.43579099999999</v>
      </c>
      <c r="L83" s="3">
        <v>6.0000000000000001E-3</v>
      </c>
      <c r="M83" s="3">
        <f t="shared" si="8"/>
        <v>0.43</v>
      </c>
      <c r="N83" s="5"/>
      <c r="O83" s="5"/>
      <c r="P83" s="5"/>
      <c r="Q83" s="5"/>
      <c r="S83" s="3" t="s">
        <v>24</v>
      </c>
      <c r="T83" s="3">
        <v>0.9</v>
      </c>
      <c r="U83" s="3">
        <v>0.5</v>
      </c>
      <c r="V83" s="3">
        <v>0.6</v>
      </c>
      <c r="W83" s="3">
        <v>7.0000000000000007E-2</v>
      </c>
      <c r="X83" s="6">
        <v>457.41906699999998</v>
      </c>
      <c r="Y83" s="3">
        <v>1.7000000000000001E-2</v>
      </c>
      <c r="AA83" s="3" t="s">
        <v>24</v>
      </c>
      <c r="AB83" s="3">
        <v>7.0000000000000007E-2</v>
      </c>
      <c r="AC83" s="6">
        <v>457.41906699999998</v>
      </c>
      <c r="AD83" s="3">
        <v>2E-3</v>
      </c>
      <c r="AE83" s="3">
        <f t="shared" si="9"/>
        <v>7.0000000000000007E-2</v>
      </c>
      <c r="AF83" s="5"/>
      <c r="AG83" s="5"/>
      <c r="AH83" s="5"/>
      <c r="AI83" s="5"/>
      <c r="AK83" s="3" t="s">
        <v>25</v>
      </c>
      <c r="AL83" s="3">
        <v>0.9</v>
      </c>
      <c r="AM83" s="3">
        <v>0.5</v>
      </c>
      <c r="AN83" s="3">
        <v>0.6</v>
      </c>
      <c r="AO83" s="3">
        <v>0.16</v>
      </c>
      <c r="AP83" s="6">
        <v>712.83947799999999</v>
      </c>
      <c r="AQ83" s="3">
        <v>2.8000000000000001E-2</v>
      </c>
      <c r="AS83" s="3" t="s">
        <v>25</v>
      </c>
      <c r="AT83" s="3">
        <v>0.54</v>
      </c>
      <c r="AU83" s="7">
        <v>786.67712400000005</v>
      </c>
      <c r="AV83" s="3">
        <v>4.0000000000000001E-3</v>
      </c>
      <c r="AW83" s="3">
        <f t="shared" si="10"/>
        <v>0.35000000000000003</v>
      </c>
      <c r="AX83" s="5"/>
      <c r="AY83" s="5"/>
      <c r="AZ83" s="5"/>
      <c r="BA83" s="5"/>
      <c r="BC83" s="3" t="s">
        <v>25</v>
      </c>
      <c r="BD83" s="3">
        <v>0.9</v>
      </c>
      <c r="BE83" s="3">
        <v>0.5</v>
      </c>
      <c r="BF83" s="3">
        <v>0.6</v>
      </c>
      <c r="BG83" s="3">
        <v>0.63</v>
      </c>
      <c r="BH83" s="7">
        <v>855.98126200000002</v>
      </c>
      <c r="BI83" s="3">
        <v>1.7000000000000001E-2</v>
      </c>
      <c r="BK83" s="3" t="s">
        <v>25</v>
      </c>
      <c r="BL83" s="3">
        <v>0.57999999999999996</v>
      </c>
      <c r="BM83" s="6">
        <v>823.89746100000002</v>
      </c>
      <c r="BN83" s="3">
        <v>2E-3</v>
      </c>
      <c r="BO83" s="3">
        <f t="shared" si="11"/>
        <v>0.60499999999999998</v>
      </c>
    </row>
    <row r="84" spans="1:67" x14ac:dyDescent="0.3">
      <c r="A84" s="3" t="s">
        <v>26</v>
      </c>
      <c r="B84" s="3">
        <v>0.9</v>
      </c>
      <c r="C84" s="3">
        <v>0.5</v>
      </c>
      <c r="D84" s="3">
        <v>0.6</v>
      </c>
      <c r="E84" s="3">
        <v>0.94</v>
      </c>
      <c r="F84" s="6">
        <v>444.667236</v>
      </c>
      <c r="G84" s="3">
        <v>1.2E-2</v>
      </c>
      <c r="H84" s="5"/>
      <c r="I84" s="3" t="s">
        <v>26</v>
      </c>
      <c r="J84" s="3">
        <v>0.64</v>
      </c>
      <c r="K84" s="6">
        <v>444.667236</v>
      </c>
      <c r="L84" s="3">
        <v>4.0000000000000001E-3</v>
      </c>
      <c r="M84" s="3">
        <f t="shared" si="8"/>
        <v>0.79</v>
      </c>
      <c r="N84" s="5"/>
      <c r="O84" s="5"/>
      <c r="P84" s="5"/>
      <c r="Q84" s="5"/>
      <c r="S84" s="3" t="s">
        <v>26</v>
      </c>
      <c r="T84" s="3">
        <v>0.9</v>
      </c>
      <c r="U84" s="3">
        <v>0.5</v>
      </c>
      <c r="V84" s="3">
        <v>0.6</v>
      </c>
      <c r="W84" s="3">
        <v>0.63</v>
      </c>
      <c r="X84" s="7">
        <v>416.37329099999999</v>
      </c>
      <c r="Y84" s="3">
        <v>2.1999999999999999E-2</v>
      </c>
      <c r="AA84" s="3" t="s">
        <v>26</v>
      </c>
      <c r="AB84" s="3">
        <v>0.1</v>
      </c>
      <c r="AC84" s="6">
        <v>412.616333</v>
      </c>
      <c r="AD84" s="3">
        <v>4.0000000000000001E-3</v>
      </c>
      <c r="AE84" s="3">
        <f t="shared" si="9"/>
        <v>0.36499999999999999</v>
      </c>
      <c r="AF84" s="5"/>
      <c r="AG84" s="5"/>
      <c r="AH84" s="5"/>
      <c r="AI84" s="5"/>
      <c r="AK84" s="3" t="s">
        <v>27</v>
      </c>
      <c r="AL84" s="3">
        <v>0.9</v>
      </c>
      <c r="AM84" s="3">
        <v>0.5</v>
      </c>
      <c r="AN84" s="3">
        <v>0.6</v>
      </c>
      <c r="AO84" s="3">
        <v>0.13</v>
      </c>
      <c r="AP84" s="6">
        <v>650.52044699999999</v>
      </c>
      <c r="AQ84" s="3">
        <v>2.8000000000000001E-2</v>
      </c>
      <c r="AS84" s="3" t="s">
        <v>27</v>
      </c>
      <c r="AT84" s="3">
        <v>0.83</v>
      </c>
      <c r="AU84" s="7">
        <v>857.22839399999998</v>
      </c>
      <c r="AV84" s="3">
        <v>5.0000000000000001E-3</v>
      </c>
      <c r="AW84" s="3">
        <f t="shared" si="10"/>
        <v>0.48</v>
      </c>
      <c r="AX84" s="5"/>
      <c r="AY84" s="5"/>
      <c r="AZ84" s="5"/>
      <c r="BA84" s="5"/>
      <c r="BC84" s="3" t="s">
        <v>27</v>
      </c>
      <c r="BD84" s="3">
        <v>0.9</v>
      </c>
      <c r="BE84" s="3">
        <v>0.5</v>
      </c>
      <c r="BF84" s="3">
        <v>0.6</v>
      </c>
      <c r="BG84" s="3">
        <v>0.6</v>
      </c>
      <c r="BH84" s="7">
        <v>772.35571300000004</v>
      </c>
      <c r="BI84" s="3">
        <v>0.03</v>
      </c>
      <c r="BK84" s="3" t="s">
        <v>27</v>
      </c>
      <c r="BL84" s="3">
        <v>0.45</v>
      </c>
      <c r="BM84" s="6">
        <v>767.32379200000003</v>
      </c>
      <c r="BN84" s="3">
        <v>1E-3</v>
      </c>
      <c r="BO84" s="3">
        <f t="shared" si="11"/>
        <v>0.52500000000000002</v>
      </c>
    </row>
    <row r="85" spans="1:67" x14ac:dyDescent="0.3">
      <c r="A85" s="3" t="s">
        <v>28</v>
      </c>
      <c r="B85" s="3">
        <v>0.9</v>
      </c>
      <c r="C85" s="3">
        <v>0.5</v>
      </c>
      <c r="D85" s="3">
        <v>0.6</v>
      </c>
      <c r="E85" s="3">
        <v>0.42</v>
      </c>
      <c r="F85" s="6">
        <v>347.05917399999998</v>
      </c>
      <c r="G85" s="3">
        <v>1.7000000000000001E-2</v>
      </c>
      <c r="H85" s="5"/>
      <c r="I85" s="3" t="s">
        <v>28</v>
      </c>
      <c r="J85" s="3">
        <v>0.53</v>
      </c>
      <c r="K85" s="7">
        <v>355.82583599999998</v>
      </c>
      <c r="L85" s="3">
        <v>2E-3</v>
      </c>
      <c r="M85" s="3">
        <f t="shared" si="8"/>
        <v>0.47499999999999998</v>
      </c>
      <c r="N85" s="5"/>
      <c r="O85" s="5"/>
      <c r="P85" s="5"/>
      <c r="Q85" s="5"/>
      <c r="S85" s="3" t="s">
        <v>28</v>
      </c>
      <c r="T85" s="3">
        <v>0.9</v>
      </c>
      <c r="U85" s="3">
        <v>0.5</v>
      </c>
      <c r="V85" s="3">
        <v>0.6</v>
      </c>
      <c r="W85" s="3">
        <v>0.62</v>
      </c>
      <c r="X85" s="6">
        <v>349.72781400000002</v>
      </c>
      <c r="Y85" s="3">
        <v>2.5999999999999999E-2</v>
      </c>
      <c r="AA85" s="3" t="s">
        <v>28</v>
      </c>
      <c r="AB85" s="3">
        <v>0.94</v>
      </c>
      <c r="AC85" s="7">
        <v>368.29080199999999</v>
      </c>
      <c r="AD85" s="3">
        <v>1E-3</v>
      </c>
      <c r="AE85" s="3">
        <f t="shared" si="9"/>
        <v>0.78</v>
      </c>
      <c r="AF85" s="5"/>
      <c r="AG85" s="5"/>
      <c r="AH85" s="5"/>
      <c r="AI85" s="5"/>
      <c r="AK85" s="3" t="s">
        <v>29</v>
      </c>
      <c r="AL85" s="3">
        <v>0.9</v>
      </c>
      <c r="AM85" s="3">
        <v>0.5</v>
      </c>
      <c r="AN85" s="3">
        <v>0.6</v>
      </c>
      <c r="AO85" s="3">
        <v>0.39</v>
      </c>
      <c r="AP85" s="6">
        <v>799.12298599999997</v>
      </c>
      <c r="AQ85" s="3">
        <v>2.3E-2</v>
      </c>
      <c r="AS85" s="3" t="s">
        <v>29</v>
      </c>
      <c r="AT85" s="3">
        <v>0.65</v>
      </c>
      <c r="AU85" s="7">
        <v>891.59478799999999</v>
      </c>
      <c r="AV85" s="3">
        <v>0.01</v>
      </c>
      <c r="AW85" s="3">
        <f t="shared" si="10"/>
        <v>0.52</v>
      </c>
      <c r="AX85" s="5"/>
      <c r="AY85" s="5"/>
      <c r="AZ85" s="5"/>
      <c r="BA85" s="5"/>
      <c r="BC85" s="3" t="s">
        <v>29</v>
      </c>
      <c r="BD85" s="3">
        <v>0.9</v>
      </c>
      <c r="BE85" s="3">
        <v>0.5</v>
      </c>
      <c r="BF85" s="3">
        <v>0.6</v>
      </c>
      <c r="BG85" s="3">
        <v>0.06</v>
      </c>
      <c r="BH85" s="6">
        <v>654.17248500000005</v>
      </c>
      <c r="BI85" s="3">
        <v>1.0999999999999999E-2</v>
      </c>
      <c r="BK85" s="3" t="s">
        <v>29</v>
      </c>
      <c r="BL85" s="3">
        <v>0.5</v>
      </c>
      <c r="BM85" s="7">
        <v>826.52673300000004</v>
      </c>
      <c r="BN85" s="3">
        <v>2E-3</v>
      </c>
      <c r="BO85" s="3">
        <f t="shared" si="11"/>
        <v>0.28000000000000003</v>
      </c>
    </row>
    <row r="86" spans="1:67" x14ac:dyDescent="0.3">
      <c r="A86" s="3" t="s">
        <v>30</v>
      </c>
      <c r="B86" s="3">
        <v>0.9</v>
      </c>
      <c r="C86" s="3">
        <v>0.5</v>
      </c>
      <c r="D86" s="3">
        <v>0.6</v>
      </c>
      <c r="E86" s="3">
        <v>0.75</v>
      </c>
      <c r="F86" s="7">
        <v>598.56921399999999</v>
      </c>
      <c r="G86" s="3">
        <v>8.0000000000000002E-3</v>
      </c>
      <c r="H86" s="5"/>
      <c r="I86" s="3" t="s">
        <v>30</v>
      </c>
      <c r="J86" s="3">
        <v>0.33</v>
      </c>
      <c r="K86" s="6">
        <v>585.03057899999999</v>
      </c>
      <c r="L86" s="3">
        <v>0</v>
      </c>
      <c r="M86" s="3">
        <f t="shared" si="8"/>
        <v>0.54</v>
      </c>
      <c r="N86" s="5"/>
      <c r="O86" s="5"/>
      <c r="P86" s="5"/>
      <c r="Q86" s="5"/>
      <c r="S86" s="3" t="s">
        <v>30</v>
      </c>
      <c r="T86" s="3">
        <v>0.9</v>
      </c>
      <c r="U86" s="3">
        <v>0.5</v>
      </c>
      <c r="V86" s="3">
        <v>0.6</v>
      </c>
      <c r="W86" s="3">
        <v>0.49</v>
      </c>
      <c r="X86" s="6">
        <v>584.87292500000001</v>
      </c>
      <c r="Y86" s="3">
        <v>1.2999999999999999E-2</v>
      </c>
      <c r="AA86" s="3" t="s">
        <v>30</v>
      </c>
      <c r="AB86" s="3">
        <v>0.8</v>
      </c>
      <c r="AC86" s="7">
        <v>600.65405299999998</v>
      </c>
      <c r="AD86" s="3">
        <v>0.01</v>
      </c>
      <c r="AE86" s="3">
        <f t="shared" si="9"/>
        <v>0.64500000000000002</v>
      </c>
      <c r="AF86" s="5"/>
      <c r="AG86" s="5"/>
      <c r="AH86" s="5"/>
      <c r="AI86" s="5"/>
      <c r="AK86" s="3" t="s">
        <v>31</v>
      </c>
      <c r="AL86" s="3">
        <v>0.9</v>
      </c>
      <c r="AM86" s="3">
        <v>0.5</v>
      </c>
      <c r="AN86" s="3">
        <v>0.6</v>
      </c>
      <c r="AO86" s="3">
        <v>0.65</v>
      </c>
      <c r="AP86" s="6">
        <v>1015.2770389999999</v>
      </c>
      <c r="AQ86" s="3">
        <v>1.6E-2</v>
      </c>
      <c r="AS86" s="3" t="s">
        <v>31</v>
      </c>
      <c r="AT86" s="3">
        <v>0.91</v>
      </c>
      <c r="AU86" s="7">
        <v>1092.4295649999999</v>
      </c>
      <c r="AV86" s="3">
        <v>4.0000000000000001E-3</v>
      </c>
      <c r="AW86" s="3">
        <f t="shared" si="10"/>
        <v>0.78</v>
      </c>
      <c r="AX86" s="5"/>
      <c r="AY86" s="5"/>
      <c r="AZ86" s="5"/>
      <c r="BA86" s="5"/>
      <c r="BC86" s="3" t="s">
        <v>31</v>
      </c>
      <c r="BD86" s="3">
        <v>0.9</v>
      </c>
      <c r="BE86" s="3">
        <v>0.5</v>
      </c>
      <c r="BF86" s="3">
        <v>0.6</v>
      </c>
      <c r="BG86" s="3">
        <v>0.27</v>
      </c>
      <c r="BH86" s="6">
        <v>835.89587400000005</v>
      </c>
      <c r="BI86" s="3">
        <v>2.5999999999999999E-2</v>
      </c>
      <c r="BK86" s="3" t="s">
        <v>31</v>
      </c>
      <c r="BL86" s="3">
        <v>0.37</v>
      </c>
      <c r="BM86" s="7">
        <v>898.85540800000001</v>
      </c>
      <c r="BN86" s="3">
        <v>1E-3</v>
      </c>
      <c r="BO86" s="3">
        <f t="shared" si="11"/>
        <v>0.32</v>
      </c>
    </row>
    <row r="87" spans="1:67" x14ac:dyDescent="0.3">
      <c r="A87" s="3" t="s">
        <v>32</v>
      </c>
      <c r="B87" s="3">
        <v>0.9</v>
      </c>
      <c r="C87" s="3">
        <v>0.5</v>
      </c>
      <c r="D87" s="3">
        <v>0.6</v>
      </c>
      <c r="E87" s="3">
        <v>0.21</v>
      </c>
      <c r="F87" s="6">
        <v>474.83212300000002</v>
      </c>
      <c r="G87" s="3">
        <v>1.0999999999999999E-2</v>
      </c>
      <c r="H87" s="5"/>
      <c r="I87" s="3" t="s">
        <v>32</v>
      </c>
      <c r="J87" s="3">
        <v>0.56000000000000005</v>
      </c>
      <c r="K87" s="7">
        <v>499.52188100000001</v>
      </c>
      <c r="L87" s="3">
        <v>1.0999999999999999E-2</v>
      </c>
      <c r="M87" s="3">
        <f t="shared" si="8"/>
        <v>0.38500000000000001</v>
      </c>
      <c r="N87" s="5"/>
      <c r="O87" s="5"/>
      <c r="P87" s="5"/>
      <c r="Q87" s="5"/>
      <c r="S87" s="3" t="s">
        <v>32</v>
      </c>
      <c r="T87" s="3">
        <v>0.9</v>
      </c>
      <c r="U87" s="3">
        <v>0.5</v>
      </c>
      <c r="V87" s="3">
        <v>0.6</v>
      </c>
      <c r="W87" s="3">
        <v>0.31</v>
      </c>
      <c r="X87" s="6">
        <v>464.43417399999998</v>
      </c>
      <c r="Y87" s="3">
        <v>1.0999999999999999E-2</v>
      </c>
      <c r="AA87" s="3" t="s">
        <v>32</v>
      </c>
      <c r="AB87" s="3">
        <v>0.19</v>
      </c>
      <c r="AC87" s="6">
        <v>464.43417399999998</v>
      </c>
      <c r="AD87" s="3">
        <v>6.0000000000000001E-3</v>
      </c>
      <c r="AE87" s="3">
        <f t="shared" si="9"/>
        <v>0.25</v>
      </c>
      <c r="AF87" s="5"/>
      <c r="AG87" s="5"/>
      <c r="AH87" s="5"/>
      <c r="AI87" s="5"/>
      <c r="AK87" s="3" t="s">
        <v>33</v>
      </c>
      <c r="AL87" s="3">
        <v>0.9</v>
      </c>
      <c r="AM87" s="3">
        <v>0.5</v>
      </c>
      <c r="AN87" s="3">
        <v>0.6</v>
      </c>
      <c r="AO87" s="3">
        <v>0.22</v>
      </c>
      <c r="AP87" s="6">
        <v>763.00647000000004</v>
      </c>
      <c r="AQ87" s="3">
        <v>1.4999999999999999E-2</v>
      </c>
      <c r="AS87" s="3" t="s">
        <v>33</v>
      </c>
      <c r="AT87" s="3">
        <v>0.5</v>
      </c>
      <c r="AU87" s="7">
        <v>916.95220900000004</v>
      </c>
      <c r="AV87" s="3">
        <v>2E-3</v>
      </c>
      <c r="AW87" s="3">
        <f t="shared" si="10"/>
        <v>0.36</v>
      </c>
      <c r="AX87" s="5"/>
      <c r="AY87" s="5"/>
      <c r="AZ87" s="5"/>
      <c r="BA87" s="5"/>
      <c r="BC87" s="3" t="s">
        <v>33</v>
      </c>
      <c r="BD87" s="3">
        <v>0.9</v>
      </c>
      <c r="BE87" s="3">
        <v>0.5</v>
      </c>
      <c r="BF87" s="3">
        <v>0.6</v>
      </c>
      <c r="BG87" s="3">
        <v>0.5</v>
      </c>
      <c r="BH87" s="7">
        <v>925.12579300000004</v>
      </c>
      <c r="BI87" s="3">
        <v>1.4999999999999999E-2</v>
      </c>
      <c r="BK87" s="3" t="s">
        <v>33</v>
      </c>
      <c r="BL87" s="3">
        <v>0.56000000000000005</v>
      </c>
      <c r="BM87" s="7">
        <v>914.42260699999997</v>
      </c>
      <c r="BN87" s="3">
        <v>1E-3</v>
      </c>
      <c r="BO87" s="3">
        <f t="shared" si="11"/>
        <v>0.53</v>
      </c>
    </row>
    <row r="88" spans="1:67" x14ac:dyDescent="0.3">
      <c r="A88" s="3" t="s">
        <v>34</v>
      </c>
      <c r="B88" s="3">
        <v>0.9</v>
      </c>
      <c r="C88" s="3">
        <v>0.5</v>
      </c>
      <c r="D88" s="3">
        <v>0.6</v>
      </c>
      <c r="E88" s="3">
        <v>0.69</v>
      </c>
      <c r="F88" s="6">
        <v>425.61172499999998</v>
      </c>
      <c r="G88" s="3">
        <v>1.4E-2</v>
      </c>
      <c r="H88" s="5"/>
      <c r="I88" s="3" t="s">
        <v>34</v>
      </c>
      <c r="J88" s="3">
        <v>0.74</v>
      </c>
      <c r="K88" s="6">
        <v>425.61172499999998</v>
      </c>
      <c r="L88" s="3">
        <v>1E-3</v>
      </c>
      <c r="M88" s="3">
        <f t="shared" si="8"/>
        <v>0.71499999999999997</v>
      </c>
      <c r="N88" s="5"/>
      <c r="O88" s="5"/>
      <c r="P88" s="5"/>
      <c r="Q88" s="5"/>
      <c r="S88" s="3" t="s">
        <v>34</v>
      </c>
      <c r="T88" s="3">
        <v>0.9</v>
      </c>
      <c r="U88" s="3">
        <v>0.5</v>
      </c>
      <c r="V88" s="3">
        <v>0.6</v>
      </c>
      <c r="W88" s="3">
        <v>0.7</v>
      </c>
      <c r="X88" s="6">
        <v>419.05215500000003</v>
      </c>
      <c r="Y88" s="3">
        <v>0.02</v>
      </c>
      <c r="AA88" s="3" t="s">
        <v>34</v>
      </c>
      <c r="AB88" s="3">
        <v>0.65</v>
      </c>
      <c r="AC88" s="7">
        <v>451.12786899999998</v>
      </c>
      <c r="AD88" s="3">
        <v>5.0000000000000001E-3</v>
      </c>
      <c r="AE88" s="3">
        <f t="shared" si="9"/>
        <v>0.67500000000000004</v>
      </c>
      <c r="AF88" s="5"/>
      <c r="AG88" s="5"/>
      <c r="AH88" s="5"/>
      <c r="AI88" s="5"/>
      <c r="AK88" s="3" t="s">
        <v>35</v>
      </c>
      <c r="AL88" s="3">
        <v>0.9</v>
      </c>
      <c r="AM88" s="3">
        <v>0.5</v>
      </c>
      <c r="AN88" s="3">
        <v>0.6</v>
      </c>
      <c r="AO88" s="3">
        <v>0.7</v>
      </c>
      <c r="AP88" s="7">
        <v>1017.622314</v>
      </c>
      <c r="AQ88" s="3">
        <v>1.2E-2</v>
      </c>
      <c r="AS88" s="3" t="s">
        <v>35</v>
      </c>
      <c r="AT88" s="3">
        <v>0.35</v>
      </c>
      <c r="AU88" s="6">
        <v>820.69708300000002</v>
      </c>
      <c r="AV88" s="3">
        <v>1E-3</v>
      </c>
      <c r="AW88" s="3">
        <f t="shared" si="10"/>
        <v>0.52499999999999991</v>
      </c>
      <c r="AX88" s="5"/>
      <c r="AY88" s="5"/>
      <c r="AZ88" s="5"/>
      <c r="BA88" s="5"/>
      <c r="BC88" s="3" t="s">
        <v>35</v>
      </c>
      <c r="BD88" s="3">
        <v>0.9</v>
      </c>
      <c r="BE88" s="3">
        <v>0.5</v>
      </c>
      <c r="BF88" s="3">
        <v>0.6</v>
      </c>
      <c r="BG88" s="3">
        <v>0.24</v>
      </c>
      <c r="BH88" s="6">
        <v>759.53869599999996</v>
      </c>
      <c r="BI88" s="3">
        <v>2.9000000000000001E-2</v>
      </c>
      <c r="BK88" s="3" t="s">
        <v>35</v>
      </c>
      <c r="BL88" s="3">
        <v>0.97</v>
      </c>
      <c r="BM88" s="6">
        <v>1045.489624</v>
      </c>
      <c r="BN88" s="3">
        <v>7.0000000000000001E-3</v>
      </c>
      <c r="BO88" s="3">
        <f t="shared" si="11"/>
        <v>0.60499999999999998</v>
      </c>
    </row>
    <row r="89" spans="1:67" x14ac:dyDescent="0.3">
      <c r="A89" s="3" t="s">
        <v>36</v>
      </c>
      <c r="B89" s="3">
        <v>0.9</v>
      </c>
      <c r="C89" s="3">
        <v>0.5</v>
      </c>
      <c r="D89" s="3">
        <v>0.6</v>
      </c>
      <c r="E89" s="3">
        <v>0.06</v>
      </c>
      <c r="F89" s="6">
        <v>530.46447799999999</v>
      </c>
      <c r="G89" s="3">
        <v>1.4999999999999999E-2</v>
      </c>
      <c r="H89" s="5"/>
      <c r="I89" s="3" t="s">
        <v>36</v>
      </c>
      <c r="J89" s="3">
        <v>0.68</v>
      </c>
      <c r="K89" s="7">
        <v>556.72686799999997</v>
      </c>
      <c r="L89" s="3">
        <v>2E-3</v>
      </c>
      <c r="M89" s="3">
        <f t="shared" si="8"/>
        <v>0.37</v>
      </c>
      <c r="N89" s="5"/>
      <c r="O89" s="5"/>
      <c r="P89" s="5"/>
      <c r="Q89" s="5"/>
      <c r="S89" s="3" t="s">
        <v>36</v>
      </c>
      <c r="T89" s="3">
        <v>0.9</v>
      </c>
      <c r="U89" s="3">
        <v>0.5</v>
      </c>
      <c r="V89" s="3">
        <v>0.6</v>
      </c>
      <c r="W89" s="3">
        <v>0.78</v>
      </c>
      <c r="X89" s="6">
        <v>568.41510000000005</v>
      </c>
      <c r="Y89" s="3">
        <v>1.2999999999999999E-2</v>
      </c>
      <c r="AA89" s="3" t="s">
        <v>36</v>
      </c>
      <c r="AB89" s="3">
        <v>0.98</v>
      </c>
      <c r="AC89" s="7">
        <v>572.686646</v>
      </c>
      <c r="AD89" s="3">
        <v>1E-3</v>
      </c>
      <c r="AE89" s="3">
        <f t="shared" si="9"/>
        <v>0.88</v>
      </c>
      <c r="AF89" s="5"/>
      <c r="AG89" s="5"/>
      <c r="AH89" s="5"/>
      <c r="AI89" s="5"/>
      <c r="AK89" s="3" t="s">
        <v>37</v>
      </c>
      <c r="AL89" s="3">
        <v>0.9</v>
      </c>
      <c r="AM89" s="3">
        <v>0.5</v>
      </c>
      <c r="AN89" s="3">
        <v>0.6</v>
      </c>
      <c r="AO89" s="3">
        <v>0.4</v>
      </c>
      <c r="AP89" s="7">
        <v>854.20428500000003</v>
      </c>
      <c r="AQ89" s="3">
        <v>2.5999999999999999E-2</v>
      </c>
      <c r="AS89" s="3" t="s">
        <v>37</v>
      </c>
      <c r="AT89" s="3">
        <v>0.27</v>
      </c>
      <c r="AU89" s="6">
        <v>774.13867200000004</v>
      </c>
      <c r="AV89" s="3">
        <v>3.0000000000000001E-3</v>
      </c>
      <c r="AW89" s="3">
        <f t="shared" si="10"/>
        <v>0.33500000000000002</v>
      </c>
      <c r="AX89" s="5"/>
      <c r="AY89" s="5"/>
      <c r="AZ89" s="5"/>
      <c r="BA89" s="5"/>
      <c r="BC89" s="3" t="s">
        <v>37</v>
      </c>
      <c r="BD89" s="3">
        <v>0.9</v>
      </c>
      <c r="BE89" s="3">
        <v>0.5</v>
      </c>
      <c r="BF89" s="3">
        <v>0.6</v>
      </c>
      <c r="BG89" s="3">
        <v>0.19</v>
      </c>
      <c r="BH89" s="6">
        <v>740.16125499999998</v>
      </c>
      <c r="BI89" s="3">
        <v>3.2000000000000001E-2</v>
      </c>
      <c r="BK89" s="3" t="s">
        <v>37</v>
      </c>
      <c r="BL89" s="3">
        <v>0.86</v>
      </c>
      <c r="BM89" s="7">
        <v>977.95233199999996</v>
      </c>
      <c r="BN89" s="3">
        <v>3.0000000000000001E-3</v>
      </c>
      <c r="BO89" s="3">
        <f t="shared" si="11"/>
        <v>0.52500000000000002</v>
      </c>
    </row>
    <row r="90" spans="1:67" x14ac:dyDescent="0.3">
      <c r="A90" s="3" t="s">
        <v>38</v>
      </c>
      <c r="B90" s="3">
        <v>0.9</v>
      </c>
      <c r="C90" s="3">
        <v>0.5</v>
      </c>
      <c r="D90" s="3">
        <v>0.6</v>
      </c>
      <c r="E90" s="3">
        <v>0.42</v>
      </c>
      <c r="F90" s="7">
        <v>491.81729100000001</v>
      </c>
      <c r="G90" s="3">
        <v>8.0000000000000002E-3</v>
      </c>
      <c r="H90" s="5"/>
      <c r="I90" s="3" t="s">
        <v>38</v>
      </c>
      <c r="J90" s="3">
        <v>0.25</v>
      </c>
      <c r="K90" s="6">
        <v>462.71502700000002</v>
      </c>
      <c r="L90" s="3">
        <v>1E-3</v>
      </c>
      <c r="M90" s="3">
        <f t="shared" si="8"/>
        <v>0.33499999999999996</v>
      </c>
      <c r="N90" s="5"/>
      <c r="O90" s="5"/>
      <c r="P90" s="5"/>
      <c r="Q90" s="5"/>
      <c r="S90" s="3" t="s">
        <v>38</v>
      </c>
      <c r="T90" s="3">
        <v>0.9</v>
      </c>
      <c r="U90" s="3">
        <v>0.5</v>
      </c>
      <c r="V90" s="3">
        <v>0.6</v>
      </c>
      <c r="W90" s="3">
        <v>0.55000000000000004</v>
      </c>
      <c r="X90" s="7">
        <v>486.023438</v>
      </c>
      <c r="Y90" s="3">
        <v>1.0999999999999999E-2</v>
      </c>
      <c r="AA90" s="3" t="s">
        <v>38</v>
      </c>
      <c r="AB90" s="3">
        <v>0.45</v>
      </c>
      <c r="AC90" s="6">
        <v>474.322113</v>
      </c>
      <c r="AD90" s="3">
        <v>1E-3</v>
      </c>
      <c r="AE90" s="3">
        <f t="shared" si="9"/>
        <v>0.5</v>
      </c>
      <c r="AF90" s="5"/>
      <c r="AG90" s="5"/>
      <c r="AH90" s="5"/>
      <c r="AI90" s="5"/>
      <c r="AK90" s="3" t="s">
        <v>39</v>
      </c>
      <c r="AL90" s="3">
        <v>0.9</v>
      </c>
      <c r="AM90" s="3">
        <v>0.5</v>
      </c>
      <c r="AN90" s="3">
        <v>0.6</v>
      </c>
      <c r="AO90" s="3">
        <v>0.12</v>
      </c>
      <c r="AP90" s="6">
        <v>721.24163799999997</v>
      </c>
      <c r="AQ90" s="3">
        <v>2.1999999999999999E-2</v>
      </c>
      <c r="AS90" s="3" t="s">
        <v>39</v>
      </c>
      <c r="AT90" s="3">
        <v>0</v>
      </c>
      <c r="AU90" s="7">
        <v>753.426514</v>
      </c>
      <c r="AV90" s="3">
        <v>3.0000000000000001E-3</v>
      </c>
      <c r="AW90" s="3">
        <f t="shared" si="10"/>
        <v>0.06</v>
      </c>
      <c r="AX90" s="5"/>
      <c r="AY90" s="5"/>
      <c r="AZ90" s="5"/>
      <c r="BA90" s="5"/>
      <c r="BC90" s="3" t="s">
        <v>39</v>
      </c>
      <c r="BD90" s="3">
        <v>0.9</v>
      </c>
      <c r="BE90" s="3">
        <v>0.5</v>
      </c>
      <c r="BF90" s="3">
        <v>0.6</v>
      </c>
      <c r="BG90" s="3">
        <v>0.01</v>
      </c>
      <c r="BH90" s="6">
        <v>736.39862100000005</v>
      </c>
      <c r="BI90" s="3">
        <v>1.6E-2</v>
      </c>
      <c r="BK90" s="3" t="s">
        <v>39</v>
      </c>
      <c r="BL90" s="3">
        <v>0.01</v>
      </c>
      <c r="BM90" s="6">
        <v>736.39862100000005</v>
      </c>
      <c r="BN90" s="3">
        <v>3.0000000000000001E-3</v>
      </c>
      <c r="BO90" s="3">
        <f t="shared" si="11"/>
        <v>0.01</v>
      </c>
    </row>
    <row r="91" spans="1:67" x14ac:dyDescent="0.3">
      <c r="A91" s="3" t="s">
        <v>40</v>
      </c>
      <c r="B91" s="3">
        <v>0.9</v>
      </c>
      <c r="C91" s="3">
        <v>0.5</v>
      </c>
      <c r="D91" s="3">
        <v>0.6</v>
      </c>
      <c r="E91" s="3">
        <v>0.36</v>
      </c>
      <c r="F91" s="6">
        <v>412.41693099999998</v>
      </c>
      <c r="G91" s="3">
        <v>1.2E-2</v>
      </c>
      <c r="H91" s="5"/>
      <c r="I91" s="3" t="s">
        <v>40</v>
      </c>
      <c r="J91" s="3">
        <v>0.68</v>
      </c>
      <c r="K91" s="7">
        <v>440.71762100000001</v>
      </c>
      <c r="L91" s="3">
        <v>1E-3</v>
      </c>
      <c r="M91" s="3">
        <f t="shared" si="8"/>
        <v>0.52</v>
      </c>
      <c r="N91" s="5"/>
      <c r="O91" s="5"/>
      <c r="P91" s="5"/>
      <c r="Q91" s="5"/>
      <c r="S91" s="3" t="s">
        <v>40</v>
      </c>
      <c r="T91" s="3">
        <v>0.9</v>
      </c>
      <c r="U91" s="3">
        <v>0.5</v>
      </c>
      <c r="V91" s="3">
        <v>0.6</v>
      </c>
      <c r="W91" s="3">
        <v>0.97</v>
      </c>
      <c r="X91" s="7">
        <v>464.20895400000001</v>
      </c>
      <c r="Y91" s="3">
        <v>2.5000000000000001E-2</v>
      </c>
      <c r="AA91" s="3" t="s">
        <v>40</v>
      </c>
      <c r="AB91" s="3">
        <v>0.25</v>
      </c>
      <c r="AC91" s="6">
        <v>402.01260400000001</v>
      </c>
      <c r="AD91" s="3">
        <v>1.0999999999999999E-2</v>
      </c>
      <c r="AE91" s="3">
        <f t="shared" si="9"/>
        <v>0.61</v>
      </c>
      <c r="AF91" s="5"/>
      <c r="AG91" s="5"/>
      <c r="AH91" s="5"/>
      <c r="AI91" s="5"/>
      <c r="AK91" s="3" t="s">
        <v>41</v>
      </c>
      <c r="AL91" s="3">
        <v>0.9</v>
      </c>
      <c r="AM91" s="3">
        <v>0.5</v>
      </c>
      <c r="AN91" s="3">
        <v>0.6</v>
      </c>
      <c r="AO91" s="3">
        <v>0.31</v>
      </c>
      <c r="AP91" s="6">
        <v>896.84332300000005</v>
      </c>
      <c r="AQ91" s="3">
        <v>3.1E-2</v>
      </c>
      <c r="AS91" s="3" t="s">
        <v>41</v>
      </c>
      <c r="AT91" s="3">
        <v>0.4</v>
      </c>
      <c r="AU91" s="7">
        <v>958.35382100000004</v>
      </c>
      <c r="AV91" s="3">
        <v>2E-3</v>
      </c>
      <c r="AW91" s="3">
        <f t="shared" si="10"/>
        <v>0.35499999999999998</v>
      </c>
      <c r="AX91" s="5"/>
      <c r="AY91" s="5"/>
      <c r="AZ91" s="5"/>
      <c r="BA91" s="5"/>
      <c r="BC91" s="3" t="s">
        <v>41</v>
      </c>
      <c r="BD91" s="3">
        <v>0.9</v>
      </c>
      <c r="BE91" s="3">
        <v>0.5</v>
      </c>
      <c r="BF91" s="3">
        <v>0.6</v>
      </c>
      <c r="BG91" s="3">
        <v>0.53</v>
      </c>
      <c r="BH91" s="7">
        <v>1014.653564</v>
      </c>
      <c r="BI91" s="3">
        <v>1.4999999999999999E-2</v>
      </c>
      <c r="BK91" s="3" t="s">
        <v>41</v>
      </c>
      <c r="BL91" s="3">
        <v>0.27</v>
      </c>
      <c r="BM91" s="6">
        <v>883.89929199999995</v>
      </c>
      <c r="BN91" s="3">
        <v>4.0000000000000001E-3</v>
      </c>
      <c r="BO91" s="3">
        <f t="shared" si="11"/>
        <v>0.4</v>
      </c>
    </row>
    <row r="92" spans="1:67" x14ac:dyDescent="0.3">
      <c r="A92" s="3" t="s">
        <v>42</v>
      </c>
      <c r="B92" s="3">
        <v>0.9</v>
      </c>
      <c r="C92" s="3">
        <v>0.5</v>
      </c>
      <c r="D92" s="3">
        <v>0.6</v>
      </c>
      <c r="E92" s="3">
        <v>0.75</v>
      </c>
      <c r="F92" s="6">
        <v>471.45211799999998</v>
      </c>
      <c r="G92" s="3">
        <v>8.0000000000000002E-3</v>
      </c>
      <c r="H92" s="5"/>
      <c r="I92" s="3" t="s">
        <v>42</v>
      </c>
      <c r="J92" s="3">
        <v>0.87</v>
      </c>
      <c r="K92" s="6">
        <v>471.45211799999998</v>
      </c>
      <c r="L92" s="3">
        <v>1E-3</v>
      </c>
      <c r="M92" s="3">
        <f t="shared" si="8"/>
        <v>0.81</v>
      </c>
      <c r="N92" s="5"/>
      <c r="O92" s="5"/>
      <c r="P92" s="5"/>
      <c r="Q92" s="5"/>
      <c r="S92" s="3" t="s">
        <v>42</v>
      </c>
      <c r="T92" s="3">
        <v>0.9</v>
      </c>
      <c r="U92" s="3">
        <v>0.5</v>
      </c>
      <c r="V92" s="3">
        <v>0.6</v>
      </c>
      <c r="W92" s="3">
        <v>0.54</v>
      </c>
      <c r="X92" s="6">
        <v>448.22326700000002</v>
      </c>
      <c r="Y92" s="3">
        <v>4.2000000000000003E-2</v>
      </c>
      <c r="AA92" s="3" t="s">
        <v>42</v>
      </c>
      <c r="AB92" s="3">
        <v>0.95</v>
      </c>
      <c r="AC92" s="7">
        <v>461.65057400000001</v>
      </c>
      <c r="AD92" s="3">
        <v>0</v>
      </c>
      <c r="AE92" s="3">
        <f t="shared" si="9"/>
        <v>0.745</v>
      </c>
      <c r="AF92" s="5"/>
      <c r="AG92" s="5"/>
      <c r="AH92" s="5"/>
      <c r="AI92" s="5"/>
      <c r="AK92" s="3" t="s">
        <v>43</v>
      </c>
      <c r="AL92" s="3">
        <v>0.9</v>
      </c>
      <c r="AM92" s="3">
        <v>0.5</v>
      </c>
      <c r="AN92" s="3">
        <v>0.6</v>
      </c>
      <c r="AO92" s="3">
        <v>0.62</v>
      </c>
      <c r="AP92" s="7">
        <v>963.01580799999999</v>
      </c>
      <c r="AQ92" s="3">
        <v>2.8000000000000001E-2</v>
      </c>
      <c r="AS92" s="3" t="s">
        <v>43</v>
      </c>
      <c r="AT92" s="3">
        <v>0.06</v>
      </c>
      <c r="AU92" s="6">
        <v>734.63476600000001</v>
      </c>
      <c r="AV92" s="3">
        <v>0</v>
      </c>
      <c r="AW92" s="3">
        <f t="shared" si="10"/>
        <v>0.33999999999999997</v>
      </c>
      <c r="AX92" s="5"/>
      <c r="AY92" s="5"/>
      <c r="AZ92" s="5"/>
      <c r="BA92" s="5"/>
      <c r="BC92" s="3" t="s">
        <v>43</v>
      </c>
      <c r="BD92" s="3">
        <v>0.9</v>
      </c>
      <c r="BE92" s="3">
        <v>0.5</v>
      </c>
      <c r="BF92" s="3">
        <v>0.6</v>
      </c>
      <c r="BG92" s="3">
        <v>7.0000000000000007E-2</v>
      </c>
      <c r="BH92" s="6">
        <v>725.292236</v>
      </c>
      <c r="BI92" s="3">
        <v>1.6E-2</v>
      </c>
      <c r="BK92" s="3" t="s">
        <v>43</v>
      </c>
      <c r="BL92" s="3">
        <v>0.86</v>
      </c>
      <c r="BM92" s="7">
        <v>983.15338099999997</v>
      </c>
      <c r="BN92" s="3">
        <v>1E-3</v>
      </c>
      <c r="BO92" s="3">
        <f t="shared" si="11"/>
        <v>0.46499999999999997</v>
      </c>
    </row>
    <row r="93" spans="1:67" x14ac:dyDescent="0.3">
      <c r="A93" s="3" t="s">
        <v>44</v>
      </c>
      <c r="B93" s="3">
        <v>0.9</v>
      </c>
      <c r="C93" s="3">
        <v>0.5</v>
      </c>
      <c r="D93" s="3">
        <v>0.6</v>
      </c>
      <c r="E93" s="3">
        <v>0.14000000000000001</v>
      </c>
      <c r="F93" s="6">
        <v>522.48529099999996</v>
      </c>
      <c r="G93" s="3">
        <v>0.02</v>
      </c>
      <c r="H93" s="5"/>
      <c r="I93" s="3" t="s">
        <v>44</v>
      </c>
      <c r="J93" s="3">
        <v>0.53</v>
      </c>
      <c r="K93" s="7">
        <v>566.64282200000002</v>
      </c>
      <c r="L93" s="3">
        <v>3.0000000000000001E-3</v>
      </c>
      <c r="M93" s="3">
        <f t="shared" si="8"/>
        <v>0.33500000000000002</v>
      </c>
      <c r="N93" s="5"/>
      <c r="O93" s="5"/>
      <c r="P93" s="5"/>
      <c r="Q93" s="5"/>
      <c r="S93" s="3" t="s">
        <v>44</v>
      </c>
      <c r="T93" s="3">
        <v>0.9</v>
      </c>
      <c r="U93" s="3">
        <v>0.5</v>
      </c>
      <c r="V93" s="3">
        <v>0.6</v>
      </c>
      <c r="W93" s="3">
        <v>0.43</v>
      </c>
      <c r="X93" s="7">
        <v>544.45184300000005</v>
      </c>
      <c r="Y93" s="3">
        <v>0.01</v>
      </c>
      <c r="AA93" s="3" t="s">
        <v>44</v>
      </c>
      <c r="AB93" s="3">
        <v>7.0000000000000007E-2</v>
      </c>
      <c r="AC93" s="6">
        <v>516.365723</v>
      </c>
      <c r="AD93" s="3">
        <v>1E-3</v>
      </c>
      <c r="AE93" s="3">
        <f t="shared" si="9"/>
        <v>0.25</v>
      </c>
      <c r="AF93" s="5"/>
      <c r="AG93" s="5"/>
      <c r="AH93" s="5"/>
      <c r="AI93" s="5"/>
      <c r="AK93" s="3" t="s">
        <v>45</v>
      </c>
      <c r="AL93" s="3">
        <v>0.9</v>
      </c>
      <c r="AM93" s="3">
        <v>0.5</v>
      </c>
      <c r="AN93" s="3">
        <v>0.6</v>
      </c>
      <c r="AO93" s="3">
        <v>0.38</v>
      </c>
      <c r="AP93" s="7">
        <v>926.10778800000003</v>
      </c>
      <c r="AQ93" s="3">
        <v>1.9E-2</v>
      </c>
      <c r="AS93" s="3" t="s">
        <v>45</v>
      </c>
      <c r="AT93" s="3">
        <v>0.05</v>
      </c>
      <c r="AU93" s="6">
        <v>701.73736599999995</v>
      </c>
      <c r="AV93" s="3">
        <v>7.0000000000000001E-3</v>
      </c>
      <c r="AW93" s="3">
        <f t="shared" si="10"/>
        <v>0.215</v>
      </c>
      <c r="AX93" s="5"/>
      <c r="AY93" s="5"/>
      <c r="AZ93" s="5"/>
      <c r="BA93" s="5"/>
      <c r="BC93" s="3" t="s">
        <v>45</v>
      </c>
      <c r="BD93" s="3">
        <v>0.9</v>
      </c>
      <c r="BE93" s="3">
        <v>0.5</v>
      </c>
      <c r="BF93" s="3">
        <v>0.6</v>
      </c>
      <c r="BG93" s="3">
        <v>0.81</v>
      </c>
      <c r="BH93" s="7">
        <v>1083.6685789999999</v>
      </c>
      <c r="BI93" s="3">
        <v>1.9E-2</v>
      </c>
      <c r="BK93" s="3" t="s">
        <v>45</v>
      </c>
      <c r="BL93" s="3">
        <v>0.43</v>
      </c>
      <c r="BM93" s="6">
        <v>924.18444799999997</v>
      </c>
      <c r="BN93" s="3">
        <v>1E-3</v>
      </c>
      <c r="BO93" s="3">
        <f t="shared" si="11"/>
        <v>0.62</v>
      </c>
    </row>
    <row r="94" spans="1:67" x14ac:dyDescent="0.3">
      <c r="A94" s="3" t="s">
        <v>46</v>
      </c>
      <c r="B94" s="3">
        <v>0.9</v>
      </c>
      <c r="C94" s="3">
        <v>0.5</v>
      </c>
      <c r="D94" s="3">
        <v>0.6</v>
      </c>
      <c r="E94" s="3">
        <v>0.9</v>
      </c>
      <c r="F94" s="6">
        <v>545.95080600000006</v>
      </c>
      <c r="G94" s="3">
        <v>6.0000000000000001E-3</v>
      </c>
      <c r="H94" s="5"/>
      <c r="I94" s="3" t="s">
        <v>46</v>
      </c>
      <c r="J94" s="3">
        <v>0.8</v>
      </c>
      <c r="K94" s="7">
        <v>548.88622999999995</v>
      </c>
      <c r="L94" s="3">
        <v>3.0000000000000001E-3</v>
      </c>
      <c r="M94" s="3">
        <f t="shared" si="8"/>
        <v>0.85000000000000009</v>
      </c>
      <c r="N94" s="5"/>
      <c r="O94" s="5"/>
      <c r="P94" s="5"/>
      <c r="Q94" s="5"/>
      <c r="S94" s="3" t="s">
        <v>46</v>
      </c>
      <c r="T94" s="3">
        <v>0.9</v>
      </c>
      <c r="U94" s="3">
        <v>0.5</v>
      </c>
      <c r="V94" s="3">
        <v>0.6</v>
      </c>
      <c r="W94" s="3">
        <v>0.49</v>
      </c>
      <c r="X94" s="6">
        <v>494.461029</v>
      </c>
      <c r="Y94" s="3">
        <v>0.01</v>
      </c>
      <c r="AA94" s="3" t="s">
        <v>46</v>
      </c>
      <c r="AB94" s="3">
        <v>0.89</v>
      </c>
      <c r="AC94" s="7">
        <v>547.63317900000004</v>
      </c>
      <c r="AD94" s="3">
        <v>4.0000000000000001E-3</v>
      </c>
      <c r="AE94" s="3">
        <f t="shared" si="9"/>
        <v>0.69</v>
      </c>
      <c r="AF94" s="5"/>
      <c r="AG94" s="5"/>
      <c r="AH94" s="5"/>
      <c r="AI94" s="5"/>
      <c r="AK94" s="3" t="s">
        <v>47</v>
      </c>
      <c r="AL94" s="3">
        <v>0.9</v>
      </c>
      <c r="AM94" s="3">
        <v>0.5</v>
      </c>
      <c r="AN94" s="3">
        <v>0.6</v>
      </c>
      <c r="AO94" s="3">
        <v>0.14000000000000001</v>
      </c>
      <c r="AP94" s="6">
        <v>709.53704800000003</v>
      </c>
      <c r="AQ94" s="3">
        <v>1.4999999999999999E-2</v>
      </c>
      <c r="AS94" s="3" t="s">
        <v>47</v>
      </c>
      <c r="AT94" s="3">
        <v>0.57999999999999996</v>
      </c>
      <c r="AU94" s="7">
        <v>904.43554700000004</v>
      </c>
      <c r="AV94" s="3">
        <v>7.0000000000000001E-3</v>
      </c>
      <c r="AW94" s="3">
        <f t="shared" si="10"/>
        <v>0.36</v>
      </c>
      <c r="AX94" s="5"/>
      <c r="AY94" s="5"/>
      <c r="AZ94" s="5"/>
      <c r="BA94" s="5"/>
      <c r="BC94" s="3" t="s">
        <v>47</v>
      </c>
      <c r="BD94" s="3">
        <v>0.9</v>
      </c>
      <c r="BE94" s="3">
        <v>0.5</v>
      </c>
      <c r="BF94" s="3">
        <v>0.6</v>
      </c>
      <c r="BG94" s="3">
        <v>0.54</v>
      </c>
      <c r="BH94" s="7">
        <v>883.80041500000004</v>
      </c>
      <c r="BI94" s="3">
        <v>1.2999999999999999E-2</v>
      </c>
      <c r="BK94" s="3" t="s">
        <v>47</v>
      </c>
      <c r="BL94" s="3">
        <v>0.37</v>
      </c>
      <c r="BM94" s="6">
        <v>821.75830099999996</v>
      </c>
      <c r="BN94" s="3">
        <v>1E-3</v>
      </c>
      <c r="BO94" s="3">
        <f t="shared" si="11"/>
        <v>0.45500000000000002</v>
      </c>
    </row>
    <row r="95" spans="1:67" x14ac:dyDescent="0.3">
      <c r="A95" s="3" t="s">
        <v>48</v>
      </c>
      <c r="B95" s="3">
        <v>0.9</v>
      </c>
      <c r="C95" s="3">
        <v>0.5</v>
      </c>
      <c r="D95" s="3">
        <v>0.6</v>
      </c>
      <c r="E95" s="3">
        <v>0.41</v>
      </c>
      <c r="F95" s="7">
        <v>479.29489100000001</v>
      </c>
      <c r="G95" s="3">
        <v>3.5000000000000003E-2</v>
      </c>
      <c r="H95" s="5"/>
      <c r="I95" s="3" t="s">
        <v>48</v>
      </c>
      <c r="J95" s="3">
        <v>0.37</v>
      </c>
      <c r="K95" s="6">
        <v>477.776794</v>
      </c>
      <c r="L95" s="3">
        <v>1E-3</v>
      </c>
      <c r="M95" s="3">
        <f t="shared" si="8"/>
        <v>0.39</v>
      </c>
      <c r="N95" s="5"/>
      <c r="O95" s="5"/>
      <c r="P95" s="5"/>
      <c r="Q95" s="5"/>
      <c r="S95" s="3" t="s">
        <v>48</v>
      </c>
      <c r="T95" s="3">
        <v>0.9</v>
      </c>
      <c r="U95" s="3">
        <v>0.5</v>
      </c>
      <c r="V95" s="3">
        <v>0.6</v>
      </c>
      <c r="W95" s="3">
        <v>0.54</v>
      </c>
      <c r="X95" s="6">
        <v>476.42626999999999</v>
      </c>
      <c r="Y95" s="3">
        <v>1.9E-2</v>
      </c>
      <c r="AA95" s="3" t="s">
        <v>48</v>
      </c>
      <c r="AB95" s="3">
        <v>0.04</v>
      </c>
      <c r="AC95" s="7">
        <v>520.02691700000003</v>
      </c>
      <c r="AD95" s="3">
        <v>6.0000000000000001E-3</v>
      </c>
      <c r="AE95" s="3">
        <f t="shared" si="9"/>
        <v>0.29000000000000004</v>
      </c>
      <c r="AF95" s="5"/>
      <c r="AG95" s="5"/>
      <c r="AH95" s="5"/>
      <c r="AI95" s="5"/>
      <c r="AK95" s="3" t="s">
        <v>49</v>
      </c>
      <c r="AL95" s="3">
        <v>0.9</v>
      </c>
      <c r="AM95" s="3">
        <v>0.5</v>
      </c>
      <c r="AN95" s="3">
        <v>0.6</v>
      </c>
      <c r="AO95" s="3">
        <v>0.69</v>
      </c>
      <c r="AP95" s="6">
        <v>973.27526899999998</v>
      </c>
      <c r="AQ95" s="3">
        <v>1.7000000000000001E-2</v>
      </c>
      <c r="AS95" s="3" t="s">
        <v>49</v>
      </c>
      <c r="AT95" s="3">
        <v>0.78</v>
      </c>
      <c r="AU95" s="7">
        <v>982.98937999999998</v>
      </c>
      <c r="AV95" s="3">
        <v>8.9999999999999993E-3</v>
      </c>
      <c r="AW95" s="3">
        <f t="shared" si="10"/>
        <v>0.73499999999999999</v>
      </c>
      <c r="AX95" s="5"/>
      <c r="AY95" s="5"/>
      <c r="AZ95" s="5"/>
      <c r="BA95" s="5"/>
      <c r="BC95" s="3" t="s">
        <v>49</v>
      </c>
      <c r="BD95" s="3">
        <v>0.9</v>
      </c>
      <c r="BE95" s="3">
        <v>0.5</v>
      </c>
      <c r="BF95" s="3">
        <v>0.6</v>
      </c>
      <c r="BG95" s="3">
        <v>0.49</v>
      </c>
      <c r="BH95" s="7">
        <v>904.06719999999996</v>
      </c>
      <c r="BI95" s="3">
        <v>1.0999999999999999E-2</v>
      </c>
      <c r="BK95" s="3" t="s">
        <v>49</v>
      </c>
      <c r="BL95" s="3">
        <v>0.24</v>
      </c>
      <c r="BM95" s="6">
        <v>798.25945999999999</v>
      </c>
      <c r="BN95" s="3">
        <v>1.2E-2</v>
      </c>
      <c r="BO95" s="3">
        <f t="shared" si="11"/>
        <v>0.36499999999999999</v>
      </c>
    </row>
    <row r="96" spans="1:67" x14ac:dyDescent="0.3">
      <c r="A96" s="3" t="s">
        <v>50</v>
      </c>
      <c r="B96" s="3">
        <v>0.9</v>
      </c>
      <c r="C96" s="3">
        <v>0.5</v>
      </c>
      <c r="D96" s="3">
        <v>0.6</v>
      </c>
      <c r="E96" s="3">
        <v>0.41</v>
      </c>
      <c r="F96" s="6">
        <v>477.68231200000002</v>
      </c>
      <c r="G96" s="3">
        <v>1.4E-2</v>
      </c>
      <c r="H96" s="5"/>
      <c r="I96" s="3" t="s">
        <v>50</v>
      </c>
      <c r="J96" s="3">
        <v>0.27</v>
      </c>
      <c r="K96" s="7">
        <v>483.88732900000002</v>
      </c>
      <c r="L96" s="3">
        <v>3.0000000000000001E-3</v>
      </c>
      <c r="M96" s="3">
        <f t="shared" si="8"/>
        <v>0.33999999999999997</v>
      </c>
      <c r="N96" s="5"/>
      <c r="O96" s="5"/>
      <c r="P96" s="5"/>
      <c r="Q96" s="5"/>
      <c r="S96" s="3" t="s">
        <v>50</v>
      </c>
      <c r="T96" s="3">
        <v>0.9</v>
      </c>
      <c r="U96" s="3">
        <v>0.5</v>
      </c>
      <c r="V96" s="3">
        <v>0.6</v>
      </c>
      <c r="W96" s="3">
        <v>0.28999999999999998</v>
      </c>
      <c r="X96" s="6">
        <v>467.73568699999998</v>
      </c>
      <c r="Y96" s="3">
        <v>1.6E-2</v>
      </c>
      <c r="AA96" s="3" t="s">
        <v>50</v>
      </c>
      <c r="AB96" s="3">
        <v>0.79</v>
      </c>
      <c r="AC96" s="7">
        <v>532.69549600000005</v>
      </c>
      <c r="AD96" s="3">
        <v>5.0000000000000001E-3</v>
      </c>
      <c r="AE96" s="3">
        <f t="shared" si="9"/>
        <v>0.54</v>
      </c>
      <c r="AF96" s="5"/>
      <c r="AG96" s="5"/>
      <c r="AH96" s="5"/>
      <c r="AI96" s="5"/>
      <c r="AK96" s="3" t="s">
        <v>51</v>
      </c>
      <c r="AL96" s="3">
        <v>0.9</v>
      </c>
      <c r="AM96" s="3">
        <v>0.5</v>
      </c>
      <c r="AN96" s="3">
        <v>0.6</v>
      </c>
      <c r="AO96" s="3">
        <v>0.64</v>
      </c>
      <c r="AP96" s="6">
        <v>1154.8865969999999</v>
      </c>
      <c r="AQ96" s="3">
        <v>1.2999999999999999E-2</v>
      </c>
      <c r="AS96" s="3" t="s">
        <v>51</v>
      </c>
      <c r="AT96" s="3">
        <v>0.91</v>
      </c>
      <c r="AU96" s="7">
        <v>1216.73938</v>
      </c>
      <c r="AV96" s="3">
        <v>7.0000000000000001E-3</v>
      </c>
      <c r="AW96" s="3">
        <f t="shared" si="10"/>
        <v>0.77500000000000002</v>
      </c>
      <c r="AX96" s="5"/>
      <c r="AY96" s="5"/>
      <c r="AZ96" s="5"/>
      <c r="BA96" s="5"/>
      <c r="BC96" s="3" t="s">
        <v>51</v>
      </c>
      <c r="BD96" s="3">
        <v>0.9</v>
      </c>
      <c r="BE96" s="3">
        <v>0.5</v>
      </c>
      <c r="BF96" s="3">
        <v>0.6</v>
      </c>
      <c r="BG96" s="3">
        <v>0.71</v>
      </c>
      <c r="BH96" s="6">
        <v>1169.4570309999999</v>
      </c>
      <c r="BI96" s="3">
        <v>2.4E-2</v>
      </c>
      <c r="BK96" s="3" t="s">
        <v>51</v>
      </c>
      <c r="BL96" s="3">
        <v>0.95</v>
      </c>
      <c r="BM96" s="7">
        <v>1241.262207</v>
      </c>
      <c r="BN96" s="3">
        <v>1E-3</v>
      </c>
      <c r="BO96" s="3">
        <f t="shared" si="11"/>
        <v>0.83</v>
      </c>
    </row>
    <row r="97" spans="1:71" x14ac:dyDescent="0.3">
      <c r="A97" s="3" t="s">
        <v>52</v>
      </c>
      <c r="B97" s="3">
        <v>0.9</v>
      </c>
      <c r="C97" s="3">
        <v>0.5</v>
      </c>
      <c r="D97" s="3">
        <v>0.6</v>
      </c>
      <c r="E97" s="3">
        <v>0.67</v>
      </c>
      <c r="F97" s="6">
        <v>508.19259599999998</v>
      </c>
      <c r="G97" s="3">
        <v>0.01</v>
      </c>
      <c r="H97" s="5"/>
      <c r="I97" s="3" t="s">
        <v>52</v>
      </c>
      <c r="J97" s="3">
        <v>0.72</v>
      </c>
      <c r="K97" s="7">
        <v>556.01910399999997</v>
      </c>
      <c r="L97" s="3">
        <v>1E-3</v>
      </c>
      <c r="M97" s="3">
        <f t="shared" si="8"/>
        <v>0.69500000000000006</v>
      </c>
      <c r="N97" s="5"/>
      <c r="O97" s="5"/>
      <c r="P97" s="5"/>
      <c r="Q97" s="5"/>
      <c r="S97" s="3" t="s">
        <v>52</v>
      </c>
      <c r="T97" s="3">
        <v>0.9</v>
      </c>
      <c r="U97" s="3">
        <v>0.5</v>
      </c>
      <c r="V97" s="3">
        <v>0.6</v>
      </c>
      <c r="W97" s="3">
        <v>0.89</v>
      </c>
      <c r="X97" s="7">
        <v>574.52673300000004</v>
      </c>
      <c r="Y97" s="3">
        <v>1.7999999999999999E-2</v>
      </c>
      <c r="AA97" s="3" t="s">
        <v>52</v>
      </c>
      <c r="AB97" s="3">
        <v>0.99</v>
      </c>
      <c r="AC97" s="6">
        <v>560.75176999999996</v>
      </c>
      <c r="AD97" s="3">
        <v>0</v>
      </c>
      <c r="AE97" s="3">
        <f t="shared" si="9"/>
        <v>0.94</v>
      </c>
      <c r="AF97" s="5"/>
      <c r="AG97" s="5"/>
      <c r="AH97" s="5"/>
      <c r="AI97" s="5"/>
      <c r="AK97" s="3" t="s">
        <v>53</v>
      </c>
      <c r="AL97" s="3">
        <v>0.9</v>
      </c>
      <c r="AM97" s="3">
        <v>0.5</v>
      </c>
      <c r="AN97" s="3">
        <v>0.6</v>
      </c>
      <c r="AO97" s="3">
        <v>0.37</v>
      </c>
      <c r="AP97" s="6">
        <v>996.40393100000006</v>
      </c>
      <c r="AQ97" s="3">
        <v>1.2E-2</v>
      </c>
      <c r="AS97" s="3" t="s">
        <v>53</v>
      </c>
      <c r="AT97" s="3">
        <v>0.73</v>
      </c>
      <c r="AU97" s="7">
        <v>1125.9228519999999</v>
      </c>
      <c r="AV97" s="3">
        <v>2E-3</v>
      </c>
      <c r="AW97" s="3">
        <f t="shared" si="10"/>
        <v>0.55000000000000004</v>
      </c>
      <c r="AX97" s="5"/>
      <c r="AY97" s="5"/>
      <c r="AZ97" s="5"/>
      <c r="BA97" s="5"/>
      <c r="BC97" s="3" t="s">
        <v>53</v>
      </c>
      <c r="BD97" s="3">
        <v>0.9</v>
      </c>
      <c r="BE97" s="3">
        <v>0.5</v>
      </c>
      <c r="BF97" s="3">
        <v>0.6</v>
      </c>
      <c r="BG97" s="3">
        <v>0.28999999999999998</v>
      </c>
      <c r="BH97" s="6">
        <v>953.27435300000002</v>
      </c>
      <c r="BI97" s="3">
        <v>1.2999999999999999E-2</v>
      </c>
      <c r="BK97" s="3" t="s">
        <v>53</v>
      </c>
      <c r="BL97" s="3">
        <v>0.91</v>
      </c>
      <c r="BM97" s="7">
        <v>1176.104736</v>
      </c>
      <c r="BN97" s="3">
        <v>2E-3</v>
      </c>
      <c r="BO97" s="3">
        <f t="shared" si="11"/>
        <v>0.6</v>
      </c>
    </row>
    <row r="98" spans="1:71" x14ac:dyDescent="0.3">
      <c r="A98" s="3" t="s">
        <v>54</v>
      </c>
      <c r="B98" s="3">
        <v>0.9</v>
      </c>
      <c r="C98" s="3">
        <v>0.5</v>
      </c>
      <c r="D98" s="3">
        <v>0.6</v>
      </c>
      <c r="E98" s="3">
        <v>0.69</v>
      </c>
      <c r="F98" s="6">
        <v>569.511841</v>
      </c>
      <c r="G98" s="3">
        <v>1.4999999999999999E-2</v>
      </c>
      <c r="H98" s="5"/>
      <c r="I98" s="3" t="s">
        <v>54</v>
      </c>
      <c r="J98" s="3">
        <v>0.68</v>
      </c>
      <c r="K98" s="6">
        <v>569.511841</v>
      </c>
      <c r="L98" s="3">
        <v>1E-3</v>
      </c>
      <c r="M98" s="3">
        <f t="shared" si="8"/>
        <v>0.68500000000000005</v>
      </c>
      <c r="N98" s="5"/>
      <c r="O98" s="5"/>
      <c r="P98" s="5"/>
      <c r="Q98" s="5"/>
      <c r="S98" s="3" t="s">
        <v>54</v>
      </c>
      <c r="T98" s="3">
        <v>0.9</v>
      </c>
      <c r="U98" s="3">
        <v>0.5</v>
      </c>
      <c r="V98" s="3">
        <v>0.6</v>
      </c>
      <c r="W98" s="3">
        <v>0.89</v>
      </c>
      <c r="X98" s="7">
        <v>614.63629200000003</v>
      </c>
      <c r="Y98" s="3">
        <v>1.6E-2</v>
      </c>
      <c r="AA98" s="3" t="s">
        <v>54</v>
      </c>
      <c r="AB98" s="3">
        <v>0.33</v>
      </c>
      <c r="AC98" s="6">
        <v>561.625854</v>
      </c>
      <c r="AD98" s="3">
        <v>1E-3</v>
      </c>
      <c r="AE98" s="3">
        <f t="shared" si="9"/>
        <v>0.61</v>
      </c>
      <c r="AF98" s="5"/>
      <c r="AG98" s="5"/>
      <c r="AH98" s="5"/>
      <c r="AI98" s="5"/>
      <c r="AK98" s="3" t="s">
        <v>55</v>
      </c>
      <c r="AL98" s="3">
        <v>0.9</v>
      </c>
      <c r="AM98" s="3">
        <v>0.5</v>
      </c>
      <c r="AN98" s="3">
        <v>0.6</v>
      </c>
      <c r="AO98" s="3">
        <v>0.77</v>
      </c>
      <c r="AP98" s="7">
        <v>1105.1370850000001</v>
      </c>
      <c r="AQ98" s="3">
        <v>2.7E-2</v>
      </c>
      <c r="AS98" s="3" t="s">
        <v>55</v>
      </c>
      <c r="AT98" s="3">
        <v>0.49</v>
      </c>
      <c r="AU98" s="6">
        <v>1039.8743899999999</v>
      </c>
      <c r="AV98" s="3">
        <v>4.0000000000000001E-3</v>
      </c>
      <c r="AW98" s="3">
        <f t="shared" si="10"/>
        <v>0.63</v>
      </c>
      <c r="AX98" s="5"/>
      <c r="AY98" s="5"/>
      <c r="AZ98" s="5"/>
      <c r="BA98" s="5"/>
      <c r="BC98" s="3" t="s">
        <v>55</v>
      </c>
      <c r="BD98" s="3">
        <v>0.9</v>
      </c>
      <c r="BE98" s="3">
        <v>0.5</v>
      </c>
      <c r="BF98" s="3">
        <v>0.6</v>
      </c>
      <c r="BG98" s="3">
        <v>0.82</v>
      </c>
      <c r="BH98" s="7">
        <v>1122.970947</v>
      </c>
      <c r="BI98" s="3">
        <v>0.01</v>
      </c>
      <c r="BK98" s="3" t="s">
        <v>55</v>
      </c>
      <c r="BL98" s="3">
        <v>0.44</v>
      </c>
      <c r="BM98" s="6">
        <v>1011.614319</v>
      </c>
      <c r="BN98" s="3">
        <v>2E-3</v>
      </c>
      <c r="BO98" s="3">
        <f t="shared" si="11"/>
        <v>0.63</v>
      </c>
    </row>
    <row r="99" spans="1:71" x14ac:dyDescent="0.3">
      <c r="A99" s="3" t="s">
        <v>56</v>
      </c>
      <c r="B99" s="3">
        <v>0.9</v>
      </c>
      <c r="C99" s="3">
        <v>0.5</v>
      </c>
      <c r="D99" s="3">
        <v>0.6</v>
      </c>
      <c r="E99" s="3">
        <v>0.64</v>
      </c>
      <c r="F99" s="7">
        <v>526.87280299999998</v>
      </c>
      <c r="G99" s="3">
        <v>2.4E-2</v>
      </c>
      <c r="H99" s="5"/>
      <c r="I99" s="3" t="s">
        <v>56</v>
      </c>
      <c r="J99" s="3">
        <v>0.56999999999999995</v>
      </c>
      <c r="K99" s="6">
        <v>519.32110599999999</v>
      </c>
      <c r="L99" s="3">
        <v>2E-3</v>
      </c>
      <c r="M99" s="3">
        <f t="shared" si="8"/>
        <v>0.60499999999999998</v>
      </c>
      <c r="N99" s="5"/>
      <c r="O99" s="5"/>
      <c r="P99" s="5"/>
      <c r="Q99" s="5"/>
      <c r="S99" s="3" t="s">
        <v>56</v>
      </c>
      <c r="T99" s="3">
        <v>0.9</v>
      </c>
      <c r="U99" s="3">
        <v>0.5</v>
      </c>
      <c r="V99" s="3">
        <v>0.6</v>
      </c>
      <c r="W99" s="3">
        <v>0.21</v>
      </c>
      <c r="X99" s="6">
        <v>463.59741200000002</v>
      </c>
      <c r="Y99" s="3">
        <v>1.7000000000000001E-2</v>
      </c>
      <c r="AA99" s="3" t="s">
        <v>56</v>
      </c>
      <c r="AB99" s="3">
        <v>0.92</v>
      </c>
      <c r="AC99" s="7">
        <v>564.07409700000005</v>
      </c>
      <c r="AD99" s="3">
        <v>2E-3</v>
      </c>
      <c r="AE99" s="3">
        <f t="shared" si="9"/>
        <v>0.56500000000000006</v>
      </c>
      <c r="AF99" s="5"/>
      <c r="AG99" s="5"/>
      <c r="AH99" s="5"/>
      <c r="AI99" s="5"/>
      <c r="AK99" s="3" t="s">
        <v>57</v>
      </c>
      <c r="AL99" s="3">
        <v>0.9</v>
      </c>
      <c r="AM99" s="3">
        <v>0.5</v>
      </c>
      <c r="AN99" s="3">
        <v>0.6</v>
      </c>
      <c r="AO99" s="3">
        <v>0.01</v>
      </c>
      <c r="AP99" s="6">
        <v>851.12493900000004</v>
      </c>
      <c r="AQ99" s="3">
        <v>1.9E-2</v>
      </c>
      <c r="AS99" s="3" t="s">
        <v>57</v>
      </c>
      <c r="AT99" s="3">
        <v>0.66</v>
      </c>
      <c r="AU99" s="7">
        <v>1073.22522</v>
      </c>
      <c r="AV99" s="3">
        <v>8.0000000000000002E-3</v>
      </c>
      <c r="AW99" s="3">
        <f t="shared" si="10"/>
        <v>0.33500000000000002</v>
      </c>
      <c r="AX99" s="5"/>
      <c r="AY99" s="5"/>
      <c r="AZ99" s="5"/>
      <c r="BA99" s="5"/>
      <c r="BC99" s="3" t="s">
        <v>57</v>
      </c>
      <c r="BD99" s="3">
        <v>0.9</v>
      </c>
      <c r="BE99" s="3">
        <v>0.5</v>
      </c>
      <c r="BF99" s="3">
        <v>0.6</v>
      </c>
      <c r="BG99" s="3">
        <v>0.18</v>
      </c>
      <c r="BH99" s="6">
        <v>897.13812299999995</v>
      </c>
      <c r="BI99" s="3">
        <v>2.1000000000000001E-2</v>
      </c>
      <c r="BK99" s="3" t="s">
        <v>57</v>
      </c>
      <c r="BL99" s="3">
        <v>0.36</v>
      </c>
      <c r="BM99" s="7">
        <v>968.48425299999997</v>
      </c>
      <c r="BN99" s="3">
        <v>0</v>
      </c>
      <c r="BO99" s="3">
        <f t="shared" si="11"/>
        <v>0.27</v>
      </c>
    </row>
    <row r="100" spans="1:71" x14ac:dyDescent="0.3">
      <c r="A100" s="3" t="s">
        <v>58</v>
      </c>
      <c r="B100" s="3">
        <v>0.9</v>
      </c>
      <c r="C100" s="3">
        <v>0.5</v>
      </c>
      <c r="D100" s="3">
        <v>0.6</v>
      </c>
      <c r="E100" s="3">
        <v>0.74</v>
      </c>
      <c r="F100" s="7">
        <v>548.36456299999998</v>
      </c>
      <c r="G100" s="3">
        <v>8.9999999999999993E-3</v>
      </c>
      <c r="H100" s="5"/>
      <c r="I100" s="3" t="s">
        <v>58</v>
      </c>
      <c r="J100" s="3">
        <v>0.12</v>
      </c>
      <c r="K100" s="6">
        <v>476.776276</v>
      </c>
      <c r="L100" s="3">
        <v>0</v>
      </c>
      <c r="M100" s="3">
        <f t="shared" si="8"/>
        <v>0.43</v>
      </c>
      <c r="N100" s="5"/>
      <c r="O100" s="5"/>
      <c r="P100" s="5"/>
      <c r="Q100" s="5"/>
      <c r="S100" s="3" t="s">
        <v>58</v>
      </c>
      <c r="T100" s="3">
        <v>0.9</v>
      </c>
      <c r="U100" s="3">
        <v>0.5</v>
      </c>
      <c r="V100" s="3">
        <v>0.6</v>
      </c>
      <c r="W100" s="3">
        <v>0.37</v>
      </c>
      <c r="X100" s="6">
        <v>489.24707000000001</v>
      </c>
      <c r="Y100" s="3">
        <v>3.2000000000000001E-2</v>
      </c>
      <c r="AA100" s="3" t="s">
        <v>58</v>
      </c>
      <c r="AB100" s="3">
        <v>0.5</v>
      </c>
      <c r="AC100" s="7">
        <v>548.33264199999996</v>
      </c>
      <c r="AD100" s="3">
        <v>1E-3</v>
      </c>
      <c r="AE100" s="3">
        <f t="shared" si="9"/>
        <v>0.435</v>
      </c>
      <c r="AF100" s="5"/>
      <c r="AG100" s="5"/>
      <c r="AH100" s="5"/>
      <c r="AI100" s="5"/>
      <c r="AK100" s="3" t="s">
        <v>59</v>
      </c>
      <c r="AL100" s="3">
        <v>0.9</v>
      </c>
      <c r="AM100" s="3">
        <v>0.5</v>
      </c>
      <c r="AN100" s="3">
        <v>0.6</v>
      </c>
      <c r="AO100" s="3">
        <v>0.14000000000000001</v>
      </c>
      <c r="AP100" s="6">
        <v>779.65606700000001</v>
      </c>
      <c r="AQ100" s="3">
        <v>1.2999999999999999E-2</v>
      </c>
      <c r="AS100" s="3" t="s">
        <v>59</v>
      </c>
      <c r="AT100" s="3">
        <v>0.21</v>
      </c>
      <c r="AU100" s="7">
        <v>837.47552499999995</v>
      </c>
      <c r="AV100" s="3">
        <v>1.0999999999999999E-2</v>
      </c>
      <c r="AW100" s="3">
        <f t="shared" si="10"/>
        <v>0.17499999999999999</v>
      </c>
      <c r="AX100" s="5"/>
      <c r="AY100" s="5"/>
      <c r="AZ100" s="5"/>
      <c r="BA100" s="5"/>
      <c r="BC100" s="3" t="s">
        <v>59</v>
      </c>
      <c r="BD100" s="3">
        <v>0.9</v>
      </c>
      <c r="BE100" s="3">
        <v>0.5</v>
      </c>
      <c r="BF100" s="3">
        <v>0.6</v>
      </c>
      <c r="BG100" s="3">
        <v>0.84</v>
      </c>
      <c r="BH100" s="6">
        <v>1075.179443</v>
      </c>
      <c r="BI100" s="3">
        <v>1.4999999999999999E-2</v>
      </c>
      <c r="BK100" s="3" t="s">
        <v>59</v>
      </c>
      <c r="BL100" s="3">
        <v>0.74</v>
      </c>
      <c r="BM100" s="7">
        <v>1080.213501</v>
      </c>
      <c r="BN100" s="3">
        <v>5.0000000000000001E-3</v>
      </c>
      <c r="BO100" s="3">
        <f t="shared" si="11"/>
        <v>0.79</v>
      </c>
    </row>
    <row r="101" spans="1:71" x14ac:dyDescent="0.3">
      <c r="A101" s="3" t="s">
        <v>60</v>
      </c>
      <c r="B101" s="3">
        <v>0.9</v>
      </c>
      <c r="C101" s="3">
        <v>0.5</v>
      </c>
      <c r="D101" s="3">
        <v>0.6</v>
      </c>
      <c r="E101" s="3">
        <v>0.23</v>
      </c>
      <c r="F101" s="6">
        <v>577.06536900000003</v>
      </c>
      <c r="G101" s="3">
        <v>0.02</v>
      </c>
      <c r="H101" s="5"/>
      <c r="I101" s="3" t="s">
        <v>60</v>
      </c>
      <c r="J101" s="3">
        <v>0.99</v>
      </c>
      <c r="K101" s="7">
        <v>615.43658400000004</v>
      </c>
      <c r="L101" s="3">
        <v>2E-3</v>
      </c>
      <c r="M101" s="3">
        <f t="shared" si="8"/>
        <v>0.61</v>
      </c>
      <c r="N101" s="5"/>
      <c r="O101" s="5"/>
      <c r="P101" s="5"/>
      <c r="Q101" s="5"/>
      <c r="S101" s="3" t="s">
        <v>60</v>
      </c>
      <c r="T101" s="3">
        <v>0.9</v>
      </c>
      <c r="U101" s="3">
        <v>0.5</v>
      </c>
      <c r="V101" s="3">
        <v>0.6</v>
      </c>
      <c r="W101" s="3">
        <v>0.67</v>
      </c>
      <c r="X101" s="7">
        <v>603.24285899999995</v>
      </c>
      <c r="Y101" s="3">
        <v>2.1999999999999999E-2</v>
      </c>
      <c r="AA101" s="3" t="s">
        <v>60</v>
      </c>
      <c r="AB101" s="3">
        <v>0.28999999999999998</v>
      </c>
      <c r="AC101" s="6">
        <v>590.87213099999997</v>
      </c>
      <c r="AD101" s="3">
        <v>8.0000000000000002E-3</v>
      </c>
      <c r="AE101" s="3">
        <f t="shared" si="9"/>
        <v>0.48</v>
      </c>
      <c r="AF101" s="5"/>
      <c r="AG101" s="5"/>
      <c r="AH101" s="5"/>
      <c r="AI101" s="5"/>
      <c r="AK101" s="3" t="s">
        <v>61</v>
      </c>
      <c r="AL101" s="3">
        <v>0.9</v>
      </c>
      <c r="AM101" s="3">
        <v>0.5</v>
      </c>
      <c r="AN101" s="3">
        <v>0.6</v>
      </c>
      <c r="AO101" s="3">
        <v>0.42</v>
      </c>
      <c r="AP101" s="6">
        <v>1070.9392089999999</v>
      </c>
      <c r="AQ101" s="3">
        <v>0.03</v>
      </c>
      <c r="AS101" s="3" t="s">
        <v>61</v>
      </c>
      <c r="AT101" s="3">
        <v>0.82</v>
      </c>
      <c r="AU101" s="7">
        <v>1217.2692870000001</v>
      </c>
      <c r="AV101" s="3">
        <v>8.9999999999999993E-3</v>
      </c>
      <c r="AW101" s="3">
        <f t="shared" si="10"/>
        <v>0.62</v>
      </c>
      <c r="AX101" s="5"/>
      <c r="AY101" s="5"/>
      <c r="AZ101" s="5"/>
      <c r="BA101" s="5"/>
      <c r="BC101" s="3" t="s">
        <v>61</v>
      </c>
      <c r="BD101" s="3">
        <v>0.9</v>
      </c>
      <c r="BE101" s="3">
        <v>0.5</v>
      </c>
      <c r="BF101" s="3">
        <v>0.6</v>
      </c>
      <c r="BG101" s="3">
        <v>0.91</v>
      </c>
      <c r="BH101" s="7">
        <v>1240.221436</v>
      </c>
      <c r="BI101" s="3">
        <v>1.2999999999999999E-2</v>
      </c>
      <c r="BK101" s="3" t="s">
        <v>61</v>
      </c>
      <c r="BL101" s="3">
        <v>0.12</v>
      </c>
      <c r="BM101" s="6">
        <v>889.852844</v>
      </c>
      <c r="BN101" s="3">
        <v>7.0000000000000001E-3</v>
      </c>
      <c r="BO101" s="3">
        <f t="shared" si="11"/>
        <v>0.51500000000000001</v>
      </c>
    </row>
    <row r="102" spans="1:71" x14ac:dyDescent="0.3">
      <c r="A102" s="3" t="s">
        <v>62</v>
      </c>
      <c r="B102" s="3">
        <v>0.9</v>
      </c>
      <c r="C102" s="3">
        <v>0.5</v>
      </c>
      <c r="D102" s="3">
        <v>0.6</v>
      </c>
      <c r="E102" s="3">
        <v>0.64</v>
      </c>
      <c r="F102" s="7">
        <v>422.68566900000002</v>
      </c>
      <c r="G102" s="3">
        <v>1.4999999999999999E-2</v>
      </c>
      <c r="H102" s="5"/>
      <c r="I102" s="3" t="s">
        <v>62</v>
      </c>
      <c r="J102" s="3">
        <v>0.22</v>
      </c>
      <c r="K102" s="6">
        <v>400.43536399999999</v>
      </c>
      <c r="L102" s="3">
        <v>0</v>
      </c>
      <c r="M102" s="3">
        <f t="shared" si="8"/>
        <v>0.43</v>
      </c>
      <c r="N102" s="5"/>
      <c r="O102" s="5"/>
      <c r="P102" s="5"/>
      <c r="Q102" s="5"/>
      <c r="S102" s="3" t="s">
        <v>62</v>
      </c>
      <c r="T102" s="3">
        <v>0.9</v>
      </c>
      <c r="U102" s="3">
        <v>0.5</v>
      </c>
      <c r="V102" s="3">
        <v>0.6</v>
      </c>
      <c r="W102" s="3">
        <v>0.46</v>
      </c>
      <c r="X102" s="7">
        <v>398.00112899999999</v>
      </c>
      <c r="Y102" s="3">
        <v>2.8000000000000001E-2</v>
      </c>
      <c r="AA102" s="3" t="s">
        <v>62</v>
      </c>
      <c r="AB102" s="3">
        <v>0.37</v>
      </c>
      <c r="AC102" s="6">
        <v>396.15759300000002</v>
      </c>
      <c r="AD102" s="3">
        <v>1E-3</v>
      </c>
      <c r="AE102" s="3">
        <f t="shared" si="9"/>
        <v>0.41500000000000004</v>
      </c>
      <c r="AF102" s="5"/>
      <c r="AG102" s="5"/>
      <c r="AH102" s="5"/>
      <c r="AI102" s="5"/>
      <c r="AK102" s="3" t="s">
        <v>63</v>
      </c>
      <c r="AL102" s="3">
        <v>0.9</v>
      </c>
      <c r="AM102" s="3">
        <v>0.5</v>
      </c>
      <c r="AN102" s="3">
        <v>0.6</v>
      </c>
      <c r="AO102" s="3">
        <v>0.38</v>
      </c>
      <c r="AP102" s="7">
        <v>1022.923523</v>
      </c>
      <c r="AQ102" s="3">
        <v>1.2999999999999999E-2</v>
      </c>
      <c r="AS102" s="3" t="s">
        <v>63</v>
      </c>
      <c r="AT102" s="3">
        <v>0.23</v>
      </c>
      <c r="AU102" s="6">
        <v>932.81976299999997</v>
      </c>
      <c r="AV102" s="3">
        <v>1E-3</v>
      </c>
      <c r="AW102" s="3">
        <f t="shared" si="10"/>
        <v>0.30499999999999999</v>
      </c>
      <c r="AX102" s="5"/>
      <c r="AY102" s="5"/>
      <c r="AZ102" s="5"/>
      <c r="BA102" s="5"/>
      <c r="BC102" s="3" t="s">
        <v>63</v>
      </c>
      <c r="BD102" s="3">
        <v>0.9</v>
      </c>
      <c r="BE102" s="3">
        <v>0.5</v>
      </c>
      <c r="BF102" s="3">
        <v>0.6</v>
      </c>
      <c r="BG102" s="3">
        <v>0.9</v>
      </c>
      <c r="BH102" s="7">
        <v>1120.2742920000001</v>
      </c>
      <c r="BI102" s="3">
        <v>2.1999999999999999E-2</v>
      </c>
      <c r="BK102" s="3" t="s">
        <v>63</v>
      </c>
      <c r="BL102" s="3">
        <v>0.56000000000000005</v>
      </c>
      <c r="BM102" s="6">
        <v>1092.5429690000001</v>
      </c>
      <c r="BN102" s="3">
        <v>3.0000000000000001E-3</v>
      </c>
      <c r="BO102" s="3">
        <f t="shared" si="11"/>
        <v>0.73</v>
      </c>
    </row>
    <row r="103" spans="1:71" x14ac:dyDescent="0.3">
      <c r="A103" s="3" t="s">
        <v>64</v>
      </c>
      <c r="B103" s="3">
        <v>0.9</v>
      </c>
      <c r="C103" s="3">
        <v>0.5</v>
      </c>
      <c r="D103" s="3">
        <v>0.6</v>
      </c>
      <c r="E103" s="3">
        <v>0.01</v>
      </c>
      <c r="F103" s="7">
        <v>638.30169699999999</v>
      </c>
      <c r="G103" s="3">
        <v>1.6E-2</v>
      </c>
      <c r="H103" s="5"/>
      <c r="I103" s="3" t="s">
        <v>64</v>
      </c>
      <c r="J103" s="3">
        <v>0.05</v>
      </c>
      <c r="K103" s="6">
        <v>615.49572799999999</v>
      </c>
      <c r="L103" s="3">
        <v>2E-3</v>
      </c>
      <c r="M103" s="3">
        <f t="shared" si="8"/>
        <v>3.0000000000000002E-2</v>
      </c>
      <c r="N103" s="5"/>
      <c r="O103" s="5"/>
      <c r="P103" s="5"/>
      <c r="Q103" s="5"/>
      <c r="S103" s="3" t="s">
        <v>64</v>
      </c>
      <c r="T103" s="3">
        <v>0.9</v>
      </c>
      <c r="U103" s="3">
        <v>0.5</v>
      </c>
      <c r="V103" s="3">
        <v>0.6</v>
      </c>
      <c r="W103" s="3">
        <v>0.71</v>
      </c>
      <c r="X103" s="7">
        <v>600.43170199999997</v>
      </c>
      <c r="Y103" s="3">
        <v>1.4E-2</v>
      </c>
      <c r="AA103" s="3" t="s">
        <v>64</v>
      </c>
      <c r="AB103" s="3">
        <v>0.26</v>
      </c>
      <c r="AC103" s="6">
        <v>569.04205300000001</v>
      </c>
      <c r="AD103" s="3">
        <v>5.0000000000000001E-3</v>
      </c>
      <c r="AE103" s="3">
        <f t="shared" si="9"/>
        <v>0.48499999999999999</v>
      </c>
      <c r="AF103" s="5"/>
      <c r="AG103" s="5"/>
      <c r="AH103" s="5"/>
      <c r="AI103" s="5"/>
      <c r="AK103" s="3" t="s">
        <v>65</v>
      </c>
      <c r="AL103" s="3">
        <v>0.9</v>
      </c>
      <c r="AM103" s="3">
        <v>0.5</v>
      </c>
      <c r="AN103" s="3">
        <v>0.6</v>
      </c>
      <c r="AO103" s="3">
        <v>0.96</v>
      </c>
      <c r="AP103" s="7">
        <v>1169.184448</v>
      </c>
      <c r="AQ103" s="3">
        <v>2.4E-2</v>
      </c>
      <c r="AS103" s="3" t="s">
        <v>65</v>
      </c>
      <c r="AT103" s="3">
        <v>0.24</v>
      </c>
      <c r="AU103" s="6">
        <v>880.18945299999996</v>
      </c>
      <c r="AV103" s="3">
        <v>2E-3</v>
      </c>
      <c r="AW103" s="3">
        <f t="shared" si="10"/>
        <v>0.6</v>
      </c>
      <c r="AX103" s="5"/>
      <c r="AY103" s="5"/>
      <c r="AZ103" s="5"/>
      <c r="BA103" s="5"/>
      <c r="BC103" s="3" t="s">
        <v>65</v>
      </c>
      <c r="BD103" s="3">
        <v>0.9</v>
      </c>
      <c r="BE103" s="3">
        <v>0.5</v>
      </c>
      <c r="BF103" s="3">
        <v>0.6</v>
      </c>
      <c r="BG103" s="3">
        <v>0.13</v>
      </c>
      <c r="BH103" s="6">
        <v>839.36181599999998</v>
      </c>
      <c r="BI103" s="3">
        <v>2.1000000000000001E-2</v>
      </c>
      <c r="BK103" s="3" t="s">
        <v>65</v>
      </c>
      <c r="BL103" s="3">
        <v>0.61</v>
      </c>
      <c r="BM103" s="7">
        <v>1058.5943600000001</v>
      </c>
      <c r="BN103" s="3">
        <v>2E-3</v>
      </c>
      <c r="BO103" s="3">
        <f t="shared" si="11"/>
        <v>0.37</v>
      </c>
    </row>
    <row r="104" spans="1:71" x14ac:dyDescent="0.3">
      <c r="A104" s="3" t="s">
        <v>66</v>
      </c>
      <c r="B104" s="3">
        <v>0.9</v>
      </c>
      <c r="C104" s="3">
        <v>0.5</v>
      </c>
      <c r="D104" s="3">
        <v>0.6</v>
      </c>
      <c r="E104" s="3">
        <v>0.61</v>
      </c>
      <c r="F104" s="7">
        <v>561.53582800000004</v>
      </c>
      <c r="G104" s="3">
        <v>1.2E-2</v>
      </c>
      <c r="H104" s="5"/>
      <c r="I104" s="3" t="s">
        <v>66</v>
      </c>
      <c r="J104" s="3">
        <v>0.14000000000000001</v>
      </c>
      <c r="K104" s="6">
        <v>510.85406499999999</v>
      </c>
      <c r="L104" s="3">
        <v>2E-3</v>
      </c>
      <c r="M104" s="3">
        <f t="shared" si="8"/>
        <v>0.375</v>
      </c>
      <c r="N104" s="5"/>
      <c r="O104" s="5"/>
      <c r="P104" s="5"/>
      <c r="Q104" s="5"/>
      <c r="S104" s="3" t="s">
        <v>66</v>
      </c>
      <c r="T104" s="3">
        <v>0.9</v>
      </c>
      <c r="U104" s="3">
        <v>0.5</v>
      </c>
      <c r="V104" s="3">
        <v>0.6</v>
      </c>
      <c r="W104" s="3">
        <v>0.55000000000000004</v>
      </c>
      <c r="X104" s="6">
        <v>556.18225099999995</v>
      </c>
      <c r="Y104" s="3">
        <v>1.2999999999999999E-2</v>
      </c>
      <c r="AA104" s="3" t="s">
        <v>66</v>
      </c>
      <c r="AB104" s="3">
        <v>0.77</v>
      </c>
      <c r="AC104" s="7">
        <v>587.70385699999997</v>
      </c>
      <c r="AD104" s="3">
        <v>2E-3</v>
      </c>
      <c r="AE104" s="3">
        <f t="shared" si="9"/>
        <v>0.66</v>
      </c>
      <c r="AF104" s="5"/>
      <c r="AG104" s="5"/>
      <c r="AH104" s="5"/>
      <c r="AI104" s="5"/>
      <c r="AK104" s="3" t="s">
        <v>67</v>
      </c>
      <c r="AL104" s="3">
        <v>0.9</v>
      </c>
      <c r="AM104" s="3">
        <v>0.5</v>
      </c>
      <c r="AN104" s="3">
        <v>0.6</v>
      </c>
      <c r="AO104" s="3">
        <v>0.84</v>
      </c>
      <c r="AP104" s="7">
        <v>1190.889404</v>
      </c>
      <c r="AQ104" s="3">
        <v>2.4E-2</v>
      </c>
      <c r="AS104" s="3" t="s">
        <v>67</v>
      </c>
      <c r="AT104" s="3">
        <v>0.66</v>
      </c>
      <c r="AU104" s="6">
        <v>1117.1529539999999</v>
      </c>
      <c r="AV104" s="3">
        <v>2E-3</v>
      </c>
      <c r="AW104" s="3">
        <f t="shared" si="10"/>
        <v>0.75</v>
      </c>
      <c r="AX104" s="5"/>
      <c r="AY104" s="5"/>
      <c r="AZ104" s="5"/>
      <c r="BA104" s="5"/>
      <c r="BC104" s="3" t="s">
        <v>67</v>
      </c>
      <c r="BD104" s="3">
        <v>0.9</v>
      </c>
      <c r="BE104" s="3">
        <v>0.5</v>
      </c>
      <c r="BF104" s="3">
        <v>0.6</v>
      </c>
      <c r="BG104" s="3">
        <v>0.3</v>
      </c>
      <c r="BH104" s="7">
        <v>987.64025900000001</v>
      </c>
      <c r="BI104" s="3">
        <v>1.4999999999999999E-2</v>
      </c>
      <c r="BK104" s="3" t="s">
        <v>67</v>
      </c>
      <c r="BL104" s="3">
        <v>0.09</v>
      </c>
      <c r="BM104" s="6">
        <v>791.485229</v>
      </c>
      <c r="BN104" s="3">
        <v>2E-3</v>
      </c>
      <c r="BO104" s="3">
        <f t="shared" si="11"/>
        <v>0.19500000000000001</v>
      </c>
    </row>
    <row r="105" spans="1:71" x14ac:dyDescent="0.3">
      <c r="A105" s="3" t="s">
        <v>68</v>
      </c>
      <c r="B105" s="3">
        <v>0.9</v>
      </c>
      <c r="C105" s="3">
        <v>0.5</v>
      </c>
      <c r="D105" s="3">
        <v>0.6</v>
      </c>
      <c r="E105" s="3">
        <v>0.84</v>
      </c>
      <c r="F105" s="7">
        <v>419.298157</v>
      </c>
      <c r="G105" s="3">
        <v>1.4999999999999999E-2</v>
      </c>
      <c r="H105" s="5"/>
      <c r="I105" s="3" t="s">
        <v>68</v>
      </c>
      <c r="J105" s="3">
        <v>0.2</v>
      </c>
      <c r="K105" s="6">
        <v>400.97222900000003</v>
      </c>
      <c r="L105" s="3">
        <v>0</v>
      </c>
      <c r="M105" s="3">
        <f t="shared" si="8"/>
        <v>0.52</v>
      </c>
      <c r="N105" s="5"/>
      <c r="O105" s="5"/>
      <c r="P105" s="5"/>
      <c r="Q105" s="5"/>
      <c r="S105" s="3" t="s">
        <v>68</v>
      </c>
      <c r="T105" s="3">
        <v>0.9</v>
      </c>
      <c r="U105" s="3">
        <v>0.5</v>
      </c>
      <c r="V105" s="3">
        <v>0.6</v>
      </c>
      <c r="W105" s="3">
        <v>0.22</v>
      </c>
      <c r="X105" s="6">
        <v>397.25357100000002</v>
      </c>
      <c r="Y105" s="3">
        <v>1.4E-2</v>
      </c>
      <c r="AA105" s="3" t="s">
        <v>68</v>
      </c>
      <c r="AB105" s="3">
        <v>0.28999999999999998</v>
      </c>
      <c r="AC105" s="8">
        <v>397.85629299999999</v>
      </c>
      <c r="AD105" s="3">
        <v>0</v>
      </c>
      <c r="AE105" s="3">
        <f t="shared" si="9"/>
        <v>0.255</v>
      </c>
      <c r="AF105" s="5"/>
      <c r="AG105" s="5"/>
      <c r="AH105" s="5"/>
      <c r="AI105" s="5"/>
      <c r="AK105" s="3" t="s">
        <v>69</v>
      </c>
      <c r="AL105" s="3">
        <v>0.9</v>
      </c>
      <c r="AM105" s="3">
        <v>0.5</v>
      </c>
      <c r="AN105" s="3">
        <v>0.6</v>
      </c>
      <c r="AO105" s="3">
        <v>0.28000000000000003</v>
      </c>
      <c r="AP105" s="7">
        <v>966.15905799999996</v>
      </c>
      <c r="AQ105" s="3">
        <v>0.02</v>
      </c>
      <c r="AS105" s="3" t="s">
        <v>69</v>
      </c>
      <c r="AT105" s="3">
        <v>0.23</v>
      </c>
      <c r="AU105" s="6">
        <v>939.27697799999999</v>
      </c>
      <c r="AV105" s="3">
        <v>2E-3</v>
      </c>
      <c r="AW105" s="3">
        <f t="shared" si="10"/>
        <v>0.255</v>
      </c>
      <c r="AX105" s="5"/>
      <c r="AY105" s="5"/>
      <c r="AZ105" s="5"/>
      <c r="BA105" s="5"/>
      <c r="BC105" s="3" t="s">
        <v>69</v>
      </c>
      <c r="BD105" s="3">
        <v>0.9</v>
      </c>
      <c r="BE105" s="3">
        <v>0.5</v>
      </c>
      <c r="BF105" s="3">
        <v>0.6</v>
      </c>
      <c r="BG105" s="3">
        <v>0.95</v>
      </c>
      <c r="BH105" s="7">
        <v>1211.4580080000001</v>
      </c>
      <c r="BI105" s="3">
        <v>0.01</v>
      </c>
      <c r="BK105" s="3" t="s">
        <v>69</v>
      </c>
      <c r="BL105" s="3">
        <v>0.31</v>
      </c>
      <c r="BM105" s="6">
        <v>974.32586700000002</v>
      </c>
      <c r="BN105" s="3">
        <v>6.0000000000000001E-3</v>
      </c>
      <c r="BO105" s="3">
        <f t="shared" si="11"/>
        <v>0.63</v>
      </c>
    </row>
    <row r="106" spans="1:71" x14ac:dyDescent="0.3">
      <c r="A106" s="9" t="s">
        <v>316</v>
      </c>
      <c r="E106" s="9">
        <f>AVERAGE(E76:E105)</f>
        <v>0.47933333333333328</v>
      </c>
      <c r="I106" s="9" t="s">
        <v>316</v>
      </c>
      <c r="J106" s="9">
        <f>AVERAGE(J76:J105)</f>
        <v>0.48533333333333328</v>
      </c>
      <c r="S106" s="3" t="s">
        <v>316</v>
      </c>
      <c r="W106" s="3">
        <f>AVERAGE(W76:W105)</f>
        <v>0.51800000000000013</v>
      </c>
      <c r="AA106" s="9" t="s">
        <v>316</v>
      </c>
      <c r="AB106" s="9">
        <f>AVERAGE(AB76:AB105)</f>
        <v>0.48899999999999999</v>
      </c>
      <c r="AK106" s="9" t="s">
        <v>316</v>
      </c>
      <c r="AO106" s="9">
        <f>AVERAGE(AO76:AO105)</f>
        <v>0.45633333333333331</v>
      </c>
      <c r="AS106" s="9" t="s">
        <v>316</v>
      </c>
      <c r="AT106" s="9">
        <f>AVERAGE(AT76:AT105)</f>
        <v>0.52366666666666684</v>
      </c>
      <c r="BC106" s="9" t="s">
        <v>316</v>
      </c>
      <c r="BG106" s="9">
        <f>AVERAGE(BG76:BG105)</f>
        <v>0.44066666666666676</v>
      </c>
      <c r="BK106" s="9" t="s">
        <v>316</v>
      </c>
      <c r="BL106" s="9">
        <f>AVERAGE(BL76:BL105)</f>
        <v>0.50066666666666648</v>
      </c>
    </row>
    <row r="107" spans="1:71" s="1" customFormat="1" x14ac:dyDescent="0.3"/>
    <row r="108" spans="1:71" x14ac:dyDescent="0.3">
      <c r="A108" s="20" t="s">
        <v>314</v>
      </c>
      <c r="B108" s="21"/>
      <c r="C108" s="21"/>
      <c r="D108" s="21"/>
      <c r="E108" s="21"/>
      <c r="F108" s="21"/>
      <c r="G108" s="22"/>
      <c r="I108" s="20" t="s">
        <v>315</v>
      </c>
      <c r="J108" s="21"/>
      <c r="K108" s="21"/>
      <c r="L108" s="21"/>
      <c r="M108" s="22"/>
      <c r="N108" s="11"/>
      <c r="O108" s="11"/>
      <c r="P108" s="11"/>
      <c r="Q108" s="11"/>
      <c r="S108" s="20" t="s">
        <v>314</v>
      </c>
      <c r="T108" s="21"/>
      <c r="U108" s="21"/>
      <c r="V108" s="21"/>
      <c r="W108" s="21"/>
      <c r="X108" s="21"/>
      <c r="Y108" s="22"/>
      <c r="AA108" s="20" t="s">
        <v>315</v>
      </c>
      <c r="AB108" s="21"/>
      <c r="AC108" s="21"/>
      <c r="AD108" s="21"/>
      <c r="AE108" s="22"/>
      <c r="AF108" s="11"/>
      <c r="AG108" s="11"/>
      <c r="AH108" s="11"/>
      <c r="AI108" s="11"/>
      <c r="AK108" s="20" t="s">
        <v>314</v>
      </c>
      <c r="AL108" s="21"/>
      <c r="AM108" s="21"/>
      <c r="AN108" s="21"/>
      <c r="AO108" s="21"/>
      <c r="AP108" s="21"/>
      <c r="AQ108" s="22"/>
      <c r="AS108" s="20" t="s">
        <v>315</v>
      </c>
      <c r="AT108" s="21"/>
      <c r="AU108" s="21"/>
      <c r="AV108" s="21"/>
      <c r="AW108" s="22"/>
      <c r="AX108" s="11"/>
      <c r="AY108" s="11"/>
      <c r="AZ108" s="11"/>
      <c r="BA108" s="11"/>
      <c r="BC108" s="20" t="s">
        <v>314</v>
      </c>
      <c r="BD108" s="21"/>
      <c r="BE108" s="21"/>
      <c r="BF108" s="21"/>
      <c r="BG108" s="21"/>
      <c r="BH108" s="21"/>
      <c r="BI108" s="22"/>
      <c r="BK108" s="20" t="s">
        <v>315</v>
      </c>
      <c r="BL108" s="21"/>
      <c r="BM108" s="21"/>
      <c r="BN108" s="21"/>
      <c r="BO108" s="22"/>
    </row>
    <row r="109" spans="1:71" x14ac:dyDescent="0.3">
      <c r="A109" s="3" t="s">
        <v>0</v>
      </c>
      <c r="B109" s="3"/>
      <c r="C109" s="3"/>
      <c r="D109" s="3"/>
      <c r="E109" s="3"/>
      <c r="F109" s="3"/>
      <c r="G109" s="3"/>
      <c r="I109" s="3" t="s">
        <v>0</v>
      </c>
      <c r="J109" s="3"/>
      <c r="K109" s="3"/>
      <c r="L109" s="3"/>
      <c r="M109" s="3"/>
      <c r="N109" s="3" t="s">
        <v>322</v>
      </c>
      <c r="O109" s="3" t="s">
        <v>323</v>
      </c>
      <c r="P109" s="3" t="s">
        <v>322</v>
      </c>
      <c r="Q109" s="3" t="s">
        <v>323</v>
      </c>
      <c r="S109" s="3" t="s">
        <v>1</v>
      </c>
      <c r="T109" s="3"/>
      <c r="U109" s="3"/>
      <c r="V109" s="3"/>
      <c r="W109" s="3"/>
      <c r="X109" s="3"/>
      <c r="Y109" s="3"/>
      <c r="AA109" s="3" t="s">
        <v>1</v>
      </c>
      <c r="AB109" s="3"/>
      <c r="AC109" s="3"/>
      <c r="AD109" s="3"/>
      <c r="AE109" s="3"/>
      <c r="AF109" s="3" t="s">
        <v>322</v>
      </c>
      <c r="AG109" s="3" t="s">
        <v>323</v>
      </c>
      <c r="AH109" s="3" t="s">
        <v>322</v>
      </c>
      <c r="AI109" s="3" t="s">
        <v>323</v>
      </c>
      <c r="AK109" s="3" t="s">
        <v>0</v>
      </c>
      <c r="AL109" s="3"/>
      <c r="AM109" s="3"/>
      <c r="AN109" s="3"/>
      <c r="AO109" s="3"/>
      <c r="AP109" s="3"/>
      <c r="AQ109" s="3"/>
      <c r="AS109" s="3" t="s">
        <v>0</v>
      </c>
      <c r="AT109" s="3"/>
      <c r="AU109" s="3"/>
      <c r="AV109" s="3"/>
      <c r="AW109" s="3"/>
      <c r="AX109" s="3" t="s">
        <v>322</v>
      </c>
      <c r="AY109" s="3" t="s">
        <v>323</v>
      </c>
      <c r="AZ109" s="3" t="s">
        <v>322</v>
      </c>
      <c r="BA109" s="3" t="s">
        <v>323</v>
      </c>
      <c r="BC109" s="3" t="s">
        <v>1</v>
      </c>
      <c r="BD109" s="3"/>
      <c r="BE109" s="3"/>
      <c r="BF109" s="3"/>
      <c r="BG109" s="3"/>
      <c r="BH109" s="3"/>
      <c r="BI109" s="3"/>
      <c r="BK109" s="3" t="s">
        <v>1</v>
      </c>
      <c r="BL109" s="3"/>
      <c r="BM109" s="3"/>
      <c r="BN109" s="3"/>
      <c r="BO109" s="3"/>
      <c r="BP109" s="3" t="s">
        <v>322</v>
      </c>
      <c r="BQ109" s="3" t="s">
        <v>323</v>
      </c>
      <c r="BR109" s="3" t="s">
        <v>322</v>
      </c>
      <c r="BS109" s="3" t="s">
        <v>323</v>
      </c>
    </row>
    <row r="110" spans="1:71" x14ac:dyDescent="0.3">
      <c r="A110" s="3" t="s">
        <v>2</v>
      </c>
      <c r="B110" s="3" t="s">
        <v>3</v>
      </c>
      <c r="C110" s="3" t="s">
        <v>4</v>
      </c>
      <c r="D110" s="3" t="s">
        <v>5</v>
      </c>
      <c r="E110" s="3" t="s">
        <v>6</v>
      </c>
      <c r="F110" s="3" t="s">
        <v>7</v>
      </c>
      <c r="G110" s="3" t="s">
        <v>8</v>
      </c>
      <c r="I110" s="3" t="s">
        <v>2</v>
      </c>
      <c r="J110" s="3" t="s">
        <v>6</v>
      </c>
      <c r="K110" s="3" t="s">
        <v>7</v>
      </c>
      <c r="L110" s="3" t="s">
        <v>8</v>
      </c>
      <c r="M110" s="3" t="s">
        <v>9</v>
      </c>
      <c r="N110" s="4" t="s">
        <v>320</v>
      </c>
      <c r="O110" s="4" t="s">
        <v>320</v>
      </c>
      <c r="P110" s="4" t="s">
        <v>321</v>
      </c>
      <c r="Q110" s="4" t="s">
        <v>321</v>
      </c>
      <c r="S110" s="3" t="s">
        <v>2</v>
      </c>
      <c r="T110" s="3" t="s">
        <v>3</v>
      </c>
      <c r="U110" s="3" t="s">
        <v>4</v>
      </c>
      <c r="V110" s="3" t="s">
        <v>5</v>
      </c>
      <c r="W110" s="3" t="s">
        <v>6</v>
      </c>
      <c r="X110" s="3" t="s">
        <v>7</v>
      </c>
      <c r="Y110" s="3" t="s">
        <v>8</v>
      </c>
      <c r="AA110" s="3" t="s">
        <v>2</v>
      </c>
      <c r="AB110" s="3" t="s">
        <v>6</v>
      </c>
      <c r="AC110" s="3" t="s">
        <v>7</v>
      </c>
      <c r="AD110" s="3" t="s">
        <v>8</v>
      </c>
      <c r="AE110" s="3" t="s">
        <v>9</v>
      </c>
      <c r="AF110" s="4" t="s">
        <v>320</v>
      </c>
      <c r="AG110" s="4" t="s">
        <v>320</v>
      </c>
      <c r="AH110" s="4" t="s">
        <v>321</v>
      </c>
      <c r="AI110" s="4" t="s">
        <v>321</v>
      </c>
      <c r="AK110" s="3" t="s">
        <v>2</v>
      </c>
      <c r="AL110" s="3" t="s">
        <v>3</v>
      </c>
      <c r="AM110" s="3" t="s">
        <v>4</v>
      </c>
      <c r="AN110" s="3" t="s">
        <v>5</v>
      </c>
      <c r="AO110" s="3" t="s">
        <v>6</v>
      </c>
      <c r="AP110" s="3" t="s">
        <v>7</v>
      </c>
      <c r="AQ110" s="3" t="s">
        <v>8</v>
      </c>
      <c r="AS110" s="3" t="s">
        <v>2</v>
      </c>
      <c r="AT110" s="3" t="s">
        <v>6</v>
      </c>
      <c r="AU110" s="3" t="s">
        <v>7</v>
      </c>
      <c r="AV110" s="3" t="s">
        <v>8</v>
      </c>
      <c r="AW110" s="3" t="s">
        <v>9</v>
      </c>
      <c r="AX110" s="4" t="s">
        <v>320</v>
      </c>
      <c r="AY110" s="4" t="s">
        <v>320</v>
      </c>
      <c r="AZ110" s="4" t="s">
        <v>321</v>
      </c>
      <c r="BA110" s="4" t="s">
        <v>321</v>
      </c>
      <c r="BC110" s="3" t="s">
        <v>2</v>
      </c>
      <c r="BD110" s="3" t="s">
        <v>3</v>
      </c>
      <c r="BE110" s="3" t="s">
        <v>4</v>
      </c>
      <c r="BF110" s="3" t="s">
        <v>5</v>
      </c>
      <c r="BG110" s="3" t="s">
        <v>6</v>
      </c>
      <c r="BH110" s="3" t="s">
        <v>7</v>
      </c>
      <c r="BI110" s="3" t="s">
        <v>8</v>
      </c>
      <c r="BK110" s="3" t="s">
        <v>2</v>
      </c>
      <c r="BL110" s="3" t="s">
        <v>6</v>
      </c>
      <c r="BM110" s="3" t="s">
        <v>7</v>
      </c>
      <c r="BN110" s="3" t="s">
        <v>8</v>
      </c>
      <c r="BO110" s="3" t="s">
        <v>9</v>
      </c>
      <c r="BP110" s="4" t="s">
        <v>320</v>
      </c>
      <c r="BQ110" s="4" t="s">
        <v>320</v>
      </c>
      <c r="BR110" s="4" t="s">
        <v>321</v>
      </c>
      <c r="BS110" s="4" t="s">
        <v>321</v>
      </c>
    </row>
    <row r="111" spans="1:71" x14ac:dyDescent="0.3">
      <c r="A111" s="3" t="s">
        <v>74</v>
      </c>
      <c r="B111" s="3">
        <v>0.9</v>
      </c>
      <c r="C111" s="3">
        <v>0.5</v>
      </c>
      <c r="D111" s="3">
        <v>0.6</v>
      </c>
      <c r="E111" s="3">
        <v>0.01</v>
      </c>
      <c r="F111" s="6">
        <v>429.75</v>
      </c>
      <c r="G111" s="3">
        <v>3.6999999999999998E-2</v>
      </c>
      <c r="I111" s="3" t="s">
        <v>74</v>
      </c>
      <c r="J111" s="3">
        <v>0.01</v>
      </c>
      <c r="K111" s="6">
        <v>429.75</v>
      </c>
      <c r="L111" s="3">
        <v>1.2999999999999999E-2</v>
      </c>
      <c r="M111" s="3">
        <f t="shared" ref="M111:M140" si="12">AVERAGE(E111,J111)</f>
        <v>0.01</v>
      </c>
      <c r="N111" s="3">
        <f>COUNT(F111,F113,F115,F118:F122,F125,F127:F128,F131:F132,F134:F138)</f>
        <v>18</v>
      </c>
      <c r="O111" s="3">
        <f>COUNT(F112,F114,F116:F117,F123:F124,F126,F129:F130,F133,F139:F140)</f>
        <v>12</v>
      </c>
      <c r="P111" s="3">
        <f>COUNT(K111:K117,K123:K124,K126,K129:K130,K133,K139:K140)</f>
        <v>15</v>
      </c>
      <c r="Q111" s="3">
        <f>COUNT(K118:K122,K125,K127:K128,K131:K132,K134:K138)</f>
        <v>15</v>
      </c>
      <c r="S111" s="3" t="s">
        <v>74</v>
      </c>
      <c r="T111" s="3">
        <v>0.9</v>
      </c>
      <c r="U111" s="3">
        <v>0.5</v>
      </c>
      <c r="V111" s="3">
        <v>0.6</v>
      </c>
      <c r="W111" s="3">
        <v>0.01</v>
      </c>
      <c r="X111" s="6">
        <v>400.44961499999999</v>
      </c>
      <c r="Y111" s="3">
        <v>1.6E-2</v>
      </c>
      <c r="AA111" s="3" t="s">
        <v>74</v>
      </c>
      <c r="AB111" s="3">
        <v>0.01</v>
      </c>
      <c r="AC111" s="6">
        <v>400.44961499999999</v>
      </c>
      <c r="AD111" s="3">
        <v>1.0999999999999999E-2</v>
      </c>
      <c r="AE111" s="3">
        <f t="shared" ref="AE111:AE140" si="13">AVERAGE(W111,AB111)</f>
        <v>0.01</v>
      </c>
      <c r="AF111" s="3">
        <f>COUNT(X111:X112,X115:X119,X121,X124,X126,X131:X134,X140)</f>
        <v>15</v>
      </c>
      <c r="AG111" s="3">
        <f>COUNT(X113:X114,X120,X122:X123,X125,X127:X130,X135:X139)</f>
        <v>15</v>
      </c>
      <c r="AH111" s="3">
        <f>COUNT(AC111:AC114,AC120,AC122:AC123,AC125,AC127:AC130,AC135:AC139)</f>
        <v>17</v>
      </c>
      <c r="AI111" s="3">
        <f>COUNT(AC115:AC119,AC121,AC124,AC126,AC131:AC134,AC140)</f>
        <v>13</v>
      </c>
      <c r="AK111" s="3" t="s">
        <v>75</v>
      </c>
      <c r="AL111" s="3">
        <v>0.9</v>
      </c>
      <c r="AM111" s="3">
        <v>0.5</v>
      </c>
      <c r="AN111" s="3">
        <v>0.6</v>
      </c>
      <c r="AO111" s="3">
        <v>0.01</v>
      </c>
      <c r="AP111" s="6">
        <v>685.51715100000001</v>
      </c>
      <c r="AQ111" s="3">
        <v>2.1999999999999999E-2</v>
      </c>
      <c r="AS111" s="3" t="s">
        <v>75</v>
      </c>
      <c r="AT111" s="3">
        <v>0.01</v>
      </c>
      <c r="AU111" s="6">
        <v>685.51715100000001</v>
      </c>
      <c r="AV111" s="3">
        <v>1E-3</v>
      </c>
      <c r="AW111" s="3">
        <f t="shared" ref="AW111:AW140" si="14">AVERAGE(AO111,AT111)</f>
        <v>0.01</v>
      </c>
      <c r="AX111" s="3">
        <f>COUNT(AP111,AP114:AP115,AP118,AP123,AP129,AP136:AP139)</f>
        <v>10</v>
      </c>
      <c r="AY111" s="3">
        <f>COUNT(AP112:AP113,AP116:AP117,AP119:AP122,AP124:AP128,AP130:AP135,AP140)</f>
        <v>20</v>
      </c>
      <c r="AZ111" s="3">
        <f>COUNT(AU111:AU113,AU116:AU117,AU119:AU122,AU124:AU128,AU130:AU135,AU140)</f>
        <v>21</v>
      </c>
      <c r="BA111" s="3">
        <f>COUNT(AU114:AU115,AU118,AU123,AU129,AU136:AU139)</f>
        <v>9</v>
      </c>
      <c r="BC111" s="3" t="s">
        <v>75</v>
      </c>
      <c r="BD111" s="3">
        <v>0.9</v>
      </c>
      <c r="BE111" s="3">
        <v>0.5</v>
      </c>
      <c r="BF111" s="3">
        <v>0.6</v>
      </c>
      <c r="BG111" s="3">
        <v>0.01</v>
      </c>
      <c r="BH111" s="6">
        <v>632.99401899999998</v>
      </c>
      <c r="BI111" s="3">
        <v>1.6E-2</v>
      </c>
      <c r="BK111" s="3" t="s">
        <v>75</v>
      </c>
      <c r="BL111" s="3">
        <v>0.01</v>
      </c>
      <c r="BM111" s="6">
        <v>632.99401899999998</v>
      </c>
      <c r="BN111" s="3">
        <v>7.0000000000000001E-3</v>
      </c>
      <c r="BO111" s="3">
        <f t="shared" ref="BO111:BO140" si="15">AVERAGE(BG111,BL111)</f>
        <v>0.01</v>
      </c>
      <c r="BP111" s="3">
        <f>COUNT(BH111:BH112,BH116,BH118,BH123,BH127,BH131:BH133,BH135,BH138:BH140)</f>
        <v>13</v>
      </c>
      <c r="BQ111" s="3">
        <f>30-BP111</f>
        <v>17</v>
      </c>
      <c r="BR111" s="3">
        <f>COUNT(BM111,BM113:BM115,BM117,BM119:BM122,BM124:BM126,BM128:BM130,BM134,BM136:BM137)</f>
        <v>18</v>
      </c>
      <c r="BS111" s="3">
        <f>30-BR111</f>
        <v>12</v>
      </c>
    </row>
    <row r="112" spans="1:71" x14ac:dyDescent="0.3">
      <c r="A112" s="3" t="s">
        <v>76</v>
      </c>
      <c r="B112" s="3">
        <v>0.9</v>
      </c>
      <c r="C112" s="3">
        <v>0.5</v>
      </c>
      <c r="D112" s="3">
        <v>0.6</v>
      </c>
      <c r="E112" s="3">
        <v>0.65</v>
      </c>
      <c r="F112" s="7">
        <v>461.07058699999999</v>
      </c>
      <c r="G112" s="3">
        <v>8.0000000000000002E-3</v>
      </c>
      <c r="I112" s="3" t="s">
        <v>76</v>
      </c>
      <c r="J112" s="3">
        <v>0.38</v>
      </c>
      <c r="K112" s="6">
        <v>457.175659</v>
      </c>
      <c r="L112" s="3">
        <v>1.2E-2</v>
      </c>
      <c r="M112" s="3">
        <f t="shared" si="12"/>
        <v>0.51500000000000001</v>
      </c>
      <c r="N112" s="5"/>
      <c r="O112" s="5"/>
      <c r="P112" s="5"/>
      <c r="Q112" s="5"/>
      <c r="S112" s="3" t="s">
        <v>76</v>
      </c>
      <c r="T112" s="3">
        <v>0.9</v>
      </c>
      <c r="U112" s="3">
        <v>0.5</v>
      </c>
      <c r="V112" s="3">
        <v>0.6</v>
      </c>
      <c r="W112" s="3">
        <v>0.63</v>
      </c>
      <c r="X112" s="6">
        <v>415.98556500000001</v>
      </c>
      <c r="Y112" s="3">
        <v>0.02</v>
      </c>
      <c r="AA112" s="3" t="s">
        <v>76</v>
      </c>
      <c r="AB112" s="3">
        <v>0.76</v>
      </c>
      <c r="AC112" s="6">
        <v>415.98556500000001</v>
      </c>
      <c r="AD112" s="3">
        <v>2E-3</v>
      </c>
      <c r="AE112" s="3">
        <f t="shared" si="13"/>
        <v>0.69500000000000006</v>
      </c>
      <c r="AF112" s="5"/>
      <c r="AG112" s="5"/>
      <c r="AH112" s="5"/>
      <c r="AI112" s="5"/>
      <c r="AK112" s="3" t="s">
        <v>77</v>
      </c>
      <c r="AL112" s="3">
        <v>0.9</v>
      </c>
      <c r="AM112" s="3">
        <v>0.5</v>
      </c>
      <c r="AN112" s="3">
        <v>0.6</v>
      </c>
      <c r="AO112" s="3">
        <v>0.86</v>
      </c>
      <c r="AP112" s="7">
        <v>976.96179199999995</v>
      </c>
      <c r="AQ112" s="3">
        <v>0.01</v>
      </c>
      <c r="AS112" s="3" t="s">
        <v>77</v>
      </c>
      <c r="AT112" s="3">
        <v>0.12</v>
      </c>
      <c r="AU112" s="6">
        <v>717.91400099999998</v>
      </c>
      <c r="AV112" s="3">
        <v>8.0000000000000002E-3</v>
      </c>
      <c r="AW112" s="3">
        <f t="shared" si="14"/>
        <v>0.49</v>
      </c>
      <c r="AX112" s="5"/>
      <c r="AY112" s="5"/>
      <c r="AZ112" s="5"/>
      <c r="BA112" s="5"/>
      <c r="BC112" s="3" t="s">
        <v>77</v>
      </c>
      <c r="BD112" s="3">
        <v>0.9</v>
      </c>
      <c r="BE112" s="3">
        <v>0.5</v>
      </c>
      <c r="BF112" s="3">
        <v>0.6</v>
      </c>
      <c r="BG112" s="3">
        <v>0.04</v>
      </c>
      <c r="BH112" s="6">
        <v>653.99188200000003</v>
      </c>
      <c r="BI112" s="3">
        <v>3.9E-2</v>
      </c>
      <c r="BK112" s="3" t="s">
        <v>77</v>
      </c>
      <c r="BL112" s="3">
        <v>0.49</v>
      </c>
      <c r="BM112" s="7">
        <v>864.53442399999994</v>
      </c>
      <c r="BN112" s="3">
        <v>3.0000000000000001E-3</v>
      </c>
      <c r="BO112" s="3">
        <f t="shared" si="15"/>
        <v>0.26500000000000001</v>
      </c>
    </row>
    <row r="113" spans="1:67" x14ac:dyDescent="0.3">
      <c r="A113" s="3" t="s">
        <v>78</v>
      </c>
      <c r="B113" s="3">
        <v>0.9</v>
      </c>
      <c r="C113" s="3">
        <v>0.5</v>
      </c>
      <c r="D113" s="3">
        <v>0.6</v>
      </c>
      <c r="E113" s="3">
        <v>0.86</v>
      </c>
      <c r="F113" s="6">
        <v>473.94439699999998</v>
      </c>
      <c r="G113" s="3">
        <v>2.1000000000000001E-2</v>
      </c>
      <c r="I113" s="3" t="s">
        <v>78</v>
      </c>
      <c r="J113" s="3">
        <v>0.83</v>
      </c>
      <c r="K113" s="6">
        <v>473.94439699999998</v>
      </c>
      <c r="L113" s="3">
        <v>5.0000000000000001E-3</v>
      </c>
      <c r="M113" s="3">
        <f t="shared" si="12"/>
        <v>0.84499999999999997</v>
      </c>
      <c r="N113" s="5"/>
      <c r="O113" s="5"/>
      <c r="P113" s="5"/>
      <c r="Q113" s="5"/>
      <c r="S113" s="3" t="s">
        <v>78</v>
      </c>
      <c r="T113" s="3">
        <v>0.9</v>
      </c>
      <c r="U113" s="3">
        <v>0.5</v>
      </c>
      <c r="V113" s="3">
        <v>0.6</v>
      </c>
      <c r="W113" s="3">
        <v>0.04</v>
      </c>
      <c r="X113" s="7">
        <v>397.966858</v>
      </c>
      <c r="Y113" s="3">
        <v>0.02</v>
      </c>
      <c r="AA113" s="3" t="s">
        <v>78</v>
      </c>
      <c r="AB113" s="3">
        <v>0.37</v>
      </c>
      <c r="AC113" s="6">
        <v>394.00482199999999</v>
      </c>
      <c r="AD113" s="3">
        <v>7.0000000000000001E-3</v>
      </c>
      <c r="AE113" s="3">
        <f t="shared" si="13"/>
        <v>0.20499999999999999</v>
      </c>
      <c r="AF113" s="5"/>
      <c r="AG113" s="5"/>
      <c r="AH113" s="5"/>
      <c r="AI113" s="5"/>
      <c r="AK113" s="3" t="s">
        <v>79</v>
      </c>
      <c r="AL113" s="3">
        <v>0.9</v>
      </c>
      <c r="AM113" s="3">
        <v>0.5</v>
      </c>
      <c r="AN113" s="3">
        <v>0.6</v>
      </c>
      <c r="AO113" s="3">
        <v>0.88</v>
      </c>
      <c r="AP113" s="7">
        <v>967.25854500000003</v>
      </c>
      <c r="AQ113" s="3">
        <v>1.9E-2</v>
      </c>
      <c r="AS113" s="3" t="s">
        <v>79</v>
      </c>
      <c r="AT113" s="3">
        <v>0.8</v>
      </c>
      <c r="AU113" s="6">
        <v>939.54339600000003</v>
      </c>
      <c r="AV113" s="3">
        <v>2E-3</v>
      </c>
      <c r="AW113" s="3">
        <f t="shared" si="14"/>
        <v>0.84000000000000008</v>
      </c>
      <c r="AX113" s="5"/>
      <c r="AY113" s="5"/>
      <c r="AZ113" s="5"/>
      <c r="BA113" s="5"/>
      <c r="BC113" s="3" t="s">
        <v>79</v>
      </c>
      <c r="BD113" s="3">
        <v>0.9</v>
      </c>
      <c r="BE113" s="3">
        <v>0.5</v>
      </c>
      <c r="BF113" s="3">
        <v>0.6</v>
      </c>
      <c r="BG113" s="3">
        <v>0.62</v>
      </c>
      <c r="BH113" s="7">
        <v>893.18048099999999</v>
      </c>
      <c r="BI113" s="3">
        <v>1.4999999999999999E-2</v>
      </c>
      <c r="BK113" s="3" t="s">
        <v>79</v>
      </c>
      <c r="BL113" s="3">
        <v>0.3</v>
      </c>
      <c r="BM113" s="6">
        <v>727.91815199999996</v>
      </c>
      <c r="BN113" s="3">
        <v>6.0000000000000001E-3</v>
      </c>
      <c r="BO113" s="3">
        <f t="shared" si="15"/>
        <v>0.45999999999999996</v>
      </c>
    </row>
    <row r="114" spans="1:67" x14ac:dyDescent="0.3">
      <c r="A114" s="3" t="s">
        <v>80</v>
      </c>
      <c r="B114" s="3">
        <v>0.9</v>
      </c>
      <c r="C114" s="3">
        <v>0.5</v>
      </c>
      <c r="D114" s="3">
        <v>0.6</v>
      </c>
      <c r="E114" s="3">
        <v>0.54</v>
      </c>
      <c r="F114" s="7">
        <v>487.95428500000003</v>
      </c>
      <c r="G114" s="3">
        <v>1.0999999999999999E-2</v>
      </c>
      <c r="I114" s="3" t="s">
        <v>80</v>
      </c>
      <c r="J114" s="3">
        <v>0.59</v>
      </c>
      <c r="K114" s="6">
        <v>476.944794</v>
      </c>
      <c r="L114" s="3">
        <v>2E-3</v>
      </c>
      <c r="M114" s="3">
        <f t="shared" si="12"/>
        <v>0.56499999999999995</v>
      </c>
      <c r="N114" s="5"/>
      <c r="O114" s="5"/>
      <c r="P114" s="5"/>
      <c r="Q114" s="5"/>
      <c r="S114" s="3" t="s">
        <v>80</v>
      </c>
      <c r="T114" s="3">
        <v>0.9</v>
      </c>
      <c r="U114" s="3">
        <v>0.5</v>
      </c>
      <c r="V114" s="3">
        <v>0.6</v>
      </c>
      <c r="W114" s="3">
        <v>0.67</v>
      </c>
      <c r="X114" s="7">
        <v>452.305115</v>
      </c>
      <c r="Y114" s="3">
        <v>0.02</v>
      </c>
      <c r="AA114" s="3" t="s">
        <v>80</v>
      </c>
      <c r="AB114" s="3">
        <v>0.56999999999999995</v>
      </c>
      <c r="AC114" s="6">
        <v>438.76376299999998</v>
      </c>
      <c r="AD114" s="3">
        <v>6.0000000000000001E-3</v>
      </c>
      <c r="AE114" s="3">
        <f t="shared" si="13"/>
        <v>0.62</v>
      </c>
      <c r="AF114" s="5"/>
      <c r="AG114" s="5"/>
      <c r="AH114" s="5"/>
      <c r="AI114" s="5"/>
      <c r="AK114" s="3" t="s">
        <v>81</v>
      </c>
      <c r="AL114" s="3">
        <v>0.9</v>
      </c>
      <c r="AM114" s="3">
        <v>0.5</v>
      </c>
      <c r="AN114" s="3">
        <v>0.6</v>
      </c>
      <c r="AO114" s="3">
        <v>0.01</v>
      </c>
      <c r="AP114" s="6">
        <v>670.56359899999995</v>
      </c>
      <c r="AQ114" s="3">
        <v>2.1000000000000001E-2</v>
      </c>
      <c r="AS114" s="3" t="s">
        <v>81</v>
      </c>
      <c r="AT114" s="3">
        <v>0.24</v>
      </c>
      <c r="AU114" s="7">
        <v>713.71020499999997</v>
      </c>
      <c r="AV114" s="3">
        <v>2E-3</v>
      </c>
      <c r="AW114" s="3">
        <f t="shared" si="14"/>
        <v>0.125</v>
      </c>
      <c r="AX114" s="5"/>
      <c r="AY114" s="5"/>
      <c r="AZ114" s="5"/>
      <c r="BA114" s="5"/>
      <c r="BC114" s="3" t="s">
        <v>81</v>
      </c>
      <c r="BD114" s="3">
        <v>0.9</v>
      </c>
      <c r="BE114" s="3">
        <v>0.5</v>
      </c>
      <c r="BF114" s="3">
        <v>0.6</v>
      </c>
      <c r="BG114" s="3">
        <v>0.76</v>
      </c>
      <c r="BH114" s="7">
        <v>823.97051999999996</v>
      </c>
      <c r="BI114" s="3">
        <v>2.5000000000000001E-2</v>
      </c>
      <c r="BK114" s="3" t="s">
        <v>81</v>
      </c>
      <c r="BL114" s="3">
        <v>0.85</v>
      </c>
      <c r="BM114" s="6">
        <v>809.82659899999999</v>
      </c>
      <c r="BN114" s="3">
        <v>3.0000000000000001E-3</v>
      </c>
      <c r="BO114" s="3">
        <f t="shared" si="15"/>
        <v>0.80499999999999994</v>
      </c>
    </row>
    <row r="115" spans="1:67" x14ac:dyDescent="0.3">
      <c r="A115" s="3" t="s">
        <v>82</v>
      </c>
      <c r="B115" s="3">
        <v>0.9</v>
      </c>
      <c r="C115" s="3">
        <v>0.5</v>
      </c>
      <c r="D115" s="3">
        <v>0.6</v>
      </c>
      <c r="E115" s="3">
        <v>0.19</v>
      </c>
      <c r="F115" s="6">
        <v>417.25854500000003</v>
      </c>
      <c r="G115" s="3">
        <v>3.1E-2</v>
      </c>
      <c r="I115" s="3" t="s">
        <v>82</v>
      </c>
      <c r="J115" s="3">
        <v>0.16</v>
      </c>
      <c r="K115" s="8">
        <v>417.51016199999998</v>
      </c>
      <c r="L115" s="3">
        <v>2E-3</v>
      </c>
      <c r="M115" s="3">
        <f t="shared" si="12"/>
        <v>0.17499999999999999</v>
      </c>
      <c r="N115" s="5"/>
      <c r="O115" s="5"/>
      <c r="P115" s="5"/>
      <c r="Q115" s="5"/>
      <c r="S115" s="3" t="s">
        <v>82</v>
      </c>
      <c r="T115" s="3">
        <v>0.9</v>
      </c>
      <c r="U115" s="3">
        <v>0.5</v>
      </c>
      <c r="V115" s="3">
        <v>0.6</v>
      </c>
      <c r="W115" s="3">
        <v>0.72</v>
      </c>
      <c r="X115" s="6">
        <v>426.67373700000002</v>
      </c>
      <c r="Y115" s="3">
        <v>1.0999999999999999E-2</v>
      </c>
      <c r="AA115" s="3" t="s">
        <v>82</v>
      </c>
      <c r="AB115" s="3">
        <v>0.95</v>
      </c>
      <c r="AC115" s="7">
        <v>448.62109400000003</v>
      </c>
      <c r="AD115" s="3">
        <v>1E-3</v>
      </c>
      <c r="AE115" s="3">
        <f t="shared" si="13"/>
        <v>0.83499999999999996</v>
      </c>
      <c r="AF115" s="5"/>
      <c r="AG115" s="5"/>
      <c r="AH115" s="5"/>
      <c r="AI115" s="5"/>
      <c r="AK115" s="3" t="s">
        <v>83</v>
      </c>
      <c r="AL115" s="3">
        <v>0.9</v>
      </c>
      <c r="AM115" s="3">
        <v>0.5</v>
      </c>
      <c r="AN115" s="3">
        <v>0.6</v>
      </c>
      <c r="AO115" s="3">
        <v>0.67</v>
      </c>
      <c r="AP115" s="6">
        <v>895.96081500000003</v>
      </c>
      <c r="AQ115" s="3">
        <v>1.2999999999999999E-2</v>
      </c>
      <c r="AS115" s="3" t="s">
        <v>83</v>
      </c>
      <c r="AT115" s="3">
        <v>0.72</v>
      </c>
      <c r="AU115" s="7">
        <v>902.17553699999996</v>
      </c>
      <c r="AV115" s="3">
        <v>0</v>
      </c>
      <c r="AW115" s="3">
        <f t="shared" si="14"/>
        <v>0.69500000000000006</v>
      </c>
      <c r="AX115" s="5"/>
      <c r="AY115" s="5"/>
      <c r="AZ115" s="5"/>
      <c r="BA115" s="5"/>
      <c r="BC115" s="3" t="s">
        <v>83</v>
      </c>
      <c r="BD115" s="3">
        <v>0.9</v>
      </c>
      <c r="BE115" s="3">
        <v>0.5</v>
      </c>
      <c r="BF115" s="3">
        <v>0.6</v>
      </c>
      <c r="BG115" s="3">
        <v>0.63</v>
      </c>
      <c r="BH115" s="7">
        <v>829.44146699999999</v>
      </c>
      <c r="BI115" s="3">
        <v>0.02</v>
      </c>
      <c r="BK115" s="3" t="s">
        <v>83</v>
      </c>
      <c r="BL115" s="3">
        <v>0.38</v>
      </c>
      <c r="BM115" s="6">
        <v>740.11773700000003</v>
      </c>
      <c r="BN115" s="3">
        <v>1E-3</v>
      </c>
      <c r="BO115" s="3">
        <f t="shared" si="15"/>
        <v>0.505</v>
      </c>
    </row>
    <row r="116" spans="1:67" x14ac:dyDescent="0.3">
      <c r="A116" s="3" t="s">
        <v>84</v>
      </c>
      <c r="B116" s="3">
        <v>0.9</v>
      </c>
      <c r="C116" s="3">
        <v>0.5</v>
      </c>
      <c r="D116" s="3">
        <v>0.6</v>
      </c>
      <c r="E116" s="3">
        <v>0.42</v>
      </c>
      <c r="F116" s="7">
        <v>550.57843000000003</v>
      </c>
      <c r="G116" s="3">
        <v>1.7000000000000001E-2</v>
      </c>
      <c r="I116" s="3" t="s">
        <v>84</v>
      </c>
      <c r="J116" s="3">
        <v>0.24</v>
      </c>
      <c r="K116" s="6">
        <v>517.22540300000003</v>
      </c>
      <c r="L116" s="3">
        <v>3.0000000000000001E-3</v>
      </c>
      <c r="M116" s="3">
        <f t="shared" si="12"/>
        <v>0.32999999999999996</v>
      </c>
      <c r="N116" s="5"/>
      <c r="O116" s="5"/>
      <c r="P116" s="5"/>
      <c r="Q116" s="5"/>
      <c r="S116" s="3" t="s">
        <v>84</v>
      </c>
      <c r="T116" s="3">
        <v>0.9</v>
      </c>
      <c r="U116" s="3">
        <v>0.5</v>
      </c>
      <c r="V116" s="3">
        <v>0.6</v>
      </c>
      <c r="W116" s="3">
        <v>0.45</v>
      </c>
      <c r="X116" s="6">
        <v>481.64892600000002</v>
      </c>
      <c r="Y116" s="3">
        <v>7.0000000000000001E-3</v>
      </c>
      <c r="AA116" s="3" t="s">
        <v>84</v>
      </c>
      <c r="AB116" s="3">
        <v>0.66</v>
      </c>
      <c r="AC116" s="7">
        <v>580.63555899999994</v>
      </c>
      <c r="AD116" s="3">
        <v>0</v>
      </c>
      <c r="AE116" s="3">
        <f t="shared" si="13"/>
        <v>0.55500000000000005</v>
      </c>
      <c r="AF116" s="5"/>
      <c r="AG116" s="5"/>
      <c r="AH116" s="5"/>
      <c r="AI116" s="5"/>
      <c r="AK116" s="3" t="s">
        <v>85</v>
      </c>
      <c r="AL116" s="3">
        <v>0.9</v>
      </c>
      <c r="AM116" s="3">
        <v>0.5</v>
      </c>
      <c r="AN116" s="3">
        <v>0.6</v>
      </c>
      <c r="AO116" s="3">
        <v>0.59</v>
      </c>
      <c r="AP116" s="7">
        <v>992.01812700000005</v>
      </c>
      <c r="AQ116" s="3">
        <v>1.6E-2</v>
      </c>
      <c r="AS116" s="3" t="s">
        <v>85</v>
      </c>
      <c r="AT116" s="3">
        <v>0.16</v>
      </c>
      <c r="AU116" s="6">
        <v>788.12561000000005</v>
      </c>
      <c r="AV116" s="3">
        <v>0</v>
      </c>
      <c r="AW116" s="3">
        <f t="shared" si="14"/>
        <v>0.375</v>
      </c>
      <c r="AX116" s="5"/>
      <c r="AY116" s="5"/>
      <c r="AZ116" s="5"/>
      <c r="BA116" s="5"/>
      <c r="BC116" s="3" t="s">
        <v>85</v>
      </c>
      <c r="BD116" s="3">
        <v>0.9</v>
      </c>
      <c r="BE116" s="3">
        <v>0.5</v>
      </c>
      <c r="BF116" s="3">
        <v>0.6</v>
      </c>
      <c r="BG116" s="3">
        <v>0.37</v>
      </c>
      <c r="BH116" s="6">
        <v>871.980774</v>
      </c>
      <c r="BI116" s="3">
        <v>2.1000000000000001E-2</v>
      </c>
      <c r="BK116" s="3" t="s">
        <v>85</v>
      </c>
      <c r="BL116" s="3">
        <v>0.63</v>
      </c>
      <c r="BM116" s="7">
        <v>950.17620799999997</v>
      </c>
      <c r="BN116" s="3">
        <v>4.0000000000000001E-3</v>
      </c>
      <c r="BO116" s="3">
        <f t="shared" si="15"/>
        <v>0.5</v>
      </c>
    </row>
    <row r="117" spans="1:67" x14ac:dyDescent="0.3">
      <c r="A117" s="3" t="s">
        <v>86</v>
      </c>
      <c r="B117" s="3">
        <v>0.9</v>
      </c>
      <c r="C117" s="3">
        <v>0.5</v>
      </c>
      <c r="D117" s="3">
        <v>0.6</v>
      </c>
      <c r="E117" s="3">
        <v>0.23</v>
      </c>
      <c r="F117" s="7">
        <v>572.856628</v>
      </c>
      <c r="G117" s="3">
        <v>3.2000000000000001E-2</v>
      </c>
      <c r="I117" s="3" t="s">
        <v>86</v>
      </c>
      <c r="J117" s="3">
        <v>0.1</v>
      </c>
      <c r="K117" s="6">
        <v>553.65765399999998</v>
      </c>
      <c r="L117" s="3">
        <v>1E-3</v>
      </c>
      <c r="M117" s="3">
        <f t="shared" si="12"/>
        <v>0.16500000000000001</v>
      </c>
      <c r="N117" s="5"/>
      <c r="O117" s="5"/>
      <c r="P117" s="5"/>
      <c r="Q117" s="5"/>
      <c r="S117" s="3" t="s">
        <v>86</v>
      </c>
      <c r="T117" s="3">
        <v>0.9</v>
      </c>
      <c r="U117" s="3">
        <v>0.5</v>
      </c>
      <c r="V117" s="3">
        <v>0.6</v>
      </c>
      <c r="W117" s="3">
        <v>0.16</v>
      </c>
      <c r="X117" s="6">
        <v>498.71838400000001</v>
      </c>
      <c r="Y117" s="3">
        <v>6.0000000000000001E-3</v>
      </c>
      <c r="AA117" s="3" t="s">
        <v>86</v>
      </c>
      <c r="AB117" s="3">
        <v>0.75</v>
      </c>
      <c r="AC117" s="7">
        <v>584.212219</v>
      </c>
      <c r="AD117" s="3">
        <v>5.0000000000000001E-3</v>
      </c>
      <c r="AE117" s="3">
        <f t="shared" si="13"/>
        <v>0.45500000000000002</v>
      </c>
      <c r="AF117" s="5"/>
      <c r="AG117" s="5"/>
      <c r="AH117" s="5"/>
      <c r="AI117" s="5"/>
      <c r="AK117" s="3" t="s">
        <v>87</v>
      </c>
      <c r="AL117" s="3">
        <v>0.9</v>
      </c>
      <c r="AM117" s="3">
        <v>0.5</v>
      </c>
      <c r="AN117" s="3">
        <v>0.6</v>
      </c>
      <c r="AO117" s="3">
        <v>0.64</v>
      </c>
      <c r="AP117" s="7">
        <v>935.512024</v>
      </c>
      <c r="AQ117" s="3">
        <v>2.7E-2</v>
      </c>
      <c r="AS117" s="3" t="s">
        <v>87</v>
      </c>
      <c r="AT117" s="3">
        <v>0.21</v>
      </c>
      <c r="AU117" s="6">
        <v>754.86456299999998</v>
      </c>
      <c r="AV117" s="3">
        <v>1E-3</v>
      </c>
      <c r="AW117" s="3">
        <f t="shared" si="14"/>
        <v>0.42499999999999999</v>
      </c>
      <c r="AX117" s="5"/>
      <c r="AY117" s="5"/>
      <c r="AZ117" s="5"/>
      <c r="BA117" s="5"/>
      <c r="BC117" s="3" t="s">
        <v>87</v>
      </c>
      <c r="BD117" s="3">
        <v>0.9</v>
      </c>
      <c r="BE117" s="3">
        <v>0.5</v>
      </c>
      <c r="BF117" s="3">
        <v>0.6</v>
      </c>
      <c r="BG117" s="3">
        <v>0.85</v>
      </c>
      <c r="BH117" s="7">
        <v>925.17437700000005</v>
      </c>
      <c r="BI117" s="3">
        <v>1.4999999999999999E-2</v>
      </c>
      <c r="BK117" s="3" t="s">
        <v>87</v>
      </c>
      <c r="BL117" s="3">
        <v>0.37</v>
      </c>
      <c r="BM117" s="6">
        <v>776.97662400000002</v>
      </c>
      <c r="BN117" s="3">
        <v>3.0000000000000001E-3</v>
      </c>
      <c r="BO117" s="3">
        <f t="shared" si="15"/>
        <v>0.61</v>
      </c>
    </row>
    <row r="118" spans="1:67" x14ac:dyDescent="0.3">
      <c r="A118" s="3" t="s">
        <v>88</v>
      </c>
      <c r="B118" s="3">
        <v>0.9</v>
      </c>
      <c r="C118" s="3">
        <v>0.5</v>
      </c>
      <c r="D118" s="3">
        <v>0.6</v>
      </c>
      <c r="E118" s="3">
        <v>0.63</v>
      </c>
      <c r="F118" s="6">
        <v>510.97723400000001</v>
      </c>
      <c r="G118" s="3">
        <v>1.7000000000000001E-2</v>
      </c>
      <c r="I118" s="3" t="s">
        <v>88</v>
      </c>
      <c r="J118" s="3">
        <v>0.9</v>
      </c>
      <c r="K118" s="7">
        <v>527.71258499999999</v>
      </c>
      <c r="L118" s="3">
        <v>2E-3</v>
      </c>
      <c r="M118" s="3">
        <f t="shared" si="12"/>
        <v>0.76500000000000001</v>
      </c>
      <c r="N118" s="5"/>
      <c r="O118" s="5"/>
      <c r="P118" s="5"/>
      <c r="Q118" s="5"/>
      <c r="S118" s="3" t="s">
        <v>88</v>
      </c>
      <c r="T118" s="3">
        <v>0.9</v>
      </c>
      <c r="U118" s="3">
        <v>0.5</v>
      </c>
      <c r="V118" s="3">
        <v>0.6</v>
      </c>
      <c r="W118" s="3">
        <v>0.68</v>
      </c>
      <c r="X118" s="6">
        <v>469.06451399999997</v>
      </c>
      <c r="Y118" s="3">
        <v>2.4E-2</v>
      </c>
      <c r="AA118" s="3" t="s">
        <v>88</v>
      </c>
      <c r="AB118" s="3">
        <v>0.66</v>
      </c>
      <c r="AC118" s="7">
        <v>470.377655</v>
      </c>
      <c r="AD118" s="3">
        <v>3.0000000000000001E-3</v>
      </c>
      <c r="AE118" s="3">
        <f t="shared" si="13"/>
        <v>0.67</v>
      </c>
      <c r="AF118" s="5"/>
      <c r="AG118" s="5"/>
      <c r="AH118" s="5"/>
      <c r="AI118" s="5"/>
      <c r="AK118" s="3" t="s">
        <v>89</v>
      </c>
      <c r="AL118" s="3">
        <v>0.9</v>
      </c>
      <c r="AM118" s="3">
        <v>0.5</v>
      </c>
      <c r="AN118" s="3">
        <v>0.6</v>
      </c>
      <c r="AO118" s="3">
        <v>0.44</v>
      </c>
      <c r="AP118" s="6">
        <v>877.334473</v>
      </c>
      <c r="AQ118" s="3">
        <v>1.7999999999999999E-2</v>
      </c>
      <c r="AS118" s="3" t="s">
        <v>89</v>
      </c>
      <c r="AT118" s="3">
        <v>0.8</v>
      </c>
      <c r="AU118" s="7">
        <v>979.59899900000005</v>
      </c>
      <c r="AV118" s="3">
        <v>4.0000000000000001E-3</v>
      </c>
      <c r="AW118" s="3">
        <f t="shared" si="14"/>
        <v>0.62</v>
      </c>
      <c r="AX118" s="5"/>
      <c r="AY118" s="5"/>
      <c r="AZ118" s="5"/>
      <c r="BA118" s="5"/>
      <c r="BC118" s="3" t="s">
        <v>89</v>
      </c>
      <c r="BD118" s="3">
        <v>0.9</v>
      </c>
      <c r="BE118" s="3">
        <v>0.5</v>
      </c>
      <c r="BF118" s="3">
        <v>0.6</v>
      </c>
      <c r="BG118" s="3">
        <v>0.4</v>
      </c>
      <c r="BH118" s="6">
        <v>806.49664299999995</v>
      </c>
      <c r="BI118" s="3">
        <v>3.4000000000000002E-2</v>
      </c>
      <c r="BK118" s="3" t="s">
        <v>89</v>
      </c>
      <c r="BL118" s="3">
        <v>0.98</v>
      </c>
      <c r="BM118" s="7">
        <v>941.36468500000001</v>
      </c>
      <c r="BN118" s="3">
        <v>1E-3</v>
      </c>
      <c r="BO118" s="3">
        <f t="shared" si="15"/>
        <v>0.69</v>
      </c>
    </row>
    <row r="119" spans="1:67" x14ac:dyDescent="0.3">
      <c r="A119" s="3" t="s">
        <v>90</v>
      </c>
      <c r="B119" s="3">
        <v>0.9</v>
      </c>
      <c r="C119" s="3">
        <v>0.5</v>
      </c>
      <c r="D119" s="3">
        <v>0.6</v>
      </c>
      <c r="E119" s="3">
        <v>0.46</v>
      </c>
      <c r="F119" s="6">
        <v>472.17303500000003</v>
      </c>
      <c r="G119" s="3">
        <v>1.9E-2</v>
      </c>
      <c r="I119" s="3" t="s">
        <v>90</v>
      </c>
      <c r="J119" s="3">
        <v>0.75</v>
      </c>
      <c r="K119" s="7">
        <v>558.08221400000002</v>
      </c>
      <c r="L119" s="3">
        <v>2E-3</v>
      </c>
      <c r="M119" s="3">
        <f t="shared" si="12"/>
        <v>0.60499999999999998</v>
      </c>
      <c r="N119" s="5"/>
      <c r="O119" s="5"/>
      <c r="P119" s="5"/>
      <c r="Q119" s="5"/>
      <c r="S119" s="3" t="s">
        <v>90</v>
      </c>
      <c r="T119" s="3">
        <v>0.9</v>
      </c>
      <c r="U119" s="3">
        <v>0.5</v>
      </c>
      <c r="V119" s="3">
        <v>0.6</v>
      </c>
      <c r="W119" s="3">
        <v>0.33</v>
      </c>
      <c r="X119" s="6">
        <v>410.69042999999999</v>
      </c>
      <c r="Y119" s="3">
        <v>1.2999999999999999E-2</v>
      </c>
      <c r="AA119" s="3" t="s">
        <v>90</v>
      </c>
      <c r="AB119" s="3">
        <v>0.44</v>
      </c>
      <c r="AC119" s="7">
        <v>428.47006199999998</v>
      </c>
      <c r="AD119" s="3">
        <v>2E-3</v>
      </c>
      <c r="AE119" s="3">
        <f t="shared" si="13"/>
        <v>0.38500000000000001</v>
      </c>
      <c r="AF119" s="5"/>
      <c r="AG119" s="5"/>
      <c r="AH119" s="5"/>
      <c r="AI119" s="5"/>
      <c r="AK119" s="3" t="s">
        <v>91</v>
      </c>
      <c r="AL119" s="3">
        <v>0.9</v>
      </c>
      <c r="AM119" s="3">
        <v>0.5</v>
      </c>
      <c r="AN119" s="3">
        <v>0.6</v>
      </c>
      <c r="AO119" s="3">
        <v>0.8</v>
      </c>
      <c r="AP119" s="7">
        <v>927.08355700000004</v>
      </c>
      <c r="AQ119" s="3">
        <v>2.7E-2</v>
      </c>
      <c r="AS119" s="3" t="s">
        <v>91</v>
      </c>
      <c r="AT119" s="3">
        <v>0.93</v>
      </c>
      <c r="AU119" s="6">
        <v>899.30358899999999</v>
      </c>
      <c r="AV119" s="3">
        <v>2E-3</v>
      </c>
      <c r="AW119" s="3">
        <f t="shared" si="14"/>
        <v>0.86499999999999999</v>
      </c>
      <c r="AX119" s="5"/>
      <c r="AY119" s="5"/>
      <c r="AZ119" s="5"/>
      <c r="BA119" s="5"/>
      <c r="BC119" s="3" t="s">
        <v>91</v>
      </c>
      <c r="BD119" s="3">
        <v>0.9</v>
      </c>
      <c r="BE119" s="3">
        <v>0.5</v>
      </c>
      <c r="BF119" s="3">
        <v>0.6</v>
      </c>
      <c r="BG119" s="3">
        <v>0.93</v>
      </c>
      <c r="BH119" s="7">
        <v>863.13708499999996</v>
      </c>
      <c r="BI119" s="3">
        <v>0.06</v>
      </c>
      <c r="BK119" s="3" t="s">
        <v>91</v>
      </c>
      <c r="BL119" s="3">
        <v>0.4</v>
      </c>
      <c r="BM119" s="6">
        <v>800.56982400000004</v>
      </c>
      <c r="BN119" s="3">
        <v>2E-3</v>
      </c>
      <c r="BO119" s="3">
        <f t="shared" si="15"/>
        <v>0.66500000000000004</v>
      </c>
    </row>
    <row r="120" spans="1:67" x14ac:dyDescent="0.3">
      <c r="A120" s="3" t="s">
        <v>92</v>
      </c>
      <c r="B120" s="3">
        <v>0.9</v>
      </c>
      <c r="C120" s="3">
        <v>0.5</v>
      </c>
      <c r="D120" s="3">
        <v>0.6</v>
      </c>
      <c r="E120" s="3">
        <v>0.19</v>
      </c>
      <c r="F120" s="6">
        <v>557.04998799999998</v>
      </c>
      <c r="G120" s="3">
        <v>3.1E-2</v>
      </c>
      <c r="I120" s="3" t="s">
        <v>92</v>
      </c>
      <c r="J120" s="3">
        <v>0.23</v>
      </c>
      <c r="K120" s="7">
        <v>559.56494099999998</v>
      </c>
      <c r="L120" s="3">
        <v>1E-3</v>
      </c>
      <c r="M120" s="3">
        <f t="shared" si="12"/>
        <v>0.21000000000000002</v>
      </c>
      <c r="N120" s="5"/>
      <c r="O120" s="5"/>
      <c r="P120" s="5"/>
      <c r="Q120" s="5"/>
      <c r="S120" s="3" t="s">
        <v>92</v>
      </c>
      <c r="T120" s="3">
        <v>0.9</v>
      </c>
      <c r="U120" s="3">
        <v>0.5</v>
      </c>
      <c r="V120" s="3">
        <v>0.6</v>
      </c>
      <c r="W120" s="3">
        <v>0.51</v>
      </c>
      <c r="X120" s="7">
        <v>533.48028599999998</v>
      </c>
      <c r="Y120" s="3">
        <v>2.3E-2</v>
      </c>
      <c r="AA120" s="3" t="s">
        <v>92</v>
      </c>
      <c r="AB120" s="3">
        <v>0.18</v>
      </c>
      <c r="AC120" s="6">
        <v>498.529877</v>
      </c>
      <c r="AD120" s="3">
        <v>2E-3</v>
      </c>
      <c r="AE120" s="3">
        <f t="shared" si="13"/>
        <v>0.34499999999999997</v>
      </c>
      <c r="AF120" s="5"/>
      <c r="AG120" s="5"/>
      <c r="AH120" s="5"/>
      <c r="AI120" s="5"/>
      <c r="AK120" s="3" t="s">
        <v>93</v>
      </c>
      <c r="AL120" s="3">
        <v>0.9</v>
      </c>
      <c r="AM120" s="3">
        <v>0.5</v>
      </c>
      <c r="AN120" s="3">
        <v>0.6</v>
      </c>
      <c r="AO120" s="3">
        <v>0.5</v>
      </c>
      <c r="AP120" s="7">
        <v>845.10455300000001</v>
      </c>
      <c r="AQ120" s="3">
        <v>1.4999999999999999E-2</v>
      </c>
      <c r="AS120" s="3" t="s">
        <v>93</v>
      </c>
      <c r="AT120" s="3">
        <v>0.14000000000000001</v>
      </c>
      <c r="AU120" s="6">
        <v>678.11614999999995</v>
      </c>
      <c r="AV120" s="3">
        <v>1E-3</v>
      </c>
      <c r="AW120" s="3">
        <f t="shared" si="14"/>
        <v>0.32</v>
      </c>
      <c r="AX120" s="5"/>
      <c r="AY120" s="5"/>
      <c r="AZ120" s="5"/>
      <c r="BA120" s="5"/>
      <c r="BC120" s="3" t="s">
        <v>93</v>
      </c>
      <c r="BD120" s="3">
        <v>0.9</v>
      </c>
      <c r="BE120" s="3">
        <v>0.5</v>
      </c>
      <c r="BF120" s="3">
        <v>0.6</v>
      </c>
      <c r="BG120" s="3">
        <v>0.24</v>
      </c>
      <c r="BH120" s="7">
        <v>678.06921399999999</v>
      </c>
      <c r="BI120" s="3">
        <v>4.7E-2</v>
      </c>
      <c r="BK120" s="3" t="s">
        <v>93</v>
      </c>
      <c r="BL120" s="3">
        <v>0.05</v>
      </c>
      <c r="BM120" s="6">
        <v>620.76806599999998</v>
      </c>
      <c r="BN120" s="3">
        <v>5.0000000000000001E-3</v>
      </c>
      <c r="BO120" s="3">
        <f t="shared" si="15"/>
        <v>0.14499999999999999</v>
      </c>
    </row>
    <row r="121" spans="1:67" x14ac:dyDescent="0.3">
      <c r="A121" s="3" t="s">
        <v>94</v>
      </c>
      <c r="B121" s="3">
        <v>0.9</v>
      </c>
      <c r="C121" s="3">
        <v>0.5</v>
      </c>
      <c r="D121" s="3">
        <v>0.6</v>
      </c>
      <c r="E121" s="3">
        <v>0.01</v>
      </c>
      <c r="F121" s="6">
        <v>432.20474200000001</v>
      </c>
      <c r="G121" s="3">
        <v>2.5999999999999999E-2</v>
      </c>
      <c r="I121" s="3" t="s">
        <v>94</v>
      </c>
      <c r="J121" s="3">
        <v>0.6</v>
      </c>
      <c r="K121" s="7">
        <v>561.96246299999996</v>
      </c>
      <c r="L121" s="3">
        <v>0</v>
      </c>
      <c r="M121" s="3">
        <f t="shared" si="12"/>
        <v>0.30499999999999999</v>
      </c>
      <c r="N121" s="5"/>
      <c r="O121" s="5"/>
      <c r="P121" s="5"/>
      <c r="Q121" s="5"/>
      <c r="S121" s="3" t="s">
        <v>94</v>
      </c>
      <c r="T121" s="3">
        <v>0.9</v>
      </c>
      <c r="U121" s="3">
        <v>0.5</v>
      </c>
      <c r="V121" s="3">
        <v>0.6</v>
      </c>
      <c r="W121" s="3">
        <v>0.6</v>
      </c>
      <c r="X121" s="6">
        <v>525.42260699999997</v>
      </c>
      <c r="Y121" s="3">
        <v>1.9E-2</v>
      </c>
      <c r="AA121" s="3" t="s">
        <v>94</v>
      </c>
      <c r="AB121" s="3">
        <v>0.75</v>
      </c>
      <c r="AC121" s="7">
        <v>579.31744400000002</v>
      </c>
      <c r="AD121" s="3">
        <v>0</v>
      </c>
      <c r="AE121" s="3">
        <f t="shared" si="13"/>
        <v>0.67500000000000004</v>
      </c>
      <c r="AF121" s="5"/>
      <c r="AG121" s="5"/>
      <c r="AH121" s="5"/>
      <c r="AI121" s="5"/>
      <c r="AK121" s="3" t="s">
        <v>95</v>
      </c>
      <c r="AL121" s="3">
        <v>0.9</v>
      </c>
      <c r="AM121" s="3">
        <v>0.5</v>
      </c>
      <c r="AN121" s="3">
        <v>0.6</v>
      </c>
      <c r="AO121" s="3">
        <v>0.78</v>
      </c>
      <c r="AP121" s="7">
        <v>998.17034899999999</v>
      </c>
      <c r="AQ121" s="3">
        <v>1.4E-2</v>
      </c>
      <c r="AS121" s="3" t="s">
        <v>95</v>
      </c>
      <c r="AT121" s="3">
        <v>0.18</v>
      </c>
      <c r="AU121" s="6">
        <v>747.85711700000002</v>
      </c>
      <c r="AV121" s="3">
        <v>0</v>
      </c>
      <c r="AW121" s="3">
        <f t="shared" si="14"/>
        <v>0.48</v>
      </c>
      <c r="AX121" s="5"/>
      <c r="AY121" s="5"/>
      <c r="AZ121" s="5"/>
      <c r="BA121" s="5"/>
      <c r="BC121" s="3" t="s">
        <v>95</v>
      </c>
      <c r="BD121" s="3">
        <v>0.9</v>
      </c>
      <c r="BE121" s="3">
        <v>0.5</v>
      </c>
      <c r="BF121" s="3">
        <v>0.6</v>
      </c>
      <c r="BG121" s="3">
        <v>0.74</v>
      </c>
      <c r="BH121" s="7">
        <v>978.29187000000002</v>
      </c>
      <c r="BI121" s="3">
        <v>3.6999999999999998E-2</v>
      </c>
      <c r="BK121" s="3" t="s">
        <v>95</v>
      </c>
      <c r="BL121" s="3">
        <v>0.03</v>
      </c>
      <c r="BM121" s="6">
        <v>659.17681900000002</v>
      </c>
      <c r="BN121" s="3">
        <v>1E-3</v>
      </c>
      <c r="BO121" s="3">
        <f t="shared" si="15"/>
        <v>0.38500000000000001</v>
      </c>
    </row>
    <row r="122" spans="1:67" x14ac:dyDescent="0.3">
      <c r="A122" s="3" t="s">
        <v>96</v>
      </c>
      <c r="B122" s="3">
        <v>0.9</v>
      </c>
      <c r="C122" s="3">
        <v>0.5</v>
      </c>
      <c r="D122" s="3">
        <v>0.6</v>
      </c>
      <c r="E122" s="3">
        <v>0.21</v>
      </c>
      <c r="F122" s="6">
        <v>575.90270999999996</v>
      </c>
      <c r="G122" s="3">
        <v>8.0000000000000002E-3</v>
      </c>
      <c r="I122" s="3" t="s">
        <v>96</v>
      </c>
      <c r="J122" s="3">
        <v>0.27</v>
      </c>
      <c r="K122" s="7">
        <v>594.52032499999996</v>
      </c>
      <c r="L122" s="3">
        <v>8.9999999999999993E-3</v>
      </c>
      <c r="M122" s="3">
        <f t="shared" si="12"/>
        <v>0.24</v>
      </c>
      <c r="N122" s="5"/>
      <c r="O122" s="5"/>
      <c r="P122" s="5"/>
      <c r="Q122" s="5"/>
      <c r="S122" s="3" t="s">
        <v>96</v>
      </c>
      <c r="T122" s="3">
        <v>0.9</v>
      </c>
      <c r="U122" s="3">
        <v>0.5</v>
      </c>
      <c r="V122" s="3">
        <v>0.6</v>
      </c>
      <c r="W122" s="3">
        <v>0.88</v>
      </c>
      <c r="X122" s="7">
        <v>643.59765600000003</v>
      </c>
      <c r="Y122" s="3">
        <v>8.0000000000000002E-3</v>
      </c>
      <c r="AA122" s="3" t="s">
        <v>96</v>
      </c>
      <c r="AB122" s="3">
        <v>0.16</v>
      </c>
      <c r="AC122" s="6">
        <v>535.59143100000006</v>
      </c>
      <c r="AD122" s="3">
        <v>2E-3</v>
      </c>
      <c r="AE122" s="3">
        <f t="shared" si="13"/>
        <v>0.52</v>
      </c>
      <c r="AF122" s="5"/>
      <c r="AG122" s="5"/>
      <c r="AH122" s="5"/>
      <c r="AI122" s="5"/>
      <c r="AK122" s="3" t="s">
        <v>97</v>
      </c>
      <c r="AL122" s="3">
        <v>0.9</v>
      </c>
      <c r="AM122" s="3">
        <v>0.5</v>
      </c>
      <c r="AN122" s="3">
        <v>0.6</v>
      </c>
      <c r="AO122" s="3">
        <v>0.65</v>
      </c>
      <c r="AP122" s="7">
        <v>1081.380371</v>
      </c>
      <c r="AQ122" s="3">
        <v>0.01</v>
      </c>
      <c r="AS122" s="3" t="s">
        <v>97</v>
      </c>
      <c r="AT122" s="3">
        <v>0.65</v>
      </c>
      <c r="AU122" s="6">
        <v>1069.2039789999999</v>
      </c>
      <c r="AV122" s="3">
        <v>1E-3</v>
      </c>
      <c r="AW122" s="3">
        <f t="shared" si="14"/>
        <v>0.65</v>
      </c>
      <c r="AX122" s="5"/>
      <c r="AY122" s="5"/>
      <c r="AZ122" s="5"/>
      <c r="BA122" s="5"/>
      <c r="BC122" s="3" t="s">
        <v>97</v>
      </c>
      <c r="BD122" s="3">
        <v>0.9</v>
      </c>
      <c r="BE122" s="3">
        <v>0.5</v>
      </c>
      <c r="BF122" s="3">
        <v>0.6</v>
      </c>
      <c r="BG122" s="3">
        <v>0.99</v>
      </c>
      <c r="BH122" s="7">
        <v>1090.6735839999999</v>
      </c>
      <c r="BI122" s="3">
        <v>1.7999999999999999E-2</v>
      </c>
      <c r="BK122" s="3" t="s">
        <v>97</v>
      </c>
      <c r="BL122" s="3">
        <v>0.53</v>
      </c>
      <c r="BM122" s="6">
        <v>1018.142212</v>
      </c>
      <c r="BN122" s="3">
        <v>4.0000000000000001E-3</v>
      </c>
      <c r="BO122" s="3">
        <f t="shared" si="15"/>
        <v>0.76</v>
      </c>
    </row>
    <row r="123" spans="1:67" x14ac:dyDescent="0.3">
      <c r="A123" s="3" t="s">
        <v>98</v>
      </c>
      <c r="B123" s="3">
        <v>0.9</v>
      </c>
      <c r="C123" s="3">
        <v>0.5</v>
      </c>
      <c r="D123" s="3">
        <v>0.6</v>
      </c>
      <c r="E123" s="3">
        <v>0.91</v>
      </c>
      <c r="F123" s="7">
        <v>592.31890899999996</v>
      </c>
      <c r="G123" s="3">
        <v>1.4999999999999999E-2</v>
      </c>
      <c r="I123" s="3" t="s">
        <v>98</v>
      </c>
      <c r="J123" s="3">
        <v>0.5</v>
      </c>
      <c r="K123" s="6">
        <v>516.25707999999997</v>
      </c>
      <c r="L123" s="3">
        <v>1E-3</v>
      </c>
      <c r="M123" s="3">
        <f t="shared" si="12"/>
        <v>0.70500000000000007</v>
      </c>
      <c r="N123" s="5"/>
      <c r="O123" s="5"/>
      <c r="P123" s="5"/>
      <c r="Q123" s="5"/>
      <c r="S123" s="3" t="s">
        <v>98</v>
      </c>
      <c r="T123" s="3">
        <v>0.9</v>
      </c>
      <c r="U123" s="3">
        <v>0.5</v>
      </c>
      <c r="V123" s="3">
        <v>0.6</v>
      </c>
      <c r="W123" s="3">
        <v>0.59</v>
      </c>
      <c r="X123" s="7">
        <v>500.13116500000001</v>
      </c>
      <c r="Y123" s="3">
        <v>1.4999999999999999E-2</v>
      </c>
      <c r="AA123" s="3" t="s">
        <v>98</v>
      </c>
      <c r="AB123" s="3">
        <v>0.34</v>
      </c>
      <c r="AC123" s="6">
        <v>454.446686</v>
      </c>
      <c r="AD123" s="3">
        <v>5.0000000000000001E-3</v>
      </c>
      <c r="AE123" s="3">
        <f t="shared" si="13"/>
        <v>0.46499999999999997</v>
      </c>
      <c r="AF123" s="5"/>
      <c r="AG123" s="5"/>
      <c r="AH123" s="5"/>
      <c r="AI123" s="5"/>
      <c r="AK123" s="3" t="s">
        <v>99</v>
      </c>
      <c r="AL123" s="3">
        <v>0.9</v>
      </c>
      <c r="AM123" s="3">
        <v>0.5</v>
      </c>
      <c r="AN123" s="3">
        <v>0.6</v>
      </c>
      <c r="AO123" s="3">
        <v>0.23</v>
      </c>
      <c r="AP123" s="6">
        <v>882.39019800000005</v>
      </c>
      <c r="AQ123" s="3">
        <v>1.0999999999999999E-2</v>
      </c>
      <c r="AS123" s="3" t="s">
        <v>99</v>
      </c>
      <c r="AT123" s="3">
        <v>0.47</v>
      </c>
      <c r="AU123" s="7">
        <v>1015.932922</v>
      </c>
      <c r="AV123" s="3">
        <v>8.9999999999999993E-3</v>
      </c>
      <c r="AW123" s="3">
        <f t="shared" si="14"/>
        <v>0.35</v>
      </c>
      <c r="AX123" s="5"/>
      <c r="AY123" s="5"/>
      <c r="AZ123" s="5"/>
      <c r="BA123" s="5"/>
      <c r="BC123" s="3" t="s">
        <v>99</v>
      </c>
      <c r="BD123" s="3">
        <v>0.9</v>
      </c>
      <c r="BE123" s="3">
        <v>0.5</v>
      </c>
      <c r="BF123" s="3">
        <v>0.6</v>
      </c>
      <c r="BG123" s="3">
        <v>0.14000000000000001</v>
      </c>
      <c r="BH123" s="6">
        <v>756.57391399999995</v>
      </c>
      <c r="BI123" s="3">
        <v>3.1E-2</v>
      </c>
      <c r="BK123" s="3" t="s">
        <v>99</v>
      </c>
      <c r="BL123" s="3">
        <v>0.79</v>
      </c>
      <c r="BM123" s="7">
        <v>1089.2585449999999</v>
      </c>
      <c r="BN123" s="3">
        <v>3.0000000000000001E-3</v>
      </c>
      <c r="BO123" s="3">
        <f t="shared" si="15"/>
        <v>0.46500000000000002</v>
      </c>
    </row>
    <row r="124" spans="1:67" x14ac:dyDescent="0.3">
      <c r="A124" s="3" t="s">
        <v>100</v>
      </c>
      <c r="B124" s="3">
        <v>0.9</v>
      </c>
      <c r="C124" s="3">
        <v>0.5</v>
      </c>
      <c r="D124" s="3">
        <v>0.6</v>
      </c>
      <c r="E124" s="3">
        <v>0.35</v>
      </c>
      <c r="F124" s="7">
        <v>621.20977800000003</v>
      </c>
      <c r="G124" s="3">
        <v>1.4999999999999999E-2</v>
      </c>
      <c r="I124" s="3" t="s">
        <v>100</v>
      </c>
      <c r="J124" s="3">
        <v>0.18</v>
      </c>
      <c r="K124" s="6">
        <v>595.49237100000005</v>
      </c>
      <c r="L124" s="3">
        <v>3.0000000000000001E-3</v>
      </c>
      <c r="M124" s="3">
        <f t="shared" si="12"/>
        <v>0.26500000000000001</v>
      </c>
      <c r="N124" s="5"/>
      <c r="O124" s="5"/>
      <c r="P124" s="5"/>
      <c r="Q124" s="5"/>
      <c r="S124" s="3" t="s">
        <v>100</v>
      </c>
      <c r="T124" s="3">
        <v>0.9</v>
      </c>
      <c r="U124" s="3">
        <v>0.5</v>
      </c>
      <c r="V124" s="3">
        <v>0.6</v>
      </c>
      <c r="W124" s="3">
        <v>0.61</v>
      </c>
      <c r="X124" s="6">
        <v>664.019409</v>
      </c>
      <c r="Y124" s="3">
        <v>0.01</v>
      </c>
      <c r="AA124" s="3" t="s">
        <v>100</v>
      </c>
      <c r="AB124" s="3">
        <v>0.94</v>
      </c>
      <c r="AC124" s="7">
        <v>690.59283400000004</v>
      </c>
      <c r="AD124" s="3">
        <v>0</v>
      </c>
      <c r="AE124" s="3">
        <f t="shared" si="13"/>
        <v>0.77499999999999991</v>
      </c>
      <c r="AF124" s="5"/>
      <c r="AG124" s="5"/>
      <c r="AH124" s="5"/>
      <c r="AI124" s="5"/>
      <c r="AK124" s="3" t="s">
        <v>101</v>
      </c>
      <c r="AL124" s="3">
        <v>0.9</v>
      </c>
      <c r="AM124" s="3">
        <v>0.5</v>
      </c>
      <c r="AN124" s="3">
        <v>0.6</v>
      </c>
      <c r="AO124" s="3">
        <v>0.65</v>
      </c>
      <c r="AP124" s="7">
        <v>970.76611300000002</v>
      </c>
      <c r="AQ124" s="3">
        <v>1.2E-2</v>
      </c>
      <c r="AS124" s="3" t="s">
        <v>101</v>
      </c>
      <c r="AT124" s="3">
        <v>0.31</v>
      </c>
      <c r="AU124" s="6">
        <v>830.85272199999997</v>
      </c>
      <c r="AV124" s="3">
        <v>5.0000000000000001E-3</v>
      </c>
      <c r="AW124" s="3">
        <f t="shared" si="14"/>
        <v>0.48</v>
      </c>
      <c r="AX124" s="5"/>
      <c r="AY124" s="5"/>
      <c r="AZ124" s="5"/>
      <c r="BA124" s="5"/>
      <c r="BC124" s="3" t="s">
        <v>101</v>
      </c>
      <c r="BD124" s="3">
        <v>0.9</v>
      </c>
      <c r="BE124" s="3">
        <v>0.5</v>
      </c>
      <c r="BF124" s="3">
        <v>0.6</v>
      </c>
      <c r="BG124" s="3">
        <v>0.65</v>
      </c>
      <c r="BH124" s="7">
        <v>980.95135500000004</v>
      </c>
      <c r="BI124" s="3">
        <v>2.1000000000000001E-2</v>
      </c>
      <c r="BK124" s="3" t="s">
        <v>101</v>
      </c>
      <c r="BL124" s="3">
        <v>0.61</v>
      </c>
      <c r="BM124" s="6">
        <v>952.83026099999995</v>
      </c>
      <c r="BN124" s="3">
        <v>6.0000000000000001E-3</v>
      </c>
      <c r="BO124" s="3">
        <f t="shared" si="15"/>
        <v>0.63</v>
      </c>
    </row>
    <row r="125" spans="1:67" x14ac:dyDescent="0.3">
      <c r="A125" s="3" t="s">
        <v>102</v>
      </c>
      <c r="B125" s="3">
        <v>0.9</v>
      </c>
      <c r="C125" s="3">
        <v>0.5</v>
      </c>
      <c r="D125" s="3">
        <v>0.6</v>
      </c>
      <c r="E125" s="3">
        <v>0.18</v>
      </c>
      <c r="F125" s="6">
        <v>596.16888400000005</v>
      </c>
      <c r="G125" s="3">
        <v>1.2999999999999999E-2</v>
      </c>
      <c r="I125" s="3" t="s">
        <v>102</v>
      </c>
      <c r="J125" s="3">
        <v>0.72</v>
      </c>
      <c r="K125" s="7">
        <v>663.63940400000001</v>
      </c>
      <c r="L125" s="3">
        <v>1E-3</v>
      </c>
      <c r="M125" s="3">
        <f t="shared" si="12"/>
        <v>0.44999999999999996</v>
      </c>
      <c r="N125" s="5"/>
      <c r="O125" s="5"/>
      <c r="P125" s="5"/>
      <c r="Q125" s="5"/>
      <c r="S125" s="3" t="s">
        <v>102</v>
      </c>
      <c r="T125" s="3">
        <v>0.9</v>
      </c>
      <c r="U125" s="3">
        <v>0.5</v>
      </c>
      <c r="V125" s="3">
        <v>0.6</v>
      </c>
      <c r="W125" s="3">
        <v>0.96</v>
      </c>
      <c r="X125" s="7">
        <v>688.150757</v>
      </c>
      <c r="Y125" s="3">
        <v>1.2999999999999999E-2</v>
      </c>
      <c r="AA125" s="3" t="s">
        <v>102</v>
      </c>
      <c r="AB125" s="3">
        <v>0.4</v>
      </c>
      <c r="AC125" s="6">
        <v>628.10675000000003</v>
      </c>
      <c r="AD125" s="3">
        <v>3.0000000000000001E-3</v>
      </c>
      <c r="AE125" s="3">
        <f t="shared" si="13"/>
        <v>0.67999999999999994</v>
      </c>
      <c r="AF125" s="5"/>
      <c r="AG125" s="5"/>
      <c r="AH125" s="5"/>
      <c r="AI125" s="5"/>
      <c r="AK125" s="3" t="s">
        <v>103</v>
      </c>
      <c r="AL125" s="3">
        <v>0.9</v>
      </c>
      <c r="AM125" s="3">
        <v>0.5</v>
      </c>
      <c r="AN125" s="3">
        <v>0.6</v>
      </c>
      <c r="AO125" s="3">
        <v>0.94</v>
      </c>
      <c r="AP125" s="7">
        <v>1016.879944</v>
      </c>
      <c r="AQ125" s="3">
        <v>1.7000000000000001E-2</v>
      </c>
      <c r="AS125" s="3" t="s">
        <v>103</v>
      </c>
      <c r="AT125" s="3">
        <v>0.36</v>
      </c>
      <c r="AU125" s="6">
        <v>906.92010500000004</v>
      </c>
      <c r="AV125" s="3">
        <v>2E-3</v>
      </c>
      <c r="AW125" s="3">
        <f t="shared" si="14"/>
        <v>0.64999999999999991</v>
      </c>
      <c r="AX125" s="5"/>
      <c r="AY125" s="5"/>
      <c r="AZ125" s="5"/>
      <c r="BA125" s="5"/>
      <c r="BC125" s="3" t="s">
        <v>103</v>
      </c>
      <c r="BD125" s="3">
        <v>0.9</v>
      </c>
      <c r="BE125" s="3">
        <v>0.5</v>
      </c>
      <c r="BF125" s="3">
        <v>0.6</v>
      </c>
      <c r="BG125" s="3">
        <v>0.39</v>
      </c>
      <c r="BH125" s="7">
        <v>897.47271699999999</v>
      </c>
      <c r="BI125" s="3">
        <v>1.4999999999999999E-2</v>
      </c>
      <c r="BK125" s="3" t="s">
        <v>103</v>
      </c>
      <c r="BL125" s="3">
        <v>0.77</v>
      </c>
      <c r="BM125" s="6">
        <v>986.165344</v>
      </c>
      <c r="BN125" s="3">
        <v>2E-3</v>
      </c>
      <c r="BO125" s="3">
        <f t="shared" si="15"/>
        <v>0.58000000000000007</v>
      </c>
    </row>
    <row r="126" spans="1:67" x14ac:dyDescent="0.3">
      <c r="A126" s="3" t="s">
        <v>104</v>
      </c>
      <c r="B126" s="3">
        <v>0.9</v>
      </c>
      <c r="C126" s="3">
        <v>0.5</v>
      </c>
      <c r="D126" s="3">
        <v>0.6</v>
      </c>
      <c r="E126" s="3">
        <v>0.82</v>
      </c>
      <c r="F126" s="7">
        <v>681.259277</v>
      </c>
      <c r="G126" s="3">
        <v>0.01</v>
      </c>
      <c r="I126" s="3" t="s">
        <v>104</v>
      </c>
      <c r="J126" s="3">
        <v>0.93</v>
      </c>
      <c r="K126" s="6">
        <v>677.41241500000001</v>
      </c>
      <c r="L126" s="3">
        <v>2E-3</v>
      </c>
      <c r="M126" s="3">
        <f t="shared" si="12"/>
        <v>0.875</v>
      </c>
      <c r="N126" s="5"/>
      <c r="O126" s="5"/>
      <c r="P126" s="5"/>
      <c r="Q126" s="5"/>
      <c r="S126" s="3" t="s">
        <v>104</v>
      </c>
      <c r="T126" s="3">
        <v>0.9</v>
      </c>
      <c r="U126" s="3">
        <v>0.5</v>
      </c>
      <c r="V126" s="3">
        <v>0.6</v>
      </c>
      <c r="W126" s="3">
        <v>0.39</v>
      </c>
      <c r="X126" s="6">
        <v>603.65136700000005</v>
      </c>
      <c r="Y126" s="3">
        <v>8.9999999999999993E-3</v>
      </c>
      <c r="AA126" s="3" t="s">
        <v>104</v>
      </c>
      <c r="AB126" s="3">
        <v>0.94</v>
      </c>
      <c r="AC126" s="7">
        <v>676.84216300000003</v>
      </c>
      <c r="AD126" s="3">
        <v>2E-3</v>
      </c>
      <c r="AE126" s="3">
        <f t="shared" si="13"/>
        <v>0.66500000000000004</v>
      </c>
      <c r="AF126" s="5"/>
      <c r="AG126" s="5"/>
      <c r="AH126" s="5"/>
      <c r="AI126" s="5"/>
      <c r="AK126" s="3" t="s">
        <v>105</v>
      </c>
      <c r="AL126" s="3">
        <v>0.9</v>
      </c>
      <c r="AM126" s="3">
        <v>0.5</v>
      </c>
      <c r="AN126" s="3">
        <v>0.6</v>
      </c>
      <c r="AO126" s="3">
        <v>0.37</v>
      </c>
      <c r="AP126" s="7">
        <v>1012.917419</v>
      </c>
      <c r="AQ126" s="3">
        <v>2.7E-2</v>
      </c>
      <c r="AS126" s="3" t="s">
        <v>105</v>
      </c>
      <c r="AT126" s="3">
        <v>0.08</v>
      </c>
      <c r="AU126" s="6">
        <v>807.66253700000004</v>
      </c>
      <c r="AV126" s="3">
        <v>3.0000000000000001E-3</v>
      </c>
      <c r="AW126" s="3">
        <f t="shared" si="14"/>
        <v>0.22500000000000001</v>
      </c>
      <c r="AX126" s="5"/>
      <c r="AY126" s="5"/>
      <c r="AZ126" s="5"/>
      <c r="BA126" s="5"/>
      <c r="BC126" s="3" t="s">
        <v>105</v>
      </c>
      <c r="BD126" s="3">
        <v>0.9</v>
      </c>
      <c r="BE126" s="3">
        <v>0.5</v>
      </c>
      <c r="BF126" s="3">
        <v>0.6</v>
      </c>
      <c r="BG126" s="3">
        <v>0.08</v>
      </c>
      <c r="BH126" s="7">
        <v>771.94293200000004</v>
      </c>
      <c r="BI126" s="3">
        <v>0.03</v>
      </c>
      <c r="BK126" s="3" t="s">
        <v>105</v>
      </c>
      <c r="BL126" s="3">
        <v>0.01</v>
      </c>
      <c r="BM126" s="6">
        <v>748.53332499999999</v>
      </c>
      <c r="BN126" s="3">
        <v>3.0000000000000001E-3</v>
      </c>
      <c r="BO126" s="3">
        <f t="shared" si="15"/>
        <v>4.4999999999999998E-2</v>
      </c>
    </row>
    <row r="127" spans="1:67" x14ac:dyDescent="0.3">
      <c r="A127" s="3" t="s">
        <v>106</v>
      </c>
      <c r="B127" s="3">
        <v>0.9</v>
      </c>
      <c r="C127" s="3">
        <v>0.5</v>
      </c>
      <c r="D127" s="3">
        <v>0.6</v>
      </c>
      <c r="E127" s="3">
        <v>0.04</v>
      </c>
      <c r="F127" s="6">
        <v>567.05273399999999</v>
      </c>
      <c r="G127" s="3">
        <v>2.7E-2</v>
      </c>
      <c r="I127" s="3" t="s">
        <v>106</v>
      </c>
      <c r="J127" s="3">
        <v>0.45</v>
      </c>
      <c r="K127" s="7">
        <v>587.49768100000006</v>
      </c>
      <c r="L127" s="3">
        <v>2E-3</v>
      </c>
      <c r="M127" s="3">
        <f t="shared" si="12"/>
        <v>0.245</v>
      </c>
      <c r="N127" s="5"/>
      <c r="O127" s="5"/>
      <c r="P127" s="5"/>
      <c r="Q127" s="5"/>
      <c r="S127" s="3" t="s">
        <v>106</v>
      </c>
      <c r="T127" s="3">
        <v>0.9</v>
      </c>
      <c r="U127" s="3">
        <v>0.5</v>
      </c>
      <c r="V127" s="3">
        <v>0.6</v>
      </c>
      <c r="W127" s="3">
        <v>0.51</v>
      </c>
      <c r="X127" s="7">
        <v>606.734375</v>
      </c>
      <c r="Y127" s="3">
        <v>1.4E-2</v>
      </c>
      <c r="AA127" s="3" t="s">
        <v>106</v>
      </c>
      <c r="AB127" s="3">
        <v>0.48</v>
      </c>
      <c r="AC127" s="6">
        <v>578.84960899999999</v>
      </c>
      <c r="AD127" s="3">
        <v>0</v>
      </c>
      <c r="AE127" s="3">
        <f t="shared" si="13"/>
        <v>0.495</v>
      </c>
      <c r="AF127" s="5"/>
      <c r="AG127" s="5"/>
      <c r="AH127" s="5"/>
      <c r="AI127" s="5"/>
      <c r="AK127" s="3" t="s">
        <v>107</v>
      </c>
      <c r="AL127" s="3">
        <v>0.9</v>
      </c>
      <c r="AM127" s="3">
        <v>0.5</v>
      </c>
      <c r="AN127" s="3">
        <v>0.6</v>
      </c>
      <c r="AO127" s="3">
        <v>0.61</v>
      </c>
      <c r="AP127" s="7">
        <v>1132.849365</v>
      </c>
      <c r="AQ127" s="3">
        <v>0.02</v>
      </c>
      <c r="AS127" s="3" t="s">
        <v>107</v>
      </c>
      <c r="AT127" s="3">
        <v>0.38</v>
      </c>
      <c r="AU127" s="6">
        <v>1033.672607</v>
      </c>
      <c r="AV127" s="3">
        <v>2E-3</v>
      </c>
      <c r="AW127" s="3">
        <f t="shared" si="14"/>
        <v>0.495</v>
      </c>
      <c r="AX127" s="5"/>
      <c r="AY127" s="5"/>
      <c r="AZ127" s="5"/>
      <c r="BA127" s="5"/>
      <c r="BC127" s="3" t="s">
        <v>107</v>
      </c>
      <c r="BD127" s="3">
        <v>0.9</v>
      </c>
      <c r="BE127" s="3">
        <v>0.5</v>
      </c>
      <c r="BF127" s="3">
        <v>0.6</v>
      </c>
      <c r="BG127" s="3">
        <v>7.0000000000000007E-2</v>
      </c>
      <c r="BH127" s="6">
        <v>847.97863800000005</v>
      </c>
      <c r="BI127" s="3">
        <v>2.8000000000000001E-2</v>
      </c>
      <c r="BK127" s="3" t="s">
        <v>107</v>
      </c>
      <c r="BL127" s="3">
        <v>0.26</v>
      </c>
      <c r="BM127" s="7">
        <v>1013.996704</v>
      </c>
      <c r="BN127" s="3">
        <v>1E-3</v>
      </c>
      <c r="BO127" s="3">
        <f t="shared" si="15"/>
        <v>0.16500000000000001</v>
      </c>
    </row>
    <row r="128" spans="1:67" x14ac:dyDescent="0.3">
      <c r="A128" s="3" t="s">
        <v>108</v>
      </c>
      <c r="B128" s="3">
        <v>0.9</v>
      </c>
      <c r="C128" s="3">
        <v>0.5</v>
      </c>
      <c r="D128" s="3">
        <v>0.6</v>
      </c>
      <c r="E128" s="3">
        <v>0.11</v>
      </c>
      <c r="F128" s="6">
        <v>631.16156000000001</v>
      </c>
      <c r="G128" s="3">
        <v>0.01</v>
      </c>
      <c r="I128" s="3" t="s">
        <v>108</v>
      </c>
      <c r="J128" s="3">
        <v>0.78</v>
      </c>
      <c r="K128" s="7">
        <v>644.07665999999995</v>
      </c>
      <c r="L128" s="3">
        <v>2E-3</v>
      </c>
      <c r="M128" s="3">
        <f t="shared" si="12"/>
        <v>0.44500000000000001</v>
      </c>
      <c r="N128" s="5"/>
      <c r="O128" s="5"/>
      <c r="P128" s="5"/>
      <c r="Q128" s="5"/>
      <c r="S128" s="3" t="s">
        <v>108</v>
      </c>
      <c r="T128" s="3">
        <v>0.9</v>
      </c>
      <c r="U128" s="3">
        <v>0.5</v>
      </c>
      <c r="V128" s="3">
        <v>0.6</v>
      </c>
      <c r="W128" s="3">
        <v>0.04</v>
      </c>
      <c r="X128" s="7">
        <v>621.52050799999995</v>
      </c>
      <c r="Y128" s="3">
        <v>8.9999999999999993E-3</v>
      </c>
      <c r="AA128" s="3" t="s">
        <v>108</v>
      </c>
      <c r="AB128" s="3">
        <v>0.51</v>
      </c>
      <c r="AC128" s="6">
        <v>601.261169</v>
      </c>
      <c r="AD128" s="3">
        <v>4.0000000000000001E-3</v>
      </c>
      <c r="AE128" s="3">
        <f t="shared" si="13"/>
        <v>0.27500000000000002</v>
      </c>
      <c r="AF128" s="5"/>
      <c r="AG128" s="5"/>
      <c r="AH128" s="5"/>
      <c r="AI128" s="5"/>
      <c r="AK128" s="3" t="s">
        <v>109</v>
      </c>
      <c r="AL128" s="3">
        <v>0.9</v>
      </c>
      <c r="AM128" s="3">
        <v>0.5</v>
      </c>
      <c r="AN128" s="3">
        <v>0.6</v>
      </c>
      <c r="AO128" s="3">
        <v>0.7</v>
      </c>
      <c r="AP128" s="7">
        <v>1082.5980219999999</v>
      </c>
      <c r="AQ128" s="3">
        <v>0.02</v>
      </c>
      <c r="AS128" s="3" t="s">
        <v>109</v>
      </c>
      <c r="AT128" s="3">
        <v>0.08</v>
      </c>
      <c r="AU128" s="6">
        <v>769.90795900000001</v>
      </c>
      <c r="AV128" s="3">
        <v>8.0000000000000002E-3</v>
      </c>
      <c r="AW128" s="3">
        <f t="shared" si="14"/>
        <v>0.38999999999999996</v>
      </c>
      <c r="AX128" s="5"/>
      <c r="AY128" s="5"/>
      <c r="AZ128" s="5"/>
      <c r="BA128" s="5"/>
      <c r="BC128" s="3" t="s">
        <v>109</v>
      </c>
      <c r="BD128" s="3">
        <v>0.9</v>
      </c>
      <c r="BE128" s="3">
        <v>0.5</v>
      </c>
      <c r="BF128" s="3">
        <v>0.6</v>
      </c>
      <c r="BG128" s="3">
        <v>0.66</v>
      </c>
      <c r="BH128" s="7">
        <v>1060.3695070000001</v>
      </c>
      <c r="BI128" s="3">
        <v>2.7E-2</v>
      </c>
      <c r="BK128" s="3" t="s">
        <v>109</v>
      </c>
      <c r="BL128" s="3">
        <v>0.33</v>
      </c>
      <c r="BM128" s="6">
        <v>895.96636999999998</v>
      </c>
      <c r="BN128" s="3">
        <v>3.0000000000000001E-3</v>
      </c>
      <c r="BO128" s="3">
        <f t="shared" si="15"/>
        <v>0.495</v>
      </c>
    </row>
    <row r="129" spans="1:67" x14ac:dyDescent="0.3">
      <c r="A129" s="3" t="s">
        <v>110</v>
      </c>
      <c r="B129" s="3">
        <v>0.9</v>
      </c>
      <c r="C129" s="3">
        <v>0.5</v>
      </c>
      <c r="D129" s="3">
        <v>0.6</v>
      </c>
      <c r="E129" s="3">
        <v>0.46</v>
      </c>
      <c r="F129" s="7">
        <v>632.43878199999995</v>
      </c>
      <c r="G129" s="3">
        <v>8.0000000000000002E-3</v>
      </c>
      <c r="I129" s="3" t="s">
        <v>110</v>
      </c>
      <c r="J129" s="3">
        <v>0.11</v>
      </c>
      <c r="K129" s="6">
        <v>549.57244900000001</v>
      </c>
      <c r="L129" s="3">
        <v>0</v>
      </c>
      <c r="M129" s="3">
        <f t="shared" si="12"/>
        <v>0.28500000000000003</v>
      </c>
      <c r="N129" s="5"/>
      <c r="O129" s="5"/>
      <c r="P129" s="5"/>
      <c r="Q129" s="5"/>
      <c r="S129" s="3" t="s">
        <v>110</v>
      </c>
      <c r="T129" s="3">
        <v>0.9</v>
      </c>
      <c r="U129" s="3">
        <v>0.5</v>
      </c>
      <c r="V129" s="3">
        <v>0.6</v>
      </c>
      <c r="W129" s="3">
        <v>0.95</v>
      </c>
      <c r="X129" s="7">
        <v>677.26556400000004</v>
      </c>
      <c r="Y129" s="3">
        <v>8.9999999999999993E-3</v>
      </c>
      <c r="AA129" s="3" t="s">
        <v>110</v>
      </c>
      <c r="AB129" s="3">
        <v>0.49</v>
      </c>
      <c r="AC129" s="6">
        <v>624.599243</v>
      </c>
      <c r="AD129" s="3">
        <v>4.0000000000000001E-3</v>
      </c>
      <c r="AE129" s="3">
        <f t="shared" si="13"/>
        <v>0.72</v>
      </c>
      <c r="AF129" s="5"/>
      <c r="AG129" s="5"/>
      <c r="AH129" s="5"/>
      <c r="AI129" s="5"/>
      <c r="AK129" s="3" t="s">
        <v>111</v>
      </c>
      <c r="AL129" s="3">
        <v>0.9</v>
      </c>
      <c r="AM129" s="3">
        <v>0.5</v>
      </c>
      <c r="AN129" s="3">
        <v>0.6</v>
      </c>
      <c r="AO129" s="3">
        <v>0.43</v>
      </c>
      <c r="AP129" s="6">
        <v>1059.6791989999999</v>
      </c>
      <c r="AQ129" s="3">
        <v>1.4999999999999999E-2</v>
      </c>
      <c r="AS129" s="3" t="s">
        <v>111</v>
      </c>
      <c r="AT129" s="3">
        <v>0.96</v>
      </c>
      <c r="AU129" s="7">
        <v>1169.4990230000001</v>
      </c>
      <c r="AV129" s="3">
        <v>1E-3</v>
      </c>
      <c r="AW129" s="3">
        <f t="shared" si="14"/>
        <v>0.69499999999999995</v>
      </c>
      <c r="AX129" s="5"/>
      <c r="AY129" s="5"/>
      <c r="AZ129" s="5"/>
      <c r="BA129" s="5"/>
      <c r="BC129" s="3" t="s">
        <v>111</v>
      </c>
      <c r="BD129" s="3">
        <v>0.9</v>
      </c>
      <c r="BE129" s="3">
        <v>0.5</v>
      </c>
      <c r="BF129" s="3">
        <v>0.6</v>
      </c>
      <c r="BG129" s="3">
        <v>0.57999999999999996</v>
      </c>
      <c r="BH129" s="7">
        <v>1087.7322999999999</v>
      </c>
      <c r="BI129" s="3">
        <v>2.8000000000000001E-2</v>
      </c>
      <c r="BK129" s="3" t="s">
        <v>111</v>
      </c>
      <c r="BL129" s="3">
        <v>0.08</v>
      </c>
      <c r="BM129" s="6">
        <v>814.37792999999999</v>
      </c>
      <c r="BN129" s="3">
        <v>3.0000000000000001E-3</v>
      </c>
      <c r="BO129" s="3">
        <f t="shared" si="15"/>
        <v>0.32999999999999996</v>
      </c>
    </row>
    <row r="130" spans="1:67" x14ac:dyDescent="0.3">
      <c r="A130" s="3" t="s">
        <v>112</v>
      </c>
      <c r="B130" s="3">
        <v>0.9</v>
      </c>
      <c r="C130" s="3">
        <v>0.5</v>
      </c>
      <c r="D130" s="3">
        <v>0.6</v>
      </c>
      <c r="E130" s="3">
        <v>0.93</v>
      </c>
      <c r="F130" s="7">
        <v>567.92407200000002</v>
      </c>
      <c r="G130" s="3">
        <v>1.4999999999999999E-2</v>
      </c>
      <c r="I130" s="3" t="s">
        <v>112</v>
      </c>
      <c r="J130" s="3">
        <v>0.64</v>
      </c>
      <c r="K130" s="6">
        <v>545.08715800000004</v>
      </c>
      <c r="L130" s="3">
        <v>7.0000000000000001E-3</v>
      </c>
      <c r="M130" s="3">
        <f t="shared" si="12"/>
        <v>0.78500000000000003</v>
      </c>
      <c r="N130" s="5"/>
      <c r="O130" s="5"/>
      <c r="P130" s="5"/>
      <c r="Q130" s="5"/>
      <c r="S130" s="3" t="s">
        <v>112</v>
      </c>
      <c r="T130" s="3">
        <v>0.9</v>
      </c>
      <c r="U130" s="3">
        <v>0.5</v>
      </c>
      <c r="V130" s="3">
        <v>0.6</v>
      </c>
      <c r="W130" s="3">
        <v>0.87</v>
      </c>
      <c r="X130" s="7">
        <v>483.83502199999998</v>
      </c>
      <c r="Y130" s="3">
        <v>8.9999999999999993E-3</v>
      </c>
      <c r="AA130" s="3" t="s">
        <v>112</v>
      </c>
      <c r="AB130" s="3">
        <v>0.65</v>
      </c>
      <c r="AC130" s="6">
        <v>475.39434799999998</v>
      </c>
      <c r="AD130" s="3">
        <v>1E-3</v>
      </c>
      <c r="AE130" s="3">
        <f t="shared" si="13"/>
        <v>0.76</v>
      </c>
      <c r="AF130" s="5"/>
      <c r="AG130" s="5"/>
      <c r="AH130" s="5"/>
      <c r="AI130" s="5"/>
      <c r="AK130" s="3" t="s">
        <v>113</v>
      </c>
      <c r="AL130" s="3">
        <v>0.9</v>
      </c>
      <c r="AM130" s="3">
        <v>0.5</v>
      </c>
      <c r="AN130" s="3">
        <v>0.6</v>
      </c>
      <c r="AO130" s="3">
        <v>0.17</v>
      </c>
      <c r="AP130" s="7">
        <v>848.05676300000005</v>
      </c>
      <c r="AQ130" s="3">
        <v>1.4999999999999999E-2</v>
      </c>
      <c r="AS130" s="3" t="s">
        <v>113</v>
      </c>
      <c r="AT130" s="3">
        <v>0.04</v>
      </c>
      <c r="AU130" s="6">
        <v>794.62591599999996</v>
      </c>
      <c r="AV130" s="3">
        <v>1E-3</v>
      </c>
      <c r="AW130" s="3">
        <f t="shared" si="14"/>
        <v>0.10500000000000001</v>
      </c>
      <c r="AX130" s="5"/>
      <c r="AY130" s="5"/>
      <c r="AZ130" s="5"/>
      <c r="BA130" s="5"/>
      <c r="BC130" s="3" t="s">
        <v>113</v>
      </c>
      <c r="BD130" s="3">
        <v>0.9</v>
      </c>
      <c r="BE130" s="3">
        <v>0.5</v>
      </c>
      <c r="BF130" s="3">
        <v>0.6</v>
      </c>
      <c r="BG130" s="3">
        <v>0.1</v>
      </c>
      <c r="BH130" s="7">
        <v>777.264771</v>
      </c>
      <c r="BI130" s="3">
        <v>1.4E-2</v>
      </c>
      <c r="BK130" s="3" t="s">
        <v>113</v>
      </c>
      <c r="BL130" s="3">
        <v>0.11</v>
      </c>
      <c r="BM130" s="6">
        <v>775.525757</v>
      </c>
      <c r="BN130" s="3">
        <v>8.9999999999999993E-3</v>
      </c>
      <c r="BO130" s="3">
        <f t="shared" si="15"/>
        <v>0.10500000000000001</v>
      </c>
    </row>
    <row r="131" spans="1:67" x14ac:dyDescent="0.3">
      <c r="A131" s="3" t="s">
        <v>114</v>
      </c>
      <c r="B131" s="3">
        <v>0.9</v>
      </c>
      <c r="C131" s="3">
        <v>0.5</v>
      </c>
      <c r="D131" s="3">
        <v>0.6</v>
      </c>
      <c r="E131" s="3">
        <v>0.74</v>
      </c>
      <c r="F131" s="6">
        <v>700.677368</v>
      </c>
      <c r="G131" s="3">
        <v>7.0000000000000001E-3</v>
      </c>
      <c r="I131" s="3" t="s">
        <v>114</v>
      </c>
      <c r="J131" s="3">
        <v>0.93</v>
      </c>
      <c r="K131" s="7">
        <v>709.56268299999999</v>
      </c>
      <c r="L131" s="3">
        <v>6.0000000000000001E-3</v>
      </c>
      <c r="M131" s="3">
        <f t="shared" si="12"/>
        <v>0.83499999999999996</v>
      </c>
      <c r="N131" s="5"/>
      <c r="O131" s="5"/>
      <c r="P131" s="5"/>
      <c r="Q131" s="5"/>
      <c r="S131" s="3" t="s">
        <v>114</v>
      </c>
      <c r="T131" s="3">
        <v>0.9</v>
      </c>
      <c r="U131" s="3">
        <v>0.5</v>
      </c>
      <c r="V131" s="3">
        <v>0.6</v>
      </c>
      <c r="W131" s="3">
        <v>0.4</v>
      </c>
      <c r="X131" s="6">
        <v>621.85406499999999</v>
      </c>
      <c r="Y131" s="3">
        <v>7.0000000000000001E-3</v>
      </c>
      <c r="AA131" s="3" t="s">
        <v>114</v>
      </c>
      <c r="AB131" s="3">
        <v>0.44</v>
      </c>
      <c r="AC131" s="7">
        <v>639.32220500000005</v>
      </c>
      <c r="AD131" s="3">
        <v>0</v>
      </c>
      <c r="AE131" s="3">
        <f t="shared" si="13"/>
        <v>0.42000000000000004</v>
      </c>
      <c r="AF131" s="5"/>
      <c r="AG131" s="5"/>
      <c r="AH131" s="5"/>
      <c r="AI131" s="5"/>
      <c r="AK131" s="3" t="s">
        <v>115</v>
      </c>
      <c r="AL131" s="3">
        <v>0.9</v>
      </c>
      <c r="AM131" s="3">
        <v>0.5</v>
      </c>
      <c r="AN131" s="3">
        <v>0.6</v>
      </c>
      <c r="AO131" s="3">
        <v>0.89</v>
      </c>
      <c r="AP131" s="7">
        <v>1329.1936040000001</v>
      </c>
      <c r="AQ131" s="3">
        <v>1.6E-2</v>
      </c>
      <c r="AS131" s="3" t="s">
        <v>115</v>
      </c>
      <c r="AT131" s="3">
        <v>0.22</v>
      </c>
      <c r="AU131" s="6">
        <v>965.44226100000003</v>
      </c>
      <c r="AV131" s="3">
        <v>1E-3</v>
      </c>
      <c r="AW131" s="3">
        <f t="shared" si="14"/>
        <v>0.55500000000000005</v>
      </c>
      <c r="AX131" s="5"/>
      <c r="AY131" s="5"/>
      <c r="AZ131" s="5"/>
      <c r="BA131" s="5"/>
      <c r="BC131" s="3" t="s">
        <v>115</v>
      </c>
      <c r="BD131" s="3">
        <v>0.9</v>
      </c>
      <c r="BE131" s="3">
        <v>0.5</v>
      </c>
      <c r="BF131" s="3">
        <v>0.6</v>
      </c>
      <c r="BG131" s="3">
        <v>0.56999999999999995</v>
      </c>
      <c r="BH131" s="6">
        <v>1185.1110839999999</v>
      </c>
      <c r="BI131" s="3">
        <v>3.2000000000000001E-2</v>
      </c>
      <c r="BK131" s="3" t="s">
        <v>115</v>
      </c>
      <c r="BL131" s="3">
        <v>0.95</v>
      </c>
      <c r="BM131" s="7">
        <v>1321.114746</v>
      </c>
      <c r="BN131" s="3">
        <v>4.0000000000000001E-3</v>
      </c>
      <c r="BO131" s="3">
        <f t="shared" si="15"/>
        <v>0.76</v>
      </c>
    </row>
    <row r="132" spans="1:67" x14ac:dyDescent="0.3">
      <c r="A132" s="3" t="s">
        <v>116</v>
      </c>
      <c r="B132" s="3">
        <v>0.9</v>
      </c>
      <c r="C132" s="3">
        <v>0.5</v>
      </c>
      <c r="D132" s="3">
        <v>0.6</v>
      </c>
      <c r="E132" s="3">
        <v>0.13</v>
      </c>
      <c r="F132" s="6">
        <v>627.33325200000002</v>
      </c>
      <c r="G132" s="3">
        <v>2.5999999999999999E-2</v>
      </c>
      <c r="I132" s="3" t="s">
        <v>116</v>
      </c>
      <c r="J132" s="3">
        <v>0.59</v>
      </c>
      <c r="K132" s="7">
        <v>683.91918899999996</v>
      </c>
      <c r="L132" s="3">
        <v>1E-3</v>
      </c>
      <c r="M132" s="3">
        <f t="shared" si="12"/>
        <v>0.36</v>
      </c>
      <c r="N132" s="5"/>
      <c r="O132" s="5"/>
      <c r="P132" s="5"/>
      <c r="Q132" s="5"/>
      <c r="S132" s="3" t="s">
        <v>116</v>
      </c>
      <c r="T132" s="3">
        <v>0.9</v>
      </c>
      <c r="U132" s="3">
        <v>0.5</v>
      </c>
      <c r="V132" s="3">
        <v>0.6</v>
      </c>
      <c r="W132" s="3">
        <v>0.54</v>
      </c>
      <c r="X132" s="6">
        <v>667.867615</v>
      </c>
      <c r="Y132" s="3">
        <v>1.2E-2</v>
      </c>
      <c r="AA132" s="3" t="s">
        <v>116</v>
      </c>
      <c r="AB132" s="3">
        <v>0.61</v>
      </c>
      <c r="AC132" s="7">
        <v>670.76818800000001</v>
      </c>
      <c r="AD132" s="3">
        <v>3.0000000000000001E-3</v>
      </c>
      <c r="AE132" s="3">
        <f t="shared" si="13"/>
        <v>0.57499999999999996</v>
      </c>
      <c r="AF132" s="5"/>
      <c r="AG132" s="5"/>
      <c r="AH132" s="5"/>
      <c r="AI132" s="5"/>
      <c r="AK132" s="3" t="s">
        <v>117</v>
      </c>
      <c r="AL132" s="3">
        <v>0.9</v>
      </c>
      <c r="AM132" s="3">
        <v>0.5</v>
      </c>
      <c r="AN132" s="3">
        <v>0.6</v>
      </c>
      <c r="AO132" s="3">
        <v>0.88</v>
      </c>
      <c r="AP132" s="7">
        <v>1165.3479</v>
      </c>
      <c r="AQ132" s="3">
        <v>1.7999999999999999E-2</v>
      </c>
      <c r="AS132" s="3" t="s">
        <v>117</v>
      </c>
      <c r="AT132" s="3">
        <v>0.47</v>
      </c>
      <c r="AU132" s="6">
        <v>1059.7463379999999</v>
      </c>
      <c r="AV132" s="3">
        <v>1E-3</v>
      </c>
      <c r="AW132" s="3">
        <f t="shared" si="14"/>
        <v>0.67500000000000004</v>
      </c>
      <c r="AX132" s="5"/>
      <c r="AY132" s="5"/>
      <c r="AZ132" s="5"/>
      <c r="BA132" s="5"/>
      <c r="BC132" s="3" t="s">
        <v>117</v>
      </c>
      <c r="BD132" s="3">
        <v>0.9</v>
      </c>
      <c r="BE132" s="3">
        <v>0.5</v>
      </c>
      <c r="BF132" s="3">
        <v>0.6</v>
      </c>
      <c r="BG132" s="3">
        <v>0.44</v>
      </c>
      <c r="BH132" s="6">
        <v>1029.7346190000001</v>
      </c>
      <c r="BI132" s="3">
        <v>2.1999999999999999E-2</v>
      </c>
      <c r="BK132" s="3" t="s">
        <v>117</v>
      </c>
      <c r="BL132" s="3">
        <v>0.78</v>
      </c>
      <c r="BM132" s="7">
        <v>1102.0173339999999</v>
      </c>
      <c r="BN132" s="3">
        <v>1.2999999999999999E-2</v>
      </c>
      <c r="BO132" s="3">
        <f t="shared" si="15"/>
        <v>0.61</v>
      </c>
    </row>
    <row r="133" spans="1:67" x14ac:dyDescent="0.3">
      <c r="A133" s="3" t="s">
        <v>118</v>
      </c>
      <c r="B133" s="3">
        <v>0.9</v>
      </c>
      <c r="C133" s="3">
        <v>0.5</v>
      </c>
      <c r="D133" s="3">
        <v>0.6</v>
      </c>
      <c r="E133" s="3">
        <v>0.61</v>
      </c>
      <c r="F133" s="7">
        <v>646.13622999999995</v>
      </c>
      <c r="G133" s="3">
        <v>1.7000000000000001E-2</v>
      </c>
      <c r="I133" s="3" t="s">
        <v>118</v>
      </c>
      <c r="J133" s="3">
        <v>0.6</v>
      </c>
      <c r="K133" s="6">
        <v>637.08648700000003</v>
      </c>
      <c r="L133" s="3">
        <v>6.0000000000000001E-3</v>
      </c>
      <c r="M133" s="3">
        <f t="shared" si="12"/>
        <v>0.60499999999999998</v>
      </c>
      <c r="N133" s="5"/>
      <c r="O133" s="5"/>
      <c r="P133" s="5"/>
      <c r="Q133" s="5"/>
      <c r="S133" s="3" t="s">
        <v>118</v>
      </c>
      <c r="T133" s="3">
        <v>0.9</v>
      </c>
      <c r="U133" s="3">
        <v>0.5</v>
      </c>
      <c r="V133" s="3">
        <v>0.6</v>
      </c>
      <c r="W133" s="3">
        <v>0.28999999999999998</v>
      </c>
      <c r="X133" s="6">
        <v>558.29760699999997</v>
      </c>
      <c r="Y133" s="3">
        <v>2.1000000000000001E-2</v>
      </c>
      <c r="AA133" s="3" t="s">
        <v>118</v>
      </c>
      <c r="AB133" s="3">
        <v>0.81</v>
      </c>
      <c r="AC133" s="7">
        <v>676.54663100000005</v>
      </c>
      <c r="AD133" s="3">
        <v>2E-3</v>
      </c>
      <c r="AE133" s="3">
        <f t="shared" si="13"/>
        <v>0.55000000000000004</v>
      </c>
      <c r="AF133" s="5"/>
      <c r="AG133" s="5"/>
      <c r="AH133" s="5"/>
      <c r="AI133" s="5"/>
      <c r="AK133" s="3" t="s">
        <v>119</v>
      </c>
      <c r="AL133" s="3">
        <v>0.9</v>
      </c>
      <c r="AM133" s="3">
        <v>0.5</v>
      </c>
      <c r="AN133" s="3">
        <v>0.6</v>
      </c>
      <c r="AO133" s="3">
        <v>0.42</v>
      </c>
      <c r="AP133" s="7">
        <v>1066.661255</v>
      </c>
      <c r="AQ133" s="3">
        <v>1.6E-2</v>
      </c>
      <c r="AS133" s="3" t="s">
        <v>119</v>
      </c>
      <c r="AT133" s="3">
        <v>0.03</v>
      </c>
      <c r="AU133" s="6">
        <v>811.43408199999999</v>
      </c>
      <c r="AV133" s="3">
        <v>4.0000000000000001E-3</v>
      </c>
      <c r="AW133" s="3">
        <f t="shared" si="14"/>
        <v>0.22499999999999998</v>
      </c>
      <c r="AX133" s="5"/>
      <c r="AY133" s="5"/>
      <c r="AZ133" s="5"/>
      <c r="BA133" s="5"/>
      <c r="BC133" s="3" t="s">
        <v>119</v>
      </c>
      <c r="BD133" s="3">
        <v>0.9</v>
      </c>
      <c r="BE133" s="3">
        <v>0.5</v>
      </c>
      <c r="BF133" s="3">
        <v>0.6</v>
      </c>
      <c r="BG133" s="3">
        <v>0.13</v>
      </c>
      <c r="BH133" s="6">
        <v>884.73541299999999</v>
      </c>
      <c r="BI133" s="3">
        <v>3.7999999999999999E-2</v>
      </c>
      <c r="BK133" s="3" t="s">
        <v>119</v>
      </c>
      <c r="BL133" s="3">
        <v>0.79</v>
      </c>
      <c r="BM133" s="7">
        <v>1227.3203120000001</v>
      </c>
      <c r="BN133" s="3">
        <v>1.2E-2</v>
      </c>
      <c r="BO133" s="3">
        <f t="shared" si="15"/>
        <v>0.46</v>
      </c>
    </row>
    <row r="134" spans="1:67" x14ac:dyDescent="0.3">
      <c r="A134" s="3" t="s">
        <v>120</v>
      </c>
      <c r="B134" s="3">
        <v>0.9</v>
      </c>
      <c r="C134" s="3">
        <v>0.5</v>
      </c>
      <c r="D134" s="3">
        <v>0.6</v>
      </c>
      <c r="E134" s="3">
        <v>0.2</v>
      </c>
      <c r="F134" s="6">
        <v>699.40936299999998</v>
      </c>
      <c r="G134" s="3">
        <v>1.0999999999999999E-2</v>
      </c>
      <c r="I134" s="3" t="s">
        <v>120</v>
      </c>
      <c r="J134" s="3">
        <v>0.25</v>
      </c>
      <c r="K134" s="7">
        <v>708.94445800000005</v>
      </c>
      <c r="L134" s="3">
        <v>1E-3</v>
      </c>
      <c r="M134" s="3">
        <f t="shared" si="12"/>
        <v>0.22500000000000001</v>
      </c>
      <c r="N134" s="5"/>
      <c r="O134" s="5"/>
      <c r="P134" s="5"/>
      <c r="Q134" s="5"/>
      <c r="S134" s="3" t="s">
        <v>120</v>
      </c>
      <c r="T134" s="3">
        <v>0.9</v>
      </c>
      <c r="U134" s="3">
        <v>0.5</v>
      </c>
      <c r="V134" s="3">
        <v>0.6</v>
      </c>
      <c r="W134" s="3">
        <v>0.3</v>
      </c>
      <c r="X134" s="6">
        <v>700.93688999999995</v>
      </c>
      <c r="Y134" s="3">
        <v>3.2000000000000001E-2</v>
      </c>
      <c r="AA134" s="3" t="s">
        <v>120</v>
      </c>
      <c r="AB134" s="3">
        <v>0.6</v>
      </c>
      <c r="AC134" s="7">
        <v>778.80285600000002</v>
      </c>
      <c r="AD134" s="3">
        <v>0</v>
      </c>
      <c r="AE134" s="3">
        <f t="shared" si="13"/>
        <v>0.44999999999999996</v>
      </c>
      <c r="AF134" s="5"/>
      <c r="AG134" s="5"/>
      <c r="AH134" s="5"/>
      <c r="AI134" s="5"/>
      <c r="AK134" s="3" t="s">
        <v>121</v>
      </c>
      <c r="AL134" s="3">
        <v>0.9</v>
      </c>
      <c r="AM134" s="3">
        <v>0.5</v>
      </c>
      <c r="AN134" s="3">
        <v>0.6</v>
      </c>
      <c r="AO134" s="3">
        <v>0.8</v>
      </c>
      <c r="AP134" s="7">
        <v>1213.7977289999999</v>
      </c>
      <c r="AQ134" s="3">
        <v>1.7999999999999999E-2</v>
      </c>
      <c r="AS134" s="3" t="s">
        <v>121</v>
      </c>
      <c r="AT134" s="3">
        <v>0.14000000000000001</v>
      </c>
      <c r="AU134" s="6">
        <v>919.97344999999996</v>
      </c>
      <c r="AV134" s="3">
        <v>3.0000000000000001E-3</v>
      </c>
      <c r="AW134" s="3">
        <f t="shared" si="14"/>
        <v>0.47000000000000003</v>
      </c>
      <c r="AX134" s="5"/>
      <c r="AY134" s="5"/>
      <c r="AZ134" s="5"/>
      <c r="BA134" s="5"/>
      <c r="BC134" s="3" t="s">
        <v>121</v>
      </c>
      <c r="BD134" s="3">
        <v>0.9</v>
      </c>
      <c r="BE134" s="3">
        <v>0.5</v>
      </c>
      <c r="BF134" s="3">
        <v>0.6</v>
      </c>
      <c r="BG134" s="3">
        <v>0.71</v>
      </c>
      <c r="BH134" s="7">
        <v>1170.6964109999999</v>
      </c>
      <c r="BI134" s="3">
        <v>0.03</v>
      </c>
      <c r="BK134" s="3" t="s">
        <v>121</v>
      </c>
      <c r="BL134" s="3">
        <v>0.53</v>
      </c>
      <c r="BM134" s="6">
        <v>1123.2863769999999</v>
      </c>
      <c r="BN134" s="3">
        <v>5.0000000000000001E-3</v>
      </c>
      <c r="BO134" s="3">
        <f t="shared" si="15"/>
        <v>0.62</v>
      </c>
    </row>
    <row r="135" spans="1:67" x14ac:dyDescent="0.3">
      <c r="A135" s="3" t="s">
        <v>122</v>
      </c>
      <c r="B135" s="3">
        <v>0.9</v>
      </c>
      <c r="C135" s="3">
        <v>0.5</v>
      </c>
      <c r="D135" s="3">
        <v>0.6</v>
      </c>
      <c r="E135" s="3">
        <v>0.4</v>
      </c>
      <c r="F135" s="6">
        <v>672.94775400000003</v>
      </c>
      <c r="G135" s="3">
        <v>1.4999999999999999E-2</v>
      </c>
      <c r="I135" s="3" t="s">
        <v>122</v>
      </c>
      <c r="J135" s="3">
        <v>0.96</v>
      </c>
      <c r="K135" s="7">
        <v>749.63824499999998</v>
      </c>
      <c r="L135" s="3">
        <v>1E-3</v>
      </c>
      <c r="M135" s="3">
        <f t="shared" si="12"/>
        <v>0.67999999999999994</v>
      </c>
      <c r="N135" s="5"/>
      <c r="O135" s="5"/>
      <c r="P135" s="5"/>
      <c r="Q135" s="5"/>
      <c r="S135" s="3" t="s">
        <v>122</v>
      </c>
      <c r="T135" s="3">
        <v>0.9</v>
      </c>
      <c r="U135" s="3">
        <v>0.5</v>
      </c>
      <c r="V135" s="3">
        <v>0.6</v>
      </c>
      <c r="W135" s="3">
        <v>0.56000000000000005</v>
      </c>
      <c r="X135" s="7">
        <v>686.01586899999995</v>
      </c>
      <c r="Y135" s="3">
        <v>8.9999999999999993E-3</v>
      </c>
      <c r="AA135" s="3" t="s">
        <v>122</v>
      </c>
      <c r="AB135" s="3">
        <v>0.23</v>
      </c>
      <c r="AC135" s="6">
        <v>632.67657499999996</v>
      </c>
      <c r="AD135" s="3">
        <v>2E-3</v>
      </c>
      <c r="AE135" s="3">
        <f t="shared" si="13"/>
        <v>0.39500000000000002</v>
      </c>
      <c r="AF135" s="5"/>
      <c r="AG135" s="5"/>
      <c r="AH135" s="5"/>
      <c r="AI135" s="5"/>
      <c r="AK135" s="3" t="s">
        <v>123</v>
      </c>
      <c r="AL135" s="3">
        <v>0.9</v>
      </c>
      <c r="AM135" s="3">
        <v>0.5</v>
      </c>
      <c r="AN135" s="3">
        <v>0.6</v>
      </c>
      <c r="AO135" s="3">
        <v>0.73</v>
      </c>
      <c r="AP135" s="7">
        <v>1186.54126</v>
      </c>
      <c r="AQ135" s="3">
        <v>1.2999999999999999E-2</v>
      </c>
      <c r="AS135" s="3" t="s">
        <v>123</v>
      </c>
      <c r="AT135" s="3">
        <v>0.1</v>
      </c>
      <c r="AU135" s="6">
        <v>844.92382799999996</v>
      </c>
      <c r="AV135" s="3">
        <v>1E-3</v>
      </c>
      <c r="AW135" s="3">
        <f t="shared" si="14"/>
        <v>0.41499999999999998</v>
      </c>
      <c r="AX135" s="5"/>
      <c r="AY135" s="5"/>
      <c r="AZ135" s="5"/>
      <c r="BA135" s="5"/>
      <c r="BC135" s="3" t="s">
        <v>123</v>
      </c>
      <c r="BD135" s="3">
        <v>0.9</v>
      </c>
      <c r="BE135" s="3">
        <v>0.5</v>
      </c>
      <c r="BF135" s="3">
        <v>0.6</v>
      </c>
      <c r="BG135" s="3">
        <v>0.52</v>
      </c>
      <c r="BH135" s="6">
        <v>1087.1441649999999</v>
      </c>
      <c r="BI135" s="3">
        <v>2.3E-2</v>
      </c>
      <c r="BK135" s="3" t="s">
        <v>123</v>
      </c>
      <c r="BL135" s="3">
        <v>0.71</v>
      </c>
      <c r="BM135" s="7">
        <v>1156.8160399999999</v>
      </c>
      <c r="BN135" s="3">
        <v>6.0000000000000001E-3</v>
      </c>
      <c r="BO135" s="3">
        <f t="shared" si="15"/>
        <v>0.61499999999999999</v>
      </c>
    </row>
    <row r="136" spans="1:67" x14ac:dyDescent="0.3">
      <c r="A136" s="3" t="s">
        <v>124</v>
      </c>
      <c r="B136" s="3">
        <v>0.9</v>
      </c>
      <c r="C136" s="3">
        <v>0.5</v>
      </c>
      <c r="D136" s="3">
        <v>0.6</v>
      </c>
      <c r="E136" s="3">
        <v>0.64</v>
      </c>
      <c r="F136" s="6">
        <v>605.87506099999996</v>
      </c>
      <c r="G136" s="3">
        <v>2.1999999999999999E-2</v>
      </c>
      <c r="I136" s="3" t="s">
        <v>124</v>
      </c>
      <c r="J136" s="3">
        <v>0.7</v>
      </c>
      <c r="K136" s="7">
        <v>639.68023700000003</v>
      </c>
      <c r="L136" s="3">
        <v>1E-3</v>
      </c>
      <c r="M136" s="3">
        <f t="shared" si="12"/>
        <v>0.66999999999999993</v>
      </c>
      <c r="N136" s="5"/>
      <c r="O136" s="5"/>
      <c r="P136" s="5"/>
      <c r="Q136" s="5"/>
      <c r="S136" s="3" t="s">
        <v>124</v>
      </c>
      <c r="T136" s="3">
        <v>0.9</v>
      </c>
      <c r="U136" s="3">
        <v>0.5</v>
      </c>
      <c r="V136" s="3">
        <v>0.6</v>
      </c>
      <c r="W136" s="3">
        <v>0.91</v>
      </c>
      <c r="X136" s="7">
        <v>669.73382600000002</v>
      </c>
      <c r="Y136" s="3">
        <v>1.2999999999999999E-2</v>
      </c>
      <c r="AA136" s="3" t="s">
        <v>124</v>
      </c>
      <c r="AB136" s="3">
        <v>0.39</v>
      </c>
      <c r="AC136" s="6">
        <v>569.207581</v>
      </c>
      <c r="AD136" s="3">
        <v>2E-3</v>
      </c>
      <c r="AE136" s="3">
        <f t="shared" si="13"/>
        <v>0.65</v>
      </c>
      <c r="AF136" s="5"/>
      <c r="AG136" s="5"/>
      <c r="AH136" s="5"/>
      <c r="AI136" s="5"/>
      <c r="AK136" s="3" t="s">
        <v>125</v>
      </c>
      <c r="AL136" s="3">
        <v>0.9</v>
      </c>
      <c r="AM136" s="3">
        <v>0.5</v>
      </c>
      <c r="AN136" s="3">
        <v>0.6</v>
      </c>
      <c r="AO136" s="3">
        <v>0.35</v>
      </c>
      <c r="AP136" s="6">
        <v>1083.5902100000001</v>
      </c>
      <c r="AQ136" s="3">
        <v>1.6E-2</v>
      </c>
      <c r="AS136" s="3" t="s">
        <v>125</v>
      </c>
      <c r="AT136" s="3">
        <v>0.82</v>
      </c>
      <c r="AU136" s="7">
        <v>1235.5960689999999</v>
      </c>
      <c r="AV136" s="3">
        <v>5.0000000000000001E-3</v>
      </c>
      <c r="AW136" s="3">
        <f t="shared" si="14"/>
        <v>0.58499999999999996</v>
      </c>
      <c r="AX136" s="5"/>
      <c r="AY136" s="5"/>
      <c r="AZ136" s="5"/>
      <c r="BA136" s="5"/>
      <c r="BC136" s="3" t="s">
        <v>125</v>
      </c>
      <c r="BD136" s="3">
        <v>0.9</v>
      </c>
      <c r="BE136" s="3">
        <v>0.5</v>
      </c>
      <c r="BF136" s="3">
        <v>0.6</v>
      </c>
      <c r="BG136" s="3">
        <v>0.86</v>
      </c>
      <c r="BH136" s="7">
        <v>1258.778442</v>
      </c>
      <c r="BI136" s="3">
        <v>0.03</v>
      </c>
      <c r="BK136" s="3" t="s">
        <v>125</v>
      </c>
      <c r="BL136" s="3">
        <v>0.11</v>
      </c>
      <c r="BM136" s="6">
        <v>921.36779799999999</v>
      </c>
      <c r="BN136" s="3">
        <v>1E-3</v>
      </c>
      <c r="BO136" s="3">
        <f t="shared" si="15"/>
        <v>0.48499999999999999</v>
      </c>
    </row>
    <row r="137" spans="1:67" x14ac:dyDescent="0.3">
      <c r="A137" s="3" t="s">
        <v>126</v>
      </c>
      <c r="B137" s="3">
        <v>0.9</v>
      </c>
      <c r="C137" s="3">
        <v>0.5</v>
      </c>
      <c r="D137" s="3">
        <v>0.6</v>
      </c>
      <c r="E137" s="3">
        <v>0.01</v>
      </c>
      <c r="F137" s="6">
        <v>675.33166500000004</v>
      </c>
      <c r="G137" s="3">
        <v>4.0000000000000001E-3</v>
      </c>
      <c r="I137" s="3" t="s">
        <v>126</v>
      </c>
      <c r="J137" s="3">
        <v>0.99</v>
      </c>
      <c r="K137" s="7">
        <v>745.09057600000006</v>
      </c>
      <c r="L137" s="3">
        <v>1E-3</v>
      </c>
      <c r="M137" s="3">
        <f t="shared" si="12"/>
        <v>0.5</v>
      </c>
      <c r="N137" s="5"/>
      <c r="O137" s="5"/>
      <c r="P137" s="5"/>
      <c r="Q137" s="5"/>
      <c r="S137" s="3" t="s">
        <v>126</v>
      </c>
      <c r="T137" s="3">
        <v>0.9</v>
      </c>
      <c r="U137" s="3">
        <v>0.5</v>
      </c>
      <c r="V137" s="3">
        <v>0.6</v>
      </c>
      <c r="W137" s="3">
        <v>0.83</v>
      </c>
      <c r="X137" s="7">
        <v>727.69164999999998</v>
      </c>
      <c r="Y137" s="3">
        <v>1.2999999999999999E-2</v>
      </c>
      <c r="AA137" s="3" t="s">
        <v>126</v>
      </c>
      <c r="AB137" s="3">
        <v>0.7</v>
      </c>
      <c r="AC137" s="6">
        <v>699.85400400000003</v>
      </c>
      <c r="AD137" s="3">
        <v>1E-3</v>
      </c>
      <c r="AE137" s="3">
        <f t="shared" si="13"/>
        <v>0.7649999999999999</v>
      </c>
      <c r="AF137" s="5"/>
      <c r="AG137" s="5"/>
      <c r="AH137" s="5"/>
      <c r="AI137" s="5"/>
      <c r="AK137" s="3" t="s">
        <v>127</v>
      </c>
      <c r="AL137" s="3">
        <v>0.9</v>
      </c>
      <c r="AM137" s="3">
        <v>0.5</v>
      </c>
      <c r="AN137" s="3">
        <v>0.6</v>
      </c>
      <c r="AO137" s="3">
        <v>0.17</v>
      </c>
      <c r="AP137" s="6">
        <v>952.20819100000006</v>
      </c>
      <c r="AQ137" s="3">
        <v>1.4E-2</v>
      </c>
      <c r="AS137" s="3" t="s">
        <v>127</v>
      </c>
      <c r="AT137" s="3">
        <v>0.81</v>
      </c>
      <c r="AU137" s="7">
        <v>1271.596802</v>
      </c>
      <c r="AV137" s="3">
        <v>1E-3</v>
      </c>
      <c r="AW137" s="3">
        <f t="shared" si="14"/>
        <v>0.49000000000000005</v>
      </c>
      <c r="AX137" s="5"/>
      <c r="AY137" s="5"/>
      <c r="AZ137" s="5"/>
      <c r="BA137" s="5"/>
      <c r="BC137" s="3" t="s">
        <v>127</v>
      </c>
      <c r="BD137" s="3">
        <v>0.9</v>
      </c>
      <c r="BE137" s="3">
        <v>0.5</v>
      </c>
      <c r="BF137" s="3">
        <v>0.6</v>
      </c>
      <c r="BG137" s="3">
        <v>0.7</v>
      </c>
      <c r="BH137" s="7">
        <v>1235.036865</v>
      </c>
      <c r="BI137" s="3">
        <v>0.02</v>
      </c>
      <c r="BK137" s="3" t="s">
        <v>127</v>
      </c>
      <c r="BL137" s="3">
        <v>0.53</v>
      </c>
      <c r="BM137" s="6">
        <v>1149.9360349999999</v>
      </c>
      <c r="BN137" s="3">
        <v>1E-3</v>
      </c>
      <c r="BO137" s="3">
        <f t="shared" si="15"/>
        <v>0.61499999999999999</v>
      </c>
    </row>
    <row r="138" spans="1:67" x14ac:dyDescent="0.3">
      <c r="A138" s="3" t="s">
        <v>128</v>
      </c>
      <c r="B138" s="3">
        <v>0.9</v>
      </c>
      <c r="C138" s="3">
        <v>0.5</v>
      </c>
      <c r="D138" s="3">
        <v>0.6</v>
      </c>
      <c r="E138" s="3">
        <v>0.28999999999999998</v>
      </c>
      <c r="F138" s="6">
        <v>603.15130599999998</v>
      </c>
      <c r="G138" s="3">
        <v>1.7999999999999999E-2</v>
      </c>
      <c r="I138" s="3" t="s">
        <v>128</v>
      </c>
      <c r="J138" s="3">
        <v>0.76</v>
      </c>
      <c r="K138" s="7">
        <v>658.20959500000004</v>
      </c>
      <c r="L138" s="3">
        <v>2E-3</v>
      </c>
      <c r="M138" s="3">
        <f t="shared" si="12"/>
        <v>0.52500000000000002</v>
      </c>
      <c r="N138" s="5"/>
      <c r="O138" s="5"/>
      <c r="P138" s="5"/>
      <c r="Q138" s="5"/>
      <c r="S138" s="3" t="s">
        <v>128</v>
      </c>
      <c r="T138" s="3">
        <v>0.9</v>
      </c>
      <c r="U138" s="3">
        <v>0.5</v>
      </c>
      <c r="V138" s="3">
        <v>0.6</v>
      </c>
      <c r="W138" s="3">
        <v>0.84</v>
      </c>
      <c r="X138" s="7">
        <v>695.71398899999997</v>
      </c>
      <c r="Y138" s="3">
        <v>1.7999999999999999E-2</v>
      </c>
      <c r="AA138" s="3" t="s">
        <v>128</v>
      </c>
      <c r="AB138" s="3">
        <v>0.4</v>
      </c>
      <c r="AC138" s="6">
        <v>600.82372999999995</v>
      </c>
      <c r="AD138" s="3">
        <v>1E-3</v>
      </c>
      <c r="AE138" s="3">
        <f t="shared" si="13"/>
        <v>0.62</v>
      </c>
      <c r="AF138" s="5"/>
      <c r="AG138" s="5"/>
      <c r="AH138" s="5"/>
      <c r="AI138" s="5"/>
      <c r="AK138" s="3" t="s">
        <v>129</v>
      </c>
      <c r="AL138" s="3">
        <v>0.9</v>
      </c>
      <c r="AM138" s="3">
        <v>0.5</v>
      </c>
      <c r="AN138" s="3">
        <v>0.6</v>
      </c>
      <c r="AO138" s="3">
        <v>0.28000000000000003</v>
      </c>
      <c r="AP138" s="6">
        <v>998.56829800000003</v>
      </c>
      <c r="AQ138" s="3">
        <v>2.5999999999999999E-2</v>
      </c>
      <c r="AS138" s="3" t="s">
        <v>129</v>
      </c>
      <c r="AT138" s="3">
        <v>0.81</v>
      </c>
      <c r="AU138" s="7">
        <v>1184.7288820000001</v>
      </c>
      <c r="AV138" s="3">
        <v>3.0000000000000001E-3</v>
      </c>
      <c r="AW138" s="3">
        <f t="shared" si="14"/>
        <v>0.54500000000000004</v>
      </c>
      <c r="AX138" s="5"/>
      <c r="AY138" s="5"/>
      <c r="AZ138" s="5"/>
      <c r="BA138" s="5"/>
      <c r="BC138" s="3" t="s">
        <v>129</v>
      </c>
      <c r="BD138" s="3">
        <v>0.9</v>
      </c>
      <c r="BE138" s="3">
        <v>0.5</v>
      </c>
      <c r="BF138" s="3">
        <v>0.6</v>
      </c>
      <c r="BG138" s="3">
        <v>0.49</v>
      </c>
      <c r="BH138" s="6">
        <v>1103.4788820000001</v>
      </c>
      <c r="BI138" s="3">
        <v>4.2999999999999997E-2</v>
      </c>
      <c r="BK138" s="3" t="s">
        <v>129</v>
      </c>
      <c r="BL138" s="3">
        <v>0.76</v>
      </c>
      <c r="BM138" s="7">
        <v>1153.7661129999999</v>
      </c>
      <c r="BN138" s="3">
        <v>2E-3</v>
      </c>
      <c r="BO138" s="3">
        <f t="shared" si="15"/>
        <v>0.625</v>
      </c>
    </row>
    <row r="139" spans="1:67" x14ac:dyDescent="0.3">
      <c r="A139" s="3" t="s">
        <v>130</v>
      </c>
      <c r="B139" s="3">
        <v>0.9</v>
      </c>
      <c r="C139" s="3">
        <v>0.5</v>
      </c>
      <c r="D139" s="3">
        <v>0.6</v>
      </c>
      <c r="E139" s="3">
        <v>0.78</v>
      </c>
      <c r="F139" s="7">
        <v>711.19366500000001</v>
      </c>
      <c r="G139" s="3">
        <v>1.4E-2</v>
      </c>
      <c r="I139" s="3" t="s">
        <v>130</v>
      </c>
      <c r="J139" s="3">
        <v>0.16</v>
      </c>
      <c r="K139" s="6">
        <v>613.77917500000001</v>
      </c>
      <c r="L139" s="3">
        <v>2E-3</v>
      </c>
      <c r="M139" s="3">
        <f t="shared" si="12"/>
        <v>0.47000000000000003</v>
      </c>
      <c r="N139" s="5"/>
      <c r="O139" s="5"/>
      <c r="P139" s="5"/>
      <c r="Q139" s="5"/>
      <c r="S139" s="3" t="s">
        <v>130</v>
      </c>
      <c r="T139" s="3">
        <v>0.9</v>
      </c>
      <c r="U139" s="3">
        <v>0.5</v>
      </c>
      <c r="V139" s="3">
        <v>0.6</v>
      </c>
      <c r="W139" s="3">
        <v>0.74</v>
      </c>
      <c r="X139" s="7">
        <v>724.99737500000003</v>
      </c>
      <c r="Y139" s="3">
        <v>8.0000000000000002E-3</v>
      </c>
      <c r="AA139" s="3" t="s">
        <v>130</v>
      </c>
      <c r="AB139" s="3">
        <v>0.01</v>
      </c>
      <c r="AC139" s="6">
        <v>645.03576699999996</v>
      </c>
      <c r="AD139" s="3">
        <v>1E-3</v>
      </c>
      <c r="AE139" s="3">
        <f t="shared" si="13"/>
        <v>0.375</v>
      </c>
      <c r="AF139" s="5"/>
      <c r="AG139" s="5"/>
      <c r="AH139" s="5"/>
      <c r="AI139" s="5"/>
      <c r="AK139" s="3" t="s">
        <v>131</v>
      </c>
      <c r="AL139" s="3">
        <v>0.9</v>
      </c>
      <c r="AM139" s="3">
        <v>0.5</v>
      </c>
      <c r="AN139" s="3">
        <v>0.6</v>
      </c>
      <c r="AO139" s="3">
        <v>0.06</v>
      </c>
      <c r="AP139" s="6">
        <v>827.73364300000003</v>
      </c>
      <c r="AQ139" s="3">
        <v>0.04</v>
      </c>
      <c r="AS139" s="3" t="s">
        <v>131</v>
      </c>
      <c r="AT139" s="3">
        <v>0.64</v>
      </c>
      <c r="AU139" s="7">
        <v>1227.9140620000001</v>
      </c>
      <c r="AV139" s="3">
        <v>2E-3</v>
      </c>
      <c r="AW139" s="3">
        <f t="shared" si="14"/>
        <v>0.35</v>
      </c>
      <c r="AX139" s="5"/>
      <c r="AY139" s="5"/>
      <c r="AZ139" s="5"/>
      <c r="BA139" s="5"/>
      <c r="BC139" s="3" t="s">
        <v>131</v>
      </c>
      <c r="BD139" s="3">
        <v>0.9</v>
      </c>
      <c r="BE139" s="3">
        <v>0.5</v>
      </c>
      <c r="BF139" s="3">
        <v>0.6</v>
      </c>
      <c r="BG139" s="3">
        <v>0.36</v>
      </c>
      <c r="BH139" s="6">
        <v>1056.5792240000001</v>
      </c>
      <c r="BI139" s="3">
        <v>1.4999999999999999E-2</v>
      </c>
      <c r="BK139" s="3" t="s">
        <v>131</v>
      </c>
      <c r="BL139" s="3">
        <v>0.69</v>
      </c>
      <c r="BM139" s="7">
        <v>1224.443115</v>
      </c>
      <c r="BN139" s="3">
        <v>1E-3</v>
      </c>
      <c r="BO139" s="3">
        <f t="shared" si="15"/>
        <v>0.52499999999999991</v>
      </c>
    </row>
    <row r="140" spans="1:67" x14ac:dyDescent="0.3">
      <c r="A140" s="3" t="s">
        <v>132</v>
      </c>
      <c r="B140" s="3">
        <v>0.9</v>
      </c>
      <c r="C140" s="3">
        <v>0.5</v>
      </c>
      <c r="D140" s="3">
        <v>0.6</v>
      </c>
      <c r="E140" s="3">
        <v>0.78</v>
      </c>
      <c r="F140" s="7">
        <v>671.89349400000003</v>
      </c>
      <c r="G140" s="3">
        <v>1.0999999999999999E-2</v>
      </c>
      <c r="I140" s="3" t="s">
        <v>132</v>
      </c>
      <c r="J140" s="3">
        <v>0.01</v>
      </c>
      <c r="K140" s="6">
        <v>571.25732400000004</v>
      </c>
      <c r="L140" s="3">
        <v>1E-3</v>
      </c>
      <c r="M140" s="3">
        <f t="shared" si="12"/>
        <v>0.39500000000000002</v>
      </c>
      <c r="N140" s="5"/>
      <c r="O140" s="5"/>
      <c r="P140" s="5"/>
      <c r="Q140" s="5"/>
      <c r="S140" s="3" t="s">
        <v>132</v>
      </c>
      <c r="T140" s="3">
        <v>0.9</v>
      </c>
      <c r="U140" s="3">
        <v>0.5</v>
      </c>
      <c r="V140" s="3">
        <v>0.6</v>
      </c>
      <c r="W140" s="3">
        <v>0.46</v>
      </c>
      <c r="X140" s="6">
        <v>578.05206299999998</v>
      </c>
      <c r="Y140" s="3">
        <v>1.4999999999999999E-2</v>
      </c>
      <c r="AA140" s="3" t="s">
        <v>132</v>
      </c>
      <c r="AB140" s="3">
        <v>0.71</v>
      </c>
      <c r="AC140" s="7">
        <v>663.23101799999995</v>
      </c>
      <c r="AD140" s="3">
        <v>1E-3</v>
      </c>
      <c r="AE140" s="3">
        <f t="shared" si="13"/>
        <v>0.58499999999999996</v>
      </c>
      <c r="AF140" s="5"/>
      <c r="AG140" s="5"/>
      <c r="AH140" s="5"/>
      <c r="AI140" s="5"/>
      <c r="AK140" s="3" t="s">
        <v>133</v>
      </c>
      <c r="AL140" s="3">
        <v>0.9</v>
      </c>
      <c r="AM140" s="3">
        <v>0.5</v>
      </c>
      <c r="AN140" s="3">
        <v>0.6</v>
      </c>
      <c r="AO140" s="3">
        <v>0.62</v>
      </c>
      <c r="AP140" s="7">
        <v>1226.810669</v>
      </c>
      <c r="AQ140" s="3">
        <v>1.4999999999999999E-2</v>
      </c>
      <c r="AS140" s="3" t="s">
        <v>133</v>
      </c>
      <c r="AT140" s="3">
        <v>0.27</v>
      </c>
      <c r="AU140" s="6">
        <v>1044.77124</v>
      </c>
      <c r="AV140" s="3">
        <v>1E-3</v>
      </c>
      <c r="AW140" s="3">
        <f t="shared" si="14"/>
        <v>0.44500000000000001</v>
      </c>
      <c r="AX140" s="5"/>
      <c r="AY140" s="5"/>
      <c r="AZ140" s="5"/>
      <c r="BA140" s="5"/>
      <c r="BC140" s="3" t="s">
        <v>133</v>
      </c>
      <c r="BD140" s="3">
        <v>0.9</v>
      </c>
      <c r="BE140" s="3">
        <v>0.5</v>
      </c>
      <c r="BF140" s="3">
        <v>0.6</v>
      </c>
      <c r="BG140" s="3">
        <v>0.71</v>
      </c>
      <c r="BH140" s="6">
        <v>1260.91272</v>
      </c>
      <c r="BI140" s="3">
        <v>3.2000000000000001E-2</v>
      </c>
      <c r="BK140" s="3" t="s">
        <v>133</v>
      </c>
      <c r="BL140" s="3">
        <v>0.83</v>
      </c>
      <c r="BM140" s="7">
        <v>1276.8916019999999</v>
      </c>
      <c r="BN140" s="3">
        <v>4.0000000000000001E-3</v>
      </c>
      <c r="BO140" s="3">
        <f t="shared" si="15"/>
        <v>0.77</v>
      </c>
    </row>
    <row r="141" spans="1:67" x14ac:dyDescent="0.3">
      <c r="A141" s="9" t="s">
        <v>316</v>
      </c>
      <c r="E141" s="9">
        <f>AVERAGE(E111:E140)</f>
        <v>0.42599999999999993</v>
      </c>
      <c r="I141" s="9" t="s">
        <v>316</v>
      </c>
      <c r="J141" s="9">
        <f>AVERAGE(J111:J140)</f>
        <v>0.5106666666666666</v>
      </c>
      <c r="M141" s="5"/>
      <c r="N141" s="5"/>
      <c r="O141" s="5"/>
      <c r="P141" s="5"/>
      <c r="Q141" s="5"/>
      <c r="S141" s="9" t="s">
        <v>316</v>
      </c>
      <c r="W141" s="9">
        <f>AVERAGE(W111:W140)</f>
        <v>0.54899999999999993</v>
      </c>
      <c r="AA141" s="9" t="s">
        <v>316</v>
      </c>
      <c r="AB141" s="9">
        <f>AVERAGE(AB111:AB140)</f>
        <v>0.53033333333333332</v>
      </c>
      <c r="AE141" s="5"/>
      <c r="AF141" s="5"/>
      <c r="AG141" s="5"/>
      <c r="AH141" s="5"/>
      <c r="AI141" s="5"/>
      <c r="AK141" s="9" t="s">
        <v>316</v>
      </c>
      <c r="AO141" s="9">
        <f>AVERAGE(AO111:AO140)</f>
        <v>0.53766666666666674</v>
      </c>
      <c r="AS141" s="9" t="s">
        <v>316</v>
      </c>
      <c r="AT141" s="9">
        <f>AVERAGE(AT111:AT140)</f>
        <v>0.39833333333333337</v>
      </c>
      <c r="AW141" s="5"/>
      <c r="AX141" s="5"/>
      <c r="AY141" s="5"/>
      <c r="AZ141" s="5"/>
      <c r="BA141" s="5"/>
      <c r="BC141" s="9" t="s">
        <v>316</v>
      </c>
      <c r="BG141" s="9">
        <f>AVERAGE(BG111:BG140)</f>
        <v>0.49133333333333329</v>
      </c>
      <c r="BK141" s="9" t="s">
        <v>316</v>
      </c>
      <c r="BL141" s="9">
        <f>AVERAGE(BL111:BL140)</f>
        <v>0.48866666666666653</v>
      </c>
      <c r="BO141" s="5"/>
    </row>
    <row r="142" spans="1:67" x14ac:dyDescent="0.3">
      <c r="M142" s="5"/>
      <c r="N142" s="5"/>
      <c r="O142" s="5"/>
      <c r="P142" s="5"/>
      <c r="Q142" s="5"/>
      <c r="AE142" s="5"/>
      <c r="AF142" s="5"/>
      <c r="AG142" s="5"/>
      <c r="AH142" s="5"/>
      <c r="AI142" s="5"/>
      <c r="AW142" s="5"/>
      <c r="AX142" s="5"/>
      <c r="AY142" s="5"/>
      <c r="AZ142" s="5"/>
      <c r="BA142" s="5"/>
      <c r="BO142" s="5"/>
    </row>
    <row r="143" spans="1:67" x14ac:dyDescent="0.3">
      <c r="M143" s="5"/>
      <c r="N143" s="5"/>
      <c r="O143" s="5"/>
      <c r="P143" s="5"/>
      <c r="Q143" s="5"/>
      <c r="AE143" s="5"/>
      <c r="AF143" s="5"/>
      <c r="AG143" s="5"/>
      <c r="AH143" s="5"/>
      <c r="AI143" s="5"/>
      <c r="AW143" s="5"/>
      <c r="AX143" s="5"/>
      <c r="AY143" s="5"/>
      <c r="AZ143" s="5"/>
      <c r="BA143" s="5"/>
      <c r="BO143" s="5"/>
    </row>
    <row r="144" spans="1:67" x14ac:dyDescent="0.3">
      <c r="A144" s="20" t="s">
        <v>314</v>
      </c>
      <c r="B144" s="21"/>
      <c r="C144" s="21"/>
      <c r="D144" s="21"/>
      <c r="E144" s="21"/>
      <c r="F144" s="21"/>
      <c r="G144" s="22"/>
      <c r="I144" s="19" t="s">
        <v>315</v>
      </c>
      <c r="J144" s="19"/>
      <c r="K144" s="19"/>
      <c r="L144" s="19"/>
      <c r="M144" s="19"/>
      <c r="N144" s="11"/>
      <c r="O144" s="11"/>
      <c r="P144" s="11"/>
      <c r="Q144" s="11"/>
      <c r="R144" s="13"/>
      <c r="S144" s="19" t="s">
        <v>314</v>
      </c>
      <c r="T144" s="19"/>
      <c r="U144" s="19"/>
      <c r="V144" s="19"/>
      <c r="W144" s="19"/>
      <c r="X144" s="19"/>
      <c r="Y144" s="19"/>
      <c r="AA144" s="20" t="s">
        <v>315</v>
      </c>
      <c r="AB144" s="21"/>
      <c r="AC144" s="21"/>
      <c r="AD144" s="21"/>
      <c r="AE144" s="22"/>
      <c r="AF144" s="11"/>
      <c r="AG144" s="11"/>
      <c r="AH144" s="11"/>
      <c r="AI144" s="11"/>
      <c r="AK144" s="20" t="s">
        <v>314</v>
      </c>
      <c r="AL144" s="21"/>
      <c r="AM144" s="21"/>
      <c r="AN144" s="21"/>
      <c r="AO144" s="21"/>
      <c r="AP144" s="21"/>
      <c r="AQ144" s="22"/>
      <c r="AS144" s="20" t="s">
        <v>315</v>
      </c>
      <c r="AT144" s="21"/>
      <c r="AU144" s="21"/>
      <c r="AV144" s="21"/>
      <c r="AW144" s="22"/>
      <c r="AX144" s="11"/>
      <c r="AY144" s="11"/>
      <c r="AZ144" s="11"/>
      <c r="BA144" s="11"/>
      <c r="BC144" s="20" t="s">
        <v>314</v>
      </c>
      <c r="BD144" s="21"/>
      <c r="BE144" s="21"/>
      <c r="BF144" s="21"/>
      <c r="BG144" s="21"/>
      <c r="BH144" s="21"/>
      <c r="BI144" s="22"/>
      <c r="BK144" s="20" t="s">
        <v>315</v>
      </c>
      <c r="BL144" s="21"/>
      <c r="BM144" s="21"/>
      <c r="BN144" s="21"/>
      <c r="BO144" s="22"/>
    </row>
    <row r="145" spans="1:71" x14ac:dyDescent="0.3">
      <c r="A145" s="3" t="s">
        <v>70</v>
      </c>
      <c r="B145" s="3"/>
      <c r="C145" s="3"/>
      <c r="D145" s="3"/>
      <c r="E145" s="3"/>
      <c r="F145" s="3"/>
      <c r="G145" s="3"/>
      <c r="I145" s="3" t="s">
        <v>70</v>
      </c>
      <c r="J145" s="3"/>
      <c r="K145" s="3"/>
      <c r="L145" s="3"/>
      <c r="M145" s="3"/>
      <c r="N145" s="5"/>
      <c r="O145" s="5"/>
      <c r="P145" s="5"/>
      <c r="Q145" s="5"/>
      <c r="S145" s="3" t="s">
        <v>71</v>
      </c>
      <c r="T145" s="3"/>
      <c r="U145" s="3"/>
      <c r="V145" s="3"/>
      <c r="W145" s="3"/>
      <c r="X145" s="3"/>
      <c r="Y145" s="3"/>
      <c r="AA145" s="3" t="s">
        <v>71</v>
      </c>
      <c r="AB145" s="3"/>
      <c r="AC145" s="3"/>
      <c r="AD145" s="3"/>
      <c r="AE145" s="3"/>
      <c r="AF145" s="3" t="s">
        <v>322</v>
      </c>
      <c r="AG145" s="3" t="s">
        <v>323</v>
      </c>
      <c r="AH145" s="3" t="s">
        <v>322</v>
      </c>
      <c r="AI145" s="3" t="s">
        <v>323</v>
      </c>
      <c r="AK145" s="3" t="s">
        <v>70</v>
      </c>
      <c r="AL145" s="3"/>
      <c r="AM145" s="3"/>
      <c r="AN145" s="3"/>
      <c r="AO145" s="3"/>
      <c r="AP145" s="3"/>
      <c r="AQ145" s="3"/>
      <c r="AS145" s="3" t="s">
        <v>70</v>
      </c>
      <c r="AT145" s="3"/>
      <c r="AU145" s="3"/>
      <c r="AV145" s="3"/>
      <c r="AW145" s="3"/>
      <c r="AX145" s="3" t="s">
        <v>322</v>
      </c>
      <c r="AY145" s="3" t="s">
        <v>323</v>
      </c>
      <c r="AZ145" s="3" t="s">
        <v>322</v>
      </c>
      <c r="BA145" s="3" t="s">
        <v>323</v>
      </c>
      <c r="BC145" s="3" t="s">
        <v>71</v>
      </c>
      <c r="BD145" s="3"/>
      <c r="BE145" s="3"/>
      <c r="BF145" s="3"/>
      <c r="BG145" s="3"/>
      <c r="BH145" s="3"/>
      <c r="BI145" s="3"/>
      <c r="BK145" s="3" t="s">
        <v>71</v>
      </c>
      <c r="BL145" s="3"/>
      <c r="BM145" s="3"/>
      <c r="BN145" s="3"/>
      <c r="BO145" s="3"/>
      <c r="BP145" s="3" t="s">
        <v>322</v>
      </c>
      <c r="BQ145" s="3" t="s">
        <v>323</v>
      </c>
      <c r="BR145" s="3" t="s">
        <v>322</v>
      </c>
      <c r="BS145" s="3" t="s">
        <v>323</v>
      </c>
    </row>
    <row r="146" spans="1:71" x14ac:dyDescent="0.3">
      <c r="A146" s="3" t="s">
        <v>2</v>
      </c>
      <c r="B146" s="3" t="s">
        <v>3</v>
      </c>
      <c r="C146" s="3" t="s">
        <v>4</v>
      </c>
      <c r="D146" s="3" t="s">
        <v>5</v>
      </c>
      <c r="E146" s="3" t="s">
        <v>6</v>
      </c>
      <c r="F146" s="3" t="s">
        <v>7</v>
      </c>
      <c r="G146" s="3" t="s">
        <v>8</v>
      </c>
      <c r="I146" s="3" t="s">
        <v>2</v>
      </c>
      <c r="J146" s="3" t="s">
        <v>6</v>
      </c>
      <c r="K146" s="3" t="s">
        <v>7</v>
      </c>
      <c r="L146" s="3" t="s">
        <v>8</v>
      </c>
      <c r="M146" s="3" t="s">
        <v>9</v>
      </c>
      <c r="N146" s="3" t="s">
        <v>322</v>
      </c>
      <c r="O146" s="3" t="s">
        <v>323</v>
      </c>
      <c r="P146" s="3" t="s">
        <v>322</v>
      </c>
      <c r="Q146" s="3" t="s">
        <v>323</v>
      </c>
      <c r="S146" s="3" t="s">
        <v>2</v>
      </c>
      <c r="T146" s="3" t="s">
        <v>3</v>
      </c>
      <c r="U146" s="3" t="s">
        <v>4</v>
      </c>
      <c r="V146" s="3" t="s">
        <v>5</v>
      </c>
      <c r="W146" s="3" t="s">
        <v>6</v>
      </c>
      <c r="X146" s="3" t="s">
        <v>7</v>
      </c>
      <c r="Y146" s="3" t="s">
        <v>8</v>
      </c>
      <c r="AA146" s="3" t="s">
        <v>2</v>
      </c>
      <c r="AB146" s="3" t="s">
        <v>6</v>
      </c>
      <c r="AC146" s="3" t="s">
        <v>7</v>
      </c>
      <c r="AD146" s="3" t="s">
        <v>8</v>
      </c>
      <c r="AE146" s="3" t="s">
        <v>9</v>
      </c>
      <c r="AF146" s="4" t="s">
        <v>320</v>
      </c>
      <c r="AG146" s="4" t="s">
        <v>320</v>
      </c>
      <c r="AH146" s="4" t="s">
        <v>321</v>
      </c>
      <c r="AI146" s="4" t="s">
        <v>321</v>
      </c>
      <c r="AK146" s="3" t="s">
        <v>2</v>
      </c>
      <c r="AL146" s="3" t="s">
        <v>3</v>
      </c>
      <c r="AM146" s="3" t="s">
        <v>4</v>
      </c>
      <c r="AN146" s="3" t="s">
        <v>5</v>
      </c>
      <c r="AO146" s="3" t="s">
        <v>6</v>
      </c>
      <c r="AP146" s="3" t="s">
        <v>7</v>
      </c>
      <c r="AQ146" s="3" t="s">
        <v>8</v>
      </c>
      <c r="AS146" s="3" t="s">
        <v>2</v>
      </c>
      <c r="AT146" s="3" t="s">
        <v>6</v>
      </c>
      <c r="AU146" s="3" t="s">
        <v>7</v>
      </c>
      <c r="AV146" s="3" t="s">
        <v>8</v>
      </c>
      <c r="AW146" s="3" t="s">
        <v>9</v>
      </c>
      <c r="AX146" s="4" t="s">
        <v>320</v>
      </c>
      <c r="AY146" s="4" t="s">
        <v>320</v>
      </c>
      <c r="AZ146" s="4" t="s">
        <v>321</v>
      </c>
      <c r="BA146" s="4" t="s">
        <v>321</v>
      </c>
      <c r="BC146" s="3" t="s">
        <v>2</v>
      </c>
      <c r="BD146" s="3" t="s">
        <v>3</v>
      </c>
      <c r="BE146" s="3" t="s">
        <v>4</v>
      </c>
      <c r="BF146" s="3" t="s">
        <v>5</v>
      </c>
      <c r="BG146" s="3" t="s">
        <v>6</v>
      </c>
      <c r="BH146" s="3" t="s">
        <v>7</v>
      </c>
      <c r="BI146" s="3" t="s">
        <v>8</v>
      </c>
      <c r="BK146" s="3" t="s">
        <v>2</v>
      </c>
      <c r="BL146" s="3" t="s">
        <v>6</v>
      </c>
      <c r="BM146" s="3" t="s">
        <v>7</v>
      </c>
      <c r="BN146" s="3" t="s">
        <v>8</v>
      </c>
      <c r="BO146" s="3" t="s">
        <v>9</v>
      </c>
      <c r="BP146" s="4" t="s">
        <v>320</v>
      </c>
      <c r="BQ146" s="4" t="s">
        <v>320</v>
      </c>
      <c r="BR146" s="4" t="s">
        <v>321</v>
      </c>
      <c r="BS146" s="4" t="s">
        <v>321</v>
      </c>
    </row>
    <row r="147" spans="1:71" x14ac:dyDescent="0.3">
      <c r="A147" s="3" t="s">
        <v>74</v>
      </c>
      <c r="B147" s="3">
        <v>0.9</v>
      </c>
      <c r="C147" s="3">
        <v>0.5</v>
      </c>
      <c r="D147" s="3">
        <v>0.6</v>
      </c>
      <c r="E147" s="3">
        <v>0.01</v>
      </c>
      <c r="F147" s="6">
        <v>429.75</v>
      </c>
      <c r="G147" s="3">
        <v>2.7E-2</v>
      </c>
      <c r="I147" s="3" t="s">
        <v>74</v>
      </c>
      <c r="J147" s="3">
        <v>0.01</v>
      </c>
      <c r="K147" s="6">
        <v>429.75</v>
      </c>
      <c r="L147" s="3">
        <v>7.0000000000000001E-3</v>
      </c>
      <c r="M147" s="3">
        <f t="shared" ref="M147:M176" si="16">AVERAGE(E147,J147)</f>
        <v>0.01</v>
      </c>
      <c r="N147" s="4" t="s">
        <v>320</v>
      </c>
      <c r="O147" s="4" t="s">
        <v>320</v>
      </c>
      <c r="P147" s="4" t="s">
        <v>321</v>
      </c>
      <c r="Q147" s="4" t="s">
        <v>321</v>
      </c>
      <c r="S147" s="3" t="s">
        <v>74</v>
      </c>
      <c r="T147" s="3">
        <v>0.9</v>
      </c>
      <c r="U147" s="3">
        <v>0.5</v>
      </c>
      <c r="V147" s="3">
        <v>0.6</v>
      </c>
      <c r="W147" s="3">
        <v>0.01</v>
      </c>
      <c r="X147" s="6">
        <v>405.03613300000001</v>
      </c>
      <c r="Y147" s="3">
        <v>3.1E-2</v>
      </c>
      <c r="AA147" s="3" t="s">
        <v>74</v>
      </c>
      <c r="AB147" s="3">
        <v>0.01</v>
      </c>
      <c r="AC147" s="6">
        <v>405.03613300000001</v>
      </c>
      <c r="AD147" s="3">
        <v>8.0000000000000002E-3</v>
      </c>
      <c r="AE147" s="3">
        <f t="shared" ref="AE147:AE176" si="17">AVERAGE(W147,AB147)</f>
        <v>0.01</v>
      </c>
      <c r="AF147" s="3">
        <f>COUNT(X147:X148,X152,X154,X159,X161,X163:X166,X168,X170:X171,X173:X174)</f>
        <v>15</v>
      </c>
      <c r="AG147" s="3">
        <f>COUNT(X149:X151,X153,X155:X158,X160,X162,X167,X169,X172,X175:X176)</f>
        <v>15</v>
      </c>
      <c r="AH147" s="3">
        <f>COUNT(AC147,AC149:AC151,AC153,AC155:AC158,AC160,AC162,AC167,AC169,AC172,AC175:AC176)</f>
        <v>16</v>
      </c>
      <c r="AI147" s="3">
        <f>COUNT(AC148,AC152,AC154,AC159,AC161,AC163:AC166,AC168,AC170:AC171,AC173:AC174)</f>
        <v>14</v>
      </c>
      <c r="AK147" s="3" t="s">
        <v>75</v>
      </c>
      <c r="AL147" s="3">
        <v>0.9</v>
      </c>
      <c r="AM147" s="3">
        <v>0.5</v>
      </c>
      <c r="AN147" s="3">
        <v>0.6</v>
      </c>
      <c r="AO147" s="3">
        <v>0.01</v>
      </c>
      <c r="AP147" s="6">
        <v>685.51715100000001</v>
      </c>
      <c r="AQ147" s="3">
        <v>0.02</v>
      </c>
      <c r="AS147" s="3" t="s">
        <v>75</v>
      </c>
      <c r="AT147" s="3">
        <v>0.01</v>
      </c>
      <c r="AU147" s="6">
        <v>685.51715100000001</v>
      </c>
      <c r="AV147" s="3">
        <v>1E-3</v>
      </c>
      <c r="AW147" s="3">
        <f t="shared" ref="AW147:AW176" si="18">AVERAGE(AO147,AT147)</f>
        <v>0.01</v>
      </c>
      <c r="AX147" s="3">
        <f>COUNT(AP147,AP149:AP151,AP159:AP160,AP162:AP163,AP165,AP168,AP171,AP173:AP176)</f>
        <v>15</v>
      </c>
      <c r="AY147" s="3">
        <f>COUNT(AP148,AP152:AP158,AP161,AP164,AP166:AP167,AP169:AP170,AP172)</f>
        <v>15</v>
      </c>
      <c r="AZ147" s="3">
        <f>COUNT(AU147:AU148,AU152:AU158,AU161,AU164,AU166:AU167,AU169:AU170,AU172)</f>
        <v>16</v>
      </c>
      <c r="BA147" s="3">
        <f>COUNT(AU149:AU151,AU159:AU160,AU162:AU163,AU165,AU168,AU171,AU173:AU176)</f>
        <v>14</v>
      </c>
      <c r="BC147" s="3" t="s">
        <v>75</v>
      </c>
      <c r="BD147" s="3">
        <v>0.9</v>
      </c>
      <c r="BE147" s="3">
        <v>0.5</v>
      </c>
      <c r="BF147" s="3">
        <v>0.6</v>
      </c>
      <c r="BG147" s="3">
        <v>0.01</v>
      </c>
      <c r="BH147" s="6">
        <v>654.31719999999996</v>
      </c>
      <c r="BI147" s="3">
        <v>2.4E-2</v>
      </c>
      <c r="BK147" s="3" t="s">
        <v>75</v>
      </c>
      <c r="BL147" s="3">
        <v>0.01</v>
      </c>
      <c r="BM147" s="6">
        <v>654.31719999999996</v>
      </c>
      <c r="BN147" s="3">
        <v>1.2E-2</v>
      </c>
      <c r="BO147" s="3">
        <f t="shared" ref="BO147:BO176" si="19">AVERAGE(BG147,BL147)</f>
        <v>0.01</v>
      </c>
      <c r="BP147" s="3">
        <f>COUNT(BH147:BH149,BH153,BH155,BH158:BH160,BH162:BH167,BH169:BH170,BH172:BH173,BH175:BH176)</f>
        <v>20</v>
      </c>
      <c r="BQ147" s="3">
        <f>30-BP147</f>
        <v>10</v>
      </c>
      <c r="BR147" s="3">
        <f>COUNT(BM147,BM150:BM152,BM154,BM156:BM157,BM161,BM168,BM171,BM174)</f>
        <v>11</v>
      </c>
      <c r="BS147" s="3">
        <f>30-BR147</f>
        <v>19</v>
      </c>
    </row>
    <row r="148" spans="1:71" x14ac:dyDescent="0.3">
      <c r="A148" s="3" t="s">
        <v>76</v>
      </c>
      <c r="B148" s="3">
        <v>0.9</v>
      </c>
      <c r="C148" s="3">
        <v>0.5</v>
      </c>
      <c r="D148" s="3">
        <v>0.6</v>
      </c>
      <c r="E148" s="3">
        <v>0.77</v>
      </c>
      <c r="F148" s="7">
        <v>492.788544</v>
      </c>
      <c r="G148" s="3">
        <v>1.2999999999999999E-2</v>
      </c>
      <c r="I148" s="3" t="s">
        <v>76</v>
      </c>
      <c r="J148" s="3">
        <v>0.05</v>
      </c>
      <c r="K148" s="6">
        <v>441.840576</v>
      </c>
      <c r="L148" s="3">
        <v>4.0000000000000001E-3</v>
      </c>
      <c r="M148" s="3">
        <f t="shared" si="16"/>
        <v>0.41000000000000003</v>
      </c>
      <c r="N148" s="3">
        <f>COUNT(F147,F149:F150,F152,F155,F157,F161,F163,F165:F171,F173,F175:F176)</f>
        <v>18</v>
      </c>
      <c r="O148" s="3">
        <f>COUNT(F148,F151,F153:F154,F156,F158:F160,F162,F164,F172,F174)</f>
        <v>12</v>
      </c>
      <c r="P148" s="3">
        <f>COUNT(K147:K148,K151,K153:K154,K156,K158:K160,K162,K164,K172,K174)</f>
        <v>13</v>
      </c>
      <c r="Q148" s="3">
        <f>COUNT(K149:K150,K152,K155,K157,K161,K163,K165:K171,K173,K175:K176)</f>
        <v>17</v>
      </c>
      <c r="S148" s="3" t="s">
        <v>76</v>
      </c>
      <c r="T148" s="3">
        <v>0.9</v>
      </c>
      <c r="U148" s="3">
        <v>0.5</v>
      </c>
      <c r="V148" s="3">
        <v>0.6</v>
      </c>
      <c r="W148" s="3">
        <v>0.18</v>
      </c>
      <c r="X148" s="6">
        <v>407.28213499999998</v>
      </c>
      <c r="Y148" s="3">
        <v>2.9000000000000001E-2</v>
      </c>
      <c r="AA148" s="3" t="s">
        <v>76</v>
      </c>
      <c r="AB148" s="3">
        <v>0.96</v>
      </c>
      <c r="AC148" s="7">
        <v>458.50668300000001</v>
      </c>
      <c r="AD148" s="3">
        <v>0</v>
      </c>
      <c r="AE148" s="3">
        <f t="shared" si="17"/>
        <v>0.56999999999999995</v>
      </c>
      <c r="AF148" s="5"/>
      <c r="AG148" s="5"/>
      <c r="AH148" s="5"/>
      <c r="AI148" s="5"/>
      <c r="AK148" s="3" t="s">
        <v>77</v>
      </c>
      <c r="AL148" s="3">
        <v>0.9</v>
      </c>
      <c r="AM148" s="3">
        <v>0.5</v>
      </c>
      <c r="AN148" s="3">
        <v>0.6</v>
      </c>
      <c r="AO148" s="3">
        <v>0.93</v>
      </c>
      <c r="AP148" s="7">
        <v>981.21649200000002</v>
      </c>
      <c r="AQ148" s="3">
        <v>2.5999999999999999E-2</v>
      </c>
      <c r="AS148" s="3" t="s">
        <v>77</v>
      </c>
      <c r="AT148" s="3">
        <v>0.38</v>
      </c>
      <c r="AU148" s="6">
        <v>828.07153300000004</v>
      </c>
      <c r="AV148" s="3">
        <v>3.0000000000000001E-3</v>
      </c>
      <c r="AW148" s="3">
        <f t="shared" si="18"/>
        <v>0.65500000000000003</v>
      </c>
      <c r="AX148" s="5"/>
      <c r="AY148" s="5"/>
      <c r="AZ148" s="5"/>
      <c r="BA148" s="5"/>
      <c r="BC148" s="3" t="s">
        <v>77</v>
      </c>
      <c r="BD148" s="3">
        <v>0.9</v>
      </c>
      <c r="BE148" s="3">
        <v>0.5</v>
      </c>
      <c r="BF148" s="3">
        <v>0.6</v>
      </c>
      <c r="BG148" s="3">
        <v>0.57999999999999996</v>
      </c>
      <c r="BH148" s="6">
        <v>909.81262200000003</v>
      </c>
      <c r="BI148" s="3">
        <v>1.7999999999999999E-2</v>
      </c>
      <c r="BK148" s="3" t="s">
        <v>77</v>
      </c>
      <c r="BL148" s="3">
        <v>0.63</v>
      </c>
      <c r="BM148" s="7">
        <v>938.04199200000005</v>
      </c>
      <c r="BN148" s="3">
        <v>3.0000000000000001E-3</v>
      </c>
      <c r="BO148" s="3">
        <f t="shared" si="19"/>
        <v>0.60499999999999998</v>
      </c>
    </row>
    <row r="149" spans="1:71" x14ac:dyDescent="0.3">
      <c r="A149" s="3" t="s">
        <v>78</v>
      </c>
      <c r="B149" s="3">
        <v>0.9</v>
      </c>
      <c r="C149" s="3">
        <v>0.5</v>
      </c>
      <c r="D149" s="3">
        <v>0.6</v>
      </c>
      <c r="E149" s="3">
        <v>0.35</v>
      </c>
      <c r="F149" s="6">
        <v>436.52801499999998</v>
      </c>
      <c r="G149" s="3">
        <v>1.0999999999999999E-2</v>
      </c>
      <c r="I149" s="3" t="s">
        <v>78</v>
      </c>
      <c r="J149" s="3">
        <v>0.41</v>
      </c>
      <c r="K149" s="7">
        <v>453.58804300000003</v>
      </c>
      <c r="L149" s="3">
        <v>7.0000000000000001E-3</v>
      </c>
      <c r="M149" s="3">
        <f t="shared" si="16"/>
        <v>0.38</v>
      </c>
      <c r="N149" s="5"/>
      <c r="O149" s="5"/>
      <c r="P149" s="5"/>
      <c r="Q149" s="5"/>
      <c r="S149" s="3" t="s">
        <v>78</v>
      </c>
      <c r="T149" s="3">
        <v>0.9</v>
      </c>
      <c r="U149" s="3">
        <v>0.5</v>
      </c>
      <c r="V149" s="3">
        <v>0.6</v>
      </c>
      <c r="W149" s="3">
        <v>0.78</v>
      </c>
      <c r="X149" s="7">
        <v>436.404022</v>
      </c>
      <c r="Y149" s="3">
        <v>8.0000000000000002E-3</v>
      </c>
      <c r="AA149" s="3" t="s">
        <v>78</v>
      </c>
      <c r="AB149" s="3">
        <v>0.03</v>
      </c>
      <c r="AC149" s="6">
        <v>406.43810999999999</v>
      </c>
      <c r="AD149" s="3">
        <v>4.0000000000000001E-3</v>
      </c>
      <c r="AE149" s="3">
        <f t="shared" si="17"/>
        <v>0.40500000000000003</v>
      </c>
      <c r="AF149" s="5"/>
      <c r="AG149" s="5"/>
      <c r="AH149" s="5"/>
      <c r="AI149" s="5"/>
      <c r="AK149" s="3" t="s">
        <v>79</v>
      </c>
      <c r="AL149" s="3">
        <v>0.9</v>
      </c>
      <c r="AM149" s="3">
        <v>0.5</v>
      </c>
      <c r="AN149" s="3">
        <v>0.6</v>
      </c>
      <c r="AO149" s="3">
        <v>0.16</v>
      </c>
      <c r="AP149" s="6">
        <v>703.22216800000001</v>
      </c>
      <c r="AQ149" s="3">
        <v>2.4E-2</v>
      </c>
      <c r="AS149" s="3" t="s">
        <v>79</v>
      </c>
      <c r="AT149" s="3">
        <v>0.68</v>
      </c>
      <c r="AU149" s="7">
        <v>923.95752000000005</v>
      </c>
      <c r="AV149" s="3">
        <v>0</v>
      </c>
      <c r="AW149" s="3">
        <f t="shared" si="18"/>
        <v>0.42000000000000004</v>
      </c>
      <c r="AX149" s="5"/>
      <c r="AY149" s="5"/>
      <c r="AZ149" s="5"/>
      <c r="BA149" s="5"/>
      <c r="BC149" s="3" t="s">
        <v>79</v>
      </c>
      <c r="BD149" s="3">
        <v>0.9</v>
      </c>
      <c r="BE149" s="3">
        <v>0.5</v>
      </c>
      <c r="BF149" s="3">
        <v>0.6</v>
      </c>
      <c r="BG149" s="3">
        <v>0.24</v>
      </c>
      <c r="BH149" s="6">
        <v>715.59814500000005</v>
      </c>
      <c r="BI149" s="3">
        <v>0.01</v>
      </c>
      <c r="BK149" s="3" t="s">
        <v>79</v>
      </c>
      <c r="BL149" s="3">
        <v>0.84</v>
      </c>
      <c r="BM149" s="7">
        <v>903.41339100000005</v>
      </c>
      <c r="BN149" s="3">
        <v>1.6E-2</v>
      </c>
      <c r="BO149" s="3">
        <f t="shared" si="19"/>
        <v>0.54</v>
      </c>
    </row>
    <row r="150" spans="1:71" x14ac:dyDescent="0.3">
      <c r="A150" s="3" t="s">
        <v>80</v>
      </c>
      <c r="B150" s="3">
        <v>0.9</v>
      </c>
      <c r="C150" s="3">
        <v>0.5</v>
      </c>
      <c r="D150" s="3">
        <v>0.6</v>
      </c>
      <c r="E150" s="3">
        <v>0.2</v>
      </c>
      <c r="F150" s="6">
        <v>461.60003699999999</v>
      </c>
      <c r="G150" s="3">
        <v>2.1000000000000001E-2</v>
      </c>
      <c r="I150" s="3" t="s">
        <v>80</v>
      </c>
      <c r="J150" s="3">
        <v>0.43</v>
      </c>
      <c r="K150" s="7">
        <v>482.93777499999999</v>
      </c>
      <c r="L150" s="3">
        <v>1E-3</v>
      </c>
      <c r="M150" s="3">
        <f t="shared" si="16"/>
        <v>0.315</v>
      </c>
      <c r="N150" s="5"/>
      <c r="O150" s="5"/>
      <c r="P150" s="5"/>
      <c r="Q150" s="5"/>
      <c r="S150" s="3" t="s">
        <v>80</v>
      </c>
      <c r="T150" s="3">
        <v>0.9</v>
      </c>
      <c r="U150" s="3">
        <v>0.5</v>
      </c>
      <c r="V150" s="3">
        <v>0.6</v>
      </c>
      <c r="W150" s="3">
        <v>0.7</v>
      </c>
      <c r="X150" s="7">
        <v>470.20062300000001</v>
      </c>
      <c r="Y150" s="3">
        <v>0.01</v>
      </c>
      <c r="AA150" s="3" t="s">
        <v>80</v>
      </c>
      <c r="AB150" s="3">
        <v>0.55000000000000004</v>
      </c>
      <c r="AC150" s="6">
        <v>461.19830300000001</v>
      </c>
      <c r="AD150" s="3">
        <v>0</v>
      </c>
      <c r="AE150" s="3">
        <f t="shared" si="17"/>
        <v>0.625</v>
      </c>
      <c r="AF150" s="5"/>
      <c r="AG150" s="5"/>
      <c r="AH150" s="5"/>
      <c r="AI150" s="5"/>
      <c r="AK150" s="3" t="s">
        <v>81</v>
      </c>
      <c r="AL150" s="3">
        <v>0.9</v>
      </c>
      <c r="AM150" s="3">
        <v>0.5</v>
      </c>
      <c r="AN150" s="3">
        <v>0.6</v>
      </c>
      <c r="AO150" s="3">
        <v>0.39</v>
      </c>
      <c r="AP150" s="6">
        <v>764.69354199999998</v>
      </c>
      <c r="AQ150" s="3">
        <v>2.1999999999999999E-2</v>
      </c>
      <c r="AS150" s="3" t="s">
        <v>81</v>
      </c>
      <c r="AT150" s="3">
        <v>0.49</v>
      </c>
      <c r="AU150" s="7">
        <v>797.12573199999997</v>
      </c>
      <c r="AV150" s="3">
        <v>1E-3</v>
      </c>
      <c r="AW150" s="3">
        <f t="shared" si="18"/>
        <v>0.44</v>
      </c>
      <c r="AX150" s="5"/>
      <c r="AY150" s="5"/>
      <c r="AZ150" s="5"/>
      <c r="BA150" s="5"/>
      <c r="BC150" s="3" t="s">
        <v>81</v>
      </c>
      <c r="BD150" s="3">
        <v>0.9</v>
      </c>
      <c r="BE150" s="3">
        <v>0.5</v>
      </c>
      <c r="BF150" s="3">
        <v>0.6</v>
      </c>
      <c r="BG150" s="3">
        <v>0.38</v>
      </c>
      <c r="BH150" s="7">
        <v>734.790344</v>
      </c>
      <c r="BI150" s="3">
        <v>1.7999999999999999E-2</v>
      </c>
      <c r="BK150" s="3" t="s">
        <v>81</v>
      </c>
      <c r="BL150" s="3">
        <v>0.06</v>
      </c>
      <c r="BM150" s="6">
        <v>642.89703399999996</v>
      </c>
      <c r="BN150" s="3">
        <v>1E-3</v>
      </c>
      <c r="BO150" s="3">
        <f t="shared" si="19"/>
        <v>0.22</v>
      </c>
    </row>
    <row r="151" spans="1:71" x14ac:dyDescent="0.3">
      <c r="A151" s="3" t="s">
        <v>82</v>
      </c>
      <c r="B151" s="3">
        <v>0.9</v>
      </c>
      <c r="C151" s="3">
        <v>0.5</v>
      </c>
      <c r="D151" s="3">
        <v>0.6</v>
      </c>
      <c r="E151" s="3">
        <v>0.96</v>
      </c>
      <c r="F151" s="7">
        <v>516.67425500000002</v>
      </c>
      <c r="G151" s="3">
        <v>6.0000000000000001E-3</v>
      </c>
      <c r="I151" s="3" t="s">
        <v>82</v>
      </c>
      <c r="J151" s="3">
        <v>0.02</v>
      </c>
      <c r="K151" s="6">
        <v>488.78628500000002</v>
      </c>
      <c r="L151" s="3">
        <v>2E-3</v>
      </c>
      <c r="M151" s="3">
        <f t="shared" si="16"/>
        <v>0.49</v>
      </c>
      <c r="N151" s="5"/>
      <c r="O151" s="5"/>
      <c r="P151" s="5"/>
      <c r="Q151" s="5"/>
      <c r="S151" s="3" t="s">
        <v>82</v>
      </c>
      <c r="T151" s="3">
        <v>0.9</v>
      </c>
      <c r="U151" s="3">
        <v>0.5</v>
      </c>
      <c r="V151" s="3">
        <v>0.6</v>
      </c>
      <c r="W151" s="3">
        <v>0.88</v>
      </c>
      <c r="X151" s="7">
        <v>447.766571</v>
      </c>
      <c r="Y151" s="3">
        <v>1.4E-2</v>
      </c>
      <c r="AA151" s="3" t="s">
        <v>82</v>
      </c>
      <c r="AB151" s="3">
        <v>0.08</v>
      </c>
      <c r="AC151" s="6">
        <v>402.18817100000001</v>
      </c>
      <c r="AD151" s="3">
        <v>1E-3</v>
      </c>
      <c r="AE151" s="3">
        <f t="shared" si="17"/>
        <v>0.48</v>
      </c>
      <c r="AF151" s="5"/>
      <c r="AG151" s="5"/>
      <c r="AH151" s="5"/>
      <c r="AI151" s="5"/>
      <c r="AK151" s="3" t="s">
        <v>83</v>
      </c>
      <c r="AL151" s="3">
        <v>0.9</v>
      </c>
      <c r="AM151" s="3">
        <v>0.5</v>
      </c>
      <c r="AN151" s="3">
        <v>0.6</v>
      </c>
      <c r="AO151" s="3">
        <v>0.39</v>
      </c>
      <c r="AP151" s="6">
        <v>797.86962900000003</v>
      </c>
      <c r="AQ151" s="3">
        <v>2.5000000000000001E-2</v>
      </c>
      <c r="AS151" s="3" t="s">
        <v>83</v>
      </c>
      <c r="AT151" s="3">
        <v>0.88</v>
      </c>
      <c r="AU151" s="7">
        <v>929.24957300000005</v>
      </c>
      <c r="AV151" s="3">
        <v>1.7999999999999999E-2</v>
      </c>
      <c r="AW151" s="3">
        <f t="shared" si="18"/>
        <v>0.63500000000000001</v>
      </c>
      <c r="AX151" s="5"/>
      <c r="AY151" s="5"/>
      <c r="AZ151" s="5"/>
      <c r="BA151" s="5"/>
      <c r="BC151" s="3" t="s">
        <v>83</v>
      </c>
      <c r="BD151" s="3">
        <v>0.9</v>
      </c>
      <c r="BE151" s="3">
        <v>0.5</v>
      </c>
      <c r="BF151" s="3">
        <v>0.6</v>
      </c>
      <c r="BG151" s="3">
        <v>0.48</v>
      </c>
      <c r="BH151" s="7">
        <v>800.00701900000001</v>
      </c>
      <c r="BI151" s="3">
        <v>2.1999999999999999E-2</v>
      </c>
      <c r="BK151" s="3" t="s">
        <v>83</v>
      </c>
      <c r="BL151" s="3">
        <v>0.12</v>
      </c>
      <c r="BM151" s="6">
        <v>673.363831</v>
      </c>
      <c r="BN151" s="3">
        <v>1E-3</v>
      </c>
      <c r="BO151" s="3">
        <f t="shared" si="19"/>
        <v>0.3</v>
      </c>
    </row>
    <row r="152" spans="1:71" x14ac:dyDescent="0.3">
      <c r="A152" s="3" t="s">
        <v>84</v>
      </c>
      <c r="B152" s="3">
        <v>0.9</v>
      </c>
      <c r="C152" s="3">
        <v>0.5</v>
      </c>
      <c r="D152" s="3">
        <v>0.6</v>
      </c>
      <c r="E152" s="3">
        <v>0.19</v>
      </c>
      <c r="F152" s="6">
        <v>521.63586399999997</v>
      </c>
      <c r="G152" s="3">
        <v>1.7999999999999999E-2</v>
      </c>
      <c r="I152" s="3" t="s">
        <v>84</v>
      </c>
      <c r="J152" s="3">
        <v>0.32</v>
      </c>
      <c r="K152" s="7">
        <v>543.06408699999997</v>
      </c>
      <c r="L152" s="3">
        <v>2E-3</v>
      </c>
      <c r="M152" s="3">
        <f t="shared" si="16"/>
        <v>0.255</v>
      </c>
      <c r="N152" s="5"/>
      <c r="O152" s="5"/>
      <c r="P152" s="5"/>
      <c r="Q152" s="5"/>
      <c r="S152" s="3" t="s">
        <v>84</v>
      </c>
      <c r="T152" s="3">
        <v>0.9</v>
      </c>
      <c r="U152" s="3">
        <v>0.5</v>
      </c>
      <c r="V152" s="3">
        <v>0.6</v>
      </c>
      <c r="W152" s="3">
        <v>0.32</v>
      </c>
      <c r="X152" s="6">
        <v>500.77368200000001</v>
      </c>
      <c r="Y152" s="3">
        <v>1.2999999999999999E-2</v>
      </c>
      <c r="AA152" s="3" t="s">
        <v>84</v>
      </c>
      <c r="AB152" s="3">
        <v>0.34</v>
      </c>
      <c r="AC152" s="7">
        <v>502.38168300000001</v>
      </c>
      <c r="AD152" s="3">
        <v>2E-3</v>
      </c>
      <c r="AE152" s="3">
        <f t="shared" si="17"/>
        <v>0.33</v>
      </c>
      <c r="AF152" s="5"/>
      <c r="AG152" s="5"/>
      <c r="AH152" s="5"/>
      <c r="AI152" s="5"/>
      <c r="AK152" s="3" t="s">
        <v>85</v>
      </c>
      <c r="AL152" s="3">
        <v>0.9</v>
      </c>
      <c r="AM152" s="3">
        <v>0.5</v>
      </c>
      <c r="AN152" s="3">
        <v>0.6</v>
      </c>
      <c r="AO152" s="3">
        <v>0.6</v>
      </c>
      <c r="AP152" s="7">
        <v>987.71350099999995</v>
      </c>
      <c r="AQ152" s="3">
        <v>3.2000000000000001E-2</v>
      </c>
      <c r="AS152" s="3" t="s">
        <v>85</v>
      </c>
      <c r="AT152" s="3">
        <v>0.69</v>
      </c>
      <c r="AU152" s="6">
        <v>965.4375</v>
      </c>
      <c r="AV152" s="3">
        <v>2E-3</v>
      </c>
      <c r="AW152" s="3">
        <f t="shared" si="18"/>
        <v>0.64500000000000002</v>
      </c>
      <c r="AX152" s="5"/>
      <c r="AY152" s="5"/>
      <c r="AZ152" s="5"/>
      <c r="BA152" s="5"/>
      <c r="BC152" s="3" t="s">
        <v>85</v>
      </c>
      <c r="BD152" s="3">
        <v>0.9</v>
      </c>
      <c r="BE152" s="3">
        <v>0.5</v>
      </c>
      <c r="BF152" s="3">
        <v>0.6</v>
      </c>
      <c r="BG152" s="3">
        <v>0.82</v>
      </c>
      <c r="BH152" s="7">
        <v>993.64349400000003</v>
      </c>
      <c r="BI152" s="3">
        <v>1.6E-2</v>
      </c>
      <c r="BK152" s="3" t="s">
        <v>85</v>
      </c>
      <c r="BL152" s="3">
        <v>0.04</v>
      </c>
      <c r="BM152" s="6">
        <v>687.65136700000005</v>
      </c>
      <c r="BN152" s="3">
        <v>1E-3</v>
      </c>
      <c r="BO152" s="3">
        <f t="shared" si="19"/>
        <v>0.43</v>
      </c>
    </row>
    <row r="153" spans="1:71" x14ac:dyDescent="0.3">
      <c r="A153" s="3" t="s">
        <v>86</v>
      </c>
      <c r="B153" s="3">
        <v>0.9</v>
      </c>
      <c r="C153" s="3">
        <v>0.5</v>
      </c>
      <c r="D153" s="3">
        <v>0.6</v>
      </c>
      <c r="E153" s="3">
        <v>0.67</v>
      </c>
      <c r="F153" s="7">
        <v>607.37603799999999</v>
      </c>
      <c r="G153" s="3">
        <v>8.9999999999999993E-3</v>
      </c>
      <c r="I153" s="3" t="s">
        <v>86</v>
      </c>
      <c r="J153" s="3">
        <v>0.51</v>
      </c>
      <c r="K153" s="6">
        <v>599.94683799999996</v>
      </c>
      <c r="L153" s="3">
        <v>2E-3</v>
      </c>
      <c r="M153" s="3">
        <f t="shared" si="16"/>
        <v>0.59000000000000008</v>
      </c>
      <c r="N153" s="5"/>
      <c r="O153" s="5"/>
      <c r="P153" s="5"/>
      <c r="Q153" s="5"/>
      <c r="S153" s="3" t="s">
        <v>86</v>
      </c>
      <c r="T153" s="3">
        <v>0.9</v>
      </c>
      <c r="U153" s="3">
        <v>0.5</v>
      </c>
      <c r="V153" s="3">
        <v>0.6</v>
      </c>
      <c r="W153" s="3">
        <v>0.74</v>
      </c>
      <c r="X153" s="7">
        <v>587.23388699999998</v>
      </c>
      <c r="Y153" s="3">
        <v>1.6E-2</v>
      </c>
      <c r="AA153" s="3" t="s">
        <v>86</v>
      </c>
      <c r="AB153" s="3">
        <v>0.39</v>
      </c>
      <c r="AC153" s="6">
        <v>563.82458499999996</v>
      </c>
      <c r="AD153" s="3">
        <v>3.0000000000000001E-3</v>
      </c>
      <c r="AE153" s="3">
        <f t="shared" si="17"/>
        <v>0.56499999999999995</v>
      </c>
      <c r="AF153" s="5"/>
      <c r="AG153" s="5"/>
      <c r="AH153" s="5"/>
      <c r="AI153" s="5"/>
      <c r="AK153" s="3" t="s">
        <v>87</v>
      </c>
      <c r="AL153" s="3">
        <v>0.9</v>
      </c>
      <c r="AM153" s="3">
        <v>0.5</v>
      </c>
      <c r="AN153" s="3">
        <v>0.6</v>
      </c>
      <c r="AO153" s="3">
        <v>0.84</v>
      </c>
      <c r="AP153" s="7">
        <v>980.95489499999996</v>
      </c>
      <c r="AQ153" s="3">
        <v>1.4999999999999999E-2</v>
      </c>
      <c r="AS153" s="3" t="s">
        <v>87</v>
      </c>
      <c r="AT153" s="3">
        <v>0.04</v>
      </c>
      <c r="AU153" s="6">
        <v>710.56030299999998</v>
      </c>
      <c r="AV153" s="3">
        <v>5.0000000000000001E-3</v>
      </c>
      <c r="AW153" s="3">
        <f t="shared" si="18"/>
        <v>0.44</v>
      </c>
      <c r="AX153" s="5"/>
      <c r="AY153" s="5"/>
      <c r="AZ153" s="5"/>
      <c r="BA153" s="5"/>
      <c r="BC153" s="3" t="s">
        <v>87</v>
      </c>
      <c r="BD153" s="3">
        <v>0.9</v>
      </c>
      <c r="BE153" s="3">
        <v>0.5</v>
      </c>
      <c r="BF153" s="3">
        <v>0.6</v>
      </c>
      <c r="BG153" s="3">
        <v>0.02</v>
      </c>
      <c r="BH153" s="6">
        <v>674.55450399999995</v>
      </c>
      <c r="BI153" s="3">
        <v>1.2E-2</v>
      </c>
      <c r="BK153" s="3" t="s">
        <v>87</v>
      </c>
      <c r="BL153" s="3">
        <v>0.23</v>
      </c>
      <c r="BM153" s="7">
        <v>743.38775599999997</v>
      </c>
      <c r="BN153" s="3">
        <v>2E-3</v>
      </c>
      <c r="BO153" s="3">
        <f t="shared" si="19"/>
        <v>0.125</v>
      </c>
    </row>
    <row r="154" spans="1:71" x14ac:dyDescent="0.3">
      <c r="A154" s="3" t="s">
        <v>88</v>
      </c>
      <c r="B154" s="3">
        <v>0.9</v>
      </c>
      <c r="C154" s="3">
        <v>0.5</v>
      </c>
      <c r="D154" s="3">
        <v>0.6</v>
      </c>
      <c r="E154" s="3">
        <v>0.51</v>
      </c>
      <c r="F154" s="7">
        <v>512.47051999999996</v>
      </c>
      <c r="G154" s="3">
        <v>5.0000000000000001E-3</v>
      </c>
      <c r="I154" s="3" t="s">
        <v>88</v>
      </c>
      <c r="J154" s="3">
        <v>0.09</v>
      </c>
      <c r="K154" s="6">
        <v>494.87383999999997</v>
      </c>
      <c r="L154" s="3">
        <v>2E-3</v>
      </c>
      <c r="M154" s="3">
        <f t="shared" si="16"/>
        <v>0.3</v>
      </c>
      <c r="N154" s="5"/>
      <c r="O154" s="5"/>
      <c r="P154" s="5"/>
      <c r="Q154" s="5"/>
      <c r="S154" s="3" t="s">
        <v>88</v>
      </c>
      <c r="T154" s="3">
        <v>0.9</v>
      </c>
      <c r="U154" s="3">
        <v>0.5</v>
      </c>
      <c r="V154" s="3">
        <v>0.6</v>
      </c>
      <c r="W154" s="3">
        <v>0.55000000000000004</v>
      </c>
      <c r="X154" s="6">
        <v>497.127319</v>
      </c>
      <c r="Y154" s="3">
        <v>1.0999999999999999E-2</v>
      </c>
      <c r="AA154" s="3" t="s">
        <v>88</v>
      </c>
      <c r="AB154" s="3">
        <v>0.64</v>
      </c>
      <c r="AC154" s="7">
        <v>508.85745200000002</v>
      </c>
      <c r="AD154" s="3">
        <v>5.0000000000000001E-3</v>
      </c>
      <c r="AE154" s="3">
        <f t="shared" si="17"/>
        <v>0.59499999999999997</v>
      </c>
      <c r="AF154" s="5"/>
      <c r="AG154" s="5"/>
      <c r="AH154" s="5"/>
      <c r="AI154" s="5"/>
      <c r="AK154" s="3" t="s">
        <v>89</v>
      </c>
      <c r="AL154" s="3">
        <v>0.9</v>
      </c>
      <c r="AM154" s="3">
        <v>0.5</v>
      </c>
      <c r="AN154" s="3">
        <v>0.6</v>
      </c>
      <c r="AO154" s="3">
        <v>0.82</v>
      </c>
      <c r="AP154" s="7">
        <v>979.40368699999999</v>
      </c>
      <c r="AQ154" s="3">
        <v>3.4000000000000002E-2</v>
      </c>
      <c r="AS154" s="3" t="s">
        <v>89</v>
      </c>
      <c r="AT154" s="3">
        <v>0</v>
      </c>
      <c r="AU154" s="6">
        <v>732.81329300000004</v>
      </c>
      <c r="AV154" s="3">
        <v>3.0000000000000001E-3</v>
      </c>
      <c r="AW154" s="3">
        <f t="shared" si="18"/>
        <v>0.41</v>
      </c>
      <c r="AX154" s="5"/>
      <c r="AY154" s="5"/>
      <c r="AZ154" s="5"/>
      <c r="BA154" s="5"/>
      <c r="BC154" s="3" t="s">
        <v>89</v>
      </c>
      <c r="BD154" s="3">
        <v>0.9</v>
      </c>
      <c r="BE154" s="3">
        <v>0.5</v>
      </c>
      <c r="BF154" s="3">
        <v>0.6</v>
      </c>
      <c r="BG154" s="3">
        <v>0.61</v>
      </c>
      <c r="BH154" s="7">
        <v>923.25866699999995</v>
      </c>
      <c r="BI154" s="3">
        <v>1.4E-2</v>
      </c>
      <c r="BK154" s="3" t="s">
        <v>89</v>
      </c>
      <c r="BL154" s="3">
        <v>0.32</v>
      </c>
      <c r="BM154" s="6">
        <v>793.30456500000003</v>
      </c>
      <c r="BN154" s="3">
        <v>0</v>
      </c>
      <c r="BO154" s="3">
        <f t="shared" si="19"/>
        <v>0.46499999999999997</v>
      </c>
    </row>
    <row r="155" spans="1:71" x14ac:dyDescent="0.3">
      <c r="A155" s="3" t="s">
        <v>90</v>
      </c>
      <c r="B155" s="3">
        <v>0.9</v>
      </c>
      <c r="C155" s="3">
        <v>0.5</v>
      </c>
      <c r="D155" s="3">
        <v>0.6</v>
      </c>
      <c r="E155" s="3">
        <v>0.09</v>
      </c>
      <c r="F155" s="6">
        <v>416.78308099999998</v>
      </c>
      <c r="G155" s="3">
        <v>1.0999999999999999E-2</v>
      </c>
      <c r="I155" s="3" t="s">
        <v>90</v>
      </c>
      <c r="J155" s="3">
        <v>0.26</v>
      </c>
      <c r="K155" s="7">
        <v>450.65673800000002</v>
      </c>
      <c r="L155" s="3">
        <v>1E-3</v>
      </c>
      <c r="M155" s="3">
        <f t="shared" si="16"/>
        <v>0.17499999999999999</v>
      </c>
      <c r="N155" s="5"/>
      <c r="O155" s="5"/>
      <c r="P155" s="5"/>
      <c r="Q155" s="5"/>
      <c r="S155" s="3" t="s">
        <v>90</v>
      </c>
      <c r="T155" s="3">
        <v>0.9</v>
      </c>
      <c r="U155" s="3">
        <v>0.5</v>
      </c>
      <c r="V155" s="3">
        <v>0.6</v>
      </c>
      <c r="W155" s="3">
        <v>0.21</v>
      </c>
      <c r="X155" s="7">
        <v>411.14254799999998</v>
      </c>
      <c r="Y155" s="3">
        <v>1.7999999999999999E-2</v>
      </c>
      <c r="AA155" s="3" t="s">
        <v>90</v>
      </c>
      <c r="AB155" s="3">
        <v>0.13</v>
      </c>
      <c r="AC155" s="6">
        <v>403.72671500000001</v>
      </c>
      <c r="AD155" s="3">
        <v>1E-3</v>
      </c>
      <c r="AE155" s="3">
        <f t="shared" si="17"/>
        <v>0.16999999999999998</v>
      </c>
      <c r="AF155" s="5"/>
      <c r="AG155" s="5"/>
      <c r="AH155" s="5"/>
      <c r="AI155" s="5"/>
      <c r="AK155" s="3" t="s">
        <v>91</v>
      </c>
      <c r="AL155" s="3">
        <v>0.9</v>
      </c>
      <c r="AM155" s="3">
        <v>0.5</v>
      </c>
      <c r="AN155" s="3">
        <v>0.6</v>
      </c>
      <c r="AO155" s="3">
        <v>0.89</v>
      </c>
      <c r="AP155" s="7">
        <v>903.95300299999997</v>
      </c>
      <c r="AQ155" s="3">
        <v>3.1E-2</v>
      </c>
      <c r="AS155" s="3" t="s">
        <v>91</v>
      </c>
      <c r="AT155" s="3">
        <v>0.12</v>
      </c>
      <c r="AU155" s="6">
        <v>725.59918200000004</v>
      </c>
      <c r="AV155" s="3">
        <v>1E-3</v>
      </c>
      <c r="AW155" s="3">
        <f t="shared" si="18"/>
        <v>0.505</v>
      </c>
      <c r="AX155" s="5"/>
      <c r="AY155" s="5"/>
      <c r="AZ155" s="5"/>
      <c r="BA155" s="5"/>
      <c r="BC155" s="3" t="s">
        <v>91</v>
      </c>
      <c r="BD155" s="3">
        <v>0.9</v>
      </c>
      <c r="BE155" s="3">
        <v>0.5</v>
      </c>
      <c r="BF155" s="3">
        <v>0.6</v>
      </c>
      <c r="BG155" s="3">
        <v>0.48</v>
      </c>
      <c r="BH155" s="6">
        <v>836.88354500000003</v>
      </c>
      <c r="BI155" s="3">
        <v>1.7999999999999999E-2</v>
      </c>
      <c r="BK155" s="3" t="s">
        <v>91</v>
      </c>
      <c r="BL155" s="3">
        <v>0.65</v>
      </c>
      <c r="BM155" s="7">
        <v>878.37976100000003</v>
      </c>
      <c r="BN155" s="3">
        <v>3.0000000000000001E-3</v>
      </c>
      <c r="BO155" s="3">
        <f t="shared" si="19"/>
        <v>0.56499999999999995</v>
      </c>
    </row>
    <row r="156" spans="1:71" x14ac:dyDescent="0.3">
      <c r="A156" s="3" t="s">
        <v>92</v>
      </c>
      <c r="B156" s="3">
        <v>0.9</v>
      </c>
      <c r="C156" s="3">
        <v>0.5</v>
      </c>
      <c r="D156" s="3">
        <v>0.6</v>
      </c>
      <c r="E156" s="3">
        <v>0.11</v>
      </c>
      <c r="F156" s="7">
        <v>572.62030000000004</v>
      </c>
      <c r="G156" s="3">
        <v>1.7999999999999999E-2</v>
      </c>
      <c r="I156" s="3" t="s">
        <v>92</v>
      </c>
      <c r="J156" s="3">
        <v>0.38</v>
      </c>
      <c r="K156" s="6">
        <v>563.506348</v>
      </c>
      <c r="L156" s="3">
        <v>1E-3</v>
      </c>
      <c r="M156" s="3">
        <f t="shared" si="16"/>
        <v>0.245</v>
      </c>
      <c r="N156" s="5"/>
      <c r="O156" s="5"/>
      <c r="P156" s="5"/>
      <c r="Q156" s="5"/>
      <c r="S156" s="3" t="s">
        <v>92</v>
      </c>
      <c r="T156" s="3">
        <v>0.9</v>
      </c>
      <c r="U156" s="3">
        <v>0.5</v>
      </c>
      <c r="V156" s="3">
        <v>0.6</v>
      </c>
      <c r="W156" s="3">
        <v>0.75</v>
      </c>
      <c r="X156" s="7">
        <v>579.75872800000002</v>
      </c>
      <c r="Y156" s="3">
        <v>1.2E-2</v>
      </c>
      <c r="AA156" s="3" t="s">
        <v>92</v>
      </c>
      <c r="AB156" s="3">
        <v>0.28999999999999998</v>
      </c>
      <c r="AC156" s="6">
        <v>539.39624000000003</v>
      </c>
      <c r="AD156" s="3">
        <v>2E-3</v>
      </c>
      <c r="AE156" s="3">
        <f t="shared" si="17"/>
        <v>0.52</v>
      </c>
      <c r="AF156" s="5"/>
      <c r="AG156" s="5"/>
      <c r="AH156" s="5"/>
      <c r="AI156" s="5"/>
      <c r="AK156" s="3" t="s">
        <v>93</v>
      </c>
      <c r="AL156" s="3">
        <v>0.9</v>
      </c>
      <c r="AM156" s="3">
        <v>0.5</v>
      </c>
      <c r="AN156" s="3">
        <v>0.6</v>
      </c>
      <c r="AO156" s="3">
        <v>0.06</v>
      </c>
      <c r="AP156" s="7">
        <v>674.11920199999997</v>
      </c>
      <c r="AQ156" s="3">
        <v>2.3E-2</v>
      </c>
      <c r="AS156" s="3" t="s">
        <v>93</v>
      </c>
      <c r="AT156" s="3">
        <v>0.83</v>
      </c>
      <c r="AU156" s="6">
        <v>926.75878899999998</v>
      </c>
      <c r="AV156" s="3">
        <v>8.0000000000000002E-3</v>
      </c>
      <c r="AW156" s="3">
        <f t="shared" si="18"/>
        <v>0.44499999999999995</v>
      </c>
      <c r="AX156" s="5"/>
      <c r="AY156" s="5"/>
      <c r="AZ156" s="5"/>
      <c r="BA156" s="5"/>
      <c r="BC156" s="3" t="s">
        <v>93</v>
      </c>
      <c r="BD156" s="3">
        <v>0.9</v>
      </c>
      <c r="BE156" s="3">
        <v>0.5</v>
      </c>
      <c r="BF156" s="3">
        <v>0.6</v>
      </c>
      <c r="BG156" s="3">
        <v>0.47</v>
      </c>
      <c r="BH156" s="7">
        <v>777.28881799999999</v>
      </c>
      <c r="BI156" s="3">
        <v>1.6E-2</v>
      </c>
      <c r="BK156" s="3" t="s">
        <v>93</v>
      </c>
      <c r="BL156" s="3">
        <v>0.08</v>
      </c>
      <c r="BM156" s="6">
        <v>644.41308600000002</v>
      </c>
      <c r="BN156" s="3">
        <v>2E-3</v>
      </c>
      <c r="BO156" s="3">
        <f t="shared" si="19"/>
        <v>0.27499999999999997</v>
      </c>
    </row>
    <row r="157" spans="1:71" x14ac:dyDescent="0.3">
      <c r="A157" s="3" t="s">
        <v>94</v>
      </c>
      <c r="B157" s="3">
        <v>0.9</v>
      </c>
      <c r="C157" s="3">
        <v>0.5</v>
      </c>
      <c r="D157" s="3">
        <v>0.6</v>
      </c>
      <c r="E157" s="3">
        <v>0.64</v>
      </c>
      <c r="F157" s="6">
        <v>580.13678000000004</v>
      </c>
      <c r="G157" s="3">
        <v>2.5999999999999999E-2</v>
      </c>
      <c r="I157" s="3" t="s">
        <v>94</v>
      </c>
      <c r="J157" s="3">
        <v>0.79</v>
      </c>
      <c r="K157" s="7">
        <v>615.34851100000003</v>
      </c>
      <c r="L157" s="3">
        <v>1E-3</v>
      </c>
      <c r="M157" s="3">
        <f t="shared" si="16"/>
        <v>0.71500000000000008</v>
      </c>
      <c r="N157" s="5"/>
      <c r="O157" s="5"/>
      <c r="P157" s="5"/>
      <c r="Q157" s="5"/>
      <c r="S157" s="3" t="s">
        <v>94</v>
      </c>
      <c r="T157" s="3">
        <v>0.9</v>
      </c>
      <c r="U157" s="3">
        <v>0.5</v>
      </c>
      <c r="V157" s="3">
        <v>0.6</v>
      </c>
      <c r="W157" s="3">
        <v>0.91</v>
      </c>
      <c r="X157" s="7">
        <v>621.20043899999996</v>
      </c>
      <c r="Y157" s="3">
        <v>2.1999999999999999E-2</v>
      </c>
      <c r="AA157" s="3" t="s">
        <v>94</v>
      </c>
      <c r="AB157" s="3">
        <v>0.62</v>
      </c>
      <c r="AC157" s="6">
        <v>590.37243699999999</v>
      </c>
      <c r="AD157" s="3">
        <v>1E-3</v>
      </c>
      <c r="AE157" s="3">
        <f t="shared" si="17"/>
        <v>0.76500000000000001</v>
      </c>
      <c r="AF157" s="5"/>
      <c r="AG157" s="5"/>
      <c r="AH157" s="5"/>
      <c r="AI157" s="5"/>
      <c r="AK157" s="3" t="s">
        <v>95</v>
      </c>
      <c r="AL157" s="3">
        <v>0.9</v>
      </c>
      <c r="AM157" s="3">
        <v>0.5</v>
      </c>
      <c r="AN157" s="3">
        <v>0.6</v>
      </c>
      <c r="AO157" s="3">
        <v>0.95</v>
      </c>
      <c r="AP157" s="7">
        <v>1061.7827150000001</v>
      </c>
      <c r="AQ157" s="3">
        <v>1.0999999999999999E-2</v>
      </c>
      <c r="AS157" s="3" t="s">
        <v>95</v>
      </c>
      <c r="AT157" s="3">
        <v>0.46</v>
      </c>
      <c r="AU157" s="6">
        <v>920.83569299999999</v>
      </c>
      <c r="AV157" s="3">
        <v>3.0000000000000001E-3</v>
      </c>
      <c r="AW157" s="3">
        <f t="shared" si="18"/>
        <v>0.70499999999999996</v>
      </c>
      <c r="AX157" s="5"/>
      <c r="AY157" s="5"/>
      <c r="AZ157" s="5"/>
      <c r="BA157" s="5"/>
      <c r="BC157" s="3" t="s">
        <v>95</v>
      </c>
      <c r="BD157" s="3">
        <v>0.9</v>
      </c>
      <c r="BE157" s="3">
        <v>0.5</v>
      </c>
      <c r="BF157" s="3">
        <v>0.6</v>
      </c>
      <c r="BG157" s="3">
        <v>0.92</v>
      </c>
      <c r="BH157" s="7">
        <v>1017.336121</v>
      </c>
      <c r="BI157" s="3">
        <v>2.3E-2</v>
      </c>
      <c r="BK157" s="3" t="s">
        <v>95</v>
      </c>
      <c r="BL157" s="3">
        <v>0.67</v>
      </c>
      <c r="BM157" s="6">
        <v>978.60418700000002</v>
      </c>
      <c r="BN157" s="3">
        <v>1E-3</v>
      </c>
      <c r="BO157" s="3">
        <f t="shared" si="19"/>
        <v>0.79500000000000004</v>
      </c>
    </row>
    <row r="158" spans="1:71" x14ac:dyDescent="0.3">
      <c r="A158" s="3" t="s">
        <v>96</v>
      </c>
      <c r="B158" s="3">
        <v>0.9</v>
      </c>
      <c r="C158" s="3">
        <v>0.5</v>
      </c>
      <c r="D158" s="3">
        <v>0.6</v>
      </c>
      <c r="E158" s="3">
        <v>0.44</v>
      </c>
      <c r="F158" s="7">
        <v>623.26849400000003</v>
      </c>
      <c r="G158" s="3">
        <v>0.02</v>
      </c>
      <c r="I158" s="3" t="s">
        <v>96</v>
      </c>
      <c r="J158" s="3">
        <v>0.25</v>
      </c>
      <c r="K158" s="6">
        <v>591.72351100000003</v>
      </c>
      <c r="L158" s="3">
        <v>3.0000000000000001E-3</v>
      </c>
      <c r="M158" s="3">
        <f t="shared" si="16"/>
        <v>0.34499999999999997</v>
      </c>
      <c r="N158" s="5"/>
      <c r="O158" s="5"/>
      <c r="P158" s="5"/>
      <c r="Q158" s="5"/>
      <c r="S158" s="3" t="s">
        <v>96</v>
      </c>
      <c r="T158" s="3">
        <v>0.9</v>
      </c>
      <c r="U158" s="3">
        <v>0.5</v>
      </c>
      <c r="V158" s="3">
        <v>0.6</v>
      </c>
      <c r="W158" s="3">
        <v>0.43</v>
      </c>
      <c r="X158" s="7">
        <v>617.04199200000005</v>
      </c>
      <c r="Y158" s="3">
        <v>1.4999999999999999E-2</v>
      </c>
      <c r="AA158" s="3" t="s">
        <v>96</v>
      </c>
      <c r="AB158" s="3">
        <v>0.36</v>
      </c>
      <c r="AC158" s="6">
        <v>594.35363800000005</v>
      </c>
      <c r="AD158" s="3">
        <v>1E-3</v>
      </c>
      <c r="AE158" s="3">
        <f t="shared" si="17"/>
        <v>0.39500000000000002</v>
      </c>
      <c r="AF158" s="5"/>
      <c r="AG158" s="5"/>
      <c r="AH158" s="5"/>
      <c r="AI158" s="5"/>
      <c r="AK158" s="3" t="s">
        <v>97</v>
      </c>
      <c r="AL158" s="3">
        <v>0.9</v>
      </c>
      <c r="AM158" s="3">
        <v>0.5</v>
      </c>
      <c r="AN158" s="3">
        <v>0.6</v>
      </c>
      <c r="AO158" s="3">
        <v>0.88</v>
      </c>
      <c r="AP158" s="7">
        <v>1107.4338379999999</v>
      </c>
      <c r="AQ158" s="3">
        <v>3.5000000000000003E-2</v>
      </c>
      <c r="AS158" s="3" t="s">
        <v>97</v>
      </c>
      <c r="AT158" s="3">
        <v>0.25</v>
      </c>
      <c r="AU158" s="6">
        <v>953.54693599999996</v>
      </c>
      <c r="AV158" s="3">
        <v>4.0000000000000001E-3</v>
      </c>
      <c r="AW158" s="3">
        <f t="shared" si="18"/>
        <v>0.56499999999999995</v>
      </c>
      <c r="AX158" s="5"/>
      <c r="AY158" s="5"/>
      <c r="AZ158" s="5"/>
      <c r="BA158" s="5"/>
      <c r="BC158" s="3" t="s">
        <v>97</v>
      </c>
      <c r="BD158" s="3">
        <v>0.9</v>
      </c>
      <c r="BE158" s="3">
        <v>0.5</v>
      </c>
      <c r="BF158" s="3">
        <v>0.6</v>
      </c>
      <c r="BG158" s="3">
        <v>0.02</v>
      </c>
      <c r="BH158" s="6">
        <v>770.11505099999999</v>
      </c>
      <c r="BI158" s="3">
        <v>1.2999999999999999E-2</v>
      </c>
      <c r="BK158" s="3" t="s">
        <v>97</v>
      </c>
      <c r="BL158" s="3">
        <v>0.55000000000000004</v>
      </c>
      <c r="BM158" s="7">
        <v>1026.3759769999999</v>
      </c>
      <c r="BN158" s="3">
        <v>2E-3</v>
      </c>
      <c r="BO158" s="3">
        <f t="shared" si="19"/>
        <v>0.28500000000000003</v>
      </c>
    </row>
    <row r="159" spans="1:71" x14ac:dyDescent="0.3">
      <c r="A159" s="3" t="s">
        <v>98</v>
      </c>
      <c r="B159" s="3">
        <v>0.9</v>
      </c>
      <c r="C159" s="3">
        <v>0.5</v>
      </c>
      <c r="D159" s="3">
        <v>0.6</v>
      </c>
      <c r="E159" s="3">
        <v>0.36</v>
      </c>
      <c r="F159" s="7">
        <v>514.152649</v>
      </c>
      <c r="G159" s="3">
        <v>1.6E-2</v>
      </c>
      <c r="I159" s="3" t="s">
        <v>98</v>
      </c>
      <c r="J159" s="3">
        <v>0.06</v>
      </c>
      <c r="K159" s="6">
        <v>469.36407500000001</v>
      </c>
      <c r="L159" s="3">
        <v>2E-3</v>
      </c>
      <c r="M159" s="3">
        <f t="shared" si="16"/>
        <v>0.21</v>
      </c>
      <c r="N159" s="5"/>
      <c r="O159" s="5"/>
      <c r="P159" s="5"/>
      <c r="Q159" s="5"/>
      <c r="S159" s="3" t="s">
        <v>98</v>
      </c>
      <c r="T159" s="3">
        <v>0.9</v>
      </c>
      <c r="U159" s="3">
        <v>0.5</v>
      </c>
      <c r="V159" s="3">
        <v>0.6</v>
      </c>
      <c r="W159" s="3">
        <v>0.39</v>
      </c>
      <c r="X159" s="6">
        <v>491.76007099999998</v>
      </c>
      <c r="Y159" s="3">
        <v>2.1000000000000001E-2</v>
      </c>
      <c r="AA159" s="3" t="s">
        <v>98</v>
      </c>
      <c r="AB159" s="3">
        <v>0.54</v>
      </c>
      <c r="AC159" s="7">
        <v>513.47033699999997</v>
      </c>
      <c r="AD159" s="3">
        <v>0</v>
      </c>
      <c r="AE159" s="3">
        <f t="shared" si="17"/>
        <v>0.46500000000000002</v>
      </c>
      <c r="AF159" s="5"/>
      <c r="AG159" s="5"/>
      <c r="AH159" s="5"/>
      <c r="AI159" s="5"/>
      <c r="AK159" s="3" t="s">
        <v>99</v>
      </c>
      <c r="AL159" s="3">
        <v>0.9</v>
      </c>
      <c r="AM159" s="3">
        <v>0.5</v>
      </c>
      <c r="AN159" s="3">
        <v>0.6</v>
      </c>
      <c r="AO159" s="3">
        <v>0.48</v>
      </c>
      <c r="AP159" s="6">
        <v>1023.195374</v>
      </c>
      <c r="AQ159" s="3">
        <v>1.4E-2</v>
      </c>
      <c r="AS159" s="3" t="s">
        <v>99</v>
      </c>
      <c r="AT159" s="3">
        <v>0.83</v>
      </c>
      <c r="AU159" s="7">
        <v>1100.104736</v>
      </c>
      <c r="AV159" s="3">
        <v>1E-3</v>
      </c>
      <c r="AW159" s="3">
        <f t="shared" si="18"/>
        <v>0.65500000000000003</v>
      </c>
      <c r="AX159" s="5"/>
      <c r="AY159" s="5"/>
      <c r="AZ159" s="5"/>
      <c r="BA159" s="5"/>
      <c r="BC159" s="3" t="s">
        <v>99</v>
      </c>
      <c r="BD159" s="3">
        <v>0.9</v>
      </c>
      <c r="BE159" s="3">
        <v>0.5</v>
      </c>
      <c r="BF159" s="3">
        <v>0.6</v>
      </c>
      <c r="BG159" s="3">
        <v>0.66</v>
      </c>
      <c r="BH159" s="6">
        <v>1051.4105219999999</v>
      </c>
      <c r="BI159" s="3">
        <v>8.9999999999999993E-3</v>
      </c>
      <c r="BK159" s="3" t="s">
        <v>99</v>
      </c>
      <c r="BL159" s="3">
        <v>0.98</v>
      </c>
      <c r="BM159" s="7">
        <v>1107.0766599999999</v>
      </c>
      <c r="BN159" s="3">
        <v>2E-3</v>
      </c>
      <c r="BO159" s="3">
        <f t="shared" si="19"/>
        <v>0.82000000000000006</v>
      </c>
    </row>
    <row r="160" spans="1:71" x14ac:dyDescent="0.3">
      <c r="A160" s="3" t="s">
        <v>100</v>
      </c>
      <c r="B160" s="3">
        <v>0.9</v>
      </c>
      <c r="C160" s="3">
        <v>0.5</v>
      </c>
      <c r="D160" s="3">
        <v>0.6</v>
      </c>
      <c r="E160" s="3">
        <v>0.5</v>
      </c>
      <c r="F160" s="7">
        <v>667.78716999999995</v>
      </c>
      <c r="G160" s="3">
        <v>3.5999999999999997E-2</v>
      </c>
      <c r="I160" s="3" t="s">
        <v>100</v>
      </c>
      <c r="J160" s="3">
        <v>0.44</v>
      </c>
      <c r="K160" s="6">
        <v>629.30157499999996</v>
      </c>
      <c r="L160" s="3">
        <v>0</v>
      </c>
      <c r="M160" s="3">
        <f t="shared" si="16"/>
        <v>0.47</v>
      </c>
      <c r="N160" s="5"/>
      <c r="O160" s="5"/>
      <c r="P160" s="5"/>
      <c r="Q160" s="5"/>
      <c r="S160" s="3" t="s">
        <v>100</v>
      </c>
      <c r="T160" s="3">
        <v>0.9</v>
      </c>
      <c r="U160" s="3">
        <v>0.5</v>
      </c>
      <c r="V160" s="3">
        <v>0.6</v>
      </c>
      <c r="W160" s="3">
        <v>0.81</v>
      </c>
      <c r="X160" s="7">
        <v>698.13403300000004</v>
      </c>
      <c r="Y160" s="3">
        <v>1.7999999999999999E-2</v>
      </c>
      <c r="AA160" s="3" t="s">
        <v>100</v>
      </c>
      <c r="AB160" s="3">
        <v>0.43</v>
      </c>
      <c r="AC160" s="6">
        <v>650.16204800000003</v>
      </c>
      <c r="AD160" s="3">
        <v>2E-3</v>
      </c>
      <c r="AE160" s="3">
        <f t="shared" si="17"/>
        <v>0.62</v>
      </c>
      <c r="AF160" s="5"/>
      <c r="AG160" s="5"/>
      <c r="AH160" s="5"/>
      <c r="AI160" s="5"/>
      <c r="AK160" s="3" t="s">
        <v>101</v>
      </c>
      <c r="AL160" s="3">
        <v>0.9</v>
      </c>
      <c r="AM160" s="3">
        <v>0.5</v>
      </c>
      <c r="AN160" s="3">
        <v>0.6</v>
      </c>
      <c r="AO160" s="3">
        <v>0.95</v>
      </c>
      <c r="AP160" s="6">
        <v>1037.1281739999999</v>
      </c>
      <c r="AQ160" s="3">
        <v>2.8000000000000001E-2</v>
      </c>
      <c r="AS160" s="3" t="s">
        <v>101</v>
      </c>
      <c r="AT160" s="3">
        <v>0.81</v>
      </c>
      <c r="AU160" s="7">
        <v>1041.12085</v>
      </c>
      <c r="AV160" s="3">
        <v>1E-3</v>
      </c>
      <c r="AW160" s="3">
        <f t="shared" si="18"/>
        <v>0.88</v>
      </c>
      <c r="AX160" s="5"/>
      <c r="AY160" s="5"/>
      <c r="AZ160" s="5"/>
      <c r="BA160" s="5"/>
      <c r="BC160" s="3" t="s">
        <v>101</v>
      </c>
      <c r="BD160" s="3">
        <v>0.9</v>
      </c>
      <c r="BE160" s="3">
        <v>0.5</v>
      </c>
      <c r="BF160" s="3">
        <v>0.6</v>
      </c>
      <c r="BG160" s="3">
        <v>0.08</v>
      </c>
      <c r="BH160" s="6">
        <v>707.485229</v>
      </c>
      <c r="BI160" s="3">
        <v>1.2999999999999999E-2</v>
      </c>
      <c r="BK160" s="3" t="s">
        <v>101</v>
      </c>
      <c r="BL160" s="3">
        <v>0.21</v>
      </c>
      <c r="BM160" s="7">
        <v>767.26556400000004</v>
      </c>
      <c r="BN160" s="3">
        <v>1E-3</v>
      </c>
      <c r="BO160" s="3">
        <f t="shared" si="19"/>
        <v>0.14499999999999999</v>
      </c>
    </row>
    <row r="161" spans="1:67" x14ac:dyDescent="0.3">
      <c r="A161" s="3" t="s">
        <v>102</v>
      </c>
      <c r="B161" s="3">
        <v>0.9</v>
      </c>
      <c r="C161" s="3">
        <v>0.5</v>
      </c>
      <c r="D161" s="3">
        <v>0.6</v>
      </c>
      <c r="E161" s="3">
        <v>0.13</v>
      </c>
      <c r="F161" s="6">
        <v>594.72051999999996</v>
      </c>
      <c r="G161" s="3">
        <v>2.1999999999999999E-2</v>
      </c>
      <c r="I161" s="3" t="s">
        <v>102</v>
      </c>
      <c r="J161" s="3">
        <v>0.46</v>
      </c>
      <c r="K161" s="7">
        <v>638.05676300000005</v>
      </c>
      <c r="L161" s="3">
        <v>4.0000000000000001E-3</v>
      </c>
      <c r="M161" s="3">
        <f t="shared" si="16"/>
        <v>0.29500000000000004</v>
      </c>
      <c r="N161" s="5"/>
      <c r="O161" s="5"/>
      <c r="P161" s="5"/>
      <c r="Q161" s="5"/>
      <c r="S161" s="3" t="s">
        <v>102</v>
      </c>
      <c r="T161" s="3">
        <v>0.9</v>
      </c>
      <c r="U161" s="3">
        <v>0.5</v>
      </c>
      <c r="V161" s="3">
        <v>0.6</v>
      </c>
      <c r="W161" s="3">
        <v>0.08</v>
      </c>
      <c r="X161" s="6">
        <v>598.16717500000004</v>
      </c>
      <c r="Y161" s="3">
        <v>1.0999999999999999E-2</v>
      </c>
      <c r="AA161" s="3" t="s">
        <v>102</v>
      </c>
      <c r="AB161" s="3">
        <v>0.79</v>
      </c>
      <c r="AC161" s="7">
        <v>673.48718299999996</v>
      </c>
      <c r="AD161" s="3">
        <v>2E-3</v>
      </c>
      <c r="AE161" s="3">
        <f t="shared" si="17"/>
        <v>0.435</v>
      </c>
      <c r="AF161" s="5"/>
      <c r="AG161" s="5"/>
      <c r="AH161" s="5"/>
      <c r="AI161" s="5"/>
      <c r="AK161" s="3" t="s">
        <v>103</v>
      </c>
      <c r="AL161" s="3">
        <v>0.9</v>
      </c>
      <c r="AM161" s="3">
        <v>0.5</v>
      </c>
      <c r="AN161" s="3">
        <v>0.6</v>
      </c>
      <c r="AO161" s="3">
        <v>0.8</v>
      </c>
      <c r="AP161" s="7">
        <v>1013.844238</v>
      </c>
      <c r="AQ161" s="3">
        <v>2.8000000000000001E-2</v>
      </c>
      <c r="AS161" s="3" t="s">
        <v>103</v>
      </c>
      <c r="AT161" s="3">
        <v>0.11</v>
      </c>
      <c r="AU161" s="6">
        <v>751.21954300000004</v>
      </c>
      <c r="AV161" s="3">
        <v>0</v>
      </c>
      <c r="AW161" s="3">
        <f t="shared" si="18"/>
        <v>0.45500000000000002</v>
      </c>
      <c r="AX161" s="5"/>
      <c r="AY161" s="5"/>
      <c r="AZ161" s="5"/>
      <c r="BA161" s="5"/>
      <c r="BC161" s="3" t="s">
        <v>103</v>
      </c>
      <c r="BD161" s="3">
        <v>0.9</v>
      </c>
      <c r="BE161" s="3">
        <v>0.5</v>
      </c>
      <c r="BF161" s="3">
        <v>0.6</v>
      </c>
      <c r="BG161" s="3">
        <v>0.74</v>
      </c>
      <c r="BH161" s="7">
        <v>1009.14624</v>
      </c>
      <c r="BI161" s="3">
        <v>1.4999999999999999E-2</v>
      </c>
      <c r="BK161" s="3" t="s">
        <v>103</v>
      </c>
      <c r="BL161" s="3">
        <v>0.39</v>
      </c>
      <c r="BM161" s="6">
        <v>908.45367399999998</v>
      </c>
      <c r="BN161" s="3">
        <v>3.0000000000000001E-3</v>
      </c>
      <c r="BO161" s="3">
        <f t="shared" si="19"/>
        <v>0.56499999999999995</v>
      </c>
    </row>
    <row r="162" spans="1:67" x14ac:dyDescent="0.3">
      <c r="A162" s="3" t="s">
        <v>104</v>
      </c>
      <c r="B162" s="3">
        <v>0.9</v>
      </c>
      <c r="C162" s="3">
        <v>0.5</v>
      </c>
      <c r="D162" s="3">
        <v>0.6</v>
      </c>
      <c r="E162" s="3">
        <v>0.47</v>
      </c>
      <c r="F162" s="7">
        <v>655.88232400000004</v>
      </c>
      <c r="G162" s="3">
        <v>6.0000000000000001E-3</v>
      </c>
      <c r="I162" s="3" t="s">
        <v>104</v>
      </c>
      <c r="J162" s="3">
        <v>0.22</v>
      </c>
      <c r="K162" s="6">
        <v>594.62914999999998</v>
      </c>
      <c r="L162" s="3">
        <v>0</v>
      </c>
      <c r="M162" s="3">
        <f t="shared" si="16"/>
        <v>0.34499999999999997</v>
      </c>
      <c r="N162" s="5"/>
      <c r="O162" s="5"/>
      <c r="P162" s="5"/>
      <c r="Q162" s="5"/>
      <c r="S162" s="3" t="s">
        <v>104</v>
      </c>
      <c r="T162" s="3">
        <v>0.9</v>
      </c>
      <c r="U162" s="3">
        <v>0.5</v>
      </c>
      <c r="V162" s="3">
        <v>0.6</v>
      </c>
      <c r="W162" s="3">
        <v>0.83</v>
      </c>
      <c r="X162" s="7">
        <v>687.69476299999997</v>
      </c>
      <c r="Y162" s="3">
        <v>2.9000000000000001E-2</v>
      </c>
      <c r="AA162" s="3" t="s">
        <v>104</v>
      </c>
      <c r="AB162" s="3">
        <v>0.33</v>
      </c>
      <c r="AC162" s="6">
        <v>617.29144299999996</v>
      </c>
      <c r="AD162" s="3">
        <v>1E-3</v>
      </c>
      <c r="AE162" s="3">
        <f t="shared" si="17"/>
        <v>0.57999999999999996</v>
      </c>
      <c r="AF162" s="5"/>
      <c r="AG162" s="5"/>
      <c r="AH162" s="5"/>
      <c r="AI162" s="5"/>
      <c r="AK162" s="3" t="s">
        <v>105</v>
      </c>
      <c r="AL162" s="3">
        <v>0.9</v>
      </c>
      <c r="AM162" s="3">
        <v>0.5</v>
      </c>
      <c r="AN162" s="3">
        <v>0.6</v>
      </c>
      <c r="AO162" s="3">
        <v>0.1</v>
      </c>
      <c r="AP162" s="6">
        <v>835.62823500000002</v>
      </c>
      <c r="AQ162" s="3">
        <v>0.03</v>
      </c>
      <c r="AS162" s="3" t="s">
        <v>105</v>
      </c>
      <c r="AT162" s="3">
        <v>0.99</v>
      </c>
      <c r="AU162" s="7">
        <v>1180.763794</v>
      </c>
      <c r="AV162" s="3">
        <v>2E-3</v>
      </c>
      <c r="AW162" s="3">
        <f t="shared" si="18"/>
        <v>0.54500000000000004</v>
      </c>
      <c r="AX162" s="5"/>
      <c r="AY162" s="5"/>
      <c r="AZ162" s="5"/>
      <c r="BA162" s="5"/>
      <c r="BC162" s="3" t="s">
        <v>105</v>
      </c>
      <c r="BD162" s="3">
        <v>0.9</v>
      </c>
      <c r="BE162" s="3">
        <v>0.5</v>
      </c>
      <c r="BF162" s="3">
        <v>0.6</v>
      </c>
      <c r="BG162" s="3">
        <v>0.38</v>
      </c>
      <c r="BH162" s="6">
        <v>1007.29187</v>
      </c>
      <c r="BI162" s="3">
        <v>1.2999999999999999E-2</v>
      </c>
      <c r="BK162" s="3" t="s">
        <v>105</v>
      </c>
      <c r="BL162" s="3">
        <v>0.93</v>
      </c>
      <c r="BM162" s="7">
        <v>1170.6936040000001</v>
      </c>
      <c r="BN162" s="3">
        <v>1E-3</v>
      </c>
      <c r="BO162" s="3">
        <f t="shared" si="19"/>
        <v>0.65500000000000003</v>
      </c>
    </row>
    <row r="163" spans="1:67" x14ac:dyDescent="0.3">
      <c r="A163" s="3" t="s">
        <v>106</v>
      </c>
      <c r="B163" s="3">
        <v>0.9</v>
      </c>
      <c r="C163" s="3">
        <v>0.5</v>
      </c>
      <c r="D163" s="3">
        <v>0.6</v>
      </c>
      <c r="E163" s="3">
        <v>0.14000000000000001</v>
      </c>
      <c r="F163" s="6">
        <v>541.38891599999999</v>
      </c>
      <c r="G163" s="3">
        <v>2.1999999999999999E-2</v>
      </c>
      <c r="I163" s="3" t="s">
        <v>106</v>
      </c>
      <c r="J163" s="3">
        <v>0.45</v>
      </c>
      <c r="K163" s="7">
        <v>598.979736</v>
      </c>
      <c r="L163" s="3">
        <v>8.0000000000000002E-3</v>
      </c>
      <c r="M163" s="3">
        <f t="shared" si="16"/>
        <v>0.29500000000000004</v>
      </c>
      <c r="N163" s="5"/>
      <c r="O163" s="5"/>
      <c r="P163" s="5"/>
      <c r="Q163" s="5"/>
      <c r="S163" s="3" t="s">
        <v>106</v>
      </c>
      <c r="T163" s="3">
        <v>0.9</v>
      </c>
      <c r="U163" s="3">
        <v>0.5</v>
      </c>
      <c r="V163" s="3">
        <v>0.6</v>
      </c>
      <c r="W163" s="3">
        <v>0.41</v>
      </c>
      <c r="X163" s="6">
        <v>590.43988000000002</v>
      </c>
      <c r="Y163" s="3">
        <v>2.3E-2</v>
      </c>
      <c r="AA163" s="3" t="s">
        <v>106</v>
      </c>
      <c r="AB163" s="3">
        <v>0.89</v>
      </c>
      <c r="AC163" s="7">
        <v>653.10705600000006</v>
      </c>
      <c r="AD163" s="3">
        <v>0.01</v>
      </c>
      <c r="AE163" s="3">
        <f t="shared" si="17"/>
        <v>0.65</v>
      </c>
      <c r="AF163" s="5"/>
      <c r="AG163" s="5"/>
      <c r="AH163" s="5"/>
      <c r="AI163" s="5"/>
      <c r="AK163" s="3" t="s">
        <v>107</v>
      </c>
      <c r="AL163" s="3">
        <v>0.9</v>
      </c>
      <c r="AM163" s="3">
        <v>0.5</v>
      </c>
      <c r="AN163" s="3">
        <v>0.6</v>
      </c>
      <c r="AO163" s="3">
        <v>0.74</v>
      </c>
      <c r="AP163" s="6">
        <v>1190.372803</v>
      </c>
      <c r="AQ163" s="3">
        <v>4.7E-2</v>
      </c>
      <c r="AS163" s="3" t="s">
        <v>107</v>
      </c>
      <c r="AT163" s="3">
        <v>0.79</v>
      </c>
      <c r="AU163" s="7">
        <v>1205.6678469999999</v>
      </c>
      <c r="AV163" s="3">
        <v>2E-3</v>
      </c>
      <c r="AW163" s="3">
        <f t="shared" si="18"/>
        <v>0.76500000000000001</v>
      </c>
      <c r="AX163" s="5"/>
      <c r="AY163" s="5"/>
      <c r="AZ163" s="5"/>
      <c r="BA163" s="5"/>
      <c r="BC163" s="3" t="s">
        <v>107</v>
      </c>
      <c r="BD163" s="3">
        <v>0.9</v>
      </c>
      <c r="BE163" s="3">
        <v>0.5</v>
      </c>
      <c r="BF163" s="3">
        <v>0.6</v>
      </c>
      <c r="BG163" s="3">
        <v>0.03</v>
      </c>
      <c r="BH163" s="6">
        <v>878.28118900000004</v>
      </c>
      <c r="BI163" s="3">
        <v>1.4999999999999999E-2</v>
      </c>
      <c r="BK163" s="3" t="s">
        <v>107</v>
      </c>
      <c r="BL163" s="3">
        <v>0.7</v>
      </c>
      <c r="BM163" s="7">
        <v>1171.8831789999999</v>
      </c>
      <c r="BN163" s="3">
        <v>3.0000000000000001E-3</v>
      </c>
      <c r="BO163" s="3">
        <f t="shared" si="19"/>
        <v>0.36499999999999999</v>
      </c>
    </row>
    <row r="164" spans="1:67" x14ac:dyDescent="0.3">
      <c r="A164" s="3" t="s">
        <v>108</v>
      </c>
      <c r="B164" s="3">
        <v>0.9</v>
      </c>
      <c r="C164" s="3">
        <v>0.5</v>
      </c>
      <c r="D164" s="3">
        <v>0.6</v>
      </c>
      <c r="E164" s="3">
        <v>0.1</v>
      </c>
      <c r="F164" s="7">
        <v>638.67529300000001</v>
      </c>
      <c r="G164" s="3">
        <v>3.4000000000000002E-2</v>
      </c>
      <c r="I164" s="3" t="s">
        <v>108</v>
      </c>
      <c r="J164" s="3">
        <v>0.26</v>
      </c>
      <c r="K164" s="6">
        <v>609.76397699999995</v>
      </c>
      <c r="L164" s="3">
        <v>3.0000000000000001E-3</v>
      </c>
      <c r="M164" s="3">
        <f t="shared" si="16"/>
        <v>0.18</v>
      </c>
      <c r="N164" s="5"/>
      <c r="O164" s="5"/>
      <c r="P164" s="5"/>
      <c r="Q164" s="5"/>
      <c r="S164" s="3" t="s">
        <v>108</v>
      </c>
      <c r="T164" s="3">
        <v>0.9</v>
      </c>
      <c r="U164" s="3">
        <v>0.5</v>
      </c>
      <c r="V164" s="3">
        <v>0.6</v>
      </c>
      <c r="W164" s="3">
        <v>0.83</v>
      </c>
      <c r="X164" s="6">
        <v>636.00988800000005</v>
      </c>
      <c r="Y164" s="3">
        <v>1.2999999999999999E-2</v>
      </c>
      <c r="AA164" s="3" t="s">
        <v>108</v>
      </c>
      <c r="AB164" s="3">
        <v>0.01</v>
      </c>
      <c r="AC164" s="7">
        <v>704.07147199999997</v>
      </c>
      <c r="AD164" s="3">
        <v>2E-3</v>
      </c>
      <c r="AE164" s="3">
        <f t="shared" si="17"/>
        <v>0.42</v>
      </c>
      <c r="AF164" s="5"/>
      <c r="AG164" s="5"/>
      <c r="AH164" s="5"/>
      <c r="AI164" s="5"/>
      <c r="AK164" s="3" t="s">
        <v>109</v>
      </c>
      <c r="AL164" s="3">
        <v>0.9</v>
      </c>
      <c r="AM164" s="3">
        <v>0.5</v>
      </c>
      <c r="AN164" s="3">
        <v>0.6</v>
      </c>
      <c r="AO164" s="3">
        <v>0.86</v>
      </c>
      <c r="AP164" s="7">
        <v>1109.7298579999999</v>
      </c>
      <c r="AQ164" s="3">
        <v>1.7999999999999999E-2</v>
      </c>
      <c r="AS164" s="3" t="s">
        <v>109</v>
      </c>
      <c r="AT164" s="3">
        <v>0.39</v>
      </c>
      <c r="AU164" s="6">
        <v>964.10675000000003</v>
      </c>
      <c r="AV164" s="3">
        <v>4.0000000000000001E-3</v>
      </c>
      <c r="AW164" s="3">
        <f t="shared" si="18"/>
        <v>0.625</v>
      </c>
      <c r="AX164" s="5"/>
      <c r="AY164" s="5"/>
      <c r="AZ164" s="5"/>
      <c r="BA164" s="5"/>
      <c r="BC164" s="3" t="s">
        <v>109</v>
      </c>
      <c r="BD164" s="3">
        <v>0.9</v>
      </c>
      <c r="BE164" s="3">
        <v>0.5</v>
      </c>
      <c r="BF164" s="3">
        <v>0.6</v>
      </c>
      <c r="BG164" s="3">
        <v>0</v>
      </c>
      <c r="BH164" s="6">
        <v>829.77203399999996</v>
      </c>
      <c r="BI164" s="3">
        <v>2.5999999999999999E-2</v>
      </c>
      <c r="BK164" s="3" t="s">
        <v>109</v>
      </c>
      <c r="BL164" s="3">
        <v>0.47</v>
      </c>
      <c r="BM164" s="7">
        <v>977.65393100000006</v>
      </c>
      <c r="BN164" s="3">
        <v>5.0000000000000001E-3</v>
      </c>
      <c r="BO164" s="3">
        <f t="shared" si="19"/>
        <v>0.23499999999999999</v>
      </c>
    </row>
    <row r="165" spans="1:67" x14ac:dyDescent="0.3">
      <c r="A165" s="3" t="s">
        <v>110</v>
      </c>
      <c r="B165" s="3">
        <v>0.9</v>
      </c>
      <c r="C165" s="3">
        <v>0.5</v>
      </c>
      <c r="D165" s="3">
        <v>0.6</v>
      </c>
      <c r="E165" s="3">
        <v>0.12</v>
      </c>
      <c r="F165" s="6">
        <v>557.82195999999999</v>
      </c>
      <c r="G165" s="3">
        <v>4.0000000000000001E-3</v>
      </c>
      <c r="I165" s="3" t="s">
        <v>110</v>
      </c>
      <c r="J165" s="3">
        <v>0.87</v>
      </c>
      <c r="K165" s="7">
        <v>714.30029300000001</v>
      </c>
      <c r="L165" s="3">
        <v>1E-3</v>
      </c>
      <c r="M165" s="3">
        <f t="shared" si="16"/>
        <v>0.495</v>
      </c>
      <c r="N165" s="5"/>
      <c r="O165" s="5"/>
      <c r="P165" s="5"/>
      <c r="Q165" s="5"/>
      <c r="S165" s="3" t="s">
        <v>110</v>
      </c>
      <c r="T165" s="3">
        <v>0.9</v>
      </c>
      <c r="U165" s="3">
        <v>0.5</v>
      </c>
      <c r="V165" s="3">
        <v>0.6</v>
      </c>
      <c r="W165" s="3">
        <v>0.87</v>
      </c>
      <c r="X165" s="6">
        <v>671.54339600000003</v>
      </c>
      <c r="Y165" s="3">
        <v>1.4999999999999999E-2</v>
      </c>
      <c r="AA165" s="3" t="s">
        <v>110</v>
      </c>
      <c r="AB165" s="3">
        <v>0.8</v>
      </c>
      <c r="AC165" s="7">
        <v>684.54296899999997</v>
      </c>
      <c r="AD165" s="3">
        <v>5.0000000000000001E-3</v>
      </c>
      <c r="AE165" s="3">
        <f t="shared" si="17"/>
        <v>0.83499999999999996</v>
      </c>
      <c r="AF165" s="5"/>
      <c r="AG165" s="5"/>
      <c r="AH165" s="5"/>
      <c r="AI165" s="5"/>
      <c r="AK165" s="3" t="s">
        <v>111</v>
      </c>
      <c r="AL165" s="3">
        <v>0.9</v>
      </c>
      <c r="AM165" s="3">
        <v>0.5</v>
      </c>
      <c r="AN165" s="3">
        <v>0.6</v>
      </c>
      <c r="AO165" s="3">
        <v>0.6</v>
      </c>
      <c r="AP165" s="6">
        <v>1116.9586179999999</v>
      </c>
      <c r="AQ165" s="3">
        <v>2.8000000000000001E-2</v>
      </c>
      <c r="AS165" s="3" t="s">
        <v>111</v>
      </c>
      <c r="AT165" s="3">
        <v>0.83</v>
      </c>
      <c r="AU165" s="7">
        <v>1167.802246</v>
      </c>
      <c r="AV165" s="3">
        <v>2E-3</v>
      </c>
      <c r="AW165" s="3">
        <f t="shared" si="18"/>
        <v>0.71499999999999997</v>
      </c>
      <c r="AX165" s="5"/>
      <c r="AY165" s="5"/>
      <c r="AZ165" s="5"/>
      <c r="BA165" s="5"/>
      <c r="BC165" s="3" t="s">
        <v>111</v>
      </c>
      <c r="BD165" s="3">
        <v>0.9</v>
      </c>
      <c r="BE165" s="3">
        <v>0.5</v>
      </c>
      <c r="BF165" s="3">
        <v>0.6</v>
      </c>
      <c r="BG165" s="3">
        <v>0.04</v>
      </c>
      <c r="BH165" s="6">
        <v>828.51391599999999</v>
      </c>
      <c r="BI165" s="3">
        <v>1.6E-2</v>
      </c>
      <c r="BK165" s="3" t="s">
        <v>111</v>
      </c>
      <c r="BL165" s="3">
        <v>0.99</v>
      </c>
      <c r="BM165" s="7">
        <v>1214.832275</v>
      </c>
      <c r="BN165" s="3">
        <v>5.0000000000000001E-3</v>
      </c>
      <c r="BO165" s="3">
        <f t="shared" si="19"/>
        <v>0.51500000000000001</v>
      </c>
    </row>
    <row r="166" spans="1:67" x14ac:dyDescent="0.3">
      <c r="A166" s="3" t="s">
        <v>112</v>
      </c>
      <c r="B166" s="3">
        <v>0.9</v>
      </c>
      <c r="C166" s="3">
        <v>0.5</v>
      </c>
      <c r="D166" s="3">
        <v>0.6</v>
      </c>
      <c r="E166" s="3">
        <v>0.35</v>
      </c>
      <c r="F166" s="6">
        <v>489.28988600000002</v>
      </c>
      <c r="G166" s="3">
        <v>1.4999999999999999E-2</v>
      </c>
      <c r="I166" s="3" t="s">
        <v>112</v>
      </c>
      <c r="J166" s="3">
        <v>0.77</v>
      </c>
      <c r="K166" s="7">
        <v>565.04272500000002</v>
      </c>
      <c r="L166" s="3">
        <v>1.2999999999999999E-2</v>
      </c>
      <c r="M166" s="3">
        <f t="shared" si="16"/>
        <v>0.56000000000000005</v>
      </c>
      <c r="N166" s="5"/>
      <c r="O166" s="5"/>
      <c r="P166" s="5"/>
      <c r="Q166" s="5"/>
      <c r="S166" s="3" t="s">
        <v>112</v>
      </c>
      <c r="T166" s="3">
        <v>0.9</v>
      </c>
      <c r="U166" s="3">
        <v>0.5</v>
      </c>
      <c r="V166" s="3">
        <v>0.6</v>
      </c>
      <c r="W166" s="3">
        <v>0.1</v>
      </c>
      <c r="X166" s="6">
        <v>445.93069500000001</v>
      </c>
      <c r="Y166" s="3">
        <v>1.2E-2</v>
      </c>
      <c r="AA166" s="3" t="s">
        <v>112</v>
      </c>
      <c r="AB166" s="3">
        <v>0.83</v>
      </c>
      <c r="AC166" s="7">
        <v>554.74462900000003</v>
      </c>
      <c r="AD166" s="3">
        <v>1E-3</v>
      </c>
      <c r="AE166" s="3">
        <f t="shared" si="17"/>
        <v>0.46499999999999997</v>
      </c>
      <c r="AF166" s="5"/>
      <c r="AG166" s="5"/>
      <c r="AH166" s="5"/>
      <c r="AI166" s="5"/>
      <c r="AK166" s="3" t="s">
        <v>113</v>
      </c>
      <c r="AL166" s="3">
        <v>0.9</v>
      </c>
      <c r="AM166" s="3">
        <v>0.5</v>
      </c>
      <c r="AN166" s="3">
        <v>0.6</v>
      </c>
      <c r="AO166" s="3">
        <v>0.55000000000000004</v>
      </c>
      <c r="AP166" s="7">
        <v>1010.748474</v>
      </c>
      <c r="AQ166" s="3">
        <v>2.7E-2</v>
      </c>
      <c r="AS166" s="3" t="s">
        <v>113</v>
      </c>
      <c r="AT166" s="3">
        <v>0.3</v>
      </c>
      <c r="AU166" s="6">
        <v>918.61090100000001</v>
      </c>
      <c r="AV166" s="3">
        <v>7.0000000000000001E-3</v>
      </c>
      <c r="AW166" s="3">
        <f t="shared" si="18"/>
        <v>0.42500000000000004</v>
      </c>
      <c r="AX166" s="5"/>
      <c r="AY166" s="5"/>
      <c r="AZ166" s="5"/>
      <c r="BA166" s="5"/>
      <c r="BC166" s="3" t="s">
        <v>113</v>
      </c>
      <c r="BD166" s="3">
        <v>0.9</v>
      </c>
      <c r="BE166" s="3">
        <v>0.5</v>
      </c>
      <c r="BF166" s="3">
        <v>0.6</v>
      </c>
      <c r="BG166" s="3">
        <v>0.57999999999999996</v>
      </c>
      <c r="BH166" s="6">
        <v>1010.38739</v>
      </c>
      <c r="BI166" s="3">
        <v>1.4999999999999999E-2</v>
      </c>
      <c r="BK166" s="3" t="s">
        <v>113</v>
      </c>
      <c r="BL166" s="3">
        <v>0.98</v>
      </c>
      <c r="BM166" s="7">
        <v>1084.451904</v>
      </c>
      <c r="BN166" s="3">
        <v>8.0000000000000002E-3</v>
      </c>
      <c r="BO166" s="3">
        <f t="shared" si="19"/>
        <v>0.78</v>
      </c>
    </row>
    <row r="167" spans="1:67" x14ac:dyDescent="0.3">
      <c r="A167" s="3" t="s">
        <v>114</v>
      </c>
      <c r="B167" s="3">
        <v>0.9</v>
      </c>
      <c r="C167" s="3">
        <v>0.5</v>
      </c>
      <c r="D167" s="3">
        <v>0.6</v>
      </c>
      <c r="E167" s="3">
        <v>0.31</v>
      </c>
      <c r="F167" s="6">
        <v>612.69805899999994</v>
      </c>
      <c r="G167" s="3">
        <v>1.9E-2</v>
      </c>
      <c r="I167" s="3" t="s">
        <v>114</v>
      </c>
      <c r="J167" s="3">
        <v>0.6</v>
      </c>
      <c r="K167" s="7">
        <v>659.675476</v>
      </c>
      <c r="L167" s="3">
        <v>2E-3</v>
      </c>
      <c r="M167" s="3">
        <f t="shared" si="16"/>
        <v>0.45499999999999996</v>
      </c>
      <c r="N167" s="5"/>
      <c r="O167" s="5"/>
      <c r="P167" s="5"/>
      <c r="Q167" s="5"/>
      <c r="S167" s="3" t="s">
        <v>114</v>
      </c>
      <c r="T167" s="3">
        <v>0.9</v>
      </c>
      <c r="U167" s="3">
        <v>0.5</v>
      </c>
      <c r="V167" s="3">
        <v>0.6</v>
      </c>
      <c r="W167" s="3">
        <v>0.9</v>
      </c>
      <c r="X167" s="7">
        <v>697.24017300000003</v>
      </c>
      <c r="Y167" s="3">
        <v>1.2999999999999999E-2</v>
      </c>
      <c r="AA167" s="3" t="s">
        <v>114</v>
      </c>
      <c r="AB167" s="3">
        <v>0.12</v>
      </c>
      <c r="AC167" s="6">
        <v>580.85845900000004</v>
      </c>
      <c r="AD167" s="3">
        <v>0</v>
      </c>
      <c r="AE167" s="3">
        <f t="shared" si="17"/>
        <v>0.51</v>
      </c>
      <c r="AF167" s="5"/>
      <c r="AG167" s="5"/>
      <c r="AH167" s="5"/>
      <c r="AI167" s="5"/>
      <c r="AK167" s="3" t="s">
        <v>115</v>
      </c>
      <c r="AL167" s="3">
        <v>0.9</v>
      </c>
      <c r="AM167" s="3">
        <v>0.5</v>
      </c>
      <c r="AN167" s="3">
        <v>0.6</v>
      </c>
      <c r="AO167" s="3">
        <v>0.84</v>
      </c>
      <c r="AP167" s="7">
        <v>1332.5032960000001</v>
      </c>
      <c r="AQ167" s="3">
        <v>0.02</v>
      </c>
      <c r="AS167" s="3" t="s">
        <v>115</v>
      </c>
      <c r="AT167" s="3">
        <v>0.63</v>
      </c>
      <c r="AU167" s="6">
        <v>1205.630981</v>
      </c>
      <c r="AV167" s="3">
        <v>3.0000000000000001E-3</v>
      </c>
      <c r="AW167" s="3">
        <f t="shared" si="18"/>
        <v>0.73499999999999999</v>
      </c>
      <c r="AX167" s="5"/>
      <c r="AY167" s="5"/>
      <c r="AZ167" s="5"/>
      <c r="BA167" s="5"/>
      <c r="BC167" s="3" t="s">
        <v>115</v>
      </c>
      <c r="BD167" s="3">
        <v>0.9</v>
      </c>
      <c r="BE167" s="3">
        <v>0.5</v>
      </c>
      <c r="BF167" s="3">
        <v>0.6</v>
      </c>
      <c r="BG167" s="3">
        <v>0.03</v>
      </c>
      <c r="BH167" s="6">
        <v>804.73028599999998</v>
      </c>
      <c r="BI167" s="3">
        <v>1.2999999999999999E-2</v>
      </c>
      <c r="BK167" s="3" t="s">
        <v>115</v>
      </c>
      <c r="BL167" s="3">
        <v>0.92</v>
      </c>
      <c r="BM167" s="7">
        <v>1354.958374</v>
      </c>
      <c r="BN167" s="3">
        <v>1E-3</v>
      </c>
      <c r="BO167" s="3">
        <f t="shared" si="19"/>
        <v>0.47500000000000003</v>
      </c>
    </row>
    <row r="168" spans="1:67" x14ac:dyDescent="0.3">
      <c r="A168" s="3" t="s">
        <v>116</v>
      </c>
      <c r="B168" s="3">
        <v>0.9</v>
      </c>
      <c r="C168" s="3">
        <v>0.5</v>
      </c>
      <c r="D168" s="3">
        <v>0.6</v>
      </c>
      <c r="E168" s="3">
        <v>7.0000000000000007E-2</v>
      </c>
      <c r="F168" s="6">
        <v>620.785889</v>
      </c>
      <c r="G168" s="3">
        <v>2.5000000000000001E-2</v>
      </c>
      <c r="I168" s="3" t="s">
        <v>116</v>
      </c>
      <c r="J168" s="3">
        <v>0.86</v>
      </c>
      <c r="K168" s="7">
        <v>716.40429700000004</v>
      </c>
      <c r="L168" s="3">
        <v>1E-3</v>
      </c>
      <c r="M168" s="3">
        <f t="shared" si="16"/>
        <v>0.46499999999999997</v>
      </c>
      <c r="N168" s="5"/>
      <c r="O168" s="5"/>
      <c r="P168" s="5"/>
      <c r="Q168" s="5"/>
      <c r="S168" s="3" t="s">
        <v>116</v>
      </c>
      <c r="T168" s="3">
        <v>0.9</v>
      </c>
      <c r="U168" s="3">
        <v>0.5</v>
      </c>
      <c r="V168" s="3">
        <v>0.6</v>
      </c>
      <c r="W168" s="3">
        <v>0.17</v>
      </c>
      <c r="X168" s="6">
        <v>611.13293499999997</v>
      </c>
      <c r="Y168" s="3">
        <v>1.4E-2</v>
      </c>
      <c r="AA168" s="3" t="s">
        <v>116</v>
      </c>
      <c r="AB168" s="3">
        <v>0.43</v>
      </c>
      <c r="AC168" s="7">
        <v>662.40185499999995</v>
      </c>
      <c r="AD168" s="3">
        <v>3.0000000000000001E-3</v>
      </c>
      <c r="AE168" s="3">
        <f t="shared" si="17"/>
        <v>0.3</v>
      </c>
      <c r="AF168" s="5"/>
      <c r="AG168" s="5"/>
      <c r="AH168" s="5"/>
      <c r="AI168" s="5"/>
      <c r="AK168" s="3" t="s">
        <v>117</v>
      </c>
      <c r="AL168" s="3">
        <v>0.9</v>
      </c>
      <c r="AM168" s="3">
        <v>0.5</v>
      </c>
      <c r="AN168" s="3">
        <v>0.6</v>
      </c>
      <c r="AO168" s="3">
        <v>0.6</v>
      </c>
      <c r="AP168" s="6">
        <v>1109.1999510000001</v>
      </c>
      <c r="AQ168" s="3">
        <v>1.4E-2</v>
      </c>
      <c r="AS168" s="3" t="s">
        <v>117</v>
      </c>
      <c r="AT168" s="3">
        <v>0.85</v>
      </c>
      <c r="AU168" s="7">
        <v>1136.952393</v>
      </c>
      <c r="AV168" s="3">
        <v>1E-3</v>
      </c>
      <c r="AW168" s="3">
        <f t="shared" si="18"/>
        <v>0.72499999999999998</v>
      </c>
      <c r="AX168" s="5"/>
      <c r="AY168" s="5"/>
      <c r="AZ168" s="5"/>
      <c r="BA168" s="5"/>
      <c r="BC168" s="3" t="s">
        <v>117</v>
      </c>
      <c r="BD168" s="3">
        <v>0.9</v>
      </c>
      <c r="BE168" s="3">
        <v>0.5</v>
      </c>
      <c r="BF168" s="3">
        <v>0.6</v>
      </c>
      <c r="BG168" s="3">
        <v>0.53</v>
      </c>
      <c r="BH168" s="7">
        <v>1068.4554439999999</v>
      </c>
      <c r="BI168" s="3">
        <v>1.9E-2</v>
      </c>
      <c r="BK168" s="3" t="s">
        <v>117</v>
      </c>
      <c r="BL168" s="3">
        <v>0.38</v>
      </c>
      <c r="BM168" s="6">
        <v>1003.586731</v>
      </c>
      <c r="BN168" s="3">
        <v>1E-3</v>
      </c>
      <c r="BO168" s="3">
        <f t="shared" si="19"/>
        <v>0.45500000000000002</v>
      </c>
    </row>
    <row r="169" spans="1:67" x14ac:dyDescent="0.3">
      <c r="A169" s="3" t="s">
        <v>118</v>
      </c>
      <c r="B169" s="3">
        <v>0.9</v>
      </c>
      <c r="C169" s="3">
        <v>0.5</v>
      </c>
      <c r="D169" s="3">
        <v>0.6</v>
      </c>
      <c r="E169" s="3">
        <v>0.15</v>
      </c>
      <c r="F169" s="6">
        <v>553.96673599999997</v>
      </c>
      <c r="G169" s="3">
        <v>2.1999999999999999E-2</v>
      </c>
      <c r="I169" s="3" t="s">
        <v>118</v>
      </c>
      <c r="J169" s="3">
        <v>0.98</v>
      </c>
      <c r="K169" s="7">
        <v>678.65325900000005</v>
      </c>
      <c r="L169" s="3">
        <v>5.0000000000000001E-3</v>
      </c>
      <c r="M169" s="3">
        <f t="shared" si="16"/>
        <v>0.56499999999999995</v>
      </c>
      <c r="N169" s="5"/>
      <c r="O169" s="5"/>
      <c r="P169" s="5"/>
      <c r="Q169" s="5"/>
      <c r="S169" s="3" t="s">
        <v>118</v>
      </c>
      <c r="T169" s="3">
        <v>0.9</v>
      </c>
      <c r="U169" s="3">
        <v>0.5</v>
      </c>
      <c r="V169" s="3">
        <v>0.6</v>
      </c>
      <c r="W169" s="3">
        <v>0.52</v>
      </c>
      <c r="X169" s="7">
        <v>642.53186000000005</v>
      </c>
      <c r="Y169" s="3">
        <v>1.0999999999999999E-2</v>
      </c>
      <c r="AA169" s="3" t="s">
        <v>118</v>
      </c>
      <c r="AB169" s="3">
        <v>0.25</v>
      </c>
      <c r="AC169" s="6">
        <v>546.78784199999996</v>
      </c>
      <c r="AD169" s="3">
        <v>1E-3</v>
      </c>
      <c r="AE169" s="3">
        <f t="shared" si="17"/>
        <v>0.38500000000000001</v>
      </c>
      <c r="AF169" s="5"/>
      <c r="AG169" s="5"/>
      <c r="AH169" s="5"/>
      <c r="AI169" s="5"/>
      <c r="AK169" s="3" t="s">
        <v>119</v>
      </c>
      <c r="AL169" s="3">
        <v>0.9</v>
      </c>
      <c r="AM169" s="3">
        <v>0.5</v>
      </c>
      <c r="AN169" s="3">
        <v>0.6</v>
      </c>
      <c r="AO169" s="3">
        <v>0.53</v>
      </c>
      <c r="AP169" s="7">
        <v>1139.794678</v>
      </c>
      <c r="AQ169" s="3">
        <v>1.4999999999999999E-2</v>
      </c>
      <c r="AS169" s="3" t="s">
        <v>119</v>
      </c>
      <c r="AT169" s="3">
        <v>0.18</v>
      </c>
      <c r="AU169" s="6">
        <v>913.86047399999995</v>
      </c>
      <c r="AV169" s="3">
        <v>2E-3</v>
      </c>
      <c r="AW169" s="3">
        <f t="shared" si="18"/>
        <v>0.35499999999999998</v>
      </c>
      <c r="AX169" s="5"/>
      <c r="AY169" s="5"/>
      <c r="AZ169" s="5"/>
      <c r="BA169" s="5"/>
      <c r="BC169" s="3" t="s">
        <v>119</v>
      </c>
      <c r="BD169" s="3">
        <v>0.9</v>
      </c>
      <c r="BE169" s="3">
        <v>0.5</v>
      </c>
      <c r="BF169" s="3">
        <v>0.6</v>
      </c>
      <c r="BG169" s="3">
        <v>0.5</v>
      </c>
      <c r="BH169" s="6">
        <v>1119.9693600000001</v>
      </c>
      <c r="BI169" s="3">
        <v>1.6E-2</v>
      </c>
      <c r="BK169" s="3" t="s">
        <v>119</v>
      </c>
      <c r="BL169" s="3">
        <v>0.84</v>
      </c>
      <c r="BM169" s="7">
        <v>1251.726318</v>
      </c>
      <c r="BN169" s="3">
        <v>2E-3</v>
      </c>
      <c r="BO169" s="3">
        <f t="shared" si="19"/>
        <v>0.66999999999999993</v>
      </c>
    </row>
    <row r="170" spans="1:67" x14ac:dyDescent="0.3">
      <c r="A170" s="3" t="s">
        <v>120</v>
      </c>
      <c r="B170" s="3">
        <v>0.9</v>
      </c>
      <c r="C170" s="3">
        <v>0.5</v>
      </c>
      <c r="D170" s="3">
        <v>0.6</v>
      </c>
      <c r="E170" s="3">
        <v>0.04</v>
      </c>
      <c r="F170" s="6">
        <v>715.88507100000004</v>
      </c>
      <c r="G170" s="3">
        <v>2.3E-2</v>
      </c>
      <c r="I170" s="3" t="s">
        <v>120</v>
      </c>
      <c r="J170" s="3">
        <v>0.51</v>
      </c>
      <c r="K170" s="7">
        <v>748.06823699999995</v>
      </c>
      <c r="L170" s="3">
        <v>5.0000000000000001E-3</v>
      </c>
      <c r="M170" s="3">
        <f t="shared" si="16"/>
        <v>0.27500000000000002</v>
      </c>
      <c r="N170" s="5"/>
      <c r="O170" s="5"/>
      <c r="P170" s="5"/>
      <c r="Q170" s="5"/>
      <c r="S170" s="3" t="s">
        <v>120</v>
      </c>
      <c r="T170" s="3">
        <v>0.9</v>
      </c>
      <c r="U170" s="3">
        <v>0.5</v>
      </c>
      <c r="V170" s="3">
        <v>0.6</v>
      </c>
      <c r="W170" s="3">
        <v>0.22</v>
      </c>
      <c r="X170" s="6">
        <v>695.92138699999998</v>
      </c>
      <c r="Y170" s="3">
        <v>1.4E-2</v>
      </c>
      <c r="AA170" s="3" t="s">
        <v>120</v>
      </c>
      <c r="AB170" s="3">
        <v>0.75</v>
      </c>
      <c r="AC170" s="7">
        <v>778.99035600000002</v>
      </c>
      <c r="AD170" s="3">
        <v>6.0000000000000001E-3</v>
      </c>
      <c r="AE170" s="3">
        <f t="shared" si="17"/>
        <v>0.48499999999999999</v>
      </c>
      <c r="AF170" s="5"/>
      <c r="AG170" s="5"/>
      <c r="AH170" s="5"/>
      <c r="AI170" s="5"/>
      <c r="AK170" s="3" t="s">
        <v>121</v>
      </c>
      <c r="AL170" s="3">
        <v>0.9</v>
      </c>
      <c r="AM170" s="3">
        <v>0.5</v>
      </c>
      <c r="AN170" s="3">
        <v>0.6</v>
      </c>
      <c r="AO170" s="3">
        <v>0.85</v>
      </c>
      <c r="AP170" s="7">
        <v>1250.4702150000001</v>
      </c>
      <c r="AQ170" s="3">
        <v>0.02</v>
      </c>
      <c r="AS170" s="3" t="s">
        <v>121</v>
      </c>
      <c r="AT170" s="3">
        <v>0.19</v>
      </c>
      <c r="AU170" s="6">
        <v>955.53649900000005</v>
      </c>
      <c r="AV170" s="3">
        <v>4.0000000000000001E-3</v>
      </c>
      <c r="AW170" s="3">
        <f t="shared" si="18"/>
        <v>0.52</v>
      </c>
      <c r="AX170" s="5"/>
      <c r="AY170" s="5"/>
      <c r="AZ170" s="5"/>
      <c r="BA170" s="5"/>
      <c r="BC170" s="3" t="s">
        <v>121</v>
      </c>
      <c r="BD170" s="3">
        <v>0.9</v>
      </c>
      <c r="BE170" s="3">
        <v>0.5</v>
      </c>
      <c r="BF170" s="3">
        <v>0.6</v>
      </c>
      <c r="BG170" s="3">
        <v>0</v>
      </c>
      <c r="BH170" s="6">
        <v>927.14019800000005</v>
      </c>
      <c r="BI170" s="3">
        <v>1.7999999999999999E-2</v>
      </c>
      <c r="BK170" s="3" t="s">
        <v>121</v>
      </c>
      <c r="BL170" s="3">
        <v>0.34</v>
      </c>
      <c r="BM170" s="7">
        <v>1055.2320560000001</v>
      </c>
      <c r="BN170" s="3">
        <v>1E-3</v>
      </c>
      <c r="BO170" s="3">
        <f t="shared" si="19"/>
        <v>0.17</v>
      </c>
    </row>
    <row r="171" spans="1:67" x14ac:dyDescent="0.3">
      <c r="A171" s="3" t="s">
        <v>122</v>
      </c>
      <c r="B171" s="3">
        <v>0.9</v>
      </c>
      <c r="C171" s="3">
        <v>0.5</v>
      </c>
      <c r="D171" s="3">
        <v>0.6</v>
      </c>
      <c r="E171" s="3">
        <v>0.14000000000000001</v>
      </c>
      <c r="F171" s="6">
        <v>640.79394500000001</v>
      </c>
      <c r="G171" s="3">
        <v>2.7E-2</v>
      </c>
      <c r="I171" s="3" t="s">
        <v>122</v>
      </c>
      <c r="J171" s="3">
        <v>0.85</v>
      </c>
      <c r="K171" s="7">
        <v>748.84667999999999</v>
      </c>
      <c r="L171" s="3">
        <v>5.0000000000000001E-3</v>
      </c>
      <c r="M171" s="3">
        <f t="shared" si="16"/>
        <v>0.495</v>
      </c>
      <c r="N171" s="5"/>
      <c r="O171" s="5"/>
      <c r="P171" s="5"/>
      <c r="Q171" s="5"/>
      <c r="S171" s="3" t="s">
        <v>122</v>
      </c>
      <c r="T171" s="3">
        <v>0.9</v>
      </c>
      <c r="U171" s="3">
        <v>0.5</v>
      </c>
      <c r="V171" s="3">
        <v>0.6</v>
      </c>
      <c r="W171" s="3">
        <v>0.28999999999999998</v>
      </c>
      <c r="X171" s="6">
        <v>654.77642800000001</v>
      </c>
      <c r="Y171" s="3">
        <v>1.2999999999999999E-2</v>
      </c>
      <c r="AA171" s="3" t="s">
        <v>122</v>
      </c>
      <c r="AB171" s="3">
        <v>0.68</v>
      </c>
      <c r="AC171" s="7">
        <v>698.95410200000003</v>
      </c>
      <c r="AD171" s="3">
        <v>2E-3</v>
      </c>
      <c r="AE171" s="3">
        <f t="shared" si="17"/>
        <v>0.48499999999999999</v>
      </c>
      <c r="AF171" s="5"/>
      <c r="AG171" s="5"/>
      <c r="AH171" s="5"/>
      <c r="AI171" s="5"/>
      <c r="AK171" s="3" t="s">
        <v>123</v>
      </c>
      <c r="AL171" s="3">
        <v>0.9</v>
      </c>
      <c r="AM171" s="3">
        <v>0.5</v>
      </c>
      <c r="AN171" s="3">
        <v>0.6</v>
      </c>
      <c r="AO171" s="3">
        <v>0.27</v>
      </c>
      <c r="AP171" s="6">
        <v>981.20733600000005</v>
      </c>
      <c r="AQ171" s="3">
        <v>1.2E-2</v>
      </c>
      <c r="AS171" s="3" t="s">
        <v>123</v>
      </c>
      <c r="AT171" s="3">
        <v>0.56999999999999995</v>
      </c>
      <c r="AU171" s="7">
        <v>1130.4075929999999</v>
      </c>
      <c r="AV171" s="3">
        <v>0</v>
      </c>
      <c r="AW171" s="3">
        <f t="shared" si="18"/>
        <v>0.42</v>
      </c>
      <c r="AX171" s="5"/>
      <c r="AY171" s="5"/>
      <c r="AZ171" s="5"/>
      <c r="BA171" s="5"/>
      <c r="BC171" s="3" t="s">
        <v>123</v>
      </c>
      <c r="BD171" s="3">
        <v>0.9</v>
      </c>
      <c r="BE171" s="3">
        <v>0.5</v>
      </c>
      <c r="BF171" s="3">
        <v>0.6</v>
      </c>
      <c r="BG171" s="3">
        <v>0.97</v>
      </c>
      <c r="BH171" s="7">
        <v>1245.7711179999999</v>
      </c>
      <c r="BI171" s="3">
        <v>1.7999999999999999E-2</v>
      </c>
      <c r="BK171" s="3" t="s">
        <v>123</v>
      </c>
      <c r="BL171" s="3">
        <v>0.53</v>
      </c>
      <c r="BM171" s="6">
        <v>1117.8095699999999</v>
      </c>
      <c r="BN171" s="3">
        <v>5.0000000000000001E-3</v>
      </c>
      <c r="BO171" s="3">
        <f t="shared" si="19"/>
        <v>0.75</v>
      </c>
    </row>
    <row r="172" spans="1:67" x14ac:dyDescent="0.3">
      <c r="A172" s="3" t="s">
        <v>124</v>
      </c>
      <c r="B172" s="3">
        <v>0.9</v>
      </c>
      <c r="C172" s="3">
        <v>0.5</v>
      </c>
      <c r="D172" s="3">
        <v>0.6</v>
      </c>
      <c r="E172" s="3">
        <v>0.49</v>
      </c>
      <c r="F172" s="7">
        <v>621.42016599999999</v>
      </c>
      <c r="G172" s="3">
        <v>3.3000000000000002E-2</v>
      </c>
      <c r="I172" s="3" t="s">
        <v>124</v>
      </c>
      <c r="J172" s="3">
        <v>0.24</v>
      </c>
      <c r="K172" s="6">
        <v>565.13610800000004</v>
      </c>
      <c r="L172" s="3">
        <v>1E-3</v>
      </c>
      <c r="M172" s="3">
        <f t="shared" si="16"/>
        <v>0.36499999999999999</v>
      </c>
      <c r="N172" s="5"/>
      <c r="O172" s="5"/>
      <c r="P172" s="5"/>
      <c r="Q172" s="5"/>
      <c r="S172" s="3" t="s">
        <v>124</v>
      </c>
      <c r="T172" s="3">
        <v>0.9</v>
      </c>
      <c r="U172" s="3">
        <v>0.5</v>
      </c>
      <c r="V172" s="3">
        <v>0.6</v>
      </c>
      <c r="W172" s="3">
        <v>0.8</v>
      </c>
      <c r="X172" s="7">
        <v>659.816956</v>
      </c>
      <c r="Y172" s="3">
        <v>1.0999999999999999E-2</v>
      </c>
      <c r="AA172" s="3" t="s">
        <v>124</v>
      </c>
      <c r="AB172" s="3">
        <v>0.03</v>
      </c>
      <c r="AC172" s="6">
        <v>627.60320999999999</v>
      </c>
      <c r="AD172" s="3">
        <v>2E-3</v>
      </c>
      <c r="AE172" s="3">
        <f t="shared" si="17"/>
        <v>0.41500000000000004</v>
      </c>
      <c r="AF172" s="5"/>
      <c r="AG172" s="5"/>
      <c r="AH172" s="5"/>
      <c r="AI172" s="5"/>
      <c r="AK172" s="3" t="s">
        <v>125</v>
      </c>
      <c r="AL172" s="3">
        <v>0.9</v>
      </c>
      <c r="AM172" s="3">
        <v>0.5</v>
      </c>
      <c r="AN172" s="3">
        <v>0.6</v>
      </c>
      <c r="AO172" s="3">
        <v>0.16</v>
      </c>
      <c r="AP172" s="7">
        <v>976.62823500000002</v>
      </c>
      <c r="AQ172" s="3">
        <v>1.7999999999999999E-2</v>
      </c>
      <c r="AS172" s="3" t="s">
        <v>125</v>
      </c>
      <c r="AT172" s="3">
        <v>0.14000000000000001</v>
      </c>
      <c r="AU172" s="6">
        <v>964.18658400000004</v>
      </c>
      <c r="AV172" s="3">
        <v>1E-3</v>
      </c>
      <c r="AW172" s="3">
        <f t="shared" si="18"/>
        <v>0.15000000000000002</v>
      </c>
      <c r="AX172" s="5"/>
      <c r="AY172" s="5"/>
      <c r="AZ172" s="5"/>
      <c r="BA172" s="5"/>
      <c r="BC172" s="3" t="s">
        <v>125</v>
      </c>
      <c r="BD172" s="3">
        <v>0.9</v>
      </c>
      <c r="BE172" s="3">
        <v>0.5</v>
      </c>
      <c r="BF172" s="3">
        <v>0.6</v>
      </c>
      <c r="BG172" s="3">
        <v>0.4</v>
      </c>
      <c r="BH172" s="6">
        <v>1105.7799070000001</v>
      </c>
      <c r="BI172" s="3">
        <v>1.4999999999999999E-2</v>
      </c>
      <c r="BK172" s="3" t="s">
        <v>125</v>
      </c>
      <c r="BL172" s="3">
        <v>0.5</v>
      </c>
      <c r="BM172" s="7">
        <v>1126.6954350000001</v>
      </c>
      <c r="BN172" s="3">
        <v>7.0000000000000001E-3</v>
      </c>
      <c r="BO172" s="3">
        <f t="shared" si="19"/>
        <v>0.45</v>
      </c>
    </row>
    <row r="173" spans="1:67" x14ac:dyDescent="0.3">
      <c r="A173" s="3" t="s">
        <v>126</v>
      </c>
      <c r="B173" s="3">
        <v>0.9</v>
      </c>
      <c r="C173" s="3">
        <v>0.5</v>
      </c>
      <c r="D173" s="3">
        <v>0.6</v>
      </c>
      <c r="E173" s="3">
        <v>0.24</v>
      </c>
      <c r="F173" s="6">
        <v>627.89904799999999</v>
      </c>
      <c r="G173" s="3">
        <v>1.7000000000000001E-2</v>
      </c>
      <c r="I173" s="3" t="s">
        <v>126</v>
      </c>
      <c r="J173" s="3">
        <v>0.65</v>
      </c>
      <c r="K173" s="7">
        <v>660.05755599999998</v>
      </c>
      <c r="L173" s="3">
        <v>4.0000000000000001E-3</v>
      </c>
      <c r="M173" s="3">
        <f t="shared" si="16"/>
        <v>0.44500000000000001</v>
      </c>
      <c r="N173" s="5"/>
      <c r="O173" s="5"/>
      <c r="P173" s="5"/>
      <c r="Q173" s="5"/>
      <c r="S173" s="3" t="s">
        <v>126</v>
      </c>
      <c r="T173" s="3">
        <v>0.9</v>
      </c>
      <c r="U173" s="3">
        <v>0.5</v>
      </c>
      <c r="V173" s="3">
        <v>0.6</v>
      </c>
      <c r="W173" s="3">
        <v>0.01</v>
      </c>
      <c r="X173" s="6">
        <v>674.78546100000005</v>
      </c>
      <c r="Y173" s="3">
        <v>2.1000000000000001E-2</v>
      </c>
      <c r="AA173" s="3" t="s">
        <v>126</v>
      </c>
      <c r="AB173" s="3">
        <v>0.71</v>
      </c>
      <c r="AC173" s="7">
        <v>705.02362100000005</v>
      </c>
      <c r="AD173" s="3">
        <v>3.0000000000000001E-3</v>
      </c>
      <c r="AE173" s="3">
        <f t="shared" si="17"/>
        <v>0.36</v>
      </c>
      <c r="AF173" s="5"/>
      <c r="AG173" s="5"/>
      <c r="AH173" s="5"/>
      <c r="AI173" s="5"/>
      <c r="AK173" s="3" t="s">
        <v>127</v>
      </c>
      <c r="AL173" s="3">
        <v>0.9</v>
      </c>
      <c r="AM173" s="3">
        <v>0.5</v>
      </c>
      <c r="AN173" s="3">
        <v>0.6</v>
      </c>
      <c r="AO173" s="3">
        <v>0.28000000000000003</v>
      </c>
      <c r="AP173" s="6">
        <v>1018.681152</v>
      </c>
      <c r="AQ173" s="3">
        <v>1.4E-2</v>
      </c>
      <c r="AS173" s="3" t="s">
        <v>127</v>
      </c>
      <c r="AT173" s="3">
        <v>0.53</v>
      </c>
      <c r="AU173" s="7">
        <v>1173.9967039999999</v>
      </c>
      <c r="AV173" s="3">
        <v>3.0000000000000001E-3</v>
      </c>
      <c r="AW173" s="3">
        <f t="shared" si="18"/>
        <v>0.40500000000000003</v>
      </c>
      <c r="AX173" s="5"/>
      <c r="AY173" s="5"/>
      <c r="AZ173" s="5"/>
      <c r="BA173" s="5"/>
      <c r="BC173" s="3" t="s">
        <v>127</v>
      </c>
      <c r="BD173" s="3">
        <v>0.9</v>
      </c>
      <c r="BE173" s="3">
        <v>0.5</v>
      </c>
      <c r="BF173" s="3">
        <v>0.6</v>
      </c>
      <c r="BG173" s="3">
        <v>0.23</v>
      </c>
      <c r="BH173" s="6">
        <v>984.990723</v>
      </c>
      <c r="BI173" s="3">
        <v>2.1000000000000001E-2</v>
      </c>
      <c r="BK173" s="3" t="s">
        <v>127</v>
      </c>
      <c r="BL173" s="3">
        <v>0.89</v>
      </c>
      <c r="BM173" s="7">
        <v>1302.1591800000001</v>
      </c>
      <c r="BN173" s="3">
        <v>2E-3</v>
      </c>
      <c r="BO173" s="3">
        <f t="shared" si="19"/>
        <v>0.56000000000000005</v>
      </c>
    </row>
    <row r="174" spans="1:67" x14ac:dyDescent="0.3">
      <c r="A174" s="3" t="s">
        <v>128</v>
      </c>
      <c r="B174" s="3">
        <v>0.9</v>
      </c>
      <c r="C174" s="3">
        <v>0.5</v>
      </c>
      <c r="D174" s="3">
        <v>0.6</v>
      </c>
      <c r="E174" s="3">
        <v>0.06</v>
      </c>
      <c r="F174" s="7">
        <v>638.43267800000001</v>
      </c>
      <c r="G174" s="3">
        <v>7.0000000000000001E-3</v>
      </c>
      <c r="I174" s="3" t="s">
        <v>128</v>
      </c>
      <c r="J174" s="3">
        <v>0.48</v>
      </c>
      <c r="K174" s="6">
        <v>631.02624500000002</v>
      </c>
      <c r="L174" s="3">
        <v>7.0000000000000001E-3</v>
      </c>
      <c r="M174" s="3">
        <f t="shared" si="16"/>
        <v>0.27</v>
      </c>
      <c r="N174" s="5"/>
      <c r="O174" s="5"/>
      <c r="P174" s="5"/>
      <c r="Q174" s="5"/>
      <c r="S174" s="3" t="s">
        <v>128</v>
      </c>
      <c r="T174" s="3">
        <v>0.9</v>
      </c>
      <c r="U174" s="3">
        <v>0.5</v>
      </c>
      <c r="V174" s="3">
        <v>0.6</v>
      </c>
      <c r="W174" s="3">
        <v>0.24</v>
      </c>
      <c r="X174" s="6">
        <v>580.56994599999996</v>
      </c>
      <c r="Y174" s="3">
        <v>8.9999999999999993E-3</v>
      </c>
      <c r="AA174" s="3" t="s">
        <v>128</v>
      </c>
      <c r="AB174" s="3">
        <v>0.56999999999999995</v>
      </c>
      <c r="AC174" s="7">
        <v>650.69854699999996</v>
      </c>
      <c r="AD174" s="3">
        <v>3.0000000000000001E-3</v>
      </c>
      <c r="AE174" s="3">
        <f t="shared" si="17"/>
        <v>0.40499999999999997</v>
      </c>
      <c r="AF174" s="5"/>
      <c r="AG174" s="5"/>
      <c r="AH174" s="5"/>
      <c r="AI174" s="5"/>
      <c r="AK174" s="3" t="s">
        <v>129</v>
      </c>
      <c r="AL174" s="3">
        <v>0.9</v>
      </c>
      <c r="AM174" s="3">
        <v>0.5</v>
      </c>
      <c r="AN174" s="3">
        <v>0.6</v>
      </c>
      <c r="AO174" s="3">
        <v>0.3</v>
      </c>
      <c r="AP174" s="6">
        <v>1029.3000489999999</v>
      </c>
      <c r="AQ174" s="3">
        <v>1.7999999999999999E-2</v>
      </c>
      <c r="AS174" s="3" t="s">
        <v>129</v>
      </c>
      <c r="AT174" s="3">
        <v>0.94</v>
      </c>
      <c r="AU174" s="7">
        <v>1222.706909</v>
      </c>
      <c r="AV174" s="3">
        <v>4.0000000000000001E-3</v>
      </c>
      <c r="AW174" s="3">
        <f t="shared" si="18"/>
        <v>0.62</v>
      </c>
      <c r="AX174" s="5"/>
      <c r="AY174" s="5"/>
      <c r="AZ174" s="5"/>
      <c r="BA174" s="5"/>
      <c r="BC174" s="3" t="s">
        <v>129</v>
      </c>
      <c r="BD174" s="3">
        <v>0.9</v>
      </c>
      <c r="BE174" s="3">
        <v>0.5</v>
      </c>
      <c r="BF174" s="3">
        <v>0.6</v>
      </c>
      <c r="BG174" s="3">
        <v>0.52</v>
      </c>
      <c r="BH174" s="7">
        <v>1103.2048339999999</v>
      </c>
      <c r="BI174" s="3">
        <v>1.2E-2</v>
      </c>
      <c r="BK174" s="3" t="s">
        <v>129</v>
      </c>
      <c r="BL174" s="3">
        <v>0.39</v>
      </c>
      <c r="BM174" s="6">
        <v>1072.8101810000001</v>
      </c>
      <c r="BN174" s="3">
        <v>1E-3</v>
      </c>
      <c r="BO174" s="3">
        <f t="shared" si="19"/>
        <v>0.45500000000000002</v>
      </c>
    </row>
    <row r="175" spans="1:67" x14ac:dyDescent="0.3">
      <c r="A175" s="3" t="s">
        <v>130</v>
      </c>
      <c r="B175" s="3">
        <v>0.9</v>
      </c>
      <c r="C175" s="3">
        <v>0.5</v>
      </c>
      <c r="D175" s="3">
        <v>0.6</v>
      </c>
      <c r="E175" s="3">
        <v>0.3</v>
      </c>
      <c r="F175" s="6">
        <v>639.26702899999998</v>
      </c>
      <c r="G175" s="3">
        <v>1.0999999999999999E-2</v>
      </c>
      <c r="I175" s="3" t="s">
        <v>130</v>
      </c>
      <c r="J175" s="3">
        <v>0.95</v>
      </c>
      <c r="K175" s="7">
        <v>767.49694799999997</v>
      </c>
      <c r="L175" s="3">
        <v>6.0000000000000001E-3</v>
      </c>
      <c r="M175" s="3">
        <f t="shared" si="16"/>
        <v>0.625</v>
      </c>
      <c r="N175" s="5"/>
      <c r="O175" s="5"/>
      <c r="P175" s="5"/>
      <c r="Q175" s="5"/>
      <c r="S175" s="3" t="s">
        <v>130</v>
      </c>
      <c r="T175" s="3">
        <v>0.9</v>
      </c>
      <c r="U175" s="3">
        <v>0.5</v>
      </c>
      <c r="V175" s="3">
        <v>0.6</v>
      </c>
      <c r="W175" s="3">
        <v>0.89</v>
      </c>
      <c r="X175" s="7">
        <v>744.23644999999999</v>
      </c>
      <c r="Y175" s="3">
        <v>7.0000000000000001E-3</v>
      </c>
      <c r="AA175" s="3" t="s">
        <v>130</v>
      </c>
      <c r="AB175" s="3">
        <v>0.54</v>
      </c>
      <c r="AC175" s="6">
        <v>685.98217799999998</v>
      </c>
      <c r="AD175" s="3">
        <v>2E-3</v>
      </c>
      <c r="AE175" s="3">
        <f t="shared" si="17"/>
        <v>0.71500000000000008</v>
      </c>
      <c r="AF175" s="5"/>
      <c r="AG175" s="5"/>
      <c r="AH175" s="5"/>
      <c r="AI175" s="5"/>
      <c r="AK175" s="3" t="s">
        <v>131</v>
      </c>
      <c r="AL175" s="3">
        <v>0.9</v>
      </c>
      <c r="AM175" s="3">
        <v>0.5</v>
      </c>
      <c r="AN175" s="3">
        <v>0.6</v>
      </c>
      <c r="AO175" s="3">
        <v>0.67</v>
      </c>
      <c r="AP175" s="6">
        <v>1229.788086</v>
      </c>
      <c r="AQ175" s="3">
        <v>1.7999999999999999E-2</v>
      </c>
      <c r="AS175" s="3" t="s">
        <v>131</v>
      </c>
      <c r="AT175" s="3">
        <v>0.45</v>
      </c>
      <c r="AU175" s="7">
        <v>1142.8172609999999</v>
      </c>
      <c r="AV175" s="3">
        <v>6.0000000000000001E-3</v>
      </c>
      <c r="AW175" s="3">
        <f t="shared" si="18"/>
        <v>0.56000000000000005</v>
      </c>
      <c r="AX175" s="5"/>
      <c r="AY175" s="5"/>
      <c r="AZ175" s="5"/>
      <c r="BA175" s="5"/>
      <c r="BC175" s="3" t="s">
        <v>131</v>
      </c>
      <c r="BD175" s="3">
        <v>0.9</v>
      </c>
      <c r="BE175" s="3">
        <v>0.5</v>
      </c>
      <c r="BF175" s="3">
        <v>0.6</v>
      </c>
      <c r="BG175" s="3">
        <v>0.3</v>
      </c>
      <c r="BH175" s="6">
        <v>1030.006226</v>
      </c>
      <c r="BI175" s="3">
        <v>1.7999999999999999E-2</v>
      </c>
      <c r="BK175" s="3" t="s">
        <v>131</v>
      </c>
      <c r="BL175" s="3">
        <v>0.55000000000000004</v>
      </c>
      <c r="BM175" s="7">
        <v>1181.8236079999999</v>
      </c>
      <c r="BN175" s="3">
        <v>5.0000000000000001E-3</v>
      </c>
      <c r="BO175" s="3">
        <f t="shared" si="19"/>
        <v>0.42500000000000004</v>
      </c>
    </row>
    <row r="176" spans="1:67" x14ac:dyDescent="0.3">
      <c r="A176" s="3" t="s">
        <v>132</v>
      </c>
      <c r="B176" s="3">
        <v>0.9</v>
      </c>
      <c r="C176" s="3">
        <v>0.5</v>
      </c>
      <c r="D176" s="3">
        <v>0.6</v>
      </c>
      <c r="E176" s="3">
        <v>0.02</v>
      </c>
      <c r="F176" s="6">
        <v>580.79064900000003</v>
      </c>
      <c r="G176" s="3">
        <v>1.7000000000000001E-2</v>
      </c>
      <c r="I176" s="3" t="s">
        <v>132</v>
      </c>
      <c r="J176" s="3">
        <v>0.84</v>
      </c>
      <c r="K176" s="7">
        <v>673.20367399999998</v>
      </c>
      <c r="L176" s="3">
        <v>0</v>
      </c>
      <c r="M176" s="3">
        <f t="shared" si="16"/>
        <v>0.43</v>
      </c>
      <c r="N176" s="5"/>
      <c r="O176" s="5"/>
      <c r="P176" s="5"/>
      <c r="Q176" s="5"/>
      <c r="S176" s="3" t="s">
        <v>132</v>
      </c>
      <c r="T176" s="3">
        <v>0.9</v>
      </c>
      <c r="U176" s="3">
        <v>0.5</v>
      </c>
      <c r="V176" s="3">
        <v>0.6</v>
      </c>
      <c r="W176" s="3">
        <v>0.01</v>
      </c>
      <c r="X176" s="7">
        <v>578.21087599999998</v>
      </c>
      <c r="Y176" s="3">
        <v>1.4E-2</v>
      </c>
      <c r="AA176" s="3" t="s">
        <v>132</v>
      </c>
      <c r="AB176" s="3">
        <v>0.11</v>
      </c>
      <c r="AC176" s="6">
        <v>540.60260000000005</v>
      </c>
      <c r="AD176" s="3">
        <v>0</v>
      </c>
      <c r="AE176" s="3">
        <f t="shared" si="17"/>
        <v>0.06</v>
      </c>
      <c r="AF176" s="5"/>
      <c r="AG176" s="5"/>
      <c r="AH176" s="5"/>
      <c r="AI176" s="5"/>
      <c r="AK176" s="3" t="s">
        <v>133</v>
      </c>
      <c r="AL176" s="3">
        <v>0.9</v>
      </c>
      <c r="AM176" s="3">
        <v>0.5</v>
      </c>
      <c r="AN176" s="3">
        <v>0.6</v>
      </c>
      <c r="AO176" s="3">
        <v>0.08</v>
      </c>
      <c r="AP176" s="6">
        <v>891.06256099999996</v>
      </c>
      <c r="AQ176" s="3">
        <v>0.02</v>
      </c>
      <c r="AS176" s="3" t="s">
        <v>133</v>
      </c>
      <c r="AT176" s="3">
        <v>0.96</v>
      </c>
      <c r="AU176" s="7">
        <v>1309.400024</v>
      </c>
      <c r="AV176" s="3">
        <v>3.0000000000000001E-3</v>
      </c>
      <c r="AW176" s="3">
        <f t="shared" si="18"/>
        <v>0.52</v>
      </c>
      <c r="AX176" s="5"/>
      <c r="AY176" s="5"/>
      <c r="AZ176" s="5"/>
      <c r="BA176" s="5"/>
      <c r="BC176" s="3" t="s">
        <v>133</v>
      </c>
      <c r="BD176" s="3">
        <v>0.9</v>
      </c>
      <c r="BE176" s="3">
        <v>0.5</v>
      </c>
      <c r="BF176" s="3">
        <v>0.6</v>
      </c>
      <c r="BG176" s="3">
        <v>0.26</v>
      </c>
      <c r="BH176" s="6">
        <v>1037.244263</v>
      </c>
      <c r="BI176" s="3">
        <v>1.7000000000000001E-2</v>
      </c>
      <c r="BK176" s="3" t="s">
        <v>133</v>
      </c>
      <c r="BL176" s="3">
        <v>0.81</v>
      </c>
      <c r="BM176" s="7">
        <v>1309.4748540000001</v>
      </c>
      <c r="BN176" s="3">
        <v>2E-3</v>
      </c>
      <c r="BO176" s="3">
        <f t="shared" si="19"/>
        <v>0.53500000000000003</v>
      </c>
    </row>
    <row r="177" spans="1:71" x14ac:dyDescent="0.3">
      <c r="A177" s="9" t="s">
        <v>316</v>
      </c>
      <c r="E177" s="9">
        <f>AVERAGE(E147:E176)</f>
        <v>0.29766666666666663</v>
      </c>
      <c r="I177" s="9" t="s">
        <v>316</v>
      </c>
      <c r="J177" s="9">
        <f>AVERAGE(J147:J176)</f>
        <v>0.46699999999999997</v>
      </c>
      <c r="M177" s="5"/>
      <c r="N177" s="5"/>
      <c r="O177" s="5"/>
      <c r="P177" s="5"/>
      <c r="Q177" s="5"/>
      <c r="S177" s="9" t="s">
        <v>316</v>
      </c>
      <c r="W177" s="9">
        <f>AVERAGE(W147:W176)</f>
        <v>0.49433333333333329</v>
      </c>
      <c r="AA177" s="9" t="s">
        <v>316</v>
      </c>
      <c r="AB177" s="9">
        <f>AVERAGE(AB147:AB176)</f>
        <v>0.44033333333333324</v>
      </c>
      <c r="AE177" s="5"/>
      <c r="AF177" s="5"/>
      <c r="AG177" s="5"/>
      <c r="AH177" s="5"/>
      <c r="AI177" s="5"/>
      <c r="AK177" s="9" t="s">
        <v>316</v>
      </c>
      <c r="AO177" s="9">
        <f>AVERAGE(AO147:AO176)</f>
        <v>0.55266666666666664</v>
      </c>
      <c r="AS177" s="9" t="s">
        <v>316</v>
      </c>
      <c r="AT177" s="9">
        <f>AVERAGE(AT147:AT176)</f>
        <v>0.51066666666666671</v>
      </c>
      <c r="AW177" s="5"/>
      <c r="AX177" s="5"/>
      <c r="AY177" s="5"/>
      <c r="AZ177" s="5"/>
      <c r="BA177" s="5"/>
      <c r="BC177" s="9" t="s">
        <v>316</v>
      </c>
      <c r="BG177" s="9">
        <f>AVERAGE(BG147:BG176)</f>
        <v>0.37600000000000006</v>
      </c>
      <c r="BK177" s="9" t="s">
        <v>316</v>
      </c>
      <c r="BL177" s="9">
        <f>AVERAGE(BL147:BL176)</f>
        <v>0.53333333333333333</v>
      </c>
      <c r="BO177" s="5"/>
    </row>
    <row r="178" spans="1:71" x14ac:dyDescent="0.3">
      <c r="M178" s="5"/>
      <c r="N178" s="5"/>
      <c r="O178" s="5"/>
      <c r="P178" s="5"/>
      <c r="Q178" s="5"/>
      <c r="AE178" s="5"/>
      <c r="AF178" s="5"/>
      <c r="AG178" s="5"/>
      <c r="AH178" s="5"/>
      <c r="AI178" s="5"/>
      <c r="AW178" s="5"/>
      <c r="AX178" s="5"/>
      <c r="AY178" s="5"/>
      <c r="AZ178" s="5"/>
      <c r="BA178" s="5"/>
      <c r="BO178" s="5"/>
    </row>
    <row r="179" spans="1:71" x14ac:dyDescent="0.3">
      <c r="M179" s="5"/>
      <c r="N179" s="5"/>
      <c r="O179" s="5"/>
      <c r="P179" s="5"/>
      <c r="Q179" s="5"/>
      <c r="AE179" s="5"/>
      <c r="AF179" s="5"/>
      <c r="AG179" s="5"/>
      <c r="AH179" s="5"/>
      <c r="AI179" s="5"/>
      <c r="AW179" s="5"/>
      <c r="AX179" s="5"/>
      <c r="AY179" s="5"/>
      <c r="AZ179" s="5"/>
      <c r="BA179" s="5"/>
      <c r="BO179" s="5"/>
    </row>
    <row r="180" spans="1:71" x14ac:dyDescent="0.3">
      <c r="A180" s="20" t="s">
        <v>314</v>
      </c>
      <c r="B180" s="21"/>
      <c r="C180" s="21"/>
      <c r="D180" s="21"/>
      <c r="E180" s="21"/>
      <c r="F180" s="21"/>
      <c r="G180" s="22"/>
      <c r="I180" s="20" t="s">
        <v>315</v>
      </c>
      <c r="J180" s="21"/>
      <c r="K180" s="21"/>
      <c r="L180" s="21"/>
      <c r="M180" s="22"/>
      <c r="N180" s="11"/>
      <c r="O180" s="11"/>
      <c r="P180" s="11"/>
      <c r="Q180" s="11"/>
      <c r="S180" s="20" t="s">
        <v>314</v>
      </c>
      <c r="T180" s="21"/>
      <c r="U180" s="21"/>
      <c r="V180" s="21"/>
      <c r="W180" s="21"/>
      <c r="X180" s="21"/>
      <c r="Y180" s="22"/>
      <c r="AA180" s="20" t="s">
        <v>315</v>
      </c>
      <c r="AB180" s="21"/>
      <c r="AC180" s="21"/>
      <c r="AD180" s="21"/>
      <c r="AE180" s="22"/>
      <c r="AF180" s="11"/>
      <c r="AG180" s="11"/>
      <c r="AH180" s="11"/>
      <c r="AI180" s="11"/>
      <c r="AK180" s="20" t="s">
        <v>314</v>
      </c>
      <c r="AL180" s="21"/>
      <c r="AM180" s="21"/>
      <c r="AN180" s="21"/>
      <c r="AO180" s="21"/>
      <c r="AP180" s="21"/>
      <c r="AQ180" s="22"/>
      <c r="AS180" s="20" t="s">
        <v>315</v>
      </c>
      <c r="AT180" s="21"/>
      <c r="AU180" s="21"/>
      <c r="AV180" s="21"/>
      <c r="AW180" s="22"/>
      <c r="AX180" s="11"/>
      <c r="AY180" s="11"/>
      <c r="AZ180" s="11"/>
      <c r="BA180" s="11"/>
      <c r="BC180" s="20" t="s">
        <v>314</v>
      </c>
      <c r="BD180" s="21"/>
      <c r="BE180" s="21"/>
      <c r="BF180" s="21"/>
      <c r="BG180" s="21"/>
      <c r="BH180" s="21"/>
      <c r="BI180" s="22"/>
      <c r="BK180" s="20" t="s">
        <v>315</v>
      </c>
      <c r="BL180" s="21"/>
      <c r="BM180" s="21"/>
      <c r="BN180" s="21"/>
      <c r="BO180" s="22"/>
    </row>
    <row r="181" spans="1:71" x14ac:dyDescent="0.3">
      <c r="A181" s="3" t="s">
        <v>72</v>
      </c>
      <c r="B181" s="3"/>
      <c r="C181" s="3"/>
      <c r="D181" s="3"/>
      <c r="E181" s="3"/>
      <c r="F181" s="3"/>
      <c r="G181" s="3"/>
      <c r="I181" s="3" t="s">
        <v>72</v>
      </c>
      <c r="J181" s="3"/>
      <c r="K181" s="3"/>
      <c r="L181" s="3"/>
      <c r="M181" s="3"/>
      <c r="N181" s="5"/>
      <c r="O181" s="5"/>
      <c r="P181" s="5"/>
      <c r="Q181" s="5"/>
      <c r="S181" s="3" t="s">
        <v>73</v>
      </c>
      <c r="T181" s="3"/>
      <c r="U181" s="3"/>
      <c r="V181" s="3"/>
      <c r="W181" s="3"/>
      <c r="X181" s="3"/>
      <c r="Y181" s="3"/>
      <c r="AA181" s="3" t="s">
        <v>73</v>
      </c>
      <c r="AB181" s="3"/>
      <c r="AC181" s="3"/>
      <c r="AD181" s="3"/>
      <c r="AE181" s="3"/>
      <c r="AF181" s="3" t="s">
        <v>322</v>
      </c>
      <c r="AG181" s="3" t="s">
        <v>323</v>
      </c>
      <c r="AH181" s="3" t="s">
        <v>322</v>
      </c>
      <c r="AI181" s="3" t="s">
        <v>323</v>
      </c>
      <c r="AK181" s="3" t="s">
        <v>72</v>
      </c>
      <c r="AL181" s="3"/>
      <c r="AM181" s="3"/>
      <c r="AN181" s="3"/>
      <c r="AO181" s="3"/>
      <c r="AP181" s="3"/>
      <c r="AQ181" s="3"/>
      <c r="AS181" s="3" t="s">
        <v>72</v>
      </c>
      <c r="AT181" s="3"/>
      <c r="AU181" s="3"/>
      <c r="AV181" s="3"/>
      <c r="AW181" s="3"/>
      <c r="AX181" s="3" t="s">
        <v>322</v>
      </c>
      <c r="AY181" s="3" t="s">
        <v>323</v>
      </c>
      <c r="AZ181" s="3" t="s">
        <v>322</v>
      </c>
      <c r="BA181" s="3" t="s">
        <v>323</v>
      </c>
      <c r="BC181" s="3" t="s">
        <v>73</v>
      </c>
      <c r="BD181" s="3"/>
      <c r="BE181" s="3"/>
      <c r="BF181" s="3"/>
      <c r="BG181" s="3"/>
      <c r="BH181" s="3"/>
      <c r="BI181" s="3"/>
      <c r="BK181" s="3" t="s">
        <v>73</v>
      </c>
      <c r="BL181" s="3"/>
      <c r="BM181" s="3"/>
      <c r="BN181" s="3"/>
      <c r="BO181" s="3"/>
      <c r="BP181" s="3" t="s">
        <v>322</v>
      </c>
      <c r="BQ181" s="3" t="s">
        <v>323</v>
      </c>
      <c r="BR181" s="3" t="s">
        <v>322</v>
      </c>
      <c r="BS181" s="3" t="s">
        <v>323</v>
      </c>
    </row>
    <row r="182" spans="1:71" x14ac:dyDescent="0.3">
      <c r="A182" s="3" t="s">
        <v>2</v>
      </c>
      <c r="B182" s="3" t="s">
        <v>3</v>
      </c>
      <c r="C182" s="3" t="s">
        <v>4</v>
      </c>
      <c r="D182" s="3" t="s">
        <v>5</v>
      </c>
      <c r="E182" s="3" t="s">
        <v>6</v>
      </c>
      <c r="F182" s="3" t="s">
        <v>7</v>
      </c>
      <c r="G182" s="3" t="s">
        <v>8</v>
      </c>
      <c r="I182" s="3" t="s">
        <v>2</v>
      </c>
      <c r="J182" s="3" t="s">
        <v>6</v>
      </c>
      <c r="K182" s="3" t="s">
        <v>7</v>
      </c>
      <c r="L182" s="3" t="s">
        <v>8</v>
      </c>
      <c r="M182" s="3" t="s">
        <v>9</v>
      </c>
      <c r="N182" s="3" t="s">
        <v>322</v>
      </c>
      <c r="O182" s="3" t="s">
        <v>323</v>
      </c>
      <c r="P182" s="3" t="s">
        <v>322</v>
      </c>
      <c r="Q182" s="3" t="s">
        <v>323</v>
      </c>
      <c r="S182" s="3" t="s">
        <v>2</v>
      </c>
      <c r="T182" s="3" t="s">
        <v>3</v>
      </c>
      <c r="U182" s="3" t="s">
        <v>4</v>
      </c>
      <c r="V182" s="3" t="s">
        <v>5</v>
      </c>
      <c r="W182" s="3" t="s">
        <v>6</v>
      </c>
      <c r="X182" s="3" t="s">
        <v>7</v>
      </c>
      <c r="Y182" s="3" t="s">
        <v>8</v>
      </c>
      <c r="AA182" s="3" t="s">
        <v>2</v>
      </c>
      <c r="AB182" s="3" t="s">
        <v>6</v>
      </c>
      <c r="AC182" s="3" t="s">
        <v>7</v>
      </c>
      <c r="AD182" s="3" t="s">
        <v>8</v>
      </c>
      <c r="AE182" s="3" t="s">
        <v>9</v>
      </c>
      <c r="AF182" s="4" t="s">
        <v>320</v>
      </c>
      <c r="AG182" s="4" t="s">
        <v>320</v>
      </c>
      <c r="AH182" s="4" t="s">
        <v>321</v>
      </c>
      <c r="AI182" s="4" t="s">
        <v>321</v>
      </c>
      <c r="AK182" s="3" t="s">
        <v>2</v>
      </c>
      <c r="AL182" s="3" t="s">
        <v>3</v>
      </c>
      <c r="AM182" s="3" t="s">
        <v>4</v>
      </c>
      <c r="AN182" s="3" t="s">
        <v>5</v>
      </c>
      <c r="AO182" s="3" t="s">
        <v>6</v>
      </c>
      <c r="AP182" s="3" t="s">
        <v>7</v>
      </c>
      <c r="AQ182" s="3" t="s">
        <v>8</v>
      </c>
      <c r="AS182" s="3" t="s">
        <v>2</v>
      </c>
      <c r="AT182" s="3" t="s">
        <v>6</v>
      </c>
      <c r="AU182" s="3" t="s">
        <v>7</v>
      </c>
      <c r="AV182" s="3" t="s">
        <v>8</v>
      </c>
      <c r="AW182" s="3" t="s">
        <v>9</v>
      </c>
      <c r="AX182" s="4" t="s">
        <v>320</v>
      </c>
      <c r="AY182" s="4" t="s">
        <v>320</v>
      </c>
      <c r="AZ182" s="4" t="s">
        <v>321</v>
      </c>
      <c r="BA182" s="4" t="s">
        <v>321</v>
      </c>
      <c r="BC182" s="3" t="s">
        <v>2</v>
      </c>
      <c r="BD182" s="3" t="s">
        <v>3</v>
      </c>
      <c r="BE182" s="3" t="s">
        <v>4</v>
      </c>
      <c r="BF182" s="3" t="s">
        <v>5</v>
      </c>
      <c r="BG182" s="3" t="s">
        <v>6</v>
      </c>
      <c r="BH182" s="3" t="s">
        <v>7</v>
      </c>
      <c r="BI182" s="3" t="s">
        <v>8</v>
      </c>
      <c r="BK182" s="3" t="s">
        <v>2</v>
      </c>
      <c r="BL182" s="3" t="s">
        <v>6</v>
      </c>
      <c r="BM182" s="3" t="s">
        <v>7</v>
      </c>
      <c r="BN182" s="3" t="s">
        <v>8</v>
      </c>
      <c r="BO182" s="3" t="s">
        <v>9</v>
      </c>
      <c r="BP182" s="4" t="s">
        <v>320</v>
      </c>
      <c r="BQ182" s="4" t="s">
        <v>320</v>
      </c>
      <c r="BR182" s="4" t="s">
        <v>321</v>
      </c>
      <c r="BS182" s="4" t="s">
        <v>321</v>
      </c>
    </row>
    <row r="183" spans="1:71" x14ac:dyDescent="0.3">
      <c r="A183" s="3" t="s">
        <v>74</v>
      </c>
      <c r="B183" s="3">
        <v>0.9</v>
      </c>
      <c r="C183" s="3">
        <v>0.5</v>
      </c>
      <c r="D183" s="3">
        <v>0.6</v>
      </c>
      <c r="E183" s="3">
        <v>0.01</v>
      </c>
      <c r="F183" s="6">
        <v>429.75</v>
      </c>
      <c r="G183" s="3">
        <v>2.8000000000000001E-2</v>
      </c>
      <c r="I183" s="3" t="s">
        <v>74</v>
      </c>
      <c r="J183" s="3">
        <v>0.01</v>
      </c>
      <c r="K183" s="6">
        <v>429.75</v>
      </c>
      <c r="L183" s="3">
        <v>1.2E-2</v>
      </c>
      <c r="M183" s="3">
        <f t="shared" ref="M183:M212" si="20">AVERAGE(E183,J183)</f>
        <v>0.01</v>
      </c>
      <c r="N183" s="4" t="s">
        <v>320</v>
      </c>
      <c r="O183" s="4" t="s">
        <v>320</v>
      </c>
      <c r="P183" s="4" t="s">
        <v>321</v>
      </c>
      <c r="Q183" s="4" t="s">
        <v>321</v>
      </c>
      <c r="S183" s="3" t="s">
        <v>74</v>
      </c>
      <c r="T183" s="3">
        <v>0.9</v>
      </c>
      <c r="U183" s="3">
        <v>0.5</v>
      </c>
      <c r="V183" s="3">
        <v>0.6</v>
      </c>
      <c r="W183" s="3">
        <v>0.01</v>
      </c>
      <c r="X183" s="6">
        <v>414.27294899999998</v>
      </c>
      <c r="Y183" s="3">
        <v>1.7000000000000001E-2</v>
      </c>
      <c r="AA183" s="3" t="s">
        <v>74</v>
      </c>
      <c r="AB183" s="3">
        <v>0.01</v>
      </c>
      <c r="AC183" s="6">
        <v>414.27294899999998</v>
      </c>
      <c r="AD183" s="3">
        <v>1.7000000000000001E-2</v>
      </c>
      <c r="AE183" s="3">
        <f t="shared" ref="AE183:AE212" si="21">AVERAGE(W183,AB183)</f>
        <v>0.01</v>
      </c>
      <c r="AF183" s="3">
        <f>COUNT(X183:X187,X189:X191,X197,X207:X208,X210:X212)</f>
        <v>14</v>
      </c>
      <c r="AG183" s="3">
        <f>COUNT(X188,X192:X196,X198:X206,X209)</f>
        <v>16</v>
      </c>
      <c r="AH183" s="3">
        <f>COUNT(AC183,AC188,AC192:AC196,AC198:AC206,AC209)</f>
        <v>17</v>
      </c>
      <c r="AI183" s="3">
        <f>COUNT(AC184:AC187,AC189:AC191,AC197,AC207:AC208,AC210:AC212)</f>
        <v>13</v>
      </c>
      <c r="AK183" s="3" t="s">
        <v>75</v>
      </c>
      <c r="AL183" s="3">
        <v>0.9</v>
      </c>
      <c r="AM183" s="3">
        <v>0.5</v>
      </c>
      <c r="AN183" s="3">
        <v>0.6</v>
      </c>
      <c r="AO183" s="3">
        <v>0.01</v>
      </c>
      <c r="AP183" s="6">
        <v>686.70733600000005</v>
      </c>
      <c r="AQ183" s="3">
        <v>2.4E-2</v>
      </c>
      <c r="AS183" s="3" t="s">
        <v>75</v>
      </c>
      <c r="AT183" s="3">
        <v>0.01</v>
      </c>
      <c r="AU183" s="6">
        <v>686.70733600000005</v>
      </c>
      <c r="AV183" s="3">
        <v>2E-3</v>
      </c>
      <c r="AW183" s="3">
        <f t="shared" ref="AW183:AW212" si="22">AVERAGE(AO183,AT183)</f>
        <v>0.01</v>
      </c>
      <c r="AX183" s="3">
        <f>COUNT(AP183,AP186,AP189:AP192,AP199,AP202,AP204,AP207,AP209,AP211:AP212)</f>
        <v>13</v>
      </c>
      <c r="AY183" s="3">
        <f>COUNT(AP184:AP185,AP187:AP188,AP193:AP198,AP200:AP201,AP203,AP205:AP206,AP208,AP210)</f>
        <v>17</v>
      </c>
      <c r="AZ183" s="3">
        <f>COUNT(AU183:AU185,AU187:AU188,AU193:AU198,AU200:AU201,AU203,AU205:AU206,AU208,AU210)</f>
        <v>18</v>
      </c>
      <c r="BA183" s="3">
        <f>COUNT(AU186,AU189:AU192,AU199,AU202,AU204,AU207,AU209,AU211:AU212)</f>
        <v>12</v>
      </c>
      <c r="BC183" s="3" t="s">
        <v>75</v>
      </c>
      <c r="BD183" s="3">
        <v>0.9</v>
      </c>
      <c r="BE183" s="3">
        <v>0.5</v>
      </c>
      <c r="BF183" s="3">
        <v>0.6</v>
      </c>
      <c r="BG183" s="3">
        <v>0.01</v>
      </c>
      <c r="BH183" s="6">
        <v>672.91625999999997</v>
      </c>
      <c r="BI183" s="3">
        <v>2.1000000000000001E-2</v>
      </c>
      <c r="BK183" s="3" t="s">
        <v>75</v>
      </c>
      <c r="BL183" s="3">
        <v>0.01</v>
      </c>
      <c r="BM183" s="6">
        <v>672.91625999999997</v>
      </c>
      <c r="BN183" s="3">
        <v>1E-3</v>
      </c>
      <c r="BO183" s="3">
        <f t="shared" ref="BO183:BO212" si="23">AVERAGE(BG183,BL183)</f>
        <v>0.01</v>
      </c>
      <c r="BP183" s="3">
        <f>COUNT(BH183:BH184,BH191:BH192,BH194:BH196,BH201:BH203,BH205,BH207)</f>
        <v>12</v>
      </c>
      <c r="BQ183" s="3">
        <f>30-BP183</f>
        <v>18</v>
      </c>
      <c r="BR183" s="3">
        <f>COUNT(BM183,BM185:BM190,BM193,BM197:BM200,BM204,BM206,BM208:BM212)</f>
        <v>19</v>
      </c>
      <c r="BS183" s="3">
        <f>30-BR183</f>
        <v>11</v>
      </c>
    </row>
    <row r="184" spans="1:71" x14ac:dyDescent="0.3">
      <c r="A184" s="3" t="s">
        <v>76</v>
      </c>
      <c r="B184" s="3">
        <v>0.9</v>
      </c>
      <c r="C184" s="3">
        <v>0.5</v>
      </c>
      <c r="D184" s="3">
        <v>0.6</v>
      </c>
      <c r="E184" s="3">
        <v>0.63</v>
      </c>
      <c r="F184" s="7">
        <v>470.53653000000003</v>
      </c>
      <c r="G184" s="3">
        <v>1.2999999999999999E-2</v>
      </c>
      <c r="I184" s="3" t="s">
        <v>76</v>
      </c>
      <c r="J184" s="3">
        <v>0.39</v>
      </c>
      <c r="K184" s="6">
        <v>463.57376099999999</v>
      </c>
      <c r="L184" s="3">
        <v>2E-3</v>
      </c>
      <c r="M184" s="3">
        <f t="shared" si="20"/>
        <v>0.51</v>
      </c>
      <c r="N184" s="3">
        <f>COUNT(F183,F185:F187,F189,F191,F193:F194,F196:F197,F201,F205:F206,F211:F212)</f>
        <v>15</v>
      </c>
      <c r="O184" s="3">
        <f>COUNT(F184,F188,F190,F192,F195,F198:F200,F202:F204,F207:F210)</f>
        <v>15</v>
      </c>
      <c r="P184" s="3">
        <f>COUNT(K183:K184,K188,K190,K192,K195,K198:K200,K202:K204,K207:K210)</f>
        <v>16</v>
      </c>
      <c r="Q184" s="3">
        <f>COUNT(K185:K187,K189,K191,K193:K194,K196:K197,K201,K205:K206,K211:K212)</f>
        <v>14</v>
      </c>
      <c r="S184" s="3" t="s">
        <v>76</v>
      </c>
      <c r="T184" s="3">
        <v>0.9</v>
      </c>
      <c r="U184" s="3">
        <v>0.5</v>
      </c>
      <c r="V184" s="3">
        <v>0.6</v>
      </c>
      <c r="W184" s="3">
        <v>0.26</v>
      </c>
      <c r="X184" s="6">
        <v>416.206299</v>
      </c>
      <c r="Y184" s="3">
        <v>0.01</v>
      </c>
      <c r="AA184" s="3" t="s">
        <v>76</v>
      </c>
      <c r="AB184" s="3">
        <v>0.23</v>
      </c>
      <c r="AC184" s="7">
        <v>418.81970200000001</v>
      </c>
      <c r="AD184" s="3">
        <v>0</v>
      </c>
      <c r="AE184" s="3">
        <f t="shared" si="21"/>
        <v>0.245</v>
      </c>
      <c r="AF184" s="5"/>
      <c r="AG184" s="5"/>
      <c r="AH184" s="5"/>
      <c r="AI184" s="5"/>
      <c r="AK184" s="3" t="s">
        <v>77</v>
      </c>
      <c r="AL184" s="3">
        <v>0.9</v>
      </c>
      <c r="AM184" s="3">
        <v>0.5</v>
      </c>
      <c r="AN184" s="3">
        <v>0.6</v>
      </c>
      <c r="AO184" s="3">
        <v>0.84</v>
      </c>
      <c r="AP184" s="7">
        <v>978.21490500000004</v>
      </c>
      <c r="AQ184" s="3">
        <v>1.6E-2</v>
      </c>
      <c r="AS184" s="3" t="s">
        <v>77</v>
      </c>
      <c r="AT184" s="3">
        <v>0.16</v>
      </c>
      <c r="AU184" s="6">
        <v>748.129456</v>
      </c>
      <c r="AV184" s="3">
        <v>0</v>
      </c>
      <c r="AW184" s="3">
        <f t="shared" si="22"/>
        <v>0.5</v>
      </c>
      <c r="AX184" s="5"/>
      <c r="AY184" s="5"/>
      <c r="AZ184" s="5"/>
      <c r="BA184" s="5"/>
      <c r="BC184" s="3" t="s">
        <v>77</v>
      </c>
      <c r="BD184" s="3">
        <v>0.9</v>
      </c>
      <c r="BE184" s="3">
        <v>0.5</v>
      </c>
      <c r="BF184" s="3">
        <v>0.6</v>
      </c>
      <c r="BG184" s="3">
        <v>0.01</v>
      </c>
      <c r="BH184" s="6">
        <v>689.17364499999996</v>
      </c>
      <c r="BI184" s="3">
        <v>1.2E-2</v>
      </c>
      <c r="BK184" s="3" t="s">
        <v>77</v>
      </c>
      <c r="BL184" s="3">
        <v>0.52</v>
      </c>
      <c r="BM184" s="7">
        <v>921.19018600000004</v>
      </c>
      <c r="BN184" s="3">
        <v>4.0000000000000001E-3</v>
      </c>
      <c r="BO184" s="3">
        <f t="shared" si="23"/>
        <v>0.26500000000000001</v>
      </c>
    </row>
    <row r="185" spans="1:71" x14ac:dyDescent="0.3">
      <c r="A185" s="3" t="s">
        <v>78</v>
      </c>
      <c r="B185" s="3">
        <v>0.9</v>
      </c>
      <c r="C185" s="3">
        <v>0.5</v>
      </c>
      <c r="D185" s="3">
        <v>0.6</v>
      </c>
      <c r="E185" s="3">
        <v>0.01</v>
      </c>
      <c r="F185" s="6">
        <v>438.01757800000001</v>
      </c>
      <c r="G185" s="3">
        <v>1.7000000000000001E-2</v>
      </c>
      <c r="I185" s="3" t="s">
        <v>78</v>
      </c>
      <c r="J185" s="3">
        <v>0.64</v>
      </c>
      <c r="K185" s="7">
        <v>487.538116</v>
      </c>
      <c r="L185" s="3">
        <v>1.4E-2</v>
      </c>
      <c r="M185" s="3">
        <f t="shared" si="20"/>
        <v>0.32500000000000001</v>
      </c>
      <c r="N185" s="5"/>
      <c r="O185" s="5"/>
      <c r="P185" s="5"/>
      <c r="Q185" s="5"/>
      <c r="S185" s="3" t="s">
        <v>78</v>
      </c>
      <c r="T185" s="3">
        <v>0.9</v>
      </c>
      <c r="U185" s="3">
        <v>0.5</v>
      </c>
      <c r="V185" s="3">
        <v>0.6</v>
      </c>
      <c r="W185" s="3">
        <v>0.48</v>
      </c>
      <c r="X185" s="6">
        <v>428.80215500000003</v>
      </c>
      <c r="Y185" s="3">
        <v>1.7000000000000001E-2</v>
      </c>
      <c r="AA185" s="3" t="s">
        <v>78</v>
      </c>
      <c r="AB185" s="3">
        <v>0.62</v>
      </c>
      <c r="AC185" s="7">
        <v>455.90707400000002</v>
      </c>
      <c r="AD185" s="3">
        <v>2E-3</v>
      </c>
      <c r="AE185" s="3">
        <f t="shared" si="21"/>
        <v>0.55000000000000004</v>
      </c>
      <c r="AF185" s="5"/>
      <c r="AG185" s="5"/>
      <c r="AH185" s="5"/>
      <c r="AI185" s="5"/>
      <c r="AK185" s="3" t="s">
        <v>79</v>
      </c>
      <c r="AL185" s="3">
        <v>0.9</v>
      </c>
      <c r="AM185" s="3">
        <v>0.5</v>
      </c>
      <c r="AN185" s="3">
        <v>0.6</v>
      </c>
      <c r="AO185" s="3">
        <v>0.88</v>
      </c>
      <c r="AP185" s="7">
        <v>967.25854500000003</v>
      </c>
      <c r="AQ185" s="3">
        <v>2.1999999999999999E-2</v>
      </c>
      <c r="AS185" s="3" t="s">
        <v>79</v>
      </c>
      <c r="AT185" s="3">
        <v>0.15</v>
      </c>
      <c r="AU185" s="6">
        <v>688.18121299999996</v>
      </c>
      <c r="AV185" s="3">
        <v>4.0000000000000001E-3</v>
      </c>
      <c r="AW185" s="3">
        <f t="shared" si="22"/>
        <v>0.51500000000000001</v>
      </c>
      <c r="AX185" s="5"/>
      <c r="AY185" s="5"/>
      <c r="AZ185" s="5"/>
      <c r="BA185" s="5"/>
      <c r="BC185" s="3" t="s">
        <v>79</v>
      </c>
      <c r="BD185" s="3">
        <v>0.9</v>
      </c>
      <c r="BE185" s="3">
        <v>0.5</v>
      </c>
      <c r="BF185" s="3">
        <v>0.6</v>
      </c>
      <c r="BG185" s="3">
        <v>0.75</v>
      </c>
      <c r="BH185" s="7">
        <v>941.78845200000001</v>
      </c>
      <c r="BI185" s="3">
        <v>0.02</v>
      </c>
      <c r="BK185" s="3" t="s">
        <v>79</v>
      </c>
      <c r="BL185" s="3">
        <v>0.75</v>
      </c>
      <c r="BM185" s="6">
        <v>934.69219999999996</v>
      </c>
      <c r="BN185" s="3">
        <v>4.0000000000000001E-3</v>
      </c>
      <c r="BO185" s="3">
        <f t="shared" si="23"/>
        <v>0.75</v>
      </c>
    </row>
    <row r="186" spans="1:71" x14ac:dyDescent="0.3">
      <c r="A186" s="3" t="s">
        <v>80</v>
      </c>
      <c r="B186" s="3">
        <v>0.9</v>
      </c>
      <c r="C186" s="3">
        <v>0.5</v>
      </c>
      <c r="D186" s="3">
        <v>0.6</v>
      </c>
      <c r="E186" s="3">
        <v>0.19</v>
      </c>
      <c r="F186" s="6">
        <v>462.10366800000003</v>
      </c>
      <c r="G186" s="3">
        <v>0.01</v>
      </c>
      <c r="I186" s="3" t="s">
        <v>80</v>
      </c>
      <c r="J186" s="3">
        <v>0.06</v>
      </c>
      <c r="K186" s="7">
        <v>467.749146</v>
      </c>
      <c r="L186" s="3">
        <v>4.0000000000000001E-3</v>
      </c>
      <c r="M186" s="3">
        <f t="shared" si="20"/>
        <v>0.125</v>
      </c>
      <c r="N186" s="5"/>
      <c r="O186" s="5"/>
      <c r="P186" s="5"/>
      <c r="Q186" s="5"/>
      <c r="S186" s="3" t="s">
        <v>80</v>
      </c>
      <c r="T186" s="3">
        <v>0.9</v>
      </c>
      <c r="U186" s="3">
        <v>0.5</v>
      </c>
      <c r="V186" s="3">
        <v>0.6</v>
      </c>
      <c r="W186" s="3">
        <v>0.22</v>
      </c>
      <c r="X186" s="6">
        <v>450.51831099999998</v>
      </c>
      <c r="Y186" s="3">
        <v>1.4999999999999999E-2</v>
      </c>
      <c r="AA186" s="3" t="s">
        <v>80</v>
      </c>
      <c r="AB186" s="3">
        <v>0.85</v>
      </c>
      <c r="AC186" s="7">
        <v>525.07916299999999</v>
      </c>
      <c r="AD186" s="3">
        <v>4.0000000000000001E-3</v>
      </c>
      <c r="AE186" s="3">
        <f t="shared" si="21"/>
        <v>0.53500000000000003</v>
      </c>
      <c r="AF186" s="5"/>
      <c r="AG186" s="5"/>
      <c r="AH186" s="5"/>
      <c r="AI186" s="5"/>
      <c r="AK186" s="3" t="s">
        <v>81</v>
      </c>
      <c r="AL186" s="3">
        <v>0.9</v>
      </c>
      <c r="AM186" s="3">
        <v>0.5</v>
      </c>
      <c r="AN186" s="3">
        <v>0.6</v>
      </c>
      <c r="AO186" s="3">
        <v>0.63</v>
      </c>
      <c r="AP186" s="6">
        <v>855.00518799999998</v>
      </c>
      <c r="AQ186" s="3">
        <v>0.03</v>
      </c>
      <c r="AS186" s="3" t="s">
        <v>81</v>
      </c>
      <c r="AT186" s="3">
        <v>0.85</v>
      </c>
      <c r="AU186" s="7">
        <v>901.74981700000001</v>
      </c>
      <c r="AV186" s="3">
        <v>4.0000000000000001E-3</v>
      </c>
      <c r="AW186" s="3">
        <f t="shared" si="22"/>
        <v>0.74</v>
      </c>
      <c r="AX186" s="5"/>
      <c r="AY186" s="5"/>
      <c r="AZ186" s="5"/>
      <c r="BA186" s="5"/>
      <c r="BC186" s="3" t="s">
        <v>81</v>
      </c>
      <c r="BD186" s="3">
        <v>0.9</v>
      </c>
      <c r="BE186" s="3">
        <v>0.5</v>
      </c>
      <c r="BF186" s="3">
        <v>0.6</v>
      </c>
      <c r="BG186" s="3">
        <v>0.79</v>
      </c>
      <c r="BH186" s="7">
        <v>882.042419</v>
      </c>
      <c r="BI186" s="3">
        <v>1.7999999999999999E-2</v>
      </c>
      <c r="BK186" s="3" t="s">
        <v>81</v>
      </c>
      <c r="BL186" s="3">
        <v>0.69</v>
      </c>
      <c r="BM186" s="6">
        <v>845.57775900000001</v>
      </c>
      <c r="BN186" s="3">
        <v>8.9999999999999993E-3</v>
      </c>
      <c r="BO186" s="3">
        <f t="shared" si="23"/>
        <v>0.74</v>
      </c>
    </row>
    <row r="187" spans="1:71" x14ac:dyDescent="0.3">
      <c r="A187" s="3" t="s">
        <v>82</v>
      </c>
      <c r="B187" s="3">
        <v>0.9</v>
      </c>
      <c r="C187" s="3">
        <v>0.5</v>
      </c>
      <c r="D187" s="3">
        <v>0.6</v>
      </c>
      <c r="E187" s="3">
        <v>0.6</v>
      </c>
      <c r="F187" s="6">
        <v>455.003265</v>
      </c>
      <c r="G187" s="3">
        <v>2.8000000000000001E-2</v>
      </c>
      <c r="I187" s="3" t="s">
        <v>82</v>
      </c>
      <c r="J187" s="3">
        <v>0.68</v>
      </c>
      <c r="K187" s="7">
        <v>480.09857199999999</v>
      </c>
      <c r="L187" s="3">
        <v>1E-3</v>
      </c>
      <c r="M187" s="3">
        <f t="shared" si="20"/>
        <v>0.64</v>
      </c>
      <c r="N187" s="5"/>
      <c r="O187" s="5"/>
      <c r="P187" s="5"/>
      <c r="Q187" s="5"/>
      <c r="S187" s="3" t="s">
        <v>82</v>
      </c>
      <c r="T187" s="3">
        <v>0.9</v>
      </c>
      <c r="U187" s="3">
        <v>0.5</v>
      </c>
      <c r="V187" s="3">
        <v>0.6</v>
      </c>
      <c r="W187" s="3">
        <v>0.38</v>
      </c>
      <c r="X187" s="6">
        <v>425.96887199999998</v>
      </c>
      <c r="Y187" s="3">
        <v>4.7E-2</v>
      </c>
      <c r="AA187" s="3" t="s">
        <v>82</v>
      </c>
      <c r="AB187" s="3">
        <v>0.55000000000000004</v>
      </c>
      <c r="AC187" s="7">
        <v>466.31774899999999</v>
      </c>
      <c r="AD187" s="3">
        <v>2E-3</v>
      </c>
      <c r="AE187" s="3">
        <f t="shared" si="21"/>
        <v>0.46500000000000002</v>
      </c>
      <c r="AF187" s="5"/>
      <c r="AG187" s="5"/>
      <c r="AH187" s="5"/>
      <c r="AI187" s="5"/>
      <c r="AK187" s="3" t="s">
        <v>83</v>
      </c>
      <c r="AL187" s="3">
        <v>0.9</v>
      </c>
      <c r="AM187" s="3">
        <v>0.5</v>
      </c>
      <c r="AN187" s="3">
        <v>0.6</v>
      </c>
      <c r="AO187" s="3">
        <v>0.33</v>
      </c>
      <c r="AP187" s="7">
        <v>767.600281</v>
      </c>
      <c r="AQ187" s="3">
        <v>0.01</v>
      </c>
      <c r="AS187" s="3" t="s">
        <v>83</v>
      </c>
      <c r="AT187" s="3">
        <v>0.16</v>
      </c>
      <c r="AU187" s="6">
        <v>706.14263900000003</v>
      </c>
      <c r="AV187" s="3">
        <v>2E-3</v>
      </c>
      <c r="AW187" s="3">
        <f t="shared" si="22"/>
        <v>0.245</v>
      </c>
      <c r="AX187" s="5"/>
      <c r="AY187" s="5"/>
      <c r="AZ187" s="5"/>
      <c r="BA187" s="5"/>
      <c r="BC187" s="3" t="s">
        <v>83</v>
      </c>
      <c r="BD187" s="3">
        <v>0.9</v>
      </c>
      <c r="BE187" s="3">
        <v>0.5</v>
      </c>
      <c r="BF187" s="3">
        <v>0.6</v>
      </c>
      <c r="BG187" s="3">
        <v>0.39</v>
      </c>
      <c r="BH187" s="7">
        <v>778.83612100000005</v>
      </c>
      <c r="BI187" s="3">
        <v>3.5000000000000003E-2</v>
      </c>
      <c r="BK187" s="3" t="s">
        <v>83</v>
      </c>
      <c r="BL187" s="3">
        <v>0.11</v>
      </c>
      <c r="BM187" s="6">
        <v>692.66980000000001</v>
      </c>
      <c r="BN187" s="3">
        <v>0</v>
      </c>
      <c r="BO187" s="3">
        <f t="shared" si="23"/>
        <v>0.25</v>
      </c>
    </row>
    <row r="188" spans="1:71" x14ac:dyDescent="0.3">
      <c r="A188" s="3" t="s">
        <v>84</v>
      </c>
      <c r="B188" s="3">
        <v>0.9</v>
      </c>
      <c r="C188" s="3">
        <v>0.5</v>
      </c>
      <c r="D188" s="3">
        <v>0.6</v>
      </c>
      <c r="E188" s="3">
        <v>0.27</v>
      </c>
      <c r="F188" s="7">
        <v>541.36706500000003</v>
      </c>
      <c r="G188" s="3">
        <v>1.9E-2</v>
      </c>
      <c r="I188" s="3" t="s">
        <v>84</v>
      </c>
      <c r="J188" s="3">
        <v>0.1</v>
      </c>
      <c r="K188" s="6">
        <v>536.26660200000003</v>
      </c>
      <c r="L188" s="3">
        <v>3.0000000000000001E-3</v>
      </c>
      <c r="M188" s="3">
        <f t="shared" si="20"/>
        <v>0.185</v>
      </c>
      <c r="N188" s="5"/>
      <c r="O188" s="5"/>
      <c r="P188" s="5"/>
      <c r="Q188" s="5"/>
      <c r="S188" s="3" t="s">
        <v>84</v>
      </c>
      <c r="T188" s="3">
        <v>0.9</v>
      </c>
      <c r="U188" s="3">
        <v>0.5</v>
      </c>
      <c r="V188" s="3">
        <v>0.6</v>
      </c>
      <c r="W188" s="3">
        <v>0.59</v>
      </c>
      <c r="X188" s="7">
        <v>582.364014</v>
      </c>
      <c r="Y188" s="3">
        <v>2.1000000000000001E-2</v>
      </c>
      <c r="AA188" s="3" t="s">
        <v>84</v>
      </c>
      <c r="AB188" s="3">
        <v>0.12</v>
      </c>
      <c r="AC188" s="6">
        <v>517.30102499999998</v>
      </c>
      <c r="AD188" s="3">
        <v>0</v>
      </c>
      <c r="AE188" s="3">
        <f t="shared" si="21"/>
        <v>0.35499999999999998</v>
      </c>
      <c r="AF188" s="5"/>
      <c r="AG188" s="5"/>
      <c r="AH188" s="5"/>
      <c r="AI188" s="5"/>
      <c r="AK188" s="3" t="s">
        <v>85</v>
      </c>
      <c r="AL188" s="3">
        <v>0.9</v>
      </c>
      <c r="AM188" s="3">
        <v>0.5</v>
      </c>
      <c r="AN188" s="3">
        <v>0.6</v>
      </c>
      <c r="AO188" s="3">
        <v>0.44</v>
      </c>
      <c r="AP188" s="7">
        <v>959.70709199999999</v>
      </c>
      <c r="AQ188" s="3">
        <v>0.01</v>
      </c>
      <c r="AS188" s="3" t="s">
        <v>85</v>
      </c>
      <c r="AT188" s="3">
        <v>0.37</v>
      </c>
      <c r="AU188" s="6">
        <v>917.78875700000003</v>
      </c>
      <c r="AV188" s="3">
        <v>8.0000000000000002E-3</v>
      </c>
      <c r="AW188" s="3">
        <f t="shared" si="22"/>
        <v>0.40500000000000003</v>
      </c>
      <c r="AX188" s="5"/>
      <c r="AY188" s="5"/>
      <c r="AZ188" s="5"/>
      <c r="BA188" s="5"/>
      <c r="BC188" s="3" t="s">
        <v>85</v>
      </c>
      <c r="BD188" s="3">
        <v>0.9</v>
      </c>
      <c r="BE188" s="3">
        <v>0.5</v>
      </c>
      <c r="BF188" s="3">
        <v>0.6</v>
      </c>
      <c r="BG188" s="3">
        <v>0.25</v>
      </c>
      <c r="BH188" s="7">
        <v>819.45739700000001</v>
      </c>
      <c r="BI188" s="3">
        <v>2.3E-2</v>
      </c>
      <c r="BK188" s="3" t="s">
        <v>85</v>
      </c>
      <c r="BL188" s="3">
        <v>0.16</v>
      </c>
      <c r="BM188" s="6">
        <v>778.41980000000001</v>
      </c>
      <c r="BN188" s="3">
        <v>5.0000000000000001E-3</v>
      </c>
      <c r="BO188" s="3">
        <f t="shared" si="23"/>
        <v>0.20500000000000002</v>
      </c>
    </row>
    <row r="189" spans="1:71" x14ac:dyDescent="0.3">
      <c r="A189" s="3" t="s">
        <v>86</v>
      </c>
      <c r="B189" s="3">
        <v>0.9</v>
      </c>
      <c r="C189" s="3">
        <v>0.5</v>
      </c>
      <c r="D189" s="3">
        <v>0.6</v>
      </c>
      <c r="E189" s="3">
        <v>0.46</v>
      </c>
      <c r="F189" s="6">
        <v>600.716003</v>
      </c>
      <c r="G189" s="3">
        <v>2.7E-2</v>
      </c>
      <c r="I189" s="3" t="s">
        <v>86</v>
      </c>
      <c r="J189" s="3">
        <v>0.59</v>
      </c>
      <c r="K189" s="7">
        <v>616.32855199999995</v>
      </c>
      <c r="L189" s="3">
        <v>2E-3</v>
      </c>
      <c r="M189" s="3">
        <f t="shared" si="20"/>
        <v>0.52500000000000002</v>
      </c>
      <c r="N189" s="5"/>
      <c r="O189" s="5"/>
      <c r="P189" s="5"/>
      <c r="Q189" s="5"/>
      <c r="S189" s="3" t="s">
        <v>86</v>
      </c>
      <c r="T189" s="3">
        <v>0.9</v>
      </c>
      <c r="U189" s="3">
        <v>0.5</v>
      </c>
      <c r="V189" s="3">
        <v>0.6</v>
      </c>
      <c r="W189" s="3">
        <v>0.3</v>
      </c>
      <c r="X189" s="6">
        <v>575.57525599999997</v>
      </c>
      <c r="Y189" s="3">
        <v>1.7999999999999999E-2</v>
      </c>
      <c r="AA189" s="3" t="s">
        <v>86</v>
      </c>
      <c r="AB189" s="3">
        <v>0.7</v>
      </c>
      <c r="AC189" s="7">
        <v>596.917419</v>
      </c>
      <c r="AD189" s="3">
        <v>0</v>
      </c>
      <c r="AE189" s="3">
        <f t="shared" si="21"/>
        <v>0.5</v>
      </c>
      <c r="AF189" s="5"/>
      <c r="AG189" s="5"/>
      <c r="AH189" s="5"/>
      <c r="AI189" s="5"/>
      <c r="AK189" s="3" t="s">
        <v>87</v>
      </c>
      <c r="AL189" s="3">
        <v>0.9</v>
      </c>
      <c r="AM189" s="3">
        <v>0.5</v>
      </c>
      <c r="AN189" s="3">
        <v>0.6</v>
      </c>
      <c r="AO189" s="3">
        <v>0.04</v>
      </c>
      <c r="AP189" s="6">
        <v>712.129456</v>
      </c>
      <c r="AQ189" s="3">
        <v>3.2000000000000001E-2</v>
      </c>
      <c r="AS189" s="3" t="s">
        <v>87</v>
      </c>
      <c r="AT189" s="3">
        <v>0.2</v>
      </c>
      <c r="AU189" s="7">
        <v>761.08178699999996</v>
      </c>
      <c r="AV189" s="3">
        <v>4.0000000000000001E-3</v>
      </c>
      <c r="AW189" s="3">
        <f t="shared" si="22"/>
        <v>0.12000000000000001</v>
      </c>
      <c r="AX189" s="5"/>
      <c r="AY189" s="5"/>
      <c r="AZ189" s="5"/>
      <c r="BA189" s="5"/>
      <c r="BC189" s="3" t="s">
        <v>87</v>
      </c>
      <c r="BD189" s="3">
        <v>0.9</v>
      </c>
      <c r="BE189" s="3">
        <v>0.5</v>
      </c>
      <c r="BF189" s="3">
        <v>0.6</v>
      </c>
      <c r="BG189" s="3">
        <v>0.85</v>
      </c>
      <c r="BH189" s="7">
        <v>959.06396500000005</v>
      </c>
      <c r="BI189" s="3">
        <v>2.4E-2</v>
      </c>
      <c r="BK189" s="3" t="s">
        <v>87</v>
      </c>
      <c r="BL189" s="3">
        <v>0.77</v>
      </c>
      <c r="BM189" s="6">
        <v>956.13073699999995</v>
      </c>
      <c r="BN189" s="3">
        <v>4.0000000000000001E-3</v>
      </c>
      <c r="BO189" s="3">
        <f t="shared" si="23"/>
        <v>0.81</v>
      </c>
    </row>
    <row r="190" spans="1:71" x14ac:dyDescent="0.3">
      <c r="A190" s="3" t="s">
        <v>88</v>
      </c>
      <c r="B190" s="3">
        <v>0.9</v>
      </c>
      <c r="C190" s="3">
        <v>0.5</v>
      </c>
      <c r="D190" s="3">
        <v>0.6</v>
      </c>
      <c r="E190" s="3">
        <v>0.55000000000000004</v>
      </c>
      <c r="F190" s="7">
        <v>544.96624799999995</v>
      </c>
      <c r="G190" s="3">
        <v>4.2000000000000003E-2</v>
      </c>
      <c r="I190" s="3" t="s">
        <v>88</v>
      </c>
      <c r="J190" s="3">
        <v>0.43</v>
      </c>
      <c r="K190" s="6">
        <v>501.84716800000001</v>
      </c>
      <c r="L190" s="3">
        <v>3.0000000000000001E-3</v>
      </c>
      <c r="M190" s="3">
        <f t="shared" si="20"/>
        <v>0.49</v>
      </c>
      <c r="N190" s="5"/>
      <c r="O190" s="5"/>
      <c r="P190" s="5"/>
      <c r="Q190" s="5"/>
      <c r="S190" s="3" t="s">
        <v>88</v>
      </c>
      <c r="T190" s="3">
        <v>0.9</v>
      </c>
      <c r="U190" s="3">
        <v>0.5</v>
      </c>
      <c r="V190" s="3">
        <v>0.6</v>
      </c>
      <c r="W190" s="3">
        <v>0.14000000000000001</v>
      </c>
      <c r="X190" s="6">
        <v>473.02667200000002</v>
      </c>
      <c r="Y190" s="3">
        <v>1.0999999999999999E-2</v>
      </c>
      <c r="AA190" s="3" t="s">
        <v>88</v>
      </c>
      <c r="AB190" s="3">
        <v>0.13</v>
      </c>
      <c r="AC190" s="7">
        <v>479.32278400000001</v>
      </c>
      <c r="AD190" s="3">
        <v>1E-3</v>
      </c>
      <c r="AE190" s="3">
        <f t="shared" si="21"/>
        <v>0.13500000000000001</v>
      </c>
      <c r="AF190" s="5"/>
      <c r="AG190" s="5"/>
      <c r="AH190" s="5"/>
      <c r="AI190" s="5"/>
      <c r="AK190" s="3" t="s">
        <v>89</v>
      </c>
      <c r="AL190" s="3">
        <v>0.9</v>
      </c>
      <c r="AM190" s="3">
        <v>0.5</v>
      </c>
      <c r="AN190" s="3">
        <v>0.6</v>
      </c>
      <c r="AO190" s="3">
        <v>0.1</v>
      </c>
      <c r="AP190" s="6">
        <v>709.81506300000001</v>
      </c>
      <c r="AQ190" s="3">
        <v>1.7999999999999999E-2</v>
      </c>
      <c r="AS190" s="3" t="s">
        <v>89</v>
      </c>
      <c r="AT190" s="3">
        <v>0.86</v>
      </c>
      <c r="AU190" s="7">
        <v>992.45660399999997</v>
      </c>
      <c r="AV190" s="3">
        <v>1.2999999999999999E-2</v>
      </c>
      <c r="AW190" s="3">
        <f t="shared" si="22"/>
        <v>0.48</v>
      </c>
      <c r="AX190" s="5"/>
      <c r="AY190" s="5"/>
      <c r="AZ190" s="5"/>
      <c r="BA190" s="5"/>
      <c r="BC190" s="3" t="s">
        <v>89</v>
      </c>
      <c r="BD190" s="3">
        <v>0.9</v>
      </c>
      <c r="BE190" s="3">
        <v>0.5</v>
      </c>
      <c r="BF190" s="3">
        <v>0.6</v>
      </c>
      <c r="BG190" s="3">
        <v>0.53</v>
      </c>
      <c r="BH190" s="7">
        <v>903.07891800000004</v>
      </c>
      <c r="BI190" s="3">
        <v>1.0999999999999999E-2</v>
      </c>
      <c r="BK190" s="3" t="s">
        <v>89</v>
      </c>
      <c r="BL190" s="3">
        <v>0.22</v>
      </c>
      <c r="BM190" s="6">
        <v>742.93743900000004</v>
      </c>
      <c r="BN190" s="3">
        <v>6.0000000000000001E-3</v>
      </c>
      <c r="BO190" s="3">
        <f t="shared" si="23"/>
        <v>0.375</v>
      </c>
    </row>
    <row r="191" spans="1:71" x14ac:dyDescent="0.3">
      <c r="A191" s="3" t="s">
        <v>90</v>
      </c>
      <c r="B191" s="3">
        <v>0.9</v>
      </c>
      <c r="C191" s="3">
        <v>0.5</v>
      </c>
      <c r="D191" s="3">
        <v>0.6</v>
      </c>
      <c r="E191" s="3">
        <v>0.52</v>
      </c>
      <c r="F191" s="6">
        <v>523.96813999999995</v>
      </c>
      <c r="G191" s="3">
        <v>1.2E-2</v>
      </c>
      <c r="I191" s="3" t="s">
        <v>90</v>
      </c>
      <c r="J191" s="3">
        <v>0.57999999999999996</v>
      </c>
      <c r="K191" s="7">
        <v>531.96301300000005</v>
      </c>
      <c r="L191" s="3">
        <v>2.1000000000000001E-2</v>
      </c>
      <c r="M191" s="3">
        <f t="shared" si="20"/>
        <v>0.55000000000000004</v>
      </c>
      <c r="N191" s="5"/>
      <c r="O191" s="5"/>
      <c r="P191" s="5"/>
      <c r="Q191" s="5"/>
      <c r="S191" s="3" t="s">
        <v>90</v>
      </c>
      <c r="T191" s="3">
        <v>0.9</v>
      </c>
      <c r="U191" s="3">
        <v>0.5</v>
      </c>
      <c r="V191" s="3">
        <v>0.6</v>
      </c>
      <c r="W191" s="3">
        <v>0.13</v>
      </c>
      <c r="X191" s="6">
        <v>413.76531999999997</v>
      </c>
      <c r="Y191" s="3">
        <v>3.6999999999999998E-2</v>
      </c>
      <c r="AA191" s="3" t="s">
        <v>90</v>
      </c>
      <c r="AB191" s="3">
        <v>0.39</v>
      </c>
      <c r="AC191" s="7">
        <v>451.049713</v>
      </c>
      <c r="AD191" s="3">
        <v>2E-3</v>
      </c>
      <c r="AE191" s="3">
        <f t="shared" si="21"/>
        <v>0.26</v>
      </c>
      <c r="AF191" s="5"/>
      <c r="AG191" s="5"/>
      <c r="AH191" s="5"/>
      <c r="AI191" s="5"/>
      <c r="AK191" s="3" t="s">
        <v>91</v>
      </c>
      <c r="AL191" s="3">
        <v>0.9</v>
      </c>
      <c r="AM191" s="3">
        <v>0.5</v>
      </c>
      <c r="AN191" s="3">
        <v>0.6</v>
      </c>
      <c r="AO191" s="3">
        <v>0.5</v>
      </c>
      <c r="AP191" s="6">
        <v>867.86193800000001</v>
      </c>
      <c r="AQ191" s="3">
        <v>3.5999999999999997E-2</v>
      </c>
      <c r="AS191" s="3" t="s">
        <v>91</v>
      </c>
      <c r="AT191" s="3">
        <v>0.95</v>
      </c>
      <c r="AU191" s="7">
        <v>907.08160399999997</v>
      </c>
      <c r="AV191" s="3">
        <v>2E-3</v>
      </c>
      <c r="AW191" s="3">
        <f t="shared" si="22"/>
        <v>0.72499999999999998</v>
      </c>
      <c r="AX191" s="5"/>
      <c r="AY191" s="5"/>
      <c r="AZ191" s="5"/>
      <c r="BA191" s="5"/>
      <c r="BC191" s="3" t="s">
        <v>91</v>
      </c>
      <c r="BD191" s="3">
        <v>0.9</v>
      </c>
      <c r="BE191" s="3">
        <v>0.5</v>
      </c>
      <c r="BF191" s="3">
        <v>0.6</v>
      </c>
      <c r="BG191" s="3">
        <v>0.86</v>
      </c>
      <c r="BH191" s="6">
        <v>907.62152100000003</v>
      </c>
      <c r="BI191" s="3">
        <v>1.7999999999999999E-2</v>
      </c>
      <c r="BK191" s="3" t="s">
        <v>91</v>
      </c>
      <c r="BL191" s="3">
        <v>0.89</v>
      </c>
      <c r="BM191" s="7">
        <v>914.37005599999998</v>
      </c>
      <c r="BN191" s="3">
        <v>1E-3</v>
      </c>
      <c r="BO191" s="3">
        <f t="shared" si="23"/>
        <v>0.875</v>
      </c>
    </row>
    <row r="192" spans="1:71" x14ac:dyDescent="0.3">
      <c r="A192" s="3" t="s">
        <v>92</v>
      </c>
      <c r="B192" s="3">
        <v>0.9</v>
      </c>
      <c r="C192" s="3">
        <v>0.5</v>
      </c>
      <c r="D192" s="3">
        <v>0.6</v>
      </c>
      <c r="E192" s="3">
        <v>0.64</v>
      </c>
      <c r="F192" s="7">
        <v>593.558716</v>
      </c>
      <c r="G192" s="3">
        <v>2.5999999999999999E-2</v>
      </c>
      <c r="I192" s="3" t="s">
        <v>92</v>
      </c>
      <c r="J192" s="3">
        <v>0.48</v>
      </c>
      <c r="K192" s="6">
        <v>586.85992399999998</v>
      </c>
      <c r="L192" s="3">
        <v>6.0000000000000001E-3</v>
      </c>
      <c r="M192" s="3">
        <f t="shared" si="20"/>
        <v>0.56000000000000005</v>
      </c>
      <c r="N192" s="5"/>
      <c r="O192" s="5"/>
      <c r="P192" s="5"/>
      <c r="Q192" s="5"/>
      <c r="S192" s="3" t="s">
        <v>92</v>
      </c>
      <c r="T192" s="3">
        <v>0.9</v>
      </c>
      <c r="U192" s="3">
        <v>0.5</v>
      </c>
      <c r="V192" s="3">
        <v>0.6</v>
      </c>
      <c r="W192" s="3">
        <v>0.96</v>
      </c>
      <c r="X192" s="7">
        <v>609.01867700000003</v>
      </c>
      <c r="Y192" s="3">
        <v>1.4E-2</v>
      </c>
      <c r="AA192" s="3" t="s">
        <v>92</v>
      </c>
      <c r="AB192" s="3">
        <v>0.35</v>
      </c>
      <c r="AC192" s="6">
        <v>559.47161900000003</v>
      </c>
      <c r="AD192" s="3">
        <v>1E-3</v>
      </c>
      <c r="AE192" s="3">
        <f t="shared" si="21"/>
        <v>0.65500000000000003</v>
      </c>
      <c r="AF192" s="5"/>
      <c r="AG192" s="5"/>
      <c r="AH192" s="5"/>
      <c r="AI192" s="5"/>
      <c r="AK192" s="3" t="s">
        <v>93</v>
      </c>
      <c r="AL192" s="3">
        <v>0.9</v>
      </c>
      <c r="AM192" s="3">
        <v>0.5</v>
      </c>
      <c r="AN192" s="3">
        <v>0.6</v>
      </c>
      <c r="AO192" s="3">
        <v>0.2</v>
      </c>
      <c r="AP192" s="6">
        <v>712.68139599999995</v>
      </c>
      <c r="AQ192" s="3">
        <v>2.5000000000000001E-2</v>
      </c>
      <c r="AS192" s="3" t="s">
        <v>93</v>
      </c>
      <c r="AT192" s="3">
        <v>0.65</v>
      </c>
      <c r="AU192" s="7">
        <v>907.16406199999994</v>
      </c>
      <c r="AV192" s="3">
        <v>1E-3</v>
      </c>
      <c r="AW192" s="3">
        <f t="shared" si="22"/>
        <v>0.42500000000000004</v>
      </c>
      <c r="AX192" s="5"/>
      <c r="AY192" s="5"/>
      <c r="AZ192" s="5"/>
      <c r="BA192" s="5"/>
      <c r="BC192" s="3" t="s">
        <v>93</v>
      </c>
      <c r="BD192" s="3">
        <v>0.9</v>
      </c>
      <c r="BE192" s="3">
        <v>0.5</v>
      </c>
      <c r="BF192" s="3">
        <v>0.6</v>
      </c>
      <c r="BG192" s="3">
        <v>0.56999999999999995</v>
      </c>
      <c r="BH192" s="6">
        <v>844.94104000000004</v>
      </c>
      <c r="BI192" s="3">
        <v>1.0999999999999999E-2</v>
      </c>
      <c r="BK192" s="3" t="s">
        <v>93</v>
      </c>
      <c r="BL192" s="3">
        <v>0.54</v>
      </c>
      <c r="BM192" s="7">
        <v>856.95007299999997</v>
      </c>
      <c r="BN192" s="3">
        <v>7.0000000000000001E-3</v>
      </c>
      <c r="BO192" s="3">
        <f t="shared" si="23"/>
        <v>0.55499999999999994</v>
      </c>
    </row>
    <row r="193" spans="1:67" x14ac:dyDescent="0.3">
      <c r="A193" s="3" t="s">
        <v>94</v>
      </c>
      <c r="B193" s="3">
        <v>0.9</v>
      </c>
      <c r="C193" s="3">
        <v>0.5</v>
      </c>
      <c r="D193" s="3">
        <v>0.6</v>
      </c>
      <c r="E193" s="3">
        <v>7.0000000000000007E-2</v>
      </c>
      <c r="F193" s="6">
        <v>443.46627799999999</v>
      </c>
      <c r="G193" s="3">
        <v>1.0999999999999999E-2</v>
      </c>
      <c r="I193" s="3" t="s">
        <v>94</v>
      </c>
      <c r="J193" s="3">
        <v>0.81</v>
      </c>
      <c r="K193" s="7">
        <v>618.13244599999996</v>
      </c>
      <c r="L193" s="3">
        <v>0</v>
      </c>
      <c r="M193" s="3">
        <f t="shared" si="20"/>
        <v>0.44000000000000006</v>
      </c>
      <c r="N193" s="5"/>
      <c r="O193" s="5"/>
      <c r="P193" s="5"/>
      <c r="Q193" s="5"/>
      <c r="S193" s="3" t="s">
        <v>94</v>
      </c>
      <c r="T193" s="3">
        <v>0.9</v>
      </c>
      <c r="U193" s="3">
        <v>0.5</v>
      </c>
      <c r="V193" s="3">
        <v>0.6</v>
      </c>
      <c r="W193" s="3">
        <v>0.78</v>
      </c>
      <c r="X193" s="7">
        <v>619.13433799999996</v>
      </c>
      <c r="Y193" s="3">
        <v>8.0000000000000002E-3</v>
      </c>
      <c r="AA193" s="3" t="s">
        <v>94</v>
      </c>
      <c r="AB193" s="3">
        <v>0.52</v>
      </c>
      <c r="AC193" s="6">
        <v>511.75012199999998</v>
      </c>
      <c r="AD193" s="3">
        <v>7.0000000000000001E-3</v>
      </c>
      <c r="AE193" s="3">
        <f t="shared" si="21"/>
        <v>0.65</v>
      </c>
      <c r="AF193" s="5"/>
      <c r="AG193" s="5"/>
      <c r="AH193" s="5"/>
      <c r="AI193" s="5"/>
      <c r="AK193" s="3" t="s">
        <v>95</v>
      </c>
      <c r="AL193" s="3">
        <v>0.9</v>
      </c>
      <c r="AM193" s="3">
        <v>0.5</v>
      </c>
      <c r="AN193" s="3">
        <v>0.6</v>
      </c>
      <c r="AO193" s="3">
        <v>0.67</v>
      </c>
      <c r="AP193" s="7">
        <v>971.44256600000006</v>
      </c>
      <c r="AQ193" s="3">
        <v>0.02</v>
      </c>
      <c r="AS193" s="3" t="s">
        <v>95</v>
      </c>
      <c r="AT193" s="3">
        <v>0.35</v>
      </c>
      <c r="AU193" s="6">
        <v>874.52862500000003</v>
      </c>
      <c r="AV193" s="3">
        <v>6.0000000000000001E-3</v>
      </c>
      <c r="AW193" s="3">
        <f t="shared" si="22"/>
        <v>0.51</v>
      </c>
      <c r="AX193" s="5"/>
      <c r="AY193" s="5"/>
      <c r="AZ193" s="5"/>
      <c r="BA193" s="5"/>
      <c r="BC193" s="3" t="s">
        <v>95</v>
      </c>
      <c r="BD193" s="3">
        <v>0.9</v>
      </c>
      <c r="BE193" s="3">
        <v>0.5</v>
      </c>
      <c r="BF193" s="3">
        <v>0.6</v>
      </c>
      <c r="BG193" s="3">
        <v>0.04</v>
      </c>
      <c r="BH193" s="7">
        <v>689.28527799999995</v>
      </c>
      <c r="BI193" s="3">
        <v>3.5999999999999997E-2</v>
      </c>
      <c r="BK193" s="3" t="s">
        <v>95</v>
      </c>
      <c r="BL193" s="3">
        <v>0.06</v>
      </c>
      <c r="BM193" s="6">
        <v>702.50537099999997</v>
      </c>
      <c r="BN193" s="3">
        <v>8.9999999999999993E-3</v>
      </c>
      <c r="BO193" s="3">
        <f t="shared" si="23"/>
        <v>0.05</v>
      </c>
    </row>
    <row r="194" spans="1:67" x14ac:dyDescent="0.3">
      <c r="A194" s="3" t="s">
        <v>96</v>
      </c>
      <c r="B194" s="3">
        <v>0.9</v>
      </c>
      <c r="C194" s="3">
        <v>0.5</v>
      </c>
      <c r="D194" s="3">
        <v>0.6</v>
      </c>
      <c r="E194" s="3">
        <v>0.03</v>
      </c>
      <c r="F194" s="6">
        <v>582.59161400000005</v>
      </c>
      <c r="G194" s="3">
        <v>3.4000000000000002E-2</v>
      </c>
      <c r="I194" s="3" t="s">
        <v>96</v>
      </c>
      <c r="J194" s="3">
        <v>0.26</v>
      </c>
      <c r="K194" s="7">
        <v>593.85632299999997</v>
      </c>
      <c r="L194" s="3">
        <v>2E-3</v>
      </c>
      <c r="M194" s="3">
        <f t="shared" si="20"/>
        <v>0.14500000000000002</v>
      </c>
      <c r="N194" s="5"/>
      <c r="O194" s="5"/>
      <c r="P194" s="5"/>
      <c r="Q194" s="5"/>
      <c r="S194" s="3" t="s">
        <v>96</v>
      </c>
      <c r="T194" s="3">
        <v>0.9</v>
      </c>
      <c r="U194" s="3">
        <v>0.5</v>
      </c>
      <c r="V194" s="3">
        <v>0.6</v>
      </c>
      <c r="W194" s="3">
        <v>0.61</v>
      </c>
      <c r="X194" s="7">
        <v>658.49133300000005</v>
      </c>
      <c r="Y194" s="3">
        <v>2.1999999999999999E-2</v>
      </c>
      <c r="AA194" s="3" t="s">
        <v>96</v>
      </c>
      <c r="AB194" s="3">
        <v>0.05</v>
      </c>
      <c r="AC194" s="6">
        <v>565.02655000000004</v>
      </c>
      <c r="AD194" s="3">
        <v>8.0000000000000002E-3</v>
      </c>
      <c r="AE194" s="3">
        <f t="shared" si="21"/>
        <v>0.33</v>
      </c>
      <c r="AF194" s="5"/>
      <c r="AG194" s="5"/>
      <c r="AH194" s="5"/>
      <c r="AI194" s="5"/>
      <c r="AK194" s="3" t="s">
        <v>97</v>
      </c>
      <c r="AL194" s="3">
        <v>0.9</v>
      </c>
      <c r="AM194" s="3">
        <v>0.5</v>
      </c>
      <c r="AN194" s="3">
        <v>0.6</v>
      </c>
      <c r="AO194" s="3">
        <v>0.85</v>
      </c>
      <c r="AP194" s="7">
        <v>1105.315918</v>
      </c>
      <c r="AQ194" s="3">
        <v>3.6999999999999998E-2</v>
      </c>
      <c r="AS194" s="3" t="s">
        <v>97</v>
      </c>
      <c r="AT194" s="3">
        <v>0.42</v>
      </c>
      <c r="AU194" s="6">
        <v>1009.579773</v>
      </c>
      <c r="AV194" s="3">
        <v>8.0000000000000002E-3</v>
      </c>
      <c r="AW194" s="3">
        <f t="shared" si="22"/>
        <v>0.63500000000000001</v>
      </c>
      <c r="AX194" s="5"/>
      <c r="AY194" s="5"/>
      <c r="AZ194" s="5"/>
      <c r="BA194" s="5"/>
      <c r="BC194" s="3" t="s">
        <v>97</v>
      </c>
      <c r="BD194" s="3">
        <v>0.9</v>
      </c>
      <c r="BE194" s="3">
        <v>0.5</v>
      </c>
      <c r="BF194" s="3">
        <v>0.6</v>
      </c>
      <c r="BG194" s="3">
        <v>0.32</v>
      </c>
      <c r="BH194" s="6">
        <v>978.58758499999999</v>
      </c>
      <c r="BI194" s="3">
        <v>1.9E-2</v>
      </c>
      <c r="BK194" s="3" t="s">
        <v>97</v>
      </c>
      <c r="BL194" s="3">
        <v>0.75</v>
      </c>
      <c r="BM194" s="7">
        <v>1088.344971</v>
      </c>
      <c r="BN194" s="3">
        <v>3.0000000000000001E-3</v>
      </c>
      <c r="BO194" s="3">
        <f t="shared" si="23"/>
        <v>0.53500000000000003</v>
      </c>
    </row>
    <row r="195" spans="1:67" x14ac:dyDescent="0.3">
      <c r="A195" s="3" t="s">
        <v>98</v>
      </c>
      <c r="B195" s="3">
        <v>0.9</v>
      </c>
      <c r="C195" s="3">
        <v>0.5</v>
      </c>
      <c r="D195" s="3">
        <v>0.6</v>
      </c>
      <c r="E195" s="3">
        <v>0.88</v>
      </c>
      <c r="F195" s="7">
        <v>614.433716</v>
      </c>
      <c r="G195" s="3">
        <v>1.9E-2</v>
      </c>
      <c r="I195" s="3" t="s">
        <v>98</v>
      </c>
      <c r="J195" s="3">
        <v>0.93</v>
      </c>
      <c r="K195" s="6">
        <v>605.45007299999997</v>
      </c>
      <c r="L195" s="3">
        <v>0</v>
      </c>
      <c r="M195" s="3">
        <f t="shared" si="20"/>
        <v>0.90500000000000003</v>
      </c>
      <c r="N195" s="5"/>
      <c r="O195" s="5"/>
      <c r="P195" s="5"/>
      <c r="Q195" s="5"/>
      <c r="S195" s="3" t="s">
        <v>98</v>
      </c>
      <c r="T195" s="3">
        <v>0.9</v>
      </c>
      <c r="U195" s="3">
        <v>0.5</v>
      </c>
      <c r="V195" s="3">
        <v>0.6</v>
      </c>
      <c r="W195" s="3">
        <v>0.91</v>
      </c>
      <c r="X195" s="7">
        <v>595.70581100000004</v>
      </c>
      <c r="Y195" s="3">
        <v>1.9E-2</v>
      </c>
      <c r="AA195" s="3" t="s">
        <v>98</v>
      </c>
      <c r="AB195" s="3">
        <v>0.24</v>
      </c>
      <c r="AC195" s="6">
        <v>480.40917999999999</v>
      </c>
      <c r="AD195" s="3">
        <v>0</v>
      </c>
      <c r="AE195" s="3">
        <f t="shared" si="21"/>
        <v>0.57499999999999996</v>
      </c>
      <c r="AF195" s="5"/>
      <c r="AG195" s="5"/>
      <c r="AH195" s="5"/>
      <c r="AI195" s="5"/>
      <c r="AK195" s="3" t="s">
        <v>99</v>
      </c>
      <c r="AL195" s="3">
        <v>0.9</v>
      </c>
      <c r="AM195" s="3">
        <v>0.5</v>
      </c>
      <c r="AN195" s="3">
        <v>0.6</v>
      </c>
      <c r="AO195" s="3">
        <v>0.66</v>
      </c>
      <c r="AP195" s="7">
        <v>1087.4227289999999</v>
      </c>
      <c r="AQ195" s="3">
        <v>1.0999999999999999E-2</v>
      </c>
      <c r="AS195" s="3" t="s">
        <v>99</v>
      </c>
      <c r="AT195" s="3">
        <v>0.59</v>
      </c>
      <c r="AU195" s="6">
        <v>1081.623047</v>
      </c>
      <c r="AV195" s="3">
        <v>6.0000000000000001E-3</v>
      </c>
      <c r="AW195" s="3">
        <f t="shared" si="22"/>
        <v>0.625</v>
      </c>
      <c r="AX195" s="5"/>
      <c r="AY195" s="5"/>
      <c r="AZ195" s="5"/>
      <c r="BA195" s="5"/>
      <c r="BC195" s="3" t="s">
        <v>99</v>
      </c>
      <c r="BD195" s="3">
        <v>0.9</v>
      </c>
      <c r="BE195" s="3">
        <v>0.5</v>
      </c>
      <c r="BF195" s="3">
        <v>0.6</v>
      </c>
      <c r="BG195" s="3">
        <v>0.7</v>
      </c>
      <c r="BH195" s="6">
        <v>1086.284302</v>
      </c>
      <c r="BI195" s="3">
        <v>2.5999999999999999E-2</v>
      </c>
      <c r="BK195" s="3" t="s">
        <v>99</v>
      </c>
      <c r="BL195" s="3">
        <v>0.91</v>
      </c>
      <c r="BM195" s="7">
        <v>1131.154419</v>
      </c>
      <c r="BN195" s="3">
        <v>4.0000000000000001E-3</v>
      </c>
      <c r="BO195" s="3">
        <f t="shared" si="23"/>
        <v>0.80499999999999994</v>
      </c>
    </row>
    <row r="196" spans="1:67" x14ac:dyDescent="0.3">
      <c r="A196" s="3" t="s">
        <v>100</v>
      </c>
      <c r="B196" s="3">
        <v>0.9</v>
      </c>
      <c r="C196" s="3">
        <v>0.5</v>
      </c>
      <c r="D196" s="3">
        <v>0.6</v>
      </c>
      <c r="E196" s="3">
        <v>0.23</v>
      </c>
      <c r="F196" s="6">
        <v>615.59436000000005</v>
      </c>
      <c r="G196" s="3">
        <v>1.9E-2</v>
      </c>
      <c r="I196" s="3" t="s">
        <v>100</v>
      </c>
      <c r="J196" s="3">
        <v>0.49</v>
      </c>
      <c r="K196" s="7">
        <v>657.44519000000003</v>
      </c>
      <c r="L196" s="3">
        <v>6.0000000000000001E-3</v>
      </c>
      <c r="M196" s="3">
        <f t="shared" si="20"/>
        <v>0.36</v>
      </c>
      <c r="N196" s="5"/>
      <c r="O196" s="5"/>
      <c r="P196" s="5"/>
      <c r="Q196" s="5"/>
      <c r="S196" s="3" t="s">
        <v>100</v>
      </c>
      <c r="T196" s="3">
        <v>0.9</v>
      </c>
      <c r="U196" s="3">
        <v>0.5</v>
      </c>
      <c r="V196" s="3">
        <v>0.6</v>
      </c>
      <c r="W196" s="3">
        <v>0.84</v>
      </c>
      <c r="X196" s="7">
        <v>704.34625200000005</v>
      </c>
      <c r="Y196" s="3">
        <v>1.4999999999999999E-2</v>
      </c>
      <c r="AA196" s="3" t="s">
        <v>100</v>
      </c>
      <c r="AB196" s="3">
        <v>0.43</v>
      </c>
      <c r="AC196" s="6">
        <v>644.03637700000002</v>
      </c>
      <c r="AD196" s="3">
        <v>1E-3</v>
      </c>
      <c r="AE196" s="3">
        <f t="shared" si="21"/>
        <v>0.63500000000000001</v>
      </c>
      <c r="AF196" s="5"/>
      <c r="AG196" s="5"/>
      <c r="AH196" s="5"/>
      <c r="AI196" s="5"/>
      <c r="AK196" s="3" t="s">
        <v>101</v>
      </c>
      <c r="AL196" s="3">
        <v>0.9</v>
      </c>
      <c r="AM196" s="3">
        <v>0.5</v>
      </c>
      <c r="AN196" s="3">
        <v>0.6</v>
      </c>
      <c r="AO196" s="3">
        <v>0.93</v>
      </c>
      <c r="AP196" s="7">
        <v>1077.5306399999999</v>
      </c>
      <c r="AQ196" s="3">
        <v>0.03</v>
      </c>
      <c r="AS196" s="3" t="s">
        <v>101</v>
      </c>
      <c r="AT196" s="3">
        <v>0.32</v>
      </c>
      <c r="AU196" s="6">
        <v>846.45642099999998</v>
      </c>
      <c r="AV196" s="3">
        <v>2E-3</v>
      </c>
      <c r="AW196" s="3">
        <f t="shared" si="22"/>
        <v>0.625</v>
      </c>
      <c r="AX196" s="5"/>
      <c r="AY196" s="5"/>
      <c r="AZ196" s="5"/>
      <c r="BA196" s="5"/>
      <c r="BC196" s="3" t="s">
        <v>101</v>
      </c>
      <c r="BD196" s="3">
        <v>0.9</v>
      </c>
      <c r="BE196" s="3">
        <v>0.5</v>
      </c>
      <c r="BF196" s="3">
        <v>0.6</v>
      </c>
      <c r="BG196" s="3">
        <v>0.66</v>
      </c>
      <c r="BH196" s="6">
        <v>994.84930399999996</v>
      </c>
      <c r="BI196" s="3">
        <v>3.5000000000000003E-2</v>
      </c>
      <c r="BK196" s="3" t="s">
        <v>101</v>
      </c>
      <c r="BL196" s="3">
        <v>0.9</v>
      </c>
      <c r="BM196" s="7">
        <v>1074.2849120000001</v>
      </c>
      <c r="BN196" s="3">
        <v>2E-3</v>
      </c>
      <c r="BO196" s="3">
        <f t="shared" si="23"/>
        <v>0.78</v>
      </c>
    </row>
    <row r="197" spans="1:67" x14ac:dyDescent="0.3">
      <c r="A197" s="3" t="s">
        <v>102</v>
      </c>
      <c r="B197" s="3">
        <v>0.9</v>
      </c>
      <c r="C197" s="3">
        <v>0.5</v>
      </c>
      <c r="D197" s="3">
        <v>0.6</v>
      </c>
      <c r="E197" s="3">
        <v>0.69</v>
      </c>
      <c r="F197" s="6">
        <v>679.76141399999995</v>
      </c>
      <c r="G197" s="3">
        <v>7.0000000000000001E-3</v>
      </c>
      <c r="I197" s="3" t="s">
        <v>102</v>
      </c>
      <c r="J197" s="3">
        <v>0.91</v>
      </c>
      <c r="K197" s="7">
        <v>699.54907200000002</v>
      </c>
      <c r="L197" s="3">
        <v>2E-3</v>
      </c>
      <c r="M197" s="3">
        <f t="shared" si="20"/>
        <v>0.8</v>
      </c>
      <c r="N197" s="5"/>
      <c r="O197" s="5"/>
      <c r="P197" s="5"/>
      <c r="Q197" s="5"/>
      <c r="S197" s="3" t="s">
        <v>102</v>
      </c>
      <c r="T197" s="3">
        <v>0.9</v>
      </c>
      <c r="U197" s="3">
        <v>0.5</v>
      </c>
      <c r="V197" s="3">
        <v>0.6</v>
      </c>
      <c r="W197" s="3">
        <v>0.16</v>
      </c>
      <c r="X197" s="6">
        <v>610.466003</v>
      </c>
      <c r="Y197" s="3">
        <v>1.4999999999999999E-2</v>
      </c>
      <c r="AA197" s="3" t="s">
        <v>102</v>
      </c>
      <c r="AB197" s="3">
        <v>0.66</v>
      </c>
      <c r="AC197" s="7">
        <v>671.521973</v>
      </c>
      <c r="AD197" s="3">
        <v>5.0000000000000001E-3</v>
      </c>
      <c r="AE197" s="3">
        <f t="shared" si="21"/>
        <v>0.41000000000000003</v>
      </c>
      <c r="AF197" s="5"/>
      <c r="AG197" s="5"/>
      <c r="AH197" s="5"/>
      <c r="AI197" s="5"/>
      <c r="AK197" s="3" t="s">
        <v>103</v>
      </c>
      <c r="AL197" s="3">
        <v>0.9</v>
      </c>
      <c r="AM197" s="3">
        <v>0.5</v>
      </c>
      <c r="AN197" s="3">
        <v>0.6</v>
      </c>
      <c r="AO197" s="3">
        <v>0.62</v>
      </c>
      <c r="AP197" s="7">
        <v>1013.74176</v>
      </c>
      <c r="AQ197" s="3">
        <v>1.4E-2</v>
      </c>
      <c r="AS197" s="3" t="s">
        <v>103</v>
      </c>
      <c r="AT197" s="3">
        <v>0.71</v>
      </c>
      <c r="AU197" s="6">
        <v>1011.37616</v>
      </c>
      <c r="AV197" s="3">
        <v>5.0000000000000001E-3</v>
      </c>
      <c r="AW197" s="3">
        <f t="shared" si="22"/>
        <v>0.66500000000000004</v>
      </c>
      <c r="AX197" s="5"/>
      <c r="AY197" s="5"/>
      <c r="AZ197" s="5"/>
      <c r="BA197" s="5"/>
      <c r="BC197" s="3" t="s">
        <v>103</v>
      </c>
      <c r="BD197" s="3">
        <v>0.9</v>
      </c>
      <c r="BE197" s="3">
        <v>0.5</v>
      </c>
      <c r="BF197" s="3">
        <v>0.6</v>
      </c>
      <c r="BG197" s="3">
        <v>0.54</v>
      </c>
      <c r="BH197" s="7">
        <v>978.80773899999997</v>
      </c>
      <c r="BI197" s="3">
        <v>1.7999999999999999E-2</v>
      </c>
      <c r="BK197" s="3" t="s">
        <v>103</v>
      </c>
      <c r="BL197" s="3">
        <v>0.21</v>
      </c>
      <c r="BM197" s="6">
        <v>808.14666699999998</v>
      </c>
      <c r="BN197" s="3">
        <v>2E-3</v>
      </c>
      <c r="BO197" s="3">
        <f t="shared" si="23"/>
        <v>0.375</v>
      </c>
    </row>
    <row r="198" spans="1:67" x14ac:dyDescent="0.3">
      <c r="A198" s="3" t="s">
        <v>104</v>
      </c>
      <c r="B198" s="3">
        <v>0.9</v>
      </c>
      <c r="C198" s="3">
        <v>0.5</v>
      </c>
      <c r="D198" s="3">
        <v>0.6</v>
      </c>
      <c r="E198" s="3">
        <v>0.96</v>
      </c>
      <c r="F198" s="7">
        <v>710.950378</v>
      </c>
      <c r="G198" s="3">
        <v>1.2999999999999999E-2</v>
      </c>
      <c r="I198" s="3" t="s">
        <v>104</v>
      </c>
      <c r="J198" s="3">
        <v>0.04</v>
      </c>
      <c r="K198" s="6">
        <v>626.38366699999995</v>
      </c>
      <c r="L198" s="3">
        <v>4.0000000000000001E-3</v>
      </c>
      <c r="M198" s="3">
        <f t="shared" si="20"/>
        <v>0.5</v>
      </c>
      <c r="N198" s="5"/>
      <c r="O198" s="5"/>
      <c r="P198" s="5"/>
      <c r="Q198" s="5"/>
      <c r="S198" s="3" t="s">
        <v>104</v>
      </c>
      <c r="T198" s="3">
        <v>0.9</v>
      </c>
      <c r="U198" s="3">
        <v>0.5</v>
      </c>
      <c r="V198" s="3">
        <v>0.6</v>
      </c>
      <c r="W198" s="3">
        <v>0.91</v>
      </c>
      <c r="X198" s="7">
        <v>711.36596699999996</v>
      </c>
      <c r="Y198" s="3">
        <v>1.9E-2</v>
      </c>
      <c r="AA198" s="3" t="s">
        <v>104</v>
      </c>
      <c r="AB198" s="3">
        <v>0.35</v>
      </c>
      <c r="AC198" s="6">
        <v>624.45599400000003</v>
      </c>
      <c r="AD198" s="3">
        <v>1E-3</v>
      </c>
      <c r="AE198" s="3">
        <f t="shared" si="21"/>
        <v>0.63</v>
      </c>
      <c r="AF198" s="5"/>
      <c r="AG198" s="5"/>
      <c r="AH198" s="5"/>
      <c r="AI198" s="5"/>
      <c r="AK198" s="3" t="s">
        <v>105</v>
      </c>
      <c r="AL198" s="3">
        <v>0.9</v>
      </c>
      <c r="AM198" s="3">
        <v>0.5</v>
      </c>
      <c r="AN198" s="3">
        <v>0.6</v>
      </c>
      <c r="AO198" s="3">
        <v>0.56999999999999995</v>
      </c>
      <c r="AP198" s="7">
        <v>1106.1168210000001</v>
      </c>
      <c r="AQ198" s="3">
        <v>0.02</v>
      </c>
      <c r="AS198" s="3" t="s">
        <v>105</v>
      </c>
      <c r="AT198" s="3">
        <v>0.08</v>
      </c>
      <c r="AU198" s="6">
        <v>821.33422900000005</v>
      </c>
      <c r="AV198" s="3">
        <v>1E-3</v>
      </c>
      <c r="AW198" s="3">
        <f t="shared" si="22"/>
        <v>0.32499999999999996</v>
      </c>
      <c r="AX198" s="5"/>
      <c r="AY198" s="5"/>
      <c r="AZ198" s="5"/>
      <c r="BA198" s="5"/>
      <c r="BC198" s="3" t="s">
        <v>105</v>
      </c>
      <c r="BD198" s="3">
        <v>0.9</v>
      </c>
      <c r="BE198" s="3">
        <v>0.5</v>
      </c>
      <c r="BF198" s="3">
        <v>0.6</v>
      </c>
      <c r="BG198" s="3">
        <v>0.75</v>
      </c>
      <c r="BH198" s="7">
        <v>1120.5943600000001</v>
      </c>
      <c r="BI198" s="3">
        <v>4.4999999999999998E-2</v>
      </c>
      <c r="BK198" s="3" t="s">
        <v>105</v>
      </c>
      <c r="BL198" s="3">
        <v>0.54</v>
      </c>
      <c r="BM198" s="6">
        <v>1097.9228519999999</v>
      </c>
      <c r="BN198" s="3">
        <v>8.0000000000000002E-3</v>
      </c>
      <c r="BO198" s="3">
        <f t="shared" si="23"/>
        <v>0.64500000000000002</v>
      </c>
    </row>
    <row r="199" spans="1:67" x14ac:dyDescent="0.3">
      <c r="A199" s="3" t="s">
        <v>106</v>
      </c>
      <c r="B199" s="3">
        <v>0.9</v>
      </c>
      <c r="C199" s="3">
        <v>0.5</v>
      </c>
      <c r="D199" s="3">
        <v>0.6</v>
      </c>
      <c r="E199" s="3">
        <v>0.94</v>
      </c>
      <c r="F199" s="7">
        <v>657.91296399999999</v>
      </c>
      <c r="G199" s="3">
        <v>2.1000000000000001E-2</v>
      </c>
      <c r="I199" s="3" t="s">
        <v>106</v>
      </c>
      <c r="J199" s="3">
        <v>0.59</v>
      </c>
      <c r="K199" s="6">
        <v>629.30969200000004</v>
      </c>
      <c r="L199" s="3">
        <v>3.0000000000000001E-3</v>
      </c>
      <c r="M199" s="3">
        <f t="shared" si="20"/>
        <v>0.7649999999999999</v>
      </c>
      <c r="N199" s="5"/>
      <c r="O199" s="5"/>
      <c r="P199" s="5"/>
      <c r="Q199" s="5"/>
      <c r="S199" s="3" t="s">
        <v>106</v>
      </c>
      <c r="T199" s="3">
        <v>0.9</v>
      </c>
      <c r="U199" s="3">
        <v>0.5</v>
      </c>
      <c r="V199" s="3">
        <v>0.6</v>
      </c>
      <c r="W199" s="3">
        <v>0.38</v>
      </c>
      <c r="X199" s="7">
        <v>587.53161599999999</v>
      </c>
      <c r="Y199" s="3">
        <v>8.9999999999999993E-3</v>
      </c>
      <c r="AA199" s="3" t="s">
        <v>106</v>
      </c>
      <c r="AB199" s="3">
        <v>0.23</v>
      </c>
      <c r="AC199" s="6">
        <v>552.60217299999999</v>
      </c>
      <c r="AD199" s="3">
        <v>2E-3</v>
      </c>
      <c r="AE199" s="3">
        <f t="shared" si="21"/>
        <v>0.30499999999999999</v>
      </c>
      <c r="AF199" s="5"/>
      <c r="AG199" s="5"/>
      <c r="AH199" s="5"/>
      <c r="AI199" s="5"/>
      <c r="AK199" s="3" t="s">
        <v>107</v>
      </c>
      <c r="AL199" s="3">
        <v>0.9</v>
      </c>
      <c r="AM199" s="3">
        <v>0.5</v>
      </c>
      <c r="AN199" s="3">
        <v>0.6</v>
      </c>
      <c r="AO199" s="3">
        <v>0.04</v>
      </c>
      <c r="AP199" s="6">
        <v>889.76611300000002</v>
      </c>
      <c r="AQ199" s="3">
        <v>2.3E-2</v>
      </c>
      <c r="AS199" s="3" t="s">
        <v>107</v>
      </c>
      <c r="AT199" s="3">
        <v>0.69</v>
      </c>
      <c r="AU199" s="7">
        <v>1200.2075199999999</v>
      </c>
      <c r="AV199" s="3">
        <v>4.0000000000000001E-3</v>
      </c>
      <c r="AW199" s="3">
        <f t="shared" si="22"/>
        <v>0.36499999999999999</v>
      </c>
      <c r="AX199" s="5"/>
      <c r="AY199" s="5"/>
      <c r="AZ199" s="5"/>
      <c r="BA199" s="5"/>
      <c r="BC199" s="3" t="s">
        <v>107</v>
      </c>
      <c r="BD199" s="3">
        <v>0.9</v>
      </c>
      <c r="BE199" s="3">
        <v>0.5</v>
      </c>
      <c r="BF199" s="3">
        <v>0.6</v>
      </c>
      <c r="BG199" s="3">
        <v>0.93</v>
      </c>
      <c r="BH199" s="7">
        <v>1195.296875</v>
      </c>
      <c r="BI199" s="3">
        <v>1.4E-2</v>
      </c>
      <c r="BK199" s="3" t="s">
        <v>107</v>
      </c>
      <c r="BL199" s="3">
        <v>0.18</v>
      </c>
      <c r="BM199" s="6">
        <v>981.78326400000003</v>
      </c>
      <c r="BN199" s="3">
        <v>1E-3</v>
      </c>
      <c r="BO199" s="3">
        <f t="shared" si="23"/>
        <v>0.55500000000000005</v>
      </c>
    </row>
    <row r="200" spans="1:67" x14ac:dyDescent="0.3">
      <c r="A200" s="3" t="s">
        <v>108</v>
      </c>
      <c r="B200" s="3">
        <v>0.9</v>
      </c>
      <c r="C200" s="3">
        <v>0.5</v>
      </c>
      <c r="D200" s="3">
        <v>0.6</v>
      </c>
      <c r="E200" s="3">
        <v>0.17</v>
      </c>
      <c r="F200" s="7">
        <v>628.95452899999998</v>
      </c>
      <c r="G200" s="3">
        <v>0.03</v>
      </c>
      <c r="I200" s="3" t="s">
        <v>108</v>
      </c>
      <c r="J200" s="3">
        <v>0.19</v>
      </c>
      <c r="K200" s="6">
        <v>624.189392</v>
      </c>
      <c r="L200" s="3">
        <v>1E-3</v>
      </c>
      <c r="M200" s="3">
        <f t="shared" si="20"/>
        <v>0.18</v>
      </c>
      <c r="N200" s="5"/>
      <c r="O200" s="5"/>
      <c r="P200" s="5"/>
      <c r="Q200" s="5"/>
      <c r="S200" s="3" t="s">
        <v>108</v>
      </c>
      <c r="T200" s="3">
        <v>0.9</v>
      </c>
      <c r="U200" s="3">
        <v>0.5</v>
      </c>
      <c r="V200" s="3">
        <v>0.6</v>
      </c>
      <c r="W200" s="3">
        <v>0.56000000000000005</v>
      </c>
      <c r="X200" s="7">
        <v>630.956909</v>
      </c>
      <c r="Y200" s="3">
        <v>8.9999999999999993E-3</v>
      </c>
      <c r="AA200" s="3" t="s">
        <v>108</v>
      </c>
      <c r="AB200" s="3">
        <v>0.37</v>
      </c>
      <c r="AC200" s="6">
        <v>612.72216800000001</v>
      </c>
      <c r="AD200" s="3">
        <v>1E-3</v>
      </c>
      <c r="AE200" s="3">
        <f t="shared" si="21"/>
        <v>0.46500000000000002</v>
      </c>
      <c r="AF200" s="5"/>
      <c r="AG200" s="5"/>
      <c r="AH200" s="5"/>
      <c r="AI200" s="5"/>
      <c r="AK200" s="3" t="s">
        <v>109</v>
      </c>
      <c r="AL200" s="3">
        <v>0.9</v>
      </c>
      <c r="AM200" s="3">
        <v>0.5</v>
      </c>
      <c r="AN200" s="3">
        <v>0.6</v>
      </c>
      <c r="AO200" s="3">
        <v>0.71</v>
      </c>
      <c r="AP200" s="7">
        <v>1093.1717530000001</v>
      </c>
      <c r="AQ200" s="3">
        <v>2.8000000000000001E-2</v>
      </c>
      <c r="AS200" s="3" t="s">
        <v>109</v>
      </c>
      <c r="AT200" s="3">
        <v>0.15</v>
      </c>
      <c r="AU200" s="6">
        <v>794.06957999999997</v>
      </c>
      <c r="AV200" s="3">
        <v>0</v>
      </c>
      <c r="AW200" s="3">
        <f t="shared" si="22"/>
        <v>0.43</v>
      </c>
      <c r="AX200" s="5"/>
      <c r="AY200" s="5"/>
      <c r="AZ200" s="5"/>
      <c r="BA200" s="5"/>
      <c r="BC200" s="3" t="s">
        <v>109</v>
      </c>
      <c r="BD200" s="3">
        <v>0.9</v>
      </c>
      <c r="BE200" s="3">
        <v>0.5</v>
      </c>
      <c r="BF200" s="3">
        <v>0.6</v>
      </c>
      <c r="BG200" s="3">
        <v>0.97</v>
      </c>
      <c r="BH200" s="7">
        <v>1146.091919</v>
      </c>
      <c r="BI200" s="3">
        <v>3.1E-2</v>
      </c>
      <c r="BK200" s="3" t="s">
        <v>109</v>
      </c>
      <c r="BL200" s="3">
        <v>0.04</v>
      </c>
      <c r="BM200" s="6">
        <v>770.19665499999996</v>
      </c>
      <c r="BN200" s="3">
        <v>5.0000000000000001E-3</v>
      </c>
      <c r="BO200" s="3">
        <f t="shared" si="23"/>
        <v>0.505</v>
      </c>
    </row>
    <row r="201" spans="1:67" x14ac:dyDescent="0.3">
      <c r="A201" s="3" t="s">
        <v>110</v>
      </c>
      <c r="B201" s="3">
        <v>0.9</v>
      </c>
      <c r="C201" s="3">
        <v>0.5</v>
      </c>
      <c r="D201" s="3">
        <v>0.6</v>
      </c>
      <c r="E201" s="3">
        <v>0.56000000000000005</v>
      </c>
      <c r="F201" s="6">
        <v>660.99969499999997</v>
      </c>
      <c r="G201" s="3">
        <v>2.8000000000000001E-2</v>
      </c>
      <c r="I201" s="3" t="s">
        <v>110</v>
      </c>
      <c r="J201" s="3">
        <v>0.73</v>
      </c>
      <c r="K201" s="7">
        <v>685.43701199999998</v>
      </c>
      <c r="L201" s="3">
        <v>1.0999999999999999E-2</v>
      </c>
      <c r="M201" s="3">
        <f t="shared" si="20"/>
        <v>0.64500000000000002</v>
      </c>
      <c r="N201" s="5"/>
      <c r="O201" s="5"/>
      <c r="P201" s="5"/>
      <c r="Q201" s="5"/>
      <c r="S201" s="3" t="s">
        <v>110</v>
      </c>
      <c r="T201" s="3">
        <v>0.9</v>
      </c>
      <c r="U201" s="3">
        <v>0.5</v>
      </c>
      <c r="V201" s="3">
        <v>0.6</v>
      </c>
      <c r="W201" s="3">
        <v>0.72</v>
      </c>
      <c r="X201" s="7">
        <v>650.39660600000002</v>
      </c>
      <c r="Y201" s="3">
        <v>2.5999999999999999E-2</v>
      </c>
      <c r="AA201" s="3" t="s">
        <v>110</v>
      </c>
      <c r="AB201" s="3">
        <v>0.27</v>
      </c>
      <c r="AC201" s="6">
        <v>589.46569799999997</v>
      </c>
      <c r="AD201" s="3">
        <v>2E-3</v>
      </c>
      <c r="AE201" s="3">
        <f t="shared" si="21"/>
        <v>0.495</v>
      </c>
      <c r="AF201" s="5"/>
      <c r="AG201" s="5"/>
      <c r="AH201" s="5"/>
      <c r="AI201" s="5"/>
      <c r="AK201" s="3" t="s">
        <v>111</v>
      </c>
      <c r="AL201" s="3">
        <v>0.9</v>
      </c>
      <c r="AM201" s="3">
        <v>0.5</v>
      </c>
      <c r="AN201" s="3">
        <v>0.6</v>
      </c>
      <c r="AO201" s="3">
        <v>0.94</v>
      </c>
      <c r="AP201" s="7">
        <v>1234.536255</v>
      </c>
      <c r="AQ201" s="3">
        <v>0.02</v>
      </c>
      <c r="AS201" s="3" t="s">
        <v>111</v>
      </c>
      <c r="AT201" s="3">
        <v>0.84</v>
      </c>
      <c r="AU201" s="6">
        <v>1176.5318600000001</v>
      </c>
      <c r="AV201" s="3">
        <v>2E-3</v>
      </c>
      <c r="AW201" s="3">
        <f t="shared" si="22"/>
        <v>0.8899999999999999</v>
      </c>
      <c r="AX201" s="5"/>
      <c r="AY201" s="5"/>
      <c r="AZ201" s="5"/>
      <c r="BA201" s="5"/>
      <c r="BC201" s="3" t="s">
        <v>111</v>
      </c>
      <c r="BD201" s="3">
        <v>0.9</v>
      </c>
      <c r="BE201" s="3">
        <v>0.5</v>
      </c>
      <c r="BF201" s="3">
        <v>0.6</v>
      </c>
      <c r="BG201" s="3">
        <v>0.19</v>
      </c>
      <c r="BH201" s="6">
        <v>945.81933600000002</v>
      </c>
      <c r="BI201" s="3">
        <v>3.1E-2</v>
      </c>
      <c r="BK201" s="3" t="s">
        <v>111</v>
      </c>
      <c r="BL201" s="3">
        <v>0.24</v>
      </c>
      <c r="BM201" s="7">
        <v>986.686646</v>
      </c>
      <c r="BN201" s="3">
        <v>8.9999999999999993E-3</v>
      </c>
      <c r="BO201" s="3">
        <f t="shared" si="23"/>
        <v>0.215</v>
      </c>
    </row>
    <row r="202" spans="1:67" x14ac:dyDescent="0.3">
      <c r="A202" s="3" t="s">
        <v>112</v>
      </c>
      <c r="B202" s="3">
        <v>0.9</v>
      </c>
      <c r="C202" s="3">
        <v>0.5</v>
      </c>
      <c r="D202" s="3">
        <v>0.6</v>
      </c>
      <c r="E202" s="3">
        <v>0.85</v>
      </c>
      <c r="F202" s="7">
        <v>581.31005900000002</v>
      </c>
      <c r="G202" s="3">
        <v>1.4999999999999999E-2</v>
      </c>
      <c r="I202" s="3" t="s">
        <v>112</v>
      </c>
      <c r="J202" s="3">
        <v>0.68</v>
      </c>
      <c r="K202" s="6">
        <v>540.19397000000004</v>
      </c>
      <c r="L202" s="3">
        <v>1E-3</v>
      </c>
      <c r="M202" s="3">
        <f t="shared" si="20"/>
        <v>0.76500000000000001</v>
      </c>
      <c r="N202" s="5"/>
      <c r="O202" s="5"/>
      <c r="P202" s="5"/>
      <c r="Q202" s="5"/>
      <c r="S202" s="3" t="s">
        <v>112</v>
      </c>
      <c r="T202" s="3">
        <v>0.9</v>
      </c>
      <c r="U202" s="3">
        <v>0.5</v>
      </c>
      <c r="V202" s="3">
        <v>0.6</v>
      </c>
      <c r="W202" s="3">
        <v>0.59</v>
      </c>
      <c r="X202" s="7">
        <v>529.66339100000005</v>
      </c>
      <c r="Y202" s="3">
        <v>1.7000000000000001E-2</v>
      </c>
      <c r="AA202" s="3" t="s">
        <v>112</v>
      </c>
      <c r="AB202" s="3">
        <v>0.14000000000000001</v>
      </c>
      <c r="AC202" s="6">
        <v>463.169983</v>
      </c>
      <c r="AD202" s="3">
        <v>2E-3</v>
      </c>
      <c r="AE202" s="3">
        <f t="shared" si="21"/>
        <v>0.36499999999999999</v>
      </c>
      <c r="AF202" s="5"/>
      <c r="AG202" s="5"/>
      <c r="AH202" s="5"/>
      <c r="AI202" s="5"/>
      <c r="AK202" s="3" t="s">
        <v>113</v>
      </c>
      <c r="AL202" s="3">
        <v>0.9</v>
      </c>
      <c r="AM202" s="3">
        <v>0.5</v>
      </c>
      <c r="AN202" s="3">
        <v>0.6</v>
      </c>
      <c r="AO202" s="3">
        <v>0.19</v>
      </c>
      <c r="AP202" s="6">
        <v>876.32372999999995</v>
      </c>
      <c r="AQ202" s="3">
        <v>1.7999999999999999E-2</v>
      </c>
      <c r="AS202" s="3" t="s">
        <v>113</v>
      </c>
      <c r="AT202" s="3">
        <v>0.7</v>
      </c>
      <c r="AU202" s="7">
        <v>1040.4053960000001</v>
      </c>
      <c r="AV202" s="3">
        <v>5.0000000000000001E-3</v>
      </c>
      <c r="AW202" s="3">
        <f t="shared" si="22"/>
        <v>0.44499999999999995</v>
      </c>
      <c r="AX202" s="5"/>
      <c r="AY202" s="5"/>
      <c r="AZ202" s="5"/>
      <c r="BA202" s="5"/>
      <c r="BC202" s="3" t="s">
        <v>113</v>
      </c>
      <c r="BD202" s="3">
        <v>0.9</v>
      </c>
      <c r="BE202" s="3">
        <v>0.5</v>
      </c>
      <c r="BF202" s="3">
        <v>0.6</v>
      </c>
      <c r="BG202" s="3">
        <v>0.19</v>
      </c>
      <c r="BH202" s="6">
        <v>868.96447799999999</v>
      </c>
      <c r="BI202" s="3">
        <v>2.8000000000000001E-2</v>
      </c>
      <c r="BK202" s="3" t="s">
        <v>113</v>
      </c>
      <c r="BL202" s="3">
        <v>0.89</v>
      </c>
      <c r="BM202" s="7">
        <v>1089.4681399999999</v>
      </c>
      <c r="BN202" s="3">
        <v>7.0000000000000001E-3</v>
      </c>
      <c r="BO202" s="3">
        <f t="shared" si="23"/>
        <v>0.54</v>
      </c>
    </row>
    <row r="203" spans="1:67" x14ac:dyDescent="0.3">
      <c r="A203" s="3" t="s">
        <v>114</v>
      </c>
      <c r="B203" s="3">
        <v>0.9</v>
      </c>
      <c r="C203" s="3">
        <v>0.5</v>
      </c>
      <c r="D203" s="3">
        <v>0.6</v>
      </c>
      <c r="E203" s="3">
        <v>0.66</v>
      </c>
      <c r="F203" s="7">
        <v>683.668091</v>
      </c>
      <c r="G203" s="3">
        <v>1.7000000000000001E-2</v>
      </c>
      <c r="I203" s="3" t="s">
        <v>114</v>
      </c>
      <c r="J203" s="3">
        <v>0.01</v>
      </c>
      <c r="K203" s="6">
        <v>618.078125</v>
      </c>
      <c r="L203" s="3">
        <v>2E-3</v>
      </c>
      <c r="M203" s="3">
        <f t="shared" si="20"/>
        <v>0.33500000000000002</v>
      </c>
      <c r="N203" s="5"/>
      <c r="O203" s="5"/>
      <c r="P203" s="5"/>
      <c r="Q203" s="5"/>
      <c r="S203" s="3" t="s">
        <v>114</v>
      </c>
      <c r="T203" s="3">
        <v>0.9</v>
      </c>
      <c r="U203" s="3">
        <v>0.5</v>
      </c>
      <c r="V203" s="3">
        <v>0.6</v>
      </c>
      <c r="W203" s="3">
        <v>0.83</v>
      </c>
      <c r="X203" s="7">
        <v>711.56848100000002</v>
      </c>
      <c r="Y203" s="3">
        <v>3.1E-2</v>
      </c>
      <c r="AA203" s="3" t="s">
        <v>114</v>
      </c>
      <c r="AB203" s="3">
        <v>0.13</v>
      </c>
      <c r="AC203" s="6">
        <v>589.34631300000001</v>
      </c>
      <c r="AD203" s="3">
        <v>5.0000000000000001E-3</v>
      </c>
      <c r="AE203" s="3">
        <f t="shared" si="21"/>
        <v>0.48</v>
      </c>
      <c r="AF203" s="5"/>
      <c r="AG203" s="5"/>
      <c r="AH203" s="5"/>
      <c r="AI203" s="5"/>
      <c r="AK203" s="3" t="s">
        <v>115</v>
      </c>
      <c r="AL203" s="3">
        <v>0.9</v>
      </c>
      <c r="AM203" s="3">
        <v>0.5</v>
      </c>
      <c r="AN203" s="3">
        <v>0.6</v>
      </c>
      <c r="AO203" s="3">
        <v>0.98</v>
      </c>
      <c r="AP203" s="7">
        <v>1352.8625489999999</v>
      </c>
      <c r="AQ203" s="3">
        <v>1.7999999999999999E-2</v>
      </c>
      <c r="AS203" s="3" t="s">
        <v>115</v>
      </c>
      <c r="AT203" s="3">
        <v>0.7</v>
      </c>
      <c r="AU203" s="6">
        <v>1265.48999</v>
      </c>
      <c r="AV203" s="3">
        <v>3.0000000000000001E-3</v>
      </c>
      <c r="AW203" s="3">
        <f t="shared" si="22"/>
        <v>0.84</v>
      </c>
      <c r="AX203" s="5"/>
      <c r="AY203" s="5"/>
      <c r="AZ203" s="5"/>
      <c r="BA203" s="5"/>
      <c r="BC203" s="3" t="s">
        <v>115</v>
      </c>
      <c r="BD203" s="3">
        <v>0.9</v>
      </c>
      <c r="BE203" s="3">
        <v>0.5</v>
      </c>
      <c r="BF203" s="3">
        <v>0.6</v>
      </c>
      <c r="BG203" s="3">
        <v>0.25</v>
      </c>
      <c r="BH203" s="6">
        <v>996.17864999999995</v>
      </c>
      <c r="BI203" s="3">
        <v>2.1999999999999999E-2</v>
      </c>
      <c r="BK203" s="3" t="s">
        <v>115</v>
      </c>
      <c r="BL203" s="3">
        <v>0.9</v>
      </c>
      <c r="BM203" s="7">
        <v>1347.996216</v>
      </c>
      <c r="BN203" s="3">
        <v>1E-3</v>
      </c>
      <c r="BO203" s="3">
        <f t="shared" si="23"/>
        <v>0.57499999999999996</v>
      </c>
    </row>
    <row r="204" spans="1:67" x14ac:dyDescent="0.3">
      <c r="A204" s="3" t="s">
        <v>116</v>
      </c>
      <c r="B204" s="3">
        <v>0.9</v>
      </c>
      <c r="C204" s="3">
        <v>0.5</v>
      </c>
      <c r="D204" s="3">
        <v>0.6</v>
      </c>
      <c r="E204" s="3">
        <v>0.87</v>
      </c>
      <c r="F204" s="7">
        <v>718.93841599999996</v>
      </c>
      <c r="G204" s="3">
        <v>0.03</v>
      </c>
      <c r="I204" s="3" t="s">
        <v>116</v>
      </c>
      <c r="J204" s="3">
        <v>0.65</v>
      </c>
      <c r="K204" s="6">
        <v>699.07031199999994</v>
      </c>
      <c r="L204" s="3">
        <v>2E-3</v>
      </c>
      <c r="M204" s="3">
        <f t="shared" si="20"/>
        <v>0.76</v>
      </c>
      <c r="N204" s="5"/>
      <c r="O204" s="5"/>
      <c r="P204" s="5"/>
      <c r="Q204" s="5"/>
      <c r="S204" s="3" t="s">
        <v>116</v>
      </c>
      <c r="T204" s="3">
        <v>0.9</v>
      </c>
      <c r="U204" s="3">
        <v>0.5</v>
      </c>
      <c r="V204" s="3">
        <v>0.6</v>
      </c>
      <c r="W204" s="3">
        <v>0.61</v>
      </c>
      <c r="X204" s="7">
        <v>693.97894299999996</v>
      </c>
      <c r="Y204" s="3">
        <v>1.7999999999999999E-2</v>
      </c>
      <c r="AA204" s="3" t="s">
        <v>116</v>
      </c>
      <c r="AB204" s="3">
        <v>0.23</v>
      </c>
      <c r="AC204" s="6">
        <v>636.63195800000005</v>
      </c>
      <c r="AD204" s="3">
        <v>6.0000000000000001E-3</v>
      </c>
      <c r="AE204" s="3">
        <f t="shared" si="21"/>
        <v>0.42</v>
      </c>
      <c r="AF204" s="5"/>
      <c r="AG204" s="5"/>
      <c r="AH204" s="5"/>
      <c r="AI204" s="5"/>
      <c r="AK204" s="3" t="s">
        <v>117</v>
      </c>
      <c r="AL204" s="3">
        <v>0.9</v>
      </c>
      <c r="AM204" s="3">
        <v>0.5</v>
      </c>
      <c r="AN204" s="3">
        <v>0.6</v>
      </c>
      <c r="AO204" s="3">
        <v>0.3</v>
      </c>
      <c r="AP204" s="6">
        <v>968.43627900000001</v>
      </c>
      <c r="AQ204" s="3">
        <v>2.4E-2</v>
      </c>
      <c r="AS204" s="3" t="s">
        <v>117</v>
      </c>
      <c r="AT204" s="3">
        <v>0.74</v>
      </c>
      <c r="AU204" s="7">
        <v>1120.3176269999999</v>
      </c>
      <c r="AV204" s="3">
        <v>8.0000000000000002E-3</v>
      </c>
      <c r="AW204" s="3">
        <f t="shared" si="22"/>
        <v>0.52</v>
      </c>
      <c r="AX204" s="5"/>
      <c r="AY204" s="5"/>
      <c r="AZ204" s="5"/>
      <c r="BA204" s="5"/>
      <c r="BC204" s="3" t="s">
        <v>117</v>
      </c>
      <c r="BD204" s="3">
        <v>0.9</v>
      </c>
      <c r="BE204" s="3">
        <v>0.5</v>
      </c>
      <c r="BF204" s="3">
        <v>0.6</v>
      </c>
      <c r="BG204" s="3">
        <v>0.72</v>
      </c>
      <c r="BH204" s="7">
        <v>1128.2479249999999</v>
      </c>
      <c r="BI204" s="3">
        <v>2.1999999999999999E-2</v>
      </c>
      <c r="BK204" s="3" t="s">
        <v>117</v>
      </c>
      <c r="BL204" s="3">
        <v>0.57999999999999996</v>
      </c>
      <c r="BM204" s="6">
        <v>1113.0399170000001</v>
      </c>
      <c r="BN204" s="3">
        <v>2E-3</v>
      </c>
      <c r="BO204" s="3">
        <f t="shared" si="23"/>
        <v>0.64999999999999991</v>
      </c>
    </row>
    <row r="205" spans="1:67" x14ac:dyDescent="0.3">
      <c r="A205" s="3" t="s">
        <v>118</v>
      </c>
      <c r="B205" s="3">
        <v>0.9</v>
      </c>
      <c r="C205" s="3">
        <v>0.5</v>
      </c>
      <c r="D205" s="3">
        <v>0.6</v>
      </c>
      <c r="E205" s="3">
        <v>0.42</v>
      </c>
      <c r="F205" s="6">
        <v>621.70080600000006</v>
      </c>
      <c r="G205" s="3">
        <v>2.3E-2</v>
      </c>
      <c r="I205" s="3" t="s">
        <v>118</v>
      </c>
      <c r="J205" s="3">
        <v>0.66</v>
      </c>
      <c r="K205" s="7">
        <v>687.40063499999997</v>
      </c>
      <c r="L205" s="3">
        <v>1E-3</v>
      </c>
      <c r="M205" s="3">
        <f t="shared" si="20"/>
        <v>0.54</v>
      </c>
      <c r="N205" s="5"/>
      <c r="O205" s="5"/>
      <c r="P205" s="5"/>
      <c r="Q205" s="5"/>
      <c r="S205" s="3" t="s">
        <v>118</v>
      </c>
      <c r="T205" s="3">
        <v>0.9</v>
      </c>
      <c r="U205" s="3">
        <v>0.5</v>
      </c>
      <c r="V205" s="3">
        <v>0.6</v>
      </c>
      <c r="W205" s="3">
        <v>0.87</v>
      </c>
      <c r="X205" s="7">
        <v>656.17175299999997</v>
      </c>
      <c r="Y205" s="3">
        <v>8.0000000000000002E-3</v>
      </c>
      <c r="AA205" s="3" t="s">
        <v>118</v>
      </c>
      <c r="AB205" s="3">
        <v>0.84</v>
      </c>
      <c r="AC205" s="6">
        <v>651.01800500000002</v>
      </c>
      <c r="AD205" s="3">
        <v>2E-3</v>
      </c>
      <c r="AE205" s="3">
        <f t="shared" si="21"/>
        <v>0.85499999999999998</v>
      </c>
      <c r="AF205" s="5"/>
      <c r="AG205" s="5"/>
      <c r="AH205" s="5"/>
      <c r="AI205" s="5"/>
      <c r="AK205" s="3" t="s">
        <v>119</v>
      </c>
      <c r="AL205" s="3">
        <v>0.9</v>
      </c>
      <c r="AM205" s="3">
        <v>0.5</v>
      </c>
      <c r="AN205" s="3">
        <v>0.6</v>
      </c>
      <c r="AO205" s="3">
        <v>0.75</v>
      </c>
      <c r="AP205" s="7">
        <v>1235.8394780000001</v>
      </c>
      <c r="AQ205" s="3">
        <v>2.3E-2</v>
      </c>
      <c r="AS205" s="3" t="s">
        <v>119</v>
      </c>
      <c r="AT205" s="3">
        <v>0.02</v>
      </c>
      <c r="AU205" s="6">
        <v>849.61053500000003</v>
      </c>
      <c r="AV205" s="3">
        <v>1.0999999999999999E-2</v>
      </c>
      <c r="AW205" s="3">
        <f t="shared" si="22"/>
        <v>0.38500000000000001</v>
      </c>
      <c r="AX205" s="5"/>
      <c r="AY205" s="5"/>
      <c r="AZ205" s="5"/>
      <c r="BA205" s="5"/>
      <c r="BC205" s="3" t="s">
        <v>119</v>
      </c>
      <c r="BD205" s="3">
        <v>0.9</v>
      </c>
      <c r="BE205" s="3">
        <v>0.5</v>
      </c>
      <c r="BF205" s="3">
        <v>0.6</v>
      </c>
      <c r="BG205" s="3">
        <v>7.0000000000000007E-2</v>
      </c>
      <c r="BH205" s="6">
        <v>850.84613000000002</v>
      </c>
      <c r="BI205" s="3">
        <v>1.7999999999999999E-2</v>
      </c>
      <c r="BK205" s="3" t="s">
        <v>119</v>
      </c>
      <c r="BL205" s="3">
        <v>0.8</v>
      </c>
      <c r="BM205" s="7">
        <v>1267.6649170000001</v>
      </c>
      <c r="BN205" s="3">
        <v>1E-3</v>
      </c>
      <c r="BO205" s="3">
        <f t="shared" si="23"/>
        <v>0.43500000000000005</v>
      </c>
    </row>
    <row r="206" spans="1:67" x14ac:dyDescent="0.3">
      <c r="A206" s="3" t="s">
        <v>120</v>
      </c>
      <c r="B206" s="3">
        <v>0.9</v>
      </c>
      <c r="C206" s="3">
        <v>0.5</v>
      </c>
      <c r="D206" s="3">
        <v>0.6</v>
      </c>
      <c r="E206" s="3">
        <v>0.33</v>
      </c>
      <c r="F206" s="6">
        <v>730.23693800000001</v>
      </c>
      <c r="G206" s="3">
        <v>2.8000000000000001E-2</v>
      </c>
      <c r="I206" s="3" t="s">
        <v>120</v>
      </c>
      <c r="J206" s="3">
        <v>0.4</v>
      </c>
      <c r="K206" s="7">
        <v>738.69341999999995</v>
      </c>
      <c r="L206" s="3">
        <v>2E-3</v>
      </c>
      <c r="M206" s="3">
        <f t="shared" si="20"/>
        <v>0.36499999999999999</v>
      </c>
      <c r="N206" s="5"/>
      <c r="O206" s="5"/>
      <c r="P206" s="5"/>
      <c r="Q206" s="5"/>
      <c r="S206" s="3" t="s">
        <v>120</v>
      </c>
      <c r="T206" s="3">
        <v>0.9</v>
      </c>
      <c r="U206" s="3">
        <v>0.5</v>
      </c>
      <c r="V206" s="3">
        <v>0.6</v>
      </c>
      <c r="W206" s="3">
        <v>0.79</v>
      </c>
      <c r="X206" s="7">
        <v>839.307007</v>
      </c>
      <c r="Y206" s="3">
        <v>1.7999999999999999E-2</v>
      </c>
      <c r="AA206" s="3" t="s">
        <v>120</v>
      </c>
      <c r="AB206" s="3">
        <v>0.04</v>
      </c>
      <c r="AC206" s="6">
        <v>715.216858</v>
      </c>
      <c r="AD206" s="3">
        <v>1E-3</v>
      </c>
      <c r="AE206" s="3">
        <f t="shared" si="21"/>
        <v>0.41500000000000004</v>
      </c>
      <c r="AF206" s="5"/>
      <c r="AG206" s="5"/>
      <c r="AH206" s="5"/>
      <c r="AI206" s="5"/>
      <c r="AK206" s="3" t="s">
        <v>121</v>
      </c>
      <c r="AL206" s="3">
        <v>0.9</v>
      </c>
      <c r="AM206" s="3">
        <v>0.5</v>
      </c>
      <c r="AN206" s="3">
        <v>0.6</v>
      </c>
      <c r="AO206" s="3">
        <v>0.33</v>
      </c>
      <c r="AP206" s="7">
        <v>1041.7969969999999</v>
      </c>
      <c r="AQ206" s="3">
        <v>2.5999999999999999E-2</v>
      </c>
      <c r="AS206" s="3" t="s">
        <v>121</v>
      </c>
      <c r="AT206" s="3">
        <v>0.28999999999999998</v>
      </c>
      <c r="AU206" s="6">
        <v>1037.0081789999999</v>
      </c>
      <c r="AV206" s="3">
        <v>0</v>
      </c>
      <c r="AW206" s="3">
        <f t="shared" si="22"/>
        <v>0.31</v>
      </c>
      <c r="AX206" s="5"/>
      <c r="AY206" s="5"/>
      <c r="AZ206" s="5"/>
      <c r="BA206" s="5"/>
      <c r="BC206" s="3" t="s">
        <v>121</v>
      </c>
      <c r="BD206" s="3">
        <v>0.9</v>
      </c>
      <c r="BE206" s="3">
        <v>0.5</v>
      </c>
      <c r="BF206" s="3">
        <v>0.6</v>
      </c>
      <c r="BG206" s="3">
        <v>0.25</v>
      </c>
      <c r="BH206" s="7">
        <v>993.715149</v>
      </c>
      <c r="BI206" s="3">
        <v>1.6E-2</v>
      </c>
      <c r="BK206" s="3" t="s">
        <v>121</v>
      </c>
      <c r="BL206" s="3">
        <v>0.19</v>
      </c>
      <c r="BM206" s="6">
        <v>982.358521</v>
      </c>
      <c r="BN206" s="3">
        <v>1E-3</v>
      </c>
      <c r="BO206" s="3">
        <f t="shared" si="23"/>
        <v>0.22</v>
      </c>
    </row>
    <row r="207" spans="1:67" x14ac:dyDescent="0.3">
      <c r="A207" s="3" t="s">
        <v>122</v>
      </c>
      <c r="B207" s="3">
        <v>0.9</v>
      </c>
      <c r="C207" s="3">
        <v>0.5</v>
      </c>
      <c r="D207" s="3">
        <v>0.6</v>
      </c>
      <c r="E207" s="3">
        <v>0.88</v>
      </c>
      <c r="F207" s="7">
        <v>745.49078399999996</v>
      </c>
      <c r="G207" s="3">
        <v>3.3000000000000002E-2</v>
      </c>
      <c r="I207" s="3" t="s">
        <v>122</v>
      </c>
      <c r="J207" s="3">
        <v>0.44</v>
      </c>
      <c r="K207" s="6">
        <v>657.09356700000001</v>
      </c>
      <c r="L207" s="3">
        <v>1E-3</v>
      </c>
      <c r="M207" s="3">
        <f t="shared" si="20"/>
        <v>0.66</v>
      </c>
      <c r="N207" s="5"/>
      <c r="O207" s="5"/>
      <c r="P207" s="5"/>
      <c r="Q207" s="5"/>
      <c r="S207" s="3" t="s">
        <v>122</v>
      </c>
      <c r="T207" s="3">
        <v>0.9</v>
      </c>
      <c r="U207" s="3">
        <v>0.5</v>
      </c>
      <c r="V207" s="3">
        <v>0.6</v>
      </c>
      <c r="W207" s="3">
        <v>0.79</v>
      </c>
      <c r="X207" s="6">
        <v>719.41992200000004</v>
      </c>
      <c r="Y207" s="3">
        <v>0.03</v>
      </c>
      <c r="AA207" s="3" t="s">
        <v>122</v>
      </c>
      <c r="AB207" s="3">
        <v>0.9</v>
      </c>
      <c r="AC207" s="7">
        <v>748.41601600000001</v>
      </c>
      <c r="AD207" s="3">
        <v>6.0000000000000001E-3</v>
      </c>
      <c r="AE207" s="3">
        <f t="shared" si="21"/>
        <v>0.84499999999999997</v>
      </c>
      <c r="AF207" s="5"/>
      <c r="AG207" s="5"/>
      <c r="AH207" s="5"/>
      <c r="AI207" s="5"/>
      <c r="AK207" s="3" t="s">
        <v>123</v>
      </c>
      <c r="AL207" s="3">
        <v>0.9</v>
      </c>
      <c r="AM207" s="3">
        <v>0.5</v>
      </c>
      <c r="AN207" s="3">
        <v>0.6</v>
      </c>
      <c r="AO207" s="3">
        <v>0.74</v>
      </c>
      <c r="AP207" s="6">
        <v>1182.166504</v>
      </c>
      <c r="AQ207" s="3">
        <v>1.6E-2</v>
      </c>
      <c r="AS207" s="3" t="s">
        <v>123</v>
      </c>
      <c r="AT207" s="3">
        <v>0.99</v>
      </c>
      <c r="AU207" s="7">
        <v>1236.469482</v>
      </c>
      <c r="AV207" s="3">
        <v>1E-3</v>
      </c>
      <c r="AW207" s="3">
        <f t="shared" si="22"/>
        <v>0.86499999999999999</v>
      </c>
      <c r="AX207" s="5"/>
      <c r="AY207" s="5"/>
      <c r="AZ207" s="5"/>
      <c r="BA207" s="5"/>
      <c r="BC207" s="3" t="s">
        <v>123</v>
      </c>
      <c r="BD207" s="3">
        <v>0.9</v>
      </c>
      <c r="BE207" s="3">
        <v>0.5</v>
      </c>
      <c r="BF207" s="3">
        <v>0.6</v>
      </c>
      <c r="BG207" s="3">
        <v>0.83</v>
      </c>
      <c r="BH207" s="6">
        <v>1240.899048</v>
      </c>
      <c r="BI207" s="3">
        <v>1.4999999999999999E-2</v>
      </c>
      <c r="BK207" s="3" t="s">
        <v>123</v>
      </c>
      <c r="BL207" s="3">
        <v>0.92</v>
      </c>
      <c r="BM207" s="7">
        <v>1242.1210940000001</v>
      </c>
      <c r="BN207" s="3">
        <v>4.0000000000000001E-3</v>
      </c>
      <c r="BO207" s="3">
        <f t="shared" si="23"/>
        <v>0.875</v>
      </c>
    </row>
    <row r="208" spans="1:67" x14ac:dyDescent="0.3">
      <c r="A208" s="3" t="s">
        <v>124</v>
      </c>
      <c r="B208" s="3">
        <v>0.9</v>
      </c>
      <c r="C208" s="3">
        <v>0.5</v>
      </c>
      <c r="D208" s="3">
        <v>0.6</v>
      </c>
      <c r="E208" s="3">
        <v>0.98</v>
      </c>
      <c r="F208" s="7">
        <v>694.43621800000005</v>
      </c>
      <c r="G208" s="3">
        <v>2.9000000000000001E-2</v>
      </c>
      <c r="I208" s="3" t="s">
        <v>124</v>
      </c>
      <c r="J208" s="3">
        <v>0.3</v>
      </c>
      <c r="K208" s="6">
        <v>572.822632</v>
      </c>
      <c r="L208" s="3">
        <v>6.0000000000000001E-3</v>
      </c>
      <c r="M208" s="3">
        <f t="shared" si="20"/>
        <v>0.64</v>
      </c>
      <c r="N208" s="5"/>
      <c r="O208" s="5"/>
      <c r="P208" s="5"/>
      <c r="Q208" s="5"/>
      <c r="S208" s="3" t="s">
        <v>124</v>
      </c>
      <c r="T208" s="3">
        <v>0.9</v>
      </c>
      <c r="U208" s="3">
        <v>0.5</v>
      </c>
      <c r="V208" s="3">
        <v>0.6</v>
      </c>
      <c r="W208" s="3">
        <v>0.46</v>
      </c>
      <c r="X208" s="6">
        <v>607.58355700000004</v>
      </c>
      <c r="Y208" s="3">
        <v>1.4E-2</v>
      </c>
      <c r="AA208" s="3" t="s">
        <v>124</v>
      </c>
      <c r="AB208" s="3">
        <v>0.5</v>
      </c>
      <c r="AC208" s="7">
        <v>608.93615699999998</v>
      </c>
      <c r="AD208" s="3">
        <v>0</v>
      </c>
      <c r="AE208" s="3">
        <f t="shared" si="21"/>
        <v>0.48</v>
      </c>
      <c r="AF208" s="5"/>
      <c r="AG208" s="5"/>
      <c r="AH208" s="5"/>
      <c r="AI208" s="5"/>
      <c r="AK208" s="3" t="s">
        <v>125</v>
      </c>
      <c r="AL208" s="3">
        <v>0.9</v>
      </c>
      <c r="AM208" s="3">
        <v>0.5</v>
      </c>
      <c r="AN208" s="3">
        <v>0.6</v>
      </c>
      <c r="AO208" s="3">
        <v>0.96</v>
      </c>
      <c r="AP208" s="7">
        <v>1258.6831050000001</v>
      </c>
      <c r="AQ208" s="3">
        <v>2.4E-2</v>
      </c>
      <c r="AS208" s="3" t="s">
        <v>125</v>
      </c>
      <c r="AT208" s="3">
        <v>0.34</v>
      </c>
      <c r="AU208" s="6">
        <v>1071.318726</v>
      </c>
      <c r="AV208" s="3">
        <v>4.0000000000000001E-3</v>
      </c>
      <c r="AW208" s="3">
        <f t="shared" si="22"/>
        <v>0.65</v>
      </c>
      <c r="AX208" s="5"/>
      <c r="AY208" s="5"/>
      <c r="AZ208" s="5"/>
      <c r="BA208" s="5"/>
      <c r="BC208" s="3" t="s">
        <v>125</v>
      </c>
      <c r="BD208" s="3">
        <v>0.9</v>
      </c>
      <c r="BE208" s="3">
        <v>0.5</v>
      </c>
      <c r="BF208" s="3">
        <v>0.6</v>
      </c>
      <c r="BG208" s="3">
        <v>0.98</v>
      </c>
      <c r="BH208" s="7">
        <v>1305.975342</v>
      </c>
      <c r="BI208" s="3">
        <v>1.9E-2</v>
      </c>
      <c r="BK208" s="3" t="s">
        <v>125</v>
      </c>
      <c r="BL208" s="3">
        <v>0.78</v>
      </c>
      <c r="BM208" s="6">
        <v>1254.404297</v>
      </c>
      <c r="BN208" s="3">
        <v>1.2E-2</v>
      </c>
      <c r="BO208" s="3">
        <f t="shared" si="23"/>
        <v>0.88</v>
      </c>
    </row>
    <row r="209" spans="1:71" x14ac:dyDescent="0.3">
      <c r="A209" s="3" t="s">
        <v>126</v>
      </c>
      <c r="B209" s="3">
        <v>0.9</v>
      </c>
      <c r="C209" s="3">
        <v>0.5</v>
      </c>
      <c r="D209" s="3">
        <v>0.6</v>
      </c>
      <c r="E209" s="3">
        <v>0.99</v>
      </c>
      <c r="F209" s="7">
        <v>746.49670400000002</v>
      </c>
      <c r="G209" s="3">
        <v>2.3E-2</v>
      </c>
      <c r="I209" s="3" t="s">
        <v>126</v>
      </c>
      <c r="J209" s="3">
        <v>0.76</v>
      </c>
      <c r="K209" s="6">
        <v>723.90753199999995</v>
      </c>
      <c r="L209" s="3">
        <v>1E-3</v>
      </c>
      <c r="M209" s="3">
        <f t="shared" si="20"/>
        <v>0.875</v>
      </c>
      <c r="N209" s="5"/>
      <c r="O209" s="5"/>
      <c r="P209" s="5"/>
      <c r="Q209" s="5"/>
      <c r="S209" s="3" t="s">
        <v>126</v>
      </c>
      <c r="T209" s="3">
        <v>0.9</v>
      </c>
      <c r="U209" s="3">
        <v>0.5</v>
      </c>
      <c r="V209" s="3">
        <v>0.6</v>
      </c>
      <c r="W209" s="3">
        <v>0.01</v>
      </c>
      <c r="X209" s="7">
        <v>680.08306900000002</v>
      </c>
      <c r="Y209" s="3">
        <v>1.2E-2</v>
      </c>
      <c r="AA209" s="3" t="s">
        <v>126</v>
      </c>
      <c r="AB209" s="3">
        <v>0.43</v>
      </c>
      <c r="AC209" s="6">
        <v>646.79998799999998</v>
      </c>
      <c r="AD209" s="3">
        <v>2E-3</v>
      </c>
      <c r="AE209" s="3">
        <f t="shared" si="21"/>
        <v>0.22</v>
      </c>
      <c r="AF209" s="5"/>
      <c r="AG209" s="5"/>
      <c r="AH209" s="5"/>
      <c r="AI209" s="5"/>
      <c r="AK209" s="3" t="s">
        <v>127</v>
      </c>
      <c r="AL209" s="3">
        <v>0.9</v>
      </c>
      <c r="AM209" s="3">
        <v>0.5</v>
      </c>
      <c r="AN209" s="3">
        <v>0.6</v>
      </c>
      <c r="AO209" s="3">
        <v>0.74</v>
      </c>
      <c r="AP209" s="6">
        <v>1287.7700199999999</v>
      </c>
      <c r="AQ209" s="3">
        <v>0.02</v>
      </c>
      <c r="AS209" s="3" t="s">
        <v>127</v>
      </c>
      <c r="AT209" s="3">
        <v>0.81</v>
      </c>
      <c r="AU209" s="7">
        <v>1291.5177000000001</v>
      </c>
      <c r="AV209" s="3">
        <v>1E-3</v>
      </c>
      <c r="AW209" s="3">
        <f t="shared" si="22"/>
        <v>0.77500000000000002</v>
      </c>
      <c r="AX209" s="5"/>
      <c r="AY209" s="5"/>
      <c r="AZ209" s="5"/>
      <c r="BA209" s="5"/>
      <c r="BC209" s="3" t="s">
        <v>127</v>
      </c>
      <c r="BD209" s="3">
        <v>0.9</v>
      </c>
      <c r="BE209" s="3">
        <v>0.5</v>
      </c>
      <c r="BF209" s="3">
        <v>0.6</v>
      </c>
      <c r="BG209" s="3">
        <v>0.36</v>
      </c>
      <c r="BH209" s="7">
        <v>1082.0451660000001</v>
      </c>
      <c r="BI209" s="3">
        <v>4.2999999999999997E-2</v>
      </c>
      <c r="BK209" s="3" t="s">
        <v>127</v>
      </c>
      <c r="BL209" s="3">
        <v>0.1</v>
      </c>
      <c r="BM209" s="6">
        <v>901.01062000000002</v>
      </c>
      <c r="BN209" s="3">
        <v>2E-3</v>
      </c>
      <c r="BO209" s="3">
        <f t="shared" si="23"/>
        <v>0.22999999999999998</v>
      </c>
    </row>
    <row r="210" spans="1:71" x14ac:dyDescent="0.3">
      <c r="A210" s="3" t="s">
        <v>128</v>
      </c>
      <c r="B210" s="3">
        <v>0.9</v>
      </c>
      <c r="C210" s="3">
        <v>0.5</v>
      </c>
      <c r="D210" s="3">
        <v>0.6</v>
      </c>
      <c r="E210" s="3">
        <v>0.35</v>
      </c>
      <c r="F210" s="7">
        <v>623.16760299999999</v>
      </c>
      <c r="G210" s="3">
        <v>1.7000000000000001E-2</v>
      </c>
      <c r="I210" s="3" t="s">
        <v>128</v>
      </c>
      <c r="J210" s="3">
        <v>0.27</v>
      </c>
      <c r="K210" s="6">
        <v>607.11688200000003</v>
      </c>
      <c r="L210" s="3">
        <v>3.0000000000000001E-3</v>
      </c>
      <c r="M210" s="3">
        <f t="shared" si="20"/>
        <v>0.31</v>
      </c>
      <c r="N210" s="5"/>
      <c r="O210" s="5"/>
      <c r="P210" s="5"/>
      <c r="Q210" s="5"/>
      <c r="S210" s="3" t="s">
        <v>128</v>
      </c>
      <c r="T210" s="3">
        <v>0.9</v>
      </c>
      <c r="U210" s="3">
        <v>0.5</v>
      </c>
      <c r="V210" s="3">
        <v>0.6</v>
      </c>
      <c r="W210" s="3">
        <v>0.34</v>
      </c>
      <c r="X210" s="6">
        <v>602.24462900000003</v>
      </c>
      <c r="Y210" s="3">
        <v>1.4E-2</v>
      </c>
      <c r="AA210" s="3" t="s">
        <v>128</v>
      </c>
      <c r="AB210" s="3">
        <v>0.06</v>
      </c>
      <c r="AC210" s="7">
        <v>642.73584000000005</v>
      </c>
      <c r="AD210" s="3">
        <v>1E-3</v>
      </c>
      <c r="AE210" s="3">
        <f t="shared" si="21"/>
        <v>0.2</v>
      </c>
      <c r="AF210" s="5"/>
      <c r="AG210" s="5"/>
      <c r="AH210" s="5"/>
      <c r="AI210" s="5"/>
      <c r="AK210" s="3" t="s">
        <v>129</v>
      </c>
      <c r="AL210" s="3">
        <v>0.9</v>
      </c>
      <c r="AM210" s="3">
        <v>0.5</v>
      </c>
      <c r="AN210" s="3">
        <v>0.6</v>
      </c>
      <c r="AO210" s="3">
        <v>0.38</v>
      </c>
      <c r="AP210" s="7">
        <v>1061.7202150000001</v>
      </c>
      <c r="AQ210" s="3">
        <v>2.7E-2</v>
      </c>
      <c r="AS210" s="3" t="s">
        <v>129</v>
      </c>
      <c r="AT210" s="3">
        <v>0.1</v>
      </c>
      <c r="AU210" s="6">
        <v>880.06652799999995</v>
      </c>
      <c r="AV210" s="3">
        <v>2E-3</v>
      </c>
      <c r="AW210" s="3">
        <f t="shared" si="22"/>
        <v>0.24</v>
      </c>
      <c r="AX210" s="5"/>
      <c r="AY210" s="5"/>
      <c r="AZ210" s="5"/>
      <c r="BA210" s="5"/>
      <c r="BC210" s="3" t="s">
        <v>129</v>
      </c>
      <c r="BD210" s="3">
        <v>0.9</v>
      </c>
      <c r="BE210" s="3">
        <v>0.5</v>
      </c>
      <c r="BF210" s="3">
        <v>0.6</v>
      </c>
      <c r="BG210" s="3">
        <v>0.94</v>
      </c>
      <c r="BH210" s="7">
        <v>1206.11853</v>
      </c>
      <c r="BI210" s="3">
        <v>2.8000000000000001E-2</v>
      </c>
      <c r="BK210" s="3" t="s">
        <v>129</v>
      </c>
      <c r="BL210" s="3">
        <v>0.45</v>
      </c>
      <c r="BM210" s="6">
        <v>1064.4273679999999</v>
      </c>
      <c r="BN210" s="3">
        <v>3.0000000000000001E-3</v>
      </c>
      <c r="BO210" s="3">
        <f t="shared" si="23"/>
        <v>0.69499999999999995</v>
      </c>
    </row>
    <row r="211" spans="1:71" x14ac:dyDescent="0.3">
      <c r="A211" s="3" t="s">
        <v>130</v>
      </c>
      <c r="B211" s="3">
        <v>0.9</v>
      </c>
      <c r="C211" s="3">
        <v>0.5</v>
      </c>
      <c r="D211" s="3">
        <v>0.6</v>
      </c>
      <c r="E211" s="3">
        <v>0.41</v>
      </c>
      <c r="F211" s="6">
        <v>672.72699</v>
      </c>
      <c r="G211" s="3">
        <v>5.0000000000000001E-3</v>
      </c>
      <c r="I211" s="3" t="s">
        <v>130</v>
      </c>
      <c r="J211" s="3">
        <v>0.97</v>
      </c>
      <c r="K211" s="7">
        <v>746.02606200000002</v>
      </c>
      <c r="L211" s="3">
        <v>5.0000000000000001E-3</v>
      </c>
      <c r="M211" s="3">
        <f t="shared" si="20"/>
        <v>0.69</v>
      </c>
      <c r="N211" s="5"/>
      <c r="O211" s="5"/>
      <c r="P211" s="5"/>
      <c r="Q211" s="5"/>
      <c r="S211" s="3" t="s">
        <v>130</v>
      </c>
      <c r="T211" s="3">
        <v>0.9</v>
      </c>
      <c r="U211" s="3">
        <v>0.5</v>
      </c>
      <c r="V211" s="3">
        <v>0.6</v>
      </c>
      <c r="W211" s="3">
        <v>0.2</v>
      </c>
      <c r="X211" s="6">
        <v>636.29827899999998</v>
      </c>
      <c r="Y211" s="3">
        <v>0.01</v>
      </c>
      <c r="AA211" s="3" t="s">
        <v>130</v>
      </c>
      <c r="AB211" s="3">
        <v>0.06</v>
      </c>
      <c r="AC211" s="7">
        <v>637.19226100000003</v>
      </c>
      <c r="AD211" s="3">
        <v>6.0000000000000001E-3</v>
      </c>
      <c r="AE211" s="3">
        <f t="shared" si="21"/>
        <v>0.13</v>
      </c>
      <c r="AF211" s="5"/>
      <c r="AG211" s="5"/>
      <c r="AH211" s="5"/>
      <c r="AI211" s="5"/>
      <c r="AK211" s="3" t="s">
        <v>131</v>
      </c>
      <c r="AL211" s="3">
        <v>0.9</v>
      </c>
      <c r="AM211" s="3">
        <v>0.5</v>
      </c>
      <c r="AN211" s="3">
        <v>0.6</v>
      </c>
      <c r="AO211" s="3">
        <v>0.62</v>
      </c>
      <c r="AP211" s="6">
        <v>1221.155884</v>
      </c>
      <c r="AQ211" s="3">
        <v>0.02</v>
      </c>
      <c r="AS211" s="3" t="s">
        <v>131</v>
      </c>
      <c r="AT211" s="3">
        <v>0.91</v>
      </c>
      <c r="AU211" s="7">
        <v>1346.690552</v>
      </c>
      <c r="AV211" s="3">
        <v>2E-3</v>
      </c>
      <c r="AW211" s="3">
        <f t="shared" si="22"/>
        <v>0.76500000000000001</v>
      </c>
      <c r="AX211" s="5"/>
      <c r="AY211" s="5"/>
      <c r="AZ211" s="5"/>
      <c r="BA211" s="5"/>
      <c r="BC211" s="3" t="s">
        <v>131</v>
      </c>
      <c r="BD211" s="3">
        <v>0.9</v>
      </c>
      <c r="BE211" s="3">
        <v>0.5</v>
      </c>
      <c r="BF211" s="3">
        <v>0.6</v>
      </c>
      <c r="BG211" s="3">
        <v>0.56999999999999995</v>
      </c>
      <c r="BH211" s="7">
        <v>1215.0679929999999</v>
      </c>
      <c r="BI211" s="3">
        <v>1.9E-2</v>
      </c>
      <c r="BK211" s="3" t="s">
        <v>131</v>
      </c>
      <c r="BL211" s="3">
        <v>0.33</v>
      </c>
      <c r="BM211" s="6">
        <v>1053.7476810000001</v>
      </c>
      <c r="BN211" s="3">
        <v>2E-3</v>
      </c>
      <c r="BO211" s="3">
        <f t="shared" si="23"/>
        <v>0.44999999999999996</v>
      </c>
    </row>
    <row r="212" spans="1:71" x14ac:dyDescent="0.3">
      <c r="A212" s="3" t="s">
        <v>132</v>
      </c>
      <c r="B212" s="3">
        <v>0.9</v>
      </c>
      <c r="C212" s="3">
        <v>0.5</v>
      </c>
      <c r="D212" s="3">
        <v>0.6</v>
      </c>
      <c r="E212" s="3">
        <v>0.49</v>
      </c>
      <c r="F212" s="6">
        <v>625.62005599999998</v>
      </c>
      <c r="G212" s="3">
        <v>1.6E-2</v>
      </c>
      <c r="I212" s="3" t="s">
        <v>132</v>
      </c>
      <c r="J212" s="3">
        <v>0.66</v>
      </c>
      <c r="K212" s="7">
        <v>670.41754200000003</v>
      </c>
      <c r="L212" s="3">
        <v>2E-3</v>
      </c>
      <c r="M212" s="3">
        <f t="shared" si="20"/>
        <v>0.57499999999999996</v>
      </c>
      <c r="N212" s="5"/>
      <c r="O212" s="5"/>
      <c r="P212" s="5"/>
      <c r="Q212" s="5"/>
      <c r="S212" s="3" t="s">
        <v>132</v>
      </c>
      <c r="T212" s="3">
        <v>0.9</v>
      </c>
      <c r="U212" s="3">
        <v>0.5</v>
      </c>
      <c r="V212" s="3">
        <v>0.6</v>
      </c>
      <c r="W212" s="3">
        <v>0.37</v>
      </c>
      <c r="X212" s="6">
        <v>609.071777</v>
      </c>
      <c r="Y212" s="3">
        <v>0.01</v>
      </c>
      <c r="AA212" s="3" t="s">
        <v>132</v>
      </c>
      <c r="AB212" s="3">
        <v>0.86</v>
      </c>
      <c r="AC212" s="7">
        <v>678.80895999999996</v>
      </c>
      <c r="AD212" s="3">
        <v>1E-3</v>
      </c>
      <c r="AE212" s="3">
        <f t="shared" si="21"/>
        <v>0.61499999999999999</v>
      </c>
      <c r="AF212" s="5"/>
      <c r="AG212" s="5"/>
      <c r="AH212" s="5"/>
      <c r="AI212" s="5"/>
      <c r="AK212" s="3" t="s">
        <v>133</v>
      </c>
      <c r="AL212" s="3">
        <v>0.9</v>
      </c>
      <c r="AM212" s="3">
        <v>0.5</v>
      </c>
      <c r="AN212" s="3">
        <v>0.6</v>
      </c>
      <c r="AO212" s="3">
        <v>0.13</v>
      </c>
      <c r="AP212" s="6">
        <v>961.17779499999995</v>
      </c>
      <c r="AQ212" s="3">
        <v>0.01</v>
      </c>
      <c r="AS212" s="3" t="s">
        <v>133</v>
      </c>
      <c r="AT212" s="3">
        <v>0.63</v>
      </c>
      <c r="AU212" s="7">
        <v>1225.769409</v>
      </c>
      <c r="AV212" s="3">
        <v>4.0000000000000001E-3</v>
      </c>
      <c r="AW212" s="3">
        <f t="shared" si="22"/>
        <v>0.38</v>
      </c>
      <c r="AX212" s="5"/>
      <c r="AY212" s="5"/>
      <c r="AZ212" s="5"/>
      <c r="BA212" s="5"/>
      <c r="BC212" s="3" t="s">
        <v>133</v>
      </c>
      <c r="BD212" s="3">
        <v>0.9</v>
      </c>
      <c r="BE212" s="3">
        <v>0.5</v>
      </c>
      <c r="BF212" s="3">
        <v>0.6</v>
      </c>
      <c r="BG212" s="3">
        <v>0.35</v>
      </c>
      <c r="BH212" s="7">
        <v>1082.63562</v>
      </c>
      <c r="BI212" s="3">
        <v>1.7000000000000001E-2</v>
      </c>
      <c r="BK212" s="3" t="s">
        <v>133</v>
      </c>
      <c r="BL212" s="3">
        <v>0.34</v>
      </c>
      <c r="BM212" s="6">
        <v>1068.3973390000001</v>
      </c>
      <c r="BN212" s="3">
        <v>2E-3</v>
      </c>
      <c r="BO212" s="3">
        <f t="shared" si="23"/>
        <v>0.34499999999999997</v>
      </c>
    </row>
    <row r="213" spans="1:71" x14ac:dyDescent="0.3">
      <c r="A213" s="9" t="s">
        <v>316</v>
      </c>
      <c r="E213" s="9">
        <f>AVERAGE(E183:E212)</f>
        <v>0.52133333333333332</v>
      </c>
      <c r="I213" s="9" t="s">
        <v>316</v>
      </c>
      <c r="J213" s="9">
        <f>AVERAGE(J183:J212)</f>
        <v>0.49033333333333334</v>
      </c>
      <c r="S213" s="9" t="s">
        <v>316</v>
      </c>
      <c r="W213" s="9">
        <f>AVERAGE(W183:W212)</f>
        <v>0.5066666666666666</v>
      </c>
      <c r="AA213" s="9" t="s">
        <v>316</v>
      </c>
      <c r="AB213" s="9">
        <f>AVERAGE(AB183:AB212)</f>
        <v>0.37533333333333335</v>
      </c>
      <c r="AK213" s="9" t="s">
        <v>316</v>
      </c>
      <c r="AO213" s="9">
        <f>AVERAGE(AO183:AO212)</f>
        <v>0.53600000000000003</v>
      </c>
      <c r="AS213" s="9" t="s">
        <v>316</v>
      </c>
      <c r="AT213" s="9">
        <f>AVERAGE(AT183:AT212)</f>
        <v>0.49133333333333329</v>
      </c>
      <c r="BC213" s="9" t="s">
        <v>316</v>
      </c>
      <c r="BG213" s="9">
        <f>AVERAGE(BG183:BG212)</f>
        <v>0.52066666666666672</v>
      </c>
      <c r="BK213" s="9" t="s">
        <v>316</v>
      </c>
      <c r="BL213" s="9">
        <f>AVERAGE(BL183:BL212)</f>
        <v>0.49233333333333335</v>
      </c>
    </row>
    <row r="214" spans="1:71" s="1" customFormat="1" x14ac:dyDescent="0.3"/>
    <row r="215" spans="1:71" x14ac:dyDescent="0.3">
      <c r="A215" s="20" t="s">
        <v>314</v>
      </c>
      <c r="B215" s="21"/>
      <c r="C215" s="21"/>
      <c r="D215" s="21"/>
      <c r="E215" s="21"/>
      <c r="F215" s="21"/>
      <c r="G215" s="22"/>
      <c r="I215" s="20" t="s">
        <v>315</v>
      </c>
      <c r="J215" s="21"/>
      <c r="K215" s="21"/>
      <c r="L215" s="21"/>
      <c r="M215" s="22"/>
      <c r="N215" s="11"/>
      <c r="O215" s="11"/>
      <c r="P215" s="11"/>
      <c r="Q215" s="11"/>
      <c r="S215" s="20" t="s">
        <v>314</v>
      </c>
      <c r="T215" s="21"/>
      <c r="U215" s="21"/>
      <c r="V215" s="21"/>
      <c r="W215" s="21"/>
      <c r="X215" s="21"/>
      <c r="Y215" s="22"/>
      <c r="AA215" s="20" t="s">
        <v>315</v>
      </c>
      <c r="AB215" s="21"/>
      <c r="AC215" s="21"/>
      <c r="AD215" s="21"/>
      <c r="AE215" s="22"/>
      <c r="AF215" s="11"/>
      <c r="AG215" s="11"/>
      <c r="AH215" s="11"/>
      <c r="AI215" s="11"/>
      <c r="AK215" s="20" t="s">
        <v>314</v>
      </c>
      <c r="AL215" s="21"/>
      <c r="AM215" s="21"/>
      <c r="AN215" s="21"/>
      <c r="AO215" s="21"/>
      <c r="AP215" s="21"/>
      <c r="AQ215" s="22"/>
      <c r="AS215" s="20" t="s">
        <v>315</v>
      </c>
      <c r="AT215" s="21"/>
      <c r="AU215" s="21"/>
      <c r="AV215" s="21"/>
      <c r="AW215" s="22"/>
      <c r="AX215" s="11"/>
      <c r="AY215" s="11"/>
      <c r="AZ215" s="11"/>
      <c r="BA215" s="11"/>
      <c r="BC215" s="20" t="s">
        <v>314</v>
      </c>
      <c r="BD215" s="21"/>
      <c r="BE215" s="21"/>
      <c r="BF215" s="21"/>
      <c r="BG215" s="21"/>
      <c r="BH215" s="21"/>
      <c r="BI215" s="22"/>
      <c r="BK215" s="20" t="s">
        <v>315</v>
      </c>
      <c r="BL215" s="21"/>
      <c r="BM215" s="21"/>
      <c r="BN215" s="21"/>
      <c r="BO215" s="22"/>
    </row>
    <row r="216" spans="1:71" x14ac:dyDescent="0.3">
      <c r="A216" s="3" t="s">
        <v>0</v>
      </c>
      <c r="B216" s="3"/>
      <c r="C216" s="3"/>
      <c r="D216" s="3"/>
      <c r="E216" s="3"/>
      <c r="F216" s="3"/>
      <c r="G216" s="3"/>
      <c r="I216" s="3" t="s">
        <v>0</v>
      </c>
      <c r="J216" s="3"/>
      <c r="K216" s="3"/>
      <c r="L216" s="3"/>
      <c r="M216" s="3"/>
      <c r="N216" s="5"/>
      <c r="O216" s="5"/>
      <c r="P216" s="5"/>
      <c r="Q216" s="5"/>
      <c r="S216" s="3" t="s">
        <v>1</v>
      </c>
      <c r="T216" s="3"/>
      <c r="U216" s="3"/>
      <c r="V216" s="3"/>
      <c r="W216" s="3"/>
      <c r="X216" s="3"/>
      <c r="Y216" s="3"/>
      <c r="AA216" s="3" t="s">
        <v>1</v>
      </c>
      <c r="AB216" s="3"/>
      <c r="AC216" s="3"/>
      <c r="AD216" s="3"/>
      <c r="AE216" s="3"/>
      <c r="AK216" s="3" t="s">
        <v>0</v>
      </c>
      <c r="AL216" s="3"/>
      <c r="AM216" s="3"/>
      <c r="AN216" s="3"/>
      <c r="AO216" s="3"/>
      <c r="AP216" s="3"/>
      <c r="AQ216" s="3"/>
      <c r="AS216" s="3" t="s">
        <v>0</v>
      </c>
      <c r="AT216" s="3"/>
      <c r="AU216" s="3"/>
      <c r="AV216" s="3"/>
      <c r="AW216" s="3"/>
      <c r="AX216" s="3" t="s">
        <v>322</v>
      </c>
      <c r="AY216" s="3" t="s">
        <v>323</v>
      </c>
      <c r="AZ216" s="3" t="s">
        <v>322</v>
      </c>
      <c r="BA216" s="3" t="s">
        <v>323</v>
      </c>
      <c r="BC216" s="3" t="s">
        <v>1</v>
      </c>
      <c r="BD216" s="3"/>
      <c r="BE216" s="3"/>
      <c r="BF216" s="3"/>
      <c r="BG216" s="3"/>
      <c r="BH216" s="3"/>
      <c r="BI216" s="3"/>
      <c r="BK216" s="3" t="s">
        <v>1</v>
      </c>
      <c r="BL216" s="3"/>
      <c r="BM216" s="3"/>
      <c r="BN216" s="3"/>
      <c r="BO216" s="3"/>
      <c r="BP216" s="3" t="s">
        <v>322</v>
      </c>
      <c r="BQ216" s="3" t="s">
        <v>323</v>
      </c>
      <c r="BR216" s="3" t="s">
        <v>322</v>
      </c>
      <c r="BS216" s="3" t="s">
        <v>323</v>
      </c>
    </row>
    <row r="217" spans="1:71" x14ac:dyDescent="0.3">
      <c r="A217" s="3" t="s">
        <v>2</v>
      </c>
      <c r="B217" s="3" t="s">
        <v>3</v>
      </c>
      <c r="C217" s="3" t="s">
        <v>4</v>
      </c>
      <c r="D217" s="3" t="s">
        <v>5</v>
      </c>
      <c r="E217" s="3" t="s">
        <v>6</v>
      </c>
      <c r="F217" s="3" t="s">
        <v>7</v>
      </c>
      <c r="G217" s="3" t="s">
        <v>8</v>
      </c>
      <c r="I217" s="3" t="s">
        <v>2</v>
      </c>
      <c r="J217" s="3" t="s">
        <v>6</v>
      </c>
      <c r="K217" s="3" t="s">
        <v>7</v>
      </c>
      <c r="L217" s="3" t="s">
        <v>8</v>
      </c>
      <c r="M217" s="3" t="s">
        <v>9</v>
      </c>
      <c r="N217" s="3" t="s">
        <v>322</v>
      </c>
      <c r="O217" s="3" t="s">
        <v>323</v>
      </c>
      <c r="P217" s="3" t="s">
        <v>322</v>
      </c>
      <c r="Q217" s="3" t="s">
        <v>323</v>
      </c>
      <c r="S217" s="3" t="s">
        <v>2</v>
      </c>
      <c r="T217" s="3" t="s">
        <v>3</v>
      </c>
      <c r="U217" s="3" t="s">
        <v>4</v>
      </c>
      <c r="V217" s="3" t="s">
        <v>5</v>
      </c>
      <c r="W217" s="3" t="s">
        <v>6</v>
      </c>
      <c r="X217" s="3" t="s">
        <v>7</v>
      </c>
      <c r="Y217" s="3" t="s">
        <v>8</v>
      </c>
      <c r="AA217" s="3" t="s">
        <v>2</v>
      </c>
      <c r="AB217" s="3" t="s">
        <v>6</v>
      </c>
      <c r="AC217" s="3" t="s">
        <v>7</v>
      </c>
      <c r="AD217" s="3" t="s">
        <v>8</v>
      </c>
      <c r="AE217" s="3" t="s">
        <v>9</v>
      </c>
      <c r="AF217" s="3" t="s">
        <v>322</v>
      </c>
      <c r="AG217" s="3" t="s">
        <v>323</v>
      </c>
      <c r="AH217" s="3" t="s">
        <v>322</v>
      </c>
      <c r="AI217" s="3" t="s">
        <v>323</v>
      </c>
      <c r="AK217" s="3" t="s">
        <v>2</v>
      </c>
      <c r="AL217" s="3" t="s">
        <v>3</v>
      </c>
      <c r="AM217" s="3" t="s">
        <v>4</v>
      </c>
      <c r="AN217" s="3" t="s">
        <v>5</v>
      </c>
      <c r="AO217" s="3" t="s">
        <v>6</v>
      </c>
      <c r="AP217" s="3" t="s">
        <v>7</v>
      </c>
      <c r="AQ217" s="3" t="s">
        <v>8</v>
      </c>
      <c r="AS217" s="3" t="s">
        <v>2</v>
      </c>
      <c r="AT217" s="3" t="s">
        <v>6</v>
      </c>
      <c r="AU217" s="3" t="s">
        <v>7</v>
      </c>
      <c r="AV217" s="3" t="s">
        <v>8</v>
      </c>
      <c r="AW217" s="3" t="s">
        <v>9</v>
      </c>
      <c r="AX217" s="4" t="s">
        <v>320</v>
      </c>
      <c r="AY217" s="4" t="s">
        <v>320</v>
      </c>
      <c r="AZ217" s="4" t="s">
        <v>321</v>
      </c>
      <c r="BA217" s="4" t="s">
        <v>321</v>
      </c>
      <c r="BC217" s="3" t="s">
        <v>2</v>
      </c>
      <c r="BD217" s="3" t="s">
        <v>3</v>
      </c>
      <c r="BE217" s="3" t="s">
        <v>4</v>
      </c>
      <c r="BF217" s="3" t="s">
        <v>5</v>
      </c>
      <c r="BG217" s="3" t="s">
        <v>6</v>
      </c>
      <c r="BH217" s="3" t="s">
        <v>7</v>
      </c>
      <c r="BI217" s="3" t="s">
        <v>8</v>
      </c>
      <c r="BK217" s="3" t="s">
        <v>2</v>
      </c>
      <c r="BL217" s="3" t="s">
        <v>6</v>
      </c>
      <c r="BM217" s="3" t="s">
        <v>7</v>
      </c>
      <c r="BN217" s="3" t="s">
        <v>8</v>
      </c>
      <c r="BO217" s="3" t="s">
        <v>9</v>
      </c>
      <c r="BP217" s="4" t="s">
        <v>320</v>
      </c>
      <c r="BQ217" s="4" t="s">
        <v>320</v>
      </c>
      <c r="BR217" s="4" t="s">
        <v>321</v>
      </c>
      <c r="BS217" s="4" t="s">
        <v>321</v>
      </c>
    </row>
    <row r="218" spans="1:71" x14ac:dyDescent="0.3">
      <c r="A218" s="3" t="s">
        <v>134</v>
      </c>
      <c r="B218" s="3">
        <v>0.9</v>
      </c>
      <c r="C218" s="3">
        <v>0.5</v>
      </c>
      <c r="D218" s="3">
        <v>0.6</v>
      </c>
      <c r="E218" s="3">
        <v>0.01</v>
      </c>
      <c r="F218" s="6">
        <v>588.62658699999997</v>
      </c>
      <c r="G218" s="3">
        <v>0.01</v>
      </c>
      <c r="I218" s="3" t="s">
        <v>134</v>
      </c>
      <c r="J218" s="3">
        <v>0.01</v>
      </c>
      <c r="K218" s="6">
        <v>588.62658699999997</v>
      </c>
      <c r="L218" s="3">
        <v>8.9999999999999993E-3</v>
      </c>
      <c r="M218" s="3">
        <f t="shared" ref="M218:M247" si="24">AVERAGE(E218,J218)</f>
        <v>0.01</v>
      </c>
      <c r="N218" s="4" t="s">
        <v>320</v>
      </c>
      <c r="O218" s="4" t="s">
        <v>320</v>
      </c>
      <c r="P218" s="4" t="s">
        <v>321</v>
      </c>
      <c r="Q218" s="4" t="s">
        <v>321</v>
      </c>
      <c r="S218" s="3" t="s">
        <v>134</v>
      </c>
      <c r="T218" s="3">
        <v>0.9</v>
      </c>
      <c r="U218" s="3">
        <v>0.5</v>
      </c>
      <c r="V218" s="3">
        <v>0.6</v>
      </c>
      <c r="W218" s="3">
        <v>0.01</v>
      </c>
      <c r="X218" s="6">
        <v>549.27002000000005</v>
      </c>
      <c r="Y218" s="3">
        <v>1.4E-2</v>
      </c>
      <c r="AA218" s="3" t="s">
        <v>134</v>
      </c>
      <c r="AB218" s="3">
        <v>0.01</v>
      </c>
      <c r="AC218" s="6">
        <v>549.27002000000005</v>
      </c>
      <c r="AD218" s="3">
        <v>0</v>
      </c>
      <c r="AE218" s="3">
        <f t="shared" ref="AE218:AE247" si="25">AVERAGE(W218,AB218)</f>
        <v>0.01</v>
      </c>
      <c r="AF218" s="4" t="s">
        <v>320</v>
      </c>
      <c r="AG218" s="4" t="s">
        <v>320</v>
      </c>
      <c r="AH218" s="4" t="s">
        <v>321</v>
      </c>
      <c r="AI218" s="4" t="s">
        <v>321</v>
      </c>
      <c r="AK218" s="3" t="s">
        <v>135</v>
      </c>
      <c r="AL218" s="3">
        <v>0.9</v>
      </c>
      <c r="AM218" s="3">
        <v>0.5</v>
      </c>
      <c r="AN218" s="3">
        <v>0.6</v>
      </c>
      <c r="AO218" s="3">
        <v>0.01</v>
      </c>
      <c r="AP218" s="6">
        <v>714.575378</v>
      </c>
      <c r="AQ218" s="3">
        <v>8.0000000000000002E-3</v>
      </c>
      <c r="AS218" s="3" t="s">
        <v>135</v>
      </c>
      <c r="AT218" s="3">
        <v>0.01</v>
      </c>
      <c r="AU218" s="6">
        <v>714.575378</v>
      </c>
      <c r="AV218" s="3">
        <v>1E-3</v>
      </c>
      <c r="AW218" s="3">
        <f t="shared" ref="AW218:AW247" si="26">AVERAGE(AO218,AT218)</f>
        <v>0.01</v>
      </c>
      <c r="AX218" s="3">
        <f>COUNT(AP218:AP219,AP221,AP223,AP225,AP228,AP230:AP232,AP234:AP235,AP237,AP239,AP243:AP247)</f>
        <v>18</v>
      </c>
      <c r="AY218" s="3">
        <f>COUNT(AP220,AP222,AP224,AP226:AP227,AP229,AP233,AP236,AP238,AP240:AP242)</f>
        <v>12</v>
      </c>
      <c r="AZ218" s="3">
        <f>COUNT(AU218,AU220,AU222,AU224,AU226:AU227,AU229,AU233,AU235:AU236,AU238,AU240:AU242)</f>
        <v>14</v>
      </c>
      <c r="BA218" s="3">
        <f>COUNT(AU219,AU221,AU223,AU225,AU228,AU230:AU232,AU234,AU237,AU239,AU243,AU244:AU247)</f>
        <v>16</v>
      </c>
      <c r="BC218" s="3" t="s">
        <v>135</v>
      </c>
      <c r="BD218" s="3">
        <v>0.9</v>
      </c>
      <c r="BE218" s="3">
        <v>0.5</v>
      </c>
      <c r="BF218" s="3">
        <v>0.6</v>
      </c>
      <c r="BG218" s="3">
        <v>0.01</v>
      </c>
      <c r="BH218" s="6">
        <v>661.21929899999998</v>
      </c>
      <c r="BI218" s="3">
        <v>3.5999999999999997E-2</v>
      </c>
      <c r="BK218" s="3" t="s">
        <v>135</v>
      </c>
      <c r="BL218" s="3">
        <v>0.01</v>
      </c>
      <c r="BM218" s="6">
        <v>661.21929899999998</v>
      </c>
      <c r="BN218" s="3">
        <v>1.7999999999999999E-2</v>
      </c>
      <c r="BO218" s="3">
        <f t="shared" ref="BO218:BO247" si="27">AVERAGE(BG218,BL218)</f>
        <v>0.01</v>
      </c>
      <c r="BP218" s="3">
        <f>COUNT(BH218,BH223,BH225,BH227:BH229,BH231:BH232,BH237:BH238,BH242:BH246)</f>
        <v>15</v>
      </c>
      <c r="BQ218" s="3">
        <f>30-BP218</f>
        <v>15</v>
      </c>
      <c r="BR218" s="3">
        <f>COUNT(BM218:BM222,BM224,BM226,BM230,BM233:BM236,BM239:BM241,BM247)</f>
        <v>16</v>
      </c>
      <c r="BS218" s="3">
        <f>30-BR218</f>
        <v>14</v>
      </c>
    </row>
    <row r="219" spans="1:71" x14ac:dyDescent="0.3">
      <c r="A219" s="3" t="s">
        <v>136</v>
      </c>
      <c r="B219" s="3">
        <v>0.9</v>
      </c>
      <c r="C219" s="3">
        <v>0.5</v>
      </c>
      <c r="D219" s="3">
        <v>0.6</v>
      </c>
      <c r="E219" s="3">
        <v>0.84</v>
      </c>
      <c r="F219" s="7">
        <v>587.77807600000006</v>
      </c>
      <c r="G219" s="3">
        <v>1.9E-2</v>
      </c>
      <c r="I219" s="3" t="s">
        <v>136</v>
      </c>
      <c r="J219" s="3">
        <v>0.34</v>
      </c>
      <c r="K219" s="6">
        <v>555.30950900000005</v>
      </c>
      <c r="L219" s="3">
        <v>2E-3</v>
      </c>
      <c r="M219" s="3">
        <f t="shared" si="24"/>
        <v>0.59</v>
      </c>
      <c r="N219" s="3">
        <f>COUNT(F218,F220,F222,F225:F227,F229,F232,F238:F239,F241)</f>
        <v>11</v>
      </c>
      <c r="O219" s="3">
        <f>COUNT(F219,F221,F223:F224,F228,F230:F231,F233:F237,F240,F242:F247)</f>
        <v>19</v>
      </c>
      <c r="P219" s="3">
        <f>COUNT(K218:K219,K221,K223:K224,K228,K230:K231,K233:K237,K240,K242:K247)</f>
        <v>20</v>
      </c>
      <c r="Q219" s="3">
        <f>COUNT(K220,K222,K225:K227,K229,K232,K238:K239,K241)</f>
        <v>10</v>
      </c>
      <c r="S219" s="3" t="s">
        <v>136</v>
      </c>
      <c r="T219" s="3">
        <v>0.9</v>
      </c>
      <c r="U219" s="3">
        <v>0.5</v>
      </c>
      <c r="V219" s="3">
        <v>0.6</v>
      </c>
      <c r="W219" s="3">
        <v>0.08</v>
      </c>
      <c r="X219" s="6">
        <v>447.411743</v>
      </c>
      <c r="Y219" s="3">
        <v>1.4E-2</v>
      </c>
      <c r="AA219" s="3" t="s">
        <v>136</v>
      </c>
      <c r="AB219" s="3">
        <v>0.46</v>
      </c>
      <c r="AC219" s="7">
        <v>487.88681000000003</v>
      </c>
      <c r="AD219" s="3">
        <v>1E-3</v>
      </c>
      <c r="AE219" s="3">
        <f t="shared" si="25"/>
        <v>0.27</v>
      </c>
      <c r="AF219" s="3">
        <f>COUNT(X218:X219,X220,X222,X224:X225,X228,X230:X234,X236,X239:X240,X242,X244:X245)</f>
        <v>18</v>
      </c>
      <c r="AG219" s="3">
        <f>COUNT(X221,X223,X226:X227,X229,X235,X237:X238,X241,X243,X246:X247)</f>
        <v>12</v>
      </c>
      <c r="AH219" s="3">
        <f>COUNT(AC218,AC221,AC223:AC224,AC226:AC227,AC229,AC235,AC237:AC238,AC241,AC243,AC246:AC247)</f>
        <v>14</v>
      </c>
      <c r="AI219" s="3">
        <f>COUNT(AC219:AC220,AC222,AC225,AC228,AC230:AC234,AC236,AC239:AC240,AC242,AC244:AC245)</f>
        <v>16</v>
      </c>
      <c r="AK219" s="3" t="s">
        <v>137</v>
      </c>
      <c r="AL219" s="3">
        <v>0.9</v>
      </c>
      <c r="AM219" s="3">
        <v>0.5</v>
      </c>
      <c r="AN219" s="3">
        <v>0.6</v>
      </c>
      <c r="AO219" s="3">
        <v>0.1</v>
      </c>
      <c r="AP219" s="6">
        <v>760.69329800000003</v>
      </c>
      <c r="AQ219" s="3">
        <v>3.7999999999999999E-2</v>
      </c>
      <c r="AS219" s="3" t="s">
        <v>137</v>
      </c>
      <c r="AT219" s="3">
        <v>0.27</v>
      </c>
      <c r="AU219" s="7">
        <v>854.16400099999998</v>
      </c>
      <c r="AV219" s="3">
        <v>1E-3</v>
      </c>
      <c r="AW219" s="3">
        <f t="shared" si="26"/>
        <v>0.185</v>
      </c>
      <c r="AX219" s="5"/>
      <c r="AY219" s="5"/>
      <c r="AZ219" s="5"/>
      <c r="BA219" s="5"/>
      <c r="BC219" s="3" t="s">
        <v>137</v>
      </c>
      <c r="BD219" s="3">
        <v>0.9</v>
      </c>
      <c r="BE219" s="3">
        <v>0.5</v>
      </c>
      <c r="BF219" s="3">
        <v>0.6</v>
      </c>
      <c r="BG219" s="3">
        <v>0.43</v>
      </c>
      <c r="BH219" s="7">
        <v>884.405396</v>
      </c>
      <c r="BI219" s="3">
        <v>2.5999999999999999E-2</v>
      </c>
      <c r="BK219" s="3" t="s">
        <v>137</v>
      </c>
      <c r="BL219" s="3">
        <v>0.24</v>
      </c>
      <c r="BM219" s="6">
        <v>777.97937000000002</v>
      </c>
      <c r="BN219" s="3">
        <v>5.0000000000000001E-3</v>
      </c>
      <c r="BO219" s="3">
        <f t="shared" si="27"/>
        <v>0.33499999999999996</v>
      </c>
    </row>
    <row r="220" spans="1:71" x14ac:dyDescent="0.3">
      <c r="A220" s="3" t="s">
        <v>138</v>
      </c>
      <c r="B220" s="3">
        <v>0.9</v>
      </c>
      <c r="C220" s="3">
        <v>0.5</v>
      </c>
      <c r="D220" s="3">
        <v>0.6</v>
      </c>
      <c r="E220" s="3">
        <v>0.34</v>
      </c>
      <c r="F220" s="6">
        <v>610.18273899999997</v>
      </c>
      <c r="G220" s="3">
        <v>2.1999999999999999E-2</v>
      </c>
      <c r="I220" s="3" t="s">
        <v>138</v>
      </c>
      <c r="J220" s="3">
        <v>0.56999999999999995</v>
      </c>
      <c r="K220" s="7">
        <v>644.86724900000002</v>
      </c>
      <c r="L220" s="3">
        <v>2E-3</v>
      </c>
      <c r="M220" s="3">
        <f t="shared" si="24"/>
        <v>0.45499999999999996</v>
      </c>
      <c r="N220" s="5"/>
      <c r="O220" s="5"/>
      <c r="P220" s="5"/>
      <c r="Q220" s="5"/>
      <c r="S220" s="3" t="s">
        <v>138</v>
      </c>
      <c r="T220" s="3">
        <v>0.9</v>
      </c>
      <c r="U220" s="3">
        <v>0.5</v>
      </c>
      <c r="V220" s="3">
        <v>0.6</v>
      </c>
      <c r="W220" s="3">
        <v>0.98</v>
      </c>
      <c r="X220" s="6">
        <v>626.22241199999996</v>
      </c>
      <c r="Y220" s="3">
        <v>0.01</v>
      </c>
      <c r="AA220" s="3" t="s">
        <v>138</v>
      </c>
      <c r="AB220" s="3">
        <v>0.99</v>
      </c>
      <c r="AC220" s="7">
        <v>636.10607900000002</v>
      </c>
      <c r="AD220" s="3">
        <v>5.0000000000000001E-3</v>
      </c>
      <c r="AE220" s="3">
        <f t="shared" si="25"/>
        <v>0.98499999999999999</v>
      </c>
      <c r="AF220" s="5"/>
      <c r="AG220" s="5"/>
      <c r="AH220" s="5"/>
      <c r="AI220" s="5"/>
      <c r="AK220" s="3" t="s">
        <v>139</v>
      </c>
      <c r="AL220" s="3">
        <v>0.9</v>
      </c>
      <c r="AM220" s="3">
        <v>0.5</v>
      </c>
      <c r="AN220" s="3">
        <v>0.6</v>
      </c>
      <c r="AO220" s="3">
        <v>0.73</v>
      </c>
      <c r="AP220" s="7">
        <v>1019.806213</v>
      </c>
      <c r="AQ220" s="3">
        <v>3.2000000000000001E-2</v>
      </c>
      <c r="AS220" s="3" t="s">
        <v>139</v>
      </c>
      <c r="AT220" s="3">
        <v>0.54</v>
      </c>
      <c r="AU220" s="6">
        <v>987.83221400000002</v>
      </c>
      <c r="AV220" s="3">
        <v>3.0000000000000001E-3</v>
      </c>
      <c r="AW220" s="3">
        <f t="shared" si="26"/>
        <v>0.63500000000000001</v>
      </c>
      <c r="AX220" s="5"/>
      <c r="AY220" s="5"/>
      <c r="AZ220" s="5"/>
      <c r="BA220" s="5"/>
      <c r="BC220" s="3" t="s">
        <v>139</v>
      </c>
      <c r="BD220" s="3">
        <v>0.9</v>
      </c>
      <c r="BE220" s="3">
        <v>0.5</v>
      </c>
      <c r="BF220" s="3">
        <v>0.6</v>
      </c>
      <c r="BG220" s="3">
        <v>0.52</v>
      </c>
      <c r="BH220" s="7">
        <v>944.72619599999996</v>
      </c>
      <c r="BI220" s="3">
        <v>3.5000000000000003E-2</v>
      </c>
      <c r="BK220" s="3" t="s">
        <v>139</v>
      </c>
      <c r="BL220" s="3">
        <v>0.08</v>
      </c>
      <c r="BM220" s="6">
        <v>727.29028300000004</v>
      </c>
      <c r="BN220" s="3">
        <v>1E-3</v>
      </c>
      <c r="BO220" s="3">
        <f t="shared" si="27"/>
        <v>0.3</v>
      </c>
    </row>
    <row r="221" spans="1:71" x14ac:dyDescent="0.3">
      <c r="A221" s="3" t="s">
        <v>140</v>
      </c>
      <c r="B221" s="3">
        <v>0.9</v>
      </c>
      <c r="C221" s="3">
        <v>0.5</v>
      </c>
      <c r="D221" s="3">
        <v>0.6</v>
      </c>
      <c r="E221" s="3">
        <v>0.41</v>
      </c>
      <c r="F221" s="7">
        <v>635.02893100000006</v>
      </c>
      <c r="G221" s="3">
        <v>1.0999999999999999E-2</v>
      </c>
      <c r="I221" s="3" t="s">
        <v>140</v>
      </c>
      <c r="J221" s="3">
        <v>0.01</v>
      </c>
      <c r="K221" s="6">
        <v>613.13110400000005</v>
      </c>
      <c r="L221" s="3">
        <v>1E-3</v>
      </c>
      <c r="M221" s="3">
        <f t="shared" si="24"/>
        <v>0.21</v>
      </c>
      <c r="N221" s="5"/>
      <c r="O221" s="5"/>
      <c r="P221" s="5"/>
      <c r="Q221" s="5"/>
      <c r="S221" s="3" t="s">
        <v>140</v>
      </c>
      <c r="T221" s="3">
        <v>0.9</v>
      </c>
      <c r="U221" s="3">
        <v>0.5</v>
      </c>
      <c r="V221" s="3">
        <v>0.6</v>
      </c>
      <c r="W221" s="3">
        <v>0.64</v>
      </c>
      <c r="X221" s="7">
        <v>645.60797100000002</v>
      </c>
      <c r="Y221" s="3">
        <v>1.9E-2</v>
      </c>
      <c r="AA221" s="3" t="s">
        <v>140</v>
      </c>
      <c r="AB221" s="3">
        <v>0.18</v>
      </c>
      <c r="AC221" s="6">
        <v>534.662598</v>
      </c>
      <c r="AD221" s="3">
        <v>2E-3</v>
      </c>
      <c r="AE221" s="3">
        <f t="shared" si="25"/>
        <v>0.41000000000000003</v>
      </c>
      <c r="AF221" s="5"/>
      <c r="AG221" s="5"/>
      <c r="AH221" s="5"/>
      <c r="AI221" s="5"/>
      <c r="AK221" s="3" t="s">
        <v>141</v>
      </c>
      <c r="AL221" s="3">
        <v>0.9</v>
      </c>
      <c r="AM221" s="3">
        <v>0.5</v>
      </c>
      <c r="AN221" s="3">
        <v>0.6</v>
      </c>
      <c r="AO221" s="3">
        <v>0.47</v>
      </c>
      <c r="AP221" s="6">
        <v>1007.917786</v>
      </c>
      <c r="AQ221" s="3">
        <v>2.5000000000000001E-2</v>
      </c>
      <c r="AS221" s="3" t="s">
        <v>141</v>
      </c>
      <c r="AT221" s="3">
        <v>0.84</v>
      </c>
      <c r="AU221" s="7">
        <v>1071.752808</v>
      </c>
      <c r="AV221" s="3">
        <v>7.0000000000000001E-3</v>
      </c>
      <c r="AW221" s="3">
        <f t="shared" si="26"/>
        <v>0.65500000000000003</v>
      </c>
      <c r="AX221" s="5"/>
      <c r="AY221" s="5"/>
      <c r="AZ221" s="5"/>
      <c r="BA221" s="5"/>
      <c r="BC221" s="3" t="s">
        <v>141</v>
      </c>
      <c r="BD221" s="3">
        <v>0.9</v>
      </c>
      <c r="BE221" s="3">
        <v>0.5</v>
      </c>
      <c r="BF221" s="3">
        <v>0.6</v>
      </c>
      <c r="BG221" s="3">
        <v>0.36</v>
      </c>
      <c r="BH221" s="7">
        <v>934.14276099999995</v>
      </c>
      <c r="BI221" s="3">
        <v>2.5000000000000001E-2</v>
      </c>
      <c r="BK221" s="3" t="s">
        <v>141</v>
      </c>
      <c r="BL221" s="3">
        <v>0.32</v>
      </c>
      <c r="BM221" s="6">
        <v>904.61041299999999</v>
      </c>
      <c r="BN221" s="3">
        <v>3.0000000000000001E-3</v>
      </c>
      <c r="BO221" s="3">
        <f t="shared" si="27"/>
        <v>0.33999999999999997</v>
      </c>
    </row>
    <row r="222" spans="1:71" x14ac:dyDescent="0.3">
      <c r="A222" s="3" t="s">
        <v>142</v>
      </c>
      <c r="B222" s="3">
        <v>0.9</v>
      </c>
      <c r="C222" s="3">
        <v>0.5</v>
      </c>
      <c r="D222" s="3">
        <v>0.6</v>
      </c>
      <c r="E222" s="3">
        <v>0.57999999999999996</v>
      </c>
      <c r="F222" s="6">
        <v>570.22283900000002</v>
      </c>
      <c r="G222" s="3">
        <v>1.0999999999999999E-2</v>
      </c>
      <c r="I222" s="3" t="s">
        <v>142</v>
      </c>
      <c r="J222" s="3">
        <v>0.86</v>
      </c>
      <c r="K222" s="7">
        <v>592.72534199999996</v>
      </c>
      <c r="L222" s="3">
        <v>1E-3</v>
      </c>
      <c r="M222" s="3">
        <f t="shared" si="24"/>
        <v>0.72</v>
      </c>
      <c r="N222" s="5"/>
      <c r="O222" s="5"/>
      <c r="P222" s="5"/>
      <c r="Q222" s="5"/>
      <c r="S222" s="3" t="s">
        <v>142</v>
      </c>
      <c r="T222" s="3">
        <v>0.9</v>
      </c>
      <c r="U222" s="3">
        <v>0.5</v>
      </c>
      <c r="V222" s="3">
        <v>0.6</v>
      </c>
      <c r="W222" s="3">
        <v>0.52</v>
      </c>
      <c r="X222" s="6">
        <v>491.19515999999999</v>
      </c>
      <c r="Y222" s="3">
        <v>7.0000000000000001E-3</v>
      </c>
      <c r="AA222" s="3" t="s">
        <v>142</v>
      </c>
      <c r="AB222" s="3">
        <v>0.98</v>
      </c>
      <c r="AC222" s="7">
        <v>553.83325200000002</v>
      </c>
      <c r="AD222" s="3">
        <v>1E-3</v>
      </c>
      <c r="AE222" s="3">
        <f t="shared" si="25"/>
        <v>0.75</v>
      </c>
      <c r="AF222" s="5"/>
      <c r="AG222" s="5"/>
      <c r="AH222" s="5"/>
      <c r="AI222" s="5"/>
      <c r="AK222" s="3" t="s">
        <v>143</v>
      </c>
      <c r="AL222" s="3">
        <v>0.9</v>
      </c>
      <c r="AM222" s="3">
        <v>0.5</v>
      </c>
      <c r="AN222" s="3">
        <v>0.6</v>
      </c>
      <c r="AO222" s="3">
        <v>0.44</v>
      </c>
      <c r="AP222" s="7">
        <v>956.38189699999998</v>
      </c>
      <c r="AQ222" s="3">
        <v>1.4999999999999999E-2</v>
      </c>
      <c r="AS222" s="3" t="s">
        <v>143</v>
      </c>
      <c r="AT222" s="3">
        <v>0.35</v>
      </c>
      <c r="AU222" s="6">
        <v>928.64910899999995</v>
      </c>
      <c r="AV222" s="3">
        <v>7.0000000000000001E-3</v>
      </c>
      <c r="AW222" s="3">
        <f t="shared" si="26"/>
        <v>0.39500000000000002</v>
      </c>
      <c r="AX222" s="5"/>
      <c r="AY222" s="5"/>
      <c r="AZ222" s="5"/>
      <c r="BA222" s="5"/>
      <c r="BC222" s="3" t="s">
        <v>143</v>
      </c>
      <c r="BD222" s="3">
        <v>0.9</v>
      </c>
      <c r="BE222" s="3">
        <v>0.5</v>
      </c>
      <c r="BF222" s="3">
        <v>0.6</v>
      </c>
      <c r="BG222" s="3">
        <v>0.68</v>
      </c>
      <c r="BH222" s="7">
        <v>968.29315199999996</v>
      </c>
      <c r="BI222" s="3">
        <v>3.3000000000000002E-2</v>
      </c>
      <c r="BK222" s="3" t="s">
        <v>143</v>
      </c>
      <c r="BL222" s="3">
        <v>0.46</v>
      </c>
      <c r="BM222" s="6">
        <v>909.91906700000004</v>
      </c>
      <c r="BN222" s="3">
        <v>0</v>
      </c>
      <c r="BO222" s="3">
        <f t="shared" si="27"/>
        <v>0.57000000000000006</v>
      </c>
    </row>
    <row r="223" spans="1:71" x14ac:dyDescent="0.3">
      <c r="A223" s="3" t="s">
        <v>144</v>
      </c>
      <c r="B223" s="3">
        <v>0.9</v>
      </c>
      <c r="C223" s="3">
        <v>0.5</v>
      </c>
      <c r="D223" s="3">
        <v>0.6</v>
      </c>
      <c r="E223" s="3">
        <v>0.56999999999999995</v>
      </c>
      <c r="F223" s="7">
        <v>655.37719700000002</v>
      </c>
      <c r="G223" s="3">
        <v>0.01</v>
      </c>
      <c r="I223" s="3" t="s">
        <v>144</v>
      </c>
      <c r="J223" s="3">
        <v>0.45</v>
      </c>
      <c r="K223" s="6">
        <v>653.97503700000004</v>
      </c>
      <c r="L223" s="3">
        <v>1E-3</v>
      </c>
      <c r="M223" s="3">
        <f t="shared" si="24"/>
        <v>0.51</v>
      </c>
      <c r="N223" s="5"/>
      <c r="O223" s="5"/>
      <c r="P223" s="5"/>
      <c r="Q223" s="5"/>
      <c r="S223" s="3" t="s">
        <v>144</v>
      </c>
      <c r="T223" s="3">
        <v>0.9</v>
      </c>
      <c r="U223" s="3">
        <v>0.5</v>
      </c>
      <c r="V223" s="3">
        <v>0.6</v>
      </c>
      <c r="W223" s="3">
        <v>0.54</v>
      </c>
      <c r="X223" s="7">
        <v>623.79595900000004</v>
      </c>
      <c r="Y223" s="3">
        <v>1.4999999999999999E-2</v>
      </c>
      <c r="AA223" s="3" t="s">
        <v>144</v>
      </c>
      <c r="AB223" s="3">
        <v>0.08</v>
      </c>
      <c r="AC223" s="6">
        <v>539.18505900000002</v>
      </c>
      <c r="AD223" s="3">
        <v>5.0000000000000001E-3</v>
      </c>
      <c r="AE223" s="3">
        <f t="shared" si="25"/>
        <v>0.31</v>
      </c>
      <c r="AF223" s="5"/>
      <c r="AG223" s="5"/>
      <c r="AH223" s="5"/>
      <c r="AI223" s="5"/>
      <c r="AK223" s="3" t="s">
        <v>145</v>
      </c>
      <c r="AL223" s="3">
        <v>0.9</v>
      </c>
      <c r="AM223" s="3">
        <v>0.5</v>
      </c>
      <c r="AN223" s="3">
        <v>0.6</v>
      </c>
      <c r="AO223" s="3">
        <v>0.5</v>
      </c>
      <c r="AP223" s="6">
        <v>984.19201699999996</v>
      </c>
      <c r="AQ223" s="3">
        <v>1.7999999999999999E-2</v>
      </c>
      <c r="AS223" s="3" t="s">
        <v>145</v>
      </c>
      <c r="AT223" s="3">
        <v>0.52</v>
      </c>
      <c r="AU223" s="7">
        <v>994.95056199999999</v>
      </c>
      <c r="AV223" s="3">
        <v>2E-3</v>
      </c>
      <c r="AW223" s="3">
        <f t="shared" si="26"/>
        <v>0.51</v>
      </c>
      <c r="AX223" s="5"/>
      <c r="AY223" s="5"/>
      <c r="AZ223" s="5"/>
      <c r="BA223" s="5"/>
      <c r="BC223" s="3" t="s">
        <v>145</v>
      </c>
      <c r="BD223" s="3">
        <v>0.9</v>
      </c>
      <c r="BE223" s="3">
        <v>0.5</v>
      </c>
      <c r="BF223" s="3">
        <v>0.6</v>
      </c>
      <c r="BG223" s="3">
        <v>0.75</v>
      </c>
      <c r="BH223" s="6">
        <v>1004.633545</v>
      </c>
      <c r="BI223" s="3">
        <v>2.5999999999999999E-2</v>
      </c>
      <c r="BK223" s="3" t="s">
        <v>145</v>
      </c>
      <c r="BL223" s="3">
        <v>0.89</v>
      </c>
      <c r="BM223" s="7">
        <v>1015.990417</v>
      </c>
      <c r="BN223" s="3">
        <v>3.0000000000000001E-3</v>
      </c>
      <c r="BO223" s="3">
        <f t="shared" si="27"/>
        <v>0.82000000000000006</v>
      </c>
    </row>
    <row r="224" spans="1:71" x14ac:dyDescent="0.3">
      <c r="A224" s="3" t="s">
        <v>146</v>
      </c>
      <c r="B224" s="3">
        <v>0.9</v>
      </c>
      <c r="C224" s="3">
        <v>0.5</v>
      </c>
      <c r="D224" s="3">
        <v>0.6</v>
      </c>
      <c r="E224" s="3">
        <v>0.83</v>
      </c>
      <c r="F224" s="7">
        <v>623.07153300000004</v>
      </c>
      <c r="G224" s="3">
        <v>1.2E-2</v>
      </c>
      <c r="I224" s="3" t="s">
        <v>146</v>
      </c>
      <c r="J224" s="3">
        <v>0.67</v>
      </c>
      <c r="K224" s="6">
        <v>599.51452600000005</v>
      </c>
      <c r="L224" s="3">
        <v>4.0000000000000001E-3</v>
      </c>
      <c r="M224" s="3">
        <f t="shared" si="24"/>
        <v>0.75</v>
      </c>
      <c r="N224" s="5"/>
      <c r="O224" s="5"/>
      <c r="P224" s="5"/>
      <c r="Q224" s="5"/>
      <c r="S224" s="3" t="s">
        <v>146</v>
      </c>
      <c r="T224" s="3">
        <v>0.9</v>
      </c>
      <c r="U224" s="3">
        <v>0.5</v>
      </c>
      <c r="V224" s="3">
        <v>0.6</v>
      </c>
      <c r="W224" s="3">
        <v>0.32</v>
      </c>
      <c r="X224" s="6">
        <v>486.22427399999998</v>
      </c>
      <c r="Y224" s="3">
        <v>1.2E-2</v>
      </c>
      <c r="AA224" s="3" t="s">
        <v>146</v>
      </c>
      <c r="AB224" s="3">
        <v>0.38</v>
      </c>
      <c r="AC224" s="6">
        <v>486.22427399999998</v>
      </c>
      <c r="AD224" s="3">
        <v>2E-3</v>
      </c>
      <c r="AE224" s="3">
        <f t="shared" si="25"/>
        <v>0.35</v>
      </c>
      <c r="AF224" s="5"/>
      <c r="AG224" s="5"/>
      <c r="AH224" s="5"/>
      <c r="AI224" s="5"/>
      <c r="AK224" s="3" t="s">
        <v>147</v>
      </c>
      <c r="AL224" s="3">
        <v>0.9</v>
      </c>
      <c r="AM224" s="3">
        <v>0.5</v>
      </c>
      <c r="AN224" s="3">
        <v>0.6</v>
      </c>
      <c r="AO224" s="3">
        <v>0.98</v>
      </c>
      <c r="AP224" s="7">
        <v>1036.6354980000001</v>
      </c>
      <c r="AQ224" s="3">
        <v>1.4E-2</v>
      </c>
      <c r="AS224" s="3" t="s">
        <v>147</v>
      </c>
      <c r="AT224" s="3">
        <v>0.61</v>
      </c>
      <c r="AU224" s="6">
        <v>993.77752699999996</v>
      </c>
      <c r="AV224" s="3">
        <v>1E-3</v>
      </c>
      <c r="AW224" s="3">
        <f t="shared" si="26"/>
        <v>0.79499999999999993</v>
      </c>
      <c r="AX224" s="5"/>
      <c r="AY224" s="5"/>
      <c r="AZ224" s="5"/>
      <c r="BA224" s="5"/>
      <c r="BC224" s="3" t="s">
        <v>147</v>
      </c>
      <c r="BD224" s="3">
        <v>0.9</v>
      </c>
      <c r="BE224" s="3">
        <v>0.5</v>
      </c>
      <c r="BF224" s="3">
        <v>0.6</v>
      </c>
      <c r="BG224" s="3">
        <v>0.99</v>
      </c>
      <c r="BH224" s="7">
        <v>989.96929899999998</v>
      </c>
      <c r="BI224" s="3">
        <v>3.3000000000000002E-2</v>
      </c>
      <c r="BK224" s="3" t="s">
        <v>147</v>
      </c>
      <c r="BL224" s="3">
        <v>0.85</v>
      </c>
      <c r="BM224" s="6">
        <v>972.944885</v>
      </c>
      <c r="BN224" s="3">
        <v>3.0000000000000001E-3</v>
      </c>
      <c r="BO224" s="3">
        <f t="shared" si="27"/>
        <v>0.91999999999999993</v>
      </c>
    </row>
    <row r="225" spans="1:67" x14ac:dyDescent="0.3">
      <c r="A225" s="3" t="s">
        <v>148</v>
      </c>
      <c r="B225" s="3">
        <v>0.9</v>
      </c>
      <c r="C225" s="3">
        <v>0.5</v>
      </c>
      <c r="D225" s="3">
        <v>0.6</v>
      </c>
      <c r="E225" s="3">
        <v>0.55000000000000004</v>
      </c>
      <c r="F225" s="6">
        <v>650.90686000000005</v>
      </c>
      <c r="G225" s="3">
        <v>1.4E-2</v>
      </c>
      <c r="I225" s="3" t="s">
        <v>148</v>
      </c>
      <c r="J225" s="3">
        <v>0.76</v>
      </c>
      <c r="K225" s="7">
        <v>668.91815199999996</v>
      </c>
      <c r="L225" s="3">
        <v>1E-3</v>
      </c>
      <c r="M225" s="3">
        <f t="shared" si="24"/>
        <v>0.65500000000000003</v>
      </c>
      <c r="N225" s="5"/>
      <c r="O225" s="5"/>
      <c r="P225" s="5"/>
      <c r="Q225" s="5"/>
      <c r="S225" s="3" t="s">
        <v>148</v>
      </c>
      <c r="T225" s="3">
        <v>0.9</v>
      </c>
      <c r="U225" s="3">
        <v>0.5</v>
      </c>
      <c r="V225" s="3">
        <v>0.6</v>
      </c>
      <c r="W225" s="3">
        <v>0.13</v>
      </c>
      <c r="X225" s="6">
        <v>500.84716800000001</v>
      </c>
      <c r="Y225" s="3">
        <v>8.9999999999999993E-3</v>
      </c>
      <c r="AA225" s="3" t="s">
        <v>148</v>
      </c>
      <c r="AB225" s="3">
        <v>0.43</v>
      </c>
      <c r="AC225" s="7">
        <v>601.11608899999999</v>
      </c>
      <c r="AD225" s="3">
        <v>0</v>
      </c>
      <c r="AE225" s="3">
        <f t="shared" si="25"/>
        <v>0.28000000000000003</v>
      </c>
      <c r="AF225" s="5"/>
      <c r="AG225" s="5"/>
      <c r="AH225" s="5"/>
      <c r="AI225" s="5"/>
      <c r="AK225" s="3" t="s">
        <v>149</v>
      </c>
      <c r="AL225" s="3">
        <v>0.9</v>
      </c>
      <c r="AM225" s="3">
        <v>0.5</v>
      </c>
      <c r="AN225" s="3">
        <v>0.6</v>
      </c>
      <c r="AO225" s="3">
        <v>0.83</v>
      </c>
      <c r="AP225" s="6">
        <v>985.15521200000001</v>
      </c>
      <c r="AQ225" s="3">
        <v>2.4E-2</v>
      </c>
      <c r="AS225" s="3" t="s">
        <v>149</v>
      </c>
      <c r="AT225" s="3">
        <v>0.72</v>
      </c>
      <c r="AU225" s="7">
        <v>986.43237299999998</v>
      </c>
      <c r="AV225" s="3">
        <v>1E-3</v>
      </c>
      <c r="AW225" s="3">
        <f t="shared" si="26"/>
        <v>0.77499999999999991</v>
      </c>
      <c r="AX225" s="5"/>
      <c r="AY225" s="5"/>
      <c r="AZ225" s="5"/>
      <c r="BA225" s="5"/>
      <c r="BC225" s="3" t="s">
        <v>149</v>
      </c>
      <c r="BD225" s="3">
        <v>0.9</v>
      </c>
      <c r="BE225" s="3">
        <v>0.5</v>
      </c>
      <c r="BF225" s="3">
        <v>0.6</v>
      </c>
      <c r="BG225" s="3">
        <v>0.32</v>
      </c>
      <c r="BH225" s="6">
        <v>844.99890100000005</v>
      </c>
      <c r="BI225" s="3">
        <v>1.7999999999999999E-2</v>
      </c>
      <c r="BK225" s="3" t="s">
        <v>149</v>
      </c>
      <c r="BL225" s="3">
        <v>0.5</v>
      </c>
      <c r="BM225" s="7">
        <v>896.83136000000002</v>
      </c>
      <c r="BN225" s="3">
        <v>0</v>
      </c>
      <c r="BO225" s="3">
        <f t="shared" si="27"/>
        <v>0.41000000000000003</v>
      </c>
    </row>
    <row r="226" spans="1:67" x14ac:dyDescent="0.3">
      <c r="A226" s="3" t="s">
        <v>150</v>
      </c>
      <c r="B226" s="3">
        <v>0.9</v>
      </c>
      <c r="C226" s="3">
        <v>0.5</v>
      </c>
      <c r="D226" s="3">
        <v>0.6</v>
      </c>
      <c r="E226" s="3">
        <v>0.26</v>
      </c>
      <c r="F226" s="6">
        <v>539.45971699999996</v>
      </c>
      <c r="G226" s="3">
        <v>2.4E-2</v>
      </c>
      <c r="I226" s="3" t="s">
        <v>150</v>
      </c>
      <c r="J226" s="3">
        <v>0.33</v>
      </c>
      <c r="K226" s="7">
        <v>549.078125</v>
      </c>
      <c r="L226" s="3">
        <v>3.0000000000000001E-3</v>
      </c>
      <c r="M226" s="3">
        <f t="shared" si="24"/>
        <v>0.29500000000000004</v>
      </c>
      <c r="N226" s="5"/>
      <c r="O226" s="5"/>
      <c r="P226" s="5"/>
      <c r="Q226" s="5"/>
      <c r="S226" s="3" t="s">
        <v>150</v>
      </c>
      <c r="T226" s="3">
        <v>0.9</v>
      </c>
      <c r="U226" s="3">
        <v>0.5</v>
      </c>
      <c r="V226" s="3">
        <v>0.6</v>
      </c>
      <c r="W226" s="3">
        <v>0.74</v>
      </c>
      <c r="X226" s="7">
        <v>596.15325900000005</v>
      </c>
      <c r="Y226" s="3">
        <v>1.2E-2</v>
      </c>
      <c r="AA226" s="3" t="s">
        <v>150</v>
      </c>
      <c r="AB226" s="3">
        <v>0.55000000000000004</v>
      </c>
      <c r="AC226" s="6">
        <v>537.20794699999999</v>
      </c>
      <c r="AD226" s="3">
        <v>1E-3</v>
      </c>
      <c r="AE226" s="3">
        <f t="shared" si="25"/>
        <v>0.64500000000000002</v>
      </c>
      <c r="AF226" s="5"/>
      <c r="AG226" s="5"/>
      <c r="AH226" s="5"/>
      <c r="AI226" s="5"/>
      <c r="AK226" s="3" t="s">
        <v>151</v>
      </c>
      <c r="AL226" s="3">
        <v>0.9</v>
      </c>
      <c r="AM226" s="3">
        <v>0.5</v>
      </c>
      <c r="AN226" s="3">
        <v>0.6</v>
      </c>
      <c r="AO226" s="3">
        <v>0.02</v>
      </c>
      <c r="AP226" s="7">
        <v>691.52972399999999</v>
      </c>
      <c r="AQ226" s="3">
        <v>2.1999999999999999E-2</v>
      </c>
      <c r="AS226" s="3" t="s">
        <v>151</v>
      </c>
      <c r="AT226" s="3">
        <v>0.72</v>
      </c>
      <c r="AU226" s="6">
        <v>958.50372300000004</v>
      </c>
      <c r="AV226" s="3">
        <v>6.0000000000000001E-3</v>
      </c>
      <c r="AW226" s="3">
        <f t="shared" si="26"/>
        <v>0.37</v>
      </c>
      <c r="AX226" s="5"/>
      <c r="AY226" s="5"/>
      <c r="AZ226" s="5"/>
      <c r="BA226" s="5"/>
      <c r="BC226" s="3" t="s">
        <v>151</v>
      </c>
      <c r="BD226" s="3">
        <v>0.9</v>
      </c>
      <c r="BE226" s="3">
        <v>0.5</v>
      </c>
      <c r="BF226" s="3">
        <v>0.6</v>
      </c>
      <c r="BG226" s="3">
        <v>0.82</v>
      </c>
      <c r="BH226" s="7">
        <v>896.35540800000001</v>
      </c>
      <c r="BI226" s="3">
        <v>2.8000000000000001E-2</v>
      </c>
      <c r="BK226" s="3" t="s">
        <v>151</v>
      </c>
      <c r="BL226" s="3">
        <v>0.8</v>
      </c>
      <c r="BM226" s="6">
        <v>892.93603499999995</v>
      </c>
      <c r="BN226" s="3">
        <v>4.0000000000000001E-3</v>
      </c>
      <c r="BO226" s="3">
        <f t="shared" si="27"/>
        <v>0.81</v>
      </c>
    </row>
    <row r="227" spans="1:67" x14ac:dyDescent="0.3">
      <c r="A227" s="3" t="s">
        <v>152</v>
      </c>
      <c r="B227" s="3">
        <v>0.9</v>
      </c>
      <c r="C227" s="3">
        <v>0.5</v>
      </c>
      <c r="D227" s="3">
        <v>0.6</v>
      </c>
      <c r="E227" s="3">
        <v>0.7</v>
      </c>
      <c r="F227" s="6">
        <v>633.68743900000004</v>
      </c>
      <c r="G227" s="3">
        <v>1.6E-2</v>
      </c>
      <c r="I227" s="3" t="s">
        <v>152</v>
      </c>
      <c r="J227" s="3">
        <v>0.83</v>
      </c>
      <c r="K227" s="7">
        <v>660.37182600000006</v>
      </c>
      <c r="L227" s="3">
        <v>1E-3</v>
      </c>
      <c r="M227" s="3">
        <f t="shared" si="24"/>
        <v>0.7649999999999999</v>
      </c>
      <c r="N227" s="5"/>
      <c r="O227" s="5"/>
      <c r="P227" s="5"/>
      <c r="Q227" s="5"/>
      <c r="S227" s="3" t="s">
        <v>152</v>
      </c>
      <c r="T227" s="3">
        <v>0.9</v>
      </c>
      <c r="U227" s="3">
        <v>0.5</v>
      </c>
      <c r="V227" s="3">
        <v>0.6</v>
      </c>
      <c r="W227" s="3">
        <v>0.67</v>
      </c>
      <c r="X227" s="7">
        <v>615.50964399999998</v>
      </c>
      <c r="Y227" s="3">
        <v>2.5000000000000001E-2</v>
      </c>
      <c r="AA227" s="3" t="s">
        <v>152</v>
      </c>
      <c r="AB227" s="3">
        <v>0.51</v>
      </c>
      <c r="AC227" s="6">
        <v>606.068848</v>
      </c>
      <c r="AD227" s="3">
        <v>0</v>
      </c>
      <c r="AE227" s="3">
        <f t="shared" si="25"/>
        <v>0.59000000000000008</v>
      </c>
      <c r="AF227" s="5"/>
      <c r="AG227" s="5"/>
      <c r="AH227" s="5"/>
      <c r="AI227" s="5"/>
      <c r="AK227" s="3" t="s">
        <v>153</v>
      </c>
      <c r="AL227" s="3">
        <v>0.9</v>
      </c>
      <c r="AM227" s="3">
        <v>0.5</v>
      </c>
      <c r="AN227" s="3">
        <v>0.6</v>
      </c>
      <c r="AO227" s="3">
        <v>0.84</v>
      </c>
      <c r="AP227" s="7">
        <v>1042.763062</v>
      </c>
      <c r="AQ227" s="3">
        <v>1.7000000000000001E-2</v>
      </c>
      <c r="AS227" s="3" t="s">
        <v>153</v>
      </c>
      <c r="AT227" s="3">
        <v>0.31</v>
      </c>
      <c r="AU227" s="6">
        <v>880.58618200000001</v>
      </c>
      <c r="AV227" s="3">
        <v>4.0000000000000001E-3</v>
      </c>
      <c r="AW227" s="3">
        <f t="shared" si="26"/>
        <v>0.57499999999999996</v>
      </c>
      <c r="AX227" s="5"/>
      <c r="AY227" s="5"/>
      <c r="AZ227" s="5"/>
      <c r="BA227" s="5"/>
      <c r="BC227" s="3" t="s">
        <v>153</v>
      </c>
      <c r="BD227" s="3">
        <v>0.9</v>
      </c>
      <c r="BE227" s="3">
        <v>0.5</v>
      </c>
      <c r="BF227" s="3">
        <v>0.6</v>
      </c>
      <c r="BG227" s="3">
        <v>0.05</v>
      </c>
      <c r="BH227" s="6">
        <v>703.79400599999997</v>
      </c>
      <c r="BI227" s="3">
        <v>3.5000000000000003E-2</v>
      </c>
      <c r="BK227" s="3" t="s">
        <v>153</v>
      </c>
      <c r="BL227" s="3">
        <v>0.85</v>
      </c>
      <c r="BM227" s="7">
        <v>995.80664100000001</v>
      </c>
      <c r="BN227" s="3">
        <v>1.2E-2</v>
      </c>
      <c r="BO227" s="3">
        <f t="shared" si="27"/>
        <v>0.45</v>
      </c>
    </row>
    <row r="228" spans="1:67" x14ac:dyDescent="0.3">
      <c r="A228" s="3" t="s">
        <v>154</v>
      </c>
      <c r="B228" s="3">
        <v>0.9</v>
      </c>
      <c r="C228" s="3">
        <v>0.5</v>
      </c>
      <c r="D228" s="3">
        <v>0.6</v>
      </c>
      <c r="E228" s="3">
        <v>0.34</v>
      </c>
      <c r="F228" s="7">
        <v>625.53698699999995</v>
      </c>
      <c r="G228" s="3">
        <v>1.6E-2</v>
      </c>
      <c r="I228" s="3" t="s">
        <v>154</v>
      </c>
      <c r="J228" s="3">
        <v>0.31</v>
      </c>
      <c r="K228" s="6">
        <v>618.01855499999999</v>
      </c>
      <c r="L228" s="3">
        <v>3.0000000000000001E-3</v>
      </c>
      <c r="M228" s="3">
        <f t="shared" si="24"/>
        <v>0.32500000000000001</v>
      </c>
      <c r="N228" s="5"/>
      <c r="O228" s="5"/>
      <c r="P228" s="5"/>
      <c r="Q228" s="5"/>
      <c r="S228" s="3" t="s">
        <v>154</v>
      </c>
      <c r="T228" s="3">
        <v>0.9</v>
      </c>
      <c r="U228" s="3">
        <v>0.5</v>
      </c>
      <c r="V228" s="3">
        <v>0.6</v>
      </c>
      <c r="W228" s="3">
        <v>0.86</v>
      </c>
      <c r="X228" s="6">
        <v>670.85522500000002</v>
      </c>
      <c r="Y228" s="3">
        <v>2.4E-2</v>
      </c>
      <c r="AA228" s="3" t="s">
        <v>154</v>
      </c>
      <c r="AB228" s="3">
        <v>0.91</v>
      </c>
      <c r="AC228" s="7">
        <v>684.03845200000001</v>
      </c>
      <c r="AD228" s="3">
        <v>1E-3</v>
      </c>
      <c r="AE228" s="3">
        <f t="shared" si="25"/>
        <v>0.88500000000000001</v>
      </c>
      <c r="AF228" s="5"/>
      <c r="AG228" s="5"/>
      <c r="AH228" s="5"/>
      <c r="AI228" s="5"/>
      <c r="AK228" s="3" t="s">
        <v>155</v>
      </c>
      <c r="AL228" s="3">
        <v>0.9</v>
      </c>
      <c r="AM228" s="3">
        <v>0.5</v>
      </c>
      <c r="AN228" s="3">
        <v>0.6</v>
      </c>
      <c r="AO228" s="3">
        <v>0.2</v>
      </c>
      <c r="AP228" s="6">
        <v>1047.9879149999999</v>
      </c>
      <c r="AQ228" s="3">
        <v>2.1999999999999999E-2</v>
      </c>
      <c r="AS228" s="3" t="s">
        <v>155</v>
      </c>
      <c r="AT228" s="3">
        <v>0.54</v>
      </c>
      <c r="AU228" s="7">
        <v>1207.512817</v>
      </c>
      <c r="AV228" s="3">
        <v>7.0000000000000001E-3</v>
      </c>
      <c r="AW228" s="3">
        <f t="shared" si="26"/>
        <v>0.37</v>
      </c>
      <c r="AX228" s="5"/>
      <c r="AY228" s="5"/>
      <c r="AZ228" s="5"/>
      <c r="BA228" s="5"/>
      <c r="BC228" s="3" t="s">
        <v>155</v>
      </c>
      <c r="BD228" s="3">
        <v>0.9</v>
      </c>
      <c r="BE228" s="3">
        <v>0.5</v>
      </c>
      <c r="BF228" s="3">
        <v>0.6</v>
      </c>
      <c r="BG228" s="3">
        <v>0.05</v>
      </c>
      <c r="BH228" s="6">
        <v>936.830872</v>
      </c>
      <c r="BI228" s="3">
        <v>0.02</v>
      </c>
      <c r="BK228" s="3" t="s">
        <v>155</v>
      </c>
      <c r="BL228" s="3">
        <v>0.72</v>
      </c>
      <c r="BM228" s="7">
        <v>1269.4079589999999</v>
      </c>
      <c r="BN228" s="3">
        <v>4.0000000000000001E-3</v>
      </c>
      <c r="BO228" s="3">
        <f t="shared" si="27"/>
        <v>0.38500000000000001</v>
      </c>
    </row>
    <row r="229" spans="1:67" x14ac:dyDescent="0.3">
      <c r="A229" s="3" t="s">
        <v>156</v>
      </c>
      <c r="B229" s="3">
        <v>0.9</v>
      </c>
      <c r="C229" s="3">
        <v>0.5</v>
      </c>
      <c r="D229" s="3">
        <v>0.6</v>
      </c>
      <c r="E229" s="3">
        <v>0.28000000000000003</v>
      </c>
      <c r="F229" s="6">
        <v>663.03710899999999</v>
      </c>
      <c r="G229" s="3">
        <v>6.0000000000000001E-3</v>
      </c>
      <c r="I229" s="3" t="s">
        <v>156</v>
      </c>
      <c r="J229" s="3">
        <v>0.35</v>
      </c>
      <c r="K229" s="7">
        <v>679.10919200000001</v>
      </c>
      <c r="L229" s="3">
        <v>1E-3</v>
      </c>
      <c r="M229" s="3">
        <f t="shared" si="24"/>
        <v>0.315</v>
      </c>
      <c r="N229" s="5"/>
      <c r="O229" s="5"/>
      <c r="P229" s="5"/>
      <c r="Q229" s="5"/>
      <c r="S229" s="3" t="s">
        <v>156</v>
      </c>
      <c r="T229" s="3">
        <v>0.9</v>
      </c>
      <c r="U229" s="3">
        <v>0.5</v>
      </c>
      <c r="V229" s="3">
        <v>0.6</v>
      </c>
      <c r="W229" s="3">
        <v>0.99</v>
      </c>
      <c r="X229" s="7">
        <v>738.89019800000005</v>
      </c>
      <c r="Y229" s="3">
        <v>0.02</v>
      </c>
      <c r="AA229" s="3" t="s">
        <v>156</v>
      </c>
      <c r="AB229" s="3">
        <v>0.34</v>
      </c>
      <c r="AC229" s="6">
        <v>656.24761999999998</v>
      </c>
      <c r="AD229" s="3">
        <v>6.0000000000000001E-3</v>
      </c>
      <c r="AE229" s="3">
        <f t="shared" si="25"/>
        <v>0.66500000000000004</v>
      </c>
      <c r="AF229" s="5"/>
      <c r="AG229" s="5"/>
      <c r="AH229" s="5"/>
      <c r="AI229" s="5"/>
      <c r="AK229" s="3" t="s">
        <v>157</v>
      </c>
      <c r="AL229" s="3">
        <v>0.9</v>
      </c>
      <c r="AM229" s="3">
        <v>0.5</v>
      </c>
      <c r="AN229" s="3">
        <v>0.6</v>
      </c>
      <c r="AO229" s="3">
        <v>0.49</v>
      </c>
      <c r="AP229" s="7">
        <v>1124.1176760000001</v>
      </c>
      <c r="AQ229" s="3">
        <v>0.02</v>
      </c>
      <c r="AS229" s="3" t="s">
        <v>157</v>
      </c>
      <c r="AT229" s="3">
        <v>0.16</v>
      </c>
      <c r="AU229" s="6">
        <v>917.96343999999999</v>
      </c>
      <c r="AV229" s="3">
        <v>2E-3</v>
      </c>
      <c r="AW229" s="3">
        <f t="shared" si="26"/>
        <v>0.32500000000000001</v>
      </c>
      <c r="AX229" s="5"/>
      <c r="AY229" s="5"/>
      <c r="AZ229" s="5"/>
      <c r="BA229" s="5"/>
      <c r="BC229" s="3" t="s">
        <v>157</v>
      </c>
      <c r="BD229" s="3">
        <v>0.9</v>
      </c>
      <c r="BE229" s="3">
        <v>0.5</v>
      </c>
      <c r="BF229" s="3">
        <v>0.6</v>
      </c>
      <c r="BG229" s="3">
        <v>0.42</v>
      </c>
      <c r="BH229" s="6">
        <v>1056.4490969999999</v>
      </c>
      <c r="BI229" s="3">
        <v>3.5000000000000003E-2</v>
      </c>
      <c r="BK229" s="3" t="s">
        <v>157</v>
      </c>
      <c r="BL229" s="3">
        <v>0.86</v>
      </c>
      <c r="BM229" s="7">
        <v>1254.6094969999999</v>
      </c>
      <c r="BN229" s="3">
        <v>2E-3</v>
      </c>
      <c r="BO229" s="3">
        <f t="shared" si="27"/>
        <v>0.64</v>
      </c>
    </row>
    <row r="230" spans="1:67" x14ac:dyDescent="0.3">
      <c r="A230" s="3" t="s">
        <v>158</v>
      </c>
      <c r="B230" s="3">
        <v>0.9</v>
      </c>
      <c r="C230" s="3">
        <v>0.5</v>
      </c>
      <c r="D230" s="3">
        <v>0.6</v>
      </c>
      <c r="E230" s="3">
        <v>0.7</v>
      </c>
      <c r="F230" s="7">
        <v>743.25122099999999</v>
      </c>
      <c r="G230" s="3">
        <v>1.4999999999999999E-2</v>
      </c>
      <c r="I230" s="3" t="s">
        <v>158</v>
      </c>
      <c r="J230" s="3">
        <v>0.25</v>
      </c>
      <c r="K230" s="6">
        <v>647.74786400000005</v>
      </c>
      <c r="L230" s="3">
        <v>1E-3</v>
      </c>
      <c r="M230" s="3">
        <f t="shared" si="24"/>
        <v>0.47499999999999998</v>
      </c>
      <c r="N230" s="5"/>
      <c r="O230" s="5"/>
      <c r="P230" s="5"/>
      <c r="Q230" s="5"/>
      <c r="S230" s="3" t="s">
        <v>158</v>
      </c>
      <c r="T230" s="3">
        <v>0.9</v>
      </c>
      <c r="U230" s="3">
        <v>0.5</v>
      </c>
      <c r="V230" s="3">
        <v>0.6</v>
      </c>
      <c r="W230" s="3">
        <v>0.41</v>
      </c>
      <c r="X230" s="6">
        <v>654.149902</v>
      </c>
      <c r="Y230" s="3">
        <v>8.9999999999999993E-3</v>
      </c>
      <c r="AA230" s="3" t="s">
        <v>158</v>
      </c>
      <c r="AB230" s="3">
        <v>0.48</v>
      </c>
      <c r="AC230" s="7">
        <v>699.64306599999998</v>
      </c>
      <c r="AD230" s="3">
        <v>0</v>
      </c>
      <c r="AE230" s="3">
        <f t="shared" si="25"/>
        <v>0.44499999999999995</v>
      </c>
      <c r="AF230" s="5"/>
      <c r="AG230" s="5"/>
      <c r="AH230" s="5"/>
      <c r="AI230" s="5"/>
      <c r="AK230" s="3" t="s">
        <v>159</v>
      </c>
      <c r="AL230" s="3">
        <v>0.9</v>
      </c>
      <c r="AM230" s="3">
        <v>0.5</v>
      </c>
      <c r="AN230" s="3">
        <v>0.6</v>
      </c>
      <c r="AO230" s="3">
        <v>0.72</v>
      </c>
      <c r="AP230" s="6">
        <v>1144.2230219999999</v>
      </c>
      <c r="AQ230" s="3">
        <v>2.5000000000000001E-2</v>
      </c>
      <c r="AS230" s="3" t="s">
        <v>159</v>
      </c>
      <c r="AT230" s="3">
        <v>0.88</v>
      </c>
      <c r="AU230" s="7">
        <v>1225.537842</v>
      </c>
      <c r="AV230" s="3">
        <v>3.0000000000000001E-3</v>
      </c>
      <c r="AW230" s="3">
        <f t="shared" si="26"/>
        <v>0.8</v>
      </c>
      <c r="AX230" s="5"/>
      <c r="AY230" s="5"/>
      <c r="AZ230" s="5"/>
      <c r="BA230" s="5"/>
      <c r="BC230" s="3" t="s">
        <v>159</v>
      </c>
      <c r="BD230" s="3">
        <v>0.9</v>
      </c>
      <c r="BE230" s="3">
        <v>0.5</v>
      </c>
      <c r="BF230" s="3">
        <v>0.6</v>
      </c>
      <c r="BG230" s="3">
        <v>0.65</v>
      </c>
      <c r="BH230" s="7">
        <v>1121.5742190000001</v>
      </c>
      <c r="BI230" s="3">
        <v>3.2000000000000001E-2</v>
      </c>
      <c r="BK230" s="3" t="s">
        <v>159</v>
      </c>
      <c r="BL230" s="3">
        <v>0.49</v>
      </c>
      <c r="BM230" s="6">
        <v>1047.837769</v>
      </c>
      <c r="BN230" s="3">
        <v>2E-3</v>
      </c>
      <c r="BO230" s="3">
        <f t="shared" si="27"/>
        <v>0.57000000000000006</v>
      </c>
    </row>
    <row r="231" spans="1:67" x14ac:dyDescent="0.3">
      <c r="A231" s="3" t="s">
        <v>160</v>
      </c>
      <c r="B231" s="3">
        <v>0.9</v>
      </c>
      <c r="C231" s="3">
        <v>0.5</v>
      </c>
      <c r="D231" s="3">
        <v>0.6</v>
      </c>
      <c r="E231" s="3">
        <v>0.42</v>
      </c>
      <c r="F231" s="7">
        <v>618.08953899999995</v>
      </c>
      <c r="G231" s="3">
        <v>1.2999999999999999E-2</v>
      </c>
      <c r="I231" s="3" t="s">
        <v>160</v>
      </c>
      <c r="J231" s="3">
        <v>0.04</v>
      </c>
      <c r="K231" s="6">
        <v>575.55908199999999</v>
      </c>
      <c r="L231" s="3">
        <v>8.0000000000000002E-3</v>
      </c>
      <c r="M231" s="3">
        <f t="shared" si="24"/>
        <v>0.22999999999999998</v>
      </c>
      <c r="N231" s="5"/>
      <c r="O231" s="5"/>
      <c r="P231" s="5"/>
      <c r="Q231" s="5"/>
      <c r="S231" s="3" t="s">
        <v>160</v>
      </c>
      <c r="T231" s="3">
        <v>0.9</v>
      </c>
      <c r="U231" s="3">
        <v>0.5</v>
      </c>
      <c r="V231" s="3">
        <v>0.6</v>
      </c>
      <c r="W231" s="3">
        <v>0.01</v>
      </c>
      <c r="X231" s="6">
        <v>525.25579800000003</v>
      </c>
      <c r="Y231" s="3">
        <v>1.0999999999999999E-2</v>
      </c>
      <c r="AA231" s="3" t="s">
        <v>160</v>
      </c>
      <c r="AB231" s="3">
        <v>0.41</v>
      </c>
      <c r="AC231" s="7">
        <v>599.402649</v>
      </c>
      <c r="AD231" s="3">
        <v>4.0000000000000001E-3</v>
      </c>
      <c r="AE231" s="3">
        <f t="shared" si="25"/>
        <v>0.21</v>
      </c>
      <c r="AF231" s="5"/>
      <c r="AG231" s="5"/>
      <c r="AH231" s="5"/>
      <c r="AI231" s="5"/>
      <c r="AK231" s="3" t="s">
        <v>161</v>
      </c>
      <c r="AL231" s="3">
        <v>0.9</v>
      </c>
      <c r="AM231" s="3">
        <v>0.5</v>
      </c>
      <c r="AN231" s="3">
        <v>0.6</v>
      </c>
      <c r="AO231" s="3">
        <v>0.35</v>
      </c>
      <c r="AP231" s="6">
        <v>1041.4854740000001</v>
      </c>
      <c r="AQ231" s="3">
        <v>2.1999999999999999E-2</v>
      </c>
      <c r="AS231" s="3" t="s">
        <v>161</v>
      </c>
      <c r="AT231" s="3">
        <v>0.93</v>
      </c>
      <c r="AU231" s="7">
        <v>1194.771606</v>
      </c>
      <c r="AV231" s="3">
        <v>4.0000000000000001E-3</v>
      </c>
      <c r="AW231" s="3">
        <f t="shared" si="26"/>
        <v>0.64</v>
      </c>
      <c r="AX231" s="5"/>
      <c r="AY231" s="5"/>
      <c r="AZ231" s="5"/>
      <c r="BA231" s="5"/>
      <c r="BC231" s="3" t="s">
        <v>161</v>
      </c>
      <c r="BD231" s="3">
        <v>0.9</v>
      </c>
      <c r="BE231" s="3">
        <v>0.5</v>
      </c>
      <c r="BF231" s="3">
        <v>0.6</v>
      </c>
      <c r="BG231" s="3">
        <v>7.0000000000000007E-2</v>
      </c>
      <c r="BH231" s="6">
        <v>833.66992200000004</v>
      </c>
      <c r="BI231" s="3">
        <v>2.8000000000000001E-2</v>
      </c>
      <c r="BK231" s="3" t="s">
        <v>161</v>
      </c>
      <c r="BL231" s="3">
        <v>0.11</v>
      </c>
      <c r="BM231" s="7">
        <v>883.15832499999999</v>
      </c>
      <c r="BN231" s="3">
        <v>2E-3</v>
      </c>
      <c r="BO231" s="3">
        <f t="shared" si="27"/>
        <v>0.09</v>
      </c>
    </row>
    <row r="232" spans="1:67" x14ac:dyDescent="0.3">
      <c r="A232" s="3" t="s">
        <v>162</v>
      </c>
      <c r="B232" s="3">
        <v>0.9</v>
      </c>
      <c r="C232" s="3">
        <v>0.5</v>
      </c>
      <c r="D232" s="3">
        <v>0.6</v>
      </c>
      <c r="E232" s="3">
        <v>0.05</v>
      </c>
      <c r="F232" s="6">
        <v>550.11425799999995</v>
      </c>
      <c r="G232" s="3">
        <v>1.7999999999999999E-2</v>
      </c>
      <c r="I232" s="3" t="s">
        <v>162</v>
      </c>
      <c r="J232" s="3">
        <v>0.66</v>
      </c>
      <c r="K232" s="7">
        <v>680.42224099999999</v>
      </c>
      <c r="L232" s="3">
        <v>4.0000000000000001E-3</v>
      </c>
      <c r="M232" s="3">
        <f t="shared" si="24"/>
        <v>0.35500000000000004</v>
      </c>
      <c r="N232" s="5"/>
      <c r="O232" s="5"/>
      <c r="P232" s="5"/>
      <c r="Q232" s="5"/>
      <c r="S232" s="3" t="s">
        <v>162</v>
      </c>
      <c r="T232" s="3">
        <v>0.9</v>
      </c>
      <c r="U232" s="3">
        <v>0.5</v>
      </c>
      <c r="V232" s="3">
        <v>0.6</v>
      </c>
      <c r="W232" s="3">
        <v>0.15</v>
      </c>
      <c r="X232" s="6">
        <v>561.28344700000002</v>
      </c>
      <c r="Y232" s="3">
        <v>6.0000000000000001E-3</v>
      </c>
      <c r="AA232" s="3" t="s">
        <v>162</v>
      </c>
      <c r="AB232" s="3">
        <v>0.94</v>
      </c>
      <c r="AC232" s="7">
        <v>742.40734899999995</v>
      </c>
      <c r="AD232" s="3">
        <v>1E-3</v>
      </c>
      <c r="AE232" s="3">
        <f t="shared" si="25"/>
        <v>0.54499999999999993</v>
      </c>
      <c r="AF232" s="5"/>
      <c r="AG232" s="5"/>
      <c r="AH232" s="5"/>
      <c r="AI232" s="5"/>
      <c r="AK232" s="3" t="s">
        <v>163</v>
      </c>
      <c r="AL232" s="3">
        <v>0.9</v>
      </c>
      <c r="AM232" s="3">
        <v>0.5</v>
      </c>
      <c r="AN232" s="3">
        <v>0.6</v>
      </c>
      <c r="AO232" s="3">
        <v>0.39</v>
      </c>
      <c r="AP232" s="6">
        <v>1074.0466309999999</v>
      </c>
      <c r="AQ232" s="3">
        <v>1.7999999999999999E-2</v>
      </c>
      <c r="AS232" s="3" t="s">
        <v>163</v>
      </c>
      <c r="AT232" s="3">
        <v>0.83</v>
      </c>
      <c r="AU232" s="7">
        <v>1231.77063</v>
      </c>
      <c r="AV232" s="3">
        <v>8.0000000000000002E-3</v>
      </c>
      <c r="AW232" s="3">
        <f t="shared" si="26"/>
        <v>0.61</v>
      </c>
      <c r="AX232" s="5"/>
      <c r="AY232" s="5"/>
      <c r="AZ232" s="5"/>
      <c r="BA232" s="5"/>
      <c r="BC232" s="3" t="s">
        <v>163</v>
      </c>
      <c r="BD232" s="3">
        <v>0.9</v>
      </c>
      <c r="BE232" s="3">
        <v>0.5</v>
      </c>
      <c r="BF232" s="3">
        <v>0.6</v>
      </c>
      <c r="BG232" s="3">
        <v>0.16</v>
      </c>
      <c r="BH232" s="6">
        <v>887.59179700000004</v>
      </c>
      <c r="BI232" s="3">
        <v>2.1000000000000001E-2</v>
      </c>
      <c r="BK232" s="3" t="s">
        <v>163</v>
      </c>
      <c r="BL232" s="3">
        <v>0.57999999999999996</v>
      </c>
      <c r="BM232" s="7">
        <v>1144.321289</v>
      </c>
      <c r="BN232" s="3">
        <v>4.0000000000000001E-3</v>
      </c>
      <c r="BO232" s="3">
        <f t="shared" si="27"/>
        <v>0.37</v>
      </c>
    </row>
    <row r="233" spans="1:67" x14ac:dyDescent="0.3">
      <c r="A233" s="3" t="s">
        <v>164</v>
      </c>
      <c r="B233" s="3">
        <v>0.9</v>
      </c>
      <c r="C233" s="3">
        <v>0.5</v>
      </c>
      <c r="D233" s="3">
        <v>0.6</v>
      </c>
      <c r="E233" s="3">
        <v>0.46</v>
      </c>
      <c r="F233" s="7">
        <v>592.52801499999998</v>
      </c>
      <c r="G233" s="3">
        <v>1.4999999999999999E-2</v>
      </c>
      <c r="I233" s="3" t="s">
        <v>164</v>
      </c>
      <c r="J233" s="3">
        <v>0.03</v>
      </c>
      <c r="K233" s="6">
        <v>537.29907200000002</v>
      </c>
      <c r="L233" s="3">
        <v>0</v>
      </c>
      <c r="M233" s="3">
        <f t="shared" si="24"/>
        <v>0.245</v>
      </c>
      <c r="N233" s="5"/>
      <c r="O233" s="5"/>
      <c r="P233" s="5"/>
      <c r="Q233" s="5"/>
      <c r="S233" s="3" t="s">
        <v>164</v>
      </c>
      <c r="T233" s="3">
        <v>0.9</v>
      </c>
      <c r="U233" s="3">
        <v>0.5</v>
      </c>
      <c r="V233" s="3">
        <v>0.6</v>
      </c>
      <c r="W233" s="3">
        <v>0.23</v>
      </c>
      <c r="X233" s="6">
        <v>464.07223499999998</v>
      </c>
      <c r="Y233" s="3">
        <v>1.7999999999999999E-2</v>
      </c>
      <c r="AA233" s="3" t="s">
        <v>164</v>
      </c>
      <c r="AB233" s="3">
        <v>0.01</v>
      </c>
      <c r="AC233" s="7">
        <v>531.58990500000004</v>
      </c>
      <c r="AD233" s="3">
        <v>2E-3</v>
      </c>
      <c r="AE233" s="3">
        <f t="shared" si="25"/>
        <v>0.12000000000000001</v>
      </c>
      <c r="AF233" s="5"/>
      <c r="AG233" s="5"/>
      <c r="AH233" s="5"/>
      <c r="AI233" s="5"/>
      <c r="AK233" s="3" t="s">
        <v>165</v>
      </c>
      <c r="AL233" s="3">
        <v>0.9</v>
      </c>
      <c r="AM233" s="3">
        <v>0.5</v>
      </c>
      <c r="AN233" s="3">
        <v>0.6</v>
      </c>
      <c r="AO233" s="3">
        <v>0.96</v>
      </c>
      <c r="AP233" s="7">
        <v>1108.940063</v>
      </c>
      <c r="AQ233" s="3">
        <v>1.4999999999999999E-2</v>
      </c>
      <c r="AS233" s="3" t="s">
        <v>165</v>
      </c>
      <c r="AT233" s="3">
        <v>0.12</v>
      </c>
      <c r="AU233" s="6">
        <v>836.34997599999997</v>
      </c>
      <c r="AV233" s="3">
        <v>1E-3</v>
      </c>
      <c r="AW233" s="3">
        <f t="shared" si="26"/>
        <v>0.54</v>
      </c>
      <c r="AX233" s="5"/>
      <c r="AY233" s="5"/>
      <c r="AZ233" s="5"/>
      <c r="BA233" s="5"/>
      <c r="BC233" s="3" t="s">
        <v>165</v>
      </c>
      <c r="BD233" s="3">
        <v>0.9</v>
      </c>
      <c r="BE233" s="3">
        <v>0.5</v>
      </c>
      <c r="BF233" s="3">
        <v>0.6</v>
      </c>
      <c r="BG233" s="3">
        <v>0.87</v>
      </c>
      <c r="BH233" s="7">
        <v>1090.925293</v>
      </c>
      <c r="BI233" s="3">
        <v>2.9000000000000001E-2</v>
      </c>
      <c r="BK233" s="3" t="s">
        <v>165</v>
      </c>
      <c r="BL233" s="3">
        <v>0.52</v>
      </c>
      <c r="BM233" s="6">
        <v>1037.3376459999999</v>
      </c>
      <c r="BN233" s="3">
        <v>1E-3</v>
      </c>
      <c r="BO233" s="3">
        <f t="shared" si="27"/>
        <v>0.69500000000000006</v>
      </c>
    </row>
    <row r="234" spans="1:67" x14ac:dyDescent="0.3">
      <c r="A234" s="3" t="s">
        <v>166</v>
      </c>
      <c r="B234" s="3">
        <v>0.9</v>
      </c>
      <c r="C234" s="3">
        <v>0.5</v>
      </c>
      <c r="D234" s="3">
        <v>0.6</v>
      </c>
      <c r="E234" s="3">
        <v>0.97</v>
      </c>
      <c r="F234" s="7">
        <v>845.95385699999997</v>
      </c>
      <c r="G234" s="3">
        <v>1.2E-2</v>
      </c>
      <c r="I234" s="3" t="s">
        <v>166</v>
      </c>
      <c r="J234" s="3">
        <v>0.66</v>
      </c>
      <c r="K234" s="6">
        <v>824.665527</v>
      </c>
      <c r="L234" s="3">
        <v>0</v>
      </c>
      <c r="M234" s="3">
        <f t="shared" si="24"/>
        <v>0.81499999999999995</v>
      </c>
      <c r="N234" s="5"/>
      <c r="O234" s="5"/>
      <c r="P234" s="5"/>
      <c r="Q234" s="5"/>
      <c r="S234" s="3" t="s">
        <v>166</v>
      </c>
      <c r="T234" s="3">
        <v>0.9</v>
      </c>
      <c r="U234" s="3">
        <v>0.5</v>
      </c>
      <c r="V234" s="3">
        <v>0.6</v>
      </c>
      <c r="W234" s="3">
        <v>0.15</v>
      </c>
      <c r="X234" s="6">
        <v>689.65863000000002</v>
      </c>
      <c r="Y234" s="3">
        <v>1.2E-2</v>
      </c>
      <c r="AA234" s="3" t="s">
        <v>166</v>
      </c>
      <c r="AB234" s="3">
        <v>0.83</v>
      </c>
      <c r="AC234" s="7">
        <v>803.03143299999999</v>
      </c>
      <c r="AD234" s="3">
        <v>0</v>
      </c>
      <c r="AE234" s="3">
        <f t="shared" si="25"/>
        <v>0.49</v>
      </c>
      <c r="AF234" s="5"/>
      <c r="AG234" s="5"/>
      <c r="AH234" s="5"/>
      <c r="AI234" s="5"/>
      <c r="AK234" s="3" t="s">
        <v>167</v>
      </c>
      <c r="AL234" s="3">
        <v>0.9</v>
      </c>
      <c r="AM234" s="3">
        <v>0.5</v>
      </c>
      <c r="AN234" s="3">
        <v>0.6</v>
      </c>
      <c r="AO234" s="3">
        <v>0.25</v>
      </c>
      <c r="AP234" s="6">
        <v>941.80304000000001</v>
      </c>
      <c r="AQ234" s="3">
        <v>2.1000000000000001E-2</v>
      </c>
      <c r="AS234" s="3" t="s">
        <v>167</v>
      </c>
      <c r="AT234" s="3">
        <v>0.36</v>
      </c>
      <c r="AU234" s="7">
        <v>1001.581604</v>
      </c>
      <c r="AV234" s="3">
        <v>2E-3</v>
      </c>
      <c r="AW234" s="3">
        <f t="shared" si="26"/>
        <v>0.30499999999999999</v>
      </c>
      <c r="AX234" s="5"/>
      <c r="AY234" s="5"/>
      <c r="AZ234" s="5"/>
      <c r="BA234" s="5"/>
      <c r="BC234" s="3" t="s">
        <v>167</v>
      </c>
      <c r="BD234" s="3">
        <v>0.9</v>
      </c>
      <c r="BE234" s="3">
        <v>0.5</v>
      </c>
      <c r="BF234" s="3">
        <v>0.6</v>
      </c>
      <c r="BG234" s="3">
        <v>0.69</v>
      </c>
      <c r="BH234" s="7">
        <v>1127.267578</v>
      </c>
      <c r="BI234" s="3">
        <v>0.03</v>
      </c>
      <c r="BK234" s="3" t="s">
        <v>167</v>
      </c>
      <c r="BL234" s="3">
        <v>0.16</v>
      </c>
      <c r="BM234" s="6">
        <v>850.82751499999995</v>
      </c>
      <c r="BN234" s="3">
        <v>8.0000000000000002E-3</v>
      </c>
      <c r="BO234" s="3">
        <f t="shared" si="27"/>
        <v>0.42499999999999999</v>
      </c>
    </row>
    <row r="235" spans="1:67" x14ac:dyDescent="0.3">
      <c r="A235" s="3" t="s">
        <v>168</v>
      </c>
      <c r="B235" s="3">
        <v>0.9</v>
      </c>
      <c r="C235" s="3">
        <v>0.5</v>
      </c>
      <c r="D235" s="3">
        <v>0.6</v>
      </c>
      <c r="E235" s="3">
        <v>0.77</v>
      </c>
      <c r="F235" s="7">
        <v>741.78832999999997</v>
      </c>
      <c r="G235" s="3">
        <v>2.4E-2</v>
      </c>
      <c r="I235" s="3" t="s">
        <v>168</v>
      </c>
      <c r="J235" s="3">
        <v>0.48</v>
      </c>
      <c r="K235" s="6">
        <v>700.57165499999996</v>
      </c>
      <c r="L235" s="3">
        <v>4.0000000000000001E-3</v>
      </c>
      <c r="M235" s="3">
        <f t="shared" si="24"/>
        <v>0.625</v>
      </c>
      <c r="N235" s="5"/>
      <c r="O235" s="5"/>
      <c r="P235" s="5"/>
      <c r="Q235" s="5"/>
      <c r="S235" s="3" t="s">
        <v>168</v>
      </c>
      <c r="T235" s="3">
        <v>0.9</v>
      </c>
      <c r="U235" s="3">
        <v>0.5</v>
      </c>
      <c r="V235" s="3">
        <v>0.6</v>
      </c>
      <c r="W235" s="3">
        <v>0.52</v>
      </c>
      <c r="X235" s="7">
        <v>680.68121299999996</v>
      </c>
      <c r="Y235" s="3">
        <v>0.01</v>
      </c>
      <c r="AA235" s="3" t="s">
        <v>168</v>
      </c>
      <c r="AB235" s="3">
        <v>0.1</v>
      </c>
      <c r="AC235" s="6">
        <v>618.05035399999997</v>
      </c>
      <c r="AD235" s="3">
        <v>3.0000000000000001E-3</v>
      </c>
      <c r="AE235" s="3">
        <f t="shared" si="25"/>
        <v>0.31</v>
      </c>
      <c r="AF235" s="5"/>
      <c r="AG235" s="5"/>
      <c r="AH235" s="5"/>
      <c r="AI235" s="5"/>
      <c r="AK235" s="3" t="s">
        <v>169</v>
      </c>
      <c r="AL235" s="3">
        <v>0.9</v>
      </c>
      <c r="AM235" s="3">
        <v>0.5</v>
      </c>
      <c r="AN235" s="3">
        <v>0.6</v>
      </c>
      <c r="AO235" s="3">
        <v>0.89</v>
      </c>
      <c r="AP235" s="6">
        <v>1158.7375489999999</v>
      </c>
      <c r="AQ235" s="3">
        <v>2.5000000000000001E-2</v>
      </c>
      <c r="AS235" s="3" t="s">
        <v>169</v>
      </c>
      <c r="AT235" s="3">
        <v>0.9</v>
      </c>
      <c r="AU235" s="6">
        <v>1158.7375489999999</v>
      </c>
      <c r="AV235" s="3">
        <v>2E-3</v>
      </c>
      <c r="AW235" s="3">
        <f t="shared" si="26"/>
        <v>0.89500000000000002</v>
      </c>
      <c r="AX235" s="5"/>
      <c r="AY235" s="5"/>
      <c r="AZ235" s="5"/>
      <c r="BA235" s="5"/>
      <c r="BC235" s="3" t="s">
        <v>169</v>
      </c>
      <c r="BD235" s="3">
        <v>0.9</v>
      </c>
      <c r="BE235" s="3">
        <v>0.5</v>
      </c>
      <c r="BF235" s="3">
        <v>0.6</v>
      </c>
      <c r="BG235" s="3">
        <v>0.86</v>
      </c>
      <c r="BH235" s="7">
        <v>1112.0158690000001</v>
      </c>
      <c r="BI235" s="3">
        <v>1.2999999999999999E-2</v>
      </c>
      <c r="BK235" s="3" t="s">
        <v>169</v>
      </c>
      <c r="BL235" s="3">
        <v>0.01</v>
      </c>
      <c r="BM235" s="6">
        <v>795.47289999999998</v>
      </c>
      <c r="BN235" s="3">
        <v>1E-3</v>
      </c>
      <c r="BO235" s="3">
        <f t="shared" si="27"/>
        <v>0.435</v>
      </c>
    </row>
    <row r="236" spans="1:67" x14ac:dyDescent="0.3">
      <c r="A236" s="3" t="s">
        <v>170</v>
      </c>
      <c r="B236" s="3">
        <v>0.9</v>
      </c>
      <c r="C236" s="3">
        <v>0.5</v>
      </c>
      <c r="D236" s="3">
        <v>0.6</v>
      </c>
      <c r="E236" s="3">
        <v>0.8</v>
      </c>
      <c r="F236" s="7">
        <v>749.87304700000004</v>
      </c>
      <c r="G236" s="3">
        <v>1.9E-2</v>
      </c>
      <c r="I236" s="3" t="s">
        <v>170</v>
      </c>
      <c r="J236" s="3">
        <v>0.56999999999999995</v>
      </c>
      <c r="K236" s="6">
        <v>744.17602499999998</v>
      </c>
      <c r="L236" s="3">
        <v>0</v>
      </c>
      <c r="M236" s="3">
        <f t="shared" si="24"/>
        <v>0.68500000000000005</v>
      </c>
      <c r="N236" s="5"/>
      <c r="O236" s="5"/>
      <c r="P236" s="5"/>
      <c r="Q236" s="5"/>
      <c r="S236" s="3" t="s">
        <v>170</v>
      </c>
      <c r="T236" s="3">
        <v>0.9</v>
      </c>
      <c r="U236" s="3">
        <v>0.5</v>
      </c>
      <c r="V236" s="3">
        <v>0.6</v>
      </c>
      <c r="W236" s="3">
        <v>0.36</v>
      </c>
      <c r="X236" s="6">
        <v>670.20989999999995</v>
      </c>
      <c r="Y236" s="3">
        <v>0.02</v>
      </c>
      <c r="AA236" s="3" t="s">
        <v>170</v>
      </c>
      <c r="AB236" s="3">
        <v>0.69</v>
      </c>
      <c r="AC236" s="7">
        <v>735.63891599999999</v>
      </c>
      <c r="AD236" s="3">
        <v>0</v>
      </c>
      <c r="AE236" s="3">
        <f t="shared" si="25"/>
        <v>0.52499999999999991</v>
      </c>
      <c r="AF236" s="5"/>
      <c r="AG236" s="5"/>
      <c r="AH236" s="5"/>
      <c r="AI236" s="5"/>
      <c r="AK236" s="3" t="s">
        <v>171</v>
      </c>
      <c r="AL236" s="3">
        <v>0.9</v>
      </c>
      <c r="AM236" s="3">
        <v>0.5</v>
      </c>
      <c r="AN236" s="3">
        <v>0.6</v>
      </c>
      <c r="AO236" s="3">
        <v>0.99</v>
      </c>
      <c r="AP236" s="7">
        <v>1121.197144</v>
      </c>
      <c r="AQ236" s="3">
        <v>2.5000000000000001E-2</v>
      </c>
      <c r="AS236" s="3" t="s">
        <v>171</v>
      </c>
      <c r="AT236" s="3">
        <v>0.9</v>
      </c>
      <c r="AU236" s="6">
        <v>1110.9858400000001</v>
      </c>
      <c r="AV236" s="3">
        <v>1E-3</v>
      </c>
      <c r="AW236" s="3">
        <f t="shared" si="26"/>
        <v>0.94500000000000006</v>
      </c>
      <c r="AX236" s="5"/>
      <c r="AY236" s="5"/>
      <c r="AZ236" s="5"/>
      <c r="BA236" s="5"/>
      <c r="BC236" s="3" t="s">
        <v>171</v>
      </c>
      <c r="BD236" s="3">
        <v>0.9</v>
      </c>
      <c r="BE236" s="3">
        <v>0.5</v>
      </c>
      <c r="BF236" s="3">
        <v>0.6</v>
      </c>
      <c r="BG236" s="3">
        <v>0.69</v>
      </c>
      <c r="BH236" s="7">
        <v>1032.0810550000001</v>
      </c>
      <c r="BI236" s="3">
        <v>1.9E-2</v>
      </c>
      <c r="BK236" s="3" t="s">
        <v>171</v>
      </c>
      <c r="BL236" s="3">
        <v>0.57999999999999996</v>
      </c>
      <c r="BM236" s="6">
        <v>1021.040161</v>
      </c>
      <c r="BN236" s="3">
        <v>2E-3</v>
      </c>
      <c r="BO236" s="3">
        <f t="shared" si="27"/>
        <v>0.63500000000000001</v>
      </c>
    </row>
    <row r="237" spans="1:67" x14ac:dyDescent="0.3">
      <c r="A237" s="3" t="s">
        <v>172</v>
      </c>
      <c r="B237" s="3">
        <v>0.9</v>
      </c>
      <c r="C237" s="3">
        <v>0.5</v>
      </c>
      <c r="D237" s="3">
        <v>0.6</v>
      </c>
      <c r="E237" s="3">
        <v>0.56999999999999995</v>
      </c>
      <c r="F237" s="7">
        <v>728.47631799999999</v>
      </c>
      <c r="G237" s="3">
        <v>1.2E-2</v>
      </c>
      <c r="I237" s="3" t="s">
        <v>172</v>
      </c>
      <c r="J237" s="3">
        <v>0.28000000000000003</v>
      </c>
      <c r="K237" s="6">
        <v>672.66320800000005</v>
      </c>
      <c r="L237" s="3">
        <v>2E-3</v>
      </c>
      <c r="M237" s="3">
        <f t="shared" si="24"/>
        <v>0.42499999999999999</v>
      </c>
      <c r="N237" s="5"/>
      <c r="O237" s="5"/>
      <c r="P237" s="5"/>
      <c r="Q237" s="5"/>
      <c r="S237" s="3" t="s">
        <v>172</v>
      </c>
      <c r="T237" s="3">
        <v>0.9</v>
      </c>
      <c r="U237" s="3">
        <v>0.5</v>
      </c>
      <c r="V237" s="3">
        <v>0.6</v>
      </c>
      <c r="W237" s="3">
        <v>0.42</v>
      </c>
      <c r="X237" s="7">
        <v>705.44311500000003</v>
      </c>
      <c r="Y237" s="3">
        <v>1.4E-2</v>
      </c>
      <c r="AA237" s="3" t="s">
        <v>172</v>
      </c>
      <c r="AB237" s="3">
        <v>0.3</v>
      </c>
      <c r="AC237" s="6">
        <v>668.97497599999997</v>
      </c>
      <c r="AD237" s="3">
        <v>2E-3</v>
      </c>
      <c r="AE237" s="3">
        <f t="shared" si="25"/>
        <v>0.36</v>
      </c>
      <c r="AF237" s="5"/>
      <c r="AG237" s="5"/>
      <c r="AH237" s="5"/>
      <c r="AI237" s="5"/>
      <c r="AK237" s="3" t="s">
        <v>173</v>
      </c>
      <c r="AL237" s="3">
        <v>0.9</v>
      </c>
      <c r="AM237" s="3">
        <v>0.5</v>
      </c>
      <c r="AN237" s="3">
        <v>0.6</v>
      </c>
      <c r="AO237" s="3">
        <v>0.1</v>
      </c>
      <c r="AP237" s="6">
        <v>999.65570100000002</v>
      </c>
      <c r="AQ237" s="3">
        <v>2.3E-2</v>
      </c>
      <c r="AS237" s="3" t="s">
        <v>173</v>
      </c>
      <c r="AT237" s="3">
        <v>0.69</v>
      </c>
      <c r="AU237" s="7">
        <v>1167.2966309999999</v>
      </c>
      <c r="AV237" s="3">
        <v>2E-3</v>
      </c>
      <c r="AW237" s="3">
        <f t="shared" si="26"/>
        <v>0.39499999999999996</v>
      </c>
      <c r="AX237" s="5"/>
      <c r="AY237" s="5"/>
      <c r="AZ237" s="5"/>
      <c r="BA237" s="5"/>
      <c r="BC237" s="3" t="s">
        <v>173</v>
      </c>
      <c r="BD237" s="3">
        <v>0.9</v>
      </c>
      <c r="BE237" s="3">
        <v>0.5</v>
      </c>
      <c r="BF237" s="3">
        <v>0.6</v>
      </c>
      <c r="BG237" s="3">
        <v>0.11</v>
      </c>
      <c r="BH237" s="6">
        <v>836.39996299999996</v>
      </c>
      <c r="BI237" s="3">
        <v>1.6E-2</v>
      </c>
      <c r="BK237" s="3" t="s">
        <v>173</v>
      </c>
      <c r="BL237" s="3">
        <v>0.35</v>
      </c>
      <c r="BM237" s="7">
        <v>980.70971699999996</v>
      </c>
      <c r="BN237" s="3">
        <v>7.0000000000000001E-3</v>
      </c>
      <c r="BO237" s="3">
        <f t="shared" si="27"/>
        <v>0.22999999999999998</v>
      </c>
    </row>
    <row r="238" spans="1:67" x14ac:dyDescent="0.3">
      <c r="A238" s="3" t="s">
        <v>174</v>
      </c>
      <c r="B238" s="3">
        <v>0.9</v>
      </c>
      <c r="C238" s="3">
        <v>0.5</v>
      </c>
      <c r="D238" s="3">
        <v>0.6</v>
      </c>
      <c r="E238" s="3">
        <v>0.33</v>
      </c>
      <c r="F238" s="6">
        <v>695.87512200000003</v>
      </c>
      <c r="G238" s="3">
        <v>1.2999999999999999E-2</v>
      </c>
      <c r="I238" s="3" t="s">
        <v>174</v>
      </c>
      <c r="J238" s="3">
        <v>0.94</v>
      </c>
      <c r="K238" s="7">
        <v>777.49444600000004</v>
      </c>
      <c r="L238" s="3">
        <v>7.0000000000000001E-3</v>
      </c>
      <c r="M238" s="3">
        <f t="shared" si="24"/>
        <v>0.63500000000000001</v>
      </c>
      <c r="N238" s="5"/>
      <c r="O238" s="5"/>
      <c r="P238" s="5"/>
      <c r="Q238" s="5"/>
      <c r="S238" s="3" t="s">
        <v>174</v>
      </c>
      <c r="T238" s="3">
        <v>0.9</v>
      </c>
      <c r="U238" s="3">
        <v>0.5</v>
      </c>
      <c r="V238" s="3">
        <v>0.6</v>
      </c>
      <c r="W238" s="3">
        <v>0.99</v>
      </c>
      <c r="X238" s="7">
        <v>798.53973399999995</v>
      </c>
      <c r="Y238" s="3">
        <v>1.2E-2</v>
      </c>
      <c r="AA238" s="3" t="s">
        <v>174</v>
      </c>
      <c r="AB238" s="3">
        <v>0.98</v>
      </c>
      <c r="AC238" s="6">
        <v>779.03204300000004</v>
      </c>
      <c r="AD238" s="3">
        <v>2E-3</v>
      </c>
      <c r="AE238" s="3">
        <f t="shared" si="25"/>
        <v>0.98499999999999999</v>
      </c>
      <c r="AF238" s="5"/>
      <c r="AG238" s="5"/>
      <c r="AH238" s="5"/>
      <c r="AI238" s="5"/>
      <c r="AK238" s="3" t="s">
        <v>175</v>
      </c>
      <c r="AL238" s="3">
        <v>0.9</v>
      </c>
      <c r="AM238" s="3">
        <v>0.5</v>
      </c>
      <c r="AN238" s="3">
        <v>0.6</v>
      </c>
      <c r="AO238" s="3">
        <v>0.92</v>
      </c>
      <c r="AP238" s="7">
        <v>1220.4769289999999</v>
      </c>
      <c r="AQ238" s="3">
        <v>0.02</v>
      </c>
      <c r="AS238" s="3" t="s">
        <v>175</v>
      </c>
      <c r="AT238" s="3">
        <v>0.3</v>
      </c>
      <c r="AU238" s="6">
        <v>958.78656000000001</v>
      </c>
      <c r="AV238" s="3">
        <v>5.0000000000000001E-3</v>
      </c>
      <c r="AW238" s="3">
        <f t="shared" si="26"/>
        <v>0.61</v>
      </c>
      <c r="AX238" s="5"/>
      <c r="AY238" s="5"/>
      <c r="AZ238" s="5"/>
      <c r="BA238" s="5"/>
      <c r="BC238" s="3" t="s">
        <v>175</v>
      </c>
      <c r="BD238" s="3">
        <v>0.9</v>
      </c>
      <c r="BE238" s="3">
        <v>0.5</v>
      </c>
      <c r="BF238" s="3">
        <v>0.6</v>
      </c>
      <c r="BG238" s="3">
        <v>0.52</v>
      </c>
      <c r="BH238" s="6">
        <v>1097.775879</v>
      </c>
      <c r="BI238" s="3">
        <v>1.9E-2</v>
      </c>
      <c r="BK238" s="3" t="s">
        <v>175</v>
      </c>
      <c r="BL238" s="3">
        <v>0.76</v>
      </c>
      <c r="BM238" s="7">
        <v>1183.639038</v>
      </c>
      <c r="BN238" s="3">
        <v>3.0000000000000001E-3</v>
      </c>
      <c r="BO238" s="3">
        <f t="shared" si="27"/>
        <v>0.64</v>
      </c>
    </row>
    <row r="239" spans="1:67" x14ac:dyDescent="0.3">
      <c r="A239" s="3" t="s">
        <v>176</v>
      </c>
      <c r="B239" s="3">
        <v>0.9</v>
      </c>
      <c r="C239" s="3">
        <v>0.5</v>
      </c>
      <c r="D239" s="3">
        <v>0.6</v>
      </c>
      <c r="E239" s="3">
        <v>0.17</v>
      </c>
      <c r="F239" s="6">
        <v>683.19976799999995</v>
      </c>
      <c r="G239" s="3">
        <v>2.5000000000000001E-2</v>
      </c>
      <c r="I239" s="3" t="s">
        <v>176</v>
      </c>
      <c r="J239" s="3">
        <v>0.66</v>
      </c>
      <c r="K239" s="7">
        <v>814.06066899999996</v>
      </c>
      <c r="L239" s="3">
        <v>1.0999999999999999E-2</v>
      </c>
      <c r="M239" s="3">
        <f t="shared" si="24"/>
        <v>0.41500000000000004</v>
      </c>
      <c r="N239" s="5"/>
      <c r="O239" s="5"/>
      <c r="P239" s="5"/>
      <c r="Q239" s="5"/>
      <c r="S239" s="3" t="s">
        <v>176</v>
      </c>
      <c r="T239" s="3">
        <v>0.9</v>
      </c>
      <c r="U239" s="3">
        <v>0.5</v>
      </c>
      <c r="V239" s="3">
        <v>0.6</v>
      </c>
      <c r="W239" s="3">
        <v>0.56999999999999995</v>
      </c>
      <c r="X239" s="6">
        <v>741.64373799999998</v>
      </c>
      <c r="Y239" s="3">
        <v>0.01</v>
      </c>
      <c r="AA239" s="3" t="s">
        <v>176</v>
      </c>
      <c r="AB239" s="3">
        <v>0.57999999999999996</v>
      </c>
      <c r="AC239" s="7">
        <v>755.612122</v>
      </c>
      <c r="AD239" s="3">
        <v>4.0000000000000001E-3</v>
      </c>
      <c r="AE239" s="3">
        <f t="shared" si="25"/>
        <v>0.57499999999999996</v>
      </c>
      <c r="AF239" s="5"/>
      <c r="AG239" s="5"/>
      <c r="AH239" s="5"/>
      <c r="AI239" s="5"/>
      <c r="AK239" s="3" t="s">
        <v>177</v>
      </c>
      <c r="AL239" s="3">
        <v>0.9</v>
      </c>
      <c r="AM239" s="3">
        <v>0.5</v>
      </c>
      <c r="AN239" s="3">
        <v>0.6</v>
      </c>
      <c r="AO239" s="3">
        <v>0.31</v>
      </c>
      <c r="AP239" s="6">
        <v>1112.650269</v>
      </c>
      <c r="AQ239" s="3">
        <v>1.4999999999999999E-2</v>
      </c>
      <c r="AS239" s="3" t="s">
        <v>177</v>
      </c>
      <c r="AT239" s="3">
        <v>0.71</v>
      </c>
      <c r="AU239" s="7">
        <v>1285.173096</v>
      </c>
      <c r="AV239" s="3">
        <v>5.0000000000000001E-3</v>
      </c>
      <c r="AW239" s="3">
        <f t="shared" si="26"/>
        <v>0.51</v>
      </c>
      <c r="AX239" s="5"/>
      <c r="AY239" s="5"/>
      <c r="AZ239" s="5"/>
      <c r="BA239" s="5"/>
      <c r="BC239" s="3" t="s">
        <v>177</v>
      </c>
      <c r="BD239" s="3">
        <v>0.9</v>
      </c>
      <c r="BE239" s="3">
        <v>0.5</v>
      </c>
      <c r="BF239" s="3">
        <v>0.6</v>
      </c>
      <c r="BG239" s="3">
        <v>0.16</v>
      </c>
      <c r="BH239" s="7">
        <v>976.27545199999997</v>
      </c>
      <c r="BI239" s="3">
        <v>0.03</v>
      </c>
      <c r="BK239" s="3" t="s">
        <v>177</v>
      </c>
      <c r="BL239" s="3">
        <v>0.09</v>
      </c>
      <c r="BM239" s="6">
        <v>913.07934599999999</v>
      </c>
      <c r="BN239" s="3">
        <v>0</v>
      </c>
      <c r="BO239" s="3">
        <f t="shared" si="27"/>
        <v>0.125</v>
      </c>
    </row>
    <row r="240" spans="1:67" x14ac:dyDescent="0.3">
      <c r="A240" s="3" t="s">
        <v>178</v>
      </c>
      <c r="B240" s="3">
        <v>0.9</v>
      </c>
      <c r="C240" s="3">
        <v>0.5</v>
      </c>
      <c r="D240" s="3">
        <v>0.6</v>
      </c>
      <c r="E240" s="3">
        <v>0.71</v>
      </c>
      <c r="F240" s="7">
        <v>817.85626200000002</v>
      </c>
      <c r="G240" s="3">
        <v>1.2E-2</v>
      </c>
      <c r="I240" s="3" t="s">
        <v>178</v>
      </c>
      <c r="J240" s="3">
        <v>0.64</v>
      </c>
      <c r="K240" s="6">
        <v>803.41674799999998</v>
      </c>
      <c r="L240" s="3">
        <v>3.0000000000000001E-3</v>
      </c>
      <c r="M240" s="3">
        <f t="shared" si="24"/>
        <v>0.67500000000000004</v>
      </c>
      <c r="N240" s="5"/>
      <c r="O240" s="5"/>
      <c r="P240" s="5"/>
      <c r="Q240" s="5"/>
      <c r="S240" s="3" t="s">
        <v>178</v>
      </c>
      <c r="T240" s="3">
        <v>0.9</v>
      </c>
      <c r="U240" s="3">
        <v>0.5</v>
      </c>
      <c r="V240" s="3">
        <v>0.6</v>
      </c>
      <c r="W240" s="3">
        <v>0.35</v>
      </c>
      <c r="X240" s="6">
        <v>682.97564699999998</v>
      </c>
      <c r="Y240" s="3">
        <v>1.9E-2</v>
      </c>
      <c r="AA240" s="3" t="s">
        <v>178</v>
      </c>
      <c r="AB240" s="3">
        <v>0.51</v>
      </c>
      <c r="AC240" s="7">
        <v>724.76263400000005</v>
      </c>
      <c r="AD240" s="3">
        <v>1E-3</v>
      </c>
      <c r="AE240" s="3">
        <f t="shared" si="25"/>
        <v>0.43</v>
      </c>
      <c r="AF240" s="5"/>
      <c r="AG240" s="5"/>
      <c r="AH240" s="5"/>
      <c r="AI240" s="5"/>
      <c r="AK240" s="3" t="s">
        <v>179</v>
      </c>
      <c r="AL240" s="3">
        <v>0.9</v>
      </c>
      <c r="AM240" s="3">
        <v>0.5</v>
      </c>
      <c r="AN240" s="3">
        <v>0.6</v>
      </c>
      <c r="AO240" s="3">
        <v>0.92</v>
      </c>
      <c r="AP240" s="7">
        <v>1294.7094729999999</v>
      </c>
      <c r="AQ240" s="3">
        <v>3.9E-2</v>
      </c>
      <c r="AS240" s="3" t="s">
        <v>179</v>
      </c>
      <c r="AT240" s="3">
        <v>0.45</v>
      </c>
      <c r="AU240" s="6">
        <v>1156.284668</v>
      </c>
      <c r="AV240" s="3">
        <v>6.0000000000000001E-3</v>
      </c>
      <c r="AW240" s="3">
        <f t="shared" si="26"/>
        <v>0.68500000000000005</v>
      </c>
      <c r="AX240" s="5"/>
      <c r="AY240" s="5"/>
      <c r="AZ240" s="5"/>
      <c r="BA240" s="5"/>
      <c r="BC240" s="3" t="s">
        <v>179</v>
      </c>
      <c r="BD240" s="3">
        <v>0.9</v>
      </c>
      <c r="BE240" s="3">
        <v>0.5</v>
      </c>
      <c r="BF240" s="3">
        <v>0.6</v>
      </c>
      <c r="BG240" s="3">
        <v>0.91</v>
      </c>
      <c r="BH240" s="7">
        <v>1267.4104</v>
      </c>
      <c r="BI240" s="3">
        <v>2.7E-2</v>
      </c>
      <c r="BK240" s="3" t="s">
        <v>179</v>
      </c>
      <c r="BL240" s="3">
        <v>0.44</v>
      </c>
      <c r="BM240" s="6">
        <v>1115.1455080000001</v>
      </c>
      <c r="BN240" s="3">
        <v>7.0000000000000001E-3</v>
      </c>
      <c r="BO240" s="3">
        <f t="shared" si="27"/>
        <v>0.67500000000000004</v>
      </c>
    </row>
    <row r="241" spans="1:71" x14ac:dyDescent="0.3">
      <c r="A241" s="3" t="s">
        <v>180</v>
      </c>
      <c r="B241" s="3">
        <v>0.9</v>
      </c>
      <c r="C241" s="3">
        <v>0.5</v>
      </c>
      <c r="D241" s="3">
        <v>0.6</v>
      </c>
      <c r="E241" s="3">
        <v>0.17</v>
      </c>
      <c r="F241" s="6">
        <v>655.01293899999996</v>
      </c>
      <c r="G241" s="3">
        <v>1.4999999999999999E-2</v>
      </c>
      <c r="I241" s="3" t="s">
        <v>180</v>
      </c>
      <c r="J241" s="3">
        <v>0.49</v>
      </c>
      <c r="K241" s="7">
        <v>760.54779099999996</v>
      </c>
      <c r="L241" s="3">
        <v>3.0000000000000001E-3</v>
      </c>
      <c r="M241" s="3">
        <f t="shared" si="24"/>
        <v>0.33</v>
      </c>
      <c r="N241" s="5"/>
      <c r="O241" s="5"/>
      <c r="P241" s="5"/>
      <c r="Q241" s="5"/>
      <c r="S241" s="3" t="s">
        <v>180</v>
      </c>
      <c r="T241" s="3">
        <v>0.9</v>
      </c>
      <c r="U241" s="3">
        <v>0.5</v>
      </c>
      <c r="V241" s="3">
        <v>0.6</v>
      </c>
      <c r="W241" s="3">
        <v>0.98</v>
      </c>
      <c r="X241" s="7">
        <v>817.58148200000005</v>
      </c>
      <c r="Y241" s="3">
        <v>8.9999999999999993E-3</v>
      </c>
      <c r="AA241" s="3" t="s">
        <v>180</v>
      </c>
      <c r="AB241" s="3">
        <v>0.72</v>
      </c>
      <c r="AC241" s="6">
        <v>812.93774399999995</v>
      </c>
      <c r="AD241" s="3">
        <v>1E-3</v>
      </c>
      <c r="AE241" s="3">
        <f t="shared" si="25"/>
        <v>0.85</v>
      </c>
      <c r="AF241" s="5"/>
      <c r="AG241" s="5"/>
      <c r="AH241" s="5"/>
      <c r="AI241" s="5"/>
      <c r="AK241" s="3" t="s">
        <v>181</v>
      </c>
      <c r="AL241" s="3">
        <v>0.9</v>
      </c>
      <c r="AM241" s="3">
        <v>0.5</v>
      </c>
      <c r="AN241" s="3">
        <v>0.6</v>
      </c>
      <c r="AO241" s="3">
        <v>0.77</v>
      </c>
      <c r="AP241" s="7">
        <v>1268.0900879999999</v>
      </c>
      <c r="AQ241" s="3">
        <v>0.02</v>
      </c>
      <c r="AS241" s="3" t="s">
        <v>181</v>
      </c>
      <c r="AT241" s="3">
        <v>0.72</v>
      </c>
      <c r="AU241" s="6">
        <v>1207.910889</v>
      </c>
      <c r="AV241" s="3">
        <v>4.0000000000000001E-3</v>
      </c>
      <c r="AW241" s="3">
        <f t="shared" si="26"/>
        <v>0.745</v>
      </c>
      <c r="AX241" s="5"/>
      <c r="AY241" s="5"/>
      <c r="AZ241" s="5"/>
      <c r="BA241" s="5"/>
      <c r="BC241" s="3" t="s">
        <v>181</v>
      </c>
      <c r="BD241" s="3">
        <v>0.9</v>
      </c>
      <c r="BE241" s="3">
        <v>0.5</v>
      </c>
      <c r="BF241" s="3">
        <v>0.6</v>
      </c>
      <c r="BG241" s="3">
        <v>0.76</v>
      </c>
      <c r="BH241" s="7">
        <v>1223.207764</v>
      </c>
      <c r="BI241" s="3">
        <v>2.4E-2</v>
      </c>
      <c r="BK241" s="3" t="s">
        <v>181</v>
      </c>
      <c r="BL241" s="3">
        <v>0.06</v>
      </c>
      <c r="BM241" s="6">
        <v>817.00689699999998</v>
      </c>
      <c r="BN241" s="3">
        <v>8.9999999999999993E-3</v>
      </c>
      <c r="BO241" s="3">
        <f t="shared" si="27"/>
        <v>0.41000000000000003</v>
      </c>
    </row>
    <row r="242" spans="1:71" x14ac:dyDescent="0.3">
      <c r="A242" s="3" t="s">
        <v>182</v>
      </c>
      <c r="B242" s="3">
        <v>0.9</v>
      </c>
      <c r="C242" s="3">
        <v>0.5</v>
      </c>
      <c r="D242" s="3">
        <v>0.6</v>
      </c>
      <c r="E242" s="3">
        <v>0.65</v>
      </c>
      <c r="F242" s="7">
        <v>746.74005099999999</v>
      </c>
      <c r="G242" s="3">
        <v>1.0999999999999999E-2</v>
      </c>
      <c r="I242" s="3" t="s">
        <v>182</v>
      </c>
      <c r="J242" s="3">
        <v>0.7</v>
      </c>
      <c r="K242" s="6">
        <v>741.71520999999996</v>
      </c>
      <c r="L242" s="3">
        <v>2E-3</v>
      </c>
      <c r="M242" s="3">
        <f t="shared" si="24"/>
        <v>0.67500000000000004</v>
      </c>
      <c r="N242" s="5"/>
      <c r="O242" s="5"/>
      <c r="P242" s="5"/>
      <c r="Q242" s="5"/>
      <c r="S242" s="3" t="s">
        <v>182</v>
      </c>
      <c r="T242" s="3">
        <v>0.9</v>
      </c>
      <c r="U242" s="3">
        <v>0.5</v>
      </c>
      <c r="V242" s="3">
        <v>0.6</v>
      </c>
      <c r="W242" s="3">
        <v>0.01</v>
      </c>
      <c r="X242" s="6">
        <v>585.84985400000005</v>
      </c>
      <c r="Y242" s="3">
        <v>1.2999999999999999E-2</v>
      </c>
      <c r="AA242" s="3" t="s">
        <v>182</v>
      </c>
      <c r="AB242" s="3">
        <v>0.13</v>
      </c>
      <c r="AC242" s="7">
        <v>596.53967299999999</v>
      </c>
      <c r="AD242" s="3">
        <v>0</v>
      </c>
      <c r="AE242" s="3">
        <f t="shared" si="25"/>
        <v>7.0000000000000007E-2</v>
      </c>
      <c r="AF242" s="5"/>
      <c r="AG242" s="5"/>
      <c r="AH242" s="5"/>
      <c r="AI242" s="5"/>
      <c r="AK242" s="3" t="s">
        <v>183</v>
      </c>
      <c r="AL242" s="3">
        <v>0.9</v>
      </c>
      <c r="AM242" s="3">
        <v>0.5</v>
      </c>
      <c r="AN242" s="3">
        <v>0.6</v>
      </c>
      <c r="AO242" s="3">
        <v>0.67</v>
      </c>
      <c r="AP242" s="7">
        <v>1250.8892820000001</v>
      </c>
      <c r="AQ242" s="3">
        <v>1.9E-2</v>
      </c>
      <c r="AS242" s="3" t="s">
        <v>183</v>
      </c>
      <c r="AT242" s="3">
        <v>0.61</v>
      </c>
      <c r="AU242" s="6">
        <v>1210.9210210000001</v>
      </c>
      <c r="AV242" s="3">
        <v>1.2E-2</v>
      </c>
      <c r="AW242" s="3">
        <f t="shared" si="26"/>
        <v>0.64</v>
      </c>
      <c r="AX242" s="5"/>
      <c r="AY242" s="5"/>
      <c r="AZ242" s="5"/>
      <c r="BA242" s="5"/>
      <c r="BC242" s="3" t="s">
        <v>183</v>
      </c>
      <c r="BD242" s="3">
        <v>0.9</v>
      </c>
      <c r="BE242" s="3">
        <v>0.5</v>
      </c>
      <c r="BF242" s="3">
        <v>0.6</v>
      </c>
      <c r="BG242" s="3">
        <v>0.28999999999999998</v>
      </c>
      <c r="BH242" s="6">
        <v>1053.456177</v>
      </c>
      <c r="BI242" s="3">
        <v>2.4E-2</v>
      </c>
      <c r="BK242" s="3" t="s">
        <v>183</v>
      </c>
      <c r="BL242" s="3">
        <v>0.98</v>
      </c>
      <c r="BM242" s="7">
        <v>1306.4648440000001</v>
      </c>
      <c r="BN242" s="3">
        <v>2E-3</v>
      </c>
      <c r="BO242" s="3">
        <f t="shared" si="27"/>
        <v>0.63500000000000001</v>
      </c>
    </row>
    <row r="243" spans="1:71" x14ac:dyDescent="0.3">
      <c r="A243" s="3" t="s">
        <v>184</v>
      </c>
      <c r="B243" s="3">
        <v>0.9</v>
      </c>
      <c r="C243" s="3">
        <v>0.5</v>
      </c>
      <c r="D243" s="3">
        <v>0.6</v>
      </c>
      <c r="E243" s="3">
        <v>0.79</v>
      </c>
      <c r="F243" s="7">
        <v>758.22143600000004</v>
      </c>
      <c r="G243" s="3">
        <v>8.0000000000000002E-3</v>
      </c>
      <c r="I243" s="3" t="s">
        <v>184</v>
      </c>
      <c r="J243" s="3">
        <v>7.0000000000000007E-2</v>
      </c>
      <c r="K243" s="6">
        <v>633.09637499999997</v>
      </c>
      <c r="L243" s="3">
        <v>1E-3</v>
      </c>
      <c r="M243" s="3">
        <f t="shared" si="24"/>
        <v>0.43000000000000005</v>
      </c>
      <c r="N243" s="5"/>
      <c r="O243" s="5"/>
      <c r="P243" s="5"/>
      <c r="Q243" s="5"/>
      <c r="S243" s="3" t="s">
        <v>184</v>
      </c>
      <c r="T243" s="3">
        <v>0.9</v>
      </c>
      <c r="U243" s="3">
        <v>0.5</v>
      </c>
      <c r="V243" s="3">
        <v>0.6</v>
      </c>
      <c r="W243" s="3">
        <v>0.06</v>
      </c>
      <c r="X243" s="7">
        <v>590.64672900000005</v>
      </c>
      <c r="Y243" s="3">
        <v>1.7000000000000001E-2</v>
      </c>
      <c r="AA243" s="3" t="s">
        <v>184</v>
      </c>
      <c r="AB243" s="3">
        <v>0.08</v>
      </c>
      <c r="AC243" s="6">
        <v>588.10327099999995</v>
      </c>
      <c r="AD243" s="3">
        <v>3.0000000000000001E-3</v>
      </c>
      <c r="AE243" s="3">
        <f t="shared" si="25"/>
        <v>7.0000000000000007E-2</v>
      </c>
      <c r="AF243" s="5"/>
      <c r="AG243" s="5"/>
      <c r="AH243" s="5"/>
      <c r="AI243" s="5"/>
      <c r="AK243" s="3" t="s">
        <v>185</v>
      </c>
      <c r="AL243" s="3">
        <v>0.9</v>
      </c>
      <c r="AM243" s="3">
        <v>0.5</v>
      </c>
      <c r="AN243" s="3">
        <v>0.6</v>
      </c>
      <c r="AO243" s="3">
        <v>0.39</v>
      </c>
      <c r="AP243" s="6">
        <v>1091.75647</v>
      </c>
      <c r="AQ243" s="3">
        <v>1.7999999999999999E-2</v>
      </c>
      <c r="AS243" s="3" t="s">
        <v>185</v>
      </c>
      <c r="AT243" s="3">
        <v>0.81</v>
      </c>
      <c r="AU243" s="7">
        <v>1316.5307620000001</v>
      </c>
      <c r="AV243" s="3">
        <v>2E-3</v>
      </c>
      <c r="AW243" s="3">
        <f t="shared" si="26"/>
        <v>0.60000000000000009</v>
      </c>
      <c r="AX243" s="5"/>
      <c r="AY243" s="5"/>
      <c r="AZ243" s="5"/>
      <c r="BA243" s="5"/>
      <c r="BC243" s="3" t="s">
        <v>185</v>
      </c>
      <c r="BD243" s="3">
        <v>0.9</v>
      </c>
      <c r="BE243" s="3">
        <v>0.5</v>
      </c>
      <c r="BF243" s="3">
        <v>0.6</v>
      </c>
      <c r="BG243" s="3">
        <v>0.37</v>
      </c>
      <c r="BH243" s="6">
        <v>1049.9232179999999</v>
      </c>
      <c r="BI243" s="3">
        <v>2.4E-2</v>
      </c>
      <c r="BK243" s="3" t="s">
        <v>185</v>
      </c>
      <c r="BL243" s="3">
        <v>0.99</v>
      </c>
      <c r="BM243" s="7">
        <v>1335.757202</v>
      </c>
      <c r="BN243" s="3">
        <v>2E-3</v>
      </c>
      <c r="BO243" s="3">
        <f t="shared" si="27"/>
        <v>0.67999999999999994</v>
      </c>
    </row>
    <row r="244" spans="1:71" x14ac:dyDescent="0.3">
      <c r="A244" s="3" t="s">
        <v>186</v>
      </c>
      <c r="B244" s="3">
        <v>0.9</v>
      </c>
      <c r="C244" s="3">
        <v>0.5</v>
      </c>
      <c r="D244" s="3">
        <v>0.6</v>
      </c>
      <c r="E244" s="3">
        <v>0.56000000000000005</v>
      </c>
      <c r="F244" s="7">
        <v>904.96563700000002</v>
      </c>
      <c r="G244" s="3">
        <v>8.0000000000000002E-3</v>
      </c>
      <c r="I244" s="3" t="s">
        <v>186</v>
      </c>
      <c r="J244" s="3">
        <v>0.4</v>
      </c>
      <c r="K244" s="6">
        <v>794.57074</v>
      </c>
      <c r="L244" s="3">
        <v>5.0000000000000001E-3</v>
      </c>
      <c r="M244" s="3">
        <f t="shared" si="24"/>
        <v>0.48000000000000004</v>
      </c>
      <c r="N244" s="5"/>
      <c r="O244" s="5"/>
      <c r="P244" s="5"/>
      <c r="Q244" s="5"/>
      <c r="S244" s="3" t="s">
        <v>186</v>
      </c>
      <c r="T244" s="3">
        <v>0.9</v>
      </c>
      <c r="U244" s="3">
        <v>0.5</v>
      </c>
      <c r="V244" s="3">
        <v>0.6</v>
      </c>
      <c r="W244" s="3">
        <v>0.09</v>
      </c>
      <c r="X244" s="6">
        <v>713.88592500000004</v>
      </c>
      <c r="Y244" s="3">
        <v>0.01</v>
      </c>
      <c r="AA244" s="3" t="s">
        <v>186</v>
      </c>
      <c r="AB244" s="3">
        <v>0.3</v>
      </c>
      <c r="AC244" s="7">
        <v>753.06451400000003</v>
      </c>
      <c r="AD244" s="3">
        <v>6.0000000000000001E-3</v>
      </c>
      <c r="AE244" s="3">
        <f t="shared" si="25"/>
        <v>0.19500000000000001</v>
      </c>
      <c r="AF244" s="5"/>
      <c r="AG244" s="5"/>
      <c r="AH244" s="5"/>
      <c r="AI244" s="5"/>
      <c r="AK244" s="3" t="s">
        <v>187</v>
      </c>
      <c r="AL244" s="3">
        <v>0.9</v>
      </c>
      <c r="AM244" s="3">
        <v>0.5</v>
      </c>
      <c r="AN244" s="3">
        <v>0.6</v>
      </c>
      <c r="AO244" s="3">
        <v>0.45</v>
      </c>
      <c r="AP244" s="6">
        <v>1245.3618160000001</v>
      </c>
      <c r="AQ244" s="3">
        <v>2.3E-2</v>
      </c>
      <c r="AS244" s="3" t="s">
        <v>187</v>
      </c>
      <c r="AT244" s="3">
        <v>0.91</v>
      </c>
      <c r="AU244" s="7">
        <v>1472.9517820000001</v>
      </c>
      <c r="AV244" s="3">
        <v>3.0000000000000001E-3</v>
      </c>
      <c r="AW244" s="3">
        <f t="shared" si="26"/>
        <v>0.68</v>
      </c>
      <c r="AX244" s="5"/>
      <c r="AY244" s="5"/>
      <c r="AZ244" s="5"/>
      <c r="BA244" s="5"/>
      <c r="BC244" s="3" t="s">
        <v>187</v>
      </c>
      <c r="BD244" s="3">
        <v>0.9</v>
      </c>
      <c r="BE244" s="3">
        <v>0.5</v>
      </c>
      <c r="BF244" s="3">
        <v>0.6</v>
      </c>
      <c r="BG244" s="3">
        <v>0.01</v>
      </c>
      <c r="BH244" s="6">
        <v>1067.453125</v>
      </c>
      <c r="BI244" s="3">
        <v>4.2999999999999997E-2</v>
      </c>
      <c r="BK244" s="3" t="s">
        <v>187</v>
      </c>
      <c r="BL244" s="3">
        <v>0.32</v>
      </c>
      <c r="BM244" s="7">
        <v>1146.2086179999999</v>
      </c>
      <c r="BN244" s="3">
        <v>8.0000000000000002E-3</v>
      </c>
      <c r="BO244" s="3">
        <f t="shared" si="27"/>
        <v>0.16500000000000001</v>
      </c>
    </row>
    <row r="245" spans="1:71" x14ac:dyDescent="0.3">
      <c r="A245" s="3" t="s">
        <v>188</v>
      </c>
      <c r="B245" s="3">
        <v>0.9</v>
      </c>
      <c r="C245" s="3">
        <v>0.5</v>
      </c>
      <c r="D245" s="3">
        <v>0.6</v>
      </c>
      <c r="E245" s="3">
        <v>0.61</v>
      </c>
      <c r="F245" s="7">
        <v>764.84405500000003</v>
      </c>
      <c r="G245" s="3">
        <v>1.7000000000000001E-2</v>
      </c>
      <c r="I245" s="3" t="s">
        <v>188</v>
      </c>
      <c r="J245" s="3">
        <v>0.14000000000000001</v>
      </c>
      <c r="K245" s="6">
        <v>655.49487299999998</v>
      </c>
      <c r="L245" s="3">
        <v>0</v>
      </c>
      <c r="M245" s="3">
        <f t="shared" si="24"/>
        <v>0.375</v>
      </c>
      <c r="N245" s="5"/>
      <c r="O245" s="5"/>
      <c r="P245" s="5"/>
      <c r="Q245" s="5"/>
      <c r="S245" s="3" t="s">
        <v>188</v>
      </c>
      <c r="T245" s="3">
        <v>0.9</v>
      </c>
      <c r="U245" s="3">
        <v>0.5</v>
      </c>
      <c r="V245" s="3">
        <v>0.6</v>
      </c>
      <c r="W245" s="3">
        <v>0.6</v>
      </c>
      <c r="X245" s="6">
        <v>765.93878199999995</v>
      </c>
      <c r="Y245" s="3">
        <v>1.0999999999999999E-2</v>
      </c>
      <c r="AA245" s="3" t="s">
        <v>188</v>
      </c>
      <c r="AB245" s="3">
        <v>0.92</v>
      </c>
      <c r="AC245" s="7">
        <v>802.73504600000001</v>
      </c>
      <c r="AD245" s="3">
        <v>0</v>
      </c>
      <c r="AE245" s="3">
        <f t="shared" si="25"/>
        <v>0.76</v>
      </c>
      <c r="AF245" s="5"/>
      <c r="AG245" s="5"/>
      <c r="AH245" s="5"/>
      <c r="AI245" s="5"/>
      <c r="AK245" s="3" t="s">
        <v>189</v>
      </c>
      <c r="AL245" s="3">
        <v>0.9</v>
      </c>
      <c r="AM245" s="3">
        <v>0.5</v>
      </c>
      <c r="AN245" s="3">
        <v>0.6</v>
      </c>
      <c r="AO245" s="3">
        <v>0.05</v>
      </c>
      <c r="AP245" s="6">
        <v>826.89904799999999</v>
      </c>
      <c r="AQ245" s="3">
        <v>1.6E-2</v>
      </c>
      <c r="AS245" s="3" t="s">
        <v>189</v>
      </c>
      <c r="AT245" s="3">
        <v>0.79</v>
      </c>
      <c r="AU245" s="7">
        <v>1249.6602780000001</v>
      </c>
      <c r="AV245" s="3">
        <v>5.0000000000000001E-3</v>
      </c>
      <c r="AW245" s="3">
        <f t="shared" si="26"/>
        <v>0.42000000000000004</v>
      </c>
      <c r="AX245" s="5"/>
      <c r="AY245" s="5"/>
      <c r="AZ245" s="5"/>
      <c r="BA245" s="5"/>
      <c r="BC245" s="3" t="s">
        <v>189</v>
      </c>
      <c r="BD245" s="3">
        <v>0.9</v>
      </c>
      <c r="BE245" s="3">
        <v>0.5</v>
      </c>
      <c r="BF245" s="3">
        <v>0.6</v>
      </c>
      <c r="BG245" s="3">
        <v>0.09</v>
      </c>
      <c r="BH245" s="6">
        <v>836.98474099999999</v>
      </c>
      <c r="BI245" s="3">
        <v>2.5000000000000001E-2</v>
      </c>
      <c r="BK245" s="3" t="s">
        <v>189</v>
      </c>
      <c r="BL245" s="3">
        <v>0.47</v>
      </c>
      <c r="BM245" s="7">
        <v>1066.8726810000001</v>
      </c>
      <c r="BN245" s="3">
        <v>2E-3</v>
      </c>
      <c r="BO245" s="3">
        <f t="shared" si="27"/>
        <v>0.27999999999999997</v>
      </c>
    </row>
    <row r="246" spans="1:71" x14ac:dyDescent="0.3">
      <c r="A246" s="3" t="s">
        <v>190</v>
      </c>
      <c r="B246" s="3">
        <v>0.9</v>
      </c>
      <c r="C246" s="3">
        <v>0.5</v>
      </c>
      <c r="D246" s="3">
        <v>0.6</v>
      </c>
      <c r="E246" s="3">
        <v>0.93</v>
      </c>
      <c r="F246" s="7">
        <v>794.73345900000004</v>
      </c>
      <c r="G246" s="3">
        <v>1.9E-2</v>
      </c>
      <c r="I246" s="3" t="s">
        <v>190</v>
      </c>
      <c r="J246" s="3">
        <v>0.65</v>
      </c>
      <c r="K246" s="6">
        <v>723.15417500000001</v>
      </c>
      <c r="L246" s="3">
        <v>1E-3</v>
      </c>
      <c r="M246" s="3">
        <f t="shared" si="24"/>
        <v>0.79</v>
      </c>
      <c r="N246" s="5"/>
      <c r="O246" s="5"/>
      <c r="P246" s="5"/>
      <c r="Q246" s="5"/>
      <c r="S246" s="3" t="s">
        <v>190</v>
      </c>
      <c r="T246" s="3">
        <v>0.9</v>
      </c>
      <c r="U246" s="3">
        <v>0.5</v>
      </c>
      <c r="V246" s="3">
        <v>0.6</v>
      </c>
      <c r="W246" s="3">
        <v>0.87</v>
      </c>
      <c r="X246" s="7">
        <v>816.99408000000005</v>
      </c>
      <c r="Y246" s="3">
        <v>1.4999999999999999E-2</v>
      </c>
      <c r="AA246" s="3" t="s">
        <v>190</v>
      </c>
      <c r="AB246" s="3">
        <v>0.34</v>
      </c>
      <c r="AC246" s="6">
        <v>655.37750200000005</v>
      </c>
      <c r="AD246" s="3">
        <v>1E-3</v>
      </c>
      <c r="AE246" s="3">
        <f t="shared" si="25"/>
        <v>0.60499999999999998</v>
      </c>
      <c r="AF246" s="5"/>
      <c r="AG246" s="5"/>
      <c r="AH246" s="5"/>
      <c r="AI246" s="5"/>
      <c r="AK246" s="3" t="s">
        <v>191</v>
      </c>
      <c r="AL246" s="3">
        <v>0.9</v>
      </c>
      <c r="AM246" s="3">
        <v>0.5</v>
      </c>
      <c r="AN246" s="3">
        <v>0.6</v>
      </c>
      <c r="AO246" s="3">
        <v>0.51</v>
      </c>
      <c r="AP246" s="6">
        <v>1108.715942</v>
      </c>
      <c r="AQ246" s="3">
        <v>2.9000000000000001E-2</v>
      </c>
      <c r="AS246" s="3" t="s">
        <v>191</v>
      </c>
      <c r="AT246" s="3">
        <v>0.9</v>
      </c>
      <c r="AU246" s="7">
        <v>1194.3666989999999</v>
      </c>
      <c r="AV246" s="3">
        <v>4.0000000000000001E-3</v>
      </c>
      <c r="AW246" s="3">
        <f t="shared" si="26"/>
        <v>0.70500000000000007</v>
      </c>
      <c r="AX246" s="5"/>
      <c r="AY246" s="5"/>
      <c r="AZ246" s="5"/>
      <c r="BA246" s="5"/>
      <c r="BC246" s="3" t="s">
        <v>191</v>
      </c>
      <c r="BD246" s="3">
        <v>0.9</v>
      </c>
      <c r="BE246" s="3">
        <v>0.5</v>
      </c>
      <c r="BF246" s="3">
        <v>0.6</v>
      </c>
      <c r="BG246" s="3">
        <v>0.79</v>
      </c>
      <c r="BH246" s="6">
        <v>1201.391846</v>
      </c>
      <c r="BI246" s="3">
        <v>2.3E-2</v>
      </c>
      <c r="BK246" s="3" t="s">
        <v>191</v>
      </c>
      <c r="BL246" s="3">
        <v>0.86</v>
      </c>
      <c r="BM246" s="7">
        <v>1214.5976559999999</v>
      </c>
      <c r="BN246" s="3">
        <v>2E-3</v>
      </c>
      <c r="BO246" s="3">
        <f t="shared" si="27"/>
        <v>0.82499999999999996</v>
      </c>
    </row>
    <row r="247" spans="1:71" x14ac:dyDescent="0.3">
      <c r="A247" s="3" t="s">
        <v>192</v>
      </c>
      <c r="B247" s="3">
        <v>0.9</v>
      </c>
      <c r="C247" s="3">
        <v>0.5</v>
      </c>
      <c r="D247" s="3">
        <v>0.6</v>
      </c>
      <c r="E247" s="3">
        <v>0.83</v>
      </c>
      <c r="F247" s="7">
        <v>995.26727300000005</v>
      </c>
      <c r="G247" s="3">
        <v>1.0999999999999999E-2</v>
      </c>
      <c r="I247" s="3" t="s">
        <v>192</v>
      </c>
      <c r="J247" s="3">
        <v>0.54</v>
      </c>
      <c r="K247" s="6">
        <v>900.82818599999996</v>
      </c>
      <c r="L247" s="3">
        <v>1E-3</v>
      </c>
      <c r="M247" s="3">
        <f t="shared" si="24"/>
        <v>0.68500000000000005</v>
      </c>
      <c r="N247" s="5"/>
      <c r="O247" s="5"/>
      <c r="P247" s="5"/>
      <c r="Q247" s="5"/>
      <c r="S247" s="3" t="s">
        <v>192</v>
      </c>
      <c r="T247" s="3">
        <v>0.9</v>
      </c>
      <c r="U247" s="3">
        <v>0.5</v>
      </c>
      <c r="V247" s="3">
        <v>0.6</v>
      </c>
      <c r="W247" s="3">
        <v>0.83</v>
      </c>
      <c r="X247" s="7">
        <v>988.34179700000004</v>
      </c>
      <c r="Y247" s="3">
        <v>8.0000000000000002E-3</v>
      </c>
      <c r="AA247" s="3" t="s">
        <v>192</v>
      </c>
      <c r="AB247" s="3">
        <v>0.11</v>
      </c>
      <c r="AC247" s="6">
        <v>722.06506300000001</v>
      </c>
      <c r="AD247" s="3">
        <v>2E-3</v>
      </c>
      <c r="AE247" s="3">
        <f t="shared" si="25"/>
        <v>0.47</v>
      </c>
      <c r="AF247" s="5"/>
      <c r="AG247" s="5"/>
      <c r="AH247" s="5"/>
      <c r="AI247" s="5"/>
      <c r="AK247" s="3" t="s">
        <v>193</v>
      </c>
      <c r="AL247" s="3">
        <v>0.9</v>
      </c>
      <c r="AM247" s="3">
        <v>0.5</v>
      </c>
      <c r="AN247" s="3">
        <v>0.6</v>
      </c>
      <c r="AO247" s="3">
        <v>0.35</v>
      </c>
      <c r="AP247" s="6">
        <v>1120.6256100000001</v>
      </c>
      <c r="AQ247" s="3">
        <v>0.02</v>
      </c>
      <c r="AS247" s="3" t="s">
        <v>193</v>
      </c>
      <c r="AT247" s="3">
        <v>0.32</v>
      </c>
      <c r="AU247" s="7">
        <v>1125.584106</v>
      </c>
      <c r="AV247" s="3">
        <v>2E-3</v>
      </c>
      <c r="AW247" s="3">
        <f t="shared" si="26"/>
        <v>0.33499999999999996</v>
      </c>
      <c r="AX247" s="5"/>
      <c r="AY247" s="5"/>
      <c r="AZ247" s="5"/>
      <c r="BA247" s="5"/>
      <c r="BC247" s="3" t="s">
        <v>193</v>
      </c>
      <c r="BD247" s="3">
        <v>0.9</v>
      </c>
      <c r="BE247" s="3">
        <v>0.5</v>
      </c>
      <c r="BF247" s="3">
        <v>0.6</v>
      </c>
      <c r="BG247" s="3">
        <v>0.56999999999999995</v>
      </c>
      <c r="BH247" s="7">
        <v>1203.6517329999999</v>
      </c>
      <c r="BI247" s="3">
        <v>2.1999999999999999E-2</v>
      </c>
      <c r="BK247" s="3" t="s">
        <v>193</v>
      </c>
      <c r="BL247" s="3">
        <v>0.09</v>
      </c>
      <c r="BM247" s="6">
        <v>926.90655500000003</v>
      </c>
      <c r="BN247" s="3">
        <v>2E-3</v>
      </c>
      <c r="BO247" s="3">
        <f t="shared" si="27"/>
        <v>0.32999999999999996</v>
      </c>
    </row>
    <row r="248" spans="1:71" x14ac:dyDescent="0.3">
      <c r="A248" s="9" t="s">
        <v>316</v>
      </c>
      <c r="E248" s="9">
        <f>AVERAGE(E218:E247)</f>
        <v>0.53999999999999992</v>
      </c>
      <c r="I248" s="9" t="s">
        <v>316</v>
      </c>
      <c r="J248" s="9">
        <f>AVERAGE(J218:J247)</f>
        <v>0.45633333333333337</v>
      </c>
      <c r="M248" s="5"/>
      <c r="N248" s="5"/>
      <c r="O248" s="5"/>
      <c r="P248" s="5"/>
      <c r="Q248" s="5"/>
      <c r="S248" s="9" t="s">
        <v>316</v>
      </c>
      <c r="W248" s="9">
        <f>AVERAGE(W218:W247)</f>
        <v>0.46933333333333332</v>
      </c>
      <c r="AA248" s="9" t="s">
        <v>316</v>
      </c>
      <c r="AB248" s="9">
        <f>AVERAGE(AB218:AB247)</f>
        <v>0.47500000000000003</v>
      </c>
      <c r="AE248" s="5"/>
      <c r="AF248" s="5"/>
      <c r="AG248" s="5"/>
      <c r="AH248" s="5"/>
      <c r="AI248" s="5"/>
      <c r="AK248" s="9" t="s">
        <v>316</v>
      </c>
      <c r="AO248" s="9">
        <f>AVERAGE(AO218:AO247)</f>
        <v>0.51999999999999991</v>
      </c>
      <c r="AS248" s="9" t="s">
        <v>316</v>
      </c>
      <c r="AT248" s="9">
        <f>AVERAGE(AT218:AT247)</f>
        <v>0.59066666666666656</v>
      </c>
      <c r="AW248" s="5"/>
      <c r="AX248" s="5"/>
      <c r="AY248" s="5"/>
      <c r="AZ248" s="5"/>
      <c r="BA248" s="5"/>
      <c r="BC248" s="9" t="s">
        <v>316</v>
      </c>
      <c r="BG248" s="9">
        <f>AVERAGE(BG218:BG247)</f>
        <v>0.46566666666666662</v>
      </c>
      <c r="BK248" s="9" t="s">
        <v>316</v>
      </c>
      <c r="BL248" s="9">
        <f>AVERAGE(BL218:BL247)</f>
        <v>0.48133333333333339</v>
      </c>
      <c r="BO248" s="5"/>
    </row>
    <row r="249" spans="1:71" x14ac:dyDescent="0.3">
      <c r="M249" s="5"/>
      <c r="N249" s="5"/>
      <c r="O249" s="5"/>
      <c r="P249" s="5"/>
      <c r="Q249" s="5"/>
      <c r="AE249" s="5"/>
      <c r="AF249" s="5"/>
      <c r="AG249" s="5"/>
      <c r="AH249" s="5"/>
      <c r="AI249" s="5"/>
      <c r="AW249" s="5"/>
      <c r="AX249" s="5"/>
      <c r="AY249" s="5"/>
      <c r="AZ249" s="5"/>
      <c r="BA249" s="5"/>
      <c r="BO249" s="5"/>
    </row>
    <row r="250" spans="1:71" x14ac:dyDescent="0.3">
      <c r="M250" s="5"/>
      <c r="N250" s="5"/>
      <c r="O250" s="5"/>
      <c r="P250" s="5"/>
      <c r="Q250" s="5"/>
      <c r="AE250" s="5"/>
      <c r="AF250" s="5"/>
      <c r="AG250" s="5"/>
      <c r="AH250" s="5"/>
      <c r="AI250" s="5"/>
      <c r="AW250" s="5"/>
      <c r="AX250" s="5"/>
      <c r="AY250" s="5"/>
      <c r="AZ250" s="5"/>
      <c r="BA250" s="5"/>
      <c r="BO250" s="5"/>
    </row>
    <row r="251" spans="1:71" x14ac:dyDescent="0.3">
      <c r="A251" s="20" t="s">
        <v>314</v>
      </c>
      <c r="B251" s="21"/>
      <c r="C251" s="21"/>
      <c r="D251" s="21"/>
      <c r="E251" s="21"/>
      <c r="F251" s="21"/>
      <c r="G251" s="22"/>
      <c r="I251" s="20" t="s">
        <v>315</v>
      </c>
      <c r="J251" s="21"/>
      <c r="K251" s="21"/>
      <c r="L251" s="21"/>
      <c r="M251" s="22"/>
      <c r="N251" s="11"/>
      <c r="O251" s="11"/>
      <c r="P251" s="11"/>
      <c r="Q251" s="11"/>
      <c r="S251" s="20" t="s">
        <v>314</v>
      </c>
      <c r="T251" s="21"/>
      <c r="U251" s="21"/>
      <c r="V251" s="21"/>
      <c r="W251" s="21"/>
      <c r="X251" s="21"/>
      <c r="Y251" s="22"/>
      <c r="AA251" s="20" t="s">
        <v>315</v>
      </c>
      <c r="AB251" s="21"/>
      <c r="AC251" s="21"/>
      <c r="AD251" s="21"/>
      <c r="AE251" s="22"/>
      <c r="AF251" s="11"/>
      <c r="AG251" s="11"/>
      <c r="AH251" s="11"/>
      <c r="AI251" s="11"/>
      <c r="AK251" s="20" t="s">
        <v>314</v>
      </c>
      <c r="AL251" s="21"/>
      <c r="AM251" s="21"/>
      <c r="AN251" s="21"/>
      <c r="AO251" s="21"/>
      <c r="AP251" s="21"/>
      <c r="AQ251" s="22"/>
      <c r="AS251" s="20" t="s">
        <v>315</v>
      </c>
      <c r="AT251" s="21"/>
      <c r="AU251" s="21"/>
      <c r="AV251" s="21"/>
      <c r="AW251" s="22"/>
      <c r="AX251" s="11"/>
      <c r="AY251" s="11"/>
      <c r="AZ251" s="11"/>
      <c r="BA251" s="11"/>
      <c r="BC251" s="20" t="s">
        <v>314</v>
      </c>
      <c r="BD251" s="21"/>
      <c r="BE251" s="21"/>
      <c r="BF251" s="21"/>
      <c r="BG251" s="21"/>
      <c r="BH251" s="21"/>
      <c r="BI251" s="22"/>
      <c r="BK251" s="20" t="s">
        <v>315</v>
      </c>
      <c r="BL251" s="21"/>
      <c r="BM251" s="21"/>
      <c r="BN251" s="21"/>
      <c r="BO251" s="22"/>
    </row>
    <row r="252" spans="1:71" x14ac:dyDescent="0.3">
      <c r="A252" s="3" t="s">
        <v>70</v>
      </c>
      <c r="B252" s="3"/>
      <c r="C252" s="3"/>
      <c r="D252" s="3"/>
      <c r="E252" s="3"/>
      <c r="F252" s="3"/>
      <c r="G252" s="3"/>
      <c r="I252" s="3" t="s">
        <v>70</v>
      </c>
      <c r="J252" s="3"/>
      <c r="K252" s="3"/>
      <c r="L252" s="3"/>
      <c r="M252" s="3"/>
      <c r="N252" s="5"/>
      <c r="O252" s="5"/>
      <c r="P252" s="5"/>
      <c r="Q252" s="5"/>
      <c r="S252" s="3" t="s">
        <v>71</v>
      </c>
      <c r="T252" s="3"/>
      <c r="U252" s="3"/>
      <c r="V252" s="3"/>
      <c r="W252" s="3"/>
      <c r="X252" s="3"/>
      <c r="Y252" s="3"/>
      <c r="AA252" s="3" t="s">
        <v>71</v>
      </c>
      <c r="AB252" s="3"/>
      <c r="AC252" s="3"/>
      <c r="AD252" s="3"/>
      <c r="AE252" s="3"/>
      <c r="AK252" s="3" t="s">
        <v>70</v>
      </c>
      <c r="AL252" s="3"/>
      <c r="AM252" s="3"/>
      <c r="AN252" s="3"/>
      <c r="AO252" s="3"/>
      <c r="AP252" s="3"/>
      <c r="AQ252" s="3"/>
      <c r="AS252" s="3" t="s">
        <v>70</v>
      </c>
      <c r="AT252" s="3"/>
      <c r="AU252" s="3"/>
      <c r="AV252" s="3"/>
      <c r="AW252" s="3"/>
      <c r="AX252" s="3" t="s">
        <v>322</v>
      </c>
      <c r="AY252" s="3" t="s">
        <v>323</v>
      </c>
      <c r="AZ252" s="3" t="s">
        <v>322</v>
      </c>
      <c r="BA252" s="3" t="s">
        <v>323</v>
      </c>
      <c r="BC252" s="3" t="s">
        <v>71</v>
      </c>
      <c r="BD252" s="3"/>
      <c r="BE252" s="3"/>
      <c r="BF252" s="3"/>
      <c r="BG252" s="3"/>
      <c r="BH252" s="3"/>
      <c r="BI252" s="3"/>
      <c r="BK252" s="3" t="s">
        <v>71</v>
      </c>
      <c r="BL252" s="3"/>
      <c r="BM252" s="3"/>
      <c r="BN252" s="3"/>
      <c r="BO252" s="3"/>
      <c r="BP252" s="3" t="s">
        <v>322</v>
      </c>
      <c r="BQ252" s="3" t="s">
        <v>323</v>
      </c>
      <c r="BR252" s="3" t="s">
        <v>322</v>
      </c>
      <c r="BS252" s="3" t="s">
        <v>323</v>
      </c>
    </row>
    <row r="253" spans="1:71" x14ac:dyDescent="0.3">
      <c r="A253" s="3" t="s">
        <v>2</v>
      </c>
      <c r="B253" s="3" t="s">
        <v>3</v>
      </c>
      <c r="C253" s="3" t="s">
        <v>4</v>
      </c>
      <c r="D253" s="3" t="s">
        <v>5</v>
      </c>
      <c r="E253" s="3" t="s">
        <v>6</v>
      </c>
      <c r="F253" s="3" t="s">
        <v>7</v>
      </c>
      <c r="G253" s="3" t="s">
        <v>8</v>
      </c>
      <c r="I253" s="3" t="s">
        <v>2</v>
      </c>
      <c r="J253" s="3" t="s">
        <v>6</v>
      </c>
      <c r="K253" s="3" t="s">
        <v>7</v>
      </c>
      <c r="L253" s="3" t="s">
        <v>8</v>
      </c>
      <c r="M253" s="3" t="s">
        <v>9</v>
      </c>
      <c r="N253" s="3" t="s">
        <v>322</v>
      </c>
      <c r="O253" s="3" t="s">
        <v>323</v>
      </c>
      <c r="P253" s="3" t="s">
        <v>322</v>
      </c>
      <c r="Q253" s="3" t="s">
        <v>323</v>
      </c>
      <c r="S253" s="3" t="s">
        <v>2</v>
      </c>
      <c r="T253" s="3" t="s">
        <v>3</v>
      </c>
      <c r="U253" s="3" t="s">
        <v>4</v>
      </c>
      <c r="V253" s="3" t="s">
        <v>5</v>
      </c>
      <c r="W253" s="3" t="s">
        <v>6</v>
      </c>
      <c r="X253" s="3" t="s">
        <v>7</v>
      </c>
      <c r="Y253" s="3" t="s">
        <v>8</v>
      </c>
      <c r="AA253" s="3" t="s">
        <v>2</v>
      </c>
      <c r="AB253" s="3" t="s">
        <v>6</v>
      </c>
      <c r="AC253" s="3" t="s">
        <v>7</v>
      </c>
      <c r="AD253" s="3" t="s">
        <v>8</v>
      </c>
      <c r="AE253" s="3" t="s">
        <v>9</v>
      </c>
      <c r="AF253" s="3" t="s">
        <v>322</v>
      </c>
      <c r="AG253" s="3" t="s">
        <v>323</v>
      </c>
      <c r="AH253" s="3" t="s">
        <v>322</v>
      </c>
      <c r="AI253" s="3" t="s">
        <v>323</v>
      </c>
      <c r="AK253" s="3" t="s">
        <v>2</v>
      </c>
      <c r="AL253" s="3" t="s">
        <v>3</v>
      </c>
      <c r="AM253" s="3" t="s">
        <v>4</v>
      </c>
      <c r="AN253" s="3" t="s">
        <v>5</v>
      </c>
      <c r="AO253" s="3" t="s">
        <v>6</v>
      </c>
      <c r="AP253" s="3" t="s">
        <v>7</v>
      </c>
      <c r="AQ253" s="3" t="s">
        <v>8</v>
      </c>
      <c r="AS253" s="3" t="s">
        <v>2</v>
      </c>
      <c r="AT253" s="3" t="s">
        <v>6</v>
      </c>
      <c r="AU253" s="3" t="s">
        <v>7</v>
      </c>
      <c r="AV253" s="3" t="s">
        <v>8</v>
      </c>
      <c r="AW253" s="3" t="s">
        <v>9</v>
      </c>
      <c r="AX253" s="4" t="s">
        <v>320</v>
      </c>
      <c r="AY253" s="4" t="s">
        <v>320</v>
      </c>
      <c r="AZ253" s="4" t="s">
        <v>321</v>
      </c>
      <c r="BA253" s="4" t="s">
        <v>321</v>
      </c>
      <c r="BC253" s="3" t="s">
        <v>2</v>
      </c>
      <c r="BD253" s="3" t="s">
        <v>3</v>
      </c>
      <c r="BE253" s="3" t="s">
        <v>4</v>
      </c>
      <c r="BF253" s="3" t="s">
        <v>5</v>
      </c>
      <c r="BG253" s="3" t="s">
        <v>6</v>
      </c>
      <c r="BH253" s="3" t="s">
        <v>7</v>
      </c>
      <c r="BI253" s="3" t="s">
        <v>8</v>
      </c>
      <c r="BK253" s="3" t="s">
        <v>2</v>
      </c>
      <c r="BL253" s="3" t="s">
        <v>6</v>
      </c>
      <c r="BM253" s="3" t="s">
        <v>7</v>
      </c>
      <c r="BN253" s="3" t="s">
        <v>8</v>
      </c>
      <c r="BO253" s="3" t="s">
        <v>9</v>
      </c>
      <c r="BP253" s="4" t="s">
        <v>320</v>
      </c>
      <c r="BQ253" s="4" t="s">
        <v>320</v>
      </c>
      <c r="BR253" s="4" t="s">
        <v>321</v>
      </c>
      <c r="BS253" s="4" t="s">
        <v>321</v>
      </c>
    </row>
    <row r="254" spans="1:71" x14ac:dyDescent="0.3">
      <c r="A254" s="3" t="s">
        <v>134</v>
      </c>
      <c r="B254" s="3">
        <v>0.9</v>
      </c>
      <c r="C254" s="3">
        <v>0.5</v>
      </c>
      <c r="D254" s="3">
        <v>0.6</v>
      </c>
      <c r="E254" s="3">
        <v>0.01</v>
      </c>
      <c r="F254" s="6">
        <v>595.509277</v>
      </c>
      <c r="G254" s="3">
        <v>0.02</v>
      </c>
      <c r="I254" s="3" t="s">
        <v>134</v>
      </c>
      <c r="J254" s="3">
        <v>0.01</v>
      </c>
      <c r="K254" s="6">
        <v>595.509277</v>
      </c>
      <c r="L254" s="3">
        <v>2.1000000000000001E-2</v>
      </c>
      <c r="M254" s="3">
        <f t="shared" ref="M254:M283" si="28">AVERAGE(E254,J254)</f>
        <v>0.01</v>
      </c>
      <c r="N254" s="4" t="s">
        <v>320</v>
      </c>
      <c r="O254" s="4" t="s">
        <v>320</v>
      </c>
      <c r="P254" s="4" t="s">
        <v>321</v>
      </c>
      <c r="Q254" s="4" t="s">
        <v>321</v>
      </c>
      <c r="S254" s="3" t="s">
        <v>134</v>
      </c>
      <c r="T254" s="3">
        <v>0.9</v>
      </c>
      <c r="U254" s="3">
        <v>0.5</v>
      </c>
      <c r="V254" s="3">
        <v>0.6</v>
      </c>
      <c r="W254" s="3">
        <v>0.01</v>
      </c>
      <c r="X254" s="6">
        <v>573.09020999999996</v>
      </c>
      <c r="Y254" s="3">
        <v>1.2999999999999999E-2</v>
      </c>
      <c r="AA254" s="3" t="s">
        <v>134</v>
      </c>
      <c r="AB254" s="3">
        <v>0.01</v>
      </c>
      <c r="AC254" s="6">
        <v>573.09020999999996</v>
      </c>
      <c r="AD254" s="3">
        <v>1E-3</v>
      </c>
      <c r="AE254" s="3">
        <f t="shared" ref="AE254:AE283" si="29">AVERAGE(W254,AB254)</f>
        <v>0.01</v>
      </c>
      <c r="AF254" s="4" t="s">
        <v>320</v>
      </c>
      <c r="AG254" s="4" t="s">
        <v>320</v>
      </c>
      <c r="AH254" s="4" t="s">
        <v>321</v>
      </c>
      <c r="AI254" s="4" t="s">
        <v>321</v>
      </c>
      <c r="AK254" s="3" t="s">
        <v>135</v>
      </c>
      <c r="AL254" s="3">
        <v>0.9</v>
      </c>
      <c r="AM254" s="3">
        <v>0.5</v>
      </c>
      <c r="AN254" s="3">
        <v>0.6</v>
      </c>
      <c r="AO254" s="3">
        <v>0.01</v>
      </c>
      <c r="AP254" s="6">
        <v>715.47619599999996</v>
      </c>
      <c r="AQ254" s="3">
        <v>8.9999999999999993E-3</v>
      </c>
      <c r="AS254" s="3" t="s">
        <v>135</v>
      </c>
      <c r="AT254" s="3">
        <v>0.01</v>
      </c>
      <c r="AU254" s="6">
        <v>715.47619599999996</v>
      </c>
      <c r="AV254" s="3">
        <v>1E-3</v>
      </c>
      <c r="AW254" s="3">
        <f t="shared" ref="AW254:AW283" si="30">AVERAGE(AO254,AT254)</f>
        <v>0.01</v>
      </c>
      <c r="AX254" s="3">
        <f>COUNT(AP254,AP257:AP259,AP261:AP262,AP266,AP271:AP273,AP277:AP279)</f>
        <v>13</v>
      </c>
      <c r="AY254" s="3">
        <f>30-AX254</f>
        <v>17</v>
      </c>
      <c r="AZ254" s="3">
        <f>COUNT(AU254:AU256,AU260,AU263:AU265,AU267:AU270,AU274:AU276,AU280:AU283)</f>
        <v>18</v>
      </c>
      <c r="BA254" s="3">
        <f>30-AZ254</f>
        <v>12</v>
      </c>
      <c r="BC254" s="3" t="s">
        <v>135</v>
      </c>
      <c r="BD254" s="3">
        <v>0.9</v>
      </c>
      <c r="BE254" s="3">
        <v>0.5</v>
      </c>
      <c r="BF254" s="3">
        <v>0.6</v>
      </c>
      <c r="BG254" s="3">
        <v>0.01</v>
      </c>
      <c r="BH254" s="6">
        <v>675.18188499999997</v>
      </c>
      <c r="BI254" s="3">
        <v>1.2E-2</v>
      </c>
      <c r="BK254" s="3" t="s">
        <v>135</v>
      </c>
      <c r="BL254" s="3">
        <v>0.01</v>
      </c>
      <c r="BM254" s="6">
        <v>675.18188499999997</v>
      </c>
      <c r="BN254" s="3">
        <v>2E-3</v>
      </c>
      <c r="BO254" s="3">
        <f t="shared" ref="BO254:BO283" si="31">AVERAGE(BG254,BL254)</f>
        <v>0.01</v>
      </c>
      <c r="BP254" s="3">
        <f>COUNT(BH254,BH256:BH259,BH264:BH265,BH267,BH269:BH270,BH273:BH276,BH278:BH279,BH281:BH283)</f>
        <v>19</v>
      </c>
      <c r="BQ254" s="3">
        <f>30-BP254</f>
        <v>11</v>
      </c>
      <c r="BR254" s="3">
        <f>COUNT(BM254:BM255,BM260:BM263,BM266,BM268:BM269,BM271:BM272,BM277,BM280)</f>
        <v>13</v>
      </c>
      <c r="BS254" s="3">
        <f>30-BR254</f>
        <v>17</v>
      </c>
    </row>
    <row r="255" spans="1:71" x14ac:dyDescent="0.3">
      <c r="A255" s="3" t="s">
        <v>136</v>
      </c>
      <c r="B255" s="3">
        <v>0.9</v>
      </c>
      <c r="C255" s="3">
        <v>0.5</v>
      </c>
      <c r="D255" s="3">
        <v>0.6</v>
      </c>
      <c r="E255" s="3">
        <v>0.26</v>
      </c>
      <c r="F255" s="6">
        <v>547.31719999999996</v>
      </c>
      <c r="G255" s="3">
        <v>2.5000000000000001E-2</v>
      </c>
      <c r="I255" s="3" t="s">
        <v>136</v>
      </c>
      <c r="J255" s="3">
        <v>0.31</v>
      </c>
      <c r="K255" s="7">
        <v>558.37805200000003</v>
      </c>
      <c r="L255" s="3">
        <v>2E-3</v>
      </c>
      <c r="M255" s="3">
        <f t="shared" si="28"/>
        <v>0.28500000000000003</v>
      </c>
      <c r="N255" s="3">
        <f>COUNT(F254:F255,F257:F259,F262:F263,F265:F266,F269:F270,F272,F278:F280,F282)</f>
        <v>16</v>
      </c>
      <c r="O255" s="3">
        <f>COUNT(F256,F260:F261,F264,F267:F268,F271,F273:F277,F281,F283)</f>
        <v>14</v>
      </c>
      <c r="P255" s="3">
        <f>COUNT(K254,K256,K260:K261,K264,K267:K268,K271,K273:K277,K281,K283)</f>
        <v>15</v>
      </c>
      <c r="Q255" s="3">
        <f>COUNT(K255,K257:K259,K262:K263,K265:K266,K269:K270,K272,K278:K280,K282)</f>
        <v>15</v>
      </c>
      <c r="S255" s="3" t="s">
        <v>136</v>
      </c>
      <c r="T255" s="3">
        <v>0.9</v>
      </c>
      <c r="U255" s="3">
        <v>0.5</v>
      </c>
      <c r="V255" s="3">
        <v>0.6</v>
      </c>
      <c r="W255" s="3">
        <v>0.54</v>
      </c>
      <c r="X255" s="7">
        <v>545.06207300000005</v>
      </c>
      <c r="Y255" s="3">
        <v>2.1999999999999999E-2</v>
      </c>
      <c r="AA255" s="3" t="s">
        <v>136</v>
      </c>
      <c r="AB255" s="3">
        <v>0.19</v>
      </c>
      <c r="AC255" s="6">
        <v>488.02426100000002</v>
      </c>
      <c r="AD255" s="3">
        <v>3.0000000000000001E-3</v>
      </c>
      <c r="AE255" s="3">
        <f t="shared" si="29"/>
        <v>0.36499999999999999</v>
      </c>
      <c r="AF255" s="3">
        <f>COUNT(X254,X256,X258:X261,X263,X268,X274:X276,X278,X280:X282)</f>
        <v>15</v>
      </c>
      <c r="AG255" s="3">
        <f>COUNT(X255,X257,X262,X264:X267,X269:X273,X277,X279,X283)</f>
        <v>15</v>
      </c>
      <c r="AH255" s="3">
        <f>COUNT(AC254:AC255,AC257:AC258,AC262,AC264:AC267,AC269:AC273,AC277,AC279,AC283)</f>
        <v>17</v>
      </c>
      <c r="AI255" s="3">
        <f>COUNT(AC256,AC259:AC261,AC263,AC268,AC274:AC276,AC278,AC280:AC282)</f>
        <v>13</v>
      </c>
      <c r="AK255" s="3" t="s">
        <v>137</v>
      </c>
      <c r="AL255" s="3">
        <v>0.9</v>
      </c>
      <c r="AM255" s="3">
        <v>0.5</v>
      </c>
      <c r="AN255" s="3">
        <v>0.6</v>
      </c>
      <c r="AO255" s="3">
        <v>0.85</v>
      </c>
      <c r="AP255" s="7">
        <v>1027.5391850000001</v>
      </c>
      <c r="AQ255" s="3">
        <v>2.5000000000000001E-2</v>
      </c>
      <c r="AS255" s="3" t="s">
        <v>137</v>
      </c>
      <c r="AT255" s="3">
        <v>0.38</v>
      </c>
      <c r="AU255" s="6">
        <v>915.73278800000003</v>
      </c>
      <c r="AV255" s="3">
        <v>4.0000000000000001E-3</v>
      </c>
      <c r="AW255" s="3">
        <f t="shared" si="30"/>
        <v>0.61499999999999999</v>
      </c>
      <c r="AX255" s="5"/>
      <c r="AY255" s="5"/>
      <c r="AZ255" s="5"/>
      <c r="BA255" s="5"/>
      <c r="BC255" s="3" t="s">
        <v>137</v>
      </c>
      <c r="BD255" s="3">
        <v>0.9</v>
      </c>
      <c r="BE255" s="3">
        <v>0.5</v>
      </c>
      <c r="BF255" s="3">
        <v>0.6</v>
      </c>
      <c r="BG255" s="3">
        <v>0.73</v>
      </c>
      <c r="BH255" s="7">
        <v>996.850281</v>
      </c>
      <c r="BI255" s="3">
        <v>0.01</v>
      </c>
      <c r="BK255" s="3" t="s">
        <v>137</v>
      </c>
      <c r="BL255" s="3">
        <v>0.31</v>
      </c>
      <c r="BM255" s="6">
        <v>851.64569100000006</v>
      </c>
      <c r="BN255" s="3">
        <v>2E-3</v>
      </c>
      <c r="BO255" s="3">
        <f t="shared" si="31"/>
        <v>0.52</v>
      </c>
    </row>
    <row r="256" spans="1:71" x14ac:dyDescent="0.3">
      <c r="A256" s="3" t="s">
        <v>138</v>
      </c>
      <c r="B256" s="3">
        <v>0.9</v>
      </c>
      <c r="C256" s="3">
        <v>0.5</v>
      </c>
      <c r="D256" s="3">
        <v>0.6</v>
      </c>
      <c r="E256" s="3">
        <v>0.62</v>
      </c>
      <c r="F256" s="7">
        <v>662.53161599999999</v>
      </c>
      <c r="G256" s="3">
        <v>0.03</v>
      </c>
      <c r="I256" s="3" t="s">
        <v>138</v>
      </c>
      <c r="J256" s="3">
        <v>0.01</v>
      </c>
      <c r="K256" s="6">
        <v>617.37231399999996</v>
      </c>
      <c r="L256" s="3">
        <v>3.0000000000000001E-3</v>
      </c>
      <c r="M256" s="3">
        <f t="shared" si="28"/>
        <v>0.315</v>
      </c>
      <c r="N256" s="5"/>
      <c r="O256" s="5"/>
      <c r="P256" s="5"/>
      <c r="Q256" s="5"/>
      <c r="S256" s="3" t="s">
        <v>138</v>
      </c>
      <c r="T256" s="3">
        <v>0.9</v>
      </c>
      <c r="U256" s="3">
        <v>0.5</v>
      </c>
      <c r="V256" s="3">
        <v>0.6</v>
      </c>
      <c r="W256" s="3">
        <v>0.25</v>
      </c>
      <c r="X256" s="6">
        <v>589.03533900000002</v>
      </c>
      <c r="Y256" s="3">
        <v>0.02</v>
      </c>
      <c r="AA256" s="3" t="s">
        <v>138</v>
      </c>
      <c r="AB256" s="3">
        <v>0.69</v>
      </c>
      <c r="AC256" s="7">
        <v>645.40783699999997</v>
      </c>
      <c r="AD256" s="3">
        <v>2E-3</v>
      </c>
      <c r="AE256" s="3">
        <f t="shared" si="29"/>
        <v>0.47</v>
      </c>
      <c r="AF256" s="5"/>
      <c r="AG256" s="5"/>
      <c r="AH256" s="5"/>
      <c r="AI256" s="5"/>
      <c r="AK256" s="3" t="s">
        <v>139</v>
      </c>
      <c r="AL256" s="3">
        <v>0.9</v>
      </c>
      <c r="AM256" s="3">
        <v>0.5</v>
      </c>
      <c r="AN256" s="3">
        <v>0.6</v>
      </c>
      <c r="AO256" s="3">
        <v>0.97</v>
      </c>
      <c r="AP256" s="7">
        <v>1074.665405</v>
      </c>
      <c r="AQ256" s="3">
        <v>2.3E-2</v>
      </c>
      <c r="AS256" s="3" t="s">
        <v>139</v>
      </c>
      <c r="AT256" s="3">
        <v>0.01</v>
      </c>
      <c r="AU256" s="6">
        <v>779.42895499999997</v>
      </c>
      <c r="AV256" s="3">
        <v>1E-3</v>
      </c>
      <c r="AW256" s="3">
        <f t="shared" si="30"/>
        <v>0.49</v>
      </c>
      <c r="AX256" s="5"/>
      <c r="AY256" s="5"/>
      <c r="AZ256" s="5"/>
      <c r="BA256" s="5"/>
      <c r="BC256" s="3" t="s">
        <v>139</v>
      </c>
      <c r="BD256" s="3">
        <v>0.9</v>
      </c>
      <c r="BE256" s="3">
        <v>0.5</v>
      </c>
      <c r="BF256" s="3">
        <v>0.6</v>
      </c>
      <c r="BG256" s="3">
        <v>0.42</v>
      </c>
      <c r="BH256" s="6">
        <v>941.198669</v>
      </c>
      <c r="BI256" s="3">
        <v>2.5999999999999999E-2</v>
      </c>
      <c r="BK256" s="3" t="s">
        <v>139</v>
      </c>
      <c r="BL256" s="3">
        <v>0.91</v>
      </c>
      <c r="BM256" s="7">
        <v>1042.072144</v>
      </c>
      <c r="BN256" s="3">
        <v>1E-3</v>
      </c>
      <c r="BO256" s="3">
        <f t="shared" si="31"/>
        <v>0.66500000000000004</v>
      </c>
    </row>
    <row r="257" spans="1:67" x14ac:dyDescent="0.3">
      <c r="A257" s="3" t="s">
        <v>140</v>
      </c>
      <c r="B257" s="3">
        <v>0.9</v>
      </c>
      <c r="C257" s="3">
        <v>0.5</v>
      </c>
      <c r="D257" s="3">
        <v>0.6</v>
      </c>
      <c r="E257" s="3">
        <v>0.18</v>
      </c>
      <c r="F257" s="6">
        <v>579.72753899999998</v>
      </c>
      <c r="G257" s="3">
        <v>6.0000000000000001E-3</v>
      </c>
      <c r="I257" s="3" t="s">
        <v>140</v>
      </c>
      <c r="J257" s="3">
        <v>0.14000000000000001</v>
      </c>
      <c r="K257" s="7">
        <v>586.15960700000005</v>
      </c>
      <c r="L257" s="3">
        <v>2E-3</v>
      </c>
      <c r="M257" s="3">
        <f t="shared" si="28"/>
        <v>0.16</v>
      </c>
      <c r="N257" s="5"/>
      <c r="O257" s="5"/>
      <c r="P257" s="5"/>
      <c r="Q257" s="5"/>
      <c r="S257" s="3" t="s">
        <v>140</v>
      </c>
      <c r="T257" s="3">
        <v>0.9</v>
      </c>
      <c r="U257" s="3">
        <v>0.5</v>
      </c>
      <c r="V257" s="3">
        <v>0.6</v>
      </c>
      <c r="W257" s="3">
        <v>0.83</v>
      </c>
      <c r="X257" s="7">
        <v>687.24786400000005</v>
      </c>
      <c r="Y257" s="3">
        <v>2.7E-2</v>
      </c>
      <c r="AA257" s="3" t="s">
        <v>140</v>
      </c>
      <c r="AB257" s="3">
        <v>0.59</v>
      </c>
      <c r="AC257" s="6">
        <v>634.08654799999999</v>
      </c>
      <c r="AD257" s="3">
        <v>0</v>
      </c>
      <c r="AE257" s="3">
        <f t="shared" si="29"/>
        <v>0.71</v>
      </c>
      <c r="AF257" s="5"/>
      <c r="AG257" s="5"/>
      <c r="AH257" s="5"/>
      <c r="AI257" s="5"/>
      <c r="AK257" s="3" t="s">
        <v>141</v>
      </c>
      <c r="AL257" s="3">
        <v>0.9</v>
      </c>
      <c r="AM257" s="3">
        <v>0.5</v>
      </c>
      <c r="AN257" s="3">
        <v>0.6</v>
      </c>
      <c r="AO257" s="3">
        <v>0.3</v>
      </c>
      <c r="AP257" s="6">
        <v>963.56317100000001</v>
      </c>
      <c r="AQ257" s="3">
        <v>1.7000000000000001E-2</v>
      </c>
      <c r="AS257" s="3" t="s">
        <v>141</v>
      </c>
      <c r="AT257" s="3">
        <v>0.55000000000000004</v>
      </c>
      <c r="AU257" s="7">
        <v>1030.1311040000001</v>
      </c>
      <c r="AV257" s="3">
        <v>0</v>
      </c>
      <c r="AW257" s="3">
        <f t="shared" si="30"/>
        <v>0.42500000000000004</v>
      </c>
      <c r="AX257" s="5"/>
      <c r="AY257" s="5"/>
      <c r="AZ257" s="5"/>
      <c r="BA257" s="5"/>
      <c r="BC257" s="3" t="s">
        <v>141</v>
      </c>
      <c r="BD257" s="3">
        <v>0.9</v>
      </c>
      <c r="BE257" s="3">
        <v>0.5</v>
      </c>
      <c r="BF257" s="3">
        <v>0.6</v>
      </c>
      <c r="BG257" s="3">
        <v>0.44</v>
      </c>
      <c r="BH257" s="6">
        <v>980.66870100000006</v>
      </c>
      <c r="BI257" s="3">
        <v>2.1999999999999999E-2</v>
      </c>
      <c r="BK257" s="3" t="s">
        <v>141</v>
      </c>
      <c r="BL257" s="3">
        <v>0.97</v>
      </c>
      <c r="BM257" s="7">
        <v>1117.11499</v>
      </c>
      <c r="BN257" s="3">
        <v>3.0000000000000001E-3</v>
      </c>
      <c r="BO257" s="3">
        <f t="shared" si="31"/>
        <v>0.70499999999999996</v>
      </c>
    </row>
    <row r="258" spans="1:67" x14ac:dyDescent="0.3">
      <c r="A258" s="3" t="s">
        <v>142</v>
      </c>
      <c r="B258" s="3">
        <v>0.9</v>
      </c>
      <c r="C258" s="3">
        <v>0.5</v>
      </c>
      <c r="D258" s="3">
        <v>0.6</v>
      </c>
      <c r="E258" s="3">
        <v>0.19</v>
      </c>
      <c r="F258" s="6">
        <v>538.87933299999997</v>
      </c>
      <c r="G258" s="3">
        <v>1.4999999999999999E-2</v>
      </c>
      <c r="I258" s="3" t="s">
        <v>142</v>
      </c>
      <c r="J258" s="3">
        <v>0.59</v>
      </c>
      <c r="K258" s="7">
        <v>596.637024</v>
      </c>
      <c r="L258" s="3">
        <v>2E-3</v>
      </c>
      <c r="M258" s="3">
        <f t="shared" si="28"/>
        <v>0.39</v>
      </c>
      <c r="N258" s="5"/>
      <c r="O258" s="5"/>
      <c r="P258" s="5"/>
      <c r="Q258" s="5"/>
      <c r="S258" s="3" t="s">
        <v>142</v>
      </c>
      <c r="T258" s="3">
        <v>0.9</v>
      </c>
      <c r="U258" s="3">
        <v>0.5</v>
      </c>
      <c r="V258" s="3">
        <v>0.6</v>
      </c>
      <c r="W258" s="3">
        <v>0.84</v>
      </c>
      <c r="X258" s="6">
        <v>562.70910600000002</v>
      </c>
      <c r="Y258" s="3">
        <v>1.7999999999999999E-2</v>
      </c>
      <c r="AA258" s="3" t="s">
        <v>142</v>
      </c>
      <c r="AB258" s="3">
        <v>0.85</v>
      </c>
      <c r="AC258" s="6">
        <v>562.70910600000002</v>
      </c>
      <c r="AD258" s="3">
        <v>4.0000000000000001E-3</v>
      </c>
      <c r="AE258" s="3">
        <f t="shared" si="29"/>
        <v>0.84499999999999997</v>
      </c>
      <c r="AF258" s="5"/>
      <c r="AG258" s="5"/>
      <c r="AH258" s="5"/>
      <c r="AI258" s="5"/>
      <c r="AK258" s="3" t="s">
        <v>143</v>
      </c>
      <c r="AL258" s="3">
        <v>0.9</v>
      </c>
      <c r="AM258" s="3">
        <v>0.5</v>
      </c>
      <c r="AN258" s="3">
        <v>0.6</v>
      </c>
      <c r="AO258" s="3">
        <v>0.65</v>
      </c>
      <c r="AP258" s="6">
        <v>986.16876200000002</v>
      </c>
      <c r="AQ258" s="3">
        <v>3.4000000000000002E-2</v>
      </c>
      <c r="AS258" s="3" t="s">
        <v>143</v>
      </c>
      <c r="AT258" s="3">
        <v>0.96</v>
      </c>
      <c r="AU258" s="7">
        <v>1019.360291</v>
      </c>
      <c r="AV258" s="3">
        <v>4.0000000000000001E-3</v>
      </c>
      <c r="AW258" s="3">
        <f t="shared" si="30"/>
        <v>0.80499999999999994</v>
      </c>
      <c r="AX258" s="5"/>
      <c r="AY258" s="5"/>
      <c r="AZ258" s="5"/>
      <c r="BA258" s="5"/>
      <c r="BC258" s="3" t="s">
        <v>143</v>
      </c>
      <c r="BD258" s="3">
        <v>0.9</v>
      </c>
      <c r="BE258" s="3">
        <v>0.5</v>
      </c>
      <c r="BF258" s="3">
        <v>0.6</v>
      </c>
      <c r="BG258" s="3">
        <v>0.47</v>
      </c>
      <c r="BH258" s="6">
        <v>951.29797399999995</v>
      </c>
      <c r="BI258" s="3">
        <v>1.4999999999999999E-2</v>
      </c>
      <c r="BK258" s="3" t="s">
        <v>143</v>
      </c>
      <c r="BL258" s="3">
        <v>0.65</v>
      </c>
      <c r="BM258" s="7">
        <v>973.92114300000003</v>
      </c>
      <c r="BN258" s="3">
        <v>1E-3</v>
      </c>
      <c r="BO258" s="3">
        <f t="shared" si="31"/>
        <v>0.56000000000000005</v>
      </c>
    </row>
    <row r="259" spans="1:67" x14ac:dyDescent="0.3">
      <c r="A259" s="3" t="s">
        <v>144</v>
      </c>
      <c r="B259" s="3">
        <v>0.9</v>
      </c>
      <c r="C259" s="3">
        <v>0.5</v>
      </c>
      <c r="D259" s="3">
        <v>0.6</v>
      </c>
      <c r="E259" s="3">
        <v>0.51</v>
      </c>
      <c r="F259" s="6">
        <v>657.34893799999998</v>
      </c>
      <c r="G259" s="3">
        <v>1.7000000000000001E-2</v>
      </c>
      <c r="I259" s="3" t="s">
        <v>144</v>
      </c>
      <c r="J259" s="3">
        <v>0.67</v>
      </c>
      <c r="K259" s="7">
        <v>683.29937700000005</v>
      </c>
      <c r="L259" s="3">
        <v>0</v>
      </c>
      <c r="M259" s="3">
        <f t="shared" si="28"/>
        <v>0.59000000000000008</v>
      </c>
      <c r="N259" s="5"/>
      <c r="O259" s="5"/>
      <c r="P259" s="5"/>
      <c r="Q259" s="5"/>
      <c r="S259" s="3" t="s">
        <v>144</v>
      </c>
      <c r="T259" s="3">
        <v>0.9</v>
      </c>
      <c r="U259" s="3">
        <v>0.5</v>
      </c>
      <c r="V259" s="3">
        <v>0.6</v>
      </c>
      <c r="W259" s="3">
        <v>0.31</v>
      </c>
      <c r="X259" s="6">
        <v>587.97711200000003</v>
      </c>
      <c r="Y259" s="3">
        <v>2.7E-2</v>
      </c>
      <c r="AA259" s="3" t="s">
        <v>144</v>
      </c>
      <c r="AB259" s="3">
        <v>0.44</v>
      </c>
      <c r="AC259" s="7">
        <v>635.22644000000003</v>
      </c>
      <c r="AD259" s="3">
        <v>1E-3</v>
      </c>
      <c r="AE259" s="3">
        <f t="shared" si="29"/>
        <v>0.375</v>
      </c>
      <c r="AF259" s="5"/>
      <c r="AG259" s="5"/>
      <c r="AH259" s="5"/>
      <c r="AI259" s="5"/>
      <c r="AK259" s="3" t="s">
        <v>145</v>
      </c>
      <c r="AL259" s="3">
        <v>0.9</v>
      </c>
      <c r="AM259" s="3">
        <v>0.5</v>
      </c>
      <c r="AN259" s="3">
        <v>0.6</v>
      </c>
      <c r="AO259" s="3">
        <v>0.48</v>
      </c>
      <c r="AP259" s="6">
        <v>977.77844200000004</v>
      </c>
      <c r="AQ259" s="3">
        <v>1.4E-2</v>
      </c>
      <c r="AS259" s="3" t="s">
        <v>145</v>
      </c>
      <c r="AT259" s="3">
        <v>0.85</v>
      </c>
      <c r="AU259" s="7">
        <v>1068.856323</v>
      </c>
      <c r="AV259" s="3">
        <v>1E-3</v>
      </c>
      <c r="AW259" s="3">
        <f t="shared" si="30"/>
        <v>0.66500000000000004</v>
      </c>
      <c r="AX259" s="5"/>
      <c r="AY259" s="5"/>
      <c r="AZ259" s="5"/>
      <c r="BA259" s="5"/>
      <c r="BC259" s="3" t="s">
        <v>145</v>
      </c>
      <c r="BD259" s="3">
        <v>0.9</v>
      </c>
      <c r="BE259" s="3">
        <v>0.5</v>
      </c>
      <c r="BF259" s="3">
        <v>0.6</v>
      </c>
      <c r="BG259" s="3">
        <v>0.24</v>
      </c>
      <c r="BH259" s="6">
        <v>827.83734100000004</v>
      </c>
      <c r="BI259" s="3">
        <v>0.02</v>
      </c>
      <c r="BK259" s="3" t="s">
        <v>145</v>
      </c>
      <c r="BL259" s="3">
        <v>0.24</v>
      </c>
      <c r="BM259" s="7">
        <v>842.63629200000003</v>
      </c>
      <c r="BN259" s="3">
        <v>3.0000000000000001E-3</v>
      </c>
      <c r="BO259" s="3">
        <f t="shared" si="31"/>
        <v>0.24</v>
      </c>
    </row>
    <row r="260" spans="1:67" x14ac:dyDescent="0.3">
      <c r="A260" s="3" t="s">
        <v>146</v>
      </c>
      <c r="B260" s="3">
        <v>0.9</v>
      </c>
      <c r="C260" s="3">
        <v>0.5</v>
      </c>
      <c r="D260" s="3">
        <v>0.6</v>
      </c>
      <c r="E260" s="3">
        <v>0.22</v>
      </c>
      <c r="F260" s="7">
        <v>548.48046899999997</v>
      </c>
      <c r="G260" s="3">
        <v>1.2999999999999999E-2</v>
      </c>
      <c r="I260" s="3" t="s">
        <v>146</v>
      </c>
      <c r="J260" s="3">
        <v>0.02</v>
      </c>
      <c r="K260" s="6">
        <v>531.78729199999998</v>
      </c>
      <c r="L260" s="3">
        <v>1E-3</v>
      </c>
      <c r="M260" s="3">
        <f t="shared" si="28"/>
        <v>0.12</v>
      </c>
      <c r="N260" s="5"/>
      <c r="O260" s="5"/>
      <c r="P260" s="5"/>
      <c r="Q260" s="5"/>
      <c r="S260" s="3" t="s">
        <v>146</v>
      </c>
      <c r="T260" s="3">
        <v>0.9</v>
      </c>
      <c r="U260" s="3">
        <v>0.5</v>
      </c>
      <c r="V260" s="3">
        <v>0.6</v>
      </c>
      <c r="W260" s="3">
        <v>0</v>
      </c>
      <c r="X260" s="6">
        <v>495.33551</v>
      </c>
      <c r="Y260" s="3">
        <v>3.2000000000000001E-2</v>
      </c>
      <c r="AA260" s="3" t="s">
        <v>146</v>
      </c>
      <c r="AB260" s="3">
        <v>0.2</v>
      </c>
      <c r="AC260" s="7">
        <v>504.94674700000002</v>
      </c>
      <c r="AD260" s="3">
        <v>5.0000000000000001E-3</v>
      </c>
      <c r="AE260" s="3">
        <f t="shared" si="29"/>
        <v>0.1</v>
      </c>
      <c r="AF260" s="5"/>
      <c r="AG260" s="5"/>
      <c r="AH260" s="5"/>
      <c r="AI260" s="5"/>
      <c r="AK260" s="3" t="s">
        <v>147</v>
      </c>
      <c r="AL260" s="3">
        <v>0.9</v>
      </c>
      <c r="AM260" s="3">
        <v>0.5</v>
      </c>
      <c r="AN260" s="3">
        <v>0.6</v>
      </c>
      <c r="AO260" s="3">
        <v>0.05</v>
      </c>
      <c r="AP260" s="7">
        <v>738.66156000000001</v>
      </c>
      <c r="AQ260" s="3">
        <v>1.4E-2</v>
      </c>
      <c r="AS260" s="3" t="s">
        <v>147</v>
      </c>
      <c r="AT260" s="3">
        <v>0.01</v>
      </c>
      <c r="AU260" s="6">
        <v>734.90704300000004</v>
      </c>
      <c r="AV260" s="3">
        <v>4.0000000000000001E-3</v>
      </c>
      <c r="AW260" s="3">
        <f t="shared" si="30"/>
        <v>3.0000000000000002E-2</v>
      </c>
      <c r="AX260" s="5"/>
      <c r="AY260" s="5"/>
      <c r="AZ260" s="5"/>
      <c r="BA260" s="5"/>
      <c r="BC260" s="3" t="s">
        <v>147</v>
      </c>
      <c r="BD260" s="3">
        <v>0.9</v>
      </c>
      <c r="BE260" s="3">
        <v>0.5</v>
      </c>
      <c r="BF260" s="3">
        <v>0.6</v>
      </c>
      <c r="BG260" s="3">
        <v>0.88</v>
      </c>
      <c r="BH260" s="7">
        <v>997.613831</v>
      </c>
      <c r="BI260" s="3">
        <v>1.2999999999999999E-2</v>
      </c>
      <c r="BK260" s="3" t="s">
        <v>147</v>
      </c>
      <c r="BL260" s="3">
        <v>0.56999999999999995</v>
      </c>
      <c r="BM260" s="6">
        <v>958.73223900000005</v>
      </c>
      <c r="BN260" s="3">
        <v>0</v>
      </c>
      <c r="BO260" s="3">
        <f t="shared" si="31"/>
        <v>0.72499999999999998</v>
      </c>
    </row>
    <row r="261" spans="1:67" x14ac:dyDescent="0.3">
      <c r="A261" s="3" t="s">
        <v>148</v>
      </c>
      <c r="B261" s="3">
        <v>0.9</v>
      </c>
      <c r="C261" s="3">
        <v>0.5</v>
      </c>
      <c r="D261" s="3">
        <v>0.6</v>
      </c>
      <c r="E261" s="3">
        <v>0.99</v>
      </c>
      <c r="F261" s="7">
        <v>697.87249799999995</v>
      </c>
      <c r="G261" s="3">
        <v>0.02</v>
      </c>
      <c r="I261" s="3" t="s">
        <v>148</v>
      </c>
      <c r="J261" s="3">
        <v>0.45</v>
      </c>
      <c r="K261" s="6">
        <v>629.64733899999999</v>
      </c>
      <c r="L261" s="3">
        <v>3.0000000000000001E-3</v>
      </c>
      <c r="M261" s="3">
        <f t="shared" si="28"/>
        <v>0.72</v>
      </c>
      <c r="N261" s="5"/>
      <c r="O261" s="5"/>
      <c r="P261" s="5"/>
      <c r="Q261" s="5"/>
      <c r="S261" s="3" t="s">
        <v>148</v>
      </c>
      <c r="T261" s="3">
        <v>0.9</v>
      </c>
      <c r="U261" s="3">
        <v>0.5</v>
      </c>
      <c r="V261" s="3">
        <v>0.6</v>
      </c>
      <c r="W261" s="3">
        <v>0.38</v>
      </c>
      <c r="X261" s="6">
        <v>591.415527</v>
      </c>
      <c r="Y261" s="3">
        <v>1.4999999999999999E-2</v>
      </c>
      <c r="AA261" s="3" t="s">
        <v>148</v>
      </c>
      <c r="AB261" s="3">
        <v>0.74</v>
      </c>
      <c r="AC261" s="7">
        <v>665.85290499999996</v>
      </c>
      <c r="AD261" s="3">
        <v>2E-3</v>
      </c>
      <c r="AE261" s="3">
        <f t="shared" si="29"/>
        <v>0.56000000000000005</v>
      </c>
      <c r="AF261" s="5"/>
      <c r="AG261" s="5"/>
      <c r="AH261" s="5"/>
      <c r="AI261" s="5"/>
      <c r="AK261" s="3" t="s">
        <v>149</v>
      </c>
      <c r="AL261" s="3">
        <v>0.9</v>
      </c>
      <c r="AM261" s="3">
        <v>0.5</v>
      </c>
      <c r="AN261" s="3">
        <v>0.6</v>
      </c>
      <c r="AO261" s="3">
        <v>0.15</v>
      </c>
      <c r="AP261" s="6">
        <v>779.63732900000002</v>
      </c>
      <c r="AQ261" s="3">
        <v>1.6E-2</v>
      </c>
      <c r="AS261" s="3" t="s">
        <v>149</v>
      </c>
      <c r="AT261" s="3">
        <v>0.56999999999999995</v>
      </c>
      <c r="AU261" s="7">
        <v>964.09075900000005</v>
      </c>
      <c r="AV261" s="3">
        <v>1E-3</v>
      </c>
      <c r="AW261" s="3">
        <f t="shared" si="30"/>
        <v>0.36</v>
      </c>
      <c r="AX261" s="5"/>
      <c r="AY261" s="5"/>
      <c r="AZ261" s="5"/>
      <c r="BA261" s="5"/>
      <c r="BC261" s="3" t="s">
        <v>149</v>
      </c>
      <c r="BD261" s="3">
        <v>0.9</v>
      </c>
      <c r="BE261" s="3">
        <v>0.5</v>
      </c>
      <c r="BF261" s="3">
        <v>0.6</v>
      </c>
      <c r="BG261" s="3">
        <v>0.87</v>
      </c>
      <c r="BH261" s="7">
        <v>989.03479000000004</v>
      </c>
      <c r="BI261" s="3">
        <v>1.6E-2</v>
      </c>
      <c r="BK261" s="3" t="s">
        <v>149</v>
      </c>
      <c r="BL261" s="3">
        <v>0.69</v>
      </c>
      <c r="BM261" s="6">
        <v>963.970642</v>
      </c>
      <c r="BN261" s="3">
        <v>5.0000000000000001E-3</v>
      </c>
      <c r="BO261" s="3">
        <f t="shared" si="31"/>
        <v>0.78</v>
      </c>
    </row>
    <row r="262" spans="1:67" x14ac:dyDescent="0.3">
      <c r="A262" s="3" t="s">
        <v>150</v>
      </c>
      <c r="B262" s="3">
        <v>0.9</v>
      </c>
      <c r="C262" s="3">
        <v>0.5</v>
      </c>
      <c r="D262" s="3">
        <v>0.6</v>
      </c>
      <c r="E262" s="3">
        <v>0.64</v>
      </c>
      <c r="F262" s="6">
        <v>615.37280299999998</v>
      </c>
      <c r="G262" s="3">
        <v>1.9E-2</v>
      </c>
      <c r="I262" s="3" t="s">
        <v>150</v>
      </c>
      <c r="J262" s="3">
        <v>0.95</v>
      </c>
      <c r="K262" s="7">
        <v>652.19201699999996</v>
      </c>
      <c r="L262" s="3">
        <v>2E-3</v>
      </c>
      <c r="M262" s="3">
        <f t="shared" si="28"/>
        <v>0.79499999999999993</v>
      </c>
      <c r="N262" s="5"/>
      <c r="O262" s="5"/>
      <c r="P262" s="5"/>
      <c r="Q262" s="5"/>
      <c r="S262" s="3" t="s">
        <v>150</v>
      </c>
      <c r="T262" s="3">
        <v>0.9</v>
      </c>
      <c r="U262" s="3">
        <v>0.5</v>
      </c>
      <c r="V262" s="3">
        <v>0.6</v>
      </c>
      <c r="W262" s="3">
        <v>0.26</v>
      </c>
      <c r="X262" s="7">
        <v>485.88354500000003</v>
      </c>
      <c r="Y262" s="3">
        <v>0.02</v>
      </c>
      <c r="AA262" s="3" t="s">
        <v>150</v>
      </c>
      <c r="AB262" s="3">
        <v>0.15</v>
      </c>
      <c r="AC262" s="6">
        <v>455.13201900000001</v>
      </c>
      <c r="AD262" s="3">
        <v>2E-3</v>
      </c>
      <c r="AE262" s="3">
        <f t="shared" si="29"/>
        <v>0.20500000000000002</v>
      </c>
      <c r="AF262" s="5"/>
      <c r="AG262" s="5"/>
      <c r="AH262" s="5"/>
      <c r="AI262" s="5"/>
      <c r="AK262" s="3" t="s">
        <v>151</v>
      </c>
      <c r="AL262" s="3">
        <v>0.9</v>
      </c>
      <c r="AM262" s="3">
        <v>0.5</v>
      </c>
      <c r="AN262" s="3">
        <v>0.6</v>
      </c>
      <c r="AO262" s="3">
        <v>0.13</v>
      </c>
      <c r="AP262" s="6">
        <v>727.39782700000001</v>
      </c>
      <c r="AQ262" s="3">
        <v>1.7000000000000001E-2</v>
      </c>
      <c r="AS262" s="3" t="s">
        <v>151</v>
      </c>
      <c r="AT262" s="3">
        <v>0.39</v>
      </c>
      <c r="AU262" s="7">
        <v>849.382385</v>
      </c>
      <c r="AV262" s="3">
        <v>1E-3</v>
      </c>
      <c r="AW262" s="3">
        <f t="shared" si="30"/>
        <v>0.26</v>
      </c>
      <c r="AX262" s="5"/>
      <c r="AY262" s="5"/>
      <c r="AZ262" s="5"/>
      <c r="BA262" s="5"/>
      <c r="BC262" s="3" t="s">
        <v>151</v>
      </c>
      <c r="BD262" s="3">
        <v>0.9</v>
      </c>
      <c r="BE262" s="3">
        <v>0.5</v>
      </c>
      <c r="BF262" s="3">
        <v>0.6</v>
      </c>
      <c r="BG262" s="3">
        <v>0.9</v>
      </c>
      <c r="BH262" s="7">
        <v>948.23290999999995</v>
      </c>
      <c r="BI262" s="3">
        <v>2.1000000000000001E-2</v>
      </c>
      <c r="BK262" s="3" t="s">
        <v>151</v>
      </c>
      <c r="BL262" s="3">
        <v>0.55000000000000004</v>
      </c>
      <c r="BM262" s="6">
        <v>881.33752400000003</v>
      </c>
      <c r="BN262" s="3">
        <v>2E-3</v>
      </c>
      <c r="BO262" s="3">
        <f t="shared" si="31"/>
        <v>0.72500000000000009</v>
      </c>
    </row>
    <row r="263" spans="1:67" x14ac:dyDescent="0.3">
      <c r="A263" s="3" t="s">
        <v>152</v>
      </c>
      <c r="B263" s="3">
        <v>0.9</v>
      </c>
      <c r="C263" s="3">
        <v>0.5</v>
      </c>
      <c r="D263" s="3">
        <v>0.6</v>
      </c>
      <c r="E263" s="3">
        <v>0.53</v>
      </c>
      <c r="F263" s="6">
        <v>610.65106200000002</v>
      </c>
      <c r="G263" s="3">
        <v>7.0000000000000001E-3</v>
      </c>
      <c r="I263" s="3" t="s">
        <v>152</v>
      </c>
      <c r="J263" s="3">
        <v>0.65</v>
      </c>
      <c r="K263" s="7">
        <v>631.16009499999996</v>
      </c>
      <c r="L263" s="3">
        <v>3.0000000000000001E-3</v>
      </c>
      <c r="M263" s="3">
        <f t="shared" si="28"/>
        <v>0.59000000000000008</v>
      </c>
      <c r="N263" s="5"/>
      <c r="O263" s="5"/>
      <c r="P263" s="5"/>
      <c r="Q263" s="5"/>
      <c r="S263" s="3" t="s">
        <v>152</v>
      </c>
      <c r="T263" s="3">
        <v>0.9</v>
      </c>
      <c r="U263" s="3">
        <v>0.5</v>
      </c>
      <c r="V263" s="3">
        <v>0.6</v>
      </c>
      <c r="W263" s="3">
        <v>0.39</v>
      </c>
      <c r="X263" s="6">
        <v>597.14465299999995</v>
      </c>
      <c r="Y263" s="3">
        <v>3.4000000000000002E-2</v>
      </c>
      <c r="AA263" s="3" t="s">
        <v>152</v>
      </c>
      <c r="AB263" s="3">
        <v>0.95</v>
      </c>
      <c r="AC263" s="7">
        <v>658.567139</v>
      </c>
      <c r="AD263" s="3">
        <v>4.0000000000000001E-3</v>
      </c>
      <c r="AE263" s="3">
        <f t="shared" si="29"/>
        <v>0.66999999999999993</v>
      </c>
      <c r="AF263" s="5"/>
      <c r="AG263" s="5"/>
      <c r="AH263" s="5"/>
      <c r="AI263" s="5"/>
      <c r="AK263" s="3" t="s">
        <v>153</v>
      </c>
      <c r="AL263" s="3">
        <v>0.9</v>
      </c>
      <c r="AM263" s="3">
        <v>0.5</v>
      </c>
      <c r="AN263" s="3">
        <v>0.6</v>
      </c>
      <c r="AO263" s="3">
        <v>0.76</v>
      </c>
      <c r="AP263" s="7">
        <v>1032.0631100000001</v>
      </c>
      <c r="AQ263" s="3">
        <v>0.03</v>
      </c>
      <c r="AS263" s="3" t="s">
        <v>153</v>
      </c>
      <c r="AT263" s="3">
        <v>0.42</v>
      </c>
      <c r="AU263" s="6">
        <v>903.24981700000001</v>
      </c>
      <c r="AV263" s="3">
        <v>2E-3</v>
      </c>
      <c r="AW263" s="3">
        <f t="shared" si="30"/>
        <v>0.59</v>
      </c>
      <c r="AX263" s="5"/>
      <c r="AY263" s="5"/>
      <c r="AZ263" s="5"/>
      <c r="BA263" s="5"/>
      <c r="BC263" s="3" t="s">
        <v>153</v>
      </c>
      <c r="BD263" s="3">
        <v>0.9</v>
      </c>
      <c r="BE263" s="3">
        <v>0.5</v>
      </c>
      <c r="BF263" s="3">
        <v>0.6</v>
      </c>
      <c r="BG263" s="3">
        <v>0.99</v>
      </c>
      <c r="BH263" s="7">
        <v>1029.655884</v>
      </c>
      <c r="BI263" s="3">
        <v>1.6E-2</v>
      </c>
      <c r="BK263" s="3" t="s">
        <v>153</v>
      </c>
      <c r="BL263" s="3">
        <v>0.03</v>
      </c>
      <c r="BM263" s="6">
        <v>705.54632600000002</v>
      </c>
      <c r="BN263" s="3">
        <v>5.0000000000000001E-3</v>
      </c>
      <c r="BO263" s="3">
        <f t="shared" si="31"/>
        <v>0.51</v>
      </c>
    </row>
    <row r="264" spans="1:67" x14ac:dyDescent="0.3">
      <c r="A264" s="3" t="s">
        <v>154</v>
      </c>
      <c r="B264" s="3">
        <v>0.9</v>
      </c>
      <c r="C264" s="3">
        <v>0.5</v>
      </c>
      <c r="D264" s="3">
        <v>0.6</v>
      </c>
      <c r="E264" s="3">
        <v>0.98</v>
      </c>
      <c r="F264" s="7">
        <v>716.84637499999997</v>
      </c>
      <c r="G264" s="3">
        <v>1.7999999999999999E-2</v>
      </c>
      <c r="I264" s="3" t="s">
        <v>154</v>
      </c>
      <c r="J264" s="3">
        <v>0.17</v>
      </c>
      <c r="K264" s="6">
        <v>593.53527799999995</v>
      </c>
      <c r="L264" s="3">
        <v>1E-3</v>
      </c>
      <c r="M264" s="3">
        <f t="shared" si="28"/>
        <v>0.57499999999999996</v>
      </c>
      <c r="N264" s="5"/>
      <c r="O264" s="5"/>
      <c r="P264" s="5"/>
      <c r="Q264" s="5"/>
      <c r="S264" s="3" t="s">
        <v>154</v>
      </c>
      <c r="T264" s="3">
        <v>0.9</v>
      </c>
      <c r="U264" s="3">
        <v>0.5</v>
      </c>
      <c r="V264" s="3">
        <v>0.6</v>
      </c>
      <c r="W264" s="3">
        <v>0.84</v>
      </c>
      <c r="X264" s="7">
        <v>707.15228300000001</v>
      </c>
      <c r="Y264" s="3">
        <v>2.5000000000000001E-2</v>
      </c>
      <c r="AA264" s="3" t="s">
        <v>154</v>
      </c>
      <c r="AB264" s="3">
        <v>0.7</v>
      </c>
      <c r="AC264" s="6">
        <v>688.73937999999998</v>
      </c>
      <c r="AD264" s="3">
        <v>6.0000000000000001E-3</v>
      </c>
      <c r="AE264" s="3">
        <f t="shared" si="29"/>
        <v>0.77</v>
      </c>
      <c r="AF264" s="5"/>
      <c r="AG264" s="5"/>
      <c r="AH264" s="5"/>
      <c r="AI264" s="5"/>
      <c r="AK264" s="3" t="s">
        <v>155</v>
      </c>
      <c r="AL264" s="3">
        <v>0.9</v>
      </c>
      <c r="AM264" s="3">
        <v>0.5</v>
      </c>
      <c r="AN264" s="3">
        <v>0.6</v>
      </c>
      <c r="AO264" s="3">
        <v>0.89</v>
      </c>
      <c r="AP264" s="7">
        <v>1347.3508300000001</v>
      </c>
      <c r="AQ264" s="3">
        <v>2.7E-2</v>
      </c>
      <c r="AS264" s="3" t="s">
        <v>155</v>
      </c>
      <c r="AT264" s="3">
        <v>0.33</v>
      </c>
      <c r="AU264" s="6">
        <v>1114.806885</v>
      </c>
      <c r="AV264" s="3">
        <v>3.0000000000000001E-3</v>
      </c>
      <c r="AW264" s="3">
        <f t="shared" si="30"/>
        <v>0.61</v>
      </c>
      <c r="AX264" s="5"/>
      <c r="AY264" s="5"/>
      <c r="AZ264" s="5"/>
      <c r="BA264" s="5"/>
      <c r="BC264" s="3" t="s">
        <v>155</v>
      </c>
      <c r="BD264" s="3">
        <v>0.9</v>
      </c>
      <c r="BE264" s="3">
        <v>0.5</v>
      </c>
      <c r="BF264" s="3">
        <v>0.6</v>
      </c>
      <c r="BG264" s="3">
        <v>0.42</v>
      </c>
      <c r="BH264" s="6">
        <v>1170.9228519999999</v>
      </c>
      <c r="BI264" s="3">
        <v>1.0999999999999999E-2</v>
      </c>
      <c r="BK264" s="3" t="s">
        <v>155</v>
      </c>
      <c r="BL264" s="3">
        <v>0.49</v>
      </c>
      <c r="BM264" s="7">
        <v>1181.182251</v>
      </c>
      <c r="BN264" s="3">
        <v>1E-3</v>
      </c>
      <c r="BO264" s="3">
        <f t="shared" si="31"/>
        <v>0.45499999999999996</v>
      </c>
    </row>
    <row r="265" spans="1:67" x14ac:dyDescent="0.3">
      <c r="A265" s="3" t="s">
        <v>156</v>
      </c>
      <c r="B265" s="3">
        <v>0.9</v>
      </c>
      <c r="C265" s="3">
        <v>0.5</v>
      </c>
      <c r="D265" s="3">
        <v>0.6</v>
      </c>
      <c r="E265" s="3">
        <v>0.05</v>
      </c>
      <c r="F265" s="6">
        <v>616.34698500000002</v>
      </c>
      <c r="G265" s="3">
        <v>1.7000000000000001E-2</v>
      </c>
      <c r="I265" s="3" t="s">
        <v>156</v>
      </c>
      <c r="J265" s="3">
        <v>0.46</v>
      </c>
      <c r="K265" s="7">
        <v>700.37170400000002</v>
      </c>
      <c r="L265" s="3">
        <v>2E-3</v>
      </c>
      <c r="M265" s="3">
        <f t="shared" si="28"/>
        <v>0.255</v>
      </c>
      <c r="N265" s="5"/>
      <c r="O265" s="5"/>
      <c r="P265" s="5"/>
      <c r="Q265" s="5"/>
      <c r="S265" s="3" t="s">
        <v>156</v>
      </c>
      <c r="T265" s="3">
        <v>0.9</v>
      </c>
      <c r="U265" s="3">
        <v>0.5</v>
      </c>
      <c r="V265" s="3">
        <v>0.6</v>
      </c>
      <c r="W265" s="3">
        <v>0.98</v>
      </c>
      <c r="X265" s="7">
        <v>750.31927499999995</v>
      </c>
      <c r="Y265" s="3">
        <v>1.4E-2</v>
      </c>
      <c r="AA265" s="3" t="s">
        <v>156</v>
      </c>
      <c r="AB265" s="3">
        <v>0.14000000000000001</v>
      </c>
      <c r="AC265" s="6">
        <v>613.55554199999995</v>
      </c>
      <c r="AD265" s="3">
        <v>7.0000000000000001E-3</v>
      </c>
      <c r="AE265" s="3">
        <f t="shared" si="29"/>
        <v>0.56000000000000005</v>
      </c>
      <c r="AF265" s="5"/>
      <c r="AG265" s="5"/>
      <c r="AH265" s="5"/>
      <c r="AI265" s="5"/>
      <c r="AK265" s="3" t="s">
        <v>157</v>
      </c>
      <c r="AL265" s="3">
        <v>0.9</v>
      </c>
      <c r="AM265" s="3">
        <v>0.5</v>
      </c>
      <c r="AN265" s="3">
        <v>0.6</v>
      </c>
      <c r="AO265" s="3">
        <v>0.99</v>
      </c>
      <c r="AP265" s="7">
        <v>1314.0170900000001</v>
      </c>
      <c r="AQ265" s="3">
        <v>0.01</v>
      </c>
      <c r="AS265" s="3" t="s">
        <v>157</v>
      </c>
      <c r="AT265" s="3">
        <v>0.28999999999999998</v>
      </c>
      <c r="AU265" s="6">
        <v>1006.431519</v>
      </c>
      <c r="AV265" s="3">
        <v>2E-3</v>
      </c>
      <c r="AW265" s="3">
        <f t="shared" si="30"/>
        <v>0.64</v>
      </c>
      <c r="AX265" s="5"/>
      <c r="AY265" s="5"/>
      <c r="AZ265" s="5"/>
      <c r="BA265" s="5"/>
      <c r="BC265" s="3" t="s">
        <v>157</v>
      </c>
      <c r="BD265" s="3">
        <v>0.9</v>
      </c>
      <c r="BE265" s="3">
        <v>0.5</v>
      </c>
      <c r="BF265" s="3">
        <v>0.6</v>
      </c>
      <c r="BG265" s="3">
        <v>0.38</v>
      </c>
      <c r="BH265" s="6">
        <v>1079.489624</v>
      </c>
      <c r="BI265" s="3">
        <v>1.2E-2</v>
      </c>
      <c r="BK265" s="3" t="s">
        <v>157</v>
      </c>
      <c r="BL265" s="3">
        <v>0.96</v>
      </c>
      <c r="BM265" s="7">
        <v>1301.1990969999999</v>
      </c>
      <c r="BN265" s="3">
        <v>1E-3</v>
      </c>
      <c r="BO265" s="3">
        <f t="shared" si="31"/>
        <v>0.66999999999999993</v>
      </c>
    </row>
    <row r="266" spans="1:67" x14ac:dyDescent="0.3">
      <c r="A266" s="3" t="s">
        <v>158</v>
      </c>
      <c r="B266" s="3">
        <v>0.9</v>
      </c>
      <c r="C266" s="3">
        <v>0.5</v>
      </c>
      <c r="D266" s="3">
        <v>0.6</v>
      </c>
      <c r="E266" s="3">
        <v>0.7</v>
      </c>
      <c r="F266" s="6">
        <v>746.82183799999996</v>
      </c>
      <c r="G266" s="3">
        <v>2.3E-2</v>
      </c>
      <c r="I266" s="3" t="s">
        <v>158</v>
      </c>
      <c r="J266" s="3">
        <v>0.77</v>
      </c>
      <c r="K266" s="7">
        <v>759.63085899999999</v>
      </c>
      <c r="L266" s="3">
        <v>4.0000000000000001E-3</v>
      </c>
      <c r="M266" s="3">
        <f t="shared" si="28"/>
        <v>0.73499999999999999</v>
      </c>
      <c r="N266" s="5"/>
      <c r="O266" s="5"/>
      <c r="P266" s="5"/>
      <c r="Q266" s="5"/>
      <c r="S266" s="3" t="s">
        <v>158</v>
      </c>
      <c r="T266" s="3">
        <v>0.9</v>
      </c>
      <c r="U266" s="3">
        <v>0.5</v>
      </c>
      <c r="V266" s="3">
        <v>0.6</v>
      </c>
      <c r="W266" s="3">
        <v>0.8</v>
      </c>
      <c r="X266" s="7">
        <v>761.04925500000002</v>
      </c>
      <c r="Y266" s="3">
        <v>2.5000000000000001E-2</v>
      </c>
      <c r="AA266" s="3" t="s">
        <v>158</v>
      </c>
      <c r="AB266" s="3">
        <v>0.91</v>
      </c>
      <c r="AC266" s="6">
        <v>749.01977499999998</v>
      </c>
      <c r="AD266" s="3">
        <v>1E-3</v>
      </c>
      <c r="AE266" s="3">
        <f t="shared" si="29"/>
        <v>0.85499999999999998</v>
      </c>
      <c r="AF266" s="5"/>
      <c r="AG266" s="5"/>
      <c r="AH266" s="5"/>
      <c r="AI266" s="5"/>
      <c r="AK266" s="3" t="s">
        <v>159</v>
      </c>
      <c r="AL266" s="3">
        <v>0.9</v>
      </c>
      <c r="AM266" s="3">
        <v>0.5</v>
      </c>
      <c r="AN266" s="3">
        <v>0.6</v>
      </c>
      <c r="AO266" s="3">
        <v>0.69</v>
      </c>
      <c r="AP266" s="6">
        <v>1130.411255</v>
      </c>
      <c r="AQ266" s="3">
        <v>0.02</v>
      </c>
      <c r="AS266" s="3" t="s">
        <v>159</v>
      </c>
      <c r="AT266" s="3">
        <v>0.71</v>
      </c>
      <c r="AU266" s="7">
        <v>1174.1439210000001</v>
      </c>
      <c r="AV266" s="3">
        <v>1E-3</v>
      </c>
      <c r="AW266" s="3">
        <f t="shared" si="30"/>
        <v>0.7</v>
      </c>
      <c r="AX266" s="5"/>
      <c r="AY266" s="5"/>
      <c r="AZ266" s="5"/>
      <c r="BA266" s="5"/>
      <c r="BC266" s="3" t="s">
        <v>159</v>
      </c>
      <c r="BD266" s="3">
        <v>0.9</v>
      </c>
      <c r="BE266" s="3">
        <v>0.5</v>
      </c>
      <c r="BF266" s="3">
        <v>0.6</v>
      </c>
      <c r="BG266" s="3">
        <v>0.88</v>
      </c>
      <c r="BH266" s="7">
        <v>1165.392822</v>
      </c>
      <c r="BI266" s="3">
        <v>1.7000000000000001E-2</v>
      </c>
      <c r="BK266" s="3" t="s">
        <v>159</v>
      </c>
      <c r="BL266" s="3">
        <v>0.68</v>
      </c>
      <c r="BM266" s="6">
        <v>1097.241943</v>
      </c>
      <c r="BN266" s="3">
        <v>2E-3</v>
      </c>
      <c r="BO266" s="3">
        <f t="shared" si="31"/>
        <v>0.78</v>
      </c>
    </row>
    <row r="267" spans="1:67" x14ac:dyDescent="0.3">
      <c r="A267" s="3" t="s">
        <v>160</v>
      </c>
      <c r="B267" s="3">
        <v>0.9</v>
      </c>
      <c r="C267" s="3">
        <v>0.5</v>
      </c>
      <c r="D267" s="3">
        <v>0.6</v>
      </c>
      <c r="E267" s="3">
        <v>0.83</v>
      </c>
      <c r="F267" s="7">
        <v>689.51580799999999</v>
      </c>
      <c r="G267" s="3">
        <v>1.0999999999999999E-2</v>
      </c>
      <c r="I267" s="3" t="s">
        <v>160</v>
      </c>
      <c r="J267" s="3">
        <v>0.7</v>
      </c>
      <c r="K267" s="6">
        <v>682.72589100000005</v>
      </c>
      <c r="L267" s="3">
        <v>8.0000000000000002E-3</v>
      </c>
      <c r="M267" s="3">
        <f t="shared" si="28"/>
        <v>0.7649999999999999</v>
      </c>
      <c r="N267" s="5"/>
      <c r="O267" s="5"/>
      <c r="P267" s="5"/>
      <c r="Q267" s="5"/>
      <c r="S267" s="3" t="s">
        <v>160</v>
      </c>
      <c r="T267" s="3">
        <v>0.9</v>
      </c>
      <c r="U267" s="3">
        <v>0.5</v>
      </c>
      <c r="V267" s="3">
        <v>0.6</v>
      </c>
      <c r="W267" s="3">
        <v>0.59</v>
      </c>
      <c r="X267" s="7">
        <v>636.59258999999997</v>
      </c>
      <c r="Y267" s="3">
        <v>3.7999999999999999E-2</v>
      </c>
      <c r="AA267" s="3" t="s">
        <v>160</v>
      </c>
      <c r="AB267" s="3">
        <v>0.5</v>
      </c>
      <c r="AC267" s="6">
        <v>616.49591099999998</v>
      </c>
      <c r="AD267" s="3">
        <v>1E-3</v>
      </c>
      <c r="AE267" s="3">
        <f t="shared" si="29"/>
        <v>0.54499999999999993</v>
      </c>
      <c r="AF267" s="5"/>
      <c r="AG267" s="5"/>
      <c r="AH267" s="5"/>
      <c r="AI267" s="5"/>
      <c r="AK267" s="3" t="s">
        <v>161</v>
      </c>
      <c r="AL267" s="3">
        <v>0.9</v>
      </c>
      <c r="AM267" s="3">
        <v>0.5</v>
      </c>
      <c r="AN267" s="3">
        <v>0.6</v>
      </c>
      <c r="AO267" s="3">
        <v>0.57999999999999996</v>
      </c>
      <c r="AP267" s="7">
        <v>1138.960327</v>
      </c>
      <c r="AQ267" s="3">
        <v>1.2999999999999999E-2</v>
      </c>
      <c r="AS267" s="3" t="s">
        <v>161</v>
      </c>
      <c r="AT267" s="3">
        <v>0.24</v>
      </c>
      <c r="AU267" s="6">
        <v>994.34741199999996</v>
      </c>
      <c r="AV267" s="3">
        <v>2E-3</v>
      </c>
      <c r="AW267" s="3">
        <f t="shared" si="30"/>
        <v>0.41</v>
      </c>
      <c r="AX267" s="5"/>
      <c r="AY267" s="5"/>
      <c r="AZ267" s="5"/>
      <c r="BA267" s="5"/>
      <c r="BC267" s="3" t="s">
        <v>161</v>
      </c>
      <c r="BD267" s="3">
        <v>0.9</v>
      </c>
      <c r="BE267" s="3">
        <v>0.5</v>
      </c>
      <c r="BF267" s="3">
        <v>0.6</v>
      </c>
      <c r="BG267" s="3">
        <v>0.56999999999999995</v>
      </c>
      <c r="BH267" s="6">
        <v>1114.329712</v>
      </c>
      <c r="BI267" s="3">
        <v>1.4999999999999999E-2</v>
      </c>
      <c r="BK267" s="3" t="s">
        <v>161</v>
      </c>
      <c r="BL267" s="3">
        <v>0.68</v>
      </c>
      <c r="BM267" s="7">
        <v>1176.313232</v>
      </c>
      <c r="BN267" s="3">
        <v>3.0000000000000001E-3</v>
      </c>
      <c r="BO267" s="3">
        <f t="shared" si="31"/>
        <v>0.625</v>
      </c>
    </row>
    <row r="268" spans="1:67" x14ac:dyDescent="0.3">
      <c r="A268" s="3" t="s">
        <v>162</v>
      </c>
      <c r="B268" s="3">
        <v>0.9</v>
      </c>
      <c r="C268" s="3">
        <v>0.5</v>
      </c>
      <c r="D268" s="3">
        <v>0.6</v>
      </c>
      <c r="E268" s="3">
        <v>0.45</v>
      </c>
      <c r="F268" s="7">
        <v>667.95117200000004</v>
      </c>
      <c r="G268" s="3">
        <v>1.4999999999999999E-2</v>
      </c>
      <c r="I268" s="3" t="s">
        <v>162</v>
      </c>
      <c r="J268" s="3">
        <v>0.28999999999999998</v>
      </c>
      <c r="K268" s="6">
        <v>626.449341</v>
      </c>
      <c r="L268" s="3">
        <v>2E-3</v>
      </c>
      <c r="M268" s="3">
        <f t="shared" si="28"/>
        <v>0.37</v>
      </c>
      <c r="N268" s="5"/>
      <c r="O268" s="5"/>
      <c r="P268" s="5"/>
      <c r="Q268" s="5"/>
      <c r="S268" s="3" t="s">
        <v>162</v>
      </c>
      <c r="T268" s="3">
        <v>0.9</v>
      </c>
      <c r="U268" s="3">
        <v>0.5</v>
      </c>
      <c r="V268" s="3">
        <v>0.6</v>
      </c>
      <c r="W268" s="3">
        <v>0.5</v>
      </c>
      <c r="X268" s="6">
        <v>658.07971199999997</v>
      </c>
      <c r="Y268" s="3">
        <v>8.0000000000000002E-3</v>
      </c>
      <c r="AA268" s="3" t="s">
        <v>162</v>
      </c>
      <c r="AB268" s="3">
        <v>0.67</v>
      </c>
      <c r="AC268" s="7">
        <v>709.29589799999997</v>
      </c>
      <c r="AD268" s="3">
        <v>6.0000000000000001E-3</v>
      </c>
      <c r="AE268" s="3">
        <f t="shared" si="29"/>
        <v>0.58499999999999996</v>
      </c>
      <c r="AF268" s="5"/>
      <c r="AG268" s="5"/>
      <c r="AH268" s="5"/>
      <c r="AI268" s="5"/>
      <c r="AK268" s="3" t="s">
        <v>163</v>
      </c>
      <c r="AL268" s="3">
        <v>0.9</v>
      </c>
      <c r="AM268" s="3">
        <v>0.5</v>
      </c>
      <c r="AN268" s="3">
        <v>0.6</v>
      </c>
      <c r="AO268" s="3">
        <v>0.37</v>
      </c>
      <c r="AP268" s="7">
        <v>1061.407837</v>
      </c>
      <c r="AQ268" s="3">
        <v>2.1999999999999999E-2</v>
      </c>
      <c r="AS268" s="3" t="s">
        <v>163</v>
      </c>
      <c r="AT268" s="3">
        <v>0.23</v>
      </c>
      <c r="AU268" s="6">
        <v>991.45495600000004</v>
      </c>
      <c r="AV268" s="3">
        <v>1E-3</v>
      </c>
      <c r="AW268" s="3">
        <f t="shared" si="30"/>
        <v>0.3</v>
      </c>
      <c r="AX268" s="5"/>
      <c r="AY268" s="5"/>
      <c r="AZ268" s="5"/>
      <c r="BA268" s="5"/>
      <c r="BC268" s="3" t="s">
        <v>163</v>
      </c>
      <c r="BD268" s="3">
        <v>0.9</v>
      </c>
      <c r="BE268" s="3">
        <v>0.5</v>
      </c>
      <c r="BF268" s="3">
        <v>0.6</v>
      </c>
      <c r="BG268" s="3">
        <v>0.9</v>
      </c>
      <c r="BH268" s="7">
        <v>1256.3546140000001</v>
      </c>
      <c r="BI268" s="3">
        <v>3.5000000000000003E-2</v>
      </c>
      <c r="BK268" s="3" t="s">
        <v>163</v>
      </c>
      <c r="BL268" s="3">
        <v>0.82</v>
      </c>
      <c r="BM268" s="6">
        <v>1224.507202</v>
      </c>
      <c r="BN268" s="3">
        <v>1E-3</v>
      </c>
      <c r="BO268" s="3">
        <f t="shared" si="31"/>
        <v>0.86</v>
      </c>
    </row>
    <row r="269" spans="1:67" x14ac:dyDescent="0.3">
      <c r="A269" s="3" t="s">
        <v>164</v>
      </c>
      <c r="B269" s="3">
        <v>0.9</v>
      </c>
      <c r="C269" s="3">
        <v>0.5</v>
      </c>
      <c r="D269" s="3">
        <v>0.6</v>
      </c>
      <c r="E269" s="3">
        <v>0.8</v>
      </c>
      <c r="F269" s="6">
        <v>621.11822500000005</v>
      </c>
      <c r="G269" s="3">
        <v>2.5000000000000001E-2</v>
      </c>
      <c r="I269" s="3" t="s">
        <v>164</v>
      </c>
      <c r="J269" s="3">
        <v>0.18</v>
      </c>
      <c r="K269" s="7">
        <v>538.40777600000001</v>
      </c>
      <c r="L269" s="3">
        <v>2E-3</v>
      </c>
      <c r="M269" s="3">
        <f t="shared" si="28"/>
        <v>0.49</v>
      </c>
      <c r="N269" s="5"/>
      <c r="O269" s="5"/>
      <c r="P269" s="5"/>
      <c r="Q269" s="5"/>
      <c r="S269" s="3" t="s">
        <v>164</v>
      </c>
      <c r="T269" s="3">
        <v>0.9</v>
      </c>
      <c r="U269" s="3">
        <v>0.5</v>
      </c>
      <c r="V269" s="3">
        <v>0.6</v>
      </c>
      <c r="W269" s="3">
        <v>1</v>
      </c>
      <c r="X269" s="7">
        <v>667.94909700000005</v>
      </c>
      <c r="Y269" s="3">
        <v>1.9E-2</v>
      </c>
      <c r="AA269" s="3" t="s">
        <v>164</v>
      </c>
      <c r="AB269" s="3">
        <v>0.98</v>
      </c>
      <c r="AC269" s="6">
        <v>652.22906499999999</v>
      </c>
      <c r="AD269" s="3">
        <v>3.0000000000000001E-3</v>
      </c>
      <c r="AE269" s="3">
        <f t="shared" si="29"/>
        <v>0.99</v>
      </c>
      <c r="AF269" s="5"/>
      <c r="AG269" s="5"/>
      <c r="AH269" s="5"/>
      <c r="AI269" s="5"/>
      <c r="AK269" s="3" t="s">
        <v>165</v>
      </c>
      <c r="AL269" s="3">
        <v>0.9</v>
      </c>
      <c r="AM269" s="3">
        <v>0.5</v>
      </c>
      <c r="AN269" s="3">
        <v>0.6</v>
      </c>
      <c r="AO269" s="3">
        <v>0.41</v>
      </c>
      <c r="AP269" s="7">
        <v>1019.716125</v>
      </c>
      <c r="AQ269" s="3">
        <v>2.1999999999999999E-2</v>
      </c>
      <c r="AS269" s="3" t="s">
        <v>165</v>
      </c>
      <c r="AT269" s="3">
        <v>0.35</v>
      </c>
      <c r="AU269" s="6">
        <v>982.18847700000003</v>
      </c>
      <c r="AV269" s="3">
        <v>2E-3</v>
      </c>
      <c r="AW269" s="3">
        <f t="shared" si="30"/>
        <v>0.38</v>
      </c>
      <c r="AX269" s="5"/>
      <c r="AY269" s="5"/>
      <c r="AZ269" s="5"/>
      <c r="BA269" s="5"/>
      <c r="BC269" s="3" t="s">
        <v>165</v>
      </c>
      <c r="BD269" s="3">
        <v>0.9</v>
      </c>
      <c r="BE269" s="3">
        <v>0.5</v>
      </c>
      <c r="BF269" s="3">
        <v>0.6</v>
      </c>
      <c r="BG269" s="3">
        <v>0.37</v>
      </c>
      <c r="BH269" s="8">
        <v>984.806152</v>
      </c>
      <c r="BI269" s="3">
        <v>1.6E-2</v>
      </c>
      <c r="BK269" s="3" t="s">
        <v>165</v>
      </c>
      <c r="BL269" s="3">
        <v>0.37</v>
      </c>
      <c r="BM269" s="6">
        <v>984.35998500000005</v>
      </c>
      <c r="BN269" s="3">
        <v>2E-3</v>
      </c>
      <c r="BO269" s="3">
        <f t="shared" si="31"/>
        <v>0.37</v>
      </c>
    </row>
    <row r="270" spans="1:67" x14ac:dyDescent="0.3">
      <c r="A270" s="3" t="s">
        <v>166</v>
      </c>
      <c r="B270" s="3">
        <v>0.9</v>
      </c>
      <c r="C270" s="3">
        <v>0.5</v>
      </c>
      <c r="D270" s="3">
        <v>0.6</v>
      </c>
      <c r="E270" s="3">
        <v>0.51</v>
      </c>
      <c r="F270" s="6">
        <v>800.00561500000003</v>
      </c>
      <c r="G270" s="3">
        <v>2.5000000000000001E-2</v>
      </c>
      <c r="I270" s="3" t="s">
        <v>166</v>
      </c>
      <c r="J270" s="3">
        <v>0.89</v>
      </c>
      <c r="K270" s="7">
        <v>881.77258300000005</v>
      </c>
      <c r="L270" s="3">
        <v>3.0000000000000001E-3</v>
      </c>
      <c r="M270" s="3">
        <f t="shared" si="28"/>
        <v>0.7</v>
      </c>
      <c r="N270" s="5"/>
      <c r="O270" s="5"/>
      <c r="P270" s="5"/>
      <c r="Q270" s="5"/>
      <c r="S270" s="3" t="s">
        <v>166</v>
      </c>
      <c r="T270" s="3">
        <v>0.9</v>
      </c>
      <c r="U270" s="3">
        <v>0.5</v>
      </c>
      <c r="V270" s="3">
        <v>0.6</v>
      </c>
      <c r="W270" s="3">
        <v>0.98</v>
      </c>
      <c r="X270" s="7">
        <v>817.46569799999997</v>
      </c>
      <c r="Y270" s="3">
        <v>1.0999999999999999E-2</v>
      </c>
      <c r="AA270" s="3" t="s">
        <v>166</v>
      </c>
      <c r="AB270" s="3">
        <v>0.43</v>
      </c>
      <c r="AC270" s="6">
        <v>785.25750700000003</v>
      </c>
      <c r="AD270" s="3">
        <v>1E-3</v>
      </c>
      <c r="AE270" s="3">
        <f t="shared" si="29"/>
        <v>0.70499999999999996</v>
      </c>
      <c r="AF270" s="5"/>
      <c r="AG270" s="5"/>
      <c r="AH270" s="5"/>
      <c r="AI270" s="5"/>
      <c r="AK270" s="3" t="s">
        <v>167</v>
      </c>
      <c r="AL270" s="3">
        <v>0.9</v>
      </c>
      <c r="AM270" s="3">
        <v>0.5</v>
      </c>
      <c r="AN270" s="3">
        <v>0.6</v>
      </c>
      <c r="AO270" s="3">
        <v>0.63</v>
      </c>
      <c r="AP270" s="7">
        <v>1143.900269</v>
      </c>
      <c r="AQ270" s="3">
        <v>1.7000000000000001E-2</v>
      </c>
      <c r="AS270" s="3" t="s">
        <v>167</v>
      </c>
      <c r="AT270" s="3">
        <v>0.36</v>
      </c>
      <c r="AU270" s="6">
        <v>1024.7698969999999</v>
      </c>
      <c r="AV270" s="3">
        <v>4.0000000000000001E-3</v>
      </c>
      <c r="AW270" s="3">
        <f t="shared" si="30"/>
        <v>0.495</v>
      </c>
      <c r="AX270" s="5"/>
      <c r="AY270" s="5"/>
      <c r="AZ270" s="5"/>
      <c r="BA270" s="5"/>
      <c r="BC270" s="3" t="s">
        <v>167</v>
      </c>
      <c r="BD270" s="3">
        <v>0.9</v>
      </c>
      <c r="BE270" s="3">
        <v>0.5</v>
      </c>
      <c r="BF270" s="3">
        <v>0.6</v>
      </c>
      <c r="BG270" s="3">
        <v>0.13</v>
      </c>
      <c r="BH270" s="6">
        <v>835.03008999999997</v>
      </c>
      <c r="BI270" s="3">
        <v>1.9E-2</v>
      </c>
      <c r="BK270" s="3" t="s">
        <v>167</v>
      </c>
      <c r="BL270" s="3">
        <v>0.79</v>
      </c>
      <c r="BM270" s="7">
        <v>1173.5589600000001</v>
      </c>
      <c r="BN270" s="3">
        <v>3.0000000000000001E-3</v>
      </c>
      <c r="BO270" s="3">
        <f t="shared" si="31"/>
        <v>0.46</v>
      </c>
    </row>
    <row r="271" spans="1:67" x14ac:dyDescent="0.3">
      <c r="A271" s="3" t="s">
        <v>168</v>
      </c>
      <c r="B271" s="3">
        <v>0.9</v>
      </c>
      <c r="C271" s="3">
        <v>0.5</v>
      </c>
      <c r="D271" s="3">
        <v>0.6</v>
      </c>
      <c r="E271" s="3">
        <v>0.61</v>
      </c>
      <c r="F271" s="7">
        <v>713.12823500000002</v>
      </c>
      <c r="G271" s="3">
        <v>1.7999999999999999E-2</v>
      </c>
      <c r="I271" s="3" t="s">
        <v>168</v>
      </c>
      <c r="J271" s="3">
        <v>0.03</v>
      </c>
      <c r="K271" s="6">
        <v>645.43322799999999</v>
      </c>
      <c r="L271" s="3">
        <v>6.0000000000000001E-3</v>
      </c>
      <c r="M271" s="3">
        <f t="shared" si="28"/>
        <v>0.32</v>
      </c>
      <c r="N271" s="5"/>
      <c r="O271" s="5"/>
      <c r="P271" s="5"/>
      <c r="Q271" s="5"/>
      <c r="S271" s="3" t="s">
        <v>168</v>
      </c>
      <c r="T271" s="3">
        <v>0.9</v>
      </c>
      <c r="U271" s="3">
        <v>0.5</v>
      </c>
      <c r="V271" s="3">
        <v>0.6</v>
      </c>
      <c r="W271" s="3">
        <v>0.79</v>
      </c>
      <c r="X271" s="7">
        <v>722.12823500000002</v>
      </c>
      <c r="Y271" s="3">
        <v>3.6999999999999998E-2</v>
      </c>
      <c r="AA271" s="3" t="s">
        <v>168</v>
      </c>
      <c r="AB271" s="3">
        <v>0.03</v>
      </c>
      <c r="AC271" s="6">
        <v>631.73083499999996</v>
      </c>
      <c r="AD271" s="3">
        <v>6.0000000000000001E-3</v>
      </c>
      <c r="AE271" s="3">
        <f t="shared" si="29"/>
        <v>0.41000000000000003</v>
      </c>
      <c r="AF271" s="5"/>
      <c r="AG271" s="5"/>
      <c r="AH271" s="5"/>
      <c r="AI271" s="5"/>
      <c r="AK271" s="3" t="s">
        <v>169</v>
      </c>
      <c r="AL271" s="3">
        <v>0.9</v>
      </c>
      <c r="AM271" s="3">
        <v>0.5</v>
      </c>
      <c r="AN271" s="3">
        <v>0.6</v>
      </c>
      <c r="AO271" s="3">
        <v>0.33</v>
      </c>
      <c r="AP271" s="6">
        <v>1023.144409</v>
      </c>
      <c r="AQ271" s="3">
        <v>1.6E-2</v>
      </c>
      <c r="AS271" s="3" t="s">
        <v>169</v>
      </c>
      <c r="AT271" s="3">
        <v>0.49</v>
      </c>
      <c r="AU271" s="7">
        <v>1093.596558</v>
      </c>
      <c r="AV271" s="3">
        <v>3.0000000000000001E-3</v>
      </c>
      <c r="AW271" s="3">
        <f t="shared" si="30"/>
        <v>0.41000000000000003</v>
      </c>
      <c r="AX271" s="5"/>
      <c r="AY271" s="5"/>
      <c r="AZ271" s="5"/>
      <c r="BA271" s="5"/>
      <c r="BC271" s="3" t="s">
        <v>169</v>
      </c>
      <c r="BD271" s="3">
        <v>0.9</v>
      </c>
      <c r="BE271" s="3">
        <v>0.5</v>
      </c>
      <c r="BF271" s="3">
        <v>0.6</v>
      </c>
      <c r="BG271" s="3">
        <v>0.8</v>
      </c>
      <c r="BH271" s="7">
        <v>1117.8420410000001</v>
      </c>
      <c r="BI271" s="3">
        <v>1.4999999999999999E-2</v>
      </c>
      <c r="BK271" s="3" t="s">
        <v>169</v>
      </c>
      <c r="BL271" s="3">
        <v>0.83</v>
      </c>
      <c r="BM271" s="6">
        <v>1112.5889890000001</v>
      </c>
      <c r="BN271" s="3">
        <v>3.0000000000000001E-3</v>
      </c>
      <c r="BO271" s="3">
        <f t="shared" si="31"/>
        <v>0.81499999999999995</v>
      </c>
    </row>
    <row r="272" spans="1:67" x14ac:dyDescent="0.3">
      <c r="A272" s="3" t="s">
        <v>170</v>
      </c>
      <c r="B272" s="3">
        <v>0.9</v>
      </c>
      <c r="C272" s="3">
        <v>0.5</v>
      </c>
      <c r="D272" s="3">
        <v>0.6</v>
      </c>
      <c r="E272" s="3">
        <v>0.4</v>
      </c>
      <c r="F272" s="6">
        <v>718.37866199999996</v>
      </c>
      <c r="G272" s="3">
        <v>1.0999999999999999E-2</v>
      </c>
      <c r="I272" s="3" t="s">
        <v>170</v>
      </c>
      <c r="J272" s="3">
        <v>0.98</v>
      </c>
      <c r="K272" s="7">
        <v>776.39392099999998</v>
      </c>
      <c r="L272" s="3">
        <v>1E-3</v>
      </c>
      <c r="M272" s="3">
        <f t="shared" si="28"/>
        <v>0.69</v>
      </c>
      <c r="N272" s="5"/>
      <c r="O272" s="5"/>
      <c r="P272" s="5"/>
      <c r="Q272" s="5"/>
      <c r="S272" s="3" t="s">
        <v>170</v>
      </c>
      <c r="T272" s="3">
        <v>0.9</v>
      </c>
      <c r="U272" s="3">
        <v>0.5</v>
      </c>
      <c r="V272" s="3">
        <v>0.6</v>
      </c>
      <c r="W272" s="3">
        <v>0.82</v>
      </c>
      <c r="X272" s="7">
        <v>730.75097700000003</v>
      </c>
      <c r="Y272" s="3">
        <v>2.1999999999999999E-2</v>
      </c>
      <c r="AA272" s="3" t="s">
        <v>170</v>
      </c>
      <c r="AB272" s="3">
        <v>0.2</v>
      </c>
      <c r="AC272" s="6">
        <v>685.60565199999996</v>
      </c>
      <c r="AD272" s="3">
        <v>4.0000000000000001E-3</v>
      </c>
      <c r="AE272" s="3">
        <f t="shared" si="29"/>
        <v>0.51</v>
      </c>
      <c r="AF272" s="5"/>
      <c r="AG272" s="5"/>
      <c r="AH272" s="5"/>
      <c r="AI272" s="5"/>
      <c r="AK272" s="3" t="s">
        <v>171</v>
      </c>
      <c r="AL272" s="3">
        <v>0.9</v>
      </c>
      <c r="AM272" s="3">
        <v>0.5</v>
      </c>
      <c r="AN272" s="3">
        <v>0.6</v>
      </c>
      <c r="AO272" s="3">
        <v>0.03</v>
      </c>
      <c r="AP272" s="6">
        <v>761.87579300000004</v>
      </c>
      <c r="AQ272" s="3">
        <v>2.5999999999999999E-2</v>
      </c>
      <c r="AS272" s="3" t="s">
        <v>171</v>
      </c>
      <c r="AT272" s="3">
        <v>0.59</v>
      </c>
      <c r="AU272" s="7">
        <v>1047.5489500000001</v>
      </c>
      <c r="AV272" s="3">
        <v>1E-3</v>
      </c>
      <c r="AW272" s="3">
        <f t="shared" si="30"/>
        <v>0.31</v>
      </c>
      <c r="AX272" s="5"/>
      <c r="AY272" s="5"/>
      <c r="AZ272" s="5"/>
      <c r="BA272" s="5"/>
      <c r="BC272" s="3" t="s">
        <v>171</v>
      </c>
      <c r="BD272" s="3">
        <v>0.9</v>
      </c>
      <c r="BE272" s="3">
        <v>0.5</v>
      </c>
      <c r="BF272" s="3">
        <v>0.6</v>
      </c>
      <c r="BG272" s="3">
        <v>0.99</v>
      </c>
      <c r="BH272" s="7">
        <v>1087.86853</v>
      </c>
      <c r="BI272" s="3">
        <v>1.7999999999999999E-2</v>
      </c>
      <c r="BK272" s="3" t="s">
        <v>171</v>
      </c>
      <c r="BL272" s="3">
        <v>0.05</v>
      </c>
      <c r="BM272" s="6">
        <v>723.51898200000005</v>
      </c>
      <c r="BN272" s="3">
        <v>4.0000000000000001E-3</v>
      </c>
      <c r="BO272" s="3">
        <f t="shared" si="31"/>
        <v>0.52</v>
      </c>
    </row>
    <row r="273" spans="1:71" x14ac:dyDescent="0.3">
      <c r="A273" s="3" t="s">
        <v>172</v>
      </c>
      <c r="B273" s="3">
        <v>0.9</v>
      </c>
      <c r="C273" s="3">
        <v>0.5</v>
      </c>
      <c r="D273" s="3">
        <v>0.6</v>
      </c>
      <c r="E273" s="3">
        <v>0.69</v>
      </c>
      <c r="F273" s="7">
        <v>729.42559800000004</v>
      </c>
      <c r="G273" s="3">
        <v>1.9E-2</v>
      </c>
      <c r="I273" s="3" t="s">
        <v>172</v>
      </c>
      <c r="J273" s="3">
        <v>0.38</v>
      </c>
      <c r="K273" s="6">
        <v>709.35632299999997</v>
      </c>
      <c r="L273" s="3">
        <v>1E-3</v>
      </c>
      <c r="M273" s="3">
        <f t="shared" si="28"/>
        <v>0.53499999999999992</v>
      </c>
      <c r="N273" s="5"/>
      <c r="O273" s="5"/>
      <c r="P273" s="5"/>
      <c r="Q273" s="5"/>
      <c r="S273" s="3" t="s">
        <v>172</v>
      </c>
      <c r="T273" s="3">
        <v>0.9</v>
      </c>
      <c r="U273" s="3">
        <v>0.5</v>
      </c>
      <c r="V273" s="3">
        <v>0.6</v>
      </c>
      <c r="W273" s="3">
        <v>0.56999999999999995</v>
      </c>
      <c r="X273" s="7">
        <v>746.11981200000002</v>
      </c>
      <c r="Y273" s="3">
        <v>3.1E-2</v>
      </c>
      <c r="AA273" s="3" t="s">
        <v>172</v>
      </c>
      <c r="AB273" s="3">
        <v>0.51</v>
      </c>
      <c r="AC273" s="6">
        <v>741.821594</v>
      </c>
      <c r="AD273" s="3">
        <v>1E-3</v>
      </c>
      <c r="AE273" s="3">
        <f t="shared" si="29"/>
        <v>0.54</v>
      </c>
      <c r="AF273" s="5"/>
      <c r="AG273" s="5"/>
      <c r="AH273" s="5"/>
      <c r="AI273" s="5"/>
      <c r="AK273" s="3" t="s">
        <v>173</v>
      </c>
      <c r="AL273" s="3">
        <v>0.9</v>
      </c>
      <c r="AM273" s="3">
        <v>0.5</v>
      </c>
      <c r="AN273" s="3">
        <v>0.6</v>
      </c>
      <c r="AO273" s="3">
        <v>0.27</v>
      </c>
      <c r="AP273" s="6">
        <v>982.54553199999998</v>
      </c>
      <c r="AQ273" s="3">
        <v>1.9E-2</v>
      </c>
      <c r="AS273" s="3" t="s">
        <v>173</v>
      </c>
      <c r="AT273" s="3">
        <v>0.49</v>
      </c>
      <c r="AU273" s="7">
        <v>1086.8582759999999</v>
      </c>
      <c r="AV273" s="3">
        <v>1.2E-2</v>
      </c>
      <c r="AW273" s="3">
        <f t="shared" si="30"/>
        <v>0.38</v>
      </c>
      <c r="AX273" s="5"/>
      <c r="AY273" s="5"/>
      <c r="AZ273" s="5"/>
      <c r="BA273" s="5"/>
      <c r="BC273" s="3" t="s">
        <v>173</v>
      </c>
      <c r="BD273" s="3">
        <v>0.9</v>
      </c>
      <c r="BE273" s="3">
        <v>0.5</v>
      </c>
      <c r="BF273" s="3">
        <v>0.6</v>
      </c>
      <c r="BG273" s="3">
        <v>0.11</v>
      </c>
      <c r="BH273" s="6">
        <v>844.17114300000003</v>
      </c>
      <c r="BI273" s="3">
        <v>2.5999999999999999E-2</v>
      </c>
      <c r="BK273" s="3" t="s">
        <v>173</v>
      </c>
      <c r="BL273" s="3">
        <v>0.27</v>
      </c>
      <c r="BM273" s="7">
        <v>961.94390899999996</v>
      </c>
      <c r="BN273" s="3">
        <v>3.0000000000000001E-3</v>
      </c>
      <c r="BO273" s="3">
        <f t="shared" si="31"/>
        <v>0.19</v>
      </c>
    </row>
    <row r="274" spans="1:71" x14ac:dyDescent="0.3">
      <c r="A274" s="3" t="s">
        <v>174</v>
      </c>
      <c r="B274" s="3">
        <v>0.9</v>
      </c>
      <c r="C274" s="3">
        <v>0.5</v>
      </c>
      <c r="D274" s="3">
        <v>0.6</v>
      </c>
      <c r="E274" s="3">
        <v>0.73</v>
      </c>
      <c r="F274" s="7">
        <v>764.25524900000005</v>
      </c>
      <c r="G274" s="3">
        <v>2.3E-2</v>
      </c>
      <c r="I274" s="3" t="s">
        <v>174</v>
      </c>
      <c r="J274" s="3">
        <v>0.24</v>
      </c>
      <c r="K274" s="6">
        <v>663.62786900000003</v>
      </c>
      <c r="L274" s="3">
        <v>1E-3</v>
      </c>
      <c r="M274" s="3">
        <f t="shared" si="28"/>
        <v>0.48499999999999999</v>
      </c>
      <c r="N274" s="5"/>
      <c r="O274" s="5"/>
      <c r="P274" s="5"/>
      <c r="Q274" s="5"/>
      <c r="S274" s="3" t="s">
        <v>174</v>
      </c>
      <c r="T274" s="3">
        <v>0.9</v>
      </c>
      <c r="U274" s="3">
        <v>0.5</v>
      </c>
      <c r="V274" s="3">
        <v>0.6</v>
      </c>
      <c r="W274" s="3">
        <v>0.1</v>
      </c>
      <c r="X274" s="6">
        <v>647.67932099999996</v>
      </c>
      <c r="Y274" s="3">
        <v>8.9999999999999993E-3</v>
      </c>
      <c r="AA274" s="3" t="s">
        <v>174</v>
      </c>
      <c r="AB274" s="3">
        <v>0.74</v>
      </c>
      <c r="AC274" s="7">
        <v>753.45996100000002</v>
      </c>
      <c r="AD274" s="3">
        <v>0</v>
      </c>
      <c r="AE274" s="3">
        <f t="shared" si="29"/>
        <v>0.42</v>
      </c>
      <c r="AF274" s="5"/>
      <c r="AG274" s="5"/>
      <c r="AH274" s="5"/>
      <c r="AI274" s="5"/>
      <c r="AK274" s="3" t="s">
        <v>175</v>
      </c>
      <c r="AL274" s="3">
        <v>0.9</v>
      </c>
      <c r="AM274" s="3">
        <v>0.5</v>
      </c>
      <c r="AN274" s="3">
        <v>0.6</v>
      </c>
      <c r="AO274" s="3">
        <v>0.98</v>
      </c>
      <c r="AP274" s="7">
        <v>1255.1049800000001</v>
      </c>
      <c r="AQ274" s="3">
        <v>1.4999999999999999E-2</v>
      </c>
      <c r="AS274" s="3" t="s">
        <v>175</v>
      </c>
      <c r="AT274" s="3">
        <v>0.7</v>
      </c>
      <c r="AU274" s="6">
        <v>1180.198486</v>
      </c>
      <c r="AV274" s="3">
        <v>1E-3</v>
      </c>
      <c r="AW274" s="3">
        <f t="shared" si="30"/>
        <v>0.84</v>
      </c>
      <c r="AX274" s="5"/>
      <c r="AY274" s="5"/>
      <c r="AZ274" s="5"/>
      <c r="BA274" s="5"/>
      <c r="BC274" s="3" t="s">
        <v>175</v>
      </c>
      <c r="BD274" s="3">
        <v>0.9</v>
      </c>
      <c r="BE274" s="3">
        <v>0.5</v>
      </c>
      <c r="BF274" s="3">
        <v>0.6</v>
      </c>
      <c r="BG274" s="3">
        <v>0.34</v>
      </c>
      <c r="BH274" s="6">
        <v>999.96881099999996</v>
      </c>
      <c r="BI274" s="3">
        <v>1.4E-2</v>
      </c>
      <c r="BK274" s="3" t="s">
        <v>175</v>
      </c>
      <c r="BL274" s="3">
        <v>0.4</v>
      </c>
      <c r="BM274" s="7">
        <v>1028.851807</v>
      </c>
      <c r="BN274" s="3">
        <v>6.0000000000000001E-3</v>
      </c>
      <c r="BO274" s="3">
        <f t="shared" si="31"/>
        <v>0.37</v>
      </c>
    </row>
    <row r="275" spans="1:71" x14ac:dyDescent="0.3">
      <c r="A275" s="3" t="s">
        <v>176</v>
      </c>
      <c r="B275" s="3">
        <v>0.9</v>
      </c>
      <c r="C275" s="3">
        <v>0.5</v>
      </c>
      <c r="D275" s="3">
        <v>0.6</v>
      </c>
      <c r="E275" s="3">
        <v>0.02</v>
      </c>
      <c r="F275" s="7">
        <v>746.35382100000004</v>
      </c>
      <c r="G275" s="3">
        <v>2.1999999999999999E-2</v>
      </c>
      <c r="I275" s="3" t="s">
        <v>176</v>
      </c>
      <c r="J275" s="3">
        <v>0.12</v>
      </c>
      <c r="K275" s="6">
        <v>667.33837900000003</v>
      </c>
      <c r="L275" s="3">
        <v>7.0000000000000001E-3</v>
      </c>
      <c r="M275" s="3">
        <f t="shared" si="28"/>
        <v>6.9999999999999993E-2</v>
      </c>
      <c r="N275" s="5"/>
      <c r="O275" s="5"/>
      <c r="P275" s="5"/>
      <c r="Q275" s="5"/>
      <c r="S275" s="3" t="s">
        <v>176</v>
      </c>
      <c r="T275" s="3">
        <v>0.9</v>
      </c>
      <c r="U275" s="3">
        <v>0.5</v>
      </c>
      <c r="V275" s="3">
        <v>0.6</v>
      </c>
      <c r="W275" s="3">
        <v>0.11</v>
      </c>
      <c r="X275" s="6">
        <v>663.27002000000005</v>
      </c>
      <c r="Y275" s="3">
        <v>5.5E-2</v>
      </c>
      <c r="AA275" s="3" t="s">
        <v>176</v>
      </c>
      <c r="AB275" s="3">
        <v>0.47</v>
      </c>
      <c r="AC275" s="7">
        <v>755.06994599999996</v>
      </c>
      <c r="AD275" s="3">
        <v>2E-3</v>
      </c>
      <c r="AE275" s="3">
        <f t="shared" si="29"/>
        <v>0.28999999999999998</v>
      </c>
      <c r="AF275" s="5"/>
      <c r="AG275" s="5"/>
      <c r="AH275" s="5"/>
      <c r="AI275" s="5"/>
      <c r="AK275" s="3" t="s">
        <v>177</v>
      </c>
      <c r="AL275" s="3">
        <v>0.9</v>
      </c>
      <c r="AM275" s="3">
        <v>0.5</v>
      </c>
      <c r="AN275" s="3">
        <v>0.6</v>
      </c>
      <c r="AO275" s="3">
        <v>0.17</v>
      </c>
      <c r="AP275" s="7">
        <v>1010.104065</v>
      </c>
      <c r="AQ275" s="3">
        <v>3.1E-2</v>
      </c>
      <c r="AS275" s="3" t="s">
        <v>177</v>
      </c>
      <c r="AT275" s="3">
        <v>0.11</v>
      </c>
      <c r="AU275" s="6">
        <v>964.47241199999996</v>
      </c>
      <c r="AV275" s="3">
        <v>2E-3</v>
      </c>
      <c r="AW275" s="3">
        <f t="shared" si="30"/>
        <v>0.14000000000000001</v>
      </c>
      <c r="AX275" s="5"/>
      <c r="AY275" s="5"/>
      <c r="AZ275" s="5"/>
      <c r="BA275" s="5"/>
      <c r="BC275" s="3" t="s">
        <v>177</v>
      </c>
      <c r="BD275" s="3">
        <v>0.9</v>
      </c>
      <c r="BE275" s="3">
        <v>0.5</v>
      </c>
      <c r="BF275" s="3">
        <v>0.6</v>
      </c>
      <c r="BG275" s="3">
        <v>0.19</v>
      </c>
      <c r="BH275" s="6">
        <v>1019.459778</v>
      </c>
      <c r="BI275" s="3">
        <v>1.4999999999999999E-2</v>
      </c>
      <c r="BK275" s="3" t="s">
        <v>177</v>
      </c>
      <c r="BL275" s="3">
        <v>0.69</v>
      </c>
      <c r="BM275" s="7">
        <v>1304.1791989999999</v>
      </c>
      <c r="BN275" s="3">
        <v>1E-3</v>
      </c>
      <c r="BO275" s="3">
        <f t="shared" si="31"/>
        <v>0.43999999999999995</v>
      </c>
    </row>
    <row r="276" spans="1:71" x14ac:dyDescent="0.3">
      <c r="A276" s="3" t="s">
        <v>178</v>
      </c>
      <c r="B276" s="3">
        <v>0.9</v>
      </c>
      <c r="C276" s="3">
        <v>0.5</v>
      </c>
      <c r="D276" s="3">
        <v>0.6</v>
      </c>
      <c r="E276" s="3">
        <v>0.94</v>
      </c>
      <c r="F276" s="7">
        <v>854.71545400000002</v>
      </c>
      <c r="G276" s="3">
        <v>1.7999999999999999E-2</v>
      </c>
      <c r="I276" s="3" t="s">
        <v>178</v>
      </c>
      <c r="J276" s="3">
        <v>0.05</v>
      </c>
      <c r="K276" s="6">
        <v>649.37365699999998</v>
      </c>
      <c r="L276" s="3">
        <v>2E-3</v>
      </c>
      <c r="M276" s="3">
        <f t="shared" si="28"/>
        <v>0.495</v>
      </c>
      <c r="N276" s="5"/>
      <c r="O276" s="5"/>
      <c r="P276" s="5"/>
      <c r="Q276" s="5"/>
      <c r="S276" s="3" t="s">
        <v>178</v>
      </c>
      <c r="T276" s="3">
        <v>0.9</v>
      </c>
      <c r="U276" s="3">
        <v>0.5</v>
      </c>
      <c r="V276" s="3">
        <v>0.6</v>
      </c>
      <c r="W276" s="3">
        <v>0.55000000000000004</v>
      </c>
      <c r="X276" s="6">
        <v>747.77398700000003</v>
      </c>
      <c r="Y276" s="3">
        <v>1.6E-2</v>
      </c>
      <c r="AA276" s="3" t="s">
        <v>178</v>
      </c>
      <c r="AB276" s="3">
        <v>0.83</v>
      </c>
      <c r="AC276" s="7">
        <v>820.89263900000003</v>
      </c>
      <c r="AD276" s="3">
        <v>0.01</v>
      </c>
      <c r="AE276" s="3">
        <f t="shared" si="29"/>
        <v>0.69</v>
      </c>
      <c r="AF276" s="5"/>
      <c r="AG276" s="5"/>
      <c r="AH276" s="5"/>
      <c r="AI276" s="5"/>
      <c r="AK276" s="3" t="s">
        <v>179</v>
      </c>
      <c r="AL276" s="3">
        <v>0.9</v>
      </c>
      <c r="AM276" s="3">
        <v>0.5</v>
      </c>
      <c r="AN276" s="3">
        <v>0.6</v>
      </c>
      <c r="AO276" s="3">
        <v>0.59</v>
      </c>
      <c r="AP276" s="7">
        <v>1240.708374</v>
      </c>
      <c r="AQ276" s="3">
        <v>1.4999999999999999E-2</v>
      </c>
      <c r="AS276" s="3" t="s">
        <v>179</v>
      </c>
      <c r="AT276" s="3">
        <v>0.6</v>
      </c>
      <c r="AU276" s="6">
        <v>1198.237061</v>
      </c>
      <c r="AV276" s="3">
        <v>3.0000000000000001E-3</v>
      </c>
      <c r="AW276" s="3">
        <f t="shared" si="30"/>
        <v>0.59499999999999997</v>
      </c>
      <c r="AX276" s="5"/>
      <c r="AY276" s="5"/>
      <c r="AZ276" s="5"/>
      <c r="BA276" s="5"/>
      <c r="BC276" s="3" t="s">
        <v>179</v>
      </c>
      <c r="BD276" s="3">
        <v>0.9</v>
      </c>
      <c r="BE276" s="3">
        <v>0.5</v>
      </c>
      <c r="BF276" s="3">
        <v>0.6</v>
      </c>
      <c r="BG276" s="3">
        <v>0.5</v>
      </c>
      <c r="BH276" s="6">
        <v>1171.6759030000001</v>
      </c>
      <c r="BI276" s="3">
        <v>2.1000000000000001E-2</v>
      </c>
      <c r="BK276" s="3" t="s">
        <v>179</v>
      </c>
      <c r="BL276" s="3">
        <v>0.7</v>
      </c>
      <c r="BM276" s="7">
        <v>1231.968384</v>
      </c>
      <c r="BN276" s="3">
        <v>5.0000000000000001E-3</v>
      </c>
      <c r="BO276" s="3">
        <f t="shared" si="31"/>
        <v>0.6</v>
      </c>
    </row>
    <row r="277" spans="1:71" x14ac:dyDescent="0.3">
      <c r="A277" s="3" t="s">
        <v>180</v>
      </c>
      <c r="B277" s="3">
        <v>0.9</v>
      </c>
      <c r="C277" s="3">
        <v>0.5</v>
      </c>
      <c r="D277" s="3">
        <v>0.6</v>
      </c>
      <c r="E277" s="3">
        <v>0.95</v>
      </c>
      <c r="F277" s="7">
        <v>854.72540300000003</v>
      </c>
      <c r="G277" s="3">
        <v>0.03</v>
      </c>
      <c r="I277" s="3" t="s">
        <v>180</v>
      </c>
      <c r="J277" s="3">
        <v>0.59</v>
      </c>
      <c r="K277" s="6">
        <v>749.40783699999997</v>
      </c>
      <c r="L277" s="3">
        <v>3.0000000000000001E-3</v>
      </c>
      <c r="M277" s="3">
        <f t="shared" si="28"/>
        <v>0.77</v>
      </c>
      <c r="N277" s="5"/>
      <c r="O277" s="5"/>
      <c r="P277" s="5"/>
      <c r="Q277" s="5"/>
      <c r="S277" s="3" t="s">
        <v>180</v>
      </c>
      <c r="T277" s="3">
        <v>0.9</v>
      </c>
      <c r="U277" s="3">
        <v>0.5</v>
      </c>
      <c r="V277" s="3">
        <v>0.6</v>
      </c>
      <c r="W277" s="3">
        <v>0.95</v>
      </c>
      <c r="X277" s="7">
        <v>831.84173599999997</v>
      </c>
      <c r="Y277" s="3">
        <v>2.5000000000000001E-2</v>
      </c>
      <c r="AA277" s="3" t="s">
        <v>180</v>
      </c>
      <c r="AB277" s="3">
        <v>0.5</v>
      </c>
      <c r="AC277" s="6">
        <v>738.818848</v>
      </c>
      <c r="AD277" s="3">
        <v>2E-3</v>
      </c>
      <c r="AE277" s="3">
        <f t="shared" si="29"/>
        <v>0.72499999999999998</v>
      </c>
      <c r="AF277" s="5"/>
      <c r="AG277" s="5"/>
      <c r="AH277" s="5"/>
      <c r="AI277" s="5"/>
      <c r="AK277" s="3" t="s">
        <v>181</v>
      </c>
      <c r="AL277" s="3">
        <v>0.9</v>
      </c>
      <c r="AM277" s="3">
        <v>0.5</v>
      </c>
      <c r="AN277" s="3">
        <v>0.6</v>
      </c>
      <c r="AO277" s="3">
        <v>0.37</v>
      </c>
      <c r="AP277" s="6">
        <v>1106.7807620000001</v>
      </c>
      <c r="AQ277" s="3">
        <v>0.02</v>
      </c>
      <c r="AS277" s="3" t="s">
        <v>181</v>
      </c>
      <c r="AT277" s="3">
        <v>0.5</v>
      </c>
      <c r="AU277" s="7">
        <v>1158.3735349999999</v>
      </c>
      <c r="AV277" s="3">
        <v>1E-3</v>
      </c>
      <c r="AW277" s="3">
        <f t="shared" si="30"/>
        <v>0.435</v>
      </c>
      <c r="AX277" s="5"/>
      <c r="AY277" s="5"/>
      <c r="AZ277" s="5"/>
      <c r="BA277" s="5"/>
      <c r="BC277" s="3" t="s">
        <v>181</v>
      </c>
      <c r="BD277" s="3">
        <v>0.9</v>
      </c>
      <c r="BE277" s="3">
        <v>0.5</v>
      </c>
      <c r="BF277" s="3">
        <v>0.6</v>
      </c>
      <c r="BG277" s="3">
        <v>0.99</v>
      </c>
      <c r="BH277" s="7">
        <v>1313.6102289999999</v>
      </c>
      <c r="BI277" s="3">
        <v>0.03</v>
      </c>
      <c r="BK277" s="3" t="s">
        <v>181</v>
      </c>
      <c r="BL277" s="3">
        <v>0.41</v>
      </c>
      <c r="BM277" s="6">
        <v>1115.288818</v>
      </c>
      <c r="BN277" s="3">
        <v>3.0000000000000001E-3</v>
      </c>
      <c r="BO277" s="3">
        <f t="shared" si="31"/>
        <v>0.7</v>
      </c>
    </row>
    <row r="278" spans="1:71" x14ac:dyDescent="0.3">
      <c r="A278" s="3" t="s">
        <v>182</v>
      </c>
      <c r="B278" s="3">
        <v>0.9</v>
      </c>
      <c r="C278" s="3">
        <v>0.5</v>
      </c>
      <c r="D278" s="3">
        <v>0.6</v>
      </c>
      <c r="E278" s="3">
        <v>0.91</v>
      </c>
      <c r="F278" s="6">
        <v>758.64227300000005</v>
      </c>
      <c r="G278" s="3">
        <v>1.4999999999999999E-2</v>
      </c>
      <c r="I278" s="3" t="s">
        <v>182</v>
      </c>
      <c r="J278" s="3">
        <v>0.81</v>
      </c>
      <c r="K278" s="7">
        <v>777.11633300000005</v>
      </c>
      <c r="L278" s="3">
        <v>2E-3</v>
      </c>
      <c r="M278" s="3">
        <f t="shared" si="28"/>
        <v>0.8600000000000001</v>
      </c>
      <c r="N278" s="5"/>
      <c r="O278" s="5"/>
      <c r="P278" s="5"/>
      <c r="Q278" s="5"/>
      <c r="S278" s="3" t="s">
        <v>182</v>
      </c>
      <c r="T278" s="3">
        <v>0.9</v>
      </c>
      <c r="U278" s="3">
        <v>0.5</v>
      </c>
      <c r="V278" s="3">
        <v>0.6</v>
      </c>
      <c r="W278" s="3">
        <v>0.99</v>
      </c>
      <c r="X278" s="6">
        <v>757.51367200000004</v>
      </c>
      <c r="Y278" s="3">
        <v>1.2E-2</v>
      </c>
      <c r="AA278" s="3" t="s">
        <v>182</v>
      </c>
      <c r="AB278" s="3">
        <v>0.96</v>
      </c>
      <c r="AC278" s="7">
        <v>787.16375700000003</v>
      </c>
      <c r="AD278" s="3">
        <v>1E-3</v>
      </c>
      <c r="AE278" s="3">
        <f t="shared" si="29"/>
        <v>0.97499999999999998</v>
      </c>
      <c r="AF278" s="5"/>
      <c r="AG278" s="5"/>
      <c r="AH278" s="5"/>
      <c r="AI278" s="5"/>
      <c r="AK278" s="3" t="s">
        <v>183</v>
      </c>
      <c r="AL278" s="3">
        <v>0.9</v>
      </c>
      <c r="AM278" s="3">
        <v>0.5</v>
      </c>
      <c r="AN278" s="3">
        <v>0.6</v>
      </c>
      <c r="AO278" s="3">
        <v>0.17</v>
      </c>
      <c r="AP278" s="6">
        <v>1017.561279</v>
      </c>
      <c r="AQ278" s="3">
        <v>2.7E-2</v>
      </c>
      <c r="AS278" s="3" t="s">
        <v>183</v>
      </c>
      <c r="AT278" s="3">
        <v>0.48</v>
      </c>
      <c r="AU278" s="7">
        <v>1165.1954350000001</v>
      </c>
      <c r="AV278" s="3">
        <v>3.0000000000000001E-3</v>
      </c>
      <c r="AW278" s="3">
        <f t="shared" si="30"/>
        <v>0.32500000000000001</v>
      </c>
      <c r="AX278" s="5"/>
      <c r="AY278" s="5"/>
      <c r="AZ278" s="5"/>
      <c r="BA278" s="5"/>
      <c r="BC278" s="3" t="s">
        <v>183</v>
      </c>
      <c r="BD278" s="3">
        <v>0.9</v>
      </c>
      <c r="BE278" s="3">
        <v>0.5</v>
      </c>
      <c r="BF278" s="3">
        <v>0.6</v>
      </c>
      <c r="BG278" s="3">
        <v>0.19</v>
      </c>
      <c r="BH278" s="6">
        <v>1013.749634</v>
      </c>
      <c r="BI278" s="3">
        <v>2.5999999999999999E-2</v>
      </c>
      <c r="BK278" s="3" t="s">
        <v>183</v>
      </c>
      <c r="BL278" s="3">
        <v>0.8</v>
      </c>
      <c r="BM278" s="7">
        <v>1267.513672</v>
      </c>
      <c r="BN278" s="3">
        <v>7.0000000000000001E-3</v>
      </c>
      <c r="BO278" s="3">
        <f t="shared" si="31"/>
        <v>0.495</v>
      </c>
    </row>
    <row r="279" spans="1:71" x14ac:dyDescent="0.3">
      <c r="A279" s="3" t="s">
        <v>184</v>
      </c>
      <c r="B279" s="3">
        <v>0.9</v>
      </c>
      <c r="C279" s="3">
        <v>0.5</v>
      </c>
      <c r="D279" s="3">
        <v>0.6</v>
      </c>
      <c r="E279" s="3">
        <v>0.68</v>
      </c>
      <c r="F279" s="6">
        <v>737.65130599999998</v>
      </c>
      <c r="G279" s="3">
        <v>1.7999999999999999E-2</v>
      </c>
      <c r="I279" s="3" t="s">
        <v>184</v>
      </c>
      <c r="J279" s="3">
        <v>0.76</v>
      </c>
      <c r="K279" s="7">
        <v>751.441284</v>
      </c>
      <c r="L279" s="3">
        <v>1E-3</v>
      </c>
      <c r="M279" s="3">
        <f t="shared" si="28"/>
        <v>0.72</v>
      </c>
      <c r="N279" s="5"/>
      <c r="O279" s="5"/>
      <c r="P279" s="5"/>
      <c r="Q279" s="5"/>
      <c r="S279" s="3" t="s">
        <v>184</v>
      </c>
      <c r="T279" s="3">
        <v>0.9</v>
      </c>
      <c r="U279" s="3">
        <v>0.5</v>
      </c>
      <c r="V279" s="3">
        <v>0.6</v>
      </c>
      <c r="W279" s="3">
        <v>0.38</v>
      </c>
      <c r="X279" s="7">
        <v>679.06036400000005</v>
      </c>
      <c r="Y279" s="3">
        <v>1.2999999999999999E-2</v>
      </c>
      <c r="AA279" s="3" t="s">
        <v>184</v>
      </c>
      <c r="AB279" s="3">
        <v>0.23</v>
      </c>
      <c r="AC279" s="6">
        <v>636.57214399999998</v>
      </c>
      <c r="AD279" s="3">
        <v>1.2E-2</v>
      </c>
      <c r="AE279" s="3">
        <f t="shared" si="29"/>
        <v>0.30499999999999999</v>
      </c>
      <c r="AF279" s="5"/>
      <c r="AG279" s="5"/>
      <c r="AH279" s="5"/>
      <c r="AI279" s="5"/>
      <c r="AK279" s="3" t="s">
        <v>185</v>
      </c>
      <c r="AL279" s="3">
        <v>0.9</v>
      </c>
      <c r="AM279" s="3">
        <v>0.5</v>
      </c>
      <c r="AN279" s="3">
        <v>0.6</v>
      </c>
      <c r="AO279" s="3">
        <v>0.6</v>
      </c>
      <c r="AP279" s="6">
        <v>1232.194336</v>
      </c>
      <c r="AQ279" s="3">
        <v>1.9E-2</v>
      </c>
      <c r="AS279" s="3" t="s">
        <v>185</v>
      </c>
      <c r="AT279" s="3">
        <v>0.73</v>
      </c>
      <c r="AU279" s="7">
        <v>1242.961548</v>
      </c>
      <c r="AV279" s="3">
        <v>1E-3</v>
      </c>
      <c r="AW279" s="3">
        <f t="shared" si="30"/>
        <v>0.66500000000000004</v>
      </c>
      <c r="AX279" s="5"/>
      <c r="AY279" s="5"/>
      <c r="AZ279" s="5"/>
      <c r="BA279" s="5"/>
      <c r="BC279" s="3" t="s">
        <v>185</v>
      </c>
      <c r="BD279" s="3">
        <v>0.9</v>
      </c>
      <c r="BE279" s="3">
        <v>0.5</v>
      </c>
      <c r="BF279" s="3">
        <v>0.6</v>
      </c>
      <c r="BG279" s="3">
        <v>0.08</v>
      </c>
      <c r="BH279" s="6">
        <v>830.90258800000004</v>
      </c>
      <c r="BI279" s="3">
        <v>1.7000000000000001E-2</v>
      </c>
      <c r="BK279" s="3" t="s">
        <v>185</v>
      </c>
      <c r="BL279" s="3">
        <v>0.5</v>
      </c>
      <c r="BM279" s="7">
        <v>1164.237427</v>
      </c>
      <c r="BN279" s="3">
        <v>1E-3</v>
      </c>
      <c r="BO279" s="3">
        <f t="shared" si="31"/>
        <v>0.28999999999999998</v>
      </c>
    </row>
    <row r="280" spans="1:71" x14ac:dyDescent="0.3">
      <c r="A280" s="3" t="s">
        <v>186</v>
      </c>
      <c r="B280" s="3">
        <v>0.9</v>
      </c>
      <c r="C280" s="3">
        <v>0.5</v>
      </c>
      <c r="D280" s="3">
        <v>0.6</v>
      </c>
      <c r="E280" s="3">
        <v>0.28999999999999998</v>
      </c>
      <c r="F280" s="6">
        <v>772.33270300000004</v>
      </c>
      <c r="G280" s="3">
        <v>3.5000000000000003E-2</v>
      </c>
      <c r="I280" s="3" t="s">
        <v>186</v>
      </c>
      <c r="J280" s="3">
        <v>0.39</v>
      </c>
      <c r="K280" s="7">
        <v>803.88391100000001</v>
      </c>
      <c r="L280" s="3">
        <v>1E-3</v>
      </c>
      <c r="M280" s="3">
        <f t="shared" si="28"/>
        <v>0.33999999999999997</v>
      </c>
      <c r="N280" s="5"/>
      <c r="O280" s="5"/>
      <c r="P280" s="5"/>
      <c r="Q280" s="5"/>
      <c r="S280" s="3" t="s">
        <v>186</v>
      </c>
      <c r="T280" s="3">
        <v>0.9</v>
      </c>
      <c r="U280" s="3">
        <v>0.5</v>
      </c>
      <c r="V280" s="3">
        <v>0.6</v>
      </c>
      <c r="W280" s="3">
        <v>0.34</v>
      </c>
      <c r="X280" s="6">
        <v>787.134277</v>
      </c>
      <c r="Y280" s="3">
        <v>6.0000000000000001E-3</v>
      </c>
      <c r="AA280" s="3" t="s">
        <v>186</v>
      </c>
      <c r="AB280" s="3">
        <v>0.97</v>
      </c>
      <c r="AC280" s="7">
        <v>971.17663600000003</v>
      </c>
      <c r="AD280" s="3">
        <v>0.02</v>
      </c>
      <c r="AE280" s="3">
        <f t="shared" si="29"/>
        <v>0.65500000000000003</v>
      </c>
      <c r="AF280" s="5"/>
      <c r="AG280" s="5"/>
      <c r="AH280" s="5"/>
      <c r="AI280" s="5"/>
      <c r="AK280" s="3" t="s">
        <v>187</v>
      </c>
      <c r="AL280" s="3">
        <v>0.9</v>
      </c>
      <c r="AM280" s="3">
        <v>0.5</v>
      </c>
      <c r="AN280" s="3">
        <v>0.6</v>
      </c>
      <c r="AO280" s="3">
        <v>0.22</v>
      </c>
      <c r="AP280" s="7">
        <v>1095.1170649999999</v>
      </c>
      <c r="AQ280" s="3">
        <v>1.7999999999999999E-2</v>
      </c>
      <c r="AS280" s="3" t="s">
        <v>187</v>
      </c>
      <c r="AT280" s="3">
        <v>0.04</v>
      </c>
      <c r="AU280" s="6">
        <v>967.04461700000002</v>
      </c>
      <c r="AV280" s="3">
        <v>5.0000000000000001E-3</v>
      </c>
      <c r="AW280" s="3">
        <f t="shared" si="30"/>
        <v>0.13</v>
      </c>
      <c r="AX280" s="5"/>
      <c r="AY280" s="5"/>
      <c r="AZ280" s="5"/>
      <c r="BA280" s="5"/>
      <c r="BC280" s="3" t="s">
        <v>187</v>
      </c>
      <c r="BD280" s="3">
        <v>0.9</v>
      </c>
      <c r="BE280" s="3">
        <v>0.5</v>
      </c>
      <c r="BF280" s="3">
        <v>0.6</v>
      </c>
      <c r="BG280" s="3">
        <v>0.51</v>
      </c>
      <c r="BH280" s="7">
        <v>1271.6999510000001</v>
      </c>
      <c r="BI280" s="3">
        <v>2.7E-2</v>
      </c>
      <c r="BK280" s="3" t="s">
        <v>187</v>
      </c>
      <c r="BL280" s="3">
        <v>0.33</v>
      </c>
      <c r="BM280" s="6">
        <v>1177.4372559999999</v>
      </c>
      <c r="BN280" s="3">
        <v>6.0000000000000001E-3</v>
      </c>
      <c r="BO280" s="3">
        <f t="shared" si="31"/>
        <v>0.42000000000000004</v>
      </c>
    </row>
    <row r="281" spans="1:71" x14ac:dyDescent="0.3">
      <c r="A281" s="3" t="s">
        <v>188</v>
      </c>
      <c r="B281" s="3">
        <v>0.9</v>
      </c>
      <c r="C281" s="3">
        <v>0.5</v>
      </c>
      <c r="D281" s="3">
        <v>0.6</v>
      </c>
      <c r="E281" s="3">
        <v>0.54</v>
      </c>
      <c r="F281" s="7">
        <v>772.46093800000006</v>
      </c>
      <c r="G281" s="3">
        <v>1.7999999999999999E-2</v>
      </c>
      <c r="I281" s="3" t="s">
        <v>188</v>
      </c>
      <c r="J281" s="3">
        <v>0.2</v>
      </c>
      <c r="K281" s="6">
        <v>684.57135000000005</v>
      </c>
      <c r="L281" s="3">
        <v>0</v>
      </c>
      <c r="M281" s="3">
        <f t="shared" si="28"/>
        <v>0.37</v>
      </c>
      <c r="N281" s="5"/>
      <c r="O281" s="5"/>
      <c r="P281" s="5"/>
      <c r="Q281" s="5"/>
      <c r="S281" s="3" t="s">
        <v>188</v>
      </c>
      <c r="T281" s="3">
        <v>0.9</v>
      </c>
      <c r="U281" s="3">
        <v>0.5</v>
      </c>
      <c r="V281" s="3">
        <v>0.6</v>
      </c>
      <c r="W281" s="3">
        <v>7.0000000000000007E-2</v>
      </c>
      <c r="X281" s="6">
        <v>650.521118</v>
      </c>
      <c r="Y281" s="3">
        <v>1.4999999999999999E-2</v>
      </c>
      <c r="AA281" s="3" t="s">
        <v>188</v>
      </c>
      <c r="AB281" s="3">
        <v>0.5</v>
      </c>
      <c r="AC281" s="7">
        <v>750.81262200000003</v>
      </c>
      <c r="AD281" s="3">
        <v>4.0000000000000001E-3</v>
      </c>
      <c r="AE281" s="3">
        <f t="shared" si="29"/>
        <v>0.28500000000000003</v>
      </c>
      <c r="AF281" s="5"/>
      <c r="AG281" s="5"/>
      <c r="AH281" s="5"/>
      <c r="AI281" s="5"/>
      <c r="AK281" s="3" t="s">
        <v>189</v>
      </c>
      <c r="AL281" s="3">
        <v>0.9</v>
      </c>
      <c r="AM281" s="3">
        <v>0.5</v>
      </c>
      <c r="AN281" s="3">
        <v>0.6</v>
      </c>
      <c r="AO281" s="3">
        <v>0.84</v>
      </c>
      <c r="AP281" s="7">
        <v>1256.3354489999999</v>
      </c>
      <c r="AQ281" s="3">
        <v>0.02</v>
      </c>
      <c r="AS281" s="3" t="s">
        <v>189</v>
      </c>
      <c r="AT281" s="3">
        <v>0.47</v>
      </c>
      <c r="AU281" s="6">
        <v>1095.068115</v>
      </c>
      <c r="AV281" s="3">
        <v>2E-3</v>
      </c>
      <c r="AW281" s="3">
        <f t="shared" si="30"/>
        <v>0.65500000000000003</v>
      </c>
      <c r="AX281" s="5"/>
      <c r="AY281" s="5"/>
      <c r="AZ281" s="5"/>
      <c r="BA281" s="5"/>
      <c r="BC281" s="3" t="s">
        <v>189</v>
      </c>
      <c r="BD281" s="3">
        <v>0.9</v>
      </c>
      <c r="BE281" s="3">
        <v>0.5</v>
      </c>
      <c r="BF281" s="3">
        <v>0.6</v>
      </c>
      <c r="BG281" s="3">
        <v>0.32</v>
      </c>
      <c r="BH281" s="6">
        <v>997.12127699999996</v>
      </c>
      <c r="BI281" s="3">
        <v>1.6E-2</v>
      </c>
      <c r="BK281" s="3" t="s">
        <v>189</v>
      </c>
      <c r="BL281" s="3">
        <v>0.43</v>
      </c>
      <c r="BM281" s="7">
        <v>1068.5363769999999</v>
      </c>
      <c r="BN281" s="3">
        <v>5.0000000000000001E-3</v>
      </c>
      <c r="BO281" s="3">
        <f t="shared" si="31"/>
        <v>0.375</v>
      </c>
    </row>
    <row r="282" spans="1:71" x14ac:dyDescent="0.3">
      <c r="A282" s="3" t="s">
        <v>190</v>
      </c>
      <c r="B282" s="3">
        <v>0.9</v>
      </c>
      <c r="C282" s="3">
        <v>0.5</v>
      </c>
      <c r="D282" s="3">
        <v>0.6</v>
      </c>
      <c r="E282" s="3">
        <v>0.61</v>
      </c>
      <c r="F282" s="6">
        <v>732.98584000000005</v>
      </c>
      <c r="G282" s="3">
        <v>3.5000000000000003E-2</v>
      </c>
      <c r="I282" s="3" t="s">
        <v>190</v>
      </c>
      <c r="J282" s="3">
        <v>0.92</v>
      </c>
      <c r="K282" s="7">
        <v>788.80462599999998</v>
      </c>
      <c r="L282" s="3">
        <v>0</v>
      </c>
      <c r="M282" s="3">
        <f t="shared" si="28"/>
        <v>0.76500000000000001</v>
      </c>
      <c r="N282" s="5"/>
      <c r="O282" s="5"/>
      <c r="P282" s="5"/>
      <c r="Q282" s="5"/>
      <c r="S282" s="3" t="s">
        <v>190</v>
      </c>
      <c r="T282" s="3">
        <v>0.9</v>
      </c>
      <c r="U282" s="3">
        <v>0.5</v>
      </c>
      <c r="V282" s="3">
        <v>0.6</v>
      </c>
      <c r="W282" s="3">
        <v>0.22</v>
      </c>
      <c r="X282" s="6">
        <v>659.24395800000002</v>
      </c>
      <c r="Y282" s="3">
        <v>2.3E-2</v>
      </c>
      <c r="AA282" s="3" t="s">
        <v>190</v>
      </c>
      <c r="AB282" s="3">
        <v>0.68</v>
      </c>
      <c r="AC282" s="7">
        <v>717.25988800000005</v>
      </c>
      <c r="AD282" s="3">
        <v>1E-3</v>
      </c>
      <c r="AE282" s="3">
        <f t="shared" si="29"/>
        <v>0.45</v>
      </c>
      <c r="AF282" s="5"/>
      <c r="AG282" s="5"/>
      <c r="AH282" s="5"/>
      <c r="AI282" s="5"/>
      <c r="AK282" s="3" t="s">
        <v>191</v>
      </c>
      <c r="AL282" s="3">
        <v>0.9</v>
      </c>
      <c r="AM282" s="3">
        <v>0.5</v>
      </c>
      <c r="AN282" s="3">
        <v>0.6</v>
      </c>
      <c r="AO282" s="3">
        <v>0.33</v>
      </c>
      <c r="AP282" s="7">
        <v>1004.008423</v>
      </c>
      <c r="AQ282" s="3">
        <v>0.02</v>
      </c>
      <c r="AS282" s="3" t="s">
        <v>191</v>
      </c>
      <c r="AT282" s="3">
        <v>7.0000000000000007E-2</v>
      </c>
      <c r="AU282" s="6">
        <v>832.915344</v>
      </c>
      <c r="AV282" s="3">
        <v>1E-3</v>
      </c>
      <c r="AW282" s="3">
        <f t="shared" si="30"/>
        <v>0.2</v>
      </c>
      <c r="AX282" s="5"/>
      <c r="AY282" s="5"/>
      <c r="AZ282" s="5"/>
      <c r="BA282" s="5"/>
      <c r="BC282" s="3" t="s">
        <v>191</v>
      </c>
      <c r="BD282" s="3">
        <v>0.9</v>
      </c>
      <c r="BE282" s="3">
        <v>0.5</v>
      </c>
      <c r="BF282" s="3">
        <v>0.6</v>
      </c>
      <c r="BG282" s="3">
        <v>0.48</v>
      </c>
      <c r="BH282" s="6">
        <v>1103.6324460000001</v>
      </c>
      <c r="BI282" s="3">
        <v>2.5000000000000001E-2</v>
      </c>
      <c r="BK282" s="3" t="s">
        <v>191</v>
      </c>
      <c r="BL282" s="3">
        <v>0.74</v>
      </c>
      <c r="BM282" s="7">
        <v>1210.7791749999999</v>
      </c>
      <c r="BN282" s="3">
        <v>5.0000000000000001E-3</v>
      </c>
      <c r="BO282" s="3">
        <f t="shared" si="31"/>
        <v>0.61</v>
      </c>
    </row>
    <row r="283" spans="1:71" x14ac:dyDescent="0.3">
      <c r="A283" s="3" t="s">
        <v>192</v>
      </c>
      <c r="B283" s="3">
        <v>0.9</v>
      </c>
      <c r="C283" s="3">
        <v>0.5</v>
      </c>
      <c r="D283" s="3">
        <v>0.6</v>
      </c>
      <c r="E283" s="3">
        <v>0.59</v>
      </c>
      <c r="F283" s="7">
        <v>918.519409</v>
      </c>
      <c r="G283" s="3">
        <v>1.4E-2</v>
      </c>
      <c r="I283" s="3" t="s">
        <v>192</v>
      </c>
      <c r="J283" s="3">
        <v>0.4</v>
      </c>
      <c r="K283" s="6">
        <v>828.85003700000004</v>
      </c>
      <c r="L283" s="3">
        <v>1E-3</v>
      </c>
      <c r="M283" s="3">
        <f t="shared" si="28"/>
        <v>0.495</v>
      </c>
      <c r="N283" s="5"/>
      <c r="O283" s="5"/>
      <c r="P283" s="5"/>
      <c r="Q283" s="5"/>
      <c r="S283" s="3" t="s">
        <v>192</v>
      </c>
      <c r="T283" s="3">
        <v>0.9</v>
      </c>
      <c r="U283" s="3">
        <v>0.5</v>
      </c>
      <c r="V283" s="3">
        <v>0.6</v>
      </c>
      <c r="W283" s="3">
        <v>0.86</v>
      </c>
      <c r="X283" s="7">
        <v>969.93609600000002</v>
      </c>
      <c r="Y283" s="3">
        <v>2.4E-2</v>
      </c>
      <c r="AA283" s="3" t="s">
        <v>192</v>
      </c>
      <c r="AB283" s="3">
        <v>0.67</v>
      </c>
      <c r="AC283" s="6">
        <v>935.63915999999995</v>
      </c>
      <c r="AD283" s="3">
        <v>2E-3</v>
      </c>
      <c r="AE283" s="3">
        <f t="shared" si="29"/>
        <v>0.76500000000000001</v>
      </c>
      <c r="AF283" s="5"/>
      <c r="AG283" s="5"/>
      <c r="AH283" s="5"/>
      <c r="AI283" s="5"/>
      <c r="AK283" s="3" t="s">
        <v>193</v>
      </c>
      <c r="AL283" s="3">
        <v>0.9</v>
      </c>
      <c r="AM283" s="3">
        <v>0.5</v>
      </c>
      <c r="AN283" s="3">
        <v>0.6</v>
      </c>
      <c r="AO283" s="3">
        <v>0.91</v>
      </c>
      <c r="AP283" s="7">
        <v>1345.402832</v>
      </c>
      <c r="AQ283" s="3">
        <v>1.4E-2</v>
      </c>
      <c r="AS283" s="3" t="s">
        <v>193</v>
      </c>
      <c r="AT283" s="3">
        <v>0.56999999999999995</v>
      </c>
      <c r="AU283" s="6">
        <v>1208.25</v>
      </c>
      <c r="AV283" s="3">
        <v>1E-3</v>
      </c>
      <c r="AW283" s="3">
        <f t="shared" si="30"/>
        <v>0.74</v>
      </c>
      <c r="AX283" s="5"/>
      <c r="AY283" s="5"/>
      <c r="AZ283" s="5"/>
      <c r="BA283" s="5"/>
      <c r="BC283" s="3" t="s">
        <v>193</v>
      </c>
      <c r="BD283" s="3">
        <v>0.9</v>
      </c>
      <c r="BE283" s="3">
        <v>0.5</v>
      </c>
      <c r="BF283" s="3">
        <v>0.6</v>
      </c>
      <c r="BG283" s="3">
        <v>0.22</v>
      </c>
      <c r="BH283" s="6">
        <v>1047.727173</v>
      </c>
      <c r="BI283" s="3">
        <v>1.2999999999999999E-2</v>
      </c>
      <c r="BK283" s="3" t="s">
        <v>193</v>
      </c>
      <c r="BL283" s="3">
        <v>0.28999999999999998</v>
      </c>
      <c r="BM283" s="7">
        <v>1083.947388</v>
      </c>
      <c r="BN283" s="3">
        <v>2E-3</v>
      </c>
      <c r="BO283" s="3">
        <f t="shared" si="31"/>
        <v>0.255</v>
      </c>
    </row>
    <row r="284" spans="1:71" x14ac:dyDescent="0.3">
      <c r="A284" s="9" t="s">
        <v>316</v>
      </c>
      <c r="E284" s="9">
        <f>AVERAGE(E254:E283)</f>
        <v>0.54766666666666652</v>
      </c>
      <c r="I284" s="9" t="s">
        <v>316</v>
      </c>
      <c r="J284" s="9">
        <f>AVERAGE(J254:J283)</f>
        <v>0.43766666666666676</v>
      </c>
      <c r="M284" s="5"/>
      <c r="N284" s="5"/>
      <c r="O284" s="5"/>
      <c r="P284" s="5"/>
      <c r="Q284" s="5"/>
      <c r="S284" s="9" t="s">
        <v>316</v>
      </c>
      <c r="W284" s="9">
        <f>AVERAGE(W254:W283)</f>
        <v>0.54166666666666663</v>
      </c>
      <c r="AA284" s="9" t="s">
        <v>316</v>
      </c>
      <c r="AB284" s="9">
        <f>AVERAGE(AB254:AB283)</f>
        <v>0.54766666666666663</v>
      </c>
      <c r="AE284" s="5"/>
      <c r="AF284" s="5"/>
      <c r="AG284" s="5"/>
      <c r="AH284" s="5"/>
      <c r="AI284" s="5"/>
      <c r="AK284" s="9" t="s">
        <v>316</v>
      </c>
      <c r="AO284" s="9">
        <f>AVERAGE(AO254:AO283)</f>
        <v>0.49066666666666664</v>
      </c>
      <c r="AS284" s="9" t="s">
        <v>316</v>
      </c>
      <c r="AT284" s="9">
        <f>AVERAGE(AT254:AT283)</f>
        <v>0.41666666666666669</v>
      </c>
      <c r="AW284" s="5"/>
      <c r="AX284" s="5"/>
      <c r="AY284" s="5"/>
      <c r="AZ284" s="5"/>
      <c r="BA284" s="5"/>
      <c r="BC284" s="9" t="s">
        <v>316</v>
      </c>
      <c r="BG284" s="9">
        <f>AVERAGE(BG254:BG283)</f>
        <v>0.51066666666666671</v>
      </c>
      <c r="BK284" s="9" t="s">
        <v>316</v>
      </c>
      <c r="BL284" s="9">
        <f>AVERAGE(BL254:BL283)</f>
        <v>0.53866666666666663</v>
      </c>
      <c r="BO284" s="5"/>
    </row>
    <row r="285" spans="1:71" x14ac:dyDescent="0.3">
      <c r="M285" s="5"/>
      <c r="N285" s="5"/>
      <c r="O285" s="5"/>
      <c r="P285" s="5"/>
      <c r="Q285" s="5"/>
      <c r="AE285" s="5"/>
      <c r="AF285" s="5"/>
      <c r="AG285" s="5"/>
      <c r="AH285" s="5"/>
      <c r="AI285" s="5"/>
      <c r="AW285" s="5"/>
      <c r="AX285" s="5"/>
      <c r="AY285" s="5"/>
      <c r="AZ285" s="5"/>
      <c r="BA285" s="5"/>
      <c r="BO285" s="5"/>
    </row>
    <row r="286" spans="1:71" x14ac:dyDescent="0.3">
      <c r="M286" s="5"/>
      <c r="N286" s="5"/>
      <c r="O286" s="5"/>
      <c r="P286" s="5"/>
      <c r="Q286" s="5"/>
      <c r="AE286" s="5"/>
      <c r="AF286" s="5"/>
      <c r="AG286" s="5"/>
      <c r="AH286" s="5"/>
      <c r="AI286" s="5"/>
      <c r="AW286" s="5"/>
      <c r="AX286" s="5"/>
      <c r="AY286" s="5"/>
      <c r="AZ286" s="5"/>
      <c r="BA286" s="5"/>
      <c r="BO286" s="5"/>
    </row>
    <row r="287" spans="1:71" x14ac:dyDescent="0.3">
      <c r="A287" s="20" t="s">
        <v>314</v>
      </c>
      <c r="B287" s="21"/>
      <c r="C287" s="21"/>
      <c r="D287" s="21"/>
      <c r="E287" s="21"/>
      <c r="F287" s="21"/>
      <c r="G287" s="22"/>
      <c r="I287" s="20" t="s">
        <v>315</v>
      </c>
      <c r="J287" s="21"/>
      <c r="K287" s="21"/>
      <c r="L287" s="21"/>
      <c r="M287" s="22"/>
      <c r="N287" s="11"/>
      <c r="O287" s="11"/>
      <c r="P287" s="11"/>
      <c r="Q287" s="11"/>
      <c r="S287" s="20" t="s">
        <v>314</v>
      </c>
      <c r="T287" s="21"/>
      <c r="U287" s="21"/>
      <c r="V287" s="21"/>
      <c r="W287" s="21"/>
      <c r="X287" s="21"/>
      <c r="Y287" s="22"/>
      <c r="AA287" s="19" t="s">
        <v>315</v>
      </c>
      <c r="AB287" s="19"/>
      <c r="AC287" s="19"/>
      <c r="AD287" s="19"/>
      <c r="AE287" s="19"/>
      <c r="AF287" s="11"/>
      <c r="AG287" s="11"/>
      <c r="AH287" s="11"/>
      <c r="AI287" s="11"/>
      <c r="AJ287" s="13"/>
      <c r="AK287" s="19" t="s">
        <v>314</v>
      </c>
      <c r="AL287" s="19"/>
      <c r="AM287" s="19"/>
      <c r="AN287" s="19"/>
      <c r="AO287" s="19"/>
      <c r="AP287" s="19"/>
      <c r="AQ287" s="19"/>
      <c r="AS287" s="20" t="s">
        <v>315</v>
      </c>
      <c r="AT287" s="21"/>
      <c r="AU287" s="21"/>
      <c r="AV287" s="21"/>
      <c r="AW287" s="22"/>
      <c r="AX287" s="11"/>
      <c r="AY287" s="11"/>
      <c r="AZ287" s="11"/>
      <c r="BA287" s="11"/>
      <c r="BC287" s="20" t="s">
        <v>314</v>
      </c>
      <c r="BD287" s="21"/>
      <c r="BE287" s="21"/>
      <c r="BF287" s="21"/>
      <c r="BG287" s="21"/>
      <c r="BH287" s="21"/>
      <c r="BI287" s="22"/>
      <c r="BK287" s="20" t="s">
        <v>315</v>
      </c>
      <c r="BL287" s="21"/>
      <c r="BM287" s="21"/>
      <c r="BN287" s="21"/>
      <c r="BO287" s="22"/>
    </row>
    <row r="288" spans="1:71" x14ac:dyDescent="0.3">
      <c r="A288" s="3" t="s">
        <v>72</v>
      </c>
      <c r="B288" s="3"/>
      <c r="C288" s="3"/>
      <c r="D288" s="3"/>
      <c r="E288" s="3"/>
      <c r="F288" s="3"/>
      <c r="G288" s="3"/>
      <c r="I288" s="3" t="s">
        <v>72</v>
      </c>
      <c r="J288" s="3"/>
      <c r="K288" s="3"/>
      <c r="L288" s="3"/>
      <c r="M288" s="3"/>
      <c r="N288" s="5"/>
      <c r="O288" s="5"/>
      <c r="P288" s="5"/>
      <c r="Q288" s="5"/>
      <c r="S288" s="3" t="s">
        <v>73</v>
      </c>
      <c r="T288" s="3"/>
      <c r="U288" s="3"/>
      <c r="V288" s="3"/>
      <c r="W288" s="3"/>
      <c r="X288" s="3"/>
      <c r="Y288" s="3"/>
      <c r="AA288" s="3" t="s">
        <v>73</v>
      </c>
      <c r="AB288" s="3"/>
      <c r="AC288" s="3"/>
      <c r="AD288" s="3"/>
      <c r="AE288" s="3"/>
      <c r="AK288" s="3" t="s">
        <v>72</v>
      </c>
      <c r="AL288" s="3"/>
      <c r="AM288" s="3"/>
      <c r="AN288" s="3"/>
      <c r="AO288" s="3"/>
      <c r="AP288" s="3"/>
      <c r="AQ288" s="3"/>
      <c r="AS288" s="3" t="s">
        <v>72</v>
      </c>
      <c r="AT288" s="3"/>
      <c r="AU288" s="3"/>
      <c r="AV288" s="3"/>
      <c r="AW288" s="3"/>
      <c r="AX288" s="3" t="s">
        <v>322</v>
      </c>
      <c r="AY288" s="3" t="s">
        <v>323</v>
      </c>
      <c r="AZ288" s="3" t="s">
        <v>322</v>
      </c>
      <c r="BA288" s="3" t="s">
        <v>323</v>
      </c>
      <c r="BC288" s="3" t="s">
        <v>73</v>
      </c>
      <c r="BD288" s="3"/>
      <c r="BE288" s="3"/>
      <c r="BF288" s="3"/>
      <c r="BG288" s="3"/>
      <c r="BH288" s="3"/>
      <c r="BI288" s="3"/>
      <c r="BK288" s="3" t="s">
        <v>73</v>
      </c>
      <c r="BL288" s="3"/>
      <c r="BM288" s="3"/>
      <c r="BN288" s="3"/>
      <c r="BO288" s="3"/>
      <c r="BP288" s="3" t="s">
        <v>322</v>
      </c>
      <c r="BQ288" s="3" t="s">
        <v>323</v>
      </c>
      <c r="BR288" s="3" t="s">
        <v>322</v>
      </c>
      <c r="BS288" s="3" t="s">
        <v>323</v>
      </c>
    </row>
    <row r="289" spans="1:71" x14ac:dyDescent="0.3">
      <c r="A289" s="3" t="s">
        <v>2</v>
      </c>
      <c r="B289" s="3" t="s">
        <v>3</v>
      </c>
      <c r="C289" s="3" t="s">
        <v>4</v>
      </c>
      <c r="D289" s="3" t="s">
        <v>5</v>
      </c>
      <c r="E289" s="3" t="s">
        <v>6</v>
      </c>
      <c r="F289" s="3" t="s">
        <v>7</v>
      </c>
      <c r="G289" s="3" t="s">
        <v>8</v>
      </c>
      <c r="I289" s="3" t="s">
        <v>2</v>
      </c>
      <c r="J289" s="3" t="s">
        <v>6</v>
      </c>
      <c r="K289" s="3" t="s">
        <v>7</v>
      </c>
      <c r="L289" s="3" t="s">
        <v>8</v>
      </c>
      <c r="M289" s="3" t="s">
        <v>9</v>
      </c>
      <c r="N289" s="3" t="s">
        <v>322</v>
      </c>
      <c r="O289" s="3" t="s">
        <v>323</v>
      </c>
      <c r="P289" s="3" t="s">
        <v>322</v>
      </c>
      <c r="Q289" s="3" t="s">
        <v>323</v>
      </c>
      <c r="S289" s="3" t="s">
        <v>2</v>
      </c>
      <c r="T289" s="3" t="s">
        <v>3</v>
      </c>
      <c r="U289" s="3" t="s">
        <v>4</v>
      </c>
      <c r="V289" s="3" t="s">
        <v>5</v>
      </c>
      <c r="W289" s="3" t="s">
        <v>6</v>
      </c>
      <c r="X289" s="3" t="s">
        <v>7</v>
      </c>
      <c r="Y289" s="3" t="s">
        <v>8</v>
      </c>
      <c r="AA289" s="3" t="s">
        <v>2</v>
      </c>
      <c r="AB289" s="3" t="s">
        <v>6</v>
      </c>
      <c r="AC289" s="3" t="s">
        <v>7</v>
      </c>
      <c r="AD289" s="3" t="s">
        <v>8</v>
      </c>
      <c r="AE289" s="3" t="s">
        <v>9</v>
      </c>
      <c r="AF289" s="3" t="s">
        <v>322</v>
      </c>
      <c r="AG289" s="3" t="s">
        <v>323</v>
      </c>
      <c r="AH289" s="3" t="s">
        <v>322</v>
      </c>
      <c r="AI289" s="3" t="s">
        <v>323</v>
      </c>
      <c r="AK289" s="3" t="s">
        <v>2</v>
      </c>
      <c r="AL289" s="3" t="s">
        <v>3</v>
      </c>
      <c r="AM289" s="3" t="s">
        <v>4</v>
      </c>
      <c r="AN289" s="3" t="s">
        <v>5</v>
      </c>
      <c r="AO289" s="3" t="s">
        <v>6</v>
      </c>
      <c r="AP289" s="3" t="s">
        <v>7</v>
      </c>
      <c r="AQ289" s="3" t="s">
        <v>8</v>
      </c>
      <c r="AS289" s="3" t="s">
        <v>2</v>
      </c>
      <c r="AT289" s="3" t="s">
        <v>6</v>
      </c>
      <c r="AU289" s="3" t="s">
        <v>7</v>
      </c>
      <c r="AV289" s="3" t="s">
        <v>8</v>
      </c>
      <c r="AW289" s="3" t="s">
        <v>9</v>
      </c>
      <c r="AX289" s="4" t="s">
        <v>320</v>
      </c>
      <c r="AY289" s="4" t="s">
        <v>320</v>
      </c>
      <c r="AZ289" s="4" t="s">
        <v>321</v>
      </c>
      <c r="BA289" s="4" t="s">
        <v>321</v>
      </c>
      <c r="BC289" s="3" t="s">
        <v>2</v>
      </c>
      <c r="BD289" s="3" t="s">
        <v>3</v>
      </c>
      <c r="BE289" s="3" t="s">
        <v>4</v>
      </c>
      <c r="BF289" s="3" t="s">
        <v>5</v>
      </c>
      <c r="BG289" s="3" t="s">
        <v>6</v>
      </c>
      <c r="BH289" s="3" t="s">
        <v>7</v>
      </c>
      <c r="BI289" s="3" t="s">
        <v>8</v>
      </c>
      <c r="BK289" s="3" t="s">
        <v>2</v>
      </c>
      <c r="BL289" s="3" t="s">
        <v>6</v>
      </c>
      <c r="BM289" s="3" t="s">
        <v>7</v>
      </c>
      <c r="BN289" s="3" t="s">
        <v>8</v>
      </c>
      <c r="BO289" s="3" t="s">
        <v>9</v>
      </c>
      <c r="BP289" s="4" t="s">
        <v>320</v>
      </c>
      <c r="BQ289" s="4" t="s">
        <v>320</v>
      </c>
      <c r="BR289" s="4" t="s">
        <v>321</v>
      </c>
      <c r="BS289" s="4" t="s">
        <v>321</v>
      </c>
    </row>
    <row r="290" spans="1:71" x14ac:dyDescent="0.3">
      <c r="A290" s="3" t="s">
        <v>134</v>
      </c>
      <c r="B290" s="3">
        <v>0.9</v>
      </c>
      <c r="C290" s="3">
        <v>0.5</v>
      </c>
      <c r="D290" s="3">
        <v>0.6</v>
      </c>
      <c r="E290" s="3">
        <v>0.01</v>
      </c>
      <c r="F290" s="6">
        <v>599.87524399999995</v>
      </c>
      <c r="G290" s="3">
        <v>1.7000000000000001E-2</v>
      </c>
      <c r="I290" s="3" t="s">
        <v>134</v>
      </c>
      <c r="J290" s="3">
        <v>0.01</v>
      </c>
      <c r="K290" s="6">
        <v>599.87524399999995</v>
      </c>
      <c r="L290" s="3">
        <v>8.0000000000000002E-3</v>
      </c>
      <c r="M290" s="3">
        <f t="shared" ref="M290:M319" si="32">AVERAGE(E290,J290)</f>
        <v>0.01</v>
      </c>
      <c r="N290" s="4" t="s">
        <v>320</v>
      </c>
      <c r="O290" s="4" t="s">
        <v>320</v>
      </c>
      <c r="P290" s="4" t="s">
        <v>321</v>
      </c>
      <c r="Q290" s="4" t="s">
        <v>321</v>
      </c>
      <c r="S290" s="3" t="s">
        <v>134</v>
      </c>
      <c r="T290" s="3">
        <v>0.9</v>
      </c>
      <c r="U290" s="3">
        <v>0.5</v>
      </c>
      <c r="V290" s="3">
        <v>0.6</v>
      </c>
      <c r="W290" s="3">
        <v>0.01</v>
      </c>
      <c r="X290" s="6">
        <v>588.34466599999996</v>
      </c>
      <c r="Y290" s="3">
        <v>2.1000000000000001E-2</v>
      </c>
      <c r="AA290" s="3" t="s">
        <v>134</v>
      </c>
      <c r="AB290" s="3">
        <v>0.01</v>
      </c>
      <c r="AC290" s="6">
        <v>588.34466599999996</v>
      </c>
      <c r="AD290" s="3">
        <v>5.0000000000000001E-3</v>
      </c>
      <c r="AE290" s="3">
        <f t="shared" ref="AE290:AE319" si="33">AVERAGE(W290,AB290)</f>
        <v>0.01</v>
      </c>
      <c r="AF290" s="4" t="s">
        <v>320</v>
      </c>
      <c r="AG290" s="4" t="s">
        <v>320</v>
      </c>
      <c r="AH290" s="4" t="s">
        <v>321</v>
      </c>
      <c r="AI290" s="4" t="s">
        <v>321</v>
      </c>
      <c r="AK290" s="3" t="s">
        <v>135</v>
      </c>
      <c r="AL290" s="3">
        <v>0.9</v>
      </c>
      <c r="AM290" s="3">
        <v>0.5</v>
      </c>
      <c r="AN290" s="3">
        <v>0.6</v>
      </c>
      <c r="AO290" s="3">
        <v>0.01</v>
      </c>
      <c r="AP290" s="6">
        <v>716.35314900000003</v>
      </c>
      <c r="AQ290" s="3">
        <v>0.02</v>
      </c>
      <c r="AS290" s="3" t="s">
        <v>135</v>
      </c>
      <c r="AT290" s="3">
        <v>0.01</v>
      </c>
      <c r="AU290" s="6">
        <v>716.35314900000003</v>
      </c>
      <c r="AV290" s="3">
        <v>2E-3</v>
      </c>
      <c r="AW290" s="3">
        <f t="shared" ref="AW290:AW319" si="34">AVERAGE(AO290,AT290)</f>
        <v>0.01</v>
      </c>
      <c r="AX290" s="3">
        <f>COUNT(AP290,AP292:AP293,AP300:AP301,AP303:AP304,AP308:AP311,AP313,AP315,AP317,AP319)</f>
        <v>15</v>
      </c>
      <c r="AY290" s="3">
        <f>30-AX290</f>
        <v>15</v>
      </c>
      <c r="AZ290" s="3">
        <f>COUNT(AU290:AU291,AU294:AU299,AU302,AU305:AU307,AU312,AU314,AU316,AU318)</f>
        <v>16</v>
      </c>
      <c r="BA290" s="3">
        <f>30-AZ290</f>
        <v>14</v>
      </c>
      <c r="BC290" s="3" t="s">
        <v>135</v>
      </c>
      <c r="BD290" s="3">
        <v>0.9</v>
      </c>
      <c r="BE290" s="3">
        <v>0.5</v>
      </c>
      <c r="BF290" s="3">
        <v>0.6</v>
      </c>
      <c r="BG290" s="3">
        <v>0.01</v>
      </c>
      <c r="BH290" s="6">
        <v>703.35192900000004</v>
      </c>
      <c r="BI290" s="3">
        <v>0.02</v>
      </c>
      <c r="BK290" s="3" t="s">
        <v>135</v>
      </c>
      <c r="BL290" s="3">
        <v>0.01</v>
      </c>
      <c r="BM290" s="6">
        <v>703.35192900000004</v>
      </c>
      <c r="BN290" s="3">
        <v>4.0000000000000001E-3</v>
      </c>
      <c r="BO290" s="3">
        <f t="shared" ref="BO290:BO319" si="35">AVERAGE(BG290,BL290)</f>
        <v>0.01</v>
      </c>
      <c r="BP290" s="3">
        <f>COUNT(BH290:BH291,BH293:BH297,BH300:BH301,BH303,BH305:BH306,BH308,BH310:BH313,BH316:BH317,BH319)</f>
        <v>20</v>
      </c>
      <c r="BQ290" s="3">
        <f>30-BP290</f>
        <v>10</v>
      </c>
      <c r="BR290" s="3">
        <f>COUNT(BM290,BM292,BM298:BM299,BM302,BM304,BM307,BM309,BM314:BM315,BM318)</f>
        <v>11</v>
      </c>
      <c r="BS290" s="3">
        <f>30-BR290</f>
        <v>19</v>
      </c>
    </row>
    <row r="291" spans="1:71" x14ac:dyDescent="0.3">
      <c r="A291" s="3" t="s">
        <v>136</v>
      </c>
      <c r="B291" s="3">
        <v>0.9</v>
      </c>
      <c r="C291" s="3">
        <v>0.5</v>
      </c>
      <c r="D291" s="3">
        <v>0.6</v>
      </c>
      <c r="E291" s="3">
        <v>0.86</v>
      </c>
      <c r="F291" s="6">
        <v>588.854736</v>
      </c>
      <c r="G291" s="3">
        <v>0.02</v>
      </c>
      <c r="I291" s="3" t="s">
        <v>136</v>
      </c>
      <c r="J291" s="3">
        <v>0.93</v>
      </c>
      <c r="K291" s="7">
        <v>604.93798800000002</v>
      </c>
      <c r="L291" s="3">
        <v>1E-3</v>
      </c>
      <c r="M291" s="3">
        <f t="shared" si="32"/>
        <v>0.89500000000000002</v>
      </c>
      <c r="N291" s="3">
        <f>COUNT(F290:F293,F296:F297,F299:F300,F302:F304,F307,F310,F315:F319)</f>
        <v>18</v>
      </c>
      <c r="O291" s="3">
        <f>COUNT(F294:F295,F298,F301,F305:F306,F308:F309,F311:F314)</f>
        <v>12</v>
      </c>
      <c r="P291" s="3">
        <f>COUNT(K290,K294:K295,K298,K301,K305:K306,K308:K314)</f>
        <v>14</v>
      </c>
      <c r="Q291" s="3">
        <f>COUNT(K291:K293,K296:K297,K299:K300,K302:K304,K307,K315:K319)</f>
        <v>16</v>
      </c>
      <c r="S291" s="3" t="s">
        <v>136</v>
      </c>
      <c r="T291" s="3">
        <v>0.9</v>
      </c>
      <c r="U291" s="3">
        <v>0.5</v>
      </c>
      <c r="V291" s="3">
        <v>0.6</v>
      </c>
      <c r="W291" s="3">
        <v>0.2</v>
      </c>
      <c r="X291" s="6">
        <v>511.52551299999999</v>
      </c>
      <c r="Y291" s="3">
        <v>1.6E-2</v>
      </c>
      <c r="AA291" s="3" t="s">
        <v>136</v>
      </c>
      <c r="AB291" s="3">
        <v>0.73</v>
      </c>
      <c r="AC291" s="7">
        <v>585.84741199999996</v>
      </c>
      <c r="AD291" s="3">
        <v>1E-3</v>
      </c>
      <c r="AE291" s="3">
        <f t="shared" si="33"/>
        <v>0.46499999999999997</v>
      </c>
      <c r="AF291" s="3">
        <f>COUNT(X290:X292,X294:X295,X299:X300,X302:X305,X307:X311,X313:X314)</f>
        <v>18</v>
      </c>
      <c r="AG291" s="3">
        <f>COUNT(X293,X296:X298,X301,X306,X312,X315:X319)</f>
        <v>12</v>
      </c>
      <c r="AH291" s="3">
        <f>COUNT(AC290,AC293,AC296:AC298,AC301,AC306,AC312,AC315:AC319)</f>
        <v>13</v>
      </c>
      <c r="AI291" s="3">
        <f>COUNT(AC291:AC292,AC294:AC295,AC299:AC300,AC302:AC305,AC307:AC311,AC313:AC314)</f>
        <v>17</v>
      </c>
      <c r="AK291" s="3" t="s">
        <v>137</v>
      </c>
      <c r="AL291" s="3">
        <v>0.9</v>
      </c>
      <c r="AM291" s="3">
        <v>0.5</v>
      </c>
      <c r="AN291" s="3">
        <v>0.6</v>
      </c>
      <c r="AO291" s="3">
        <v>0.94</v>
      </c>
      <c r="AP291" s="7">
        <v>1058.2014160000001</v>
      </c>
      <c r="AQ291" s="3">
        <v>1.4999999999999999E-2</v>
      </c>
      <c r="AS291" s="3" t="s">
        <v>137</v>
      </c>
      <c r="AT291" s="3">
        <v>0.11</v>
      </c>
      <c r="AU291" s="6">
        <v>755.83099400000003</v>
      </c>
      <c r="AV291" s="3">
        <v>7.0000000000000001E-3</v>
      </c>
      <c r="AW291" s="3">
        <f t="shared" si="34"/>
        <v>0.52500000000000002</v>
      </c>
      <c r="AX291" s="5"/>
      <c r="AY291" s="5"/>
      <c r="AZ291" s="5"/>
      <c r="BA291" s="5"/>
      <c r="BC291" s="3" t="s">
        <v>137</v>
      </c>
      <c r="BD291" s="3">
        <v>0.9</v>
      </c>
      <c r="BE291" s="3">
        <v>0.5</v>
      </c>
      <c r="BF291" s="3">
        <v>0.6</v>
      </c>
      <c r="BG291" s="3">
        <v>0.03</v>
      </c>
      <c r="BH291" s="6">
        <v>725.99591099999998</v>
      </c>
      <c r="BI291" s="3">
        <v>4.9000000000000002E-2</v>
      </c>
      <c r="BK291" s="3" t="s">
        <v>137</v>
      </c>
      <c r="BL291" s="3">
        <v>0.46</v>
      </c>
      <c r="BM291" s="7">
        <v>938.16229199999998</v>
      </c>
      <c r="BN291" s="3">
        <v>8.0000000000000002E-3</v>
      </c>
      <c r="BO291" s="3">
        <f t="shared" si="35"/>
        <v>0.245</v>
      </c>
    </row>
    <row r="292" spans="1:71" x14ac:dyDescent="0.3">
      <c r="A292" s="3" t="s">
        <v>138</v>
      </c>
      <c r="B292" s="3">
        <v>0.9</v>
      </c>
      <c r="C292" s="3">
        <v>0.5</v>
      </c>
      <c r="D292" s="3">
        <v>0.6</v>
      </c>
      <c r="E292" s="3">
        <v>0.15</v>
      </c>
      <c r="F292" s="6">
        <v>590.714294</v>
      </c>
      <c r="G292" s="3">
        <v>2.1000000000000001E-2</v>
      </c>
      <c r="I292" s="3" t="s">
        <v>138</v>
      </c>
      <c r="J292" s="3">
        <v>0.89</v>
      </c>
      <c r="K292" s="7">
        <v>665.07556199999999</v>
      </c>
      <c r="L292" s="3">
        <v>0</v>
      </c>
      <c r="M292" s="3">
        <f t="shared" si="32"/>
        <v>0.52</v>
      </c>
      <c r="N292" s="5"/>
      <c r="O292" s="5"/>
      <c r="P292" s="5"/>
      <c r="Q292" s="5"/>
      <c r="S292" s="3" t="s">
        <v>138</v>
      </c>
      <c r="T292" s="3">
        <v>0.9</v>
      </c>
      <c r="U292" s="3">
        <v>0.5</v>
      </c>
      <c r="V292" s="3">
        <v>0.6</v>
      </c>
      <c r="W292" s="3">
        <v>0.34</v>
      </c>
      <c r="X292" s="6">
        <v>614.344604</v>
      </c>
      <c r="Y292" s="3">
        <v>1.6E-2</v>
      </c>
      <c r="AA292" s="3" t="s">
        <v>138</v>
      </c>
      <c r="AB292" s="3">
        <v>0.63</v>
      </c>
      <c r="AC292" s="7">
        <v>639.88678000000004</v>
      </c>
      <c r="AD292" s="3">
        <v>4.0000000000000001E-3</v>
      </c>
      <c r="AE292" s="3">
        <f t="shared" si="33"/>
        <v>0.48499999999999999</v>
      </c>
      <c r="AF292" s="5"/>
      <c r="AG292" s="5"/>
      <c r="AH292" s="5"/>
      <c r="AI292" s="5"/>
      <c r="AK292" s="3" t="s">
        <v>139</v>
      </c>
      <c r="AL292" s="3">
        <v>0.9</v>
      </c>
      <c r="AM292" s="3">
        <v>0.5</v>
      </c>
      <c r="AN292" s="3">
        <v>0.6</v>
      </c>
      <c r="AO292" s="3">
        <v>0.15</v>
      </c>
      <c r="AP292" s="6">
        <v>834.441956</v>
      </c>
      <c r="AQ292" s="3">
        <v>2.8000000000000001E-2</v>
      </c>
      <c r="AS292" s="3" t="s">
        <v>139</v>
      </c>
      <c r="AT292" s="3">
        <v>0.59</v>
      </c>
      <c r="AU292" s="7">
        <v>1012.985535</v>
      </c>
      <c r="AV292" s="3">
        <v>2E-3</v>
      </c>
      <c r="AW292" s="3">
        <f t="shared" si="34"/>
        <v>0.37</v>
      </c>
      <c r="AX292" s="5"/>
      <c r="AY292" s="5"/>
      <c r="AZ292" s="5"/>
      <c r="BA292" s="5"/>
      <c r="BC292" s="3" t="s">
        <v>139</v>
      </c>
      <c r="BD292" s="3">
        <v>0.9</v>
      </c>
      <c r="BE292" s="3">
        <v>0.5</v>
      </c>
      <c r="BF292" s="3">
        <v>0.6</v>
      </c>
      <c r="BG292" s="3">
        <v>0.42</v>
      </c>
      <c r="BH292" s="7">
        <v>946.74774200000002</v>
      </c>
      <c r="BI292" s="3">
        <v>2.1999999999999999E-2</v>
      </c>
      <c r="BK292" s="3" t="s">
        <v>139</v>
      </c>
      <c r="BL292" s="3">
        <v>0.46</v>
      </c>
      <c r="BM292" s="6">
        <v>932.259094</v>
      </c>
      <c r="BN292" s="3">
        <v>6.0000000000000001E-3</v>
      </c>
      <c r="BO292" s="3">
        <f t="shared" si="35"/>
        <v>0.44</v>
      </c>
    </row>
    <row r="293" spans="1:71" x14ac:dyDescent="0.3">
      <c r="A293" s="3" t="s">
        <v>140</v>
      </c>
      <c r="B293" s="3">
        <v>0.9</v>
      </c>
      <c r="C293" s="3">
        <v>0.5</v>
      </c>
      <c r="D293" s="3">
        <v>0.6</v>
      </c>
      <c r="E293" s="3">
        <v>0.15</v>
      </c>
      <c r="F293" s="6">
        <v>584.35754399999996</v>
      </c>
      <c r="G293" s="3">
        <v>1.4999999999999999E-2</v>
      </c>
      <c r="I293" s="3" t="s">
        <v>140</v>
      </c>
      <c r="J293" s="3">
        <v>0.73</v>
      </c>
      <c r="K293" s="7">
        <v>671.41778599999998</v>
      </c>
      <c r="L293" s="3">
        <v>1E-3</v>
      </c>
      <c r="M293" s="3">
        <f t="shared" si="32"/>
        <v>0.44</v>
      </c>
      <c r="N293" s="5"/>
      <c r="O293" s="5"/>
      <c r="P293" s="5"/>
      <c r="Q293" s="5"/>
      <c r="S293" s="3" t="s">
        <v>140</v>
      </c>
      <c r="T293" s="3">
        <v>0.9</v>
      </c>
      <c r="U293" s="3">
        <v>0.5</v>
      </c>
      <c r="V293" s="3">
        <v>0.6</v>
      </c>
      <c r="W293" s="3">
        <v>0.79</v>
      </c>
      <c r="X293" s="7">
        <v>694.71868900000004</v>
      </c>
      <c r="Y293" s="3">
        <v>8.9999999999999993E-3</v>
      </c>
      <c r="AA293" s="3" t="s">
        <v>140</v>
      </c>
      <c r="AB293" s="3">
        <v>0.17</v>
      </c>
      <c r="AC293" s="6">
        <v>580.70214799999997</v>
      </c>
      <c r="AD293" s="3">
        <v>2E-3</v>
      </c>
      <c r="AE293" s="3">
        <f t="shared" si="33"/>
        <v>0.48000000000000004</v>
      </c>
      <c r="AF293" s="5"/>
      <c r="AG293" s="5"/>
      <c r="AH293" s="5"/>
      <c r="AI293" s="5"/>
      <c r="AK293" s="3" t="s">
        <v>141</v>
      </c>
      <c r="AL293" s="3">
        <v>0.9</v>
      </c>
      <c r="AM293" s="3">
        <v>0.5</v>
      </c>
      <c r="AN293" s="3">
        <v>0.6</v>
      </c>
      <c r="AO293" s="3">
        <v>0.5</v>
      </c>
      <c r="AP293" s="6">
        <v>1017.619568</v>
      </c>
      <c r="AQ293" s="3">
        <v>2.4E-2</v>
      </c>
      <c r="AS293" s="3" t="s">
        <v>141</v>
      </c>
      <c r="AT293" s="3">
        <v>0.73</v>
      </c>
      <c r="AU293" s="7">
        <v>1077.9674070000001</v>
      </c>
      <c r="AV293" s="3">
        <v>2E-3</v>
      </c>
      <c r="AW293" s="3">
        <f t="shared" si="34"/>
        <v>0.61499999999999999</v>
      </c>
      <c r="AX293" s="5"/>
      <c r="AY293" s="5"/>
      <c r="AZ293" s="5"/>
      <c r="BA293" s="5"/>
      <c r="BC293" s="3" t="s">
        <v>141</v>
      </c>
      <c r="BD293" s="3">
        <v>0.9</v>
      </c>
      <c r="BE293" s="3">
        <v>0.5</v>
      </c>
      <c r="BF293" s="3">
        <v>0.6</v>
      </c>
      <c r="BG293" s="3">
        <v>0.14000000000000001</v>
      </c>
      <c r="BH293" s="6">
        <v>862.33111599999995</v>
      </c>
      <c r="BI293" s="3">
        <v>2.5000000000000001E-2</v>
      </c>
      <c r="BK293" s="3" t="s">
        <v>141</v>
      </c>
      <c r="BL293" s="3">
        <v>0.91</v>
      </c>
      <c r="BM293" s="7">
        <v>1109.3713379999999</v>
      </c>
      <c r="BN293" s="3">
        <v>6.0000000000000001E-3</v>
      </c>
      <c r="BO293" s="3">
        <f t="shared" si="35"/>
        <v>0.52500000000000002</v>
      </c>
    </row>
    <row r="294" spans="1:71" x14ac:dyDescent="0.3">
      <c r="A294" s="3" t="s">
        <v>142</v>
      </c>
      <c r="B294" s="3">
        <v>0.9</v>
      </c>
      <c r="C294" s="3">
        <v>0.5</v>
      </c>
      <c r="D294" s="3">
        <v>0.6</v>
      </c>
      <c r="E294" s="3">
        <v>0.28000000000000003</v>
      </c>
      <c r="F294" s="7">
        <v>545.78381300000001</v>
      </c>
      <c r="G294" s="3">
        <v>1.6E-2</v>
      </c>
      <c r="I294" s="3" t="s">
        <v>142</v>
      </c>
      <c r="J294" s="3">
        <v>0.19</v>
      </c>
      <c r="K294" s="6">
        <v>522.27264400000001</v>
      </c>
      <c r="L294" s="3">
        <v>8.0000000000000002E-3</v>
      </c>
      <c r="M294" s="3">
        <f t="shared" si="32"/>
        <v>0.23500000000000001</v>
      </c>
      <c r="N294" s="5"/>
      <c r="O294" s="5"/>
      <c r="P294" s="5"/>
      <c r="Q294" s="5"/>
      <c r="S294" s="3" t="s">
        <v>142</v>
      </c>
      <c r="T294" s="3">
        <v>0.9</v>
      </c>
      <c r="U294" s="3">
        <v>0.5</v>
      </c>
      <c r="V294" s="3">
        <v>0.6</v>
      </c>
      <c r="W294" s="3">
        <v>7.0000000000000007E-2</v>
      </c>
      <c r="X294" s="6">
        <v>499.19107100000002</v>
      </c>
      <c r="Y294" s="3">
        <v>4.0000000000000001E-3</v>
      </c>
      <c r="AA294" s="3" t="s">
        <v>142</v>
      </c>
      <c r="AB294" s="3">
        <v>0.81</v>
      </c>
      <c r="AC294" s="7">
        <v>596.66870100000006</v>
      </c>
      <c r="AD294" s="3">
        <v>4.0000000000000001E-3</v>
      </c>
      <c r="AE294" s="3">
        <f t="shared" si="33"/>
        <v>0.44000000000000006</v>
      </c>
      <c r="AF294" s="5"/>
      <c r="AG294" s="5"/>
      <c r="AH294" s="5"/>
      <c r="AI294" s="5"/>
      <c r="AK294" s="3" t="s">
        <v>143</v>
      </c>
      <c r="AL294" s="3">
        <v>0.9</v>
      </c>
      <c r="AM294" s="3">
        <v>0.5</v>
      </c>
      <c r="AN294" s="3">
        <v>0.6</v>
      </c>
      <c r="AO294" s="3">
        <v>0.87</v>
      </c>
      <c r="AP294" s="7">
        <v>1032.3248289999999</v>
      </c>
      <c r="AQ294" s="3">
        <v>1.7999999999999999E-2</v>
      </c>
      <c r="AS294" s="3" t="s">
        <v>143</v>
      </c>
      <c r="AT294" s="3">
        <v>0.05</v>
      </c>
      <c r="AU294" s="6">
        <v>739.08508300000005</v>
      </c>
      <c r="AV294" s="3">
        <v>3.0000000000000001E-3</v>
      </c>
      <c r="AW294" s="3">
        <f t="shared" si="34"/>
        <v>0.46</v>
      </c>
      <c r="AX294" s="5"/>
      <c r="AY294" s="5"/>
      <c r="AZ294" s="5"/>
      <c r="BA294" s="5"/>
      <c r="BC294" s="3" t="s">
        <v>143</v>
      </c>
      <c r="BD294" s="3">
        <v>0.9</v>
      </c>
      <c r="BE294" s="3">
        <v>0.5</v>
      </c>
      <c r="BF294" s="3">
        <v>0.6</v>
      </c>
      <c r="BG294" s="3">
        <v>0.21</v>
      </c>
      <c r="BH294" s="6">
        <v>820.024719</v>
      </c>
      <c r="BI294" s="3">
        <v>2.5999999999999999E-2</v>
      </c>
      <c r="BK294" s="3" t="s">
        <v>143</v>
      </c>
      <c r="BL294" s="3">
        <v>0.41</v>
      </c>
      <c r="BM294" s="7">
        <v>947.35870399999999</v>
      </c>
      <c r="BN294" s="3">
        <v>5.0000000000000001E-3</v>
      </c>
      <c r="BO294" s="3">
        <f t="shared" si="35"/>
        <v>0.31</v>
      </c>
    </row>
    <row r="295" spans="1:71" x14ac:dyDescent="0.3">
      <c r="A295" s="3" t="s">
        <v>144</v>
      </c>
      <c r="B295" s="3">
        <v>0.9</v>
      </c>
      <c r="C295" s="3">
        <v>0.5</v>
      </c>
      <c r="D295" s="3">
        <v>0.6</v>
      </c>
      <c r="E295" s="3">
        <v>0.8</v>
      </c>
      <c r="F295" s="7">
        <v>694.78851299999997</v>
      </c>
      <c r="G295" s="3">
        <v>1.7000000000000001E-2</v>
      </c>
      <c r="I295" s="3" t="s">
        <v>144</v>
      </c>
      <c r="J295" s="3">
        <v>0.44</v>
      </c>
      <c r="K295" s="6">
        <v>660.408997</v>
      </c>
      <c r="L295" s="3">
        <v>4.0000000000000001E-3</v>
      </c>
      <c r="M295" s="3">
        <f t="shared" si="32"/>
        <v>0.62</v>
      </c>
      <c r="N295" s="5"/>
      <c r="O295" s="5"/>
      <c r="P295" s="5"/>
      <c r="Q295" s="5"/>
      <c r="S295" s="3" t="s">
        <v>144</v>
      </c>
      <c r="T295" s="3">
        <v>0.9</v>
      </c>
      <c r="U295" s="3">
        <v>0.5</v>
      </c>
      <c r="V295" s="3">
        <v>0.6</v>
      </c>
      <c r="W295" s="3">
        <v>0.44</v>
      </c>
      <c r="X295" s="6">
        <v>644.75647000000004</v>
      </c>
      <c r="Y295" s="3">
        <v>1.9E-2</v>
      </c>
      <c r="AA295" s="3" t="s">
        <v>144</v>
      </c>
      <c r="AB295" s="3">
        <v>0.74</v>
      </c>
      <c r="AC295" s="7">
        <v>679.47686799999997</v>
      </c>
      <c r="AD295" s="3">
        <v>5.0000000000000001E-3</v>
      </c>
      <c r="AE295" s="3">
        <f t="shared" si="33"/>
        <v>0.59</v>
      </c>
      <c r="AF295" s="5"/>
      <c r="AG295" s="5"/>
      <c r="AH295" s="5"/>
      <c r="AI295" s="5"/>
      <c r="AK295" s="3" t="s">
        <v>145</v>
      </c>
      <c r="AL295" s="3">
        <v>0.9</v>
      </c>
      <c r="AM295" s="3">
        <v>0.5</v>
      </c>
      <c r="AN295" s="3">
        <v>0.6</v>
      </c>
      <c r="AO295" s="3">
        <v>0.8</v>
      </c>
      <c r="AP295" s="7">
        <v>1064.786499</v>
      </c>
      <c r="AQ295" s="3">
        <v>1.6E-2</v>
      </c>
      <c r="AS295" s="3" t="s">
        <v>145</v>
      </c>
      <c r="AT295" s="3">
        <v>0.63</v>
      </c>
      <c r="AU295" s="6">
        <v>998.88751200000002</v>
      </c>
      <c r="AV295" s="3">
        <v>1E-3</v>
      </c>
      <c r="AW295" s="3">
        <f t="shared" si="34"/>
        <v>0.71500000000000008</v>
      </c>
      <c r="AX295" s="5"/>
      <c r="AY295" s="5"/>
      <c r="AZ295" s="5"/>
      <c r="BA295" s="5"/>
      <c r="BC295" s="3" t="s">
        <v>145</v>
      </c>
      <c r="BD295" s="3">
        <v>0.9</v>
      </c>
      <c r="BE295" s="3">
        <v>0.5</v>
      </c>
      <c r="BF295" s="3">
        <v>0.6</v>
      </c>
      <c r="BG295" s="3">
        <v>0.34</v>
      </c>
      <c r="BH295" s="6">
        <v>924.56622300000004</v>
      </c>
      <c r="BI295" s="3">
        <v>1.7999999999999999E-2</v>
      </c>
      <c r="BK295" s="3" t="s">
        <v>145</v>
      </c>
      <c r="BL295" s="3">
        <v>0.78</v>
      </c>
      <c r="BM295" s="7">
        <v>1057.760986</v>
      </c>
      <c r="BN295" s="3">
        <v>2E-3</v>
      </c>
      <c r="BO295" s="3">
        <f t="shared" si="35"/>
        <v>0.56000000000000005</v>
      </c>
    </row>
    <row r="296" spans="1:71" x14ac:dyDescent="0.3">
      <c r="A296" s="3" t="s">
        <v>146</v>
      </c>
      <c r="B296" s="3">
        <v>0.9</v>
      </c>
      <c r="C296" s="3">
        <v>0.5</v>
      </c>
      <c r="D296" s="3">
        <v>0.6</v>
      </c>
      <c r="E296" s="3">
        <v>0.84</v>
      </c>
      <c r="F296" s="6">
        <v>634.11102300000005</v>
      </c>
      <c r="G296" s="3">
        <v>1.9E-2</v>
      </c>
      <c r="I296" s="3" t="s">
        <v>146</v>
      </c>
      <c r="J296" s="3">
        <v>0.85</v>
      </c>
      <c r="K296" s="7">
        <v>637.970642</v>
      </c>
      <c r="L296" s="3">
        <v>0</v>
      </c>
      <c r="M296" s="3">
        <f t="shared" si="32"/>
        <v>0.84499999999999997</v>
      </c>
      <c r="N296" s="5"/>
      <c r="O296" s="5"/>
      <c r="P296" s="5"/>
      <c r="Q296" s="5"/>
      <c r="S296" s="3" t="s">
        <v>146</v>
      </c>
      <c r="T296" s="3">
        <v>0.9</v>
      </c>
      <c r="U296" s="3">
        <v>0.5</v>
      </c>
      <c r="V296" s="3">
        <v>0.6</v>
      </c>
      <c r="W296" s="3">
        <v>0.39</v>
      </c>
      <c r="X296" s="7">
        <v>573.92974900000002</v>
      </c>
      <c r="Y296" s="3">
        <v>0.03</v>
      </c>
      <c r="AA296" s="3" t="s">
        <v>146</v>
      </c>
      <c r="AB296" s="3">
        <v>0.09</v>
      </c>
      <c r="AC296" s="6">
        <v>502.29522700000001</v>
      </c>
      <c r="AD296" s="3">
        <v>2E-3</v>
      </c>
      <c r="AE296" s="3">
        <f t="shared" si="33"/>
        <v>0.24</v>
      </c>
      <c r="AF296" s="5"/>
      <c r="AG296" s="5"/>
      <c r="AH296" s="5"/>
      <c r="AI296" s="5"/>
      <c r="AK296" s="3" t="s">
        <v>147</v>
      </c>
      <c r="AL296" s="3">
        <v>0.9</v>
      </c>
      <c r="AM296" s="3">
        <v>0.5</v>
      </c>
      <c r="AN296" s="3">
        <v>0.6</v>
      </c>
      <c r="AO296" s="3">
        <v>0.82</v>
      </c>
      <c r="AP296" s="7">
        <v>1025.697754</v>
      </c>
      <c r="AQ296" s="3">
        <v>1.4E-2</v>
      </c>
      <c r="AS296" s="3" t="s">
        <v>147</v>
      </c>
      <c r="AT296" s="3">
        <v>0.54</v>
      </c>
      <c r="AU296" s="6">
        <v>967.26666299999999</v>
      </c>
      <c r="AV296" s="3">
        <v>2E-3</v>
      </c>
      <c r="AW296" s="3">
        <f t="shared" si="34"/>
        <v>0.67999999999999994</v>
      </c>
      <c r="AX296" s="5"/>
      <c r="AY296" s="5"/>
      <c r="AZ296" s="5"/>
      <c r="BA296" s="5"/>
      <c r="BC296" s="3" t="s">
        <v>147</v>
      </c>
      <c r="BD296" s="3">
        <v>0.9</v>
      </c>
      <c r="BE296" s="3">
        <v>0.5</v>
      </c>
      <c r="BF296" s="3">
        <v>0.6</v>
      </c>
      <c r="BG296" s="3">
        <v>0.79</v>
      </c>
      <c r="BH296" s="6">
        <v>1006.799622</v>
      </c>
      <c r="BI296" s="3">
        <v>4.2999999999999997E-2</v>
      </c>
      <c r="BK296" s="3" t="s">
        <v>147</v>
      </c>
      <c r="BL296" s="3">
        <v>0.96</v>
      </c>
      <c r="BM296" s="7">
        <v>1031.3084719999999</v>
      </c>
      <c r="BN296" s="3">
        <v>3.0000000000000001E-3</v>
      </c>
      <c r="BO296" s="3">
        <f t="shared" si="35"/>
        <v>0.875</v>
      </c>
    </row>
    <row r="297" spans="1:71" x14ac:dyDescent="0.3">
      <c r="A297" s="3" t="s">
        <v>148</v>
      </c>
      <c r="B297" s="3">
        <v>0.9</v>
      </c>
      <c r="C297" s="3">
        <v>0.5</v>
      </c>
      <c r="D297" s="3">
        <v>0.6</v>
      </c>
      <c r="E297" s="3">
        <v>0.24</v>
      </c>
      <c r="F297" s="6">
        <v>605.14807099999996</v>
      </c>
      <c r="G297" s="3">
        <v>1.4999999999999999E-2</v>
      </c>
      <c r="I297" s="3" t="s">
        <v>148</v>
      </c>
      <c r="J297" s="3">
        <v>0.96</v>
      </c>
      <c r="K297" s="7">
        <v>698.16973900000005</v>
      </c>
      <c r="L297" s="3">
        <v>0</v>
      </c>
      <c r="M297" s="3">
        <f t="shared" si="32"/>
        <v>0.6</v>
      </c>
      <c r="N297" s="5"/>
      <c r="O297" s="5"/>
      <c r="P297" s="5"/>
      <c r="Q297" s="5"/>
      <c r="S297" s="3" t="s">
        <v>148</v>
      </c>
      <c r="T297" s="3">
        <v>0.9</v>
      </c>
      <c r="U297" s="3">
        <v>0.5</v>
      </c>
      <c r="V297" s="3">
        <v>0.6</v>
      </c>
      <c r="W297" s="3">
        <v>0.88</v>
      </c>
      <c r="X297" s="7">
        <v>681.82055700000001</v>
      </c>
      <c r="Y297" s="3">
        <v>1.6E-2</v>
      </c>
      <c r="AA297" s="3" t="s">
        <v>148</v>
      </c>
      <c r="AB297" s="3">
        <v>0.67</v>
      </c>
      <c r="AC297" s="6">
        <v>665.06793200000004</v>
      </c>
      <c r="AD297" s="3">
        <v>1.6E-2</v>
      </c>
      <c r="AE297" s="3">
        <f t="shared" si="33"/>
        <v>0.77500000000000002</v>
      </c>
      <c r="AF297" s="5"/>
      <c r="AG297" s="5"/>
      <c r="AH297" s="5"/>
      <c r="AI297" s="5"/>
      <c r="AK297" s="3" t="s">
        <v>149</v>
      </c>
      <c r="AL297" s="3">
        <v>0.9</v>
      </c>
      <c r="AM297" s="3">
        <v>0.5</v>
      </c>
      <c r="AN297" s="3">
        <v>0.6</v>
      </c>
      <c r="AO297" s="3">
        <v>0.93</v>
      </c>
      <c r="AP297" s="7">
        <v>1015.722534</v>
      </c>
      <c r="AQ297" s="3">
        <v>1.7000000000000001E-2</v>
      </c>
      <c r="AS297" s="3" t="s">
        <v>149</v>
      </c>
      <c r="AT297" s="3">
        <v>0.25</v>
      </c>
      <c r="AU297" s="6">
        <v>847.992615</v>
      </c>
      <c r="AV297" s="3">
        <v>2E-3</v>
      </c>
      <c r="AW297" s="3">
        <f t="shared" si="34"/>
        <v>0.59000000000000008</v>
      </c>
      <c r="AX297" s="5"/>
      <c r="AY297" s="5"/>
      <c r="AZ297" s="5"/>
      <c r="BA297" s="5"/>
      <c r="BC297" s="3" t="s">
        <v>149</v>
      </c>
      <c r="BD297" s="3">
        <v>0.9</v>
      </c>
      <c r="BE297" s="3">
        <v>0.5</v>
      </c>
      <c r="BF297" s="3">
        <v>0.6</v>
      </c>
      <c r="BG297" s="3">
        <v>0.27</v>
      </c>
      <c r="BH297" s="6">
        <v>850.76495399999999</v>
      </c>
      <c r="BI297" s="3">
        <v>2.5999999999999999E-2</v>
      </c>
      <c r="BK297" s="3" t="s">
        <v>149</v>
      </c>
      <c r="BL297" s="3">
        <v>0.63</v>
      </c>
      <c r="BM297" s="7">
        <v>969.93908699999997</v>
      </c>
      <c r="BN297" s="3">
        <v>1E-3</v>
      </c>
      <c r="BO297" s="3">
        <f t="shared" si="35"/>
        <v>0.45</v>
      </c>
    </row>
    <row r="298" spans="1:71" x14ac:dyDescent="0.3">
      <c r="A298" s="3" t="s">
        <v>150</v>
      </c>
      <c r="B298" s="3">
        <v>0.9</v>
      </c>
      <c r="C298" s="3">
        <v>0.5</v>
      </c>
      <c r="D298" s="3">
        <v>0.6</v>
      </c>
      <c r="E298" s="3">
        <v>0.74</v>
      </c>
      <c r="F298" s="7">
        <v>630.19695999999999</v>
      </c>
      <c r="G298" s="3">
        <v>2.7E-2</v>
      </c>
      <c r="I298" s="3" t="s">
        <v>150</v>
      </c>
      <c r="J298" s="3">
        <v>0.23</v>
      </c>
      <c r="K298" s="6">
        <v>529.17883300000005</v>
      </c>
      <c r="L298" s="3">
        <v>1E-3</v>
      </c>
      <c r="M298" s="3">
        <f t="shared" si="32"/>
        <v>0.48499999999999999</v>
      </c>
      <c r="N298" s="5"/>
      <c r="O298" s="5"/>
      <c r="P298" s="5"/>
      <c r="Q298" s="5"/>
      <c r="S298" s="3" t="s">
        <v>150</v>
      </c>
      <c r="T298" s="3">
        <v>0.9</v>
      </c>
      <c r="U298" s="3">
        <v>0.5</v>
      </c>
      <c r="V298" s="3">
        <v>0.6</v>
      </c>
      <c r="W298" s="3">
        <v>0.73</v>
      </c>
      <c r="X298" s="7">
        <v>631.82049600000005</v>
      </c>
      <c r="Y298" s="3">
        <v>0.02</v>
      </c>
      <c r="AA298" s="3" t="s">
        <v>150</v>
      </c>
      <c r="AB298" s="3">
        <v>0.02</v>
      </c>
      <c r="AC298" s="6">
        <v>580.24163799999997</v>
      </c>
      <c r="AD298" s="3">
        <v>0</v>
      </c>
      <c r="AE298" s="3">
        <f t="shared" si="33"/>
        <v>0.375</v>
      </c>
      <c r="AF298" s="5"/>
      <c r="AG298" s="5"/>
      <c r="AH298" s="5"/>
      <c r="AI298" s="5"/>
      <c r="AK298" s="3" t="s">
        <v>151</v>
      </c>
      <c r="AL298" s="3">
        <v>0.9</v>
      </c>
      <c r="AM298" s="3">
        <v>0.5</v>
      </c>
      <c r="AN298" s="3">
        <v>0.6</v>
      </c>
      <c r="AO298" s="3">
        <v>0.34</v>
      </c>
      <c r="AP298" s="7">
        <v>830.20007299999997</v>
      </c>
      <c r="AQ298" s="3">
        <v>2.5999999999999999E-2</v>
      </c>
      <c r="AS298" s="3" t="s">
        <v>151</v>
      </c>
      <c r="AT298" s="3">
        <v>0.08</v>
      </c>
      <c r="AU298" s="6">
        <v>708.73675500000002</v>
      </c>
      <c r="AV298" s="3">
        <v>8.0000000000000002E-3</v>
      </c>
      <c r="AW298" s="3">
        <f t="shared" si="34"/>
        <v>0.21000000000000002</v>
      </c>
      <c r="AX298" s="5"/>
      <c r="AY298" s="5"/>
      <c r="AZ298" s="5"/>
      <c r="BA298" s="5"/>
      <c r="BC298" s="3" t="s">
        <v>151</v>
      </c>
      <c r="BD298" s="3">
        <v>0.9</v>
      </c>
      <c r="BE298" s="3">
        <v>0.5</v>
      </c>
      <c r="BF298" s="3">
        <v>0.6</v>
      </c>
      <c r="BG298" s="3">
        <v>0.77</v>
      </c>
      <c r="BH298" s="7">
        <v>946.919128</v>
      </c>
      <c r="BI298" s="3">
        <v>1.6E-2</v>
      </c>
      <c r="BK298" s="3" t="s">
        <v>151</v>
      </c>
      <c r="BL298" s="3">
        <v>0.76</v>
      </c>
      <c r="BM298" s="6">
        <v>933.82641599999999</v>
      </c>
      <c r="BN298" s="3">
        <v>4.0000000000000001E-3</v>
      </c>
      <c r="BO298" s="3">
        <f t="shared" si="35"/>
        <v>0.76500000000000001</v>
      </c>
    </row>
    <row r="299" spans="1:71" x14ac:dyDescent="0.3">
      <c r="A299" s="3" t="s">
        <v>152</v>
      </c>
      <c r="B299" s="3">
        <v>0.9</v>
      </c>
      <c r="C299" s="3">
        <v>0.5</v>
      </c>
      <c r="D299" s="3">
        <v>0.6</v>
      </c>
      <c r="E299" s="3">
        <v>0.09</v>
      </c>
      <c r="F299" s="6">
        <v>574.66540499999996</v>
      </c>
      <c r="G299" s="3">
        <v>2.8000000000000001E-2</v>
      </c>
      <c r="I299" s="3" t="s">
        <v>152</v>
      </c>
      <c r="J299" s="3">
        <v>0.77</v>
      </c>
      <c r="K299" s="7">
        <v>652.14056400000004</v>
      </c>
      <c r="L299" s="3">
        <v>3.0000000000000001E-3</v>
      </c>
      <c r="M299" s="3">
        <f t="shared" si="32"/>
        <v>0.43</v>
      </c>
      <c r="N299" s="5"/>
      <c r="O299" s="5"/>
      <c r="P299" s="5"/>
      <c r="Q299" s="5"/>
      <c r="S299" s="3" t="s">
        <v>152</v>
      </c>
      <c r="T299" s="3">
        <v>0.9</v>
      </c>
      <c r="U299" s="3">
        <v>0.5</v>
      </c>
      <c r="V299" s="3">
        <v>0.6</v>
      </c>
      <c r="W299" s="3">
        <v>0.4</v>
      </c>
      <c r="X299" s="6">
        <v>609.22344999999996</v>
      </c>
      <c r="Y299" s="3">
        <v>2.5999999999999999E-2</v>
      </c>
      <c r="AA299" s="3" t="s">
        <v>152</v>
      </c>
      <c r="AB299" s="3">
        <v>0.45</v>
      </c>
      <c r="AC299" s="7">
        <v>620.703979</v>
      </c>
      <c r="AD299" s="3">
        <v>1E-3</v>
      </c>
      <c r="AE299" s="3">
        <f t="shared" si="33"/>
        <v>0.42500000000000004</v>
      </c>
      <c r="AF299" s="5"/>
      <c r="AG299" s="5"/>
      <c r="AH299" s="5"/>
      <c r="AI299" s="5"/>
      <c r="AK299" s="3" t="s">
        <v>153</v>
      </c>
      <c r="AL299" s="3">
        <v>0.9</v>
      </c>
      <c r="AM299" s="3">
        <v>0.5</v>
      </c>
      <c r="AN299" s="3">
        <v>0.6</v>
      </c>
      <c r="AO299" s="3">
        <v>0.37</v>
      </c>
      <c r="AP299" s="7">
        <v>921.94726600000001</v>
      </c>
      <c r="AQ299" s="3">
        <v>1.2E-2</v>
      </c>
      <c r="AS299" s="3" t="s">
        <v>153</v>
      </c>
      <c r="AT299" s="3">
        <v>0.42</v>
      </c>
      <c r="AU299" s="6">
        <v>905.80895999999996</v>
      </c>
      <c r="AV299" s="3">
        <v>1E-3</v>
      </c>
      <c r="AW299" s="3">
        <f t="shared" si="34"/>
        <v>0.39500000000000002</v>
      </c>
      <c r="AX299" s="5"/>
      <c r="AY299" s="5"/>
      <c r="AZ299" s="5"/>
      <c r="BA299" s="5"/>
      <c r="BC299" s="3" t="s">
        <v>153</v>
      </c>
      <c r="BD299" s="3">
        <v>0.9</v>
      </c>
      <c r="BE299" s="3">
        <v>0.5</v>
      </c>
      <c r="BF299" s="3">
        <v>0.6</v>
      </c>
      <c r="BG299" s="3">
        <v>0.59</v>
      </c>
      <c r="BH299" s="7">
        <v>957.81329300000004</v>
      </c>
      <c r="BI299" s="3">
        <v>1.7999999999999999E-2</v>
      </c>
      <c r="BK299" s="3" t="s">
        <v>153</v>
      </c>
      <c r="BL299" s="3">
        <v>0.09</v>
      </c>
      <c r="BM299" s="6">
        <v>746.25799600000005</v>
      </c>
      <c r="BN299" s="3">
        <v>1E-3</v>
      </c>
      <c r="BO299" s="3">
        <f t="shared" si="35"/>
        <v>0.33999999999999997</v>
      </c>
    </row>
    <row r="300" spans="1:71" x14ac:dyDescent="0.3">
      <c r="A300" s="3" t="s">
        <v>154</v>
      </c>
      <c r="B300" s="3">
        <v>0.9</v>
      </c>
      <c r="C300" s="3">
        <v>0.5</v>
      </c>
      <c r="D300" s="3">
        <v>0.6</v>
      </c>
      <c r="E300" s="3">
        <v>0.46</v>
      </c>
      <c r="F300" s="6">
        <v>668.62097200000005</v>
      </c>
      <c r="G300" s="3">
        <v>1.4E-2</v>
      </c>
      <c r="I300" s="3" t="s">
        <v>154</v>
      </c>
      <c r="J300" s="3">
        <v>0.85</v>
      </c>
      <c r="K300" s="7">
        <v>711.19232199999999</v>
      </c>
      <c r="L300" s="3">
        <v>0</v>
      </c>
      <c r="M300" s="3">
        <f t="shared" si="32"/>
        <v>0.65500000000000003</v>
      </c>
      <c r="N300" s="5"/>
      <c r="O300" s="5"/>
      <c r="P300" s="5"/>
      <c r="Q300" s="5"/>
      <c r="S300" s="3" t="s">
        <v>154</v>
      </c>
      <c r="T300" s="3">
        <v>0.9</v>
      </c>
      <c r="U300" s="3">
        <v>0.5</v>
      </c>
      <c r="V300" s="3">
        <v>0.6</v>
      </c>
      <c r="W300" s="3">
        <v>0.27</v>
      </c>
      <c r="X300" s="6">
        <v>617.07855199999995</v>
      </c>
      <c r="Y300" s="3">
        <v>5.0000000000000001E-3</v>
      </c>
      <c r="AA300" s="3" t="s">
        <v>154</v>
      </c>
      <c r="AB300" s="3">
        <v>0.33</v>
      </c>
      <c r="AC300" s="7">
        <v>632.44720500000005</v>
      </c>
      <c r="AD300" s="3">
        <v>6.0000000000000001E-3</v>
      </c>
      <c r="AE300" s="3">
        <f t="shared" si="33"/>
        <v>0.30000000000000004</v>
      </c>
      <c r="AF300" s="5"/>
      <c r="AG300" s="5"/>
      <c r="AH300" s="5"/>
      <c r="AI300" s="5"/>
      <c r="AK300" s="3" t="s">
        <v>155</v>
      </c>
      <c r="AL300" s="3">
        <v>0.9</v>
      </c>
      <c r="AM300" s="3">
        <v>0.5</v>
      </c>
      <c r="AN300" s="3">
        <v>0.6</v>
      </c>
      <c r="AO300" s="3">
        <v>0.51</v>
      </c>
      <c r="AP300" s="6">
        <v>1213.6604</v>
      </c>
      <c r="AQ300" s="3">
        <v>1.2E-2</v>
      </c>
      <c r="AS300" s="3" t="s">
        <v>155</v>
      </c>
      <c r="AT300" s="3">
        <v>0.82</v>
      </c>
      <c r="AU300" s="7">
        <v>1289.032837</v>
      </c>
      <c r="AV300" s="3">
        <v>2E-3</v>
      </c>
      <c r="AW300" s="3">
        <f t="shared" si="34"/>
        <v>0.66500000000000004</v>
      </c>
      <c r="AX300" s="5"/>
      <c r="AY300" s="5"/>
      <c r="AZ300" s="5"/>
      <c r="BA300" s="5"/>
      <c r="BC300" s="3" t="s">
        <v>155</v>
      </c>
      <c r="BD300" s="3">
        <v>0.9</v>
      </c>
      <c r="BE300" s="3">
        <v>0.5</v>
      </c>
      <c r="BF300" s="3">
        <v>0.6</v>
      </c>
      <c r="BG300" s="3">
        <v>0.14000000000000001</v>
      </c>
      <c r="BH300" s="6">
        <v>1023.253906</v>
      </c>
      <c r="BI300" s="3">
        <v>2.1000000000000001E-2</v>
      </c>
      <c r="BK300" s="3" t="s">
        <v>155</v>
      </c>
      <c r="BL300" s="3">
        <v>0.64</v>
      </c>
      <c r="BM300" s="7">
        <v>1270.7813719999999</v>
      </c>
      <c r="BN300" s="3">
        <v>5.0000000000000001E-3</v>
      </c>
      <c r="BO300" s="3">
        <f t="shared" si="35"/>
        <v>0.39</v>
      </c>
    </row>
    <row r="301" spans="1:71" x14ac:dyDescent="0.3">
      <c r="A301" s="3" t="s">
        <v>156</v>
      </c>
      <c r="B301" s="3">
        <v>0.9</v>
      </c>
      <c r="C301" s="3">
        <v>0.5</v>
      </c>
      <c r="D301" s="3">
        <v>0.6</v>
      </c>
      <c r="E301" s="3">
        <v>0.01</v>
      </c>
      <c r="F301" s="7">
        <v>719.83660899999995</v>
      </c>
      <c r="G301" s="3">
        <v>1.4999999999999999E-2</v>
      </c>
      <c r="I301" s="3" t="s">
        <v>156</v>
      </c>
      <c r="J301" s="3">
        <v>0.16</v>
      </c>
      <c r="K301" s="6">
        <v>637.86084000000005</v>
      </c>
      <c r="L301" s="3">
        <v>1E-3</v>
      </c>
      <c r="M301" s="3">
        <f t="shared" si="32"/>
        <v>8.5000000000000006E-2</v>
      </c>
      <c r="N301" s="5"/>
      <c r="O301" s="5"/>
      <c r="P301" s="5"/>
      <c r="Q301" s="5"/>
      <c r="S301" s="3" t="s">
        <v>156</v>
      </c>
      <c r="T301" s="3">
        <v>0.9</v>
      </c>
      <c r="U301" s="3">
        <v>0.5</v>
      </c>
      <c r="V301" s="3">
        <v>0.6</v>
      </c>
      <c r="W301" s="3">
        <v>0.8</v>
      </c>
      <c r="X301" s="7">
        <v>726.00561500000003</v>
      </c>
      <c r="Y301" s="3">
        <v>8.9999999999999993E-3</v>
      </c>
      <c r="AA301" s="3" t="s">
        <v>156</v>
      </c>
      <c r="AB301" s="3">
        <v>0.11</v>
      </c>
      <c r="AC301" s="6">
        <v>612.81420900000001</v>
      </c>
      <c r="AD301" s="3">
        <v>2E-3</v>
      </c>
      <c r="AE301" s="3">
        <f t="shared" si="33"/>
        <v>0.45500000000000002</v>
      </c>
      <c r="AF301" s="5"/>
      <c r="AG301" s="5"/>
      <c r="AH301" s="5"/>
      <c r="AI301" s="5"/>
      <c r="AK301" s="3" t="s">
        <v>157</v>
      </c>
      <c r="AL301" s="3">
        <v>0.9</v>
      </c>
      <c r="AM301" s="3">
        <v>0.5</v>
      </c>
      <c r="AN301" s="3">
        <v>0.6</v>
      </c>
      <c r="AO301" s="3">
        <v>0.28999999999999998</v>
      </c>
      <c r="AP301" s="6">
        <v>1042.4837649999999</v>
      </c>
      <c r="AQ301" s="3">
        <v>2.5999999999999999E-2</v>
      </c>
      <c r="AS301" s="3" t="s">
        <v>157</v>
      </c>
      <c r="AT301" s="3">
        <v>0.99</v>
      </c>
      <c r="AU301" s="7">
        <v>1319.2274170000001</v>
      </c>
      <c r="AV301" s="3">
        <v>1E-3</v>
      </c>
      <c r="AW301" s="3">
        <f t="shared" si="34"/>
        <v>0.64</v>
      </c>
      <c r="AX301" s="5"/>
      <c r="AY301" s="5"/>
      <c r="AZ301" s="5"/>
      <c r="BA301" s="5"/>
      <c r="BC301" s="3" t="s">
        <v>157</v>
      </c>
      <c r="BD301" s="3">
        <v>0.9</v>
      </c>
      <c r="BE301" s="3">
        <v>0.5</v>
      </c>
      <c r="BF301" s="3">
        <v>0.6</v>
      </c>
      <c r="BG301" s="3">
        <v>0.32</v>
      </c>
      <c r="BH301" s="6">
        <v>1051.9157709999999</v>
      </c>
      <c r="BI301" s="3">
        <v>1.7000000000000001E-2</v>
      </c>
      <c r="BK301" s="3" t="s">
        <v>157</v>
      </c>
      <c r="BL301" s="3">
        <v>0.57999999999999996</v>
      </c>
      <c r="BM301" s="7">
        <v>1163.840332</v>
      </c>
      <c r="BN301" s="3">
        <v>7.0000000000000001E-3</v>
      </c>
      <c r="BO301" s="3">
        <f t="shared" si="35"/>
        <v>0.44999999999999996</v>
      </c>
    </row>
    <row r="302" spans="1:71" x14ac:dyDescent="0.3">
      <c r="A302" s="3" t="s">
        <v>158</v>
      </c>
      <c r="B302" s="3">
        <v>0.9</v>
      </c>
      <c r="C302" s="3">
        <v>0.5</v>
      </c>
      <c r="D302" s="3">
        <v>0.6</v>
      </c>
      <c r="E302" s="3">
        <v>0.06</v>
      </c>
      <c r="F302" s="6">
        <v>645.24377400000003</v>
      </c>
      <c r="G302" s="3">
        <v>0.01</v>
      </c>
      <c r="I302" s="3" t="s">
        <v>158</v>
      </c>
      <c r="J302" s="3">
        <v>0.41</v>
      </c>
      <c r="K302" s="7">
        <v>698.807007</v>
      </c>
      <c r="L302" s="3">
        <v>3.0000000000000001E-3</v>
      </c>
      <c r="M302" s="3">
        <f t="shared" si="32"/>
        <v>0.23499999999999999</v>
      </c>
      <c r="N302" s="5"/>
      <c r="O302" s="5"/>
      <c r="P302" s="5"/>
      <c r="Q302" s="5"/>
      <c r="S302" s="3" t="s">
        <v>158</v>
      </c>
      <c r="T302" s="3">
        <v>0.9</v>
      </c>
      <c r="U302" s="3">
        <v>0.5</v>
      </c>
      <c r="V302" s="3">
        <v>0.6</v>
      </c>
      <c r="W302" s="3">
        <v>0.01</v>
      </c>
      <c r="X302" s="6">
        <v>661.64031999999997</v>
      </c>
      <c r="Y302" s="3">
        <v>2.1000000000000001E-2</v>
      </c>
      <c r="AA302" s="3" t="s">
        <v>158</v>
      </c>
      <c r="AB302" s="3">
        <v>0.69</v>
      </c>
      <c r="AC302" s="7">
        <v>760.22985800000004</v>
      </c>
      <c r="AD302" s="3">
        <v>2E-3</v>
      </c>
      <c r="AE302" s="3">
        <f t="shared" si="33"/>
        <v>0.35</v>
      </c>
      <c r="AF302" s="5"/>
      <c r="AG302" s="5"/>
      <c r="AH302" s="5"/>
      <c r="AI302" s="5"/>
      <c r="AK302" s="3" t="s">
        <v>159</v>
      </c>
      <c r="AL302" s="3">
        <v>0.9</v>
      </c>
      <c r="AM302" s="3">
        <v>0.5</v>
      </c>
      <c r="AN302" s="3">
        <v>0.6</v>
      </c>
      <c r="AO302" s="3">
        <v>0.95</v>
      </c>
      <c r="AP302" s="7">
        <v>1246.2745359999999</v>
      </c>
      <c r="AQ302" s="3">
        <v>5.0999999999999997E-2</v>
      </c>
      <c r="AS302" s="3" t="s">
        <v>159</v>
      </c>
      <c r="AT302" s="3">
        <v>0.39</v>
      </c>
      <c r="AU302" s="6">
        <v>1034.6369629999999</v>
      </c>
      <c r="AV302" s="3">
        <v>2E-3</v>
      </c>
      <c r="AW302" s="3">
        <f t="shared" si="34"/>
        <v>0.66999999999999993</v>
      </c>
      <c r="AX302" s="5"/>
      <c r="AY302" s="5"/>
      <c r="AZ302" s="5"/>
      <c r="BA302" s="5"/>
      <c r="BC302" s="3" t="s">
        <v>159</v>
      </c>
      <c r="BD302" s="3">
        <v>0.9</v>
      </c>
      <c r="BE302" s="3">
        <v>0.5</v>
      </c>
      <c r="BF302" s="3">
        <v>0.6</v>
      </c>
      <c r="BG302" s="3">
        <v>0.73</v>
      </c>
      <c r="BH302" s="7">
        <v>1182.1861570000001</v>
      </c>
      <c r="BI302" s="3">
        <v>0.03</v>
      </c>
      <c r="BK302" s="3" t="s">
        <v>159</v>
      </c>
      <c r="BL302" s="3">
        <v>0.1</v>
      </c>
      <c r="BM302" s="6">
        <v>810.98053000000004</v>
      </c>
      <c r="BN302" s="3">
        <v>2E-3</v>
      </c>
      <c r="BO302" s="3">
        <f t="shared" si="35"/>
        <v>0.41499999999999998</v>
      </c>
    </row>
    <row r="303" spans="1:71" x14ac:dyDescent="0.3">
      <c r="A303" s="3" t="s">
        <v>160</v>
      </c>
      <c r="B303" s="3">
        <v>0.9</v>
      </c>
      <c r="C303" s="3">
        <v>0.5</v>
      </c>
      <c r="D303" s="3">
        <v>0.6</v>
      </c>
      <c r="E303" s="3">
        <v>0.09</v>
      </c>
      <c r="F303" s="6">
        <v>579.69250499999998</v>
      </c>
      <c r="G303" s="3">
        <v>1.2E-2</v>
      </c>
      <c r="I303" s="3" t="s">
        <v>160</v>
      </c>
      <c r="J303" s="3">
        <v>0.42</v>
      </c>
      <c r="K303" s="7">
        <v>643.59997599999997</v>
      </c>
      <c r="L303" s="3">
        <v>3.0000000000000001E-3</v>
      </c>
      <c r="M303" s="3">
        <f t="shared" si="32"/>
        <v>0.255</v>
      </c>
      <c r="N303" s="5"/>
      <c r="O303" s="5"/>
      <c r="P303" s="5"/>
      <c r="Q303" s="5"/>
      <c r="S303" s="3" t="s">
        <v>160</v>
      </c>
      <c r="T303" s="3">
        <v>0.9</v>
      </c>
      <c r="U303" s="3">
        <v>0.5</v>
      </c>
      <c r="V303" s="3">
        <v>0.6</v>
      </c>
      <c r="W303" s="3">
        <v>0.64</v>
      </c>
      <c r="X303" s="6">
        <v>655.29785200000003</v>
      </c>
      <c r="Y303" s="3">
        <v>1.0999999999999999E-2</v>
      </c>
      <c r="AA303" s="3" t="s">
        <v>160</v>
      </c>
      <c r="AB303" s="3">
        <v>0.97</v>
      </c>
      <c r="AC303" s="7">
        <v>666.32074</v>
      </c>
      <c r="AD303" s="3">
        <v>6.0000000000000001E-3</v>
      </c>
      <c r="AE303" s="3">
        <f t="shared" si="33"/>
        <v>0.80499999999999994</v>
      </c>
      <c r="AF303" s="5"/>
      <c r="AG303" s="5"/>
      <c r="AH303" s="5"/>
      <c r="AI303" s="5"/>
      <c r="AK303" s="3" t="s">
        <v>161</v>
      </c>
      <c r="AL303" s="3">
        <v>0.9</v>
      </c>
      <c r="AM303" s="3">
        <v>0.5</v>
      </c>
      <c r="AN303" s="3">
        <v>0.6</v>
      </c>
      <c r="AO303" s="3">
        <v>0.71</v>
      </c>
      <c r="AP303" s="6">
        <v>1170.354736</v>
      </c>
      <c r="AQ303" s="3">
        <v>0.03</v>
      </c>
      <c r="AS303" s="3" t="s">
        <v>161</v>
      </c>
      <c r="AT303" s="3">
        <v>0.75</v>
      </c>
      <c r="AU303" s="7">
        <v>1201.205322</v>
      </c>
      <c r="AV303" s="3">
        <v>5.0000000000000001E-3</v>
      </c>
      <c r="AW303" s="3">
        <f t="shared" si="34"/>
        <v>0.73</v>
      </c>
      <c r="AX303" s="5"/>
      <c r="AY303" s="5"/>
      <c r="AZ303" s="5"/>
      <c r="BA303" s="5"/>
      <c r="BC303" s="3" t="s">
        <v>161</v>
      </c>
      <c r="BD303" s="3">
        <v>0.9</v>
      </c>
      <c r="BE303" s="3">
        <v>0.5</v>
      </c>
      <c r="BF303" s="3">
        <v>0.6</v>
      </c>
      <c r="BG303" s="3">
        <v>0.48</v>
      </c>
      <c r="BH303" s="6">
        <v>1109.1870120000001</v>
      </c>
      <c r="BI303" s="3">
        <v>4.4999999999999998E-2</v>
      </c>
      <c r="BK303" s="3" t="s">
        <v>161</v>
      </c>
      <c r="BL303" s="3">
        <v>0.77</v>
      </c>
      <c r="BM303" s="7">
        <v>1198.006592</v>
      </c>
      <c r="BN303" s="3">
        <v>4.0000000000000001E-3</v>
      </c>
      <c r="BO303" s="3">
        <f t="shared" si="35"/>
        <v>0.625</v>
      </c>
    </row>
    <row r="304" spans="1:71" x14ac:dyDescent="0.3">
      <c r="A304" s="3" t="s">
        <v>162</v>
      </c>
      <c r="B304" s="3">
        <v>0.9</v>
      </c>
      <c r="C304" s="3">
        <v>0.5</v>
      </c>
      <c r="D304" s="3">
        <v>0.6</v>
      </c>
      <c r="E304" s="3">
        <v>0.05</v>
      </c>
      <c r="F304" s="6">
        <v>574.16528300000004</v>
      </c>
      <c r="G304" s="3">
        <v>1.7999999999999999E-2</v>
      </c>
      <c r="I304" s="3" t="s">
        <v>162</v>
      </c>
      <c r="J304" s="3">
        <v>0.06</v>
      </c>
      <c r="K304" s="7">
        <v>569.02459699999997</v>
      </c>
      <c r="L304" s="3">
        <v>4.0000000000000001E-3</v>
      </c>
      <c r="M304" s="3">
        <f t="shared" si="32"/>
        <v>5.5E-2</v>
      </c>
      <c r="N304" s="5"/>
      <c r="O304" s="5"/>
      <c r="P304" s="5"/>
      <c r="Q304" s="5"/>
      <c r="S304" s="3" t="s">
        <v>162</v>
      </c>
      <c r="T304" s="3">
        <v>0.9</v>
      </c>
      <c r="U304" s="3">
        <v>0.5</v>
      </c>
      <c r="V304" s="3">
        <v>0.6</v>
      </c>
      <c r="W304" s="3">
        <v>0.04</v>
      </c>
      <c r="X304" s="6">
        <v>610.21466099999998</v>
      </c>
      <c r="Y304" s="3">
        <v>2.3E-2</v>
      </c>
      <c r="AA304" s="3" t="s">
        <v>162</v>
      </c>
      <c r="AB304" s="3">
        <v>0.69</v>
      </c>
      <c r="AC304" s="7">
        <v>717.17895499999997</v>
      </c>
      <c r="AD304" s="3">
        <v>1E-3</v>
      </c>
      <c r="AE304" s="3">
        <f t="shared" si="33"/>
        <v>0.36499999999999999</v>
      </c>
      <c r="AF304" s="5"/>
      <c r="AG304" s="5"/>
      <c r="AH304" s="5"/>
      <c r="AI304" s="5"/>
      <c r="AK304" s="3" t="s">
        <v>163</v>
      </c>
      <c r="AL304" s="3">
        <v>0.9</v>
      </c>
      <c r="AM304" s="3">
        <v>0.5</v>
      </c>
      <c r="AN304" s="3">
        <v>0.6</v>
      </c>
      <c r="AO304" s="3">
        <v>0.16</v>
      </c>
      <c r="AP304" s="6">
        <v>936.61993399999994</v>
      </c>
      <c r="AQ304" s="3">
        <v>3.6999999999999998E-2</v>
      </c>
      <c r="AS304" s="3" t="s">
        <v>163</v>
      </c>
      <c r="AT304" s="3">
        <v>0.17</v>
      </c>
      <c r="AU304" s="7">
        <v>944.707764</v>
      </c>
      <c r="AV304" s="3">
        <v>4.0000000000000001E-3</v>
      </c>
      <c r="AW304" s="3">
        <f t="shared" si="34"/>
        <v>0.16500000000000001</v>
      </c>
      <c r="AX304" s="5"/>
      <c r="AY304" s="5"/>
      <c r="AZ304" s="5"/>
      <c r="BA304" s="5"/>
      <c r="BC304" s="3" t="s">
        <v>163</v>
      </c>
      <c r="BD304" s="3">
        <v>0.9</v>
      </c>
      <c r="BE304" s="3">
        <v>0.5</v>
      </c>
      <c r="BF304" s="3">
        <v>0.6</v>
      </c>
      <c r="BG304" s="3">
        <v>0.99</v>
      </c>
      <c r="BH304" s="7">
        <v>1284.2353519999999</v>
      </c>
      <c r="BI304" s="3">
        <v>1.4999999999999999E-2</v>
      </c>
      <c r="BK304" s="3" t="s">
        <v>163</v>
      </c>
      <c r="BL304" s="3">
        <v>0.09</v>
      </c>
      <c r="BM304" s="6">
        <v>871.21038799999997</v>
      </c>
      <c r="BN304" s="3">
        <v>3.0000000000000001E-3</v>
      </c>
      <c r="BO304" s="3">
        <f t="shared" si="35"/>
        <v>0.54</v>
      </c>
    </row>
    <row r="305" spans="1:67" x14ac:dyDescent="0.3">
      <c r="A305" s="3" t="s">
        <v>164</v>
      </c>
      <c r="B305" s="3">
        <v>0.9</v>
      </c>
      <c r="C305" s="3">
        <v>0.5</v>
      </c>
      <c r="D305" s="3">
        <v>0.6</v>
      </c>
      <c r="E305" s="3">
        <v>0.83</v>
      </c>
      <c r="F305" s="7">
        <v>632.242615</v>
      </c>
      <c r="G305" s="3">
        <v>2.5000000000000001E-2</v>
      </c>
      <c r="I305" s="3" t="s">
        <v>164</v>
      </c>
      <c r="J305" s="3">
        <v>0.36</v>
      </c>
      <c r="K305" s="6">
        <v>576.08367899999996</v>
      </c>
      <c r="L305" s="3">
        <v>1E-3</v>
      </c>
      <c r="M305" s="3">
        <f t="shared" si="32"/>
        <v>0.59499999999999997</v>
      </c>
      <c r="N305" s="5"/>
      <c r="O305" s="5"/>
      <c r="P305" s="5"/>
      <c r="Q305" s="5"/>
      <c r="S305" s="3" t="s">
        <v>164</v>
      </c>
      <c r="T305" s="3">
        <v>0.9</v>
      </c>
      <c r="U305" s="3">
        <v>0.5</v>
      </c>
      <c r="V305" s="3">
        <v>0.6</v>
      </c>
      <c r="W305" s="3">
        <v>0.02</v>
      </c>
      <c r="X305" s="6">
        <v>531.58221400000002</v>
      </c>
      <c r="Y305" s="3">
        <v>1.6E-2</v>
      </c>
      <c r="AA305" s="3" t="s">
        <v>164</v>
      </c>
      <c r="AB305" s="3">
        <v>0.41</v>
      </c>
      <c r="AC305" s="7">
        <v>563.54504399999996</v>
      </c>
      <c r="AD305" s="3">
        <v>1E-3</v>
      </c>
      <c r="AE305" s="3">
        <f t="shared" si="33"/>
        <v>0.215</v>
      </c>
      <c r="AF305" s="5"/>
      <c r="AG305" s="5"/>
      <c r="AH305" s="5"/>
      <c r="AI305" s="5"/>
      <c r="AK305" s="3" t="s">
        <v>165</v>
      </c>
      <c r="AL305" s="3">
        <v>0.9</v>
      </c>
      <c r="AM305" s="3">
        <v>0.5</v>
      </c>
      <c r="AN305" s="3">
        <v>0.6</v>
      </c>
      <c r="AO305" s="3">
        <v>0.73</v>
      </c>
      <c r="AP305" s="7">
        <v>1112.8323969999999</v>
      </c>
      <c r="AQ305" s="3">
        <v>3.5000000000000003E-2</v>
      </c>
      <c r="AS305" s="3" t="s">
        <v>165</v>
      </c>
      <c r="AT305" s="3">
        <v>0.44</v>
      </c>
      <c r="AU305" s="6">
        <v>1026.6602780000001</v>
      </c>
      <c r="AV305" s="3">
        <v>0.01</v>
      </c>
      <c r="AW305" s="3">
        <f t="shared" si="34"/>
        <v>0.58499999999999996</v>
      </c>
      <c r="AX305" s="5"/>
      <c r="AY305" s="5"/>
      <c r="AZ305" s="5"/>
      <c r="BA305" s="5"/>
      <c r="BC305" s="3" t="s">
        <v>165</v>
      </c>
      <c r="BD305" s="3">
        <v>0.9</v>
      </c>
      <c r="BE305" s="3">
        <v>0.5</v>
      </c>
      <c r="BF305" s="3">
        <v>0.6</v>
      </c>
      <c r="BG305" s="3">
        <v>0.48</v>
      </c>
      <c r="BH305" s="6">
        <v>1049.3604740000001</v>
      </c>
      <c r="BI305" s="3">
        <v>1.7999999999999999E-2</v>
      </c>
      <c r="BK305" s="3" t="s">
        <v>165</v>
      </c>
      <c r="BL305" s="3">
        <v>0.95</v>
      </c>
      <c r="BM305" s="7">
        <v>1153.073486</v>
      </c>
      <c r="BN305" s="3">
        <v>2E-3</v>
      </c>
      <c r="BO305" s="3">
        <f t="shared" si="35"/>
        <v>0.71499999999999997</v>
      </c>
    </row>
    <row r="306" spans="1:67" x14ac:dyDescent="0.3">
      <c r="A306" s="3" t="s">
        <v>166</v>
      </c>
      <c r="B306" s="3">
        <v>0.9</v>
      </c>
      <c r="C306" s="3">
        <v>0.5</v>
      </c>
      <c r="D306" s="3">
        <v>0.6</v>
      </c>
      <c r="E306" s="3">
        <v>0.36</v>
      </c>
      <c r="F306" s="7">
        <v>759.84991500000001</v>
      </c>
      <c r="G306" s="3">
        <v>1.7000000000000001E-2</v>
      </c>
      <c r="I306" s="3" t="s">
        <v>166</v>
      </c>
      <c r="J306" s="3">
        <v>7.0000000000000007E-2</v>
      </c>
      <c r="K306" s="6">
        <v>690.81243900000004</v>
      </c>
      <c r="L306" s="3">
        <v>2E-3</v>
      </c>
      <c r="M306" s="3">
        <f t="shared" si="32"/>
        <v>0.215</v>
      </c>
      <c r="N306" s="5"/>
      <c r="O306" s="5"/>
      <c r="P306" s="5"/>
      <c r="Q306" s="5"/>
      <c r="S306" s="3" t="s">
        <v>166</v>
      </c>
      <c r="T306" s="3">
        <v>0.9</v>
      </c>
      <c r="U306" s="3">
        <v>0.5</v>
      </c>
      <c r="V306" s="3">
        <v>0.6</v>
      </c>
      <c r="W306" s="3">
        <v>0.71</v>
      </c>
      <c r="X306" s="7">
        <v>875.10974099999999</v>
      </c>
      <c r="Y306" s="3">
        <v>1.0999999999999999E-2</v>
      </c>
      <c r="AA306" s="3" t="s">
        <v>166</v>
      </c>
      <c r="AB306" s="3">
        <v>0.01</v>
      </c>
      <c r="AC306" s="6">
        <v>718.46289100000001</v>
      </c>
      <c r="AD306" s="3">
        <v>2E-3</v>
      </c>
      <c r="AE306" s="3">
        <f t="shared" si="33"/>
        <v>0.36</v>
      </c>
      <c r="AF306" s="5"/>
      <c r="AG306" s="5"/>
      <c r="AH306" s="5"/>
      <c r="AI306" s="5"/>
      <c r="AK306" s="3" t="s">
        <v>167</v>
      </c>
      <c r="AL306" s="3">
        <v>0.9</v>
      </c>
      <c r="AM306" s="3">
        <v>0.5</v>
      </c>
      <c r="AN306" s="3">
        <v>0.6</v>
      </c>
      <c r="AO306" s="3">
        <v>0.47</v>
      </c>
      <c r="AP306" s="7">
        <v>1095.2414550000001</v>
      </c>
      <c r="AQ306" s="3">
        <v>2.1000000000000001E-2</v>
      </c>
      <c r="AS306" s="3" t="s">
        <v>167</v>
      </c>
      <c r="AT306" s="3">
        <v>0.35</v>
      </c>
      <c r="AU306" s="6">
        <v>1042.9139399999999</v>
      </c>
      <c r="AV306" s="3">
        <v>2E-3</v>
      </c>
      <c r="AW306" s="3">
        <f t="shared" si="34"/>
        <v>0.41</v>
      </c>
      <c r="AX306" s="5"/>
      <c r="AY306" s="5"/>
      <c r="AZ306" s="5"/>
      <c r="BA306" s="5"/>
      <c r="BC306" s="3" t="s">
        <v>167</v>
      </c>
      <c r="BD306" s="3">
        <v>0.9</v>
      </c>
      <c r="BE306" s="3">
        <v>0.5</v>
      </c>
      <c r="BF306" s="3">
        <v>0.6</v>
      </c>
      <c r="BG306" s="3">
        <v>0.2</v>
      </c>
      <c r="BH306" s="6">
        <v>905.81445299999996</v>
      </c>
      <c r="BI306" s="3">
        <v>3.2000000000000001E-2</v>
      </c>
      <c r="BK306" s="3" t="s">
        <v>167</v>
      </c>
      <c r="BL306" s="3">
        <v>0.39</v>
      </c>
      <c r="BM306" s="7">
        <v>1051.833374</v>
      </c>
      <c r="BN306" s="3">
        <v>5.0000000000000001E-3</v>
      </c>
      <c r="BO306" s="3">
        <f t="shared" si="35"/>
        <v>0.29500000000000004</v>
      </c>
    </row>
    <row r="307" spans="1:67" x14ac:dyDescent="0.3">
      <c r="A307" s="3" t="s">
        <v>168</v>
      </c>
      <c r="B307" s="3">
        <v>0.9</v>
      </c>
      <c r="C307" s="3">
        <v>0.5</v>
      </c>
      <c r="D307" s="3">
        <v>0.6</v>
      </c>
      <c r="E307" s="3">
        <v>0.3</v>
      </c>
      <c r="F307" s="6">
        <v>665.54132100000004</v>
      </c>
      <c r="G307" s="3">
        <v>1.9E-2</v>
      </c>
      <c r="I307" s="3" t="s">
        <v>168</v>
      </c>
      <c r="J307" s="3">
        <v>0.79</v>
      </c>
      <c r="K307" s="7">
        <v>731.30865500000004</v>
      </c>
      <c r="L307" s="3">
        <v>1E-3</v>
      </c>
      <c r="M307" s="3">
        <f t="shared" si="32"/>
        <v>0.54500000000000004</v>
      </c>
      <c r="N307" s="5"/>
      <c r="O307" s="5"/>
      <c r="P307" s="5"/>
      <c r="Q307" s="5"/>
      <c r="S307" s="3" t="s">
        <v>168</v>
      </c>
      <c r="T307" s="3">
        <v>0.9</v>
      </c>
      <c r="U307" s="3">
        <v>0.5</v>
      </c>
      <c r="V307" s="3">
        <v>0.6</v>
      </c>
      <c r="W307" s="3">
        <v>0.2</v>
      </c>
      <c r="X307" s="6">
        <v>665.57824700000003</v>
      </c>
      <c r="Y307" s="3">
        <v>1.7000000000000001E-2</v>
      </c>
      <c r="AA307" s="3" t="s">
        <v>168</v>
      </c>
      <c r="AB307" s="3">
        <v>0.77</v>
      </c>
      <c r="AC307" s="7">
        <v>758.38568099999998</v>
      </c>
      <c r="AD307" s="3">
        <v>2E-3</v>
      </c>
      <c r="AE307" s="3">
        <f t="shared" si="33"/>
        <v>0.48499999999999999</v>
      </c>
      <c r="AF307" s="5"/>
      <c r="AG307" s="5"/>
      <c r="AH307" s="5"/>
      <c r="AI307" s="5"/>
      <c r="AK307" s="3" t="s">
        <v>169</v>
      </c>
      <c r="AL307" s="3">
        <v>0.9</v>
      </c>
      <c r="AM307" s="3">
        <v>0.5</v>
      </c>
      <c r="AN307" s="3">
        <v>0.6</v>
      </c>
      <c r="AO307" s="3">
        <v>0.82</v>
      </c>
      <c r="AP307" s="7">
        <v>1135.83374</v>
      </c>
      <c r="AQ307" s="3">
        <v>1.9E-2</v>
      </c>
      <c r="AS307" s="3" t="s">
        <v>169</v>
      </c>
      <c r="AT307" s="3">
        <v>0.08</v>
      </c>
      <c r="AU307" s="6">
        <v>896.51733400000001</v>
      </c>
      <c r="AV307" s="3">
        <v>2E-3</v>
      </c>
      <c r="AW307" s="3">
        <f t="shared" si="34"/>
        <v>0.44999999999999996</v>
      </c>
      <c r="AX307" s="5"/>
      <c r="AY307" s="5"/>
      <c r="AZ307" s="5"/>
      <c r="BA307" s="5"/>
      <c r="BC307" s="3" t="s">
        <v>169</v>
      </c>
      <c r="BD307" s="3">
        <v>0.9</v>
      </c>
      <c r="BE307" s="3">
        <v>0.5</v>
      </c>
      <c r="BF307" s="3">
        <v>0.6</v>
      </c>
      <c r="BG307" s="3">
        <v>0.78</v>
      </c>
      <c r="BH307" s="7">
        <v>1137.5142820000001</v>
      </c>
      <c r="BI307" s="3">
        <v>2.9000000000000001E-2</v>
      </c>
      <c r="BK307" s="3" t="s">
        <v>169</v>
      </c>
      <c r="BL307" s="3">
        <v>0.81</v>
      </c>
      <c r="BM307" s="6">
        <v>1112.4916989999999</v>
      </c>
      <c r="BN307" s="3">
        <v>6.0000000000000001E-3</v>
      </c>
      <c r="BO307" s="3">
        <f t="shared" si="35"/>
        <v>0.79500000000000004</v>
      </c>
    </row>
    <row r="308" spans="1:67" x14ac:dyDescent="0.3">
      <c r="A308" s="3" t="s">
        <v>170</v>
      </c>
      <c r="B308" s="3">
        <v>0.9</v>
      </c>
      <c r="C308" s="3">
        <v>0.5</v>
      </c>
      <c r="D308" s="3">
        <v>0.6</v>
      </c>
      <c r="E308" s="3">
        <v>0.89</v>
      </c>
      <c r="F308" s="7">
        <v>769.44274900000005</v>
      </c>
      <c r="G308" s="3">
        <v>1.4E-2</v>
      </c>
      <c r="I308" s="3" t="s">
        <v>170</v>
      </c>
      <c r="J308" s="3">
        <v>0.01</v>
      </c>
      <c r="K308" s="6">
        <v>731.62255900000002</v>
      </c>
      <c r="L308" s="3">
        <v>0</v>
      </c>
      <c r="M308" s="3">
        <f t="shared" si="32"/>
        <v>0.45</v>
      </c>
      <c r="N308" s="5"/>
      <c r="O308" s="5"/>
      <c r="P308" s="5"/>
      <c r="Q308" s="5"/>
      <c r="S308" s="3" t="s">
        <v>170</v>
      </c>
      <c r="T308" s="3">
        <v>0.9</v>
      </c>
      <c r="U308" s="3">
        <v>0.5</v>
      </c>
      <c r="V308" s="3">
        <v>0.6</v>
      </c>
      <c r="W308" s="3">
        <v>0.27</v>
      </c>
      <c r="X308" s="6">
        <v>699.65917999999999</v>
      </c>
      <c r="Y308" s="3">
        <v>1.2E-2</v>
      </c>
      <c r="AA308" s="3" t="s">
        <v>170</v>
      </c>
      <c r="AB308" s="3">
        <v>0.4</v>
      </c>
      <c r="AC308" s="7">
        <v>717.14752199999998</v>
      </c>
      <c r="AD308" s="3">
        <v>3.0000000000000001E-3</v>
      </c>
      <c r="AE308" s="3">
        <f t="shared" si="33"/>
        <v>0.33500000000000002</v>
      </c>
      <c r="AF308" s="5"/>
      <c r="AG308" s="5"/>
      <c r="AH308" s="5"/>
      <c r="AI308" s="5"/>
      <c r="AK308" s="3" t="s">
        <v>171</v>
      </c>
      <c r="AL308" s="3">
        <v>0.9</v>
      </c>
      <c r="AM308" s="3">
        <v>0.5</v>
      </c>
      <c r="AN308" s="3">
        <v>0.6</v>
      </c>
      <c r="AO308" s="3">
        <v>0.49</v>
      </c>
      <c r="AP308" s="6">
        <v>1027.060669</v>
      </c>
      <c r="AQ308" s="3">
        <v>2.5999999999999999E-2</v>
      </c>
      <c r="AS308" s="3" t="s">
        <v>171</v>
      </c>
      <c r="AT308" s="3">
        <v>0.64</v>
      </c>
      <c r="AU308" s="7">
        <v>1089.9176030000001</v>
      </c>
      <c r="AV308" s="3">
        <v>3.0000000000000001E-3</v>
      </c>
      <c r="AW308" s="3">
        <f t="shared" si="34"/>
        <v>0.56499999999999995</v>
      </c>
      <c r="AX308" s="5"/>
      <c r="AY308" s="5"/>
      <c r="AZ308" s="5"/>
      <c r="BA308" s="5"/>
      <c r="BC308" s="3" t="s">
        <v>171</v>
      </c>
      <c r="BD308" s="3">
        <v>0.9</v>
      </c>
      <c r="BE308" s="3">
        <v>0.5</v>
      </c>
      <c r="BF308" s="3">
        <v>0.6</v>
      </c>
      <c r="BG308" s="3">
        <v>0.14000000000000001</v>
      </c>
      <c r="BH308" s="6">
        <v>790.066284</v>
      </c>
      <c r="BI308" s="3">
        <v>1.2999999999999999E-2</v>
      </c>
      <c r="BK308" s="3" t="s">
        <v>171</v>
      </c>
      <c r="BL308" s="3">
        <v>0.44</v>
      </c>
      <c r="BM308" s="7">
        <v>1017.901245</v>
      </c>
      <c r="BN308" s="3">
        <v>3.0000000000000001E-3</v>
      </c>
      <c r="BO308" s="3">
        <f t="shared" si="35"/>
        <v>0.29000000000000004</v>
      </c>
    </row>
    <row r="309" spans="1:67" x14ac:dyDescent="0.3">
      <c r="A309" s="3" t="s">
        <v>172</v>
      </c>
      <c r="B309" s="3">
        <v>0.9</v>
      </c>
      <c r="C309" s="3">
        <v>0.5</v>
      </c>
      <c r="D309" s="3">
        <v>0.6</v>
      </c>
      <c r="E309" s="3">
        <v>0.93</v>
      </c>
      <c r="F309" s="7">
        <v>802.20709199999999</v>
      </c>
      <c r="G309" s="3">
        <v>1.2E-2</v>
      </c>
      <c r="I309" s="3" t="s">
        <v>172</v>
      </c>
      <c r="J309" s="3">
        <v>0.2</v>
      </c>
      <c r="K309" s="6">
        <v>667.05310099999997</v>
      </c>
      <c r="L309" s="3">
        <v>2E-3</v>
      </c>
      <c r="M309" s="3">
        <f t="shared" si="32"/>
        <v>0.56500000000000006</v>
      </c>
      <c r="N309" s="5"/>
      <c r="O309" s="5"/>
      <c r="P309" s="5"/>
      <c r="Q309" s="5"/>
      <c r="S309" s="3" t="s">
        <v>172</v>
      </c>
      <c r="T309" s="3">
        <v>0.9</v>
      </c>
      <c r="U309" s="3">
        <v>0.5</v>
      </c>
      <c r="V309" s="3">
        <v>0.6</v>
      </c>
      <c r="W309" s="3">
        <v>0.12</v>
      </c>
      <c r="X309" s="6">
        <v>646.26379399999996</v>
      </c>
      <c r="Y309" s="3">
        <v>1.6E-2</v>
      </c>
      <c r="AA309" s="3" t="s">
        <v>172</v>
      </c>
      <c r="AB309" s="3">
        <v>0.81</v>
      </c>
      <c r="AC309" s="7">
        <v>790.76037599999995</v>
      </c>
      <c r="AD309" s="3">
        <v>8.9999999999999993E-3</v>
      </c>
      <c r="AE309" s="3">
        <f t="shared" si="33"/>
        <v>0.46500000000000002</v>
      </c>
      <c r="AF309" s="5"/>
      <c r="AG309" s="5"/>
      <c r="AH309" s="5"/>
      <c r="AI309" s="5"/>
      <c r="AK309" s="3" t="s">
        <v>173</v>
      </c>
      <c r="AL309" s="3">
        <v>0.9</v>
      </c>
      <c r="AM309" s="3">
        <v>0.5</v>
      </c>
      <c r="AN309" s="3">
        <v>0.6</v>
      </c>
      <c r="AO309" s="3">
        <v>0.01</v>
      </c>
      <c r="AP309" s="6">
        <v>1008.614014</v>
      </c>
      <c r="AQ309" s="3">
        <v>0.02</v>
      </c>
      <c r="AS309" s="3" t="s">
        <v>173</v>
      </c>
      <c r="AT309" s="3">
        <v>0.65</v>
      </c>
      <c r="AU309" s="7">
        <v>1196.272095</v>
      </c>
      <c r="AV309" s="3">
        <v>8.9999999999999993E-3</v>
      </c>
      <c r="AW309" s="3">
        <f t="shared" si="34"/>
        <v>0.33</v>
      </c>
      <c r="AX309" s="5"/>
      <c r="AY309" s="5"/>
      <c r="AZ309" s="5"/>
      <c r="BA309" s="5"/>
      <c r="BC309" s="3" t="s">
        <v>173</v>
      </c>
      <c r="BD309" s="3">
        <v>0.9</v>
      </c>
      <c r="BE309" s="3">
        <v>0.5</v>
      </c>
      <c r="BF309" s="3">
        <v>0.6</v>
      </c>
      <c r="BG309" s="3">
        <v>0.98</v>
      </c>
      <c r="BH309" s="7">
        <v>1246.2270510000001</v>
      </c>
      <c r="BI309" s="3">
        <v>3.6999999999999998E-2</v>
      </c>
      <c r="BK309" s="3" t="s">
        <v>173</v>
      </c>
      <c r="BL309" s="3">
        <v>0.04</v>
      </c>
      <c r="BM309" s="6">
        <v>797.61285399999997</v>
      </c>
      <c r="BN309" s="3">
        <v>1E-3</v>
      </c>
      <c r="BO309" s="3">
        <f t="shared" si="35"/>
        <v>0.51</v>
      </c>
    </row>
    <row r="310" spans="1:67" x14ac:dyDescent="0.3">
      <c r="A310" s="3" t="s">
        <v>174</v>
      </c>
      <c r="B310" s="3">
        <v>0.9</v>
      </c>
      <c r="C310" s="3">
        <v>0.5</v>
      </c>
      <c r="D310" s="3">
        <v>0.6</v>
      </c>
      <c r="E310" s="3">
        <v>0.73</v>
      </c>
      <c r="F310" s="8">
        <v>769.83270300000004</v>
      </c>
      <c r="G310" s="3">
        <v>1.2999999999999999E-2</v>
      </c>
      <c r="I310" s="3" t="s">
        <v>174</v>
      </c>
      <c r="J310" s="3">
        <v>0.93</v>
      </c>
      <c r="K310" s="6">
        <v>769.01861599999995</v>
      </c>
      <c r="L310" s="3">
        <v>1E-3</v>
      </c>
      <c r="M310" s="3">
        <f t="shared" si="32"/>
        <v>0.83000000000000007</v>
      </c>
      <c r="N310" s="5"/>
      <c r="O310" s="5"/>
      <c r="P310" s="5"/>
      <c r="Q310" s="5"/>
      <c r="S310" s="3" t="s">
        <v>174</v>
      </c>
      <c r="T310" s="3">
        <v>0.9</v>
      </c>
      <c r="U310" s="3">
        <v>0.5</v>
      </c>
      <c r="V310" s="3">
        <v>0.6</v>
      </c>
      <c r="W310" s="3">
        <v>0.44</v>
      </c>
      <c r="X310" s="6">
        <v>722.65069600000004</v>
      </c>
      <c r="Y310" s="3">
        <v>1.7000000000000001E-2</v>
      </c>
      <c r="AA310" s="3" t="s">
        <v>174</v>
      </c>
      <c r="AB310" s="3">
        <v>0.9</v>
      </c>
      <c r="AC310" s="7">
        <v>792.78198199999997</v>
      </c>
      <c r="AD310" s="3">
        <v>0.01</v>
      </c>
      <c r="AE310" s="3">
        <f t="shared" si="33"/>
        <v>0.67</v>
      </c>
      <c r="AF310" s="5"/>
      <c r="AG310" s="5"/>
      <c r="AH310" s="5"/>
      <c r="AI310" s="5"/>
      <c r="AK310" s="3" t="s">
        <v>175</v>
      </c>
      <c r="AL310" s="3">
        <v>0.9</v>
      </c>
      <c r="AM310" s="3">
        <v>0.5</v>
      </c>
      <c r="AN310" s="3">
        <v>0.6</v>
      </c>
      <c r="AO310" s="3">
        <v>0.34</v>
      </c>
      <c r="AP310" s="6">
        <v>1017.729004</v>
      </c>
      <c r="AQ310" s="3">
        <v>1.7999999999999999E-2</v>
      </c>
      <c r="AS310" s="3" t="s">
        <v>175</v>
      </c>
      <c r="AT310" s="3">
        <v>0.44</v>
      </c>
      <c r="AU310" s="7">
        <v>1087.9990230000001</v>
      </c>
      <c r="AV310" s="3">
        <v>7.0000000000000001E-3</v>
      </c>
      <c r="AW310" s="3">
        <f t="shared" si="34"/>
        <v>0.39</v>
      </c>
      <c r="AX310" s="5"/>
      <c r="AY310" s="5"/>
      <c r="AZ310" s="5"/>
      <c r="BA310" s="5"/>
      <c r="BC310" s="3" t="s">
        <v>175</v>
      </c>
      <c r="BD310" s="3">
        <v>0.9</v>
      </c>
      <c r="BE310" s="3">
        <v>0.5</v>
      </c>
      <c r="BF310" s="3">
        <v>0.6</v>
      </c>
      <c r="BG310" s="3">
        <v>7.0000000000000007E-2</v>
      </c>
      <c r="BH310" s="6">
        <v>821.44604500000003</v>
      </c>
      <c r="BI310" s="3">
        <v>3.1E-2</v>
      </c>
      <c r="BK310" s="3" t="s">
        <v>175</v>
      </c>
      <c r="BL310" s="3">
        <v>0.65</v>
      </c>
      <c r="BM310" s="7">
        <v>1138.4194339999999</v>
      </c>
      <c r="BN310" s="3">
        <v>2E-3</v>
      </c>
      <c r="BO310" s="3">
        <f t="shared" si="35"/>
        <v>0.36</v>
      </c>
    </row>
    <row r="311" spans="1:67" x14ac:dyDescent="0.3">
      <c r="A311" s="3" t="s">
        <v>176</v>
      </c>
      <c r="B311" s="3">
        <v>0.9</v>
      </c>
      <c r="C311" s="3">
        <v>0.5</v>
      </c>
      <c r="D311" s="3">
        <v>0.6</v>
      </c>
      <c r="E311" s="3">
        <v>0.31</v>
      </c>
      <c r="F311" s="7">
        <v>713.35375999999997</v>
      </c>
      <c r="G311" s="3">
        <v>1.4E-2</v>
      </c>
      <c r="I311" s="3" t="s">
        <v>176</v>
      </c>
      <c r="J311" s="3">
        <v>0.17</v>
      </c>
      <c r="K311" s="6">
        <v>691.10497999999995</v>
      </c>
      <c r="L311" s="3">
        <v>3.0000000000000001E-3</v>
      </c>
      <c r="M311" s="3">
        <f t="shared" si="32"/>
        <v>0.24</v>
      </c>
      <c r="N311" s="5"/>
      <c r="O311" s="5"/>
      <c r="P311" s="5"/>
      <c r="Q311" s="5"/>
      <c r="S311" s="3" t="s">
        <v>176</v>
      </c>
      <c r="T311" s="3">
        <v>0.9</v>
      </c>
      <c r="U311" s="3">
        <v>0.5</v>
      </c>
      <c r="V311" s="3">
        <v>0.6</v>
      </c>
      <c r="W311" s="3">
        <v>0.5</v>
      </c>
      <c r="X311" s="6">
        <v>757.23138400000005</v>
      </c>
      <c r="Y311" s="3">
        <v>1.4E-2</v>
      </c>
      <c r="AA311" s="3" t="s">
        <v>176</v>
      </c>
      <c r="AB311" s="3">
        <v>0.5</v>
      </c>
      <c r="AC311" s="7">
        <v>745.08752400000003</v>
      </c>
      <c r="AD311" s="3">
        <v>2E-3</v>
      </c>
      <c r="AE311" s="3">
        <f t="shared" si="33"/>
        <v>0.5</v>
      </c>
      <c r="AF311" s="5"/>
      <c r="AG311" s="5"/>
      <c r="AH311" s="5"/>
      <c r="AI311" s="5"/>
      <c r="AK311" s="3" t="s">
        <v>177</v>
      </c>
      <c r="AL311" s="3">
        <v>0.9</v>
      </c>
      <c r="AM311" s="3">
        <v>0.5</v>
      </c>
      <c r="AN311" s="3">
        <v>0.6</v>
      </c>
      <c r="AO311" s="3">
        <v>0.13</v>
      </c>
      <c r="AP311" s="6">
        <v>1003.579895</v>
      </c>
      <c r="AQ311" s="3">
        <v>0.01</v>
      </c>
      <c r="AS311" s="3" t="s">
        <v>177</v>
      </c>
      <c r="AT311" s="3">
        <v>0.28999999999999998</v>
      </c>
      <c r="AU311" s="7">
        <v>1080.457275</v>
      </c>
      <c r="AV311" s="3">
        <v>6.0000000000000001E-3</v>
      </c>
      <c r="AW311" s="3">
        <f t="shared" si="34"/>
        <v>0.21</v>
      </c>
      <c r="AX311" s="5"/>
      <c r="AY311" s="5"/>
      <c r="AZ311" s="5"/>
      <c r="BA311" s="5"/>
      <c r="BC311" s="3" t="s">
        <v>177</v>
      </c>
      <c r="BD311" s="3">
        <v>0.9</v>
      </c>
      <c r="BE311" s="3">
        <v>0.5</v>
      </c>
      <c r="BF311" s="3">
        <v>0.6</v>
      </c>
      <c r="BG311" s="3">
        <v>0.36</v>
      </c>
      <c r="BH311" s="6">
        <v>1145.895264</v>
      </c>
      <c r="BI311" s="3">
        <v>0.04</v>
      </c>
      <c r="BK311" s="3" t="s">
        <v>177</v>
      </c>
      <c r="BL311" s="3">
        <v>0.39</v>
      </c>
      <c r="BM311" s="7">
        <v>1156.0124510000001</v>
      </c>
      <c r="BN311" s="3">
        <v>4.0000000000000001E-3</v>
      </c>
      <c r="BO311" s="3">
        <f t="shared" si="35"/>
        <v>0.375</v>
      </c>
    </row>
    <row r="312" spans="1:67" x14ac:dyDescent="0.3">
      <c r="A312" s="3" t="s">
        <v>178</v>
      </c>
      <c r="B312" s="3">
        <v>0.9</v>
      </c>
      <c r="C312" s="3">
        <v>0.5</v>
      </c>
      <c r="D312" s="3">
        <v>0.6</v>
      </c>
      <c r="E312" s="3">
        <v>0.53</v>
      </c>
      <c r="F312" s="7">
        <v>785.84918200000004</v>
      </c>
      <c r="G312" s="3">
        <v>2.3E-2</v>
      </c>
      <c r="I312" s="3" t="s">
        <v>178</v>
      </c>
      <c r="J312" s="3">
        <v>0.02</v>
      </c>
      <c r="K312" s="6">
        <v>654.70892300000003</v>
      </c>
      <c r="L312" s="3">
        <v>3.0000000000000001E-3</v>
      </c>
      <c r="M312" s="3">
        <f t="shared" si="32"/>
        <v>0.27500000000000002</v>
      </c>
      <c r="N312" s="5"/>
      <c r="O312" s="5"/>
      <c r="P312" s="5"/>
      <c r="Q312" s="5"/>
      <c r="S312" s="3" t="s">
        <v>178</v>
      </c>
      <c r="T312" s="3">
        <v>0.9</v>
      </c>
      <c r="U312" s="3">
        <v>0.5</v>
      </c>
      <c r="V312" s="3">
        <v>0.6</v>
      </c>
      <c r="W312" s="3">
        <v>0.6</v>
      </c>
      <c r="X312" s="7">
        <v>835.92645300000004</v>
      </c>
      <c r="Y312" s="3">
        <v>3.4000000000000002E-2</v>
      </c>
      <c r="AA312" s="3" t="s">
        <v>178</v>
      </c>
      <c r="AB312" s="3">
        <v>0.03</v>
      </c>
      <c r="AC312" s="6">
        <v>649.69482400000004</v>
      </c>
      <c r="AD312" s="3">
        <v>6.0000000000000001E-3</v>
      </c>
      <c r="AE312" s="3">
        <f t="shared" si="33"/>
        <v>0.315</v>
      </c>
      <c r="AF312" s="5"/>
      <c r="AG312" s="5"/>
      <c r="AH312" s="5"/>
      <c r="AI312" s="5"/>
      <c r="AK312" s="3" t="s">
        <v>179</v>
      </c>
      <c r="AL312" s="3">
        <v>0.9</v>
      </c>
      <c r="AM312" s="3">
        <v>0.5</v>
      </c>
      <c r="AN312" s="3">
        <v>0.6</v>
      </c>
      <c r="AO312" s="3">
        <v>0.74</v>
      </c>
      <c r="AP312" s="7">
        <v>1234.939697</v>
      </c>
      <c r="AQ312" s="3">
        <v>1.6E-2</v>
      </c>
      <c r="AS312" s="3" t="s">
        <v>179</v>
      </c>
      <c r="AT312" s="3">
        <v>7.0000000000000007E-2</v>
      </c>
      <c r="AU312" s="6">
        <v>872.74816899999996</v>
      </c>
      <c r="AV312" s="3">
        <v>6.0000000000000001E-3</v>
      </c>
      <c r="AW312" s="3">
        <f t="shared" si="34"/>
        <v>0.40500000000000003</v>
      </c>
      <c r="AX312" s="5"/>
      <c r="AY312" s="5"/>
      <c r="AZ312" s="5"/>
      <c r="BA312" s="5"/>
      <c r="BC312" s="3" t="s">
        <v>179</v>
      </c>
      <c r="BD312" s="3">
        <v>0.9</v>
      </c>
      <c r="BE312" s="3">
        <v>0.5</v>
      </c>
      <c r="BF312" s="3">
        <v>0.6</v>
      </c>
      <c r="BG312" s="3">
        <v>0.12</v>
      </c>
      <c r="BH312" s="6">
        <v>920.82781999999997</v>
      </c>
      <c r="BI312" s="3">
        <v>1.4E-2</v>
      </c>
      <c r="BK312" s="3" t="s">
        <v>179</v>
      </c>
      <c r="BL312" s="3">
        <v>0.82</v>
      </c>
      <c r="BM312" s="7">
        <v>1253.205811</v>
      </c>
      <c r="BN312" s="3">
        <v>6.0000000000000001E-3</v>
      </c>
      <c r="BO312" s="3">
        <f t="shared" si="35"/>
        <v>0.47</v>
      </c>
    </row>
    <row r="313" spans="1:67" x14ac:dyDescent="0.3">
      <c r="A313" s="3" t="s">
        <v>180</v>
      </c>
      <c r="B313" s="3">
        <v>0.9</v>
      </c>
      <c r="C313" s="3">
        <v>0.5</v>
      </c>
      <c r="D313" s="3">
        <v>0.6</v>
      </c>
      <c r="E313" s="3">
        <v>0.63</v>
      </c>
      <c r="F313" s="7">
        <v>788.38195800000005</v>
      </c>
      <c r="G313" s="3">
        <v>2.4E-2</v>
      </c>
      <c r="I313" s="3" t="s">
        <v>180</v>
      </c>
      <c r="J313" s="3">
        <v>0.15</v>
      </c>
      <c r="K313" s="6">
        <v>662.77691700000003</v>
      </c>
      <c r="L313" s="3">
        <v>2E-3</v>
      </c>
      <c r="M313" s="3">
        <f t="shared" si="32"/>
        <v>0.39</v>
      </c>
      <c r="N313" s="5"/>
      <c r="O313" s="5"/>
      <c r="P313" s="5"/>
      <c r="Q313" s="5"/>
      <c r="S313" s="3" t="s">
        <v>180</v>
      </c>
      <c r="T313" s="3">
        <v>0.9</v>
      </c>
      <c r="U313" s="3">
        <v>0.5</v>
      </c>
      <c r="V313" s="3">
        <v>0.6</v>
      </c>
      <c r="W313" s="3">
        <v>0.8</v>
      </c>
      <c r="X313" s="6">
        <v>819.02954099999999</v>
      </c>
      <c r="Y313" s="3">
        <v>8.0000000000000002E-3</v>
      </c>
      <c r="AA313" s="3" t="s">
        <v>180</v>
      </c>
      <c r="AB313" s="3">
        <v>0.97</v>
      </c>
      <c r="AC313" s="7">
        <v>868.59625200000005</v>
      </c>
      <c r="AD313" s="3">
        <v>2E-3</v>
      </c>
      <c r="AE313" s="3">
        <f t="shared" si="33"/>
        <v>0.88500000000000001</v>
      </c>
      <c r="AF313" s="5"/>
      <c r="AG313" s="5"/>
      <c r="AH313" s="5"/>
      <c r="AI313" s="5"/>
      <c r="AK313" s="3" t="s">
        <v>181</v>
      </c>
      <c r="AL313" s="3">
        <v>0.9</v>
      </c>
      <c r="AM313" s="3">
        <v>0.5</v>
      </c>
      <c r="AN313" s="3">
        <v>0.6</v>
      </c>
      <c r="AO313" s="3">
        <v>0.23</v>
      </c>
      <c r="AP313" s="6">
        <v>994.587219</v>
      </c>
      <c r="AQ313" s="3">
        <v>1.7000000000000001E-2</v>
      </c>
      <c r="AS313" s="3" t="s">
        <v>181</v>
      </c>
      <c r="AT313" s="3">
        <v>0.34</v>
      </c>
      <c r="AU313" s="7">
        <v>1081.0235600000001</v>
      </c>
      <c r="AV313" s="3">
        <v>5.0000000000000001E-3</v>
      </c>
      <c r="AW313" s="3">
        <f t="shared" si="34"/>
        <v>0.28500000000000003</v>
      </c>
      <c r="AX313" s="5"/>
      <c r="AY313" s="5"/>
      <c r="AZ313" s="5"/>
      <c r="BA313" s="5"/>
      <c r="BC313" s="3" t="s">
        <v>181</v>
      </c>
      <c r="BD313" s="3">
        <v>0.9</v>
      </c>
      <c r="BE313" s="3">
        <v>0.5</v>
      </c>
      <c r="BF313" s="3">
        <v>0.6</v>
      </c>
      <c r="BG313" s="3">
        <v>0.19</v>
      </c>
      <c r="BH313" s="6">
        <v>976.29638699999998</v>
      </c>
      <c r="BI313" s="3">
        <v>0.02</v>
      </c>
      <c r="BK313" s="3" t="s">
        <v>181</v>
      </c>
      <c r="BL313" s="3">
        <v>0.38</v>
      </c>
      <c r="BM313" s="7">
        <v>1111.174438</v>
      </c>
      <c r="BN313" s="3">
        <v>1.6E-2</v>
      </c>
      <c r="BO313" s="3">
        <f t="shared" si="35"/>
        <v>0.28500000000000003</v>
      </c>
    </row>
    <row r="314" spans="1:67" x14ac:dyDescent="0.3">
      <c r="A314" s="3" t="s">
        <v>182</v>
      </c>
      <c r="B314" s="3">
        <v>0.9</v>
      </c>
      <c r="C314" s="3">
        <v>0.5</v>
      </c>
      <c r="D314" s="3">
        <v>0.6</v>
      </c>
      <c r="E314" s="3">
        <v>0.66</v>
      </c>
      <c r="F314" s="7">
        <v>744.70556599999998</v>
      </c>
      <c r="G314" s="3">
        <v>8.9999999999999993E-3</v>
      </c>
      <c r="I314" s="3" t="s">
        <v>182</v>
      </c>
      <c r="J314" s="3">
        <v>0.26</v>
      </c>
      <c r="K314" s="6">
        <v>637.49652100000003</v>
      </c>
      <c r="L314" s="3">
        <v>1E-3</v>
      </c>
      <c r="M314" s="3">
        <f t="shared" si="32"/>
        <v>0.46</v>
      </c>
      <c r="N314" s="5"/>
      <c r="O314" s="5"/>
      <c r="P314" s="5"/>
      <c r="Q314" s="5"/>
      <c r="S314" s="3" t="s">
        <v>182</v>
      </c>
      <c r="T314" s="3">
        <v>0.9</v>
      </c>
      <c r="U314" s="3">
        <v>0.5</v>
      </c>
      <c r="V314" s="3">
        <v>0.6</v>
      </c>
      <c r="W314" s="3">
        <v>0.48</v>
      </c>
      <c r="X314" s="6">
        <v>683.54858400000001</v>
      </c>
      <c r="Y314" s="3">
        <v>1.4999999999999999E-2</v>
      </c>
      <c r="AA314" s="3" t="s">
        <v>182</v>
      </c>
      <c r="AB314" s="3">
        <v>0.83</v>
      </c>
      <c r="AC314" s="7">
        <v>809.55749500000002</v>
      </c>
      <c r="AD314" s="3">
        <v>4.0000000000000001E-3</v>
      </c>
      <c r="AE314" s="3">
        <f t="shared" si="33"/>
        <v>0.65500000000000003</v>
      </c>
      <c r="AF314" s="5"/>
      <c r="AG314" s="5"/>
      <c r="AH314" s="5"/>
      <c r="AI314" s="5"/>
      <c r="AK314" s="3" t="s">
        <v>183</v>
      </c>
      <c r="AL314" s="3">
        <v>0.9</v>
      </c>
      <c r="AM314" s="3">
        <v>0.5</v>
      </c>
      <c r="AN314" s="3">
        <v>0.6</v>
      </c>
      <c r="AO314" s="3">
        <v>0.68</v>
      </c>
      <c r="AP314" s="7">
        <v>1277.256226</v>
      </c>
      <c r="AQ314" s="3">
        <v>0.02</v>
      </c>
      <c r="AS314" s="3" t="s">
        <v>183</v>
      </c>
      <c r="AT314" s="3">
        <v>0.39</v>
      </c>
      <c r="AU314" s="6">
        <v>1115.5535890000001</v>
      </c>
      <c r="AV314" s="3">
        <v>2E-3</v>
      </c>
      <c r="AW314" s="3">
        <f t="shared" si="34"/>
        <v>0.53500000000000003</v>
      </c>
      <c r="AX314" s="5"/>
      <c r="AY314" s="5"/>
      <c r="AZ314" s="5"/>
      <c r="BA314" s="5"/>
      <c r="BC314" s="3" t="s">
        <v>183</v>
      </c>
      <c r="BD314" s="3">
        <v>0.9</v>
      </c>
      <c r="BE314" s="3">
        <v>0.5</v>
      </c>
      <c r="BF314" s="3">
        <v>0.6</v>
      </c>
      <c r="BG314" s="3">
        <v>0.78</v>
      </c>
      <c r="BH314" s="7">
        <v>1265.6301269999999</v>
      </c>
      <c r="BI314" s="3">
        <v>2.9000000000000001E-2</v>
      </c>
      <c r="BK314" s="3" t="s">
        <v>183</v>
      </c>
      <c r="BL314" s="3">
        <v>0.38</v>
      </c>
      <c r="BM314" s="6">
        <v>1117.9461670000001</v>
      </c>
      <c r="BN314" s="3">
        <v>0.01</v>
      </c>
      <c r="BO314" s="3">
        <f t="shared" si="35"/>
        <v>0.58000000000000007</v>
      </c>
    </row>
    <row r="315" spans="1:67" x14ac:dyDescent="0.3">
      <c r="A315" s="3" t="s">
        <v>184</v>
      </c>
      <c r="B315" s="3">
        <v>0.9</v>
      </c>
      <c r="C315" s="3">
        <v>0.5</v>
      </c>
      <c r="D315" s="3">
        <v>0.6</v>
      </c>
      <c r="E315" s="3">
        <v>0.2</v>
      </c>
      <c r="F315" s="6">
        <v>640.79394500000001</v>
      </c>
      <c r="G315" s="3">
        <v>1.9E-2</v>
      </c>
      <c r="I315" s="3" t="s">
        <v>184</v>
      </c>
      <c r="J315" s="3">
        <v>0.69</v>
      </c>
      <c r="K315" s="7">
        <v>718.38836700000002</v>
      </c>
      <c r="L315" s="3">
        <v>2E-3</v>
      </c>
      <c r="M315" s="3">
        <f t="shared" si="32"/>
        <v>0.44499999999999995</v>
      </c>
      <c r="N315" s="5"/>
      <c r="O315" s="5"/>
      <c r="P315" s="5"/>
      <c r="Q315" s="5"/>
      <c r="S315" s="3" t="s">
        <v>184</v>
      </c>
      <c r="T315" s="3">
        <v>0.9</v>
      </c>
      <c r="U315" s="3">
        <v>0.5</v>
      </c>
      <c r="V315" s="3">
        <v>0.6</v>
      </c>
      <c r="W315" s="3">
        <v>0.54</v>
      </c>
      <c r="X315" s="7">
        <v>705.02465800000004</v>
      </c>
      <c r="Y315" s="3">
        <v>2.3E-2</v>
      </c>
      <c r="AA315" s="3" t="s">
        <v>184</v>
      </c>
      <c r="AB315" s="3">
        <v>0.1</v>
      </c>
      <c r="AC315" s="6">
        <v>623.31066899999996</v>
      </c>
      <c r="AD315" s="3">
        <v>8.0000000000000002E-3</v>
      </c>
      <c r="AE315" s="3">
        <f t="shared" si="33"/>
        <v>0.32</v>
      </c>
      <c r="AF315" s="5"/>
      <c r="AG315" s="5"/>
      <c r="AH315" s="5"/>
      <c r="AI315" s="5"/>
      <c r="AK315" s="3" t="s">
        <v>185</v>
      </c>
      <c r="AL315" s="3">
        <v>0.9</v>
      </c>
      <c r="AM315" s="3">
        <v>0.5</v>
      </c>
      <c r="AN315" s="3">
        <v>0.6</v>
      </c>
      <c r="AO315" s="3">
        <v>0.48</v>
      </c>
      <c r="AP315" s="6">
        <v>1176.3264160000001</v>
      </c>
      <c r="AQ315" s="3">
        <v>1.7000000000000001E-2</v>
      </c>
      <c r="AS315" s="3" t="s">
        <v>185</v>
      </c>
      <c r="AT315" s="3">
        <v>0.74</v>
      </c>
      <c r="AU315" s="7">
        <v>1318.8969729999999</v>
      </c>
      <c r="AV315" s="3">
        <v>3.0000000000000001E-3</v>
      </c>
      <c r="AW315" s="3">
        <f t="shared" si="34"/>
        <v>0.61</v>
      </c>
      <c r="AX315" s="5"/>
      <c r="AY315" s="5"/>
      <c r="AZ315" s="5"/>
      <c r="BA315" s="5"/>
      <c r="BC315" s="3" t="s">
        <v>185</v>
      </c>
      <c r="BD315" s="3">
        <v>0.9</v>
      </c>
      <c r="BE315" s="3">
        <v>0.5</v>
      </c>
      <c r="BF315" s="3">
        <v>0.6</v>
      </c>
      <c r="BG315" s="3">
        <v>0.94</v>
      </c>
      <c r="BH315" s="7">
        <v>1374.533447</v>
      </c>
      <c r="BI315" s="3">
        <v>2.4E-2</v>
      </c>
      <c r="BK315" s="3" t="s">
        <v>185</v>
      </c>
      <c r="BL315" s="3">
        <v>0.28000000000000003</v>
      </c>
      <c r="BM315" s="6">
        <v>1028.0776370000001</v>
      </c>
      <c r="BN315" s="3">
        <v>8.9999999999999993E-3</v>
      </c>
      <c r="BO315" s="3">
        <f t="shared" si="35"/>
        <v>0.61</v>
      </c>
    </row>
    <row r="316" spans="1:67" x14ac:dyDescent="0.3">
      <c r="A316" s="3" t="s">
        <v>186</v>
      </c>
      <c r="B316" s="3">
        <v>0.9</v>
      </c>
      <c r="C316" s="3">
        <v>0.5</v>
      </c>
      <c r="D316" s="3">
        <v>0.6</v>
      </c>
      <c r="E316" s="3">
        <v>0.15</v>
      </c>
      <c r="F316" s="6">
        <v>729.073486</v>
      </c>
      <c r="G316" s="3">
        <v>0.01</v>
      </c>
      <c r="I316" s="3" t="s">
        <v>186</v>
      </c>
      <c r="J316" s="3">
        <v>0.04</v>
      </c>
      <c r="K316" s="7">
        <v>768.83227499999998</v>
      </c>
      <c r="L316" s="3">
        <v>5.0000000000000001E-3</v>
      </c>
      <c r="M316" s="3">
        <f t="shared" si="32"/>
        <v>9.5000000000000001E-2</v>
      </c>
      <c r="N316" s="5"/>
      <c r="O316" s="5"/>
      <c r="P316" s="5"/>
      <c r="Q316" s="5"/>
      <c r="S316" s="3" t="s">
        <v>186</v>
      </c>
      <c r="T316" s="3">
        <v>0.9</v>
      </c>
      <c r="U316" s="3">
        <v>0.5</v>
      </c>
      <c r="V316" s="3">
        <v>0.6</v>
      </c>
      <c r="W316" s="3">
        <v>0.37</v>
      </c>
      <c r="X316" s="7">
        <v>819.81555200000003</v>
      </c>
      <c r="Y316" s="3">
        <v>1.9E-2</v>
      </c>
      <c r="AA316" s="3" t="s">
        <v>186</v>
      </c>
      <c r="AB316" s="3">
        <v>0.41</v>
      </c>
      <c r="AC316" s="6">
        <v>815.58703600000001</v>
      </c>
      <c r="AD316" s="3">
        <v>3.0000000000000001E-3</v>
      </c>
      <c r="AE316" s="3">
        <f t="shared" si="33"/>
        <v>0.39</v>
      </c>
      <c r="AF316" s="5"/>
      <c r="AG316" s="5"/>
      <c r="AH316" s="5"/>
      <c r="AI316" s="5"/>
      <c r="AK316" s="3" t="s">
        <v>187</v>
      </c>
      <c r="AL316" s="3">
        <v>0.9</v>
      </c>
      <c r="AM316" s="3">
        <v>0.5</v>
      </c>
      <c r="AN316" s="3">
        <v>0.6</v>
      </c>
      <c r="AO316" s="3">
        <v>0.52</v>
      </c>
      <c r="AP316" s="7">
        <v>1328.8201899999999</v>
      </c>
      <c r="AQ316" s="3">
        <v>1.7000000000000001E-2</v>
      </c>
      <c r="AS316" s="3" t="s">
        <v>187</v>
      </c>
      <c r="AT316" s="3">
        <v>0.55000000000000004</v>
      </c>
      <c r="AU316" s="6">
        <v>1315.971313</v>
      </c>
      <c r="AV316" s="3">
        <v>8.9999999999999993E-3</v>
      </c>
      <c r="AW316" s="3">
        <f t="shared" si="34"/>
        <v>0.53500000000000003</v>
      </c>
      <c r="AX316" s="5"/>
      <c r="AY316" s="5"/>
      <c r="AZ316" s="5"/>
      <c r="BA316" s="5"/>
      <c r="BC316" s="3" t="s">
        <v>187</v>
      </c>
      <c r="BD316" s="3">
        <v>0.9</v>
      </c>
      <c r="BE316" s="3">
        <v>0.5</v>
      </c>
      <c r="BF316" s="3">
        <v>0.6</v>
      </c>
      <c r="BG316" s="3">
        <v>0.01</v>
      </c>
      <c r="BH316" s="6">
        <v>1020.625</v>
      </c>
      <c r="BI316" s="3">
        <v>1.9E-2</v>
      </c>
      <c r="BK316" s="3" t="s">
        <v>187</v>
      </c>
      <c r="BL316" s="3">
        <v>0.93</v>
      </c>
      <c r="BM316" s="7">
        <v>1459.1020510000001</v>
      </c>
      <c r="BN316" s="3">
        <v>2E-3</v>
      </c>
      <c r="BO316" s="3">
        <f t="shared" si="35"/>
        <v>0.47000000000000003</v>
      </c>
    </row>
    <row r="317" spans="1:67" x14ac:dyDescent="0.3">
      <c r="A317" s="3" t="s">
        <v>188</v>
      </c>
      <c r="B317" s="3">
        <v>0.9</v>
      </c>
      <c r="C317" s="3">
        <v>0.5</v>
      </c>
      <c r="D317" s="3">
        <v>0.6</v>
      </c>
      <c r="E317" s="3">
        <v>0.21</v>
      </c>
      <c r="F317" s="6">
        <v>681.14215100000001</v>
      </c>
      <c r="G317" s="3">
        <v>2.9000000000000001E-2</v>
      </c>
      <c r="I317" s="3" t="s">
        <v>188</v>
      </c>
      <c r="J317" s="3">
        <v>0.84</v>
      </c>
      <c r="K317" s="7">
        <v>848.24267599999996</v>
      </c>
      <c r="L317" s="3">
        <v>1E-3</v>
      </c>
      <c r="M317" s="3">
        <f t="shared" si="32"/>
        <v>0.52500000000000002</v>
      </c>
      <c r="N317" s="5"/>
      <c r="O317" s="5"/>
      <c r="P317" s="5"/>
      <c r="Q317" s="5"/>
      <c r="S317" s="3" t="s">
        <v>188</v>
      </c>
      <c r="T317" s="3">
        <v>0.9</v>
      </c>
      <c r="U317" s="3">
        <v>0.5</v>
      </c>
      <c r="V317" s="3">
        <v>0.6</v>
      </c>
      <c r="W317" s="3">
        <v>0.71</v>
      </c>
      <c r="X317" s="7">
        <v>755.63415499999996</v>
      </c>
      <c r="Y317" s="3">
        <v>1.4E-2</v>
      </c>
      <c r="AA317" s="3" t="s">
        <v>188</v>
      </c>
      <c r="AB317" s="3">
        <v>0.19</v>
      </c>
      <c r="AC317" s="6">
        <v>671.42907700000001</v>
      </c>
      <c r="AD317" s="3">
        <v>4.0000000000000001E-3</v>
      </c>
      <c r="AE317" s="3">
        <f t="shared" si="33"/>
        <v>0.44999999999999996</v>
      </c>
      <c r="AF317" s="5"/>
      <c r="AG317" s="5"/>
      <c r="AH317" s="5"/>
      <c r="AI317" s="5"/>
      <c r="AK317" s="3" t="s">
        <v>189</v>
      </c>
      <c r="AL317" s="3">
        <v>0.9</v>
      </c>
      <c r="AM317" s="3">
        <v>0.5</v>
      </c>
      <c r="AN317" s="3">
        <v>0.6</v>
      </c>
      <c r="AO317" s="3">
        <v>0.02</v>
      </c>
      <c r="AP317" s="6">
        <v>814.90594499999997</v>
      </c>
      <c r="AQ317" s="3">
        <v>3.3000000000000002E-2</v>
      </c>
      <c r="AS317" s="3" t="s">
        <v>189</v>
      </c>
      <c r="AT317" s="3">
        <v>0.98</v>
      </c>
      <c r="AU317" s="7">
        <v>1270.6069339999999</v>
      </c>
      <c r="AV317" s="3">
        <v>2E-3</v>
      </c>
      <c r="AW317" s="3">
        <f t="shared" si="34"/>
        <v>0.5</v>
      </c>
      <c r="AX317" s="5"/>
      <c r="AY317" s="5"/>
      <c r="AZ317" s="5"/>
      <c r="BA317" s="5"/>
      <c r="BC317" s="3" t="s">
        <v>189</v>
      </c>
      <c r="BD317" s="3">
        <v>0.9</v>
      </c>
      <c r="BE317" s="3">
        <v>0.5</v>
      </c>
      <c r="BF317" s="3">
        <v>0.6</v>
      </c>
      <c r="BG317" s="3">
        <v>0.13</v>
      </c>
      <c r="BH317" s="6">
        <v>904.98327600000005</v>
      </c>
      <c r="BI317" s="3">
        <v>1.7999999999999999E-2</v>
      </c>
      <c r="BK317" s="3" t="s">
        <v>189</v>
      </c>
      <c r="BL317" s="3">
        <v>0.23</v>
      </c>
      <c r="BM317" s="7">
        <v>980.96588099999997</v>
      </c>
      <c r="BN317" s="3">
        <v>5.0000000000000001E-3</v>
      </c>
      <c r="BO317" s="3">
        <f t="shared" si="35"/>
        <v>0.18</v>
      </c>
    </row>
    <row r="318" spans="1:67" x14ac:dyDescent="0.3">
      <c r="A318" s="3" t="s">
        <v>190</v>
      </c>
      <c r="B318" s="3">
        <v>0.9</v>
      </c>
      <c r="C318" s="3">
        <v>0.5</v>
      </c>
      <c r="D318" s="3">
        <v>0.6</v>
      </c>
      <c r="E318" s="3">
        <v>0.7</v>
      </c>
      <c r="F318" s="6">
        <v>769.34985400000005</v>
      </c>
      <c r="G318" s="3">
        <v>1.2999999999999999E-2</v>
      </c>
      <c r="I318" s="3" t="s">
        <v>190</v>
      </c>
      <c r="J318" s="3">
        <v>0.84</v>
      </c>
      <c r="K318" s="7">
        <v>799.58679199999995</v>
      </c>
      <c r="L318" s="3">
        <v>2E-3</v>
      </c>
      <c r="M318" s="3">
        <f t="shared" si="32"/>
        <v>0.77</v>
      </c>
      <c r="N318" s="5"/>
      <c r="O318" s="5"/>
      <c r="P318" s="5"/>
      <c r="Q318" s="5"/>
      <c r="S318" s="3" t="s">
        <v>190</v>
      </c>
      <c r="T318" s="3">
        <v>0.9</v>
      </c>
      <c r="U318" s="3">
        <v>0.5</v>
      </c>
      <c r="V318" s="3">
        <v>0.6</v>
      </c>
      <c r="W318" s="3">
        <v>0.94</v>
      </c>
      <c r="X318" s="7">
        <v>872.66375700000003</v>
      </c>
      <c r="Y318" s="3">
        <v>2.4E-2</v>
      </c>
      <c r="AA318" s="3" t="s">
        <v>190</v>
      </c>
      <c r="AB318" s="3">
        <v>0.76</v>
      </c>
      <c r="AC318" s="6">
        <v>775.64209000000005</v>
      </c>
      <c r="AD318" s="3">
        <v>2E-3</v>
      </c>
      <c r="AE318" s="3">
        <f t="shared" si="33"/>
        <v>0.85</v>
      </c>
      <c r="AF318" s="5"/>
      <c r="AG318" s="5"/>
      <c r="AH318" s="5"/>
      <c r="AI318" s="5"/>
      <c r="AK318" s="3" t="s">
        <v>191</v>
      </c>
      <c r="AL318" s="3">
        <v>0.9</v>
      </c>
      <c r="AM318" s="3">
        <v>0.5</v>
      </c>
      <c r="AN318" s="3">
        <v>0.6</v>
      </c>
      <c r="AO318" s="3">
        <v>0.85</v>
      </c>
      <c r="AP318" s="7">
        <v>1233.317505</v>
      </c>
      <c r="AQ318" s="3">
        <v>0.01</v>
      </c>
      <c r="AS318" s="3" t="s">
        <v>191</v>
      </c>
      <c r="AT318" s="3">
        <v>0.67</v>
      </c>
      <c r="AU318" s="6">
        <v>1136.655884</v>
      </c>
      <c r="AV318" s="3">
        <v>2E-3</v>
      </c>
      <c r="AW318" s="3">
        <f t="shared" si="34"/>
        <v>0.76</v>
      </c>
      <c r="AX318" s="5"/>
      <c r="AY318" s="5"/>
      <c r="AZ318" s="5"/>
      <c r="BA318" s="5"/>
      <c r="BC318" s="3" t="s">
        <v>191</v>
      </c>
      <c r="BD318" s="3">
        <v>0.9</v>
      </c>
      <c r="BE318" s="3">
        <v>0.5</v>
      </c>
      <c r="BF318" s="3">
        <v>0.6</v>
      </c>
      <c r="BG318" s="3">
        <v>0.9</v>
      </c>
      <c r="BH318" s="7">
        <v>1246.0886230000001</v>
      </c>
      <c r="BI318" s="3">
        <v>2.5999999999999999E-2</v>
      </c>
      <c r="BK318" s="3" t="s">
        <v>191</v>
      </c>
      <c r="BL318" s="3">
        <v>0.4</v>
      </c>
      <c r="BM318" s="6">
        <v>1082.6132809999999</v>
      </c>
      <c r="BN318" s="3">
        <v>4.0000000000000001E-3</v>
      </c>
      <c r="BO318" s="3">
        <f t="shared" si="35"/>
        <v>0.65</v>
      </c>
    </row>
    <row r="319" spans="1:67" x14ac:dyDescent="0.3">
      <c r="A319" s="3" t="s">
        <v>192</v>
      </c>
      <c r="B319" s="3">
        <v>0.9</v>
      </c>
      <c r="C319" s="3">
        <v>0.5</v>
      </c>
      <c r="D319" s="3">
        <v>0.6</v>
      </c>
      <c r="E319" s="3">
        <v>0.45</v>
      </c>
      <c r="F319" s="6">
        <v>873.11462400000005</v>
      </c>
      <c r="G319" s="3">
        <v>1.6E-2</v>
      </c>
      <c r="I319" s="3" t="s">
        <v>192</v>
      </c>
      <c r="J319" s="3">
        <v>0.95</v>
      </c>
      <c r="K319" s="7">
        <v>967.34613000000002</v>
      </c>
      <c r="L319" s="3">
        <v>1E-3</v>
      </c>
      <c r="M319" s="3">
        <f t="shared" si="32"/>
        <v>0.7</v>
      </c>
      <c r="N319" s="5"/>
      <c r="O319" s="5"/>
      <c r="P319" s="5"/>
      <c r="Q319" s="5"/>
      <c r="S319" s="3" t="s">
        <v>192</v>
      </c>
      <c r="T319" s="3">
        <v>0.9</v>
      </c>
      <c r="U319" s="3">
        <v>0.5</v>
      </c>
      <c r="V319" s="3">
        <v>0.6</v>
      </c>
      <c r="W319" s="3">
        <v>0.28000000000000003</v>
      </c>
      <c r="X319" s="7">
        <v>769.28204300000004</v>
      </c>
      <c r="Y319" s="3">
        <v>3.5999999999999997E-2</v>
      </c>
      <c r="AA319" s="3" t="s">
        <v>192</v>
      </c>
      <c r="AB319" s="3">
        <v>0.14000000000000001</v>
      </c>
      <c r="AC319" s="6">
        <v>740.61425799999995</v>
      </c>
      <c r="AD319" s="3">
        <v>2E-3</v>
      </c>
      <c r="AE319" s="3">
        <f t="shared" si="33"/>
        <v>0.21000000000000002</v>
      </c>
      <c r="AF319" s="5"/>
      <c r="AG319" s="5"/>
      <c r="AH319" s="5"/>
      <c r="AI319" s="5"/>
      <c r="AK319" s="3" t="s">
        <v>193</v>
      </c>
      <c r="AL319" s="3">
        <v>0.9</v>
      </c>
      <c r="AM319" s="3">
        <v>0.5</v>
      </c>
      <c r="AN319" s="3">
        <v>0.6</v>
      </c>
      <c r="AO319" s="3">
        <v>0.1</v>
      </c>
      <c r="AP319" s="6">
        <v>985.97027600000001</v>
      </c>
      <c r="AQ319" s="3">
        <v>0.02</v>
      </c>
      <c r="AS319" s="3" t="s">
        <v>193</v>
      </c>
      <c r="AT319" s="3">
        <v>0.32</v>
      </c>
      <c r="AU319" s="7">
        <v>1116.768311</v>
      </c>
      <c r="AV319" s="3">
        <v>3.0000000000000001E-3</v>
      </c>
      <c r="AW319" s="3">
        <f t="shared" si="34"/>
        <v>0.21000000000000002</v>
      </c>
      <c r="AX319" s="5"/>
      <c r="AY319" s="5"/>
      <c r="AZ319" s="5"/>
      <c r="BA319" s="5"/>
      <c r="BC319" s="3" t="s">
        <v>193</v>
      </c>
      <c r="BD319" s="3">
        <v>0.9</v>
      </c>
      <c r="BE319" s="3">
        <v>0.5</v>
      </c>
      <c r="BF319" s="3">
        <v>0.6</v>
      </c>
      <c r="BG319" s="3">
        <v>0.39</v>
      </c>
      <c r="BH319" s="6">
        <v>1129.2817379999999</v>
      </c>
      <c r="BI319" s="3">
        <v>2.5000000000000001E-2</v>
      </c>
      <c r="BK319" s="3" t="s">
        <v>193</v>
      </c>
      <c r="BL319" s="3">
        <v>0.47</v>
      </c>
      <c r="BM319" s="7">
        <v>1175.3979489999999</v>
      </c>
      <c r="BN319" s="3">
        <v>4.0000000000000001E-3</v>
      </c>
      <c r="BO319" s="3">
        <f t="shared" si="35"/>
        <v>0.43</v>
      </c>
    </row>
    <row r="320" spans="1:67" x14ac:dyDescent="0.3">
      <c r="A320" s="9" t="s">
        <v>316</v>
      </c>
      <c r="E320" s="9">
        <f>AVERAGE(E290:E319)</f>
        <v>0.42366666666666664</v>
      </c>
      <c r="I320" s="9" t="s">
        <v>316</v>
      </c>
      <c r="J320" s="9">
        <f>AVERAGE(J290:J319)</f>
        <v>0.47399999999999992</v>
      </c>
      <c r="S320" s="9" t="s">
        <v>316</v>
      </c>
      <c r="W320" s="9">
        <f>AVERAGE(W290:W319)</f>
        <v>0.43299999999999994</v>
      </c>
      <c r="AA320" s="9" t="s">
        <v>316</v>
      </c>
      <c r="AB320" s="9">
        <f>AVERAGE(AB290:AB319)</f>
        <v>0.47799999999999998</v>
      </c>
      <c r="AK320" s="9" t="s">
        <v>316</v>
      </c>
      <c r="AO320" s="9">
        <f>AVERAGE(AO290:AO319)</f>
        <v>0.4986666666666667</v>
      </c>
      <c r="AS320" s="9" t="s">
        <v>316</v>
      </c>
      <c r="AT320" s="9">
        <f>AVERAGE(AT290:AT319)</f>
        <v>0.44933333333333342</v>
      </c>
      <c r="BC320" s="9" t="s">
        <v>316</v>
      </c>
      <c r="BG320" s="9">
        <f>AVERAGE(BG290:BG319)</f>
        <v>0.42333333333333328</v>
      </c>
      <c r="BK320" s="9" t="s">
        <v>316</v>
      </c>
      <c r="BL320" s="9">
        <f>AVERAGE(BL290:BL319)</f>
        <v>0.50700000000000001</v>
      </c>
    </row>
    <row r="321" spans="1:71" s="1" customFormat="1" x14ac:dyDescent="0.3"/>
    <row r="322" spans="1:71" x14ac:dyDescent="0.3">
      <c r="A322" s="20" t="s">
        <v>314</v>
      </c>
      <c r="B322" s="21"/>
      <c r="C322" s="21"/>
      <c r="D322" s="21"/>
      <c r="E322" s="21"/>
      <c r="F322" s="21"/>
      <c r="G322" s="22"/>
      <c r="I322" s="20" t="s">
        <v>315</v>
      </c>
      <c r="J322" s="21"/>
      <c r="K322" s="21"/>
      <c r="L322" s="21"/>
      <c r="M322" s="22"/>
      <c r="N322" s="11"/>
      <c r="O322" s="11"/>
      <c r="P322" s="11"/>
      <c r="Q322" s="11"/>
      <c r="S322" s="20" t="s">
        <v>314</v>
      </c>
      <c r="T322" s="21"/>
      <c r="U322" s="21"/>
      <c r="V322" s="21"/>
      <c r="W322" s="21"/>
      <c r="X322" s="21"/>
      <c r="Y322" s="22"/>
      <c r="AA322" s="20" t="s">
        <v>315</v>
      </c>
      <c r="AB322" s="21"/>
      <c r="AC322" s="21"/>
      <c r="AD322" s="21"/>
      <c r="AE322" s="22"/>
      <c r="AF322" s="11"/>
      <c r="AG322" s="11"/>
      <c r="AH322" s="11"/>
      <c r="AI322" s="11"/>
      <c r="AK322" s="20" t="s">
        <v>314</v>
      </c>
      <c r="AL322" s="21"/>
      <c r="AM322" s="21"/>
      <c r="AN322" s="21"/>
      <c r="AO322" s="21"/>
      <c r="AP322" s="21"/>
      <c r="AQ322" s="22"/>
      <c r="AS322" s="20" t="s">
        <v>315</v>
      </c>
      <c r="AT322" s="21"/>
      <c r="AU322" s="21"/>
      <c r="AV322" s="21"/>
      <c r="AW322" s="22"/>
      <c r="AX322" s="11"/>
      <c r="AY322" s="11"/>
      <c r="AZ322" s="11"/>
      <c r="BA322" s="11"/>
      <c r="BC322" s="20" t="s">
        <v>314</v>
      </c>
      <c r="BD322" s="21"/>
      <c r="BE322" s="21"/>
      <c r="BF322" s="21"/>
      <c r="BG322" s="21"/>
      <c r="BH322" s="21"/>
      <c r="BI322" s="22"/>
      <c r="BK322" s="20" t="s">
        <v>315</v>
      </c>
      <c r="BL322" s="21"/>
      <c r="BM322" s="21"/>
      <c r="BN322" s="21"/>
      <c r="BO322" s="22"/>
    </row>
    <row r="323" spans="1:71" x14ac:dyDescent="0.3">
      <c r="A323" s="3" t="s">
        <v>0</v>
      </c>
      <c r="B323" s="3"/>
      <c r="C323" s="3"/>
      <c r="D323" s="3"/>
      <c r="E323" s="3"/>
      <c r="F323" s="3"/>
      <c r="G323" s="3"/>
      <c r="I323" s="3" t="s">
        <v>0</v>
      </c>
      <c r="J323" s="3"/>
      <c r="K323" s="3"/>
      <c r="L323" s="3"/>
      <c r="M323" s="3"/>
      <c r="N323" s="5"/>
      <c r="O323" s="5"/>
      <c r="P323" s="5"/>
      <c r="Q323" s="5"/>
      <c r="S323" s="3" t="s">
        <v>1</v>
      </c>
      <c r="T323" s="3"/>
      <c r="U323" s="3"/>
      <c r="V323" s="3"/>
      <c r="W323" s="3"/>
      <c r="X323" s="3"/>
      <c r="Y323" s="3"/>
      <c r="AA323" s="3" t="s">
        <v>1</v>
      </c>
      <c r="AB323" s="3"/>
      <c r="AC323" s="3"/>
      <c r="AD323" s="3"/>
      <c r="AE323" s="3"/>
      <c r="AK323" s="3" t="s">
        <v>0</v>
      </c>
      <c r="AL323" s="3"/>
      <c r="AM323" s="3"/>
      <c r="AN323" s="3"/>
      <c r="AO323" s="3"/>
      <c r="AP323" s="3"/>
      <c r="AQ323" s="3"/>
      <c r="AS323" s="3" t="s">
        <v>317</v>
      </c>
      <c r="AT323" s="3"/>
      <c r="AU323" s="3"/>
      <c r="AV323" s="3"/>
      <c r="AW323" s="3"/>
      <c r="AX323" s="3" t="s">
        <v>322</v>
      </c>
      <c r="AY323" s="3" t="s">
        <v>323</v>
      </c>
      <c r="AZ323" s="3" t="s">
        <v>322</v>
      </c>
      <c r="BA323" s="3" t="s">
        <v>323</v>
      </c>
      <c r="BC323" s="3" t="s">
        <v>1</v>
      </c>
      <c r="BD323" s="3"/>
      <c r="BE323" s="3"/>
      <c r="BF323" s="3"/>
      <c r="BG323" s="3"/>
      <c r="BH323" s="3"/>
      <c r="BI323" s="3"/>
      <c r="BK323" s="3" t="s">
        <v>318</v>
      </c>
      <c r="BL323" s="3"/>
      <c r="BM323" s="3"/>
      <c r="BN323" s="3"/>
      <c r="BO323" s="3"/>
      <c r="BP323" s="3" t="s">
        <v>322</v>
      </c>
      <c r="BQ323" s="3" t="s">
        <v>323</v>
      </c>
      <c r="BR323" s="3" t="s">
        <v>322</v>
      </c>
      <c r="BS323" s="3" t="s">
        <v>323</v>
      </c>
    </row>
    <row r="324" spans="1:71" x14ac:dyDescent="0.3">
      <c r="A324" s="3" t="s">
        <v>2</v>
      </c>
      <c r="B324" s="3" t="s">
        <v>3</v>
      </c>
      <c r="C324" s="3" t="s">
        <v>4</v>
      </c>
      <c r="D324" s="3" t="s">
        <v>5</v>
      </c>
      <c r="E324" s="3" t="s">
        <v>6</v>
      </c>
      <c r="F324" s="3" t="s">
        <v>7</v>
      </c>
      <c r="G324" s="3" t="s">
        <v>8</v>
      </c>
      <c r="I324" s="3" t="s">
        <v>2</v>
      </c>
      <c r="J324" s="3" t="s">
        <v>6</v>
      </c>
      <c r="K324" s="3" t="s">
        <v>7</v>
      </c>
      <c r="L324" s="3" t="s">
        <v>8</v>
      </c>
      <c r="M324" s="3" t="s">
        <v>9</v>
      </c>
      <c r="N324" s="3" t="s">
        <v>322</v>
      </c>
      <c r="O324" s="3" t="s">
        <v>323</v>
      </c>
      <c r="P324" s="3" t="s">
        <v>322</v>
      </c>
      <c r="Q324" s="3" t="s">
        <v>323</v>
      </c>
      <c r="S324" s="3" t="s">
        <v>2</v>
      </c>
      <c r="T324" s="3" t="s">
        <v>3</v>
      </c>
      <c r="U324" s="3" t="s">
        <v>4</v>
      </c>
      <c r="V324" s="3" t="s">
        <v>5</v>
      </c>
      <c r="W324" s="3" t="s">
        <v>6</v>
      </c>
      <c r="X324" s="3" t="s">
        <v>7</v>
      </c>
      <c r="Y324" s="3" t="s">
        <v>8</v>
      </c>
      <c r="AA324" s="3" t="s">
        <v>2</v>
      </c>
      <c r="AB324" s="3" t="s">
        <v>6</v>
      </c>
      <c r="AC324" s="3" t="s">
        <v>7</v>
      </c>
      <c r="AD324" s="3" t="s">
        <v>8</v>
      </c>
      <c r="AE324" s="3" t="s">
        <v>9</v>
      </c>
      <c r="AF324" s="3" t="s">
        <v>322</v>
      </c>
      <c r="AG324" s="3" t="s">
        <v>323</v>
      </c>
      <c r="AH324" s="3" t="s">
        <v>322</v>
      </c>
      <c r="AI324" s="3" t="s">
        <v>323</v>
      </c>
      <c r="AK324" s="3" t="s">
        <v>2</v>
      </c>
      <c r="AL324" s="3" t="s">
        <v>3</v>
      </c>
      <c r="AM324" s="3" t="s">
        <v>4</v>
      </c>
      <c r="AN324" s="3" t="s">
        <v>5</v>
      </c>
      <c r="AO324" s="3" t="s">
        <v>6</v>
      </c>
      <c r="AP324" s="3" t="s">
        <v>7</v>
      </c>
      <c r="AQ324" s="3" t="s">
        <v>8</v>
      </c>
      <c r="AS324" s="3" t="s">
        <v>2</v>
      </c>
      <c r="AT324" s="3" t="s">
        <v>6</v>
      </c>
      <c r="AU324" s="3" t="s">
        <v>7</v>
      </c>
      <c r="AV324" s="3" t="s">
        <v>8</v>
      </c>
      <c r="AW324" s="3" t="s">
        <v>9</v>
      </c>
      <c r="AX324" s="4" t="s">
        <v>320</v>
      </c>
      <c r="AY324" s="4" t="s">
        <v>320</v>
      </c>
      <c r="AZ324" s="4" t="s">
        <v>321</v>
      </c>
      <c r="BA324" s="4" t="s">
        <v>321</v>
      </c>
      <c r="BC324" s="3" t="s">
        <v>2</v>
      </c>
      <c r="BD324" s="3" t="s">
        <v>3</v>
      </c>
      <c r="BE324" s="3" t="s">
        <v>4</v>
      </c>
      <c r="BF324" s="3" t="s">
        <v>5</v>
      </c>
      <c r="BG324" s="3" t="s">
        <v>6</v>
      </c>
      <c r="BH324" s="3" t="s">
        <v>7</v>
      </c>
      <c r="BI324" s="3" t="s">
        <v>8</v>
      </c>
      <c r="BK324" s="3" t="s">
        <v>2</v>
      </c>
      <c r="BL324" s="3" t="s">
        <v>6</v>
      </c>
      <c r="BM324" s="3" t="s">
        <v>7</v>
      </c>
      <c r="BN324" s="3" t="s">
        <v>8</v>
      </c>
      <c r="BO324" s="3" t="s">
        <v>9</v>
      </c>
      <c r="BP324" s="4" t="s">
        <v>320</v>
      </c>
      <c r="BQ324" s="4" t="s">
        <v>320</v>
      </c>
      <c r="BR324" s="4" t="s">
        <v>321</v>
      </c>
      <c r="BS324" s="4" t="s">
        <v>321</v>
      </c>
    </row>
    <row r="325" spans="1:71" x14ac:dyDescent="0.3">
      <c r="A325" s="3" t="s">
        <v>194</v>
      </c>
      <c r="B325" s="3">
        <v>0.9</v>
      </c>
      <c r="C325" s="3">
        <v>0.5</v>
      </c>
      <c r="D325" s="3">
        <v>0.6</v>
      </c>
      <c r="E325" s="3">
        <v>0.01</v>
      </c>
      <c r="F325" s="6">
        <v>660.891479</v>
      </c>
      <c r="G325" s="3">
        <v>1.4E-2</v>
      </c>
      <c r="I325" s="3" t="s">
        <v>194</v>
      </c>
      <c r="J325" s="3">
        <v>0.01</v>
      </c>
      <c r="K325" s="6">
        <v>660.891479</v>
      </c>
      <c r="L325" s="3">
        <v>3.0000000000000001E-3</v>
      </c>
      <c r="M325" s="3">
        <f t="shared" ref="M325:M354" si="36">AVERAGE(E325,J325)</f>
        <v>0.01</v>
      </c>
      <c r="N325" s="4" t="s">
        <v>320</v>
      </c>
      <c r="O325" s="4" t="s">
        <v>320</v>
      </c>
      <c r="P325" s="4" t="s">
        <v>321</v>
      </c>
      <c r="Q325" s="4" t="s">
        <v>321</v>
      </c>
      <c r="S325" s="3" t="s">
        <v>194</v>
      </c>
      <c r="T325" s="3">
        <v>0.9</v>
      </c>
      <c r="U325" s="3">
        <v>0.5</v>
      </c>
      <c r="V325" s="3">
        <v>0.6</v>
      </c>
      <c r="W325" s="3">
        <v>0.01</v>
      </c>
      <c r="X325" s="6">
        <v>641.78924600000005</v>
      </c>
      <c r="Y325" s="3">
        <v>1.7000000000000001E-2</v>
      </c>
      <c r="AA325" s="3" t="s">
        <v>194</v>
      </c>
      <c r="AB325" s="3">
        <v>0.01</v>
      </c>
      <c r="AC325" s="6">
        <v>641.78924600000005</v>
      </c>
      <c r="AD325" s="3">
        <v>1E-3</v>
      </c>
      <c r="AE325" s="3">
        <f t="shared" ref="AE325:AE354" si="37">AVERAGE(W325,AB325)</f>
        <v>0.01</v>
      </c>
      <c r="AF325" s="4" t="s">
        <v>320</v>
      </c>
      <c r="AG325" s="4" t="s">
        <v>320</v>
      </c>
      <c r="AH325" s="4" t="s">
        <v>321</v>
      </c>
      <c r="AI325" s="4" t="s">
        <v>321</v>
      </c>
      <c r="AK325" s="3" t="s">
        <v>195</v>
      </c>
      <c r="AL325" s="3">
        <v>0.9</v>
      </c>
      <c r="AM325" s="3">
        <v>0.5</v>
      </c>
      <c r="AN325" s="3">
        <v>0.6</v>
      </c>
      <c r="AO325" s="3">
        <v>0.01</v>
      </c>
      <c r="AP325" s="6">
        <v>830.61834699999997</v>
      </c>
      <c r="AQ325" s="3">
        <v>3.2000000000000001E-2</v>
      </c>
      <c r="AS325" s="3" t="s">
        <v>195</v>
      </c>
      <c r="AT325" s="3">
        <v>0.01</v>
      </c>
      <c r="AU325" s="6">
        <v>830.61834699999997</v>
      </c>
      <c r="AV325" s="3">
        <v>6.0000000000000001E-3</v>
      </c>
      <c r="AW325" s="3">
        <f t="shared" ref="AW325:AW354" si="38">AVERAGE(AO325,AT325)</f>
        <v>0.01</v>
      </c>
      <c r="AX325" s="3">
        <f>COUNT(AP325,AP329,AP334:AP336,AP338,AP342:AP344,AP347,AP349:AP351,AP353)</f>
        <v>14</v>
      </c>
      <c r="AY325" s="3">
        <f>30-AX325</f>
        <v>16</v>
      </c>
      <c r="AZ325" s="3">
        <f>COUNT(AU325:AU328,AU330:AU333,AU337,AU339:AU341,AU345:AU346,AU348,AU352,AU354)</f>
        <v>17</v>
      </c>
      <c r="BA325" s="3">
        <f>30-AZ325</f>
        <v>13</v>
      </c>
      <c r="BC325" s="3" t="s">
        <v>195</v>
      </c>
      <c r="BD325" s="3">
        <v>0.9</v>
      </c>
      <c r="BE325" s="3">
        <v>0.5</v>
      </c>
      <c r="BF325" s="3">
        <v>0.6</v>
      </c>
      <c r="BG325" s="3">
        <v>0.01</v>
      </c>
      <c r="BH325" s="6">
        <v>760.58209199999999</v>
      </c>
      <c r="BI325" s="3">
        <v>1.4999999999999999E-2</v>
      </c>
      <c r="BK325" s="3" t="s">
        <v>195</v>
      </c>
      <c r="BL325" s="3">
        <v>0.01</v>
      </c>
      <c r="BM325" s="6">
        <v>760.58209199999999</v>
      </c>
      <c r="BN325" s="3">
        <v>1E-3</v>
      </c>
      <c r="BO325" s="3">
        <f t="shared" ref="BO325:BO354" si="39">AVERAGE(BG325,BL325)</f>
        <v>0.01</v>
      </c>
      <c r="BP325" s="3">
        <f>COUNT(BH325,BH328:BH331,BH333:BH334,BH336,BH339,BH341:BH348,BH350:BH352,BH354)</f>
        <v>21</v>
      </c>
      <c r="BQ325" s="3">
        <f>30-BP325</f>
        <v>9</v>
      </c>
      <c r="BR325" s="3">
        <f>COUNT(BM325:BM327,BM332,BM335,BM337:BM338,BM340,BM349,BM353)</f>
        <v>10</v>
      </c>
      <c r="BS325" s="3">
        <f>30-BR325</f>
        <v>20</v>
      </c>
    </row>
    <row r="326" spans="1:71" x14ac:dyDescent="0.3">
      <c r="A326" s="3" t="s">
        <v>196</v>
      </c>
      <c r="B326" s="3">
        <v>0.9</v>
      </c>
      <c r="C326" s="3">
        <v>0.5</v>
      </c>
      <c r="D326" s="3">
        <v>0.6</v>
      </c>
      <c r="E326" s="3">
        <v>0.26</v>
      </c>
      <c r="F326" s="6">
        <v>628.17627000000005</v>
      </c>
      <c r="G326" s="3">
        <v>0.02</v>
      </c>
      <c r="I326" s="3" t="s">
        <v>196</v>
      </c>
      <c r="J326" s="3">
        <v>0.56999999999999995</v>
      </c>
      <c r="K326" s="7">
        <v>699.32641599999999</v>
      </c>
      <c r="L326" s="3">
        <v>1E-3</v>
      </c>
      <c r="M326" s="3">
        <f t="shared" si="36"/>
        <v>0.41499999999999998</v>
      </c>
      <c r="N326" s="3">
        <f>COUNT(F325:F327,F330,F332,F335,F337:F341,F344:F346,F349,F351,F354)</f>
        <v>17</v>
      </c>
      <c r="O326" s="3">
        <f>COUNT(F328:F329,F331,F333:F334,F336,F342:F343,F347:F348,F350,F352:F353)</f>
        <v>13</v>
      </c>
      <c r="P326" s="3">
        <f>COUNT(K325,K328:K329,K331,K333:K334,K336,K342:K343,K347:K348,K350,K352:K354)</f>
        <v>15</v>
      </c>
      <c r="Q326" s="3">
        <f>COUNT(K326:K327,K330,K332,K335,K337:K341,K344:K346,K349,K351)</f>
        <v>15</v>
      </c>
      <c r="S326" s="3" t="s">
        <v>196</v>
      </c>
      <c r="T326" s="3">
        <v>0.9</v>
      </c>
      <c r="U326" s="3">
        <v>0.5</v>
      </c>
      <c r="V326" s="3">
        <v>0.6</v>
      </c>
      <c r="W326" s="3">
        <v>0.04</v>
      </c>
      <c r="X326" s="6">
        <v>556.16241500000001</v>
      </c>
      <c r="Y326" s="3">
        <v>7.0000000000000001E-3</v>
      </c>
      <c r="AA326" s="3" t="s">
        <v>196</v>
      </c>
      <c r="AB326" s="3">
        <v>0.46</v>
      </c>
      <c r="AC326" s="7">
        <v>642.566956</v>
      </c>
      <c r="AD326" s="3">
        <v>0</v>
      </c>
      <c r="AE326" s="3">
        <f t="shared" si="37"/>
        <v>0.25</v>
      </c>
      <c r="AF326" s="3">
        <f>COUNT(X325:X326,X328,X335:X341,X348:X350,X352,X354)</f>
        <v>15</v>
      </c>
      <c r="AG326" s="3">
        <f>COUNT(X327,X329:X334,X342:X347,X351,X353)</f>
        <v>15</v>
      </c>
      <c r="AH326" s="3">
        <f>COUNT(AC325,AC327,AC329:AC334,AC342:AC347,AC351,AC353)</f>
        <v>16</v>
      </c>
      <c r="AI326" s="3">
        <f>COUNT(AC326,AC328,AC335:AC341,AC348:AC350,AC352,AC354)</f>
        <v>14</v>
      </c>
      <c r="AK326" s="3" t="s">
        <v>197</v>
      </c>
      <c r="AL326" s="3">
        <v>0.9</v>
      </c>
      <c r="AM326" s="3">
        <v>0.5</v>
      </c>
      <c r="AN326" s="3">
        <v>0.6</v>
      </c>
      <c r="AO326" s="3">
        <v>0.32</v>
      </c>
      <c r="AP326" s="7">
        <v>950.97778300000004</v>
      </c>
      <c r="AQ326" s="3">
        <v>1.7999999999999999E-2</v>
      </c>
      <c r="AS326" s="3" t="s">
        <v>197</v>
      </c>
      <c r="AT326" s="3">
        <v>0.31</v>
      </c>
      <c r="AU326" s="6">
        <v>942.23364300000003</v>
      </c>
      <c r="AV326" s="3">
        <v>3.0000000000000001E-3</v>
      </c>
      <c r="AW326" s="3">
        <f t="shared" si="38"/>
        <v>0.315</v>
      </c>
      <c r="AX326" s="5"/>
      <c r="AY326" s="5"/>
      <c r="AZ326" s="5"/>
      <c r="BA326" s="5"/>
      <c r="BC326" s="3" t="s">
        <v>197</v>
      </c>
      <c r="BD326" s="3">
        <v>0.9</v>
      </c>
      <c r="BE326" s="3">
        <v>0.5</v>
      </c>
      <c r="BF326" s="3">
        <v>0.6</v>
      </c>
      <c r="BG326" s="3">
        <v>0.55000000000000004</v>
      </c>
      <c r="BH326" s="7">
        <v>965.54949999999997</v>
      </c>
      <c r="BI326" s="3">
        <v>0.03</v>
      </c>
      <c r="BK326" s="3" t="s">
        <v>197</v>
      </c>
      <c r="BL326" s="3">
        <v>0.02</v>
      </c>
      <c r="BM326" s="6">
        <v>728.60125700000003</v>
      </c>
      <c r="BN326" s="3">
        <v>2E-3</v>
      </c>
      <c r="BO326" s="3">
        <f t="shared" si="39"/>
        <v>0.28500000000000003</v>
      </c>
    </row>
    <row r="327" spans="1:71" x14ac:dyDescent="0.3">
      <c r="A327" s="3" t="s">
        <v>198</v>
      </c>
      <c r="B327" s="3">
        <v>0.9</v>
      </c>
      <c r="C327" s="3">
        <v>0.5</v>
      </c>
      <c r="D327" s="3">
        <v>0.6</v>
      </c>
      <c r="E327" s="3">
        <v>0.27</v>
      </c>
      <c r="F327" s="6">
        <v>625.83960000000002</v>
      </c>
      <c r="G327" s="3">
        <v>1.2999999999999999E-2</v>
      </c>
      <c r="I327" s="3" t="s">
        <v>198</v>
      </c>
      <c r="J327" s="3">
        <v>0.98</v>
      </c>
      <c r="K327" s="7">
        <v>710.02685499999995</v>
      </c>
      <c r="L327" s="3">
        <v>2E-3</v>
      </c>
      <c r="M327" s="3">
        <f t="shared" si="36"/>
        <v>0.625</v>
      </c>
      <c r="N327" s="5"/>
      <c r="O327" s="5"/>
      <c r="P327" s="5"/>
      <c r="Q327" s="5"/>
      <c r="S327" s="3" t="s">
        <v>198</v>
      </c>
      <c r="T327" s="3">
        <v>0.9</v>
      </c>
      <c r="U327" s="3">
        <v>0.5</v>
      </c>
      <c r="V327" s="3">
        <v>0.6</v>
      </c>
      <c r="W327" s="3">
        <v>0.94</v>
      </c>
      <c r="X327" s="7">
        <v>679.36816399999998</v>
      </c>
      <c r="Y327" s="3">
        <v>1.0999999999999999E-2</v>
      </c>
      <c r="AA327" s="3" t="s">
        <v>198</v>
      </c>
      <c r="AB327" s="3">
        <v>0.14000000000000001</v>
      </c>
      <c r="AC327" s="6">
        <v>542.96319600000004</v>
      </c>
      <c r="AD327" s="3">
        <v>3.0000000000000001E-3</v>
      </c>
      <c r="AE327" s="3">
        <f t="shared" si="37"/>
        <v>0.54</v>
      </c>
      <c r="AF327" s="5"/>
      <c r="AG327" s="5"/>
      <c r="AH327" s="5"/>
      <c r="AI327" s="5"/>
      <c r="AK327" s="3" t="s">
        <v>199</v>
      </c>
      <c r="AL327" s="3">
        <v>0.9</v>
      </c>
      <c r="AM327" s="3">
        <v>0.5</v>
      </c>
      <c r="AN327" s="3">
        <v>0.6</v>
      </c>
      <c r="AO327" s="3">
        <v>0.89</v>
      </c>
      <c r="AP327" s="7">
        <v>1123.2719729999999</v>
      </c>
      <c r="AQ327" s="3">
        <v>3.5999999999999997E-2</v>
      </c>
      <c r="AS327" s="3" t="s">
        <v>199</v>
      </c>
      <c r="AT327" s="3">
        <v>0.78</v>
      </c>
      <c r="AU327" s="6">
        <v>1108.3870850000001</v>
      </c>
      <c r="AV327" s="3">
        <v>3.0000000000000001E-3</v>
      </c>
      <c r="AW327" s="3">
        <f t="shared" si="38"/>
        <v>0.83499999999999996</v>
      </c>
      <c r="AX327" s="5"/>
      <c r="AY327" s="5"/>
      <c r="AZ327" s="5"/>
      <c r="BA327" s="5"/>
      <c r="BC327" s="3" t="s">
        <v>199</v>
      </c>
      <c r="BD327" s="3">
        <v>0.9</v>
      </c>
      <c r="BE327" s="3">
        <v>0.5</v>
      </c>
      <c r="BF327" s="3">
        <v>0.6</v>
      </c>
      <c r="BG327" s="3">
        <v>0.97</v>
      </c>
      <c r="BH327" s="7">
        <v>1109.735107</v>
      </c>
      <c r="BI327" s="3">
        <v>1.7000000000000001E-2</v>
      </c>
      <c r="BK327" s="3" t="s">
        <v>199</v>
      </c>
      <c r="BL327" s="3">
        <v>0.35</v>
      </c>
      <c r="BM327" s="6">
        <v>927.644409</v>
      </c>
      <c r="BN327" s="3">
        <v>3.0000000000000001E-3</v>
      </c>
      <c r="BO327" s="3">
        <f t="shared" si="39"/>
        <v>0.65999999999999992</v>
      </c>
    </row>
    <row r="328" spans="1:71" x14ac:dyDescent="0.3">
      <c r="A328" s="3" t="s">
        <v>200</v>
      </c>
      <c r="B328" s="3">
        <v>0.9</v>
      </c>
      <c r="C328" s="3">
        <v>0.5</v>
      </c>
      <c r="D328" s="3">
        <v>0.6</v>
      </c>
      <c r="E328" s="3">
        <v>0.28000000000000003</v>
      </c>
      <c r="F328" s="7">
        <v>592.60784899999999</v>
      </c>
      <c r="G328" s="3">
        <v>1.4E-2</v>
      </c>
      <c r="I328" s="3" t="s">
        <v>200</v>
      </c>
      <c r="J328" s="3">
        <v>0.12</v>
      </c>
      <c r="K328" s="6">
        <v>542.16680899999994</v>
      </c>
      <c r="L328" s="3">
        <v>2E-3</v>
      </c>
      <c r="M328" s="3">
        <f t="shared" si="36"/>
        <v>0.2</v>
      </c>
      <c r="N328" s="5"/>
      <c r="O328" s="5"/>
      <c r="P328" s="5"/>
      <c r="Q328" s="5"/>
      <c r="S328" s="3" t="s">
        <v>200</v>
      </c>
      <c r="T328" s="3">
        <v>0.9</v>
      </c>
      <c r="U328" s="3">
        <v>0.5</v>
      </c>
      <c r="V328" s="3">
        <v>0.6</v>
      </c>
      <c r="W328" s="3">
        <v>0.35</v>
      </c>
      <c r="X328" s="6">
        <v>545.64605700000004</v>
      </c>
      <c r="Y328" s="3">
        <v>1.0999999999999999E-2</v>
      </c>
      <c r="AA328" s="3" t="s">
        <v>200</v>
      </c>
      <c r="AB328" s="3">
        <v>0.92</v>
      </c>
      <c r="AC328" s="7">
        <v>641.10125700000003</v>
      </c>
      <c r="AD328" s="3">
        <v>1E-3</v>
      </c>
      <c r="AE328" s="3">
        <f t="shared" si="37"/>
        <v>0.63500000000000001</v>
      </c>
      <c r="AF328" s="5"/>
      <c r="AG328" s="5"/>
      <c r="AH328" s="5"/>
      <c r="AI328" s="5"/>
      <c r="AK328" s="3" t="s">
        <v>201</v>
      </c>
      <c r="AL328" s="3">
        <v>0.9</v>
      </c>
      <c r="AM328" s="3">
        <v>0.5</v>
      </c>
      <c r="AN328" s="3">
        <v>0.6</v>
      </c>
      <c r="AO328" s="3">
        <v>0.61</v>
      </c>
      <c r="AP328" s="7">
        <v>1111.361938</v>
      </c>
      <c r="AQ328" s="3">
        <v>1.6E-2</v>
      </c>
      <c r="AS328" s="3" t="s">
        <v>201</v>
      </c>
      <c r="AT328" s="3">
        <v>0.61</v>
      </c>
      <c r="AU328" s="6">
        <v>1109.5736079999999</v>
      </c>
      <c r="AV328" s="3">
        <v>1.0999999999999999E-2</v>
      </c>
      <c r="AW328" s="3">
        <f t="shared" si="38"/>
        <v>0.61</v>
      </c>
      <c r="AX328" s="5"/>
      <c r="AY328" s="5"/>
      <c r="AZ328" s="5"/>
      <c r="BA328" s="5"/>
      <c r="BC328" s="3" t="s">
        <v>201</v>
      </c>
      <c r="BD328" s="3">
        <v>0.9</v>
      </c>
      <c r="BE328" s="3">
        <v>0.5</v>
      </c>
      <c r="BF328" s="3">
        <v>0.6</v>
      </c>
      <c r="BG328" s="3">
        <v>0.14000000000000001</v>
      </c>
      <c r="BH328" s="6">
        <v>860.91711399999997</v>
      </c>
      <c r="BI328" s="3">
        <v>2.1999999999999999E-2</v>
      </c>
      <c r="BK328" s="3" t="s">
        <v>201</v>
      </c>
      <c r="BL328" s="3">
        <v>0.14000000000000001</v>
      </c>
      <c r="BM328" s="7">
        <v>864.44775400000003</v>
      </c>
      <c r="BN328" s="3">
        <v>3.0000000000000001E-3</v>
      </c>
      <c r="BO328" s="3">
        <f t="shared" si="39"/>
        <v>0.14000000000000001</v>
      </c>
    </row>
    <row r="329" spans="1:71" x14ac:dyDescent="0.3">
      <c r="A329" s="3" t="s">
        <v>202</v>
      </c>
      <c r="B329" s="3">
        <v>0.9</v>
      </c>
      <c r="C329" s="3">
        <v>0.5</v>
      </c>
      <c r="D329" s="3">
        <v>0.6</v>
      </c>
      <c r="E329" s="3">
        <v>0.9</v>
      </c>
      <c r="F329" s="7">
        <v>713.09594700000002</v>
      </c>
      <c r="G329" s="3">
        <v>0.02</v>
      </c>
      <c r="I329" s="3" t="s">
        <v>202</v>
      </c>
      <c r="J329" s="3">
        <v>0.75</v>
      </c>
      <c r="K329" s="6">
        <v>685.11621100000002</v>
      </c>
      <c r="L329" s="3">
        <v>1.4999999999999999E-2</v>
      </c>
      <c r="M329" s="3">
        <f t="shared" si="36"/>
        <v>0.82499999999999996</v>
      </c>
      <c r="N329" s="5"/>
      <c r="O329" s="5"/>
      <c r="P329" s="5"/>
      <c r="Q329" s="5"/>
      <c r="S329" s="3" t="s">
        <v>202</v>
      </c>
      <c r="T329" s="3">
        <v>0.9</v>
      </c>
      <c r="U329" s="3">
        <v>0.5</v>
      </c>
      <c r="V329" s="3">
        <v>0.6</v>
      </c>
      <c r="W329" s="3">
        <v>0.78</v>
      </c>
      <c r="X329" s="7">
        <v>640.15783699999997</v>
      </c>
      <c r="Y329" s="3">
        <v>1.4E-2</v>
      </c>
      <c r="AA329" s="3" t="s">
        <v>202</v>
      </c>
      <c r="AB329" s="3">
        <v>0.18</v>
      </c>
      <c r="AC329" s="6">
        <v>480.684326</v>
      </c>
      <c r="AD329" s="3">
        <v>1E-3</v>
      </c>
      <c r="AE329" s="3">
        <f t="shared" si="37"/>
        <v>0.48</v>
      </c>
      <c r="AF329" s="5"/>
      <c r="AG329" s="5"/>
      <c r="AH329" s="5"/>
      <c r="AI329" s="5"/>
      <c r="AK329" s="3" t="s">
        <v>203</v>
      </c>
      <c r="AL329" s="3">
        <v>0.9</v>
      </c>
      <c r="AM329" s="3">
        <v>0.5</v>
      </c>
      <c r="AN329" s="3">
        <v>0.6</v>
      </c>
      <c r="AO329" s="3">
        <v>0.1</v>
      </c>
      <c r="AP329" s="6">
        <v>831.826233</v>
      </c>
      <c r="AQ329" s="3">
        <v>1.7999999999999999E-2</v>
      </c>
      <c r="AS329" s="3" t="s">
        <v>203</v>
      </c>
      <c r="AT329" s="3">
        <v>0.91</v>
      </c>
      <c r="AU329" s="7">
        <v>1083.3989260000001</v>
      </c>
      <c r="AV329" s="3">
        <v>3.0000000000000001E-3</v>
      </c>
      <c r="AW329" s="3">
        <f t="shared" si="38"/>
        <v>0.505</v>
      </c>
      <c r="AX329" s="5"/>
      <c r="AY329" s="5"/>
      <c r="AZ329" s="5"/>
      <c r="BA329" s="5"/>
      <c r="BC329" s="3" t="s">
        <v>203</v>
      </c>
      <c r="BD329" s="3">
        <v>0.9</v>
      </c>
      <c r="BE329" s="3">
        <v>0.5</v>
      </c>
      <c r="BF329" s="3">
        <v>0.6</v>
      </c>
      <c r="BG329" s="3">
        <v>0.09</v>
      </c>
      <c r="BH329" s="6">
        <v>768.32519500000001</v>
      </c>
      <c r="BI329" s="3">
        <v>2.4E-2</v>
      </c>
      <c r="BK329" s="3" t="s">
        <v>203</v>
      </c>
      <c r="BL329" s="3">
        <v>0.38</v>
      </c>
      <c r="BM329" s="7">
        <v>944.02978499999995</v>
      </c>
      <c r="BN329" s="3">
        <v>1E-3</v>
      </c>
      <c r="BO329" s="3">
        <f t="shared" si="39"/>
        <v>0.23499999999999999</v>
      </c>
    </row>
    <row r="330" spans="1:71" x14ac:dyDescent="0.3">
      <c r="A330" s="3" t="s">
        <v>204</v>
      </c>
      <c r="B330" s="3">
        <v>0.9</v>
      </c>
      <c r="C330" s="3">
        <v>0.5</v>
      </c>
      <c r="D330" s="3">
        <v>0.6</v>
      </c>
      <c r="E330" s="3">
        <v>0.2</v>
      </c>
      <c r="F330" s="6">
        <v>616.376892</v>
      </c>
      <c r="G330" s="3">
        <v>3.1E-2</v>
      </c>
      <c r="I330" s="3" t="s">
        <v>204</v>
      </c>
      <c r="J330" s="3">
        <v>0.68</v>
      </c>
      <c r="K330" s="7">
        <v>704.42443800000001</v>
      </c>
      <c r="L330" s="3">
        <v>2E-3</v>
      </c>
      <c r="M330" s="3">
        <f t="shared" si="36"/>
        <v>0.44000000000000006</v>
      </c>
      <c r="N330" s="5"/>
      <c r="O330" s="5"/>
      <c r="P330" s="5"/>
      <c r="Q330" s="5"/>
      <c r="S330" s="3" t="s">
        <v>204</v>
      </c>
      <c r="T330" s="3">
        <v>0.9</v>
      </c>
      <c r="U330" s="3">
        <v>0.5</v>
      </c>
      <c r="V330" s="3">
        <v>0.6</v>
      </c>
      <c r="W330" s="3">
        <v>0.52</v>
      </c>
      <c r="X330" s="7">
        <v>659.82250999999997</v>
      </c>
      <c r="Y330" s="3">
        <v>1.6E-2</v>
      </c>
      <c r="AA330" s="3" t="s">
        <v>204</v>
      </c>
      <c r="AB330" s="3">
        <v>0.05</v>
      </c>
      <c r="AC330" s="6">
        <v>540.36261000000002</v>
      </c>
      <c r="AD330" s="3">
        <v>5.0000000000000001E-3</v>
      </c>
      <c r="AE330" s="3">
        <f t="shared" si="37"/>
        <v>0.28500000000000003</v>
      </c>
      <c r="AF330" s="5"/>
      <c r="AG330" s="5"/>
      <c r="AH330" s="5"/>
      <c r="AI330" s="5"/>
      <c r="AK330" s="3" t="s">
        <v>205</v>
      </c>
      <c r="AL330" s="3">
        <v>0.9</v>
      </c>
      <c r="AM330" s="3">
        <v>0.5</v>
      </c>
      <c r="AN330" s="3">
        <v>0.6</v>
      </c>
      <c r="AO330" s="3">
        <v>0.39</v>
      </c>
      <c r="AP330" s="7">
        <v>1018.575134</v>
      </c>
      <c r="AQ330" s="3">
        <v>2.7E-2</v>
      </c>
      <c r="AS330" s="3" t="s">
        <v>205</v>
      </c>
      <c r="AT330" s="3">
        <v>0.18</v>
      </c>
      <c r="AU330" s="6">
        <v>862.76666299999999</v>
      </c>
      <c r="AV330" s="3">
        <v>5.0000000000000001E-3</v>
      </c>
      <c r="AW330" s="3">
        <f t="shared" si="38"/>
        <v>0.28500000000000003</v>
      </c>
      <c r="AX330" s="5"/>
      <c r="AY330" s="5"/>
      <c r="AZ330" s="5"/>
      <c r="BA330" s="5"/>
      <c r="BC330" s="3" t="s">
        <v>205</v>
      </c>
      <c r="BD330" s="3">
        <v>0.9</v>
      </c>
      <c r="BE330" s="3">
        <v>0.5</v>
      </c>
      <c r="BF330" s="3">
        <v>0.6</v>
      </c>
      <c r="BG330" s="3">
        <v>0.68</v>
      </c>
      <c r="BH330" s="6">
        <v>1023.1779790000001</v>
      </c>
      <c r="BI330" s="3">
        <v>1.7000000000000001E-2</v>
      </c>
      <c r="BK330" s="3" t="s">
        <v>205</v>
      </c>
      <c r="BL330" s="3">
        <v>0.75</v>
      </c>
      <c r="BM330" s="7">
        <v>1054.809814</v>
      </c>
      <c r="BN330" s="3">
        <v>8.0000000000000002E-3</v>
      </c>
      <c r="BO330" s="3">
        <f t="shared" si="39"/>
        <v>0.71500000000000008</v>
      </c>
    </row>
    <row r="331" spans="1:71" x14ac:dyDescent="0.3">
      <c r="A331" s="3" t="s">
        <v>206</v>
      </c>
      <c r="B331" s="3">
        <v>0.9</v>
      </c>
      <c r="C331" s="3">
        <v>0.5</v>
      </c>
      <c r="D331" s="3">
        <v>0.6</v>
      </c>
      <c r="E331" s="3">
        <v>0.81</v>
      </c>
      <c r="F331" s="7">
        <v>701.19378700000004</v>
      </c>
      <c r="G331" s="3">
        <v>2.4E-2</v>
      </c>
      <c r="I331" s="3" t="s">
        <v>206</v>
      </c>
      <c r="J331" s="3">
        <v>0.41</v>
      </c>
      <c r="K331" s="6">
        <v>666.80023200000005</v>
      </c>
      <c r="L331" s="3">
        <v>2E-3</v>
      </c>
      <c r="M331" s="3">
        <f t="shared" si="36"/>
        <v>0.61</v>
      </c>
      <c r="N331" s="5"/>
      <c r="O331" s="5"/>
      <c r="P331" s="5"/>
      <c r="Q331" s="5"/>
      <c r="S331" s="3" t="s">
        <v>206</v>
      </c>
      <c r="T331" s="3">
        <v>0.9</v>
      </c>
      <c r="U331" s="3">
        <v>0.5</v>
      </c>
      <c r="V331" s="3">
        <v>0.6</v>
      </c>
      <c r="W331" s="3">
        <v>0.68</v>
      </c>
      <c r="X331" s="7">
        <v>665.25054899999998</v>
      </c>
      <c r="Y331" s="3">
        <v>6.0000000000000001E-3</v>
      </c>
      <c r="AA331" s="3" t="s">
        <v>206</v>
      </c>
      <c r="AB331" s="3">
        <v>0.36</v>
      </c>
      <c r="AC331" s="6">
        <v>625.47833300000002</v>
      </c>
      <c r="AD331" s="3">
        <v>3.0000000000000001E-3</v>
      </c>
      <c r="AE331" s="3">
        <f t="shared" si="37"/>
        <v>0.52</v>
      </c>
      <c r="AF331" s="5"/>
      <c r="AG331" s="5"/>
      <c r="AH331" s="5"/>
      <c r="AI331" s="5"/>
      <c r="AK331" s="3" t="s">
        <v>207</v>
      </c>
      <c r="AL331" s="3">
        <v>0.9</v>
      </c>
      <c r="AM331" s="3">
        <v>0.5</v>
      </c>
      <c r="AN331" s="3">
        <v>0.6</v>
      </c>
      <c r="AO331" s="3">
        <v>0.91</v>
      </c>
      <c r="AP331" s="7">
        <v>1019.6345209999999</v>
      </c>
      <c r="AQ331" s="3">
        <v>2.5000000000000001E-2</v>
      </c>
      <c r="AS331" s="3" t="s">
        <v>207</v>
      </c>
      <c r="AT331" s="3">
        <v>0.28999999999999998</v>
      </c>
      <c r="AU331" s="6">
        <v>863.577271</v>
      </c>
      <c r="AV331" s="3">
        <v>4.0000000000000001E-3</v>
      </c>
      <c r="AW331" s="3">
        <f t="shared" si="38"/>
        <v>0.6</v>
      </c>
      <c r="AX331" s="5"/>
      <c r="AY331" s="5"/>
      <c r="AZ331" s="5"/>
      <c r="BA331" s="5"/>
      <c r="BC331" s="3" t="s">
        <v>207</v>
      </c>
      <c r="BD331" s="3">
        <v>0.9</v>
      </c>
      <c r="BE331" s="3">
        <v>0.5</v>
      </c>
      <c r="BF331" s="3">
        <v>0.6</v>
      </c>
      <c r="BG331" s="3">
        <v>0.57999999999999996</v>
      </c>
      <c r="BH331" s="6">
        <v>926.701233</v>
      </c>
      <c r="BI331" s="3">
        <v>1.7999999999999999E-2</v>
      </c>
      <c r="BK331" s="3" t="s">
        <v>207</v>
      </c>
      <c r="BL331" s="3">
        <v>0.67</v>
      </c>
      <c r="BM331" s="7">
        <v>941.69305399999996</v>
      </c>
      <c r="BN331" s="3">
        <v>3.0000000000000001E-3</v>
      </c>
      <c r="BO331" s="3">
        <f t="shared" si="39"/>
        <v>0.625</v>
      </c>
    </row>
    <row r="332" spans="1:71" x14ac:dyDescent="0.3">
      <c r="A332" s="3" t="s">
        <v>208</v>
      </c>
      <c r="B332" s="3">
        <v>0.9</v>
      </c>
      <c r="C332" s="3">
        <v>0.5</v>
      </c>
      <c r="D332" s="3">
        <v>0.6</v>
      </c>
      <c r="E332" s="3">
        <v>0.25</v>
      </c>
      <c r="F332" s="6">
        <v>607.71612500000003</v>
      </c>
      <c r="G332" s="3">
        <v>1.6E-2</v>
      </c>
      <c r="I332" s="3" t="s">
        <v>208</v>
      </c>
      <c r="J332" s="3">
        <v>0.86</v>
      </c>
      <c r="K332" s="7">
        <v>682.25207499999999</v>
      </c>
      <c r="L332" s="3">
        <v>0</v>
      </c>
      <c r="M332" s="3">
        <f t="shared" si="36"/>
        <v>0.55499999999999994</v>
      </c>
      <c r="N332" s="5"/>
      <c r="O332" s="5"/>
      <c r="P332" s="5"/>
      <c r="Q332" s="5"/>
      <c r="S332" s="3" t="s">
        <v>208</v>
      </c>
      <c r="T332" s="3">
        <v>0.9</v>
      </c>
      <c r="U332" s="3">
        <v>0.5</v>
      </c>
      <c r="V332" s="3">
        <v>0.6</v>
      </c>
      <c r="W332" s="3">
        <v>0.48</v>
      </c>
      <c r="X332" s="7">
        <v>611.70251499999995</v>
      </c>
      <c r="Y332" s="3">
        <v>0.02</v>
      </c>
      <c r="AA332" s="3" t="s">
        <v>208</v>
      </c>
      <c r="AB332" s="3">
        <v>0.32</v>
      </c>
      <c r="AC332" s="6">
        <v>587.71765100000005</v>
      </c>
      <c r="AD332" s="3">
        <v>0</v>
      </c>
      <c r="AE332" s="3">
        <f t="shared" si="37"/>
        <v>0.4</v>
      </c>
      <c r="AF332" s="5"/>
      <c r="AG332" s="5"/>
      <c r="AH332" s="5"/>
      <c r="AI332" s="5"/>
      <c r="AK332" s="3" t="s">
        <v>209</v>
      </c>
      <c r="AL332" s="3">
        <v>0.9</v>
      </c>
      <c r="AM332" s="3">
        <v>0.5</v>
      </c>
      <c r="AN332" s="3">
        <v>0.6</v>
      </c>
      <c r="AO332" s="3">
        <v>0.86</v>
      </c>
      <c r="AP332" s="7">
        <v>1045.1875</v>
      </c>
      <c r="AQ332" s="3">
        <v>2.1000000000000001E-2</v>
      </c>
      <c r="AS332" s="3" t="s">
        <v>209</v>
      </c>
      <c r="AT332" s="3">
        <v>0.65</v>
      </c>
      <c r="AU332" s="6">
        <v>1009.880981</v>
      </c>
      <c r="AV332" s="3">
        <v>2E-3</v>
      </c>
      <c r="AW332" s="3">
        <f t="shared" si="38"/>
        <v>0.755</v>
      </c>
      <c r="AX332" s="5"/>
      <c r="AY332" s="5"/>
      <c r="AZ332" s="5"/>
      <c r="BA332" s="5"/>
      <c r="BC332" s="3" t="s">
        <v>209</v>
      </c>
      <c r="BD332" s="3">
        <v>0.9</v>
      </c>
      <c r="BE332" s="3">
        <v>0.5</v>
      </c>
      <c r="BF332" s="3">
        <v>0.6</v>
      </c>
      <c r="BG332" s="3">
        <v>0.75</v>
      </c>
      <c r="BH332" s="7">
        <v>971.104919</v>
      </c>
      <c r="BI332" s="3">
        <v>1.4999999999999999E-2</v>
      </c>
      <c r="BK332" s="3" t="s">
        <v>209</v>
      </c>
      <c r="BL332" s="3">
        <v>0.69</v>
      </c>
      <c r="BM332" s="6">
        <v>950.86389199999996</v>
      </c>
      <c r="BN332" s="3">
        <v>2E-3</v>
      </c>
      <c r="BO332" s="3">
        <f t="shared" si="39"/>
        <v>0.72</v>
      </c>
    </row>
    <row r="333" spans="1:71" x14ac:dyDescent="0.3">
      <c r="A333" s="3" t="s">
        <v>210</v>
      </c>
      <c r="B333" s="3">
        <v>0.9</v>
      </c>
      <c r="C333" s="3">
        <v>0.5</v>
      </c>
      <c r="D333" s="3">
        <v>0.6</v>
      </c>
      <c r="E333" s="3">
        <v>0.9</v>
      </c>
      <c r="F333" s="7">
        <v>691.98242200000004</v>
      </c>
      <c r="G333" s="3">
        <v>0.01</v>
      </c>
      <c r="I333" s="3" t="s">
        <v>210</v>
      </c>
      <c r="J333" s="3">
        <v>0.28999999999999998</v>
      </c>
      <c r="K333" s="6">
        <v>617.99176</v>
      </c>
      <c r="L333" s="3">
        <v>3.0000000000000001E-3</v>
      </c>
      <c r="M333" s="3">
        <f t="shared" si="36"/>
        <v>0.59499999999999997</v>
      </c>
      <c r="N333" s="5"/>
      <c r="O333" s="5"/>
      <c r="P333" s="5"/>
      <c r="Q333" s="5"/>
      <c r="S333" s="3" t="s">
        <v>210</v>
      </c>
      <c r="T333" s="3">
        <v>0.9</v>
      </c>
      <c r="U333" s="3">
        <v>0.5</v>
      </c>
      <c r="V333" s="3">
        <v>0.6</v>
      </c>
      <c r="W333" s="3">
        <v>0.89</v>
      </c>
      <c r="X333" s="7">
        <v>673.95770300000004</v>
      </c>
      <c r="Y333" s="3">
        <v>1.4E-2</v>
      </c>
      <c r="AA333" s="3" t="s">
        <v>210</v>
      </c>
      <c r="AB333" s="3">
        <v>0.24</v>
      </c>
      <c r="AC333" s="6">
        <v>562.25695800000005</v>
      </c>
      <c r="AD333" s="3">
        <v>3.0000000000000001E-3</v>
      </c>
      <c r="AE333" s="3">
        <f t="shared" si="37"/>
        <v>0.56499999999999995</v>
      </c>
      <c r="AF333" s="5"/>
      <c r="AG333" s="5"/>
      <c r="AH333" s="5"/>
      <c r="AI333" s="5"/>
      <c r="AK333" s="3" t="s">
        <v>211</v>
      </c>
      <c r="AL333" s="3">
        <v>0.9</v>
      </c>
      <c r="AM333" s="3">
        <v>0.5</v>
      </c>
      <c r="AN333" s="3">
        <v>0.6</v>
      </c>
      <c r="AO333" s="3">
        <v>0.96</v>
      </c>
      <c r="AP333" s="7">
        <v>1050.771606</v>
      </c>
      <c r="AQ333" s="3">
        <v>2.1999999999999999E-2</v>
      </c>
      <c r="AS333" s="3" t="s">
        <v>211</v>
      </c>
      <c r="AT333" s="3">
        <v>0.19</v>
      </c>
      <c r="AU333" s="6">
        <v>854.39648399999999</v>
      </c>
      <c r="AV333" s="3">
        <v>2E-3</v>
      </c>
      <c r="AW333" s="3">
        <f t="shared" si="38"/>
        <v>0.57499999999999996</v>
      </c>
      <c r="AX333" s="5"/>
      <c r="AY333" s="5"/>
      <c r="AZ333" s="5"/>
      <c r="BA333" s="5"/>
      <c r="BC333" s="3" t="s">
        <v>211</v>
      </c>
      <c r="BD333" s="3">
        <v>0.9</v>
      </c>
      <c r="BE333" s="3">
        <v>0.5</v>
      </c>
      <c r="BF333" s="3">
        <v>0.6</v>
      </c>
      <c r="BG333" s="3">
        <v>0.5</v>
      </c>
      <c r="BH333" s="6">
        <v>939.24823000000004</v>
      </c>
      <c r="BI333" s="3">
        <v>2.1999999999999999E-2</v>
      </c>
      <c r="BK333" s="3" t="s">
        <v>211</v>
      </c>
      <c r="BL333" s="3">
        <v>0.93</v>
      </c>
      <c r="BM333" s="7">
        <v>986.84020999999996</v>
      </c>
      <c r="BN333" s="3">
        <v>1E-3</v>
      </c>
      <c r="BO333" s="3">
        <f t="shared" si="39"/>
        <v>0.71500000000000008</v>
      </c>
    </row>
    <row r="334" spans="1:71" x14ac:dyDescent="0.3">
      <c r="A334" s="3" t="s">
        <v>212</v>
      </c>
      <c r="B334" s="3">
        <v>0.9</v>
      </c>
      <c r="C334" s="3">
        <v>0.5</v>
      </c>
      <c r="D334" s="3">
        <v>0.6</v>
      </c>
      <c r="E334" s="3">
        <v>0.42</v>
      </c>
      <c r="F334" s="7">
        <v>648.47302200000001</v>
      </c>
      <c r="G334" s="3">
        <v>0.03</v>
      </c>
      <c r="I334" s="3" t="s">
        <v>212</v>
      </c>
      <c r="J334" s="3">
        <v>0.27</v>
      </c>
      <c r="K334" s="6">
        <v>629.35986300000002</v>
      </c>
      <c r="L334" s="3">
        <v>0</v>
      </c>
      <c r="M334" s="3">
        <f t="shared" si="36"/>
        <v>0.34499999999999997</v>
      </c>
      <c r="N334" s="5"/>
      <c r="O334" s="5"/>
      <c r="P334" s="5"/>
      <c r="Q334" s="5"/>
      <c r="S334" s="3" t="s">
        <v>212</v>
      </c>
      <c r="T334" s="3">
        <v>0.9</v>
      </c>
      <c r="U334" s="3">
        <v>0.5</v>
      </c>
      <c r="V334" s="3">
        <v>0.6</v>
      </c>
      <c r="W334" s="3">
        <v>0.46</v>
      </c>
      <c r="X334" s="7">
        <v>644.86517300000003</v>
      </c>
      <c r="Y334" s="3">
        <v>8.0000000000000002E-3</v>
      </c>
      <c r="AA334" s="3" t="s">
        <v>212</v>
      </c>
      <c r="AB334" s="3">
        <v>0.3</v>
      </c>
      <c r="AC334" s="6">
        <v>605.86328100000003</v>
      </c>
      <c r="AD334" s="3">
        <v>3.0000000000000001E-3</v>
      </c>
      <c r="AE334" s="3">
        <f t="shared" si="37"/>
        <v>0.38</v>
      </c>
      <c r="AF334" s="5"/>
      <c r="AG334" s="5"/>
      <c r="AH334" s="5"/>
      <c r="AI334" s="5"/>
      <c r="AK334" s="3" t="s">
        <v>213</v>
      </c>
      <c r="AL334" s="3">
        <v>0.9</v>
      </c>
      <c r="AM334" s="3">
        <v>0.5</v>
      </c>
      <c r="AN334" s="3">
        <v>0.6</v>
      </c>
      <c r="AO334" s="3">
        <v>0.01</v>
      </c>
      <c r="AP334" s="6">
        <v>797.57910200000003</v>
      </c>
      <c r="AQ334" s="3">
        <v>0.02</v>
      </c>
      <c r="AS334" s="3" t="s">
        <v>213</v>
      </c>
      <c r="AT334" s="3">
        <v>0.28000000000000003</v>
      </c>
      <c r="AU334" s="7">
        <v>923.01483199999996</v>
      </c>
      <c r="AV334" s="3">
        <v>2E-3</v>
      </c>
      <c r="AW334" s="3">
        <f t="shared" si="38"/>
        <v>0.14500000000000002</v>
      </c>
      <c r="AX334" s="5"/>
      <c r="AY334" s="5"/>
      <c r="AZ334" s="5"/>
      <c r="BA334" s="5"/>
      <c r="BC334" s="3" t="s">
        <v>213</v>
      </c>
      <c r="BD334" s="3">
        <v>0.9</v>
      </c>
      <c r="BE334" s="3">
        <v>0.5</v>
      </c>
      <c r="BF334" s="3">
        <v>0.6</v>
      </c>
      <c r="BG334" s="3">
        <v>0.02</v>
      </c>
      <c r="BH334" s="6">
        <v>735.37683100000004</v>
      </c>
      <c r="BI334" s="3">
        <v>1.4999999999999999E-2</v>
      </c>
      <c r="BK334" s="3" t="s">
        <v>213</v>
      </c>
      <c r="BL334" s="3">
        <v>0.09</v>
      </c>
      <c r="BM334" s="7">
        <v>769.42083700000001</v>
      </c>
      <c r="BN334" s="3">
        <v>1E-3</v>
      </c>
      <c r="BO334" s="3">
        <f t="shared" si="39"/>
        <v>5.5E-2</v>
      </c>
    </row>
    <row r="335" spans="1:71" x14ac:dyDescent="0.3">
      <c r="A335" s="3" t="s">
        <v>214</v>
      </c>
      <c r="B335" s="3">
        <v>0.9</v>
      </c>
      <c r="C335" s="3">
        <v>0.5</v>
      </c>
      <c r="D335" s="3">
        <v>0.6</v>
      </c>
      <c r="E335" s="3">
        <v>0.01</v>
      </c>
      <c r="F335" s="6">
        <v>640.33776899999998</v>
      </c>
      <c r="G335" s="3">
        <v>0.02</v>
      </c>
      <c r="I335" s="3" t="s">
        <v>214</v>
      </c>
      <c r="J335" s="3">
        <v>0.75</v>
      </c>
      <c r="K335" s="7">
        <v>763.47723399999995</v>
      </c>
      <c r="L335" s="3">
        <v>2E-3</v>
      </c>
      <c r="M335" s="3">
        <f t="shared" si="36"/>
        <v>0.38</v>
      </c>
      <c r="N335" s="5"/>
      <c r="O335" s="5"/>
      <c r="P335" s="5"/>
      <c r="Q335" s="5"/>
      <c r="S335" s="3" t="s">
        <v>214</v>
      </c>
      <c r="T335" s="3">
        <v>0.9</v>
      </c>
      <c r="U335" s="3">
        <v>0.5</v>
      </c>
      <c r="V335" s="3">
        <v>0.6</v>
      </c>
      <c r="W335" s="3">
        <v>0.01</v>
      </c>
      <c r="X335" s="6">
        <v>588.11926300000005</v>
      </c>
      <c r="Y335" s="3">
        <v>1.7999999999999999E-2</v>
      </c>
      <c r="AA335" s="3" t="s">
        <v>214</v>
      </c>
      <c r="AB335" s="3">
        <v>0.28999999999999998</v>
      </c>
      <c r="AC335" s="7">
        <v>634.678223</v>
      </c>
      <c r="AD335" s="3">
        <v>5.0000000000000001E-3</v>
      </c>
      <c r="AE335" s="3">
        <f t="shared" si="37"/>
        <v>0.15</v>
      </c>
      <c r="AF335" s="5"/>
      <c r="AG335" s="5"/>
      <c r="AH335" s="5"/>
      <c r="AI335" s="5"/>
      <c r="AK335" s="3" t="s">
        <v>215</v>
      </c>
      <c r="AL335" s="3">
        <v>0.9</v>
      </c>
      <c r="AM335" s="3">
        <v>0.5</v>
      </c>
      <c r="AN335" s="3">
        <v>0.6</v>
      </c>
      <c r="AO335" s="3">
        <v>0.23</v>
      </c>
      <c r="AP335" s="6">
        <v>977.084473</v>
      </c>
      <c r="AQ335" s="3">
        <v>1.4E-2</v>
      </c>
      <c r="AS335" s="3" t="s">
        <v>215</v>
      </c>
      <c r="AT335" s="3">
        <v>0.8</v>
      </c>
      <c r="AU335" s="7">
        <v>1253.8897710000001</v>
      </c>
      <c r="AV335" s="3">
        <v>3.0000000000000001E-3</v>
      </c>
      <c r="AW335" s="3">
        <f t="shared" si="38"/>
        <v>0.51500000000000001</v>
      </c>
      <c r="AX335" s="5"/>
      <c r="AY335" s="5"/>
      <c r="AZ335" s="5"/>
      <c r="BA335" s="5"/>
      <c r="BC335" s="3" t="s">
        <v>215</v>
      </c>
      <c r="BD335" s="3">
        <v>0.9</v>
      </c>
      <c r="BE335" s="3">
        <v>0.5</v>
      </c>
      <c r="BF335" s="3">
        <v>0.6</v>
      </c>
      <c r="BG335" s="3">
        <v>0.68</v>
      </c>
      <c r="BH335" s="7">
        <v>1176.1429439999999</v>
      </c>
      <c r="BI335" s="3">
        <v>1.7000000000000001E-2</v>
      </c>
      <c r="BK335" s="3" t="s">
        <v>215</v>
      </c>
      <c r="BL335" s="3">
        <v>0.44</v>
      </c>
      <c r="BM335" s="6">
        <v>1049.2467039999999</v>
      </c>
      <c r="BN335" s="3">
        <v>1E-3</v>
      </c>
      <c r="BO335" s="3">
        <f t="shared" si="39"/>
        <v>0.56000000000000005</v>
      </c>
    </row>
    <row r="336" spans="1:71" x14ac:dyDescent="0.3">
      <c r="A336" s="3" t="s">
        <v>216</v>
      </c>
      <c r="B336" s="3">
        <v>0.9</v>
      </c>
      <c r="C336" s="3">
        <v>0.5</v>
      </c>
      <c r="D336" s="3">
        <v>0.6</v>
      </c>
      <c r="E336" s="3">
        <v>0.61</v>
      </c>
      <c r="F336" s="7">
        <v>690.06494099999998</v>
      </c>
      <c r="G336" s="3">
        <v>4.2000000000000003E-2</v>
      </c>
      <c r="I336" s="3" t="s">
        <v>216</v>
      </c>
      <c r="J336" s="3">
        <v>0.19</v>
      </c>
      <c r="K336" s="6">
        <v>581.63708499999996</v>
      </c>
      <c r="L336" s="3">
        <v>5.0000000000000001E-3</v>
      </c>
      <c r="M336" s="3">
        <f t="shared" si="36"/>
        <v>0.4</v>
      </c>
      <c r="N336" s="5"/>
      <c r="O336" s="5"/>
      <c r="P336" s="5"/>
      <c r="Q336" s="5"/>
      <c r="S336" s="3" t="s">
        <v>216</v>
      </c>
      <c r="T336" s="3">
        <v>0.9</v>
      </c>
      <c r="U336" s="3">
        <v>0.5</v>
      </c>
      <c r="V336" s="3">
        <v>0.6</v>
      </c>
      <c r="W336" s="3">
        <v>0.37</v>
      </c>
      <c r="X336" s="6">
        <v>565.176514</v>
      </c>
      <c r="Y336" s="3">
        <v>8.9999999999999993E-3</v>
      </c>
      <c r="AA336" s="3" t="s">
        <v>216</v>
      </c>
      <c r="AB336" s="3">
        <v>0.7</v>
      </c>
      <c r="AC336" s="7">
        <v>682.10119599999996</v>
      </c>
      <c r="AD336" s="3">
        <v>4.0000000000000001E-3</v>
      </c>
      <c r="AE336" s="3">
        <f t="shared" si="37"/>
        <v>0.53499999999999992</v>
      </c>
      <c r="AF336" s="5"/>
      <c r="AG336" s="5"/>
      <c r="AH336" s="5"/>
      <c r="AI336" s="5"/>
      <c r="AK336" s="3" t="s">
        <v>217</v>
      </c>
      <c r="AL336" s="3">
        <v>0.9</v>
      </c>
      <c r="AM336" s="3">
        <v>0.5</v>
      </c>
      <c r="AN336" s="3">
        <v>0.6</v>
      </c>
      <c r="AO336" s="3">
        <v>0.54</v>
      </c>
      <c r="AP336" s="6">
        <v>1170.4914550000001</v>
      </c>
      <c r="AQ336" s="3">
        <v>3.1E-2</v>
      </c>
      <c r="AS336" s="3" t="s">
        <v>217</v>
      </c>
      <c r="AT336" s="3">
        <v>0.72</v>
      </c>
      <c r="AU336" s="7">
        <v>1231.483154</v>
      </c>
      <c r="AV336" s="3">
        <v>1E-3</v>
      </c>
      <c r="AW336" s="3">
        <f t="shared" si="38"/>
        <v>0.63</v>
      </c>
      <c r="AX336" s="5"/>
      <c r="AY336" s="5"/>
      <c r="AZ336" s="5"/>
      <c r="BA336" s="5"/>
      <c r="BC336" s="3" t="s">
        <v>217</v>
      </c>
      <c r="BD336" s="3">
        <v>0.9</v>
      </c>
      <c r="BE336" s="3">
        <v>0.5</v>
      </c>
      <c r="BF336" s="3">
        <v>0.6</v>
      </c>
      <c r="BG336" s="3">
        <v>0.05</v>
      </c>
      <c r="BH336" s="6">
        <v>863.42749000000003</v>
      </c>
      <c r="BI336" s="3">
        <v>2.5999999999999999E-2</v>
      </c>
      <c r="BK336" s="3" t="s">
        <v>217</v>
      </c>
      <c r="BL336" s="3">
        <v>0.91</v>
      </c>
      <c r="BM336" s="7">
        <v>1291.4254149999999</v>
      </c>
      <c r="BN336" s="3">
        <v>3.0000000000000001E-3</v>
      </c>
      <c r="BO336" s="3">
        <f t="shared" si="39"/>
        <v>0.48000000000000004</v>
      </c>
    </row>
    <row r="337" spans="1:67" x14ac:dyDescent="0.3">
      <c r="A337" s="3" t="s">
        <v>218</v>
      </c>
      <c r="B337" s="3">
        <v>0.9</v>
      </c>
      <c r="C337" s="3">
        <v>0.5</v>
      </c>
      <c r="D337" s="3">
        <v>0.6</v>
      </c>
      <c r="E337" s="3">
        <v>0.67</v>
      </c>
      <c r="F337" s="6">
        <v>746.21191399999998</v>
      </c>
      <c r="G337" s="3">
        <v>1.4E-2</v>
      </c>
      <c r="I337" s="3" t="s">
        <v>218</v>
      </c>
      <c r="J337" s="3">
        <v>0.91</v>
      </c>
      <c r="K337" s="7">
        <v>803.25207499999999</v>
      </c>
      <c r="L337" s="3">
        <v>5.0000000000000001E-3</v>
      </c>
      <c r="M337" s="3">
        <f t="shared" si="36"/>
        <v>0.79</v>
      </c>
      <c r="N337" s="5"/>
      <c r="O337" s="5"/>
      <c r="P337" s="5"/>
      <c r="Q337" s="5"/>
      <c r="S337" s="3" t="s">
        <v>218</v>
      </c>
      <c r="T337" s="3">
        <v>0.9</v>
      </c>
      <c r="U337" s="3">
        <v>0.5</v>
      </c>
      <c r="V337" s="3">
        <v>0.6</v>
      </c>
      <c r="W337" s="3">
        <v>0.34</v>
      </c>
      <c r="X337" s="6">
        <v>654.50439500000005</v>
      </c>
      <c r="Y337" s="3">
        <v>1.2E-2</v>
      </c>
      <c r="AA337" s="3" t="s">
        <v>218</v>
      </c>
      <c r="AB337" s="3">
        <v>0.61</v>
      </c>
      <c r="AC337" s="7">
        <v>724.53253199999995</v>
      </c>
      <c r="AD337" s="3">
        <v>2E-3</v>
      </c>
      <c r="AE337" s="3">
        <f t="shared" si="37"/>
        <v>0.47499999999999998</v>
      </c>
      <c r="AF337" s="5"/>
      <c r="AG337" s="5"/>
      <c r="AH337" s="5"/>
      <c r="AI337" s="5"/>
      <c r="AK337" s="3" t="s">
        <v>219</v>
      </c>
      <c r="AL337" s="3">
        <v>0.9</v>
      </c>
      <c r="AM337" s="3">
        <v>0.5</v>
      </c>
      <c r="AN337" s="3">
        <v>0.6</v>
      </c>
      <c r="AO337" s="3">
        <v>0.42</v>
      </c>
      <c r="AP337" s="7">
        <v>1127.346313</v>
      </c>
      <c r="AQ337" s="3">
        <v>0.03</v>
      </c>
      <c r="AS337" s="3" t="s">
        <v>219</v>
      </c>
      <c r="AT337" s="3">
        <v>0.42</v>
      </c>
      <c r="AU337" s="6">
        <v>1126.8945309999999</v>
      </c>
      <c r="AV337" s="3">
        <v>5.0000000000000001E-3</v>
      </c>
      <c r="AW337" s="3">
        <f t="shared" si="38"/>
        <v>0.42</v>
      </c>
      <c r="AX337" s="5"/>
      <c r="AY337" s="5"/>
      <c r="AZ337" s="5"/>
      <c r="BA337" s="5"/>
      <c r="BC337" s="3" t="s">
        <v>219</v>
      </c>
      <c r="BD337" s="3">
        <v>0.9</v>
      </c>
      <c r="BE337" s="3">
        <v>0.5</v>
      </c>
      <c r="BF337" s="3">
        <v>0.6</v>
      </c>
      <c r="BG337" s="3">
        <v>0.8</v>
      </c>
      <c r="BH337" s="7">
        <v>1232.7028809999999</v>
      </c>
      <c r="BI337" s="3">
        <v>2.3E-2</v>
      </c>
      <c r="BK337" s="3" t="s">
        <v>219</v>
      </c>
      <c r="BL337" s="3">
        <v>0.66</v>
      </c>
      <c r="BM337" s="6">
        <v>1177.4423830000001</v>
      </c>
      <c r="BN337" s="3">
        <v>2E-3</v>
      </c>
      <c r="BO337" s="3">
        <f t="shared" si="39"/>
        <v>0.73</v>
      </c>
    </row>
    <row r="338" spans="1:67" x14ac:dyDescent="0.3">
      <c r="A338" s="3" t="s">
        <v>220</v>
      </c>
      <c r="B338" s="3">
        <v>0.9</v>
      </c>
      <c r="C338" s="3">
        <v>0.5</v>
      </c>
      <c r="D338" s="3">
        <v>0.6</v>
      </c>
      <c r="E338" s="3">
        <v>0.35</v>
      </c>
      <c r="F338" s="6">
        <v>699.54205300000001</v>
      </c>
      <c r="G338" s="3">
        <v>1.4999999999999999E-2</v>
      </c>
      <c r="I338" s="3" t="s">
        <v>220</v>
      </c>
      <c r="J338" s="3">
        <v>0.89</v>
      </c>
      <c r="K338" s="7">
        <v>858.94665499999996</v>
      </c>
      <c r="L338" s="3">
        <v>8.9999999999999993E-3</v>
      </c>
      <c r="M338" s="3">
        <f t="shared" si="36"/>
        <v>0.62</v>
      </c>
      <c r="N338" s="5"/>
      <c r="O338" s="5"/>
      <c r="P338" s="5"/>
      <c r="Q338" s="5"/>
      <c r="S338" s="3" t="s">
        <v>220</v>
      </c>
      <c r="T338" s="3">
        <v>0.9</v>
      </c>
      <c r="U338" s="3">
        <v>0.5</v>
      </c>
      <c r="V338" s="3">
        <v>0.6</v>
      </c>
      <c r="W338" s="3">
        <v>0.42</v>
      </c>
      <c r="X338" s="6">
        <v>710.35778800000003</v>
      </c>
      <c r="Y338" s="3">
        <v>1.2E-2</v>
      </c>
      <c r="AA338" s="3" t="s">
        <v>220</v>
      </c>
      <c r="AB338" s="3">
        <v>0.94</v>
      </c>
      <c r="AC338" s="7">
        <v>873.66894500000001</v>
      </c>
      <c r="AD338" s="3">
        <v>1E-3</v>
      </c>
      <c r="AE338" s="3">
        <f t="shared" si="37"/>
        <v>0.67999999999999994</v>
      </c>
      <c r="AF338" s="5"/>
      <c r="AG338" s="5"/>
      <c r="AH338" s="5"/>
      <c r="AI338" s="5"/>
      <c r="AK338" s="3" t="s">
        <v>221</v>
      </c>
      <c r="AL338" s="3">
        <v>0.9</v>
      </c>
      <c r="AM338" s="3">
        <v>0.5</v>
      </c>
      <c r="AN338" s="3">
        <v>0.6</v>
      </c>
      <c r="AO338" s="3">
        <v>0.22</v>
      </c>
      <c r="AP338" s="6">
        <v>938.475281</v>
      </c>
      <c r="AQ338" s="3">
        <v>1.6E-2</v>
      </c>
      <c r="AS338" s="3" t="s">
        <v>221</v>
      </c>
      <c r="AT338" s="3">
        <v>0.81</v>
      </c>
      <c r="AU338" s="7">
        <v>1168.4666749999999</v>
      </c>
      <c r="AV338" s="3">
        <v>3.0000000000000001E-3</v>
      </c>
      <c r="AW338" s="3">
        <f t="shared" si="38"/>
        <v>0.51500000000000001</v>
      </c>
      <c r="AX338" s="5"/>
      <c r="AY338" s="5"/>
      <c r="AZ338" s="5"/>
      <c r="BA338" s="5"/>
      <c r="BC338" s="3" t="s">
        <v>221</v>
      </c>
      <c r="BD338" s="3">
        <v>0.9</v>
      </c>
      <c r="BE338" s="3">
        <v>0.5</v>
      </c>
      <c r="BF338" s="3">
        <v>0.6</v>
      </c>
      <c r="BG338" s="3">
        <v>0.96</v>
      </c>
      <c r="BH338" s="7">
        <v>1112.8675539999999</v>
      </c>
      <c r="BI338" s="3">
        <v>1.7999999999999999E-2</v>
      </c>
      <c r="BK338" s="3" t="s">
        <v>221</v>
      </c>
      <c r="BL338" s="3">
        <v>0.74</v>
      </c>
      <c r="BM338" s="6">
        <v>1096.3854980000001</v>
      </c>
      <c r="BN338" s="3">
        <v>3.0000000000000001E-3</v>
      </c>
      <c r="BO338" s="3">
        <f t="shared" si="39"/>
        <v>0.85</v>
      </c>
    </row>
    <row r="339" spans="1:67" x14ac:dyDescent="0.3">
      <c r="A339" s="3" t="s">
        <v>222</v>
      </c>
      <c r="B339" s="3">
        <v>0.9</v>
      </c>
      <c r="C339" s="3">
        <v>0.5</v>
      </c>
      <c r="D339" s="3">
        <v>0.6</v>
      </c>
      <c r="E339" s="3">
        <v>0.11</v>
      </c>
      <c r="F339" s="6">
        <v>638.43292199999996</v>
      </c>
      <c r="G339" s="3">
        <v>0.01</v>
      </c>
      <c r="I339" s="3" t="s">
        <v>222</v>
      </c>
      <c r="J339" s="3">
        <v>0.55000000000000004</v>
      </c>
      <c r="K339" s="7">
        <v>762.785034</v>
      </c>
      <c r="L339" s="3">
        <v>3.0000000000000001E-3</v>
      </c>
      <c r="M339" s="3">
        <f t="shared" si="36"/>
        <v>0.33</v>
      </c>
      <c r="N339" s="5"/>
      <c r="O339" s="5"/>
      <c r="P339" s="5"/>
      <c r="Q339" s="5"/>
      <c r="S339" s="3" t="s">
        <v>222</v>
      </c>
      <c r="T339" s="3">
        <v>0.9</v>
      </c>
      <c r="U339" s="3">
        <v>0.5</v>
      </c>
      <c r="V339" s="3">
        <v>0.6</v>
      </c>
      <c r="W339" s="3">
        <v>0.55000000000000004</v>
      </c>
      <c r="X339" s="6">
        <v>715.707764</v>
      </c>
      <c r="Y339" s="3">
        <v>1.2999999999999999E-2</v>
      </c>
      <c r="AA339" s="3" t="s">
        <v>222</v>
      </c>
      <c r="AB339" s="3">
        <v>0.83</v>
      </c>
      <c r="AC339" s="7">
        <v>791.66747999999995</v>
      </c>
      <c r="AD339" s="3">
        <v>4.0000000000000001E-3</v>
      </c>
      <c r="AE339" s="3">
        <f t="shared" si="37"/>
        <v>0.69</v>
      </c>
      <c r="AF339" s="5"/>
      <c r="AG339" s="5"/>
      <c r="AH339" s="5"/>
      <c r="AI339" s="5"/>
      <c r="AK339" s="3" t="s">
        <v>223</v>
      </c>
      <c r="AL339" s="3">
        <v>0.9</v>
      </c>
      <c r="AM339" s="3">
        <v>0.5</v>
      </c>
      <c r="AN339" s="3">
        <v>0.6</v>
      </c>
      <c r="AO339" s="3">
        <v>0.77</v>
      </c>
      <c r="AP339" s="7">
        <v>1236.334595</v>
      </c>
      <c r="AQ339" s="3">
        <v>2.4E-2</v>
      </c>
      <c r="AS339" s="3" t="s">
        <v>223</v>
      </c>
      <c r="AT339" s="3">
        <v>0.01</v>
      </c>
      <c r="AU339" s="6">
        <v>928.93603499999995</v>
      </c>
      <c r="AV339" s="3">
        <v>1E-3</v>
      </c>
      <c r="AW339" s="3">
        <f t="shared" si="38"/>
        <v>0.39</v>
      </c>
      <c r="AX339" s="5"/>
      <c r="AY339" s="5"/>
      <c r="AZ339" s="5"/>
      <c r="BA339" s="5"/>
      <c r="BC339" s="3" t="s">
        <v>223</v>
      </c>
      <c r="BD339" s="3">
        <v>0.9</v>
      </c>
      <c r="BE339" s="3">
        <v>0.5</v>
      </c>
      <c r="BF339" s="3">
        <v>0.6</v>
      </c>
      <c r="BG339" s="3">
        <v>0.19</v>
      </c>
      <c r="BH339" s="6">
        <v>983.903503</v>
      </c>
      <c r="BI339" s="3">
        <v>0.03</v>
      </c>
      <c r="BK339" s="3" t="s">
        <v>223</v>
      </c>
      <c r="BL339" s="3">
        <v>0.46</v>
      </c>
      <c r="BM339" s="7">
        <v>1142.998047</v>
      </c>
      <c r="BN339" s="3">
        <v>1.0999999999999999E-2</v>
      </c>
      <c r="BO339" s="3">
        <f t="shared" si="39"/>
        <v>0.32500000000000001</v>
      </c>
    </row>
    <row r="340" spans="1:67" x14ac:dyDescent="0.3">
      <c r="A340" s="3" t="s">
        <v>224</v>
      </c>
      <c r="B340" s="3">
        <v>0.9</v>
      </c>
      <c r="C340" s="3">
        <v>0.5</v>
      </c>
      <c r="D340" s="3">
        <v>0.6</v>
      </c>
      <c r="E340" s="3">
        <v>0.21</v>
      </c>
      <c r="F340" s="6">
        <v>723.50036599999999</v>
      </c>
      <c r="G340" s="3">
        <v>6.0000000000000001E-3</v>
      </c>
      <c r="I340" s="3" t="s">
        <v>224</v>
      </c>
      <c r="J340" s="3">
        <v>0.24</v>
      </c>
      <c r="K340" s="7">
        <v>742.27496299999996</v>
      </c>
      <c r="L340" s="3">
        <v>1E-3</v>
      </c>
      <c r="M340" s="3">
        <f t="shared" si="36"/>
        <v>0.22499999999999998</v>
      </c>
      <c r="N340" s="5"/>
      <c r="O340" s="5"/>
      <c r="P340" s="5"/>
      <c r="Q340" s="5"/>
      <c r="S340" s="3" t="s">
        <v>224</v>
      </c>
      <c r="T340" s="3">
        <v>0.9</v>
      </c>
      <c r="U340" s="3">
        <v>0.5</v>
      </c>
      <c r="V340" s="3">
        <v>0.6</v>
      </c>
      <c r="W340" s="3">
        <v>0.04</v>
      </c>
      <c r="X340" s="6">
        <v>670.303223</v>
      </c>
      <c r="Y340" s="3">
        <v>1.2999999999999999E-2</v>
      </c>
      <c r="AA340" s="3" t="s">
        <v>224</v>
      </c>
      <c r="AB340" s="3">
        <v>0.17</v>
      </c>
      <c r="AC340" s="7">
        <v>684.37481700000001</v>
      </c>
      <c r="AD340" s="3">
        <v>5.0000000000000001E-3</v>
      </c>
      <c r="AE340" s="3">
        <f t="shared" si="37"/>
        <v>0.10500000000000001</v>
      </c>
      <c r="AF340" s="5"/>
      <c r="AG340" s="5"/>
      <c r="AH340" s="5"/>
      <c r="AI340" s="5"/>
      <c r="AK340" s="3" t="s">
        <v>225</v>
      </c>
      <c r="AL340" s="3">
        <v>0.9</v>
      </c>
      <c r="AM340" s="3">
        <v>0.5</v>
      </c>
      <c r="AN340" s="3">
        <v>0.6</v>
      </c>
      <c r="AO340" s="3">
        <v>0.65</v>
      </c>
      <c r="AP340" s="7">
        <v>1160.613159</v>
      </c>
      <c r="AQ340" s="3">
        <v>1.6E-2</v>
      </c>
      <c r="AS340" s="3" t="s">
        <v>225</v>
      </c>
      <c r="AT340" s="3">
        <v>0.52</v>
      </c>
      <c r="AU340" s="6">
        <v>1112.203125</v>
      </c>
      <c r="AV340" s="3">
        <v>1E-3</v>
      </c>
      <c r="AW340" s="3">
        <f t="shared" si="38"/>
        <v>0.58499999999999996</v>
      </c>
      <c r="AX340" s="5"/>
      <c r="AY340" s="5"/>
      <c r="AZ340" s="5"/>
      <c r="BA340" s="5"/>
      <c r="BC340" s="3" t="s">
        <v>225</v>
      </c>
      <c r="BD340" s="3">
        <v>0.9</v>
      </c>
      <c r="BE340" s="3">
        <v>0.5</v>
      </c>
      <c r="BF340" s="3">
        <v>0.6</v>
      </c>
      <c r="BG340" s="3">
        <v>0.56000000000000005</v>
      </c>
      <c r="BH340" s="7">
        <v>1102.3466800000001</v>
      </c>
      <c r="BI340" s="3">
        <v>1.4999999999999999E-2</v>
      </c>
      <c r="BK340" s="3" t="s">
        <v>225</v>
      </c>
      <c r="BL340" s="3">
        <v>0.33</v>
      </c>
      <c r="BM340" s="6">
        <v>984.88336200000003</v>
      </c>
      <c r="BN340" s="3">
        <v>3.0000000000000001E-3</v>
      </c>
      <c r="BO340" s="3">
        <f t="shared" si="39"/>
        <v>0.44500000000000006</v>
      </c>
    </row>
    <row r="341" spans="1:67" x14ac:dyDescent="0.3">
      <c r="A341" s="3" t="s">
        <v>226</v>
      </c>
      <c r="B341" s="3">
        <v>0.9</v>
      </c>
      <c r="C341" s="3">
        <v>0.5</v>
      </c>
      <c r="D341" s="3">
        <v>0.6</v>
      </c>
      <c r="E341" s="3">
        <v>0.06</v>
      </c>
      <c r="F341" s="6">
        <v>692.52770999999996</v>
      </c>
      <c r="G341" s="3">
        <v>1.4E-2</v>
      </c>
      <c r="I341" s="3" t="s">
        <v>226</v>
      </c>
      <c r="J341" s="3">
        <v>0.69</v>
      </c>
      <c r="K341" s="7">
        <v>835.46002199999998</v>
      </c>
      <c r="L341" s="3">
        <v>1E-3</v>
      </c>
      <c r="M341" s="3">
        <f t="shared" si="36"/>
        <v>0.375</v>
      </c>
      <c r="N341" s="5"/>
      <c r="O341" s="5"/>
      <c r="P341" s="5"/>
      <c r="Q341" s="5"/>
      <c r="S341" s="3" t="s">
        <v>226</v>
      </c>
      <c r="T341" s="3">
        <v>0.9</v>
      </c>
      <c r="U341" s="3">
        <v>0.5</v>
      </c>
      <c r="V341" s="3">
        <v>0.6</v>
      </c>
      <c r="W341" s="3">
        <v>0.24</v>
      </c>
      <c r="X341" s="6">
        <v>686.14862100000005</v>
      </c>
      <c r="Y341" s="3">
        <v>1.9E-2</v>
      </c>
      <c r="AA341" s="3" t="s">
        <v>226</v>
      </c>
      <c r="AB341" s="3">
        <v>0.25</v>
      </c>
      <c r="AC341" s="7">
        <v>698.37561000000005</v>
      </c>
      <c r="AD341" s="3">
        <v>0</v>
      </c>
      <c r="AE341" s="3">
        <f t="shared" si="37"/>
        <v>0.245</v>
      </c>
      <c r="AF341" s="5"/>
      <c r="AG341" s="5"/>
      <c r="AH341" s="5"/>
      <c r="AI341" s="5"/>
      <c r="AK341" s="3" t="s">
        <v>227</v>
      </c>
      <c r="AL341" s="3">
        <v>0.9</v>
      </c>
      <c r="AM341" s="3">
        <v>0.5</v>
      </c>
      <c r="AN341" s="3">
        <v>0.6</v>
      </c>
      <c r="AO341" s="3">
        <v>0.92</v>
      </c>
      <c r="AP341" s="7">
        <v>1151.8873289999999</v>
      </c>
      <c r="AQ341" s="3">
        <v>0.02</v>
      </c>
      <c r="AS341" s="3" t="s">
        <v>227</v>
      </c>
      <c r="AT341" s="3">
        <v>0.26</v>
      </c>
      <c r="AU341" s="6">
        <v>939.82959000000005</v>
      </c>
      <c r="AV341" s="3">
        <v>1E-3</v>
      </c>
      <c r="AW341" s="3">
        <f t="shared" si="38"/>
        <v>0.59000000000000008</v>
      </c>
      <c r="AX341" s="5"/>
      <c r="AY341" s="5"/>
      <c r="AZ341" s="5"/>
      <c r="BA341" s="5"/>
      <c r="BC341" s="3" t="s">
        <v>227</v>
      </c>
      <c r="BD341" s="3">
        <v>0.9</v>
      </c>
      <c r="BE341" s="3">
        <v>0.5</v>
      </c>
      <c r="BF341" s="3">
        <v>0.6</v>
      </c>
      <c r="BG341" s="3">
        <v>0.78</v>
      </c>
      <c r="BH341" s="6">
        <v>1120.5852050000001</v>
      </c>
      <c r="BI341" s="3">
        <v>1.4E-2</v>
      </c>
      <c r="BK341" s="3" t="s">
        <v>227</v>
      </c>
      <c r="BL341" s="3">
        <v>0.99</v>
      </c>
      <c r="BM341" s="7">
        <v>1151.255249</v>
      </c>
      <c r="BN341" s="3">
        <v>1E-3</v>
      </c>
      <c r="BO341" s="3">
        <f t="shared" si="39"/>
        <v>0.88500000000000001</v>
      </c>
    </row>
    <row r="342" spans="1:67" x14ac:dyDescent="0.3">
      <c r="A342" s="3" t="s">
        <v>228</v>
      </c>
      <c r="B342" s="3">
        <v>0.9</v>
      </c>
      <c r="C342" s="3">
        <v>0.5</v>
      </c>
      <c r="D342" s="3">
        <v>0.6</v>
      </c>
      <c r="E342" s="3">
        <v>0.3</v>
      </c>
      <c r="F342" s="7">
        <v>643.17620799999997</v>
      </c>
      <c r="G342" s="3">
        <v>1.6E-2</v>
      </c>
      <c r="I342" s="3" t="s">
        <v>228</v>
      </c>
      <c r="J342" s="3">
        <v>0.19</v>
      </c>
      <c r="K342" s="6">
        <v>613.34020999999996</v>
      </c>
      <c r="L342" s="3">
        <v>1E-3</v>
      </c>
      <c r="M342" s="3">
        <f t="shared" si="36"/>
        <v>0.245</v>
      </c>
      <c r="N342" s="5"/>
      <c r="O342" s="5"/>
      <c r="P342" s="5"/>
      <c r="Q342" s="5"/>
      <c r="S342" s="3" t="s">
        <v>228</v>
      </c>
      <c r="T342" s="3">
        <v>0.9</v>
      </c>
      <c r="U342" s="3">
        <v>0.5</v>
      </c>
      <c r="V342" s="3">
        <v>0.6</v>
      </c>
      <c r="W342" s="3">
        <v>0.65</v>
      </c>
      <c r="X342" s="7">
        <v>715.98004200000003</v>
      </c>
      <c r="Y342" s="3">
        <v>8.9999999999999993E-3</v>
      </c>
      <c r="AA342" s="3" t="s">
        <v>228</v>
      </c>
      <c r="AB342" s="3">
        <v>0.62</v>
      </c>
      <c r="AC342" s="6">
        <v>714.53594999999996</v>
      </c>
      <c r="AD342" s="3">
        <v>3.0000000000000001E-3</v>
      </c>
      <c r="AE342" s="3">
        <f t="shared" si="37"/>
        <v>0.63500000000000001</v>
      </c>
      <c r="AF342" s="5"/>
      <c r="AG342" s="5"/>
      <c r="AH342" s="5"/>
      <c r="AI342" s="5"/>
      <c r="AK342" s="3" t="s">
        <v>229</v>
      </c>
      <c r="AL342" s="3">
        <v>0.9</v>
      </c>
      <c r="AM342" s="3">
        <v>0.5</v>
      </c>
      <c r="AN342" s="3">
        <v>0.6</v>
      </c>
      <c r="AO342" s="3">
        <v>0.41</v>
      </c>
      <c r="AP342" s="6">
        <v>1069.4854740000001</v>
      </c>
      <c r="AQ342" s="3">
        <v>2.1999999999999999E-2</v>
      </c>
      <c r="AS342" s="3" t="s">
        <v>229</v>
      </c>
      <c r="AT342" s="3">
        <v>0.96</v>
      </c>
      <c r="AU342" s="7">
        <v>1241.573975</v>
      </c>
      <c r="AV342" s="3">
        <v>3.0000000000000001E-3</v>
      </c>
      <c r="AW342" s="3">
        <f t="shared" si="38"/>
        <v>0.68499999999999994</v>
      </c>
      <c r="AX342" s="5"/>
      <c r="AY342" s="5"/>
      <c r="AZ342" s="5"/>
      <c r="BA342" s="5"/>
      <c r="BC342" s="3" t="s">
        <v>229</v>
      </c>
      <c r="BD342" s="3">
        <v>0.9</v>
      </c>
      <c r="BE342" s="3">
        <v>0.5</v>
      </c>
      <c r="BF342" s="3">
        <v>0.6</v>
      </c>
      <c r="BG342" s="3">
        <v>0.45</v>
      </c>
      <c r="BH342" s="6">
        <v>1043.8321530000001</v>
      </c>
      <c r="BI342" s="3">
        <v>2.5000000000000001E-2</v>
      </c>
      <c r="BK342" s="3" t="s">
        <v>229</v>
      </c>
      <c r="BL342" s="3">
        <v>0.48</v>
      </c>
      <c r="BM342" s="7">
        <v>1086.7197269999999</v>
      </c>
      <c r="BN342" s="3">
        <v>1E-3</v>
      </c>
      <c r="BO342" s="3">
        <f t="shared" si="39"/>
        <v>0.46499999999999997</v>
      </c>
    </row>
    <row r="343" spans="1:67" x14ac:dyDescent="0.3">
      <c r="A343" s="3" t="s">
        <v>230</v>
      </c>
      <c r="B343" s="3">
        <v>0.9</v>
      </c>
      <c r="C343" s="3">
        <v>0.5</v>
      </c>
      <c r="D343" s="3">
        <v>0.6</v>
      </c>
      <c r="E343" s="3">
        <v>0.69</v>
      </c>
      <c r="F343" s="7">
        <v>879.71350099999995</v>
      </c>
      <c r="G343" s="3">
        <v>1.7999999999999999E-2</v>
      </c>
      <c r="I343" s="3" t="s">
        <v>230</v>
      </c>
      <c r="J343" s="3">
        <v>0.56000000000000005</v>
      </c>
      <c r="K343" s="6">
        <v>860.70507799999996</v>
      </c>
      <c r="L343" s="3">
        <v>5.0000000000000001E-3</v>
      </c>
      <c r="M343" s="3">
        <f t="shared" si="36"/>
        <v>0.625</v>
      </c>
      <c r="N343" s="5"/>
      <c r="O343" s="5"/>
      <c r="P343" s="5"/>
      <c r="Q343" s="5"/>
      <c r="S343" s="3" t="s">
        <v>230</v>
      </c>
      <c r="T343" s="3">
        <v>0.9</v>
      </c>
      <c r="U343" s="3">
        <v>0.5</v>
      </c>
      <c r="V343" s="3">
        <v>0.6</v>
      </c>
      <c r="W343" s="3">
        <v>0.91</v>
      </c>
      <c r="X343" s="7">
        <v>883.990906</v>
      </c>
      <c r="Y343" s="3">
        <v>8.9999999999999993E-3</v>
      </c>
      <c r="AA343" s="3" t="s">
        <v>230</v>
      </c>
      <c r="AB343" s="3">
        <v>0.32</v>
      </c>
      <c r="AC343" s="6">
        <v>736.64581299999998</v>
      </c>
      <c r="AD343" s="3">
        <v>3.0000000000000001E-3</v>
      </c>
      <c r="AE343" s="3">
        <f t="shared" si="37"/>
        <v>0.61499999999999999</v>
      </c>
      <c r="AF343" s="5"/>
      <c r="AG343" s="5"/>
      <c r="AH343" s="5"/>
      <c r="AI343" s="5"/>
      <c r="AK343" s="3" t="s">
        <v>231</v>
      </c>
      <c r="AL343" s="3">
        <v>0.9</v>
      </c>
      <c r="AM343" s="3">
        <v>0.5</v>
      </c>
      <c r="AN343" s="3">
        <v>0.6</v>
      </c>
      <c r="AO343" s="3">
        <v>0.11</v>
      </c>
      <c r="AP343" s="6">
        <v>802.87841800000001</v>
      </c>
      <c r="AQ343" s="3">
        <v>1.4999999999999999E-2</v>
      </c>
      <c r="AS343" s="3" t="s">
        <v>231</v>
      </c>
      <c r="AT343" s="3">
        <v>0.72</v>
      </c>
      <c r="AU343" s="7">
        <v>1147.900024</v>
      </c>
      <c r="AV343" s="3">
        <v>4.0000000000000001E-3</v>
      </c>
      <c r="AW343" s="3">
        <f t="shared" si="38"/>
        <v>0.41499999999999998</v>
      </c>
      <c r="AX343" s="5"/>
      <c r="AY343" s="5"/>
      <c r="AZ343" s="5"/>
      <c r="BA343" s="5"/>
      <c r="BC343" s="3" t="s">
        <v>231</v>
      </c>
      <c r="BD343" s="3">
        <v>0.9</v>
      </c>
      <c r="BE343" s="3">
        <v>0.5</v>
      </c>
      <c r="BF343" s="3">
        <v>0.6</v>
      </c>
      <c r="BG343" s="3">
        <v>0.2</v>
      </c>
      <c r="BH343" s="6">
        <v>850.93298300000004</v>
      </c>
      <c r="BI343" s="3">
        <v>2.4E-2</v>
      </c>
      <c r="BK343" s="3" t="s">
        <v>231</v>
      </c>
      <c r="BL343" s="3">
        <v>0.46</v>
      </c>
      <c r="BM343" s="7">
        <v>1008.796814</v>
      </c>
      <c r="BN343" s="3">
        <v>2E-3</v>
      </c>
      <c r="BO343" s="3">
        <f t="shared" si="39"/>
        <v>0.33</v>
      </c>
    </row>
    <row r="344" spans="1:67" x14ac:dyDescent="0.3">
      <c r="A344" s="3" t="s">
        <v>232</v>
      </c>
      <c r="B344" s="3">
        <v>0.9</v>
      </c>
      <c r="C344" s="3">
        <v>0.5</v>
      </c>
      <c r="D344" s="3">
        <v>0.6</v>
      </c>
      <c r="E344" s="3">
        <v>0.08</v>
      </c>
      <c r="F344" s="6">
        <v>717.395264</v>
      </c>
      <c r="G344" s="3">
        <v>0.01</v>
      </c>
      <c r="I344" s="3" t="s">
        <v>232</v>
      </c>
      <c r="J344" s="3">
        <v>0.64</v>
      </c>
      <c r="K344" s="7">
        <v>873.409851</v>
      </c>
      <c r="L344" s="3">
        <v>2E-3</v>
      </c>
      <c r="M344" s="3">
        <f t="shared" si="36"/>
        <v>0.36</v>
      </c>
      <c r="N344" s="5"/>
      <c r="O344" s="5"/>
      <c r="P344" s="5"/>
      <c r="Q344" s="5"/>
      <c r="S344" s="3" t="s">
        <v>232</v>
      </c>
      <c r="T344" s="3">
        <v>0.9</v>
      </c>
      <c r="U344" s="3">
        <v>0.5</v>
      </c>
      <c r="V344" s="3">
        <v>0.6</v>
      </c>
      <c r="W344" s="3">
        <v>0.33</v>
      </c>
      <c r="X344" s="7">
        <v>778.39917000000003</v>
      </c>
      <c r="Y344" s="3">
        <v>1.4E-2</v>
      </c>
      <c r="AA344" s="3" t="s">
        <v>232</v>
      </c>
      <c r="AB344" s="3">
        <v>0.05</v>
      </c>
      <c r="AC344" s="6">
        <v>680.33019999999999</v>
      </c>
      <c r="AD344" s="3">
        <v>2E-3</v>
      </c>
      <c r="AE344" s="3">
        <f t="shared" si="37"/>
        <v>0.19</v>
      </c>
      <c r="AF344" s="5"/>
      <c r="AG344" s="5"/>
      <c r="AH344" s="5"/>
      <c r="AI344" s="5"/>
      <c r="AK344" s="3" t="s">
        <v>233</v>
      </c>
      <c r="AL344" s="3">
        <v>0.9</v>
      </c>
      <c r="AM344" s="3">
        <v>0.5</v>
      </c>
      <c r="AN344" s="3">
        <v>0.6</v>
      </c>
      <c r="AO344" s="3">
        <v>0.66</v>
      </c>
      <c r="AP344" s="6">
        <v>1177.995361</v>
      </c>
      <c r="AQ344" s="3">
        <v>0.02</v>
      </c>
      <c r="AS344" s="3" t="s">
        <v>233</v>
      </c>
      <c r="AT344" s="3">
        <v>0.75</v>
      </c>
      <c r="AU344" s="7">
        <v>1219.903442</v>
      </c>
      <c r="AV344" s="3">
        <v>2E-3</v>
      </c>
      <c r="AW344" s="3">
        <f t="shared" si="38"/>
        <v>0.70500000000000007</v>
      </c>
      <c r="AX344" s="5"/>
      <c r="AY344" s="5"/>
      <c r="AZ344" s="5"/>
      <c r="BA344" s="5"/>
      <c r="BC344" s="3" t="s">
        <v>233</v>
      </c>
      <c r="BD344" s="3">
        <v>0.9</v>
      </c>
      <c r="BE344" s="3">
        <v>0.5</v>
      </c>
      <c r="BF344" s="3">
        <v>0.6</v>
      </c>
      <c r="BG344" s="3">
        <v>0.36</v>
      </c>
      <c r="BH344" s="6">
        <v>1049.901611</v>
      </c>
      <c r="BI344" s="3">
        <v>1.4E-2</v>
      </c>
      <c r="BK344" s="3" t="s">
        <v>233</v>
      </c>
      <c r="BL344" s="3">
        <v>0.86</v>
      </c>
      <c r="BM344" s="7">
        <v>1223.854126</v>
      </c>
      <c r="BN344" s="3">
        <v>3.0000000000000001E-3</v>
      </c>
      <c r="BO344" s="3">
        <f t="shared" si="39"/>
        <v>0.61</v>
      </c>
    </row>
    <row r="345" spans="1:67" x14ac:dyDescent="0.3">
      <c r="A345" s="3" t="s">
        <v>234</v>
      </c>
      <c r="B345" s="3">
        <v>0.9</v>
      </c>
      <c r="C345" s="3">
        <v>0.5</v>
      </c>
      <c r="D345" s="3">
        <v>0.6</v>
      </c>
      <c r="E345" s="3">
        <v>0.18</v>
      </c>
      <c r="F345" s="6">
        <v>703.06957999999997</v>
      </c>
      <c r="G345" s="3">
        <v>1.4E-2</v>
      </c>
      <c r="I345" s="3" t="s">
        <v>234</v>
      </c>
      <c r="J345" s="3">
        <v>0.52</v>
      </c>
      <c r="K345" s="7">
        <v>822.20971699999996</v>
      </c>
      <c r="L345" s="3">
        <v>1E-3</v>
      </c>
      <c r="M345" s="3">
        <f t="shared" si="36"/>
        <v>0.35</v>
      </c>
      <c r="N345" s="5"/>
      <c r="O345" s="5"/>
      <c r="P345" s="5"/>
      <c r="Q345" s="5"/>
      <c r="S345" s="3" t="s">
        <v>234</v>
      </c>
      <c r="T345" s="3">
        <v>0.9</v>
      </c>
      <c r="U345" s="3">
        <v>0.5</v>
      </c>
      <c r="V345" s="3">
        <v>0.6</v>
      </c>
      <c r="W345" s="3">
        <v>0.49</v>
      </c>
      <c r="X345" s="7">
        <v>785.89434800000004</v>
      </c>
      <c r="Y345" s="3">
        <v>2.1000000000000001E-2</v>
      </c>
      <c r="AA345" s="3" t="s">
        <v>234</v>
      </c>
      <c r="AB345" s="3">
        <v>0.4</v>
      </c>
      <c r="AC345" s="6">
        <v>726.79620399999999</v>
      </c>
      <c r="AD345" s="3">
        <v>2E-3</v>
      </c>
      <c r="AE345" s="3">
        <f t="shared" si="37"/>
        <v>0.44500000000000001</v>
      </c>
      <c r="AF345" s="5"/>
      <c r="AG345" s="5"/>
      <c r="AH345" s="5"/>
      <c r="AI345" s="5"/>
      <c r="AK345" s="3" t="s">
        <v>235</v>
      </c>
      <c r="AL345" s="3">
        <v>0.9</v>
      </c>
      <c r="AM345" s="3">
        <v>0.5</v>
      </c>
      <c r="AN345" s="3">
        <v>0.6</v>
      </c>
      <c r="AO345" s="3">
        <v>0.7</v>
      </c>
      <c r="AP345" s="7">
        <v>1309.2692870000001</v>
      </c>
      <c r="AQ345" s="3">
        <v>2.3E-2</v>
      </c>
      <c r="AS345" s="3" t="s">
        <v>235</v>
      </c>
      <c r="AT345" s="3">
        <v>0.06</v>
      </c>
      <c r="AU345" s="6">
        <v>903.96435499999995</v>
      </c>
      <c r="AV345" s="3">
        <v>2E-3</v>
      </c>
      <c r="AW345" s="3">
        <f t="shared" si="38"/>
        <v>0.38</v>
      </c>
      <c r="AX345" s="5"/>
      <c r="AY345" s="5"/>
      <c r="AZ345" s="5"/>
      <c r="BA345" s="5"/>
      <c r="BC345" s="3" t="s">
        <v>235</v>
      </c>
      <c r="BD345" s="3">
        <v>0.9</v>
      </c>
      <c r="BE345" s="3">
        <v>0.5</v>
      </c>
      <c r="BF345" s="3">
        <v>0.6</v>
      </c>
      <c r="BG345" s="3">
        <v>0.42</v>
      </c>
      <c r="BH345" s="6">
        <v>1123.2208250000001</v>
      </c>
      <c r="BI345" s="3">
        <v>1.6E-2</v>
      </c>
      <c r="BK345" s="3" t="s">
        <v>235</v>
      </c>
      <c r="BL345" s="3">
        <v>0.44</v>
      </c>
      <c r="BM345" s="7">
        <v>1155.762817</v>
      </c>
      <c r="BN345" s="3">
        <v>1E-3</v>
      </c>
      <c r="BO345" s="3">
        <f t="shared" si="39"/>
        <v>0.43</v>
      </c>
    </row>
    <row r="346" spans="1:67" x14ac:dyDescent="0.3">
      <c r="A346" s="3" t="s">
        <v>236</v>
      </c>
      <c r="B346" s="3">
        <v>0.9</v>
      </c>
      <c r="C346" s="3">
        <v>0.5</v>
      </c>
      <c r="D346" s="3">
        <v>0.6</v>
      </c>
      <c r="E346" s="3">
        <v>0.25</v>
      </c>
      <c r="F346" s="6">
        <v>749.319885</v>
      </c>
      <c r="G346" s="3">
        <v>1.9E-2</v>
      </c>
      <c r="I346" s="3" t="s">
        <v>236</v>
      </c>
      <c r="J346" s="3">
        <v>0.51</v>
      </c>
      <c r="K346" s="7">
        <v>877.03100600000005</v>
      </c>
      <c r="L346" s="3">
        <v>1E-3</v>
      </c>
      <c r="M346" s="3">
        <f t="shared" si="36"/>
        <v>0.38</v>
      </c>
      <c r="N346" s="5"/>
      <c r="O346" s="5"/>
      <c r="P346" s="5"/>
      <c r="Q346" s="5"/>
      <c r="S346" s="3" t="s">
        <v>236</v>
      </c>
      <c r="T346" s="3">
        <v>0.9</v>
      </c>
      <c r="U346" s="3">
        <v>0.5</v>
      </c>
      <c r="V346" s="3">
        <v>0.6</v>
      </c>
      <c r="W346" s="3">
        <v>0.47</v>
      </c>
      <c r="X346" s="7">
        <v>840.60430899999994</v>
      </c>
      <c r="Y346" s="3">
        <v>1.4E-2</v>
      </c>
      <c r="AA346" s="3" t="s">
        <v>236</v>
      </c>
      <c r="AB346" s="3">
        <v>0.38</v>
      </c>
      <c r="AC346" s="6">
        <v>762.42944299999999</v>
      </c>
      <c r="AD346" s="3">
        <v>3.0000000000000001E-3</v>
      </c>
      <c r="AE346" s="3">
        <f t="shared" si="37"/>
        <v>0.42499999999999999</v>
      </c>
      <c r="AF346" s="5"/>
      <c r="AG346" s="5"/>
      <c r="AH346" s="5"/>
      <c r="AI346" s="5"/>
      <c r="AK346" s="3" t="s">
        <v>237</v>
      </c>
      <c r="AL346" s="3">
        <v>0.9</v>
      </c>
      <c r="AM346" s="3">
        <v>0.5</v>
      </c>
      <c r="AN346" s="3">
        <v>0.6</v>
      </c>
      <c r="AO346" s="3">
        <v>0.87</v>
      </c>
      <c r="AP346" s="7">
        <v>1343.505615</v>
      </c>
      <c r="AQ346" s="3">
        <v>1.6E-2</v>
      </c>
      <c r="AS346" s="3" t="s">
        <v>237</v>
      </c>
      <c r="AT346" s="3">
        <v>0.75</v>
      </c>
      <c r="AU346" s="6">
        <v>1305.890259</v>
      </c>
      <c r="AV346" s="3">
        <v>5.0000000000000001E-3</v>
      </c>
      <c r="AW346" s="3">
        <f t="shared" si="38"/>
        <v>0.81</v>
      </c>
      <c r="AX346" s="5"/>
      <c r="AY346" s="5"/>
      <c r="AZ346" s="5"/>
      <c r="BA346" s="5"/>
      <c r="BC346" s="3" t="s">
        <v>237</v>
      </c>
      <c r="BD346" s="3">
        <v>0.9</v>
      </c>
      <c r="BE346" s="3">
        <v>0.5</v>
      </c>
      <c r="BF346" s="3">
        <v>0.6</v>
      </c>
      <c r="BG346" s="3">
        <v>0.39</v>
      </c>
      <c r="BH346" s="6">
        <v>1121.5070800000001</v>
      </c>
      <c r="BI346" s="3">
        <v>1.6E-2</v>
      </c>
      <c r="BK346" s="3" t="s">
        <v>237</v>
      </c>
      <c r="BL346" s="3">
        <v>0.53</v>
      </c>
      <c r="BM346" s="7">
        <v>1229.8115230000001</v>
      </c>
      <c r="BN346" s="3">
        <v>5.0000000000000001E-3</v>
      </c>
      <c r="BO346" s="3">
        <f t="shared" si="39"/>
        <v>0.46</v>
      </c>
    </row>
    <row r="347" spans="1:67" x14ac:dyDescent="0.3">
      <c r="A347" s="3" t="s">
        <v>238</v>
      </c>
      <c r="B347" s="3">
        <v>0.9</v>
      </c>
      <c r="C347" s="3">
        <v>0.5</v>
      </c>
      <c r="D347" s="3">
        <v>0.6</v>
      </c>
      <c r="E347" s="3">
        <v>0.97</v>
      </c>
      <c r="F347" s="7">
        <v>973.22717299999999</v>
      </c>
      <c r="G347" s="3">
        <v>1.0999999999999999E-2</v>
      </c>
      <c r="I347" s="3" t="s">
        <v>238</v>
      </c>
      <c r="J347" s="3">
        <v>7.0000000000000007E-2</v>
      </c>
      <c r="K347" s="6">
        <v>669.32940699999995</v>
      </c>
      <c r="L347" s="3">
        <v>1E-3</v>
      </c>
      <c r="M347" s="3">
        <f t="shared" si="36"/>
        <v>0.52</v>
      </c>
      <c r="N347" s="5"/>
      <c r="O347" s="5"/>
      <c r="P347" s="5"/>
      <c r="Q347" s="5"/>
      <c r="S347" s="3" t="s">
        <v>238</v>
      </c>
      <c r="T347" s="3">
        <v>0.9</v>
      </c>
      <c r="U347" s="3">
        <v>0.5</v>
      </c>
      <c r="V347" s="3">
        <v>0.6</v>
      </c>
      <c r="W347" s="3">
        <v>0.75</v>
      </c>
      <c r="X347" s="7">
        <v>893.51654099999996</v>
      </c>
      <c r="Y347" s="3">
        <v>1.4E-2</v>
      </c>
      <c r="AA347" s="3" t="s">
        <v>238</v>
      </c>
      <c r="AB347" s="3">
        <v>0.01</v>
      </c>
      <c r="AC347" s="6">
        <v>686.05828899999995</v>
      </c>
      <c r="AD347" s="3">
        <v>6.0000000000000001E-3</v>
      </c>
      <c r="AE347" s="3">
        <f t="shared" si="37"/>
        <v>0.38</v>
      </c>
      <c r="AF347" s="5"/>
      <c r="AG347" s="5"/>
      <c r="AH347" s="5"/>
      <c r="AI347" s="5"/>
      <c r="AK347" s="3" t="s">
        <v>239</v>
      </c>
      <c r="AL347" s="3">
        <v>0.9</v>
      </c>
      <c r="AM347" s="3">
        <v>0.5</v>
      </c>
      <c r="AN347" s="3">
        <v>0.6</v>
      </c>
      <c r="AO347" s="3">
        <v>0.74</v>
      </c>
      <c r="AP347" s="6">
        <v>1455.5083010000001</v>
      </c>
      <c r="AQ347" s="3">
        <v>2.1999999999999999E-2</v>
      </c>
      <c r="AS347" s="3" t="s">
        <v>239</v>
      </c>
      <c r="AT347" s="3">
        <v>0.8</v>
      </c>
      <c r="AU347" s="7">
        <v>1487.0789789999999</v>
      </c>
      <c r="AV347" s="3">
        <v>5.0000000000000001E-3</v>
      </c>
      <c r="AW347" s="3">
        <f t="shared" si="38"/>
        <v>0.77</v>
      </c>
      <c r="AX347" s="5"/>
      <c r="AY347" s="5"/>
      <c r="AZ347" s="5"/>
      <c r="BA347" s="5"/>
      <c r="BC347" s="3" t="s">
        <v>239</v>
      </c>
      <c r="BD347" s="3">
        <v>0.9</v>
      </c>
      <c r="BE347" s="3">
        <v>0.5</v>
      </c>
      <c r="BF347" s="3">
        <v>0.6</v>
      </c>
      <c r="BG347" s="3">
        <v>0.28999999999999998</v>
      </c>
      <c r="BH347" s="6">
        <v>1107.529053</v>
      </c>
      <c r="BI347" s="3">
        <v>0.03</v>
      </c>
      <c r="BK347" s="3" t="s">
        <v>239</v>
      </c>
      <c r="BL347" s="3">
        <v>0.51</v>
      </c>
      <c r="BM347" s="7">
        <v>1279.563232</v>
      </c>
      <c r="BN347" s="3">
        <v>6.0000000000000001E-3</v>
      </c>
      <c r="BO347" s="3">
        <f t="shared" si="39"/>
        <v>0.4</v>
      </c>
    </row>
    <row r="348" spans="1:67" x14ac:dyDescent="0.3">
      <c r="A348" s="3" t="s">
        <v>240</v>
      </c>
      <c r="B348" s="3">
        <v>0.9</v>
      </c>
      <c r="C348" s="3">
        <v>0.5</v>
      </c>
      <c r="D348" s="3">
        <v>0.6</v>
      </c>
      <c r="E348" s="3">
        <v>0.88</v>
      </c>
      <c r="F348" s="7">
        <v>921.17620799999997</v>
      </c>
      <c r="G348" s="3">
        <v>1.0999999999999999E-2</v>
      </c>
      <c r="I348" s="3" t="s">
        <v>240</v>
      </c>
      <c r="J348" s="3">
        <v>0.25</v>
      </c>
      <c r="K348" s="6">
        <v>696.55090299999995</v>
      </c>
      <c r="L348" s="3">
        <v>3.0000000000000001E-3</v>
      </c>
      <c r="M348" s="3">
        <f t="shared" si="36"/>
        <v>0.56499999999999995</v>
      </c>
      <c r="N348" s="5"/>
      <c r="O348" s="5"/>
      <c r="P348" s="5"/>
      <c r="Q348" s="5"/>
      <c r="S348" s="3" t="s">
        <v>240</v>
      </c>
      <c r="T348" s="3">
        <v>0.9</v>
      </c>
      <c r="U348" s="3">
        <v>0.5</v>
      </c>
      <c r="V348" s="3">
        <v>0.6</v>
      </c>
      <c r="W348" s="3">
        <v>0.05</v>
      </c>
      <c r="X348" s="6">
        <v>644.80865500000004</v>
      </c>
      <c r="Y348" s="3">
        <v>1.6E-2</v>
      </c>
      <c r="AA348" s="3" t="s">
        <v>240</v>
      </c>
      <c r="AB348" s="3">
        <v>0.55000000000000004</v>
      </c>
      <c r="AC348" s="7">
        <v>773.61822500000005</v>
      </c>
      <c r="AD348" s="3">
        <v>1E-3</v>
      </c>
      <c r="AE348" s="3">
        <f t="shared" si="37"/>
        <v>0.30000000000000004</v>
      </c>
      <c r="AF348" s="5"/>
      <c r="AG348" s="5"/>
      <c r="AH348" s="5"/>
      <c r="AI348" s="5"/>
      <c r="AK348" s="3" t="s">
        <v>241</v>
      </c>
      <c r="AL348" s="3">
        <v>0.9</v>
      </c>
      <c r="AM348" s="3">
        <v>0.5</v>
      </c>
      <c r="AN348" s="3">
        <v>0.6</v>
      </c>
      <c r="AO348" s="3">
        <v>0.91</v>
      </c>
      <c r="AP348" s="7">
        <v>1315.493164</v>
      </c>
      <c r="AQ348" s="3">
        <v>0.03</v>
      </c>
      <c r="AS348" s="3" t="s">
        <v>241</v>
      </c>
      <c r="AT348" s="3">
        <v>0.75</v>
      </c>
      <c r="AU348" s="6">
        <v>1288.5657960000001</v>
      </c>
      <c r="AV348" s="3">
        <v>6.0000000000000001E-3</v>
      </c>
      <c r="AW348" s="3">
        <f t="shared" si="38"/>
        <v>0.83000000000000007</v>
      </c>
      <c r="AX348" s="5"/>
      <c r="AY348" s="5"/>
      <c r="AZ348" s="5"/>
      <c r="BA348" s="5"/>
      <c r="BC348" s="3" t="s">
        <v>241</v>
      </c>
      <c r="BD348" s="3">
        <v>0.9</v>
      </c>
      <c r="BE348" s="3">
        <v>0.5</v>
      </c>
      <c r="BF348" s="3">
        <v>0.6</v>
      </c>
      <c r="BG348" s="3">
        <v>0.28999999999999998</v>
      </c>
      <c r="BH348" s="6">
        <v>1034.9086910000001</v>
      </c>
      <c r="BI348" s="3">
        <v>1.4999999999999999E-2</v>
      </c>
      <c r="BK348" s="3" t="s">
        <v>241</v>
      </c>
      <c r="BL348" s="3">
        <v>0.83</v>
      </c>
      <c r="BM348" s="7">
        <v>1315.200439</v>
      </c>
      <c r="BN348" s="3">
        <v>2E-3</v>
      </c>
      <c r="BO348" s="3">
        <f t="shared" si="39"/>
        <v>0.55999999999999994</v>
      </c>
    </row>
    <row r="349" spans="1:67" x14ac:dyDescent="0.3">
      <c r="A349" s="3" t="s">
        <v>242</v>
      </c>
      <c r="B349" s="3">
        <v>0.9</v>
      </c>
      <c r="C349" s="3">
        <v>0.5</v>
      </c>
      <c r="D349" s="3">
        <v>0.6</v>
      </c>
      <c r="E349" s="3">
        <v>0.5</v>
      </c>
      <c r="F349" s="6">
        <v>791.317993</v>
      </c>
      <c r="G349" s="3">
        <v>2.3E-2</v>
      </c>
      <c r="I349" s="3" t="s">
        <v>242</v>
      </c>
      <c r="J349" s="3">
        <v>0.7</v>
      </c>
      <c r="K349" s="7">
        <v>895.61651600000005</v>
      </c>
      <c r="L349" s="3">
        <v>5.0000000000000001E-3</v>
      </c>
      <c r="M349" s="3">
        <f t="shared" si="36"/>
        <v>0.6</v>
      </c>
      <c r="N349" s="5"/>
      <c r="O349" s="5"/>
      <c r="P349" s="5"/>
      <c r="Q349" s="5"/>
      <c r="S349" s="3" t="s">
        <v>242</v>
      </c>
      <c r="T349" s="3">
        <v>0.9</v>
      </c>
      <c r="U349" s="3">
        <v>0.5</v>
      </c>
      <c r="V349" s="3">
        <v>0.6</v>
      </c>
      <c r="W349" s="3">
        <v>0.51</v>
      </c>
      <c r="X349" s="6">
        <v>778.02856399999996</v>
      </c>
      <c r="Y349" s="3">
        <v>1.0999999999999999E-2</v>
      </c>
      <c r="AA349" s="3" t="s">
        <v>242</v>
      </c>
      <c r="AB349" s="3">
        <v>0.68</v>
      </c>
      <c r="AC349" s="7">
        <v>854.20086700000002</v>
      </c>
      <c r="AD349" s="3">
        <v>1E-3</v>
      </c>
      <c r="AE349" s="3">
        <f t="shared" si="37"/>
        <v>0.59499999999999997</v>
      </c>
      <c r="AF349" s="5"/>
      <c r="AG349" s="5"/>
      <c r="AH349" s="5"/>
      <c r="AI349" s="5"/>
      <c r="AK349" s="3" t="s">
        <v>243</v>
      </c>
      <c r="AL349" s="3">
        <v>0.9</v>
      </c>
      <c r="AM349" s="3">
        <v>0.5</v>
      </c>
      <c r="AN349" s="3">
        <v>0.6</v>
      </c>
      <c r="AO349" s="3">
        <v>0.34</v>
      </c>
      <c r="AP349" s="6">
        <v>1236.799683</v>
      </c>
      <c r="AQ349" s="3">
        <v>1.6E-2</v>
      </c>
      <c r="AS349" s="3" t="s">
        <v>243</v>
      </c>
      <c r="AT349" s="3">
        <v>0.63</v>
      </c>
      <c r="AU349" s="7">
        <v>1419.634888</v>
      </c>
      <c r="AV349" s="3">
        <v>1E-3</v>
      </c>
      <c r="AW349" s="3">
        <f t="shared" si="38"/>
        <v>0.48499999999999999</v>
      </c>
      <c r="AX349" s="5"/>
      <c r="AY349" s="5"/>
      <c r="AZ349" s="5"/>
      <c r="BA349" s="5"/>
      <c r="BC349" s="3" t="s">
        <v>243</v>
      </c>
      <c r="BD349" s="3">
        <v>0.9</v>
      </c>
      <c r="BE349" s="3">
        <v>0.5</v>
      </c>
      <c r="BF349" s="3">
        <v>0.6</v>
      </c>
      <c r="BG349" s="3">
        <v>0.79</v>
      </c>
      <c r="BH349" s="7">
        <v>1530.826172</v>
      </c>
      <c r="BI349" s="3">
        <v>1.4E-2</v>
      </c>
      <c r="BK349" s="3" t="s">
        <v>243</v>
      </c>
      <c r="BL349" s="3">
        <v>0.04</v>
      </c>
      <c r="BM349" s="6">
        <v>936.35797100000002</v>
      </c>
      <c r="BN349" s="3">
        <v>2E-3</v>
      </c>
      <c r="BO349" s="3">
        <f t="shared" si="39"/>
        <v>0.41500000000000004</v>
      </c>
    </row>
    <row r="350" spans="1:67" x14ac:dyDescent="0.3">
      <c r="A350" s="3" t="s">
        <v>244</v>
      </c>
      <c r="B350" s="3">
        <v>0.9</v>
      </c>
      <c r="C350" s="3">
        <v>0.5</v>
      </c>
      <c r="D350" s="3">
        <v>0.6</v>
      </c>
      <c r="E350" s="3">
        <v>0.91</v>
      </c>
      <c r="F350" s="7">
        <v>935.87652600000001</v>
      </c>
      <c r="G350" s="3">
        <v>1.2999999999999999E-2</v>
      </c>
      <c r="I350" s="3" t="s">
        <v>244</v>
      </c>
      <c r="J350" s="3">
        <v>0.28000000000000003</v>
      </c>
      <c r="K350" s="6">
        <v>718.31011999999998</v>
      </c>
      <c r="L350" s="3">
        <v>2E-3</v>
      </c>
      <c r="M350" s="3">
        <f t="shared" si="36"/>
        <v>0.59499999999999997</v>
      </c>
      <c r="N350" s="5"/>
      <c r="O350" s="5"/>
      <c r="P350" s="5"/>
      <c r="Q350" s="5"/>
      <c r="S350" s="3" t="s">
        <v>244</v>
      </c>
      <c r="T350" s="3">
        <v>0.9</v>
      </c>
      <c r="U350" s="3">
        <v>0.5</v>
      </c>
      <c r="V350" s="3">
        <v>0.6</v>
      </c>
      <c r="W350" s="3">
        <v>0.08</v>
      </c>
      <c r="X350" s="6">
        <v>650.52703899999995</v>
      </c>
      <c r="Y350" s="3">
        <v>1.7000000000000001E-2</v>
      </c>
      <c r="AA350" s="3" t="s">
        <v>244</v>
      </c>
      <c r="AB350" s="3">
        <v>0.02</v>
      </c>
      <c r="AC350" s="7">
        <v>660.229736</v>
      </c>
      <c r="AD350" s="3">
        <v>0</v>
      </c>
      <c r="AE350" s="3">
        <f t="shared" si="37"/>
        <v>0.05</v>
      </c>
      <c r="AF350" s="5"/>
      <c r="AG350" s="5"/>
      <c r="AH350" s="5"/>
      <c r="AI350" s="5"/>
      <c r="AK350" s="3" t="s">
        <v>245</v>
      </c>
      <c r="AL350" s="3">
        <v>0.9</v>
      </c>
      <c r="AM350" s="3">
        <v>0.5</v>
      </c>
      <c r="AN350" s="3">
        <v>0.6</v>
      </c>
      <c r="AO350" s="3">
        <v>0.13</v>
      </c>
      <c r="AP350" s="6">
        <v>1025.7016599999999</v>
      </c>
      <c r="AQ350" s="3">
        <v>3.3000000000000002E-2</v>
      </c>
      <c r="AS350" s="3" t="s">
        <v>245</v>
      </c>
      <c r="AT350" s="3">
        <v>0.36</v>
      </c>
      <c r="AU350" s="7">
        <v>1217.0045170000001</v>
      </c>
      <c r="AV350" s="3">
        <v>3.0000000000000001E-3</v>
      </c>
      <c r="AW350" s="3">
        <f t="shared" si="38"/>
        <v>0.245</v>
      </c>
      <c r="AX350" s="5"/>
      <c r="AY350" s="5"/>
      <c r="AZ350" s="5"/>
      <c r="BA350" s="5"/>
      <c r="BC350" s="3" t="s">
        <v>245</v>
      </c>
      <c r="BD350" s="3">
        <v>0.9</v>
      </c>
      <c r="BE350" s="3">
        <v>0.5</v>
      </c>
      <c r="BF350" s="3">
        <v>0.6</v>
      </c>
      <c r="BG350" s="3">
        <v>0.46</v>
      </c>
      <c r="BH350" s="6">
        <v>1263.467529</v>
      </c>
      <c r="BI350" s="3">
        <v>2.5000000000000001E-2</v>
      </c>
      <c r="BK350" s="3" t="s">
        <v>245</v>
      </c>
      <c r="BL350" s="3">
        <v>0.61</v>
      </c>
      <c r="BM350" s="7">
        <v>1389.8446039999999</v>
      </c>
      <c r="BN350" s="3">
        <v>3.0000000000000001E-3</v>
      </c>
      <c r="BO350" s="3">
        <f t="shared" si="39"/>
        <v>0.53500000000000003</v>
      </c>
    </row>
    <row r="351" spans="1:67" x14ac:dyDescent="0.3">
      <c r="A351" s="3" t="s">
        <v>246</v>
      </c>
      <c r="B351" s="3">
        <v>0.9</v>
      </c>
      <c r="C351" s="3">
        <v>0.5</v>
      </c>
      <c r="D351" s="3">
        <v>0.6</v>
      </c>
      <c r="E351" s="3">
        <v>0.27</v>
      </c>
      <c r="F351" s="6">
        <v>709.62792999999999</v>
      </c>
      <c r="G351" s="3">
        <v>0.01</v>
      </c>
      <c r="I351" s="3" t="s">
        <v>246</v>
      </c>
      <c r="J351" s="3">
        <v>0.65</v>
      </c>
      <c r="K351" s="7">
        <v>889.77337599999998</v>
      </c>
      <c r="L351" s="3">
        <v>0.01</v>
      </c>
      <c r="M351" s="3">
        <f t="shared" si="36"/>
        <v>0.46</v>
      </c>
      <c r="N351" s="5"/>
      <c r="O351" s="5"/>
      <c r="P351" s="5"/>
      <c r="Q351" s="5"/>
      <c r="S351" s="3" t="s">
        <v>246</v>
      </c>
      <c r="T351" s="3">
        <v>0.9</v>
      </c>
      <c r="U351" s="3">
        <v>0.5</v>
      </c>
      <c r="V351" s="3">
        <v>0.6</v>
      </c>
      <c r="W351" s="3">
        <v>0.82</v>
      </c>
      <c r="X351" s="7">
        <v>882.59808299999997</v>
      </c>
      <c r="Y351" s="3">
        <v>2.1000000000000001E-2</v>
      </c>
      <c r="AA351" s="3" t="s">
        <v>246</v>
      </c>
      <c r="AB351" s="3">
        <v>0.53</v>
      </c>
      <c r="AC351" s="6">
        <v>802.78411900000003</v>
      </c>
      <c r="AD351" s="3">
        <v>2E-3</v>
      </c>
      <c r="AE351" s="3">
        <f t="shared" si="37"/>
        <v>0.67500000000000004</v>
      </c>
      <c r="AF351" s="5"/>
      <c r="AG351" s="5"/>
      <c r="AH351" s="5"/>
      <c r="AI351" s="5"/>
      <c r="AK351" s="3" t="s">
        <v>247</v>
      </c>
      <c r="AL351" s="3">
        <v>0.9</v>
      </c>
      <c r="AM351" s="3">
        <v>0.5</v>
      </c>
      <c r="AN351" s="3">
        <v>0.6</v>
      </c>
      <c r="AO351" s="3">
        <v>0.09</v>
      </c>
      <c r="AP351" s="6">
        <v>863.61450200000002</v>
      </c>
      <c r="AQ351" s="3">
        <v>1.7000000000000001E-2</v>
      </c>
      <c r="AS351" s="3" t="s">
        <v>247</v>
      </c>
      <c r="AT351" s="3">
        <v>0.16</v>
      </c>
      <c r="AU351" s="7">
        <v>940.62457300000005</v>
      </c>
      <c r="AV351" s="3">
        <v>7.0000000000000001E-3</v>
      </c>
      <c r="AW351" s="3">
        <f t="shared" si="38"/>
        <v>0.125</v>
      </c>
      <c r="AX351" s="5"/>
      <c r="AY351" s="5"/>
      <c r="AZ351" s="5"/>
      <c r="BA351" s="5"/>
      <c r="BC351" s="3" t="s">
        <v>247</v>
      </c>
      <c r="BD351" s="3">
        <v>0.9</v>
      </c>
      <c r="BE351" s="3">
        <v>0.5</v>
      </c>
      <c r="BF351" s="3">
        <v>0.6</v>
      </c>
      <c r="BG351" s="3">
        <v>0.55000000000000004</v>
      </c>
      <c r="BH351" s="6">
        <v>1151.6552730000001</v>
      </c>
      <c r="BI351" s="3">
        <v>2.1000000000000001E-2</v>
      </c>
      <c r="BK351" s="3" t="s">
        <v>247</v>
      </c>
      <c r="BL351" s="3">
        <v>0.82</v>
      </c>
      <c r="BM351" s="7">
        <v>1278.690186</v>
      </c>
      <c r="BN351" s="3">
        <v>3.0000000000000001E-3</v>
      </c>
      <c r="BO351" s="3">
        <f t="shared" si="39"/>
        <v>0.68500000000000005</v>
      </c>
    </row>
    <row r="352" spans="1:67" x14ac:dyDescent="0.3">
      <c r="A352" s="3" t="s">
        <v>248</v>
      </c>
      <c r="B352" s="3">
        <v>0.9</v>
      </c>
      <c r="C352" s="3">
        <v>0.5</v>
      </c>
      <c r="D352" s="3">
        <v>0.6</v>
      </c>
      <c r="E352" s="3">
        <v>0.53</v>
      </c>
      <c r="F352" s="7">
        <v>839.39648399999999</v>
      </c>
      <c r="G352" s="3">
        <v>2.1999999999999999E-2</v>
      </c>
      <c r="I352" s="3" t="s">
        <v>248</v>
      </c>
      <c r="J352" s="3">
        <v>0.13</v>
      </c>
      <c r="K352" s="6">
        <v>716.67645300000004</v>
      </c>
      <c r="L352" s="3">
        <v>0</v>
      </c>
      <c r="M352" s="3">
        <f t="shared" si="36"/>
        <v>0.33</v>
      </c>
      <c r="N352" s="5"/>
      <c r="O352" s="5"/>
      <c r="P352" s="5"/>
      <c r="Q352" s="5"/>
      <c r="S352" s="3" t="s">
        <v>248</v>
      </c>
      <c r="T352" s="3">
        <v>0.9</v>
      </c>
      <c r="U352" s="3">
        <v>0.5</v>
      </c>
      <c r="V352" s="3">
        <v>0.6</v>
      </c>
      <c r="W352" s="3">
        <v>0.17</v>
      </c>
      <c r="X352" s="6">
        <v>722.833618</v>
      </c>
      <c r="Y352" s="3">
        <v>1.7999999999999999E-2</v>
      </c>
      <c r="AA352" s="3" t="s">
        <v>248</v>
      </c>
      <c r="AB352" s="3">
        <v>0.28000000000000003</v>
      </c>
      <c r="AC352" s="7">
        <v>742.48089600000003</v>
      </c>
      <c r="AD352" s="3">
        <v>0</v>
      </c>
      <c r="AE352" s="3">
        <f t="shared" si="37"/>
        <v>0.22500000000000003</v>
      </c>
      <c r="AF352" s="5"/>
      <c r="AG352" s="5"/>
      <c r="AH352" s="5"/>
      <c r="AI352" s="5"/>
      <c r="AK352" s="3" t="s">
        <v>249</v>
      </c>
      <c r="AL352" s="3">
        <v>0.9</v>
      </c>
      <c r="AM352" s="3">
        <v>0.5</v>
      </c>
      <c r="AN352" s="3">
        <v>0.6</v>
      </c>
      <c r="AO352" s="3">
        <v>0.19</v>
      </c>
      <c r="AP352" s="7">
        <v>1060.0360109999999</v>
      </c>
      <c r="AQ352" s="3">
        <v>2.5000000000000001E-2</v>
      </c>
      <c r="AS352" s="3" t="s">
        <v>249</v>
      </c>
      <c r="AT352" s="3">
        <v>0.13</v>
      </c>
      <c r="AU352" s="6">
        <v>987.37072799999999</v>
      </c>
      <c r="AV352" s="3">
        <v>3.0000000000000001E-3</v>
      </c>
      <c r="AW352" s="3">
        <f t="shared" si="38"/>
        <v>0.16</v>
      </c>
      <c r="AX352" s="5"/>
      <c r="AY352" s="5"/>
      <c r="AZ352" s="5"/>
      <c r="BA352" s="5"/>
      <c r="BC352" s="3" t="s">
        <v>249</v>
      </c>
      <c r="BD352" s="3">
        <v>0.9</v>
      </c>
      <c r="BE352" s="3">
        <v>0.5</v>
      </c>
      <c r="BF352" s="3">
        <v>0.6</v>
      </c>
      <c r="BG352" s="3">
        <v>0.47</v>
      </c>
      <c r="BH352" s="6">
        <v>1227.2082519999999</v>
      </c>
      <c r="BI352" s="3">
        <v>2.5999999999999999E-2</v>
      </c>
      <c r="BK352" s="3" t="s">
        <v>249</v>
      </c>
      <c r="BL352" s="3">
        <v>0.98</v>
      </c>
      <c r="BM352" s="7">
        <v>1479.6573490000001</v>
      </c>
      <c r="BN352" s="3">
        <v>4.0000000000000001E-3</v>
      </c>
      <c r="BO352" s="3">
        <f t="shared" si="39"/>
        <v>0.72499999999999998</v>
      </c>
    </row>
    <row r="353" spans="1:71" x14ac:dyDescent="0.3">
      <c r="A353" s="3" t="s">
        <v>250</v>
      </c>
      <c r="B353" s="3">
        <v>0.9</v>
      </c>
      <c r="C353" s="3">
        <v>0.5</v>
      </c>
      <c r="D353" s="3">
        <v>0.6</v>
      </c>
      <c r="E353" s="3">
        <v>0.46</v>
      </c>
      <c r="F353" s="7">
        <v>843.613831</v>
      </c>
      <c r="G353" s="3">
        <v>0.02</v>
      </c>
      <c r="I353" s="3" t="s">
        <v>250</v>
      </c>
      <c r="J353" s="3">
        <v>0.2</v>
      </c>
      <c r="K353" s="6">
        <v>738.63738999999998</v>
      </c>
      <c r="L353" s="3">
        <v>3.0000000000000001E-3</v>
      </c>
      <c r="M353" s="3">
        <f t="shared" si="36"/>
        <v>0.33</v>
      </c>
      <c r="N353" s="5"/>
      <c r="O353" s="5"/>
      <c r="P353" s="5"/>
      <c r="Q353" s="5"/>
      <c r="S353" s="3" t="s">
        <v>250</v>
      </c>
      <c r="T353" s="3">
        <v>0.9</v>
      </c>
      <c r="U353" s="3">
        <v>0.5</v>
      </c>
      <c r="V353" s="3">
        <v>0.6</v>
      </c>
      <c r="W353" s="3">
        <v>0.89</v>
      </c>
      <c r="X353" s="7">
        <v>909.220642</v>
      </c>
      <c r="Y353" s="3">
        <v>2.1999999999999999E-2</v>
      </c>
      <c r="AA353" s="3" t="s">
        <v>250</v>
      </c>
      <c r="AB353" s="3">
        <v>0.44</v>
      </c>
      <c r="AC353" s="6">
        <v>823.625</v>
      </c>
      <c r="AD353" s="3">
        <v>2E-3</v>
      </c>
      <c r="AE353" s="3">
        <f t="shared" si="37"/>
        <v>0.66500000000000004</v>
      </c>
      <c r="AF353" s="5"/>
      <c r="AG353" s="5"/>
      <c r="AH353" s="5"/>
      <c r="AI353" s="5"/>
      <c r="AK353" s="3" t="s">
        <v>251</v>
      </c>
      <c r="AL353" s="3">
        <v>0.9</v>
      </c>
      <c r="AM353" s="3">
        <v>0.5</v>
      </c>
      <c r="AN353" s="3">
        <v>0.6</v>
      </c>
      <c r="AO353" s="3">
        <v>0.17</v>
      </c>
      <c r="AP353" s="6">
        <v>1042.052246</v>
      </c>
      <c r="AQ353" s="3">
        <v>1.9E-2</v>
      </c>
      <c r="AS353" s="3" t="s">
        <v>251</v>
      </c>
      <c r="AT353" s="3">
        <v>0.69</v>
      </c>
      <c r="AU353" s="7">
        <v>1304.485107</v>
      </c>
      <c r="AV353" s="3">
        <v>3.0000000000000001E-3</v>
      </c>
      <c r="AW353" s="3">
        <f t="shared" si="38"/>
        <v>0.43</v>
      </c>
      <c r="AX353" s="5"/>
      <c r="AY353" s="5"/>
      <c r="AZ353" s="5"/>
      <c r="BA353" s="5"/>
      <c r="BC353" s="3" t="s">
        <v>251</v>
      </c>
      <c r="BD353" s="3">
        <v>0.9</v>
      </c>
      <c r="BE353" s="3">
        <v>0.5</v>
      </c>
      <c r="BF353" s="3">
        <v>0.6</v>
      </c>
      <c r="BG353" s="3">
        <v>0.52</v>
      </c>
      <c r="BH353" s="7">
        <v>1214.9257809999999</v>
      </c>
      <c r="BI353" s="3">
        <v>1.2E-2</v>
      </c>
      <c r="BK353" s="3" t="s">
        <v>251</v>
      </c>
      <c r="BL353" s="3">
        <v>0.02</v>
      </c>
      <c r="BM353" s="6">
        <v>944.37164299999995</v>
      </c>
      <c r="BN353" s="3">
        <v>8.0000000000000002E-3</v>
      </c>
      <c r="BO353" s="3">
        <f t="shared" si="39"/>
        <v>0.27</v>
      </c>
    </row>
    <row r="354" spans="1:71" x14ac:dyDescent="0.3">
      <c r="A354" s="3" t="s">
        <v>252</v>
      </c>
      <c r="B354" s="3">
        <v>0.9</v>
      </c>
      <c r="C354" s="3">
        <v>0.5</v>
      </c>
      <c r="D354" s="3">
        <v>0.6</v>
      </c>
      <c r="E354" s="3">
        <v>0.28000000000000003</v>
      </c>
      <c r="F354" s="6">
        <v>813.68536400000005</v>
      </c>
      <c r="G354" s="3">
        <v>1.7000000000000001E-2</v>
      </c>
      <c r="I354" s="3" t="s">
        <v>252</v>
      </c>
      <c r="J354" s="3">
        <v>0.35</v>
      </c>
      <c r="K354" s="8">
        <v>813.93841599999996</v>
      </c>
      <c r="L354" s="3">
        <v>1E-3</v>
      </c>
      <c r="M354" s="3">
        <f t="shared" si="36"/>
        <v>0.315</v>
      </c>
      <c r="N354" s="5"/>
      <c r="O354" s="5"/>
      <c r="P354" s="5"/>
      <c r="Q354" s="5"/>
      <c r="S354" s="3" t="s">
        <v>252</v>
      </c>
      <c r="T354" s="3">
        <v>0.9</v>
      </c>
      <c r="U354" s="3">
        <v>0.5</v>
      </c>
      <c r="V354" s="3">
        <v>0.6</v>
      </c>
      <c r="W354" s="3">
        <v>0.78</v>
      </c>
      <c r="X354" s="6">
        <v>999.13311799999997</v>
      </c>
      <c r="Y354" s="3">
        <v>1.2999999999999999E-2</v>
      </c>
      <c r="AA354" s="3" t="s">
        <v>252</v>
      </c>
      <c r="AB354" s="3">
        <v>0.85</v>
      </c>
      <c r="AC354" s="7">
        <v>1008.918945</v>
      </c>
      <c r="AD354" s="3">
        <v>7.0000000000000001E-3</v>
      </c>
      <c r="AE354" s="3">
        <f t="shared" si="37"/>
        <v>0.81499999999999995</v>
      </c>
      <c r="AF354" s="5"/>
      <c r="AG354" s="5"/>
      <c r="AH354" s="5"/>
      <c r="AI354" s="5"/>
      <c r="AK354" s="3" t="s">
        <v>253</v>
      </c>
      <c r="AL354" s="3">
        <v>0.9</v>
      </c>
      <c r="AM354" s="3">
        <v>0.5</v>
      </c>
      <c r="AN354" s="3">
        <v>0.6</v>
      </c>
      <c r="AO354" s="3">
        <v>0.3</v>
      </c>
      <c r="AP354" s="7">
        <v>1159.5375979999999</v>
      </c>
      <c r="AQ354" s="3">
        <v>2.5000000000000001E-2</v>
      </c>
      <c r="AS354" s="3" t="s">
        <v>253</v>
      </c>
      <c r="AT354" s="3">
        <v>0.25</v>
      </c>
      <c r="AU354" s="6">
        <v>1098.0473629999999</v>
      </c>
      <c r="AV354" s="3">
        <v>2E-3</v>
      </c>
      <c r="AW354" s="3">
        <f t="shared" si="38"/>
        <v>0.27500000000000002</v>
      </c>
      <c r="AX354" s="5"/>
      <c r="AY354" s="5"/>
      <c r="AZ354" s="5"/>
      <c r="BA354" s="5"/>
      <c r="BC354" s="3" t="s">
        <v>253</v>
      </c>
      <c r="BD354" s="3">
        <v>0.9</v>
      </c>
      <c r="BE354" s="3">
        <v>0.5</v>
      </c>
      <c r="BF354" s="3">
        <v>0.6</v>
      </c>
      <c r="BG354" s="3">
        <v>0.53</v>
      </c>
      <c r="BH354" s="6">
        <v>1272.0928960000001</v>
      </c>
      <c r="BI354" s="3">
        <v>1.2999999999999999E-2</v>
      </c>
      <c r="BK354" s="3" t="s">
        <v>253</v>
      </c>
      <c r="BL354" s="3">
        <v>0.89</v>
      </c>
      <c r="BM354" s="7">
        <v>1560.5751949999999</v>
      </c>
      <c r="BN354" s="3">
        <v>5.0000000000000001E-3</v>
      </c>
      <c r="BO354" s="3">
        <f t="shared" si="39"/>
        <v>0.71</v>
      </c>
    </row>
    <row r="355" spans="1:71" x14ac:dyDescent="0.3">
      <c r="A355" s="9" t="s">
        <v>316</v>
      </c>
      <c r="E355" s="9">
        <f>AVERAGE(E325:E354)</f>
        <v>0.42066666666666669</v>
      </c>
      <c r="I355" s="9" t="s">
        <v>316</v>
      </c>
      <c r="J355" s="9">
        <f>AVERAGE(J325:J354)</f>
        <v>0.47366666666666668</v>
      </c>
      <c r="M355" s="5"/>
      <c r="N355" s="5"/>
      <c r="O355" s="5"/>
      <c r="P355" s="5"/>
      <c r="Q355" s="5"/>
      <c r="S355" s="9" t="s">
        <v>316</v>
      </c>
      <c r="W355" s="9">
        <f>AVERAGE(W325:W354)</f>
        <v>0.46733333333333338</v>
      </c>
      <c r="AA355" s="9" t="s">
        <v>316</v>
      </c>
      <c r="AB355" s="9">
        <f>AVERAGE(AB325:AB354)</f>
        <v>0.39666666666666661</v>
      </c>
      <c r="AE355" s="5"/>
      <c r="AF355" s="5"/>
      <c r="AG355" s="5"/>
      <c r="AH355" s="5"/>
      <c r="AI355" s="5"/>
      <c r="AK355" s="9" t="s">
        <v>316</v>
      </c>
      <c r="AO355" s="9">
        <f>AVERAGE(AO325:AO354)</f>
        <v>0.48099999999999998</v>
      </c>
      <c r="AS355" s="9" t="s">
        <v>316</v>
      </c>
      <c r="AT355" s="9">
        <f>AVERAGE(AT325:AT354)</f>
        <v>0.49199999999999999</v>
      </c>
      <c r="AW355" s="5"/>
      <c r="AX355" s="5"/>
      <c r="AY355" s="5"/>
      <c r="AZ355" s="5"/>
      <c r="BA355" s="5"/>
      <c r="BC355" s="9" t="s">
        <v>316</v>
      </c>
      <c r="BG355" s="9">
        <f>AVERAGE(BG325:BG354)</f>
        <v>0.46766666666666656</v>
      </c>
      <c r="BK355" s="9" t="s">
        <v>316</v>
      </c>
      <c r="BL355" s="9">
        <f>AVERAGE(BL325:BL354)</f>
        <v>0.53433333333333322</v>
      </c>
      <c r="BO355" s="5"/>
    </row>
    <row r="356" spans="1:71" x14ac:dyDescent="0.3">
      <c r="M356" s="5"/>
      <c r="N356" s="5"/>
      <c r="O356" s="5"/>
      <c r="P356" s="5"/>
      <c r="Q356" s="5"/>
      <c r="AE356" s="5"/>
      <c r="AF356" s="5"/>
      <c r="AG356" s="5"/>
      <c r="AH356" s="5"/>
      <c r="AI356" s="5"/>
      <c r="AW356" s="5"/>
      <c r="AX356" s="5"/>
      <c r="AY356" s="5"/>
      <c r="AZ356" s="5"/>
      <c r="BA356" s="5"/>
      <c r="BO356" s="5"/>
    </row>
    <row r="357" spans="1:71" x14ac:dyDescent="0.3">
      <c r="M357" s="5"/>
      <c r="N357" s="5"/>
      <c r="O357" s="5"/>
      <c r="P357" s="5"/>
      <c r="Q357" s="5"/>
      <c r="AE357" s="5"/>
      <c r="AF357" s="5"/>
      <c r="AG357" s="5"/>
      <c r="AH357" s="5"/>
      <c r="AI357" s="5"/>
      <c r="AW357" s="5"/>
      <c r="AX357" s="5"/>
      <c r="AY357" s="5"/>
      <c r="AZ357" s="5"/>
      <c r="BA357" s="5"/>
      <c r="BO357" s="5"/>
    </row>
    <row r="358" spans="1:71" x14ac:dyDescent="0.3">
      <c r="A358" s="20" t="s">
        <v>314</v>
      </c>
      <c r="B358" s="21"/>
      <c r="C358" s="21"/>
      <c r="D358" s="21"/>
      <c r="E358" s="21"/>
      <c r="F358" s="21"/>
      <c r="G358" s="22"/>
      <c r="I358" s="20" t="s">
        <v>315</v>
      </c>
      <c r="J358" s="21"/>
      <c r="K358" s="21"/>
      <c r="L358" s="21"/>
      <c r="M358" s="22"/>
      <c r="N358" s="11"/>
      <c r="O358" s="11"/>
      <c r="P358" s="11"/>
      <c r="Q358" s="11"/>
      <c r="S358" s="20" t="s">
        <v>314</v>
      </c>
      <c r="T358" s="21"/>
      <c r="U358" s="21"/>
      <c r="V358" s="21"/>
      <c r="W358" s="21"/>
      <c r="X358" s="21"/>
      <c r="Y358" s="22"/>
      <c r="AA358" s="20" t="s">
        <v>315</v>
      </c>
      <c r="AB358" s="21"/>
      <c r="AC358" s="21"/>
      <c r="AD358" s="21"/>
      <c r="AE358" s="22"/>
      <c r="AF358" s="11"/>
      <c r="AG358" s="11"/>
      <c r="AH358" s="11"/>
      <c r="AI358" s="11"/>
      <c r="AK358" s="20" t="s">
        <v>314</v>
      </c>
      <c r="AL358" s="21"/>
      <c r="AM358" s="21"/>
      <c r="AN358" s="21"/>
      <c r="AO358" s="21"/>
      <c r="AP358" s="21"/>
      <c r="AQ358" s="22"/>
      <c r="AS358" s="20" t="s">
        <v>315</v>
      </c>
      <c r="AT358" s="21"/>
      <c r="AU358" s="21"/>
      <c r="AV358" s="21"/>
      <c r="AW358" s="22"/>
      <c r="AX358" s="11"/>
      <c r="AY358" s="11"/>
      <c r="AZ358" s="11"/>
      <c r="BA358" s="11"/>
      <c r="BC358" s="20" t="s">
        <v>314</v>
      </c>
      <c r="BD358" s="21"/>
      <c r="BE358" s="21"/>
      <c r="BF358" s="21"/>
      <c r="BG358" s="21"/>
      <c r="BH358" s="21"/>
      <c r="BI358" s="22"/>
      <c r="BK358" s="20" t="s">
        <v>315</v>
      </c>
      <c r="BL358" s="21"/>
      <c r="BM358" s="21"/>
      <c r="BN358" s="21"/>
      <c r="BO358" s="22"/>
    </row>
    <row r="359" spans="1:71" x14ac:dyDescent="0.3">
      <c r="A359" s="3" t="s">
        <v>70</v>
      </c>
      <c r="B359" s="3"/>
      <c r="C359" s="3"/>
      <c r="D359" s="3"/>
      <c r="E359" s="3"/>
      <c r="F359" s="3"/>
      <c r="G359" s="3"/>
      <c r="I359" s="3" t="s">
        <v>70</v>
      </c>
      <c r="J359" s="3"/>
      <c r="K359" s="3"/>
      <c r="L359" s="3"/>
      <c r="M359" s="3"/>
      <c r="N359" s="5"/>
      <c r="O359" s="5"/>
      <c r="P359" s="5"/>
      <c r="Q359" s="5"/>
      <c r="S359" s="3" t="s">
        <v>71</v>
      </c>
      <c r="T359" s="3"/>
      <c r="U359" s="3"/>
      <c r="V359" s="3"/>
      <c r="W359" s="3"/>
      <c r="X359" s="3"/>
      <c r="Y359" s="3"/>
      <c r="AA359" s="3" t="s">
        <v>71</v>
      </c>
      <c r="AB359" s="3"/>
      <c r="AC359" s="3"/>
      <c r="AD359" s="3"/>
      <c r="AE359" s="3"/>
      <c r="AK359" s="3" t="s">
        <v>70</v>
      </c>
      <c r="AL359" s="3"/>
      <c r="AM359" s="3"/>
      <c r="AN359" s="3"/>
      <c r="AO359" s="3"/>
      <c r="AP359" s="3"/>
      <c r="AQ359" s="3"/>
      <c r="AS359" s="3" t="s">
        <v>70</v>
      </c>
      <c r="AT359" s="3"/>
      <c r="AU359" s="3"/>
      <c r="AV359" s="3"/>
      <c r="AW359" s="3"/>
      <c r="AX359" s="3" t="s">
        <v>322</v>
      </c>
      <c r="AY359" s="3" t="s">
        <v>323</v>
      </c>
      <c r="AZ359" s="3" t="s">
        <v>322</v>
      </c>
      <c r="BA359" s="3" t="s">
        <v>323</v>
      </c>
      <c r="BC359" s="3" t="s">
        <v>71</v>
      </c>
      <c r="BD359" s="3"/>
      <c r="BE359" s="3"/>
      <c r="BF359" s="3"/>
      <c r="BG359" s="3"/>
      <c r="BH359" s="3"/>
      <c r="BI359" s="3"/>
      <c r="BK359" s="3" t="s">
        <v>71</v>
      </c>
      <c r="BL359" s="3"/>
      <c r="BM359" s="3"/>
      <c r="BN359" s="3"/>
      <c r="BO359" s="3"/>
      <c r="BP359" s="3" t="s">
        <v>322</v>
      </c>
      <c r="BQ359" s="3" t="s">
        <v>323</v>
      </c>
      <c r="BR359" s="3" t="s">
        <v>322</v>
      </c>
      <c r="BS359" s="3" t="s">
        <v>323</v>
      </c>
    </row>
    <row r="360" spans="1:71" x14ac:dyDescent="0.3">
      <c r="A360" s="3" t="s">
        <v>2</v>
      </c>
      <c r="B360" s="3" t="s">
        <v>3</v>
      </c>
      <c r="C360" s="3" t="s">
        <v>4</v>
      </c>
      <c r="D360" s="3" t="s">
        <v>5</v>
      </c>
      <c r="E360" s="3" t="s">
        <v>6</v>
      </c>
      <c r="F360" s="3" t="s">
        <v>7</v>
      </c>
      <c r="G360" s="3" t="s">
        <v>8</v>
      </c>
      <c r="I360" s="3" t="s">
        <v>2</v>
      </c>
      <c r="J360" s="3" t="s">
        <v>6</v>
      </c>
      <c r="K360" s="3" t="s">
        <v>7</v>
      </c>
      <c r="L360" s="3" t="s">
        <v>8</v>
      </c>
      <c r="M360" s="3" t="s">
        <v>9</v>
      </c>
      <c r="N360" s="3" t="s">
        <v>322</v>
      </c>
      <c r="O360" s="3" t="s">
        <v>323</v>
      </c>
      <c r="P360" s="3" t="s">
        <v>322</v>
      </c>
      <c r="Q360" s="3" t="s">
        <v>323</v>
      </c>
      <c r="S360" s="3" t="s">
        <v>2</v>
      </c>
      <c r="T360" s="3" t="s">
        <v>3</v>
      </c>
      <c r="U360" s="3" t="s">
        <v>4</v>
      </c>
      <c r="V360" s="3" t="s">
        <v>5</v>
      </c>
      <c r="W360" s="3" t="s">
        <v>6</v>
      </c>
      <c r="X360" s="3" t="s">
        <v>7</v>
      </c>
      <c r="Y360" s="3" t="s">
        <v>8</v>
      </c>
      <c r="AA360" s="3" t="s">
        <v>2</v>
      </c>
      <c r="AB360" s="3" t="s">
        <v>6</v>
      </c>
      <c r="AC360" s="3" t="s">
        <v>7</v>
      </c>
      <c r="AD360" s="3" t="s">
        <v>8</v>
      </c>
      <c r="AE360" s="3" t="s">
        <v>9</v>
      </c>
      <c r="AF360" s="3" t="s">
        <v>322</v>
      </c>
      <c r="AG360" s="3" t="s">
        <v>323</v>
      </c>
      <c r="AH360" s="3" t="s">
        <v>322</v>
      </c>
      <c r="AI360" s="3" t="s">
        <v>323</v>
      </c>
      <c r="AK360" s="3" t="s">
        <v>2</v>
      </c>
      <c r="AL360" s="3" t="s">
        <v>3</v>
      </c>
      <c r="AM360" s="3" t="s">
        <v>4</v>
      </c>
      <c r="AN360" s="3" t="s">
        <v>5</v>
      </c>
      <c r="AO360" s="3" t="s">
        <v>6</v>
      </c>
      <c r="AP360" s="3" t="s">
        <v>7</v>
      </c>
      <c r="AQ360" s="3" t="s">
        <v>8</v>
      </c>
      <c r="AS360" s="3" t="s">
        <v>2</v>
      </c>
      <c r="AT360" s="3" t="s">
        <v>6</v>
      </c>
      <c r="AU360" s="3" t="s">
        <v>7</v>
      </c>
      <c r="AV360" s="3" t="s">
        <v>8</v>
      </c>
      <c r="AW360" s="3" t="s">
        <v>9</v>
      </c>
      <c r="AX360" s="4" t="s">
        <v>320</v>
      </c>
      <c r="AY360" s="4" t="s">
        <v>320</v>
      </c>
      <c r="AZ360" s="4" t="s">
        <v>321</v>
      </c>
      <c r="BA360" s="4" t="s">
        <v>321</v>
      </c>
      <c r="BC360" s="3" t="s">
        <v>2</v>
      </c>
      <c r="BD360" s="3" t="s">
        <v>3</v>
      </c>
      <c r="BE360" s="3" t="s">
        <v>4</v>
      </c>
      <c r="BF360" s="3" t="s">
        <v>5</v>
      </c>
      <c r="BG360" s="3" t="s">
        <v>6</v>
      </c>
      <c r="BH360" s="3" t="s">
        <v>7</v>
      </c>
      <c r="BI360" s="3" t="s">
        <v>8</v>
      </c>
      <c r="BK360" s="3" t="s">
        <v>2</v>
      </c>
      <c r="BL360" s="3" t="s">
        <v>6</v>
      </c>
      <c r="BM360" s="3" t="s">
        <v>7</v>
      </c>
      <c r="BN360" s="3" t="s">
        <v>8</v>
      </c>
      <c r="BO360" s="3" t="s">
        <v>9</v>
      </c>
      <c r="BP360" s="4" t="s">
        <v>320</v>
      </c>
      <c r="BQ360" s="4" t="s">
        <v>320</v>
      </c>
      <c r="BR360" s="4" t="s">
        <v>321</v>
      </c>
      <c r="BS360" s="4" t="s">
        <v>321</v>
      </c>
    </row>
    <row r="361" spans="1:71" x14ac:dyDescent="0.3">
      <c r="A361" s="3" t="s">
        <v>194</v>
      </c>
      <c r="B361" s="3">
        <v>0.9</v>
      </c>
      <c r="C361" s="3">
        <v>0.5</v>
      </c>
      <c r="D361" s="3">
        <v>0.6</v>
      </c>
      <c r="E361" s="3">
        <v>0.01</v>
      </c>
      <c r="F361" s="6">
        <v>662.51580799999999</v>
      </c>
      <c r="G361" s="3">
        <v>2.5000000000000001E-2</v>
      </c>
      <c r="I361" s="3" t="s">
        <v>194</v>
      </c>
      <c r="J361" s="3">
        <v>0.01</v>
      </c>
      <c r="K361" s="6">
        <v>662.51580799999999</v>
      </c>
      <c r="L361" s="3">
        <v>1E-3</v>
      </c>
      <c r="M361" s="3">
        <f t="shared" ref="M361:M390" si="40">AVERAGE(E361,J361)</f>
        <v>0.01</v>
      </c>
      <c r="N361" s="4" t="s">
        <v>320</v>
      </c>
      <c r="O361" s="4" t="s">
        <v>320</v>
      </c>
      <c r="P361" s="4" t="s">
        <v>321</v>
      </c>
      <c r="Q361" s="4" t="s">
        <v>321</v>
      </c>
      <c r="S361" s="3" t="s">
        <v>194</v>
      </c>
      <c r="T361" s="3">
        <v>0.9</v>
      </c>
      <c r="U361" s="3">
        <v>0.5</v>
      </c>
      <c r="V361" s="3">
        <v>0.6</v>
      </c>
      <c r="W361" s="3">
        <v>0.01</v>
      </c>
      <c r="X361" s="6">
        <v>650.76556400000004</v>
      </c>
      <c r="Y361" s="3">
        <v>0.03</v>
      </c>
      <c r="AA361" s="3" t="s">
        <v>194</v>
      </c>
      <c r="AB361" s="3">
        <v>0.01</v>
      </c>
      <c r="AC361" s="6">
        <v>650.76556400000004</v>
      </c>
      <c r="AD361" s="3">
        <v>1E-3</v>
      </c>
      <c r="AE361" s="3">
        <f t="shared" ref="AE361:AE390" si="41">AVERAGE(W361,AB361)</f>
        <v>0.01</v>
      </c>
      <c r="AF361" s="4" t="s">
        <v>320</v>
      </c>
      <c r="AG361" s="4" t="s">
        <v>320</v>
      </c>
      <c r="AH361" s="4" t="s">
        <v>321</v>
      </c>
      <c r="AI361" s="4" t="s">
        <v>321</v>
      </c>
      <c r="AK361" s="3" t="s">
        <v>195</v>
      </c>
      <c r="AL361" s="3">
        <v>0.9</v>
      </c>
      <c r="AM361" s="3">
        <v>0.5</v>
      </c>
      <c r="AN361" s="3">
        <v>0.6</v>
      </c>
      <c r="AO361" s="3">
        <v>0.01</v>
      </c>
      <c r="AP361" s="6">
        <v>843.37664800000005</v>
      </c>
      <c r="AQ361" s="3">
        <v>4.1000000000000002E-2</v>
      </c>
      <c r="AS361" s="3" t="s">
        <v>195</v>
      </c>
      <c r="AT361" s="3">
        <v>0.01</v>
      </c>
      <c r="AU361" s="6">
        <v>843.37664800000005</v>
      </c>
      <c r="AV361" s="3">
        <v>1E-3</v>
      </c>
      <c r="AW361" s="3">
        <f t="shared" ref="AW361:AW390" si="42">AVERAGE(AO361,AT361)</f>
        <v>0.01</v>
      </c>
      <c r="AX361" s="3">
        <f>COUNT(AP361,AP363:AP366,AP369,AP371,AP374,AP376:AP377,AP382:AP384,AP387,AP389:AP390)</f>
        <v>16</v>
      </c>
      <c r="AY361" s="3">
        <f>30-AX361</f>
        <v>14</v>
      </c>
      <c r="AZ361" s="3">
        <f>COUNT(AU361:AU362,AU367:AU368,AU370,AU372:AU373,AU375,AU378:AU381,AU385:AU386,AU388)</f>
        <v>15</v>
      </c>
      <c r="BA361" s="3">
        <f>30-AZ361</f>
        <v>15</v>
      </c>
      <c r="BC361" s="3" t="s">
        <v>195</v>
      </c>
      <c r="BD361" s="3">
        <v>0.9</v>
      </c>
      <c r="BE361" s="3">
        <v>0.5</v>
      </c>
      <c r="BF361" s="3">
        <v>0.6</v>
      </c>
      <c r="BG361" s="3">
        <v>0.01</v>
      </c>
      <c r="BH361" s="6">
        <v>793.76568599999996</v>
      </c>
      <c r="BI361" s="3">
        <v>4.5999999999999999E-2</v>
      </c>
      <c r="BK361" s="3" t="s">
        <v>195</v>
      </c>
      <c r="BL361" s="3">
        <v>0.01</v>
      </c>
      <c r="BM361" s="6">
        <v>793.76568599999996</v>
      </c>
      <c r="BN361" s="3">
        <v>7.0000000000000001E-3</v>
      </c>
      <c r="BO361" s="3">
        <f t="shared" ref="BO361:BO390" si="43">AVERAGE(BG361,BL361)</f>
        <v>0.01</v>
      </c>
      <c r="BP361" s="3">
        <f>COUNT(BH361,BH363,BH365,BH369:BH374,BH376:BH378,BH380,BH382:BH388)</f>
        <v>20</v>
      </c>
      <c r="BQ361" s="3">
        <f>30-BP361</f>
        <v>10</v>
      </c>
      <c r="BR361" s="3">
        <f>COUNT(BM361:BM362,BM364,BM366:BM368,BM373,BM375,BM379,BM381,BM389:BM390)</f>
        <v>12</v>
      </c>
      <c r="BS361" s="3">
        <f>30-BR361</f>
        <v>18</v>
      </c>
    </row>
    <row r="362" spans="1:71" x14ac:dyDescent="0.3">
      <c r="A362" s="3" t="s">
        <v>196</v>
      </c>
      <c r="B362" s="3">
        <v>0.9</v>
      </c>
      <c r="C362" s="3">
        <v>0.5</v>
      </c>
      <c r="D362" s="3">
        <v>0.6</v>
      </c>
      <c r="E362" s="3">
        <v>0.93</v>
      </c>
      <c r="F362" s="7">
        <v>757.83123799999998</v>
      </c>
      <c r="G362" s="3">
        <v>1.0999999999999999E-2</v>
      </c>
      <c r="I362" s="3" t="s">
        <v>196</v>
      </c>
      <c r="J362" s="3">
        <v>0.18</v>
      </c>
      <c r="K362" s="6">
        <v>614.89996299999996</v>
      </c>
      <c r="L362" s="3">
        <v>7.0000000000000001E-3</v>
      </c>
      <c r="M362" s="3">
        <f t="shared" si="40"/>
        <v>0.55500000000000005</v>
      </c>
      <c r="N362" s="3">
        <f>COUNT(F361,F363,F365,F367,F369:F370,F372:F373,F375:F377,F381,F383:F384,F387,F389)</f>
        <v>16</v>
      </c>
      <c r="O362" s="3">
        <f>COUNT(F362,F364,F366,F368,F371,F374,F378:F380,F382,F385:F386,F388,F391)</f>
        <v>13</v>
      </c>
      <c r="P362" s="3">
        <f>COUNT(K361:K362,K364,K366,K368,K371,K374,K378:K380,K382,K385:K386,K388,K390)</f>
        <v>15</v>
      </c>
      <c r="Q362" s="3">
        <f>COUNT(K363,K365,K367,K369:K370,K372:K373,K375:K377,K381,K383:K384,K387,K389)</f>
        <v>15</v>
      </c>
      <c r="S362" s="3" t="s">
        <v>196</v>
      </c>
      <c r="T362" s="3">
        <v>0.9</v>
      </c>
      <c r="U362" s="3">
        <v>0.5</v>
      </c>
      <c r="V362" s="3">
        <v>0.6</v>
      </c>
      <c r="W362" s="3">
        <v>0.33</v>
      </c>
      <c r="X362" s="6">
        <v>642.30633499999999</v>
      </c>
      <c r="Y362" s="3">
        <v>1.2999999999999999E-2</v>
      </c>
      <c r="AA362" s="3" t="s">
        <v>196</v>
      </c>
      <c r="AB362" s="3">
        <v>0.77</v>
      </c>
      <c r="AC362" s="7">
        <v>719.91412400000002</v>
      </c>
      <c r="AD362" s="3">
        <v>4.0000000000000001E-3</v>
      </c>
      <c r="AE362" s="3">
        <f t="shared" si="41"/>
        <v>0.55000000000000004</v>
      </c>
      <c r="AF362" s="3">
        <f>COUNT(X361:X364,X366:X367,X369:X370,X372,X377,X380:X381,X383:X384,X388)</f>
        <v>15</v>
      </c>
      <c r="AG362" s="3">
        <f>COUNT(X365,X368,X371,X373:X376,X378:X379,X382,X385:X387,X389:X390)</f>
        <v>15</v>
      </c>
      <c r="AH362" s="3">
        <f>COUNT(AC361,AC363,AC365,AC368,AC371,AC373:AC376,AC378:AC380,AC382,AC385:AC387,AC389:AC390)</f>
        <v>18</v>
      </c>
      <c r="AI362" s="3">
        <f>COUNT(AC362,AC364,AC366:AC367,AC369:AC370,AC372,AC377,AC381,AC383:AC384,AC388)</f>
        <v>12</v>
      </c>
      <c r="AK362" s="3" t="s">
        <v>197</v>
      </c>
      <c r="AL362" s="3">
        <v>0.9</v>
      </c>
      <c r="AM362" s="3">
        <v>0.5</v>
      </c>
      <c r="AN362" s="3">
        <v>0.6</v>
      </c>
      <c r="AO362" s="3">
        <v>0.9</v>
      </c>
      <c r="AP362" s="7">
        <v>1063.540405</v>
      </c>
      <c r="AQ362" s="3">
        <v>4.2000000000000003E-2</v>
      </c>
      <c r="AS362" s="3" t="s">
        <v>197</v>
      </c>
      <c r="AT362" s="3">
        <v>0.3</v>
      </c>
      <c r="AU362" s="6">
        <v>929.50598100000002</v>
      </c>
      <c r="AV362" s="3">
        <v>4.0000000000000001E-3</v>
      </c>
      <c r="AW362" s="3">
        <f t="shared" si="42"/>
        <v>0.6</v>
      </c>
      <c r="AX362" s="5"/>
      <c r="AY362" s="5"/>
      <c r="AZ362" s="5"/>
      <c r="BA362" s="5"/>
      <c r="BC362" s="3" t="s">
        <v>197</v>
      </c>
      <c r="BD362" s="3">
        <v>0.9</v>
      </c>
      <c r="BE362" s="3">
        <v>0.5</v>
      </c>
      <c r="BF362" s="3">
        <v>0.6</v>
      </c>
      <c r="BG362" s="3">
        <v>0.72</v>
      </c>
      <c r="BH362" s="7">
        <v>997.76470900000004</v>
      </c>
      <c r="BI362" s="3">
        <v>1.7000000000000001E-2</v>
      </c>
      <c r="BK362" s="3" t="s">
        <v>197</v>
      </c>
      <c r="BL362" s="3">
        <v>0.37</v>
      </c>
      <c r="BM362" s="6">
        <v>919.96038799999997</v>
      </c>
      <c r="BN362" s="3">
        <v>5.0000000000000001E-3</v>
      </c>
      <c r="BO362" s="3">
        <f t="shared" si="43"/>
        <v>0.54499999999999993</v>
      </c>
    </row>
    <row r="363" spans="1:71" x14ac:dyDescent="0.3">
      <c r="A363" s="3" t="s">
        <v>198</v>
      </c>
      <c r="B363" s="3">
        <v>0.9</v>
      </c>
      <c r="C363" s="3">
        <v>0.5</v>
      </c>
      <c r="D363" s="3">
        <v>0.6</v>
      </c>
      <c r="E363" s="3">
        <v>0.4</v>
      </c>
      <c r="F363" s="6">
        <v>667.28002900000001</v>
      </c>
      <c r="G363" s="3">
        <v>0.02</v>
      </c>
      <c r="I363" s="3" t="s">
        <v>198</v>
      </c>
      <c r="J363" s="3">
        <v>0.66</v>
      </c>
      <c r="K363" s="7">
        <v>707.34503199999995</v>
      </c>
      <c r="L363" s="3">
        <v>1E-3</v>
      </c>
      <c r="M363" s="3">
        <f t="shared" si="40"/>
        <v>0.53</v>
      </c>
      <c r="N363" s="5"/>
      <c r="O363" s="5"/>
      <c r="P363" s="5"/>
      <c r="Q363" s="5"/>
      <c r="S363" s="3" t="s">
        <v>198</v>
      </c>
      <c r="T363" s="3">
        <v>0.9</v>
      </c>
      <c r="U363" s="3">
        <v>0.5</v>
      </c>
      <c r="V363" s="3">
        <v>0.6</v>
      </c>
      <c r="W363" s="3">
        <v>0.25</v>
      </c>
      <c r="X363" s="6">
        <v>603.62432899999999</v>
      </c>
      <c r="Y363" s="3">
        <v>2.4E-2</v>
      </c>
      <c r="AA363" s="3" t="s">
        <v>198</v>
      </c>
      <c r="AB363" s="3">
        <v>0.23</v>
      </c>
      <c r="AC363" s="8">
        <v>603.75262499999997</v>
      </c>
      <c r="AD363" s="3">
        <v>2E-3</v>
      </c>
      <c r="AE363" s="3">
        <f t="shared" si="41"/>
        <v>0.24</v>
      </c>
      <c r="AF363" s="5"/>
      <c r="AG363" s="5"/>
      <c r="AH363" s="5"/>
      <c r="AI363" s="5"/>
      <c r="AK363" s="3" t="s">
        <v>199</v>
      </c>
      <c r="AL363" s="3">
        <v>0.9</v>
      </c>
      <c r="AM363" s="3">
        <v>0.5</v>
      </c>
      <c r="AN363" s="3">
        <v>0.6</v>
      </c>
      <c r="AO363" s="3">
        <v>0.04</v>
      </c>
      <c r="AP363" s="6">
        <v>765.94049099999995</v>
      </c>
      <c r="AQ363" s="3">
        <v>2.5999999999999999E-2</v>
      </c>
      <c r="AS363" s="3" t="s">
        <v>199</v>
      </c>
      <c r="AT363" s="3">
        <v>0.48</v>
      </c>
      <c r="AU363" s="7">
        <v>1037.780029</v>
      </c>
      <c r="AV363" s="3">
        <v>2E-3</v>
      </c>
      <c r="AW363" s="3">
        <f t="shared" si="42"/>
        <v>0.26</v>
      </c>
      <c r="AX363" s="5"/>
      <c r="AY363" s="5"/>
      <c r="AZ363" s="5"/>
      <c r="BA363" s="5"/>
      <c r="BC363" s="3" t="s">
        <v>199</v>
      </c>
      <c r="BD363" s="3">
        <v>0.9</v>
      </c>
      <c r="BE363" s="3">
        <v>0.5</v>
      </c>
      <c r="BF363" s="3">
        <v>0.6</v>
      </c>
      <c r="BG363" s="3">
        <v>0.02</v>
      </c>
      <c r="BH363" s="6">
        <v>759.69958499999996</v>
      </c>
      <c r="BI363" s="3">
        <v>0.05</v>
      </c>
      <c r="BK363" s="3" t="s">
        <v>199</v>
      </c>
      <c r="BL363" s="3">
        <v>0.95</v>
      </c>
      <c r="BM363" s="7">
        <v>1126.9197999999999</v>
      </c>
      <c r="BN363" s="3">
        <v>3.0000000000000001E-3</v>
      </c>
      <c r="BO363" s="3">
        <f t="shared" si="43"/>
        <v>0.48499999999999999</v>
      </c>
    </row>
    <row r="364" spans="1:71" x14ac:dyDescent="0.3">
      <c r="A364" s="3" t="s">
        <v>200</v>
      </c>
      <c r="B364" s="3">
        <v>0.9</v>
      </c>
      <c r="C364" s="3">
        <v>0.5</v>
      </c>
      <c r="D364" s="3">
        <v>0.6</v>
      </c>
      <c r="E364" s="3">
        <v>0.48</v>
      </c>
      <c r="F364" s="7">
        <v>637.20788600000003</v>
      </c>
      <c r="G364" s="3">
        <v>2.4E-2</v>
      </c>
      <c r="I364" s="3" t="s">
        <v>200</v>
      </c>
      <c r="J364" s="3">
        <v>0.48</v>
      </c>
      <c r="K364" s="6">
        <v>630.13507100000004</v>
      </c>
      <c r="L364" s="3">
        <v>1E-3</v>
      </c>
      <c r="M364" s="3">
        <f t="shared" si="40"/>
        <v>0.48</v>
      </c>
      <c r="N364" s="5"/>
      <c r="O364" s="5"/>
      <c r="P364" s="5"/>
      <c r="Q364" s="5"/>
      <c r="S364" s="3" t="s">
        <v>200</v>
      </c>
      <c r="T364" s="3">
        <v>0.9</v>
      </c>
      <c r="U364" s="3">
        <v>0.5</v>
      </c>
      <c r="V364" s="3">
        <v>0.6</v>
      </c>
      <c r="W364" s="3">
        <v>0.71</v>
      </c>
      <c r="X364" s="6">
        <v>630.69946300000004</v>
      </c>
      <c r="Y364" s="3">
        <v>3.5000000000000003E-2</v>
      </c>
      <c r="AA364" s="3" t="s">
        <v>200</v>
      </c>
      <c r="AB364" s="3">
        <v>0.95</v>
      </c>
      <c r="AC364" s="7">
        <v>669.98400900000001</v>
      </c>
      <c r="AD364" s="3">
        <v>3.0000000000000001E-3</v>
      </c>
      <c r="AE364" s="3">
        <f t="shared" si="41"/>
        <v>0.83</v>
      </c>
      <c r="AF364" s="5"/>
      <c r="AG364" s="5"/>
      <c r="AH364" s="5"/>
      <c r="AI364" s="5"/>
      <c r="AK364" s="3" t="s">
        <v>201</v>
      </c>
      <c r="AL364" s="3">
        <v>0.9</v>
      </c>
      <c r="AM364" s="3">
        <v>0.5</v>
      </c>
      <c r="AN364" s="3">
        <v>0.6</v>
      </c>
      <c r="AO364" s="3">
        <v>0.73</v>
      </c>
      <c r="AP364" s="6">
        <v>1126.313721</v>
      </c>
      <c r="AQ364" s="3">
        <v>1.6E-2</v>
      </c>
      <c r="AS364" s="3" t="s">
        <v>201</v>
      </c>
      <c r="AT364" s="3">
        <v>0.86</v>
      </c>
      <c r="AU364" s="7">
        <v>1151.9833980000001</v>
      </c>
      <c r="AV364" s="3">
        <v>7.0000000000000001E-3</v>
      </c>
      <c r="AW364" s="3">
        <f t="shared" si="42"/>
        <v>0.79499999999999993</v>
      </c>
      <c r="AX364" s="5"/>
      <c r="AY364" s="5"/>
      <c r="AZ364" s="5"/>
      <c r="BA364" s="5"/>
      <c r="BC364" s="3" t="s">
        <v>201</v>
      </c>
      <c r="BD364" s="3">
        <v>0.9</v>
      </c>
      <c r="BE364" s="3">
        <v>0.5</v>
      </c>
      <c r="BF364" s="3">
        <v>0.6</v>
      </c>
      <c r="BG364" s="3">
        <v>0.85</v>
      </c>
      <c r="BH364" s="7">
        <v>1145.429077</v>
      </c>
      <c r="BI364" s="3">
        <v>0.03</v>
      </c>
      <c r="BK364" s="3" t="s">
        <v>201</v>
      </c>
      <c r="BL364" s="3">
        <v>0.24</v>
      </c>
      <c r="BM364" s="6">
        <v>946.80548099999999</v>
      </c>
      <c r="BN364" s="3">
        <v>1E-3</v>
      </c>
      <c r="BO364" s="3">
        <f t="shared" si="43"/>
        <v>0.54499999999999993</v>
      </c>
    </row>
    <row r="365" spans="1:71" x14ac:dyDescent="0.3">
      <c r="A365" s="3" t="s">
        <v>202</v>
      </c>
      <c r="B365" s="3">
        <v>0.9</v>
      </c>
      <c r="C365" s="3">
        <v>0.5</v>
      </c>
      <c r="D365" s="3">
        <v>0.6</v>
      </c>
      <c r="E365" s="3">
        <v>0.41</v>
      </c>
      <c r="F365" s="6">
        <v>628.70831299999998</v>
      </c>
      <c r="G365" s="3">
        <v>1.4E-2</v>
      </c>
      <c r="I365" s="3" t="s">
        <v>202</v>
      </c>
      <c r="J365" s="3">
        <v>0.94</v>
      </c>
      <c r="K365" s="7">
        <v>699.02569600000004</v>
      </c>
      <c r="L365" s="3">
        <v>4.0000000000000001E-3</v>
      </c>
      <c r="M365" s="3">
        <f t="shared" si="40"/>
        <v>0.67499999999999993</v>
      </c>
      <c r="N365" s="5"/>
      <c r="O365" s="5"/>
      <c r="P365" s="5"/>
      <c r="Q365" s="5"/>
      <c r="S365" s="3" t="s">
        <v>202</v>
      </c>
      <c r="T365" s="3">
        <v>0.9</v>
      </c>
      <c r="U365" s="3">
        <v>0.5</v>
      </c>
      <c r="V365" s="3">
        <v>0.6</v>
      </c>
      <c r="W365" s="3">
        <v>0.83</v>
      </c>
      <c r="X365" s="7">
        <v>682.79272500000002</v>
      </c>
      <c r="Y365" s="3">
        <v>1.7000000000000001E-2</v>
      </c>
      <c r="AA365" s="3" t="s">
        <v>202</v>
      </c>
      <c r="AB365" s="3">
        <v>0.92</v>
      </c>
      <c r="AC365" s="6">
        <v>678.62719700000002</v>
      </c>
      <c r="AD365" s="3">
        <v>0</v>
      </c>
      <c r="AE365" s="3">
        <f t="shared" si="41"/>
        <v>0.875</v>
      </c>
      <c r="AF365" s="5"/>
      <c r="AG365" s="5"/>
      <c r="AH365" s="5"/>
      <c r="AI365" s="5"/>
      <c r="AK365" s="3" t="s">
        <v>203</v>
      </c>
      <c r="AL365" s="3">
        <v>0.9</v>
      </c>
      <c r="AM365" s="3">
        <v>0.5</v>
      </c>
      <c r="AN365" s="3">
        <v>0.6</v>
      </c>
      <c r="AO365" s="3">
        <v>0.38</v>
      </c>
      <c r="AP365" s="6">
        <v>997.25769000000003</v>
      </c>
      <c r="AQ365" s="3">
        <v>2.1999999999999999E-2</v>
      </c>
      <c r="AS365" s="3" t="s">
        <v>203</v>
      </c>
      <c r="AT365" s="3">
        <v>0.97</v>
      </c>
      <c r="AU365" s="7">
        <v>1081.940918</v>
      </c>
      <c r="AV365" s="3">
        <v>1E-3</v>
      </c>
      <c r="AW365" s="3">
        <f t="shared" si="42"/>
        <v>0.67500000000000004</v>
      </c>
      <c r="AX365" s="5"/>
      <c r="AY365" s="5"/>
      <c r="AZ365" s="5"/>
      <c r="BA365" s="5"/>
      <c r="BC365" s="3" t="s">
        <v>203</v>
      </c>
      <c r="BD365" s="3">
        <v>0.9</v>
      </c>
      <c r="BE365" s="3">
        <v>0.5</v>
      </c>
      <c r="BF365" s="3">
        <v>0.6</v>
      </c>
      <c r="BG365" s="3">
        <v>0.22</v>
      </c>
      <c r="BH365" s="6">
        <v>876.67181400000004</v>
      </c>
      <c r="BI365" s="3">
        <v>2.8000000000000001E-2</v>
      </c>
      <c r="BK365" s="3" t="s">
        <v>203</v>
      </c>
      <c r="BL365" s="3">
        <v>0.41</v>
      </c>
      <c r="BM365" s="7">
        <v>969.20739700000001</v>
      </c>
      <c r="BN365" s="3">
        <v>5.0000000000000001E-3</v>
      </c>
      <c r="BO365" s="3">
        <f t="shared" si="43"/>
        <v>0.315</v>
      </c>
    </row>
    <row r="366" spans="1:71" x14ac:dyDescent="0.3">
      <c r="A366" s="3" t="s">
        <v>204</v>
      </c>
      <c r="B366" s="3">
        <v>0.9</v>
      </c>
      <c r="C366" s="3">
        <v>0.5</v>
      </c>
      <c r="D366" s="3">
        <v>0.6</v>
      </c>
      <c r="E366" s="3">
        <v>0.69</v>
      </c>
      <c r="F366" s="7">
        <v>716.30645800000002</v>
      </c>
      <c r="G366" s="3">
        <v>1.0999999999999999E-2</v>
      </c>
      <c r="I366" s="3" t="s">
        <v>204</v>
      </c>
      <c r="J366" s="3">
        <v>0.14000000000000001</v>
      </c>
      <c r="K366" s="6">
        <v>605.35778800000003</v>
      </c>
      <c r="L366" s="3">
        <v>3.0000000000000001E-3</v>
      </c>
      <c r="M366" s="3">
        <f t="shared" si="40"/>
        <v>0.41499999999999998</v>
      </c>
      <c r="N366" s="5"/>
      <c r="O366" s="5"/>
      <c r="P366" s="5"/>
      <c r="Q366" s="5"/>
      <c r="S366" s="3" t="s">
        <v>204</v>
      </c>
      <c r="T366" s="3">
        <v>0.9</v>
      </c>
      <c r="U366" s="3">
        <v>0.5</v>
      </c>
      <c r="V366" s="3">
        <v>0.6</v>
      </c>
      <c r="W366" s="3">
        <v>0.64</v>
      </c>
      <c r="X366" s="6">
        <v>681.44525099999998</v>
      </c>
      <c r="Y366" s="3">
        <v>0.02</v>
      </c>
      <c r="AA366" s="3" t="s">
        <v>204</v>
      </c>
      <c r="AB366" s="3">
        <v>0.92</v>
      </c>
      <c r="AC366" s="7">
        <v>719.93042000000003</v>
      </c>
      <c r="AD366" s="3">
        <v>5.0000000000000001E-3</v>
      </c>
      <c r="AE366" s="3">
        <f t="shared" si="41"/>
        <v>0.78</v>
      </c>
      <c r="AF366" s="5"/>
      <c r="AG366" s="5"/>
      <c r="AH366" s="5"/>
      <c r="AI366" s="5"/>
      <c r="AK366" s="3" t="s">
        <v>205</v>
      </c>
      <c r="AL366" s="3">
        <v>0.9</v>
      </c>
      <c r="AM366" s="3">
        <v>0.5</v>
      </c>
      <c r="AN366" s="3">
        <v>0.6</v>
      </c>
      <c r="AO366" s="3">
        <v>0.22</v>
      </c>
      <c r="AP366" s="6">
        <v>905.017517</v>
      </c>
      <c r="AQ366" s="3">
        <v>0.03</v>
      </c>
      <c r="AS366" s="3" t="s">
        <v>205</v>
      </c>
      <c r="AT366" s="3">
        <v>0.94</v>
      </c>
      <c r="AU366" s="7">
        <v>1119.9516599999999</v>
      </c>
      <c r="AV366" s="3">
        <v>1E-3</v>
      </c>
      <c r="AW366" s="3">
        <f t="shared" si="42"/>
        <v>0.57999999999999996</v>
      </c>
      <c r="AX366" s="5"/>
      <c r="AY366" s="5"/>
      <c r="AZ366" s="5"/>
      <c r="BA366" s="5"/>
      <c r="BC366" s="3" t="s">
        <v>205</v>
      </c>
      <c r="BD366" s="3">
        <v>0.9</v>
      </c>
      <c r="BE366" s="3">
        <v>0.5</v>
      </c>
      <c r="BF366" s="3">
        <v>0.6</v>
      </c>
      <c r="BG366" s="3">
        <v>0.64</v>
      </c>
      <c r="BH366" s="7">
        <v>1054.5722659999999</v>
      </c>
      <c r="BI366" s="3">
        <v>4.2000000000000003E-2</v>
      </c>
      <c r="BK366" s="3" t="s">
        <v>205</v>
      </c>
      <c r="BL366" s="3">
        <v>0.37</v>
      </c>
      <c r="BM366" s="6">
        <v>982.54821800000002</v>
      </c>
      <c r="BN366" s="3">
        <v>1E-3</v>
      </c>
      <c r="BO366" s="3">
        <f t="shared" si="43"/>
        <v>0.505</v>
      </c>
    </row>
    <row r="367" spans="1:71" x14ac:dyDescent="0.3">
      <c r="A367" s="3" t="s">
        <v>206</v>
      </c>
      <c r="B367" s="3">
        <v>0.9</v>
      </c>
      <c r="C367" s="3">
        <v>0.5</v>
      </c>
      <c r="D367" s="3">
        <v>0.6</v>
      </c>
      <c r="E367" s="3">
        <v>0.22</v>
      </c>
      <c r="F367" s="6">
        <v>652.96215800000004</v>
      </c>
      <c r="G367" s="3">
        <v>1.6E-2</v>
      </c>
      <c r="I367" s="3" t="s">
        <v>206</v>
      </c>
      <c r="J367" s="3">
        <v>0.74</v>
      </c>
      <c r="K367" s="7">
        <v>704.81426999999996</v>
      </c>
      <c r="L367" s="3">
        <v>2E-3</v>
      </c>
      <c r="M367" s="3">
        <f t="shared" si="40"/>
        <v>0.48</v>
      </c>
      <c r="N367" s="5"/>
      <c r="O367" s="5"/>
      <c r="P367" s="5"/>
      <c r="Q367" s="5"/>
      <c r="S367" s="3" t="s">
        <v>206</v>
      </c>
      <c r="T367" s="3">
        <v>0.9</v>
      </c>
      <c r="U367" s="3">
        <v>0.5</v>
      </c>
      <c r="V367" s="3">
        <v>0.6</v>
      </c>
      <c r="W367" s="3">
        <v>0.99</v>
      </c>
      <c r="X367" s="6">
        <v>678.83734100000004</v>
      </c>
      <c r="Y367" s="3">
        <v>2.5999999999999999E-2</v>
      </c>
      <c r="AA367" s="3" t="s">
        <v>206</v>
      </c>
      <c r="AB367" s="3">
        <v>0.94</v>
      </c>
      <c r="AC367" s="7">
        <v>697.59576400000003</v>
      </c>
      <c r="AD367" s="3">
        <v>1E-3</v>
      </c>
      <c r="AE367" s="3">
        <f t="shared" si="41"/>
        <v>0.96499999999999997</v>
      </c>
      <c r="AF367" s="5"/>
      <c r="AG367" s="5"/>
      <c r="AH367" s="5"/>
      <c r="AI367" s="5"/>
      <c r="AK367" s="3" t="s">
        <v>207</v>
      </c>
      <c r="AL367" s="3">
        <v>0.9</v>
      </c>
      <c r="AM367" s="3">
        <v>0.5</v>
      </c>
      <c r="AN367" s="3">
        <v>0.6</v>
      </c>
      <c r="AO367" s="3">
        <v>0.55000000000000004</v>
      </c>
      <c r="AP367" s="7">
        <v>980.39465299999995</v>
      </c>
      <c r="AQ367" s="3">
        <v>5.5E-2</v>
      </c>
      <c r="AS367" s="3" t="s">
        <v>207</v>
      </c>
      <c r="AT367" s="3">
        <v>0.55000000000000004</v>
      </c>
      <c r="AU367" s="6">
        <v>976.07470699999999</v>
      </c>
      <c r="AV367" s="3">
        <v>2E-3</v>
      </c>
      <c r="AW367" s="3">
        <f t="shared" si="42"/>
        <v>0.55000000000000004</v>
      </c>
      <c r="AX367" s="5"/>
      <c r="AY367" s="5"/>
      <c r="AZ367" s="5"/>
      <c r="BA367" s="5"/>
      <c r="BC367" s="3" t="s">
        <v>207</v>
      </c>
      <c r="BD367" s="3">
        <v>0.9</v>
      </c>
      <c r="BE367" s="3">
        <v>0.5</v>
      </c>
      <c r="BF367" s="3">
        <v>0.6</v>
      </c>
      <c r="BG367" s="3">
        <v>0.59</v>
      </c>
      <c r="BH367" s="7">
        <v>958.26531999999997</v>
      </c>
      <c r="BI367" s="3">
        <v>0.01</v>
      </c>
      <c r="BK367" s="3" t="s">
        <v>207</v>
      </c>
      <c r="BL367" s="3">
        <v>0.53</v>
      </c>
      <c r="BM367" s="6">
        <v>924.97601299999997</v>
      </c>
      <c r="BN367" s="3">
        <v>4.0000000000000001E-3</v>
      </c>
      <c r="BO367" s="3">
        <f t="shared" si="43"/>
        <v>0.56000000000000005</v>
      </c>
    </row>
    <row r="368" spans="1:71" x14ac:dyDescent="0.3">
      <c r="A368" s="3" t="s">
        <v>208</v>
      </c>
      <c r="B368" s="3">
        <v>0.9</v>
      </c>
      <c r="C368" s="3">
        <v>0.5</v>
      </c>
      <c r="D368" s="3">
        <v>0.6</v>
      </c>
      <c r="E368" s="3">
        <v>0.56999999999999995</v>
      </c>
      <c r="F368" s="7">
        <v>666.59698500000002</v>
      </c>
      <c r="G368" s="3">
        <v>1.7999999999999999E-2</v>
      </c>
      <c r="I368" s="3" t="s">
        <v>208</v>
      </c>
      <c r="J368" s="3">
        <v>0.3</v>
      </c>
      <c r="K368" s="6">
        <v>620.91943400000002</v>
      </c>
      <c r="L368" s="3">
        <v>0</v>
      </c>
      <c r="M368" s="3">
        <f t="shared" si="40"/>
        <v>0.43499999999999994</v>
      </c>
      <c r="N368" s="5"/>
      <c r="O368" s="5"/>
      <c r="P368" s="5"/>
      <c r="Q368" s="5"/>
      <c r="S368" s="3" t="s">
        <v>208</v>
      </c>
      <c r="T368" s="3">
        <v>0.9</v>
      </c>
      <c r="U368" s="3">
        <v>0.5</v>
      </c>
      <c r="V368" s="3">
        <v>0.6</v>
      </c>
      <c r="W368" s="3">
        <v>0.69</v>
      </c>
      <c r="X368" s="7">
        <v>657.25</v>
      </c>
      <c r="Y368" s="3">
        <v>3.3000000000000002E-2</v>
      </c>
      <c r="AA368" s="3" t="s">
        <v>208</v>
      </c>
      <c r="AB368" s="3">
        <v>7.0000000000000007E-2</v>
      </c>
      <c r="AC368" s="6">
        <v>533.51037599999995</v>
      </c>
      <c r="AD368" s="3">
        <v>3.0000000000000001E-3</v>
      </c>
      <c r="AE368" s="3">
        <f t="shared" si="41"/>
        <v>0.38</v>
      </c>
      <c r="AF368" s="5"/>
      <c r="AG368" s="5"/>
      <c r="AH368" s="5"/>
      <c r="AI368" s="5"/>
      <c r="AK368" s="3" t="s">
        <v>209</v>
      </c>
      <c r="AL368" s="3">
        <v>0.9</v>
      </c>
      <c r="AM368" s="3">
        <v>0.5</v>
      </c>
      <c r="AN368" s="3">
        <v>0.6</v>
      </c>
      <c r="AO368" s="3">
        <v>0.87</v>
      </c>
      <c r="AP368" s="7">
        <v>1047.4610600000001</v>
      </c>
      <c r="AQ368" s="3">
        <v>2.4E-2</v>
      </c>
      <c r="AS368" s="3" t="s">
        <v>209</v>
      </c>
      <c r="AT368" s="3">
        <v>0.67</v>
      </c>
      <c r="AU368" s="6">
        <v>999.45056199999999</v>
      </c>
      <c r="AV368" s="3">
        <v>1E-3</v>
      </c>
      <c r="AW368" s="3">
        <f t="shared" si="42"/>
        <v>0.77</v>
      </c>
      <c r="AX368" s="5"/>
      <c r="AY368" s="5"/>
      <c r="AZ368" s="5"/>
      <c r="BA368" s="5"/>
      <c r="BC368" s="3" t="s">
        <v>209</v>
      </c>
      <c r="BD368" s="3">
        <v>0.9</v>
      </c>
      <c r="BE368" s="3">
        <v>0.5</v>
      </c>
      <c r="BF368" s="3">
        <v>0.6</v>
      </c>
      <c r="BG368" s="3">
        <v>0.37</v>
      </c>
      <c r="BH368" s="7">
        <v>899.51525900000001</v>
      </c>
      <c r="BI368" s="3">
        <v>4.2999999999999997E-2</v>
      </c>
      <c r="BK368" s="3" t="s">
        <v>209</v>
      </c>
      <c r="BL368" s="3">
        <v>0.01</v>
      </c>
      <c r="BM368" s="6">
        <v>708.60101299999997</v>
      </c>
      <c r="BN368" s="3">
        <v>0</v>
      </c>
      <c r="BO368" s="3">
        <f t="shared" si="43"/>
        <v>0.19</v>
      </c>
    </row>
    <row r="369" spans="1:67" x14ac:dyDescent="0.3">
      <c r="A369" s="3" t="s">
        <v>210</v>
      </c>
      <c r="B369" s="3">
        <v>0.9</v>
      </c>
      <c r="C369" s="3">
        <v>0.5</v>
      </c>
      <c r="D369" s="3">
        <v>0.6</v>
      </c>
      <c r="E369" s="3">
        <v>0.05</v>
      </c>
      <c r="F369" s="6">
        <v>587.06469700000002</v>
      </c>
      <c r="G369" s="3">
        <v>3.6999999999999998E-2</v>
      </c>
      <c r="I369" s="3" t="s">
        <v>210</v>
      </c>
      <c r="J369" s="3">
        <v>0.52</v>
      </c>
      <c r="K369" s="7">
        <v>671.618469</v>
      </c>
      <c r="L369" s="3">
        <v>2E-3</v>
      </c>
      <c r="M369" s="3">
        <f t="shared" si="40"/>
        <v>0.28500000000000003</v>
      </c>
      <c r="N369" s="5"/>
      <c r="O369" s="5"/>
      <c r="P369" s="5"/>
      <c r="Q369" s="5"/>
      <c r="S369" s="3" t="s">
        <v>210</v>
      </c>
      <c r="T369" s="3">
        <v>0.9</v>
      </c>
      <c r="U369" s="3">
        <v>0.5</v>
      </c>
      <c r="V369" s="3">
        <v>0.6</v>
      </c>
      <c r="W369" s="3">
        <v>0.36</v>
      </c>
      <c r="X369" s="6">
        <v>615.75012200000003</v>
      </c>
      <c r="Y369" s="3">
        <v>2.5000000000000001E-2</v>
      </c>
      <c r="AA369" s="3" t="s">
        <v>210</v>
      </c>
      <c r="AB369" s="3">
        <v>0.56000000000000005</v>
      </c>
      <c r="AC369" s="7">
        <v>650.68902600000001</v>
      </c>
      <c r="AD369" s="3">
        <v>4.0000000000000001E-3</v>
      </c>
      <c r="AE369" s="3">
        <f t="shared" si="41"/>
        <v>0.46</v>
      </c>
      <c r="AF369" s="5"/>
      <c r="AG369" s="5"/>
      <c r="AH369" s="5"/>
      <c r="AI369" s="5"/>
      <c r="AK369" s="3" t="s">
        <v>211</v>
      </c>
      <c r="AL369" s="3">
        <v>0.9</v>
      </c>
      <c r="AM369" s="3">
        <v>0.5</v>
      </c>
      <c r="AN369" s="3">
        <v>0.6</v>
      </c>
      <c r="AO369" s="3">
        <v>0.68</v>
      </c>
      <c r="AP369" s="6">
        <v>997.37579300000004</v>
      </c>
      <c r="AQ369" s="3">
        <v>2.1000000000000001E-2</v>
      </c>
      <c r="AS369" s="3" t="s">
        <v>211</v>
      </c>
      <c r="AT369" s="3">
        <v>0.88</v>
      </c>
      <c r="AU369" s="7">
        <v>1044.764893</v>
      </c>
      <c r="AV369" s="3">
        <v>1E-3</v>
      </c>
      <c r="AW369" s="3">
        <f t="shared" si="42"/>
        <v>0.78</v>
      </c>
      <c r="AX369" s="5"/>
      <c r="AY369" s="5"/>
      <c r="AZ369" s="5"/>
      <c r="BA369" s="5"/>
      <c r="BC369" s="3" t="s">
        <v>211</v>
      </c>
      <c r="BD369" s="3">
        <v>0.9</v>
      </c>
      <c r="BE369" s="3">
        <v>0.5</v>
      </c>
      <c r="BF369" s="3">
        <v>0.6</v>
      </c>
      <c r="BG369" s="3">
        <v>0.02</v>
      </c>
      <c r="BH369" s="6">
        <v>742.197632</v>
      </c>
      <c r="BI369" s="3">
        <v>1.4999999999999999E-2</v>
      </c>
      <c r="BK369" s="3" t="s">
        <v>211</v>
      </c>
      <c r="BL369" s="3">
        <v>0.46</v>
      </c>
      <c r="BM369" s="7">
        <v>936.89825399999995</v>
      </c>
      <c r="BN369" s="3">
        <v>1E-3</v>
      </c>
      <c r="BO369" s="3">
        <f t="shared" si="43"/>
        <v>0.24000000000000002</v>
      </c>
    </row>
    <row r="370" spans="1:67" x14ac:dyDescent="0.3">
      <c r="A370" s="3" t="s">
        <v>212</v>
      </c>
      <c r="B370" s="3">
        <v>0.9</v>
      </c>
      <c r="C370" s="3">
        <v>0.5</v>
      </c>
      <c r="D370" s="3">
        <v>0.6</v>
      </c>
      <c r="E370" s="3">
        <v>0.55000000000000004</v>
      </c>
      <c r="F370" s="6">
        <v>687.16815199999996</v>
      </c>
      <c r="G370" s="3">
        <v>1.0999999999999999E-2</v>
      </c>
      <c r="I370" s="3" t="s">
        <v>212</v>
      </c>
      <c r="J370" s="3">
        <v>0.94</v>
      </c>
      <c r="K370" s="7">
        <v>706.30102499999998</v>
      </c>
      <c r="L370" s="3">
        <v>6.0000000000000001E-3</v>
      </c>
      <c r="M370" s="3">
        <f t="shared" si="40"/>
        <v>0.745</v>
      </c>
      <c r="N370" s="5"/>
      <c r="O370" s="5"/>
      <c r="P370" s="5"/>
      <c r="Q370" s="5"/>
      <c r="S370" s="3" t="s">
        <v>212</v>
      </c>
      <c r="T370" s="3">
        <v>0.9</v>
      </c>
      <c r="U370" s="3">
        <v>0.5</v>
      </c>
      <c r="V370" s="3">
        <v>0.6</v>
      </c>
      <c r="W370" s="3">
        <v>0.25</v>
      </c>
      <c r="X370" s="6">
        <v>613.61560099999997</v>
      </c>
      <c r="Y370" s="3">
        <v>1.6E-2</v>
      </c>
      <c r="AA370" s="3" t="s">
        <v>212</v>
      </c>
      <c r="AB370" s="3">
        <v>0.85</v>
      </c>
      <c r="AC370" s="7">
        <v>693.128784</v>
      </c>
      <c r="AD370" s="3">
        <v>3.0000000000000001E-3</v>
      </c>
      <c r="AE370" s="3">
        <f t="shared" si="41"/>
        <v>0.55000000000000004</v>
      </c>
      <c r="AF370" s="5"/>
      <c r="AG370" s="5"/>
      <c r="AH370" s="5"/>
      <c r="AI370" s="5"/>
      <c r="AK370" s="3" t="s">
        <v>213</v>
      </c>
      <c r="AL370" s="3">
        <v>0.9</v>
      </c>
      <c r="AM370" s="3">
        <v>0.5</v>
      </c>
      <c r="AN370" s="3">
        <v>0.6</v>
      </c>
      <c r="AO370" s="3">
        <v>0.59</v>
      </c>
      <c r="AP370" s="7">
        <v>1070.981567</v>
      </c>
      <c r="AQ370" s="3">
        <v>2.5999999999999999E-2</v>
      </c>
      <c r="AS370" s="3" t="s">
        <v>213</v>
      </c>
      <c r="AT370" s="3">
        <v>0.21</v>
      </c>
      <c r="AU370" s="6">
        <v>896.57794200000001</v>
      </c>
      <c r="AV370" s="3">
        <v>4.0000000000000001E-3</v>
      </c>
      <c r="AW370" s="3">
        <f t="shared" si="42"/>
        <v>0.39999999999999997</v>
      </c>
      <c r="AX370" s="5"/>
      <c r="AY370" s="5"/>
      <c r="AZ370" s="5"/>
      <c r="BA370" s="5"/>
      <c r="BC370" s="3" t="s">
        <v>213</v>
      </c>
      <c r="BD370" s="3">
        <v>0.9</v>
      </c>
      <c r="BE370" s="3">
        <v>0.5</v>
      </c>
      <c r="BF370" s="3">
        <v>0.6</v>
      </c>
      <c r="BG370" s="3">
        <v>0.38</v>
      </c>
      <c r="BH370" s="6">
        <v>989.40112299999998</v>
      </c>
      <c r="BI370" s="3">
        <v>2.4E-2</v>
      </c>
      <c r="BK370" s="3" t="s">
        <v>213</v>
      </c>
      <c r="BL370" s="3">
        <v>0.56000000000000005</v>
      </c>
      <c r="BM370" s="7">
        <v>1053.6116939999999</v>
      </c>
      <c r="BN370" s="3">
        <v>1E-3</v>
      </c>
      <c r="BO370" s="3">
        <f t="shared" si="43"/>
        <v>0.47000000000000003</v>
      </c>
    </row>
    <row r="371" spans="1:67" x14ac:dyDescent="0.3">
      <c r="A371" s="3" t="s">
        <v>214</v>
      </c>
      <c r="B371" s="3">
        <v>0.9</v>
      </c>
      <c r="C371" s="3">
        <v>0.5</v>
      </c>
      <c r="D371" s="3">
        <v>0.6</v>
      </c>
      <c r="E371" s="3">
        <v>0.95</v>
      </c>
      <c r="F371" s="7">
        <v>757.880493</v>
      </c>
      <c r="G371" s="3">
        <v>1.2999999999999999E-2</v>
      </c>
      <c r="I371" s="3" t="s">
        <v>214</v>
      </c>
      <c r="J371" s="3">
        <v>0.56000000000000005</v>
      </c>
      <c r="K371" s="6">
        <v>706.30999799999995</v>
      </c>
      <c r="L371" s="3">
        <v>6.0000000000000001E-3</v>
      </c>
      <c r="M371" s="3">
        <f t="shared" si="40"/>
        <v>0.755</v>
      </c>
      <c r="N371" s="5"/>
      <c r="O371" s="5"/>
      <c r="P371" s="5"/>
      <c r="Q371" s="5"/>
      <c r="S371" s="3" t="s">
        <v>214</v>
      </c>
      <c r="T371" s="3">
        <v>0.9</v>
      </c>
      <c r="U371" s="3">
        <v>0.5</v>
      </c>
      <c r="V371" s="3">
        <v>0.6</v>
      </c>
      <c r="W371" s="3">
        <v>0.4</v>
      </c>
      <c r="X371" s="7">
        <v>663.28881799999999</v>
      </c>
      <c r="Y371" s="3">
        <v>1.2E-2</v>
      </c>
      <c r="AA371" s="3" t="s">
        <v>214</v>
      </c>
      <c r="AB371" s="3">
        <v>7.0000000000000007E-2</v>
      </c>
      <c r="AC371" s="6">
        <v>568.67034899999999</v>
      </c>
      <c r="AD371" s="3">
        <v>8.9999999999999993E-3</v>
      </c>
      <c r="AE371" s="3">
        <f t="shared" si="41"/>
        <v>0.23500000000000001</v>
      </c>
      <c r="AF371" s="5"/>
      <c r="AG371" s="5"/>
      <c r="AH371" s="5"/>
      <c r="AI371" s="5"/>
      <c r="AK371" s="3" t="s">
        <v>215</v>
      </c>
      <c r="AL371" s="3">
        <v>0.9</v>
      </c>
      <c r="AM371" s="3">
        <v>0.5</v>
      </c>
      <c r="AN371" s="3">
        <v>0.6</v>
      </c>
      <c r="AO371" s="3">
        <v>0.12</v>
      </c>
      <c r="AP371" s="6">
        <v>912.89209000000005</v>
      </c>
      <c r="AQ371" s="3">
        <v>3.5999999999999997E-2</v>
      </c>
      <c r="AS371" s="3" t="s">
        <v>215</v>
      </c>
      <c r="AT371" s="3">
        <v>0.68</v>
      </c>
      <c r="AU371" s="7">
        <v>1207.8355710000001</v>
      </c>
      <c r="AV371" s="3">
        <v>7.0000000000000001E-3</v>
      </c>
      <c r="AW371" s="3">
        <f t="shared" si="42"/>
        <v>0.4</v>
      </c>
      <c r="AX371" s="5"/>
      <c r="AY371" s="5"/>
      <c r="AZ371" s="5"/>
      <c r="BA371" s="5"/>
      <c r="BC371" s="3" t="s">
        <v>215</v>
      </c>
      <c r="BD371" s="3">
        <v>0.9</v>
      </c>
      <c r="BE371" s="3">
        <v>0.5</v>
      </c>
      <c r="BF371" s="3">
        <v>0.6</v>
      </c>
      <c r="BG371" s="3">
        <v>0.54</v>
      </c>
      <c r="BH371" s="6">
        <v>1146.8811040000001</v>
      </c>
      <c r="BI371" s="3">
        <v>3.5000000000000003E-2</v>
      </c>
      <c r="BK371" s="3" t="s">
        <v>215</v>
      </c>
      <c r="BL371" s="3">
        <v>0.79</v>
      </c>
      <c r="BM371" s="7">
        <v>1246.7954099999999</v>
      </c>
      <c r="BN371" s="3">
        <v>8.0000000000000002E-3</v>
      </c>
      <c r="BO371" s="3">
        <f t="shared" si="43"/>
        <v>0.66500000000000004</v>
      </c>
    </row>
    <row r="372" spans="1:67" x14ac:dyDescent="0.3">
      <c r="A372" s="3" t="s">
        <v>216</v>
      </c>
      <c r="B372" s="3">
        <v>0.9</v>
      </c>
      <c r="C372" s="3">
        <v>0.5</v>
      </c>
      <c r="D372" s="3">
        <v>0.6</v>
      </c>
      <c r="E372" s="3">
        <v>7.0000000000000007E-2</v>
      </c>
      <c r="F372" s="6">
        <v>570.18603499999995</v>
      </c>
      <c r="G372" s="3">
        <v>2.3E-2</v>
      </c>
      <c r="I372" s="3" t="s">
        <v>216</v>
      </c>
      <c r="J372" s="3">
        <v>0.66</v>
      </c>
      <c r="K372" s="7">
        <v>695.14739999999995</v>
      </c>
      <c r="L372" s="3">
        <v>1E-3</v>
      </c>
      <c r="M372" s="3">
        <f t="shared" si="40"/>
        <v>0.36499999999999999</v>
      </c>
      <c r="N372" s="5"/>
      <c r="O372" s="5"/>
      <c r="P372" s="5"/>
      <c r="Q372" s="5"/>
      <c r="S372" s="3" t="s">
        <v>216</v>
      </c>
      <c r="T372" s="3">
        <v>0.9</v>
      </c>
      <c r="U372" s="3">
        <v>0.5</v>
      </c>
      <c r="V372" s="3">
        <v>0.6</v>
      </c>
      <c r="W372" s="3">
        <v>0.48</v>
      </c>
      <c r="X372" s="6">
        <v>629.43811000000005</v>
      </c>
      <c r="Y372" s="3">
        <v>3.4000000000000002E-2</v>
      </c>
      <c r="AA372" s="3" t="s">
        <v>216</v>
      </c>
      <c r="AB372" s="3">
        <v>0.71</v>
      </c>
      <c r="AC372" s="7">
        <v>661.57086200000003</v>
      </c>
      <c r="AD372" s="3">
        <v>7.0000000000000001E-3</v>
      </c>
      <c r="AE372" s="3">
        <f t="shared" si="41"/>
        <v>0.59499999999999997</v>
      </c>
      <c r="AF372" s="5"/>
      <c r="AG372" s="5"/>
      <c r="AH372" s="5"/>
      <c r="AI372" s="5"/>
      <c r="AK372" s="3" t="s">
        <v>217</v>
      </c>
      <c r="AL372" s="3">
        <v>0.9</v>
      </c>
      <c r="AM372" s="3">
        <v>0.5</v>
      </c>
      <c r="AN372" s="3">
        <v>0.6</v>
      </c>
      <c r="AO372" s="3">
        <v>0.6</v>
      </c>
      <c r="AP372" s="7">
        <v>1186.633057</v>
      </c>
      <c r="AQ372" s="3">
        <v>5.5E-2</v>
      </c>
      <c r="AS372" s="3" t="s">
        <v>217</v>
      </c>
      <c r="AT372" s="3">
        <v>0.38</v>
      </c>
      <c r="AU372" s="6">
        <v>1100.86499</v>
      </c>
      <c r="AV372" s="3">
        <v>7.0000000000000001E-3</v>
      </c>
      <c r="AW372" s="3">
        <f t="shared" si="42"/>
        <v>0.49</v>
      </c>
      <c r="AX372" s="5"/>
      <c r="AY372" s="5"/>
      <c r="AZ372" s="5"/>
      <c r="BA372" s="5"/>
      <c r="BC372" s="3" t="s">
        <v>217</v>
      </c>
      <c r="BD372" s="3">
        <v>0.9</v>
      </c>
      <c r="BE372" s="3">
        <v>0.5</v>
      </c>
      <c r="BF372" s="3">
        <v>0.6</v>
      </c>
      <c r="BG372" s="3">
        <v>0.08</v>
      </c>
      <c r="BH372" s="6">
        <v>906.47790499999996</v>
      </c>
      <c r="BI372" s="3">
        <v>1.4999999999999999E-2</v>
      </c>
      <c r="BK372" s="3" t="s">
        <v>217</v>
      </c>
      <c r="BL372" s="3">
        <v>0.77</v>
      </c>
      <c r="BM372" s="7">
        <v>1254.598755</v>
      </c>
      <c r="BN372" s="3">
        <v>3.0000000000000001E-3</v>
      </c>
      <c r="BO372" s="3">
        <f t="shared" si="43"/>
        <v>0.42499999999999999</v>
      </c>
    </row>
    <row r="373" spans="1:67" x14ac:dyDescent="0.3">
      <c r="A373" s="3" t="s">
        <v>218</v>
      </c>
      <c r="B373" s="3">
        <v>0.9</v>
      </c>
      <c r="C373" s="3">
        <v>0.5</v>
      </c>
      <c r="D373" s="3">
        <v>0.6</v>
      </c>
      <c r="E373" s="3">
        <v>0.43</v>
      </c>
      <c r="F373" s="6">
        <v>709.50604199999998</v>
      </c>
      <c r="G373" s="3">
        <v>2.1000000000000001E-2</v>
      </c>
      <c r="I373" s="3" t="s">
        <v>218</v>
      </c>
      <c r="J373" s="3">
        <v>0.63</v>
      </c>
      <c r="K373" s="7">
        <v>758.53692599999999</v>
      </c>
      <c r="L373" s="3">
        <v>2E-3</v>
      </c>
      <c r="M373" s="3">
        <f t="shared" si="40"/>
        <v>0.53</v>
      </c>
      <c r="N373" s="5"/>
      <c r="O373" s="5"/>
      <c r="P373" s="5"/>
      <c r="Q373" s="5"/>
      <c r="S373" s="3" t="s">
        <v>218</v>
      </c>
      <c r="T373" s="3">
        <v>0.9</v>
      </c>
      <c r="U373" s="3">
        <v>0.5</v>
      </c>
      <c r="V373" s="3">
        <v>0.6</v>
      </c>
      <c r="W373" s="3">
        <v>0.72</v>
      </c>
      <c r="X373" s="7">
        <v>751.56616199999996</v>
      </c>
      <c r="Y373" s="3">
        <v>0.03</v>
      </c>
      <c r="AA373" s="3" t="s">
        <v>218</v>
      </c>
      <c r="AB373" s="3">
        <v>0.46</v>
      </c>
      <c r="AC373" s="6">
        <v>696.09387200000003</v>
      </c>
      <c r="AD373" s="3">
        <v>5.0000000000000001E-3</v>
      </c>
      <c r="AE373" s="3">
        <f t="shared" si="41"/>
        <v>0.59</v>
      </c>
      <c r="AF373" s="5"/>
      <c r="AG373" s="5"/>
      <c r="AH373" s="5"/>
      <c r="AI373" s="5"/>
      <c r="AK373" s="3" t="s">
        <v>219</v>
      </c>
      <c r="AL373" s="3">
        <v>0.9</v>
      </c>
      <c r="AM373" s="3">
        <v>0.5</v>
      </c>
      <c r="AN373" s="3">
        <v>0.6</v>
      </c>
      <c r="AO373" s="3">
        <v>0.61</v>
      </c>
      <c r="AP373" s="7">
        <v>1222.0756839999999</v>
      </c>
      <c r="AQ373" s="3">
        <v>5.0999999999999997E-2</v>
      </c>
      <c r="AS373" s="3" t="s">
        <v>219</v>
      </c>
      <c r="AT373" s="3">
        <v>0.01</v>
      </c>
      <c r="AU373" s="6">
        <v>945.98571800000002</v>
      </c>
      <c r="AV373" s="3">
        <v>5.0000000000000001E-3</v>
      </c>
      <c r="AW373" s="3">
        <f t="shared" si="42"/>
        <v>0.31</v>
      </c>
      <c r="AX373" s="5"/>
      <c r="AY373" s="5"/>
      <c r="AZ373" s="5"/>
      <c r="BA373" s="5"/>
      <c r="BC373" s="3" t="s">
        <v>219</v>
      </c>
      <c r="BD373" s="3">
        <v>0.9</v>
      </c>
      <c r="BE373" s="3">
        <v>0.5</v>
      </c>
      <c r="BF373" s="3">
        <v>0.6</v>
      </c>
      <c r="BG373" s="3">
        <v>0.8</v>
      </c>
      <c r="BH373" s="6">
        <v>1249.4291989999999</v>
      </c>
      <c r="BI373" s="3">
        <v>2.1999999999999999E-2</v>
      </c>
      <c r="BK373" s="3" t="s">
        <v>219</v>
      </c>
      <c r="BL373" s="3">
        <v>0.76</v>
      </c>
      <c r="BM373" s="8">
        <v>1249.6723629999999</v>
      </c>
      <c r="BN373" s="3">
        <v>3.0000000000000001E-3</v>
      </c>
      <c r="BO373" s="3">
        <f t="shared" si="43"/>
        <v>0.78</v>
      </c>
    </row>
    <row r="374" spans="1:67" x14ac:dyDescent="0.3">
      <c r="A374" s="3" t="s">
        <v>220</v>
      </c>
      <c r="B374" s="3">
        <v>0.9</v>
      </c>
      <c r="C374" s="3">
        <v>0.5</v>
      </c>
      <c r="D374" s="3">
        <v>0.6</v>
      </c>
      <c r="E374" s="3">
        <v>0.75</v>
      </c>
      <c r="F374" s="7">
        <v>803.02844200000004</v>
      </c>
      <c r="G374" s="3">
        <v>0.04</v>
      </c>
      <c r="I374" s="3" t="s">
        <v>220</v>
      </c>
      <c r="J374" s="3">
        <v>0.42</v>
      </c>
      <c r="K374" s="6">
        <v>724.13903800000003</v>
      </c>
      <c r="L374" s="3">
        <v>3.0000000000000001E-3</v>
      </c>
      <c r="M374" s="3">
        <f t="shared" si="40"/>
        <v>0.58499999999999996</v>
      </c>
      <c r="N374" s="5"/>
      <c r="O374" s="5"/>
      <c r="P374" s="5"/>
      <c r="Q374" s="5"/>
      <c r="S374" s="3" t="s">
        <v>220</v>
      </c>
      <c r="T374" s="3">
        <v>0.9</v>
      </c>
      <c r="U374" s="3">
        <v>0.5</v>
      </c>
      <c r="V374" s="3">
        <v>0.6</v>
      </c>
      <c r="W374" s="3">
        <v>0.75</v>
      </c>
      <c r="X374" s="7">
        <v>840.67126499999995</v>
      </c>
      <c r="Y374" s="3">
        <v>1.7999999999999999E-2</v>
      </c>
      <c r="AA374" s="3" t="s">
        <v>220</v>
      </c>
      <c r="AB374" s="3">
        <v>0.27</v>
      </c>
      <c r="AC374" s="6">
        <v>675.730774</v>
      </c>
      <c r="AD374" s="3">
        <v>5.0000000000000001E-3</v>
      </c>
      <c r="AE374" s="3">
        <f t="shared" si="41"/>
        <v>0.51</v>
      </c>
      <c r="AF374" s="5"/>
      <c r="AG374" s="5"/>
      <c r="AH374" s="5"/>
      <c r="AI374" s="5"/>
      <c r="AK374" s="3" t="s">
        <v>221</v>
      </c>
      <c r="AL374" s="3">
        <v>0.9</v>
      </c>
      <c r="AM374" s="3">
        <v>0.5</v>
      </c>
      <c r="AN374" s="3">
        <v>0.6</v>
      </c>
      <c r="AO374" s="3">
        <v>0.47</v>
      </c>
      <c r="AP374" s="6">
        <v>1068.7384030000001</v>
      </c>
      <c r="AQ374" s="3">
        <v>2.5999999999999999E-2</v>
      </c>
      <c r="AS374" s="3" t="s">
        <v>221</v>
      </c>
      <c r="AT374" s="3">
        <v>0.9</v>
      </c>
      <c r="AU374" s="7">
        <v>1168.2667240000001</v>
      </c>
      <c r="AV374" s="3">
        <v>4.0000000000000001E-3</v>
      </c>
      <c r="AW374" s="3">
        <f t="shared" si="42"/>
        <v>0.68500000000000005</v>
      </c>
      <c r="AX374" s="5"/>
      <c r="AY374" s="5"/>
      <c r="AZ374" s="5"/>
      <c r="BA374" s="5"/>
      <c r="BC374" s="3" t="s">
        <v>221</v>
      </c>
      <c r="BD374" s="3">
        <v>0.9</v>
      </c>
      <c r="BE374" s="3">
        <v>0.5</v>
      </c>
      <c r="BF374" s="3">
        <v>0.6</v>
      </c>
      <c r="BG374" s="3">
        <v>0.13</v>
      </c>
      <c r="BH374" s="6">
        <v>850.92089799999997</v>
      </c>
      <c r="BI374" s="3">
        <v>0.02</v>
      </c>
      <c r="BK374" s="3" t="s">
        <v>221</v>
      </c>
      <c r="BL374" s="3">
        <v>0.23</v>
      </c>
      <c r="BM374" s="7">
        <v>927.04516599999999</v>
      </c>
      <c r="BN374" s="3">
        <v>2.1000000000000001E-2</v>
      </c>
      <c r="BO374" s="3">
        <f t="shared" si="43"/>
        <v>0.18</v>
      </c>
    </row>
    <row r="375" spans="1:67" x14ac:dyDescent="0.3">
      <c r="A375" s="3" t="s">
        <v>222</v>
      </c>
      <c r="B375" s="3">
        <v>0.9</v>
      </c>
      <c r="C375" s="3">
        <v>0.5</v>
      </c>
      <c r="D375" s="3">
        <v>0.6</v>
      </c>
      <c r="E375" s="3">
        <v>0.67</v>
      </c>
      <c r="F375" s="6">
        <v>810.93310499999995</v>
      </c>
      <c r="G375" s="3">
        <v>9.6000000000000002E-2</v>
      </c>
      <c r="I375" s="3" t="s">
        <v>222</v>
      </c>
      <c r="J375" s="3">
        <v>0.88</v>
      </c>
      <c r="K375" s="7">
        <v>846.00061000000005</v>
      </c>
      <c r="L375" s="3">
        <v>2E-3</v>
      </c>
      <c r="M375" s="3">
        <f t="shared" si="40"/>
        <v>0.77500000000000002</v>
      </c>
      <c r="N375" s="5"/>
      <c r="O375" s="5"/>
      <c r="P375" s="5"/>
      <c r="Q375" s="5"/>
      <c r="S375" s="3" t="s">
        <v>222</v>
      </c>
      <c r="T375" s="3">
        <v>0.9</v>
      </c>
      <c r="U375" s="3">
        <v>0.5</v>
      </c>
      <c r="V375" s="3">
        <v>0.6</v>
      </c>
      <c r="W375" s="3">
        <v>0.88</v>
      </c>
      <c r="X375" s="7">
        <v>826.48699999999997</v>
      </c>
      <c r="Y375" s="3">
        <v>2.1000000000000001E-2</v>
      </c>
      <c r="AA375" s="3" t="s">
        <v>222</v>
      </c>
      <c r="AB375" s="3">
        <v>0.21</v>
      </c>
      <c r="AC375" s="6">
        <v>655.15741000000003</v>
      </c>
      <c r="AD375" s="3">
        <v>3.0000000000000001E-3</v>
      </c>
      <c r="AE375" s="3">
        <f t="shared" si="41"/>
        <v>0.54500000000000004</v>
      </c>
      <c r="AF375" s="5"/>
      <c r="AG375" s="5"/>
      <c r="AH375" s="5"/>
      <c r="AI375" s="5"/>
      <c r="AK375" s="3" t="s">
        <v>223</v>
      </c>
      <c r="AL375" s="3">
        <v>0.9</v>
      </c>
      <c r="AM375" s="3">
        <v>0.5</v>
      </c>
      <c r="AN375" s="3">
        <v>0.6</v>
      </c>
      <c r="AO375" s="3">
        <v>0.92</v>
      </c>
      <c r="AP375" s="7">
        <v>1296.890991</v>
      </c>
      <c r="AQ375" s="3">
        <v>1.7999999999999999E-2</v>
      </c>
      <c r="AS375" s="3" t="s">
        <v>223</v>
      </c>
      <c r="AT375" s="3">
        <v>0.81</v>
      </c>
      <c r="AU375" s="6">
        <v>1257.8752440000001</v>
      </c>
      <c r="AV375" s="3">
        <v>0.01</v>
      </c>
      <c r="AW375" s="3">
        <f t="shared" si="42"/>
        <v>0.86499999999999999</v>
      </c>
      <c r="AX375" s="5"/>
      <c r="AY375" s="5"/>
      <c r="AZ375" s="5"/>
      <c r="BA375" s="5"/>
      <c r="BC375" s="3" t="s">
        <v>223</v>
      </c>
      <c r="BD375" s="3">
        <v>0.9</v>
      </c>
      <c r="BE375" s="3">
        <v>0.5</v>
      </c>
      <c r="BF375" s="3">
        <v>0.6</v>
      </c>
      <c r="BG375" s="3">
        <v>0.61</v>
      </c>
      <c r="BH375" s="7">
        <v>1210.274048</v>
      </c>
      <c r="BI375" s="3">
        <v>2.7E-2</v>
      </c>
      <c r="BK375" s="3" t="s">
        <v>223</v>
      </c>
      <c r="BL375" s="3">
        <v>0.47</v>
      </c>
      <c r="BM375" s="6">
        <v>1132.5527340000001</v>
      </c>
      <c r="BN375" s="3">
        <v>6.0000000000000001E-3</v>
      </c>
      <c r="BO375" s="3">
        <f t="shared" si="43"/>
        <v>0.54</v>
      </c>
    </row>
    <row r="376" spans="1:67" x14ac:dyDescent="0.3">
      <c r="A376" s="3" t="s">
        <v>224</v>
      </c>
      <c r="B376" s="3">
        <v>0.9</v>
      </c>
      <c r="C376" s="3">
        <v>0.5</v>
      </c>
      <c r="D376" s="3">
        <v>0.6</v>
      </c>
      <c r="E376" s="3">
        <v>0.75</v>
      </c>
      <c r="F376" s="6">
        <v>872.43811000000005</v>
      </c>
      <c r="G376" s="3">
        <v>2.1000000000000001E-2</v>
      </c>
      <c r="I376" s="3" t="s">
        <v>224</v>
      </c>
      <c r="J376" s="3">
        <v>0.93</v>
      </c>
      <c r="K376" s="7">
        <v>882.47522000000004</v>
      </c>
      <c r="L376" s="3">
        <v>4.0000000000000001E-3</v>
      </c>
      <c r="M376" s="3">
        <f t="shared" si="40"/>
        <v>0.84000000000000008</v>
      </c>
      <c r="N376" s="5"/>
      <c r="O376" s="5"/>
      <c r="P376" s="5"/>
      <c r="Q376" s="5"/>
      <c r="S376" s="3" t="s">
        <v>224</v>
      </c>
      <c r="T376" s="3">
        <v>0.9</v>
      </c>
      <c r="U376" s="3">
        <v>0.5</v>
      </c>
      <c r="V376" s="3">
        <v>0.6</v>
      </c>
      <c r="W376" s="3">
        <v>0.67</v>
      </c>
      <c r="X376" s="7">
        <v>850.74627699999996</v>
      </c>
      <c r="Y376" s="3">
        <v>4.8000000000000001E-2</v>
      </c>
      <c r="AA376" s="3" t="s">
        <v>224</v>
      </c>
      <c r="AB376" s="3">
        <v>0.7</v>
      </c>
      <c r="AC376" s="6">
        <v>828.69982900000002</v>
      </c>
      <c r="AD376" s="3">
        <v>1.2999999999999999E-2</v>
      </c>
      <c r="AE376" s="3">
        <f t="shared" si="41"/>
        <v>0.68500000000000005</v>
      </c>
      <c r="AF376" s="5"/>
      <c r="AG376" s="5"/>
      <c r="AH376" s="5"/>
      <c r="AI376" s="5"/>
      <c r="AK376" s="3" t="s">
        <v>225</v>
      </c>
      <c r="AL376" s="3">
        <v>0.9</v>
      </c>
      <c r="AM376" s="3">
        <v>0.5</v>
      </c>
      <c r="AN376" s="3">
        <v>0.6</v>
      </c>
      <c r="AO376" s="3">
        <v>0.13</v>
      </c>
      <c r="AP376" s="6">
        <v>906.89404300000001</v>
      </c>
      <c r="AQ376" s="3">
        <v>2.8000000000000001E-2</v>
      </c>
      <c r="AS376" s="3" t="s">
        <v>225</v>
      </c>
      <c r="AT376" s="3">
        <v>0.17</v>
      </c>
      <c r="AU376" s="7">
        <v>938.55212400000005</v>
      </c>
      <c r="AV376" s="3">
        <v>2E-3</v>
      </c>
      <c r="AW376" s="3">
        <f t="shared" si="42"/>
        <v>0.15000000000000002</v>
      </c>
      <c r="AX376" s="5"/>
      <c r="AY376" s="5"/>
      <c r="AZ376" s="5"/>
      <c r="BA376" s="5"/>
      <c r="BC376" s="3" t="s">
        <v>225</v>
      </c>
      <c r="BD376" s="3">
        <v>0.9</v>
      </c>
      <c r="BE376" s="3">
        <v>0.5</v>
      </c>
      <c r="BF376" s="3">
        <v>0.6</v>
      </c>
      <c r="BG376" s="3">
        <v>0.11</v>
      </c>
      <c r="BH376" s="6">
        <v>865.36956799999996</v>
      </c>
      <c r="BI376" s="3">
        <v>1.6E-2</v>
      </c>
      <c r="BK376" s="3" t="s">
        <v>225</v>
      </c>
      <c r="BL376" s="3">
        <v>0.54</v>
      </c>
      <c r="BM376" s="7">
        <v>1120.0908199999999</v>
      </c>
      <c r="BN376" s="3">
        <v>2E-3</v>
      </c>
      <c r="BO376" s="3">
        <f t="shared" si="43"/>
        <v>0.32500000000000001</v>
      </c>
    </row>
    <row r="377" spans="1:67" x14ac:dyDescent="0.3">
      <c r="A377" s="3" t="s">
        <v>226</v>
      </c>
      <c r="B377" s="3">
        <v>0.9</v>
      </c>
      <c r="C377" s="3">
        <v>0.5</v>
      </c>
      <c r="D377" s="3">
        <v>0.6</v>
      </c>
      <c r="E377" s="3">
        <v>0.32</v>
      </c>
      <c r="F377" s="6">
        <v>751.52801499999998</v>
      </c>
      <c r="G377" s="3">
        <v>3.1E-2</v>
      </c>
      <c r="I377" s="3" t="s">
        <v>226</v>
      </c>
      <c r="J377" s="3">
        <v>0.67</v>
      </c>
      <c r="K377" s="7">
        <v>856.69439699999998</v>
      </c>
      <c r="L377" s="3">
        <v>5.0000000000000001E-3</v>
      </c>
      <c r="M377" s="3">
        <f t="shared" si="40"/>
        <v>0.495</v>
      </c>
      <c r="N377" s="5"/>
      <c r="O377" s="5"/>
      <c r="P377" s="5"/>
      <c r="Q377" s="5"/>
      <c r="S377" s="3" t="s">
        <v>226</v>
      </c>
      <c r="T377" s="3">
        <v>0.9</v>
      </c>
      <c r="U377" s="3">
        <v>0.5</v>
      </c>
      <c r="V377" s="3">
        <v>0.6</v>
      </c>
      <c r="W377" s="3">
        <v>0.53</v>
      </c>
      <c r="X377" s="6">
        <v>800.09899900000005</v>
      </c>
      <c r="Y377" s="3">
        <v>1.2E-2</v>
      </c>
      <c r="AA377" s="3" t="s">
        <v>226</v>
      </c>
      <c r="AB377" s="3">
        <v>0.96</v>
      </c>
      <c r="AC377" s="7">
        <v>888.10864300000003</v>
      </c>
      <c r="AD377" s="3">
        <v>3.0000000000000001E-3</v>
      </c>
      <c r="AE377" s="3">
        <f t="shared" si="41"/>
        <v>0.745</v>
      </c>
      <c r="AF377" s="5"/>
      <c r="AG377" s="5"/>
      <c r="AH377" s="5"/>
      <c r="AI377" s="5"/>
      <c r="AK377" s="3" t="s">
        <v>227</v>
      </c>
      <c r="AL377" s="3">
        <v>0.9</v>
      </c>
      <c r="AM377" s="3">
        <v>0.5</v>
      </c>
      <c r="AN377" s="3">
        <v>0.6</v>
      </c>
      <c r="AO377" s="3">
        <v>0.4</v>
      </c>
      <c r="AP377" s="6">
        <v>1040.3572999999999</v>
      </c>
      <c r="AQ377" s="3">
        <v>2.3E-2</v>
      </c>
      <c r="AS377" s="3" t="s">
        <v>227</v>
      </c>
      <c r="AT377" s="3">
        <v>0.86</v>
      </c>
      <c r="AU377" s="7">
        <v>1164.1405030000001</v>
      </c>
      <c r="AV377" s="3">
        <v>5.0000000000000001E-3</v>
      </c>
      <c r="AW377" s="3">
        <f t="shared" si="42"/>
        <v>0.63</v>
      </c>
      <c r="AX377" s="5"/>
      <c r="AY377" s="5"/>
      <c r="AZ377" s="5"/>
      <c r="BA377" s="5"/>
      <c r="BC377" s="3" t="s">
        <v>227</v>
      </c>
      <c r="BD377" s="3">
        <v>0.9</v>
      </c>
      <c r="BE377" s="3">
        <v>0.5</v>
      </c>
      <c r="BF377" s="3">
        <v>0.6</v>
      </c>
      <c r="BG377" s="3">
        <v>0.23</v>
      </c>
      <c r="BH377" s="6">
        <v>931.54699700000003</v>
      </c>
      <c r="BI377" s="3">
        <v>2.1999999999999999E-2</v>
      </c>
      <c r="BK377" s="3" t="s">
        <v>227</v>
      </c>
      <c r="BL377" s="3">
        <v>0.78</v>
      </c>
      <c r="BM377" s="7">
        <v>1128.356567</v>
      </c>
      <c r="BN377" s="3">
        <v>1.4999999999999999E-2</v>
      </c>
      <c r="BO377" s="3">
        <f t="shared" si="43"/>
        <v>0.505</v>
      </c>
    </row>
    <row r="378" spans="1:67" x14ac:dyDescent="0.3">
      <c r="A378" s="3" t="s">
        <v>228</v>
      </c>
      <c r="B378" s="3">
        <v>0.9</v>
      </c>
      <c r="C378" s="3">
        <v>0.5</v>
      </c>
      <c r="D378" s="3">
        <v>0.6</v>
      </c>
      <c r="E378" s="3">
        <v>0.48</v>
      </c>
      <c r="F378" s="7">
        <v>718.10858199999996</v>
      </c>
      <c r="G378" s="3">
        <v>1.7999999999999999E-2</v>
      </c>
      <c r="I378" s="3" t="s">
        <v>228</v>
      </c>
      <c r="J378" s="3">
        <v>0.14000000000000001</v>
      </c>
      <c r="K378" s="6">
        <v>598.01690699999995</v>
      </c>
      <c r="L378" s="3">
        <v>7.0000000000000001E-3</v>
      </c>
      <c r="M378" s="3">
        <f t="shared" si="40"/>
        <v>0.31</v>
      </c>
      <c r="N378" s="5"/>
      <c r="O378" s="5"/>
      <c r="P378" s="5"/>
      <c r="Q378" s="5"/>
      <c r="S378" s="3" t="s">
        <v>228</v>
      </c>
      <c r="T378" s="3">
        <v>0.9</v>
      </c>
      <c r="U378" s="3">
        <v>0.5</v>
      </c>
      <c r="V378" s="3">
        <v>0.6</v>
      </c>
      <c r="W378" s="3">
        <v>0.85</v>
      </c>
      <c r="X378" s="7">
        <v>769.82702600000005</v>
      </c>
      <c r="Y378" s="3">
        <v>1.7999999999999999E-2</v>
      </c>
      <c r="AA378" s="3" t="s">
        <v>228</v>
      </c>
      <c r="AB378" s="3">
        <v>7.0000000000000007E-2</v>
      </c>
      <c r="AC378" s="6">
        <v>564.59173599999997</v>
      </c>
      <c r="AD378" s="3">
        <v>1E-3</v>
      </c>
      <c r="AE378" s="3">
        <f t="shared" si="41"/>
        <v>0.45999999999999996</v>
      </c>
      <c r="AF378" s="5"/>
      <c r="AG378" s="5"/>
      <c r="AH378" s="5"/>
      <c r="AI378" s="5"/>
      <c r="AK378" s="3" t="s">
        <v>229</v>
      </c>
      <c r="AL378" s="3">
        <v>0.9</v>
      </c>
      <c r="AM378" s="3">
        <v>0.5</v>
      </c>
      <c r="AN378" s="3">
        <v>0.6</v>
      </c>
      <c r="AO378" s="3">
        <v>0.37</v>
      </c>
      <c r="AP378" s="7">
        <v>1064.0792240000001</v>
      </c>
      <c r="AQ378" s="3">
        <v>2.1000000000000001E-2</v>
      </c>
      <c r="AS378" s="3" t="s">
        <v>229</v>
      </c>
      <c r="AT378" s="3">
        <v>0.22</v>
      </c>
      <c r="AU378" s="6">
        <v>1044.983154</v>
      </c>
      <c r="AV378" s="3">
        <v>7.0000000000000001E-3</v>
      </c>
      <c r="AW378" s="3">
        <f t="shared" si="42"/>
        <v>0.29499999999999998</v>
      </c>
      <c r="AX378" s="5"/>
      <c r="AY378" s="5"/>
      <c r="AZ378" s="5"/>
      <c r="BA378" s="5"/>
      <c r="BC378" s="3" t="s">
        <v>229</v>
      </c>
      <c r="BD378" s="3">
        <v>0.9</v>
      </c>
      <c r="BE378" s="3">
        <v>0.5</v>
      </c>
      <c r="BF378" s="3">
        <v>0.6</v>
      </c>
      <c r="BG378" s="3">
        <v>0.87</v>
      </c>
      <c r="BH378" s="6">
        <v>1224.3005370000001</v>
      </c>
      <c r="BI378" s="3">
        <v>2.4E-2</v>
      </c>
      <c r="BK378" s="3" t="s">
        <v>229</v>
      </c>
      <c r="BL378" s="3">
        <v>0.92</v>
      </c>
      <c r="BM378" s="7">
        <v>1234.6137699999999</v>
      </c>
      <c r="BN378" s="3">
        <v>8.9999999999999993E-3</v>
      </c>
      <c r="BO378" s="3">
        <f t="shared" si="43"/>
        <v>0.89500000000000002</v>
      </c>
    </row>
    <row r="379" spans="1:67" x14ac:dyDescent="0.3">
      <c r="A379" s="3" t="s">
        <v>230</v>
      </c>
      <c r="B379" s="3">
        <v>0.9</v>
      </c>
      <c r="C379" s="3">
        <v>0.5</v>
      </c>
      <c r="D379" s="3">
        <v>0.6</v>
      </c>
      <c r="E379" s="3">
        <v>0.95</v>
      </c>
      <c r="F379" s="7">
        <v>941.57385299999999</v>
      </c>
      <c r="G379" s="3">
        <v>2.1000000000000001E-2</v>
      </c>
      <c r="I379" s="3" t="s">
        <v>230</v>
      </c>
      <c r="J379" s="3">
        <v>0.69</v>
      </c>
      <c r="K379" s="6">
        <v>883.309753</v>
      </c>
      <c r="L379" s="3">
        <v>3.0000000000000001E-3</v>
      </c>
      <c r="M379" s="3">
        <f t="shared" si="40"/>
        <v>0.82</v>
      </c>
      <c r="N379" s="5"/>
      <c r="O379" s="5"/>
      <c r="P379" s="5"/>
      <c r="Q379" s="5"/>
      <c r="S379" s="3" t="s">
        <v>230</v>
      </c>
      <c r="T379" s="3">
        <v>0.9</v>
      </c>
      <c r="U379" s="3">
        <v>0.5</v>
      </c>
      <c r="V379" s="3">
        <v>0.6</v>
      </c>
      <c r="W379" s="3">
        <v>0.98</v>
      </c>
      <c r="X379" s="7">
        <v>933.00958300000002</v>
      </c>
      <c r="Y379" s="3">
        <v>1.2999999999999999E-2</v>
      </c>
      <c r="AA379" s="3" t="s">
        <v>230</v>
      </c>
      <c r="AB379" s="3">
        <v>0.13</v>
      </c>
      <c r="AC379" s="6">
        <v>676.69549600000005</v>
      </c>
      <c r="AD379" s="3">
        <v>2E-3</v>
      </c>
      <c r="AE379" s="3">
        <f t="shared" si="41"/>
        <v>0.55499999999999994</v>
      </c>
      <c r="AF379" s="5"/>
      <c r="AG379" s="5"/>
      <c r="AH379" s="5"/>
      <c r="AI379" s="5"/>
      <c r="AK379" s="3" t="s">
        <v>231</v>
      </c>
      <c r="AL379" s="3">
        <v>0.9</v>
      </c>
      <c r="AM379" s="3">
        <v>0.5</v>
      </c>
      <c r="AN379" s="3">
        <v>0.6</v>
      </c>
      <c r="AO379" s="3">
        <v>0.76</v>
      </c>
      <c r="AP379" s="7">
        <v>1155.006592</v>
      </c>
      <c r="AQ379" s="3">
        <v>2.8000000000000001E-2</v>
      </c>
      <c r="AS379" s="3" t="s">
        <v>231</v>
      </c>
      <c r="AT379" s="3">
        <v>0.33</v>
      </c>
      <c r="AU379" s="6">
        <v>980.847351</v>
      </c>
      <c r="AV379" s="3">
        <v>2E-3</v>
      </c>
      <c r="AW379" s="3">
        <f t="shared" si="42"/>
        <v>0.54500000000000004</v>
      </c>
      <c r="AX379" s="5"/>
      <c r="AY379" s="5"/>
      <c r="AZ379" s="5"/>
      <c r="BA379" s="5"/>
      <c r="BC379" s="3" t="s">
        <v>231</v>
      </c>
      <c r="BD379" s="3">
        <v>0.9</v>
      </c>
      <c r="BE379" s="3">
        <v>0.5</v>
      </c>
      <c r="BF379" s="3">
        <v>0.6</v>
      </c>
      <c r="BG379" s="3">
        <v>0.92</v>
      </c>
      <c r="BH379" s="7">
        <v>1164.9454350000001</v>
      </c>
      <c r="BI379" s="3">
        <v>2.1000000000000001E-2</v>
      </c>
      <c r="BK379" s="3" t="s">
        <v>231</v>
      </c>
      <c r="BL379" s="3">
        <v>0.56999999999999995</v>
      </c>
      <c r="BM379" s="6">
        <v>1093.373413</v>
      </c>
      <c r="BN379" s="3">
        <v>4.0000000000000001E-3</v>
      </c>
      <c r="BO379" s="3">
        <f t="shared" si="43"/>
        <v>0.745</v>
      </c>
    </row>
    <row r="380" spans="1:67" x14ac:dyDescent="0.3">
      <c r="A380" s="3" t="s">
        <v>232</v>
      </c>
      <c r="B380" s="3">
        <v>0.9</v>
      </c>
      <c r="C380" s="3">
        <v>0.5</v>
      </c>
      <c r="D380" s="3">
        <v>0.6</v>
      </c>
      <c r="E380" s="3">
        <v>0.77</v>
      </c>
      <c r="F380" s="7">
        <v>908.09930399999996</v>
      </c>
      <c r="G380" s="3">
        <v>1.7999999999999999E-2</v>
      </c>
      <c r="I380" s="3" t="s">
        <v>232</v>
      </c>
      <c r="J380" s="3">
        <v>0.51</v>
      </c>
      <c r="K380" s="6">
        <v>867.12683100000004</v>
      </c>
      <c r="L380" s="3">
        <v>8.0000000000000002E-3</v>
      </c>
      <c r="M380" s="3">
        <f t="shared" si="40"/>
        <v>0.64</v>
      </c>
      <c r="N380" s="5"/>
      <c r="O380" s="5"/>
      <c r="P380" s="5"/>
      <c r="Q380" s="5"/>
      <c r="S380" s="3" t="s">
        <v>232</v>
      </c>
      <c r="T380" s="3">
        <v>0.9</v>
      </c>
      <c r="U380" s="3">
        <v>0.5</v>
      </c>
      <c r="V380" s="3">
        <v>0.6</v>
      </c>
      <c r="W380" s="3">
        <v>0.81</v>
      </c>
      <c r="X380" s="6">
        <v>883.21807899999999</v>
      </c>
      <c r="Y380" s="3">
        <v>1.7999999999999999E-2</v>
      </c>
      <c r="AA380" s="3" t="s">
        <v>232</v>
      </c>
      <c r="AB380" s="3">
        <v>0.71</v>
      </c>
      <c r="AC380" s="8">
        <v>883.48217799999998</v>
      </c>
      <c r="AD380" s="3">
        <v>1E-3</v>
      </c>
      <c r="AE380" s="3">
        <f t="shared" si="41"/>
        <v>0.76</v>
      </c>
      <c r="AF380" s="5"/>
      <c r="AG380" s="5"/>
      <c r="AH380" s="5"/>
      <c r="AI380" s="5"/>
      <c r="AK380" s="3" t="s">
        <v>233</v>
      </c>
      <c r="AL380" s="3">
        <v>0.9</v>
      </c>
      <c r="AM380" s="3">
        <v>0.5</v>
      </c>
      <c r="AN380" s="3">
        <v>0.6</v>
      </c>
      <c r="AO380" s="3">
        <v>0.28000000000000003</v>
      </c>
      <c r="AP380" s="7">
        <v>1025.5543210000001</v>
      </c>
      <c r="AQ380" s="3">
        <v>2.5999999999999999E-2</v>
      </c>
      <c r="AS380" s="3" t="s">
        <v>233</v>
      </c>
      <c r="AT380" s="3">
        <v>0.03</v>
      </c>
      <c r="AU380" s="6">
        <v>828.31518600000004</v>
      </c>
      <c r="AV380" s="3">
        <v>6.0000000000000001E-3</v>
      </c>
      <c r="AW380" s="3">
        <f t="shared" si="42"/>
        <v>0.15500000000000003</v>
      </c>
      <c r="AX380" s="5"/>
      <c r="AY380" s="5"/>
      <c r="AZ380" s="5"/>
      <c r="BA380" s="5"/>
      <c r="BC380" s="3" t="s">
        <v>233</v>
      </c>
      <c r="BD380" s="3">
        <v>0.9</v>
      </c>
      <c r="BE380" s="3">
        <v>0.5</v>
      </c>
      <c r="BF380" s="3">
        <v>0.6</v>
      </c>
      <c r="BG380" s="3">
        <v>0.51</v>
      </c>
      <c r="BH380" s="6">
        <v>1099.9486079999999</v>
      </c>
      <c r="BI380" s="3">
        <v>2.9000000000000001E-2</v>
      </c>
      <c r="BK380" s="3" t="s">
        <v>233</v>
      </c>
      <c r="BL380" s="3">
        <v>0.81</v>
      </c>
      <c r="BM380" s="7">
        <v>1213.597168</v>
      </c>
      <c r="BN380" s="3">
        <v>2E-3</v>
      </c>
      <c r="BO380" s="3">
        <f t="shared" si="43"/>
        <v>0.66</v>
      </c>
    </row>
    <row r="381" spans="1:67" x14ac:dyDescent="0.3">
      <c r="A381" s="3" t="s">
        <v>234</v>
      </c>
      <c r="B381" s="3">
        <v>0.9</v>
      </c>
      <c r="C381" s="3">
        <v>0.5</v>
      </c>
      <c r="D381" s="3">
        <v>0.6</v>
      </c>
      <c r="E381" s="3">
        <v>0.32</v>
      </c>
      <c r="F381" s="6">
        <v>738.85931400000004</v>
      </c>
      <c r="G381" s="3">
        <v>2.1000000000000001E-2</v>
      </c>
      <c r="I381" s="3" t="s">
        <v>234</v>
      </c>
      <c r="J381" s="3">
        <v>0.67</v>
      </c>
      <c r="K381" s="7">
        <v>899.93359399999997</v>
      </c>
      <c r="L381" s="3">
        <v>5.0000000000000001E-3</v>
      </c>
      <c r="M381" s="3">
        <f t="shared" si="40"/>
        <v>0.495</v>
      </c>
      <c r="N381" s="5"/>
      <c r="O381" s="5"/>
      <c r="P381" s="5"/>
      <c r="Q381" s="5"/>
      <c r="S381" s="3" t="s">
        <v>234</v>
      </c>
      <c r="T381" s="3">
        <v>0.9</v>
      </c>
      <c r="U381" s="3">
        <v>0.5</v>
      </c>
      <c r="V381" s="3">
        <v>0.6</v>
      </c>
      <c r="W381" s="3">
        <v>0.84</v>
      </c>
      <c r="X381" s="6">
        <v>942.22222899999997</v>
      </c>
      <c r="Y381" s="3">
        <v>3.5999999999999997E-2</v>
      </c>
      <c r="AA381" s="3" t="s">
        <v>234</v>
      </c>
      <c r="AB381" s="3">
        <v>0.93</v>
      </c>
      <c r="AC381" s="7">
        <v>962.61077899999998</v>
      </c>
      <c r="AD381" s="3">
        <v>3.0000000000000001E-3</v>
      </c>
      <c r="AE381" s="3">
        <f t="shared" si="41"/>
        <v>0.88500000000000001</v>
      </c>
      <c r="AF381" s="5"/>
      <c r="AG381" s="5"/>
      <c r="AH381" s="5"/>
      <c r="AI381" s="5"/>
      <c r="AK381" s="3" t="s">
        <v>235</v>
      </c>
      <c r="AL381" s="3">
        <v>0.9</v>
      </c>
      <c r="AM381" s="3">
        <v>0.5</v>
      </c>
      <c r="AN381" s="3">
        <v>0.6</v>
      </c>
      <c r="AO381" s="3">
        <v>0.67</v>
      </c>
      <c r="AP381" s="7">
        <v>1316.280029</v>
      </c>
      <c r="AQ381" s="3">
        <v>2.1000000000000001E-2</v>
      </c>
      <c r="AS381" s="3" t="s">
        <v>235</v>
      </c>
      <c r="AT381" s="3">
        <v>0.49</v>
      </c>
      <c r="AU381" s="6">
        <v>1182.7164310000001</v>
      </c>
      <c r="AV381" s="3">
        <v>8.0000000000000002E-3</v>
      </c>
      <c r="AW381" s="3">
        <f t="shared" si="42"/>
        <v>0.58000000000000007</v>
      </c>
      <c r="AX381" s="5"/>
      <c r="AY381" s="5"/>
      <c r="AZ381" s="5"/>
      <c r="BA381" s="5"/>
      <c r="BC381" s="3" t="s">
        <v>235</v>
      </c>
      <c r="BD381" s="3">
        <v>0.9</v>
      </c>
      <c r="BE381" s="3">
        <v>0.5</v>
      </c>
      <c r="BF381" s="3">
        <v>0.6</v>
      </c>
      <c r="BG381" s="3">
        <v>0.55000000000000004</v>
      </c>
      <c r="BH381" s="7">
        <v>1244.4613039999999</v>
      </c>
      <c r="BI381" s="3">
        <v>0.02</v>
      </c>
      <c r="BK381" s="3" t="s">
        <v>235</v>
      </c>
      <c r="BL381" s="3">
        <v>0.32</v>
      </c>
      <c r="BM381" s="6">
        <v>1091.6198730000001</v>
      </c>
      <c r="BN381" s="3">
        <v>2E-3</v>
      </c>
      <c r="BO381" s="3">
        <f t="shared" si="43"/>
        <v>0.43500000000000005</v>
      </c>
    </row>
    <row r="382" spans="1:67" x14ac:dyDescent="0.3">
      <c r="A382" s="3" t="s">
        <v>236</v>
      </c>
      <c r="B382" s="3">
        <v>0.9</v>
      </c>
      <c r="C382" s="3">
        <v>0.5</v>
      </c>
      <c r="D382" s="3">
        <v>0.6</v>
      </c>
      <c r="E382" s="3">
        <v>0.75</v>
      </c>
      <c r="F382" s="7">
        <v>973.57360800000004</v>
      </c>
      <c r="G382" s="3">
        <v>1.2999999999999999E-2</v>
      </c>
      <c r="I382" s="3" t="s">
        <v>236</v>
      </c>
      <c r="J382" s="3">
        <v>0</v>
      </c>
      <c r="K382" s="6">
        <v>814.79058799999996</v>
      </c>
      <c r="L382" s="3">
        <v>1.9E-2</v>
      </c>
      <c r="M382" s="3">
        <f t="shared" si="40"/>
        <v>0.375</v>
      </c>
      <c r="N382" s="5"/>
      <c r="O382" s="5"/>
      <c r="P382" s="5"/>
      <c r="Q382" s="5"/>
      <c r="S382" s="3" t="s">
        <v>236</v>
      </c>
      <c r="T382" s="3">
        <v>0.9</v>
      </c>
      <c r="U382" s="3">
        <v>0.5</v>
      </c>
      <c r="V382" s="3">
        <v>0.6</v>
      </c>
      <c r="W382" s="3">
        <v>0.75</v>
      </c>
      <c r="X382" s="7">
        <v>979.87512200000003</v>
      </c>
      <c r="Y382" s="3">
        <v>0.05</v>
      </c>
      <c r="AA382" s="3" t="s">
        <v>236</v>
      </c>
      <c r="AB382" s="3">
        <v>0.24</v>
      </c>
      <c r="AC382" s="6">
        <v>734.09051499999998</v>
      </c>
      <c r="AD382" s="3">
        <v>2E-3</v>
      </c>
      <c r="AE382" s="3">
        <f t="shared" si="41"/>
        <v>0.495</v>
      </c>
      <c r="AF382" s="5"/>
      <c r="AG382" s="5"/>
      <c r="AH382" s="5"/>
      <c r="AI382" s="5"/>
      <c r="AK382" s="3" t="s">
        <v>237</v>
      </c>
      <c r="AL382" s="3">
        <v>0.9</v>
      </c>
      <c r="AM382" s="3">
        <v>0.5</v>
      </c>
      <c r="AN382" s="3">
        <v>0.6</v>
      </c>
      <c r="AO382" s="3">
        <v>0.63</v>
      </c>
      <c r="AP382" s="6">
        <v>1302.2495120000001</v>
      </c>
      <c r="AQ382" s="3">
        <v>2.8000000000000001E-2</v>
      </c>
      <c r="AS382" s="3" t="s">
        <v>237</v>
      </c>
      <c r="AT382" s="3">
        <v>0.73</v>
      </c>
      <c r="AU382" s="7">
        <v>1339.3979489999999</v>
      </c>
      <c r="AV382" s="3">
        <v>4.0000000000000001E-3</v>
      </c>
      <c r="AW382" s="3">
        <f t="shared" si="42"/>
        <v>0.67999999999999994</v>
      </c>
      <c r="AX382" s="5"/>
      <c r="AY382" s="5"/>
      <c r="AZ382" s="5"/>
      <c r="BA382" s="5"/>
      <c r="BC382" s="3" t="s">
        <v>237</v>
      </c>
      <c r="BD382" s="3">
        <v>0.9</v>
      </c>
      <c r="BE382" s="3">
        <v>0.5</v>
      </c>
      <c r="BF382" s="3">
        <v>0.6</v>
      </c>
      <c r="BG382" s="3">
        <v>0.26</v>
      </c>
      <c r="BH382" s="6">
        <v>1077.183716</v>
      </c>
      <c r="BI382" s="3">
        <v>3.1E-2</v>
      </c>
      <c r="BK382" s="3" t="s">
        <v>237</v>
      </c>
      <c r="BL382" s="3">
        <v>0.52</v>
      </c>
      <c r="BM382" s="7">
        <v>1242.505615</v>
      </c>
      <c r="BN382" s="3">
        <v>3.0000000000000001E-3</v>
      </c>
      <c r="BO382" s="3">
        <f t="shared" si="43"/>
        <v>0.39</v>
      </c>
    </row>
    <row r="383" spans="1:67" x14ac:dyDescent="0.3">
      <c r="A383" s="3" t="s">
        <v>238</v>
      </c>
      <c r="B383" s="3">
        <v>0.9</v>
      </c>
      <c r="C383" s="3">
        <v>0.5</v>
      </c>
      <c r="D383" s="3">
        <v>0.6</v>
      </c>
      <c r="E383" s="3">
        <v>0.33</v>
      </c>
      <c r="F383" s="6">
        <v>768.68395999999996</v>
      </c>
      <c r="G383" s="3">
        <v>2.4E-2</v>
      </c>
      <c r="I383" s="3" t="s">
        <v>238</v>
      </c>
      <c r="J383" s="3">
        <v>0.41</v>
      </c>
      <c r="K383" s="7">
        <v>784.99328600000001</v>
      </c>
      <c r="L383" s="3">
        <v>3.0000000000000001E-3</v>
      </c>
      <c r="M383" s="3">
        <f t="shared" si="40"/>
        <v>0.37</v>
      </c>
      <c r="N383" s="5"/>
      <c r="O383" s="5"/>
      <c r="P383" s="5"/>
      <c r="Q383" s="5"/>
      <c r="S383" s="3" t="s">
        <v>238</v>
      </c>
      <c r="T383" s="3">
        <v>0.9</v>
      </c>
      <c r="U383" s="3">
        <v>0.5</v>
      </c>
      <c r="V383" s="3">
        <v>0.6</v>
      </c>
      <c r="W383" s="3">
        <v>0.27</v>
      </c>
      <c r="X383" s="6">
        <v>735.53546100000005</v>
      </c>
      <c r="Y383" s="3">
        <v>2.5000000000000001E-2</v>
      </c>
      <c r="AA383" s="3" t="s">
        <v>238</v>
      </c>
      <c r="AB383" s="3">
        <v>0.3</v>
      </c>
      <c r="AC383" s="7">
        <v>738.44335899999999</v>
      </c>
      <c r="AD383" s="3">
        <v>1E-3</v>
      </c>
      <c r="AE383" s="3">
        <f t="shared" si="41"/>
        <v>0.28500000000000003</v>
      </c>
      <c r="AF383" s="5"/>
      <c r="AG383" s="5"/>
      <c r="AH383" s="5"/>
      <c r="AI383" s="5"/>
      <c r="AK383" s="3" t="s">
        <v>239</v>
      </c>
      <c r="AL383" s="3">
        <v>0.9</v>
      </c>
      <c r="AM383" s="3">
        <v>0.5</v>
      </c>
      <c r="AN383" s="3">
        <v>0.6</v>
      </c>
      <c r="AO383" s="3">
        <v>0.08</v>
      </c>
      <c r="AP383" s="6">
        <v>953.33831799999996</v>
      </c>
      <c r="AQ383" s="3">
        <v>0.02</v>
      </c>
      <c r="AS383" s="3" t="s">
        <v>239</v>
      </c>
      <c r="AT383" s="3">
        <v>0.79</v>
      </c>
      <c r="AU383" s="7">
        <v>1494.8291019999999</v>
      </c>
      <c r="AV383" s="3">
        <v>8.0000000000000002E-3</v>
      </c>
      <c r="AW383" s="3">
        <f t="shared" si="42"/>
        <v>0.435</v>
      </c>
      <c r="AX383" s="5"/>
      <c r="AY383" s="5"/>
      <c r="AZ383" s="5"/>
      <c r="BA383" s="5"/>
      <c r="BC383" s="3" t="s">
        <v>239</v>
      </c>
      <c r="BD383" s="3">
        <v>0.9</v>
      </c>
      <c r="BE383" s="3">
        <v>0.5</v>
      </c>
      <c r="BF383" s="3">
        <v>0.6</v>
      </c>
      <c r="BG383" s="3">
        <v>0.77</v>
      </c>
      <c r="BH383" s="6">
        <v>1491.5498050000001</v>
      </c>
      <c r="BI383" s="3">
        <v>3.5999999999999997E-2</v>
      </c>
      <c r="BK383" s="3" t="s">
        <v>239</v>
      </c>
      <c r="BL383" s="3">
        <v>0.87</v>
      </c>
      <c r="BM383" s="7">
        <v>1498.115112</v>
      </c>
      <c r="BN383" s="3">
        <v>2E-3</v>
      </c>
      <c r="BO383" s="3">
        <f t="shared" si="43"/>
        <v>0.82000000000000006</v>
      </c>
    </row>
    <row r="384" spans="1:67" x14ac:dyDescent="0.3">
      <c r="A384" s="3" t="s">
        <v>240</v>
      </c>
      <c r="B384" s="3">
        <v>0.9</v>
      </c>
      <c r="C384" s="3">
        <v>0.5</v>
      </c>
      <c r="D384" s="3">
        <v>0.6</v>
      </c>
      <c r="E384" s="3">
        <v>0.25</v>
      </c>
      <c r="F384" s="6">
        <v>709.04553199999998</v>
      </c>
      <c r="G384" s="3">
        <v>3.5999999999999997E-2</v>
      </c>
      <c r="I384" s="3" t="s">
        <v>240</v>
      </c>
      <c r="J384" s="3">
        <v>0.32</v>
      </c>
      <c r="K384" s="7">
        <v>718.26757799999996</v>
      </c>
      <c r="L384" s="3">
        <v>2E-3</v>
      </c>
      <c r="M384" s="3">
        <f t="shared" si="40"/>
        <v>0.28500000000000003</v>
      </c>
      <c r="N384" s="5"/>
      <c r="O384" s="5"/>
      <c r="P384" s="5"/>
      <c r="Q384" s="5"/>
      <c r="S384" s="3" t="s">
        <v>240</v>
      </c>
      <c r="T384" s="3">
        <v>0.9</v>
      </c>
      <c r="U384" s="3">
        <v>0.5</v>
      </c>
      <c r="V384" s="3">
        <v>0.6</v>
      </c>
      <c r="W384" s="3">
        <v>0.1</v>
      </c>
      <c r="X384" s="6">
        <v>656.382385</v>
      </c>
      <c r="Y384" s="3">
        <v>1.9E-2</v>
      </c>
      <c r="AA384" s="3" t="s">
        <v>240</v>
      </c>
      <c r="AB384" s="3">
        <v>0.95</v>
      </c>
      <c r="AC384" s="7">
        <v>939.86993399999994</v>
      </c>
      <c r="AD384" s="3">
        <v>1E-3</v>
      </c>
      <c r="AE384" s="3">
        <f t="shared" si="41"/>
        <v>0.52500000000000002</v>
      </c>
      <c r="AF384" s="5"/>
      <c r="AG384" s="5"/>
      <c r="AH384" s="5"/>
      <c r="AI384" s="5"/>
      <c r="AK384" s="3" t="s">
        <v>241</v>
      </c>
      <c r="AL384" s="3">
        <v>0.9</v>
      </c>
      <c r="AM384" s="3">
        <v>0.5</v>
      </c>
      <c r="AN384" s="3">
        <v>0.6</v>
      </c>
      <c r="AO384" s="3">
        <v>0.11</v>
      </c>
      <c r="AP384" s="6">
        <v>962.26678500000003</v>
      </c>
      <c r="AQ384" s="3">
        <v>2.8000000000000001E-2</v>
      </c>
      <c r="AS384" s="3" t="s">
        <v>241</v>
      </c>
      <c r="AT384" s="3">
        <v>0.49</v>
      </c>
      <c r="AU384" s="7">
        <v>1168.320557</v>
      </c>
      <c r="AV384" s="3">
        <v>6.0000000000000001E-3</v>
      </c>
      <c r="AW384" s="3">
        <f t="shared" si="42"/>
        <v>0.3</v>
      </c>
      <c r="AX384" s="5"/>
      <c r="AY384" s="5"/>
      <c r="AZ384" s="5"/>
      <c r="BA384" s="5"/>
      <c r="BC384" s="3" t="s">
        <v>241</v>
      </c>
      <c r="BD384" s="3">
        <v>0.9</v>
      </c>
      <c r="BE384" s="3">
        <v>0.5</v>
      </c>
      <c r="BF384" s="3">
        <v>0.6</v>
      </c>
      <c r="BG384" s="3">
        <v>0.95</v>
      </c>
      <c r="BH384" s="6">
        <v>1333.256226</v>
      </c>
      <c r="BI384" s="3">
        <v>3.4000000000000002E-2</v>
      </c>
      <c r="BK384" s="3" t="s">
        <v>241</v>
      </c>
      <c r="BL384" s="3">
        <v>0.99</v>
      </c>
      <c r="BM384" s="7">
        <v>1325.13562</v>
      </c>
      <c r="BN384" s="3">
        <v>1.4E-2</v>
      </c>
      <c r="BO384" s="3">
        <f t="shared" si="43"/>
        <v>0.97</v>
      </c>
    </row>
    <row r="385" spans="1:71" x14ac:dyDescent="0.3">
      <c r="A385" s="3" t="s">
        <v>242</v>
      </c>
      <c r="B385" s="3">
        <v>0.9</v>
      </c>
      <c r="C385" s="3">
        <v>0.5</v>
      </c>
      <c r="D385" s="3">
        <v>0.6</v>
      </c>
      <c r="E385" s="3">
        <v>0.88</v>
      </c>
      <c r="F385" s="7">
        <v>962.94897500000002</v>
      </c>
      <c r="G385" s="3">
        <v>8.0000000000000002E-3</v>
      </c>
      <c r="I385" s="3" t="s">
        <v>242</v>
      </c>
      <c r="J385" s="3">
        <v>0.28000000000000003</v>
      </c>
      <c r="K385" s="6">
        <v>714.17968800000006</v>
      </c>
      <c r="L385" s="3">
        <v>2E-3</v>
      </c>
      <c r="M385" s="3">
        <f t="shared" si="40"/>
        <v>0.58000000000000007</v>
      </c>
      <c r="N385" s="5"/>
      <c r="O385" s="5"/>
      <c r="P385" s="5"/>
      <c r="Q385" s="5"/>
      <c r="S385" s="3" t="s">
        <v>242</v>
      </c>
      <c r="T385" s="3">
        <v>0.9</v>
      </c>
      <c r="U385" s="3">
        <v>0.5</v>
      </c>
      <c r="V385" s="3">
        <v>0.6</v>
      </c>
      <c r="W385" s="3">
        <v>0.71</v>
      </c>
      <c r="X385" s="7">
        <v>915.15924099999995</v>
      </c>
      <c r="Y385" s="3">
        <v>2.5000000000000001E-2</v>
      </c>
      <c r="AA385" s="3" t="s">
        <v>242</v>
      </c>
      <c r="AB385" s="3">
        <v>0.6</v>
      </c>
      <c r="AC385" s="6">
        <v>877.64599599999997</v>
      </c>
      <c r="AD385" s="3">
        <v>3.0000000000000001E-3</v>
      </c>
      <c r="AE385" s="3">
        <f t="shared" si="41"/>
        <v>0.65500000000000003</v>
      </c>
      <c r="AF385" s="5"/>
      <c r="AG385" s="5"/>
      <c r="AH385" s="5"/>
      <c r="AI385" s="5"/>
      <c r="AK385" s="3" t="s">
        <v>243</v>
      </c>
      <c r="AL385" s="3">
        <v>0.9</v>
      </c>
      <c r="AM385" s="3">
        <v>0.5</v>
      </c>
      <c r="AN385" s="3">
        <v>0.6</v>
      </c>
      <c r="AO385" s="3">
        <v>0.75</v>
      </c>
      <c r="AP385" s="7">
        <v>1514.9414059999999</v>
      </c>
      <c r="AQ385" s="3">
        <v>2.5000000000000001E-2</v>
      </c>
      <c r="AS385" s="3" t="s">
        <v>243</v>
      </c>
      <c r="AT385" s="3">
        <v>0.16</v>
      </c>
      <c r="AU385" s="6">
        <v>1070.643188</v>
      </c>
      <c r="AV385" s="3">
        <v>2E-3</v>
      </c>
      <c r="AW385" s="3">
        <f t="shared" si="42"/>
        <v>0.45500000000000002</v>
      </c>
      <c r="AX385" s="5"/>
      <c r="AY385" s="5"/>
      <c r="AZ385" s="5"/>
      <c r="BA385" s="5"/>
      <c r="BC385" s="3" t="s">
        <v>243</v>
      </c>
      <c r="BD385" s="3">
        <v>0.9</v>
      </c>
      <c r="BE385" s="3">
        <v>0.5</v>
      </c>
      <c r="BF385" s="3">
        <v>0.6</v>
      </c>
      <c r="BG385" s="3">
        <v>0.51</v>
      </c>
      <c r="BH385" s="6">
        <v>1340.3930660000001</v>
      </c>
      <c r="BI385" s="3">
        <v>1.7000000000000001E-2</v>
      </c>
      <c r="BK385" s="3" t="s">
        <v>243</v>
      </c>
      <c r="BL385" s="3">
        <v>0.99</v>
      </c>
      <c r="BM385" s="7">
        <v>1581.02478</v>
      </c>
      <c r="BN385" s="3">
        <v>2E-3</v>
      </c>
      <c r="BO385" s="3">
        <f t="shared" si="43"/>
        <v>0.75</v>
      </c>
    </row>
    <row r="386" spans="1:71" x14ac:dyDescent="0.3">
      <c r="A386" s="3" t="s">
        <v>244</v>
      </c>
      <c r="B386" s="3">
        <v>0.9</v>
      </c>
      <c r="C386" s="3">
        <v>0.5</v>
      </c>
      <c r="D386" s="3">
        <v>0.6</v>
      </c>
      <c r="E386" s="3">
        <v>0.43</v>
      </c>
      <c r="F386" s="7">
        <v>773.79632600000002</v>
      </c>
      <c r="G386" s="3">
        <v>1.4999999999999999E-2</v>
      </c>
      <c r="I386" s="3" t="s">
        <v>244</v>
      </c>
      <c r="J386" s="3">
        <v>0.08</v>
      </c>
      <c r="K386" s="6">
        <v>668.05761700000005</v>
      </c>
      <c r="L386" s="3">
        <v>7.0000000000000001E-3</v>
      </c>
      <c r="M386" s="3">
        <f t="shared" si="40"/>
        <v>0.255</v>
      </c>
      <c r="N386" s="5"/>
      <c r="O386" s="5"/>
      <c r="P386" s="5"/>
      <c r="Q386" s="5"/>
      <c r="S386" s="3" t="s">
        <v>244</v>
      </c>
      <c r="T386" s="3">
        <v>0.9</v>
      </c>
      <c r="U386" s="3">
        <v>0.5</v>
      </c>
      <c r="V386" s="3">
        <v>0.6</v>
      </c>
      <c r="W386" s="3">
        <v>0.59</v>
      </c>
      <c r="X386" s="7">
        <v>845.25677499999995</v>
      </c>
      <c r="Y386" s="3">
        <v>1.4999999999999999E-2</v>
      </c>
      <c r="AA386" s="3" t="s">
        <v>244</v>
      </c>
      <c r="AB386" s="3">
        <v>0.18</v>
      </c>
      <c r="AC386" s="6">
        <v>674.60717799999998</v>
      </c>
      <c r="AD386" s="3">
        <v>6.0000000000000001E-3</v>
      </c>
      <c r="AE386" s="3">
        <f t="shared" si="41"/>
        <v>0.38500000000000001</v>
      </c>
      <c r="AF386" s="5"/>
      <c r="AG386" s="5"/>
      <c r="AH386" s="5"/>
      <c r="AI386" s="5"/>
      <c r="AK386" s="3" t="s">
        <v>245</v>
      </c>
      <c r="AL386" s="3">
        <v>0.9</v>
      </c>
      <c r="AM386" s="3">
        <v>0.5</v>
      </c>
      <c r="AN386" s="3">
        <v>0.6</v>
      </c>
      <c r="AO386" s="3">
        <v>0.95</v>
      </c>
      <c r="AP386" s="7">
        <v>1591.674561</v>
      </c>
      <c r="AQ386" s="3">
        <v>0.03</v>
      </c>
      <c r="AS386" s="3" t="s">
        <v>245</v>
      </c>
      <c r="AT386" s="3">
        <v>0.79</v>
      </c>
      <c r="AU386" s="6">
        <v>1490.597168</v>
      </c>
      <c r="AV386" s="3">
        <v>6.0000000000000001E-3</v>
      </c>
      <c r="AW386" s="3">
        <f t="shared" si="42"/>
        <v>0.87</v>
      </c>
      <c r="AX386" s="5"/>
      <c r="AY386" s="5"/>
      <c r="AZ386" s="5"/>
      <c r="BA386" s="5"/>
      <c r="BC386" s="3" t="s">
        <v>245</v>
      </c>
      <c r="BD386" s="3">
        <v>0.9</v>
      </c>
      <c r="BE386" s="3">
        <v>0.5</v>
      </c>
      <c r="BF386" s="3">
        <v>0.6</v>
      </c>
      <c r="BG386" s="3">
        <v>0.08</v>
      </c>
      <c r="BH386" s="6">
        <v>984.29400599999997</v>
      </c>
      <c r="BI386" s="3">
        <v>2.1999999999999999E-2</v>
      </c>
      <c r="BK386" s="3" t="s">
        <v>245</v>
      </c>
      <c r="BL386" s="3">
        <v>0.73</v>
      </c>
      <c r="BM386" s="7">
        <v>1465.075928</v>
      </c>
      <c r="BN386" s="3">
        <v>6.0000000000000001E-3</v>
      </c>
      <c r="BO386" s="3">
        <f t="shared" si="43"/>
        <v>0.40499999999999997</v>
      </c>
    </row>
    <row r="387" spans="1:71" x14ac:dyDescent="0.3">
      <c r="A387" s="3" t="s">
        <v>246</v>
      </c>
      <c r="B387" s="3">
        <v>0.9</v>
      </c>
      <c r="C387" s="3">
        <v>0.5</v>
      </c>
      <c r="D387" s="3">
        <v>0.6</v>
      </c>
      <c r="E387" s="3">
        <v>0.34</v>
      </c>
      <c r="F387" s="6">
        <v>753.03295900000001</v>
      </c>
      <c r="G387" s="3">
        <v>0.01</v>
      </c>
      <c r="I387" s="3" t="s">
        <v>246</v>
      </c>
      <c r="J387" s="3">
        <v>0.56000000000000005</v>
      </c>
      <c r="K387" s="7">
        <v>871.72326699999996</v>
      </c>
      <c r="L387" s="3">
        <v>4.0000000000000001E-3</v>
      </c>
      <c r="M387" s="3">
        <f t="shared" si="40"/>
        <v>0.45000000000000007</v>
      </c>
      <c r="N387" s="5"/>
      <c r="O387" s="5"/>
      <c r="P387" s="5"/>
      <c r="Q387" s="5"/>
      <c r="S387" s="3" t="s">
        <v>246</v>
      </c>
      <c r="T387" s="3">
        <v>0.9</v>
      </c>
      <c r="U387" s="3">
        <v>0.5</v>
      </c>
      <c r="V387" s="3">
        <v>0.6</v>
      </c>
      <c r="W387" s="3">
        <v>0.56999999999999995</v>
      </c>
      <c r="X387" s="7">
        <v>861.59912099999997</v>
      </c>
      <c r="Y387" s="3">
        <v>1.4E-2</v>
      </c>
      <c r="AA387" s="3" t="s">
        <v>246</v>
      </c>
      <c r="AB387" s="3">
        <v>0.31</v>
      </c>
      <c r="AC387" s="6">
        <v>733.63842799999998</v>
      </c>
      <c r="AD387" s="3">
        <v>1E-3</v>
      </c>
      <c r="AE387" s="3">
        <f t="shared" si="41"/>
        <v>0.43999999999999995</v>
      </c>
      <c r="AF387" s="5"/>
      <c r="AG387" s="5"/>
      <c r="AH387" s="5"/>
      <c r="AI387" s="5"/>
      <c r="AK387" s="3" t="s">
        <v>247</v>
      </c>
      <c r="AL387" s="3">
        <v>0.9</v>
      </c>
      <c r="AM387" s="3">
        <v>0.5</v>
      </c>
      <c r="AN387" s="3">
        <v>0.6</v>
      </c>
      <c r="AO387" s="3">
        <v>0.32</v>
      </c>
      <c r="AP387" s="6">
        <v>1077.89563</v>
      </c>
      <c r="AQ387" s="3">
        <v>2.1000000000000001E-2</v>
      </c>
      <c r="AS387" s="3" t="s">
        <v>247</v>
      </c>
      <c r="AT387" s="3">
        <v>0.84</v>
      </c>
      <c r="AU387" s="7">
        <v>1298.0614009999999</v>
      </c>
      <c r="AV387" s="3">
        <v>5.0000000000000001E-3</v>
      </c>
      <c r="AW387" s="3">
        <f t="shared" si="42"/>
        <v>0.57999999999999996</v>
      </c>
      <c r="AX387" s="5"/>
      <c r="AY387" s="5"/>
      <c r="AZ387" s="5"/>
      <c r="BA387" s="5"/>
      <c r="BC387" s="3" t="s">
        <v>247</v>
      </c>
      <c r="BD387" s="3">
        <v>0.9</v>
      </c>
      <c r="BE387" s="3">
        <v>0.5</v>
      </c>
      <c r="BF387" s="3">
        <v>0.6</v>
      </c>
      <c r="BG387" s="3">
        <v>0.26</v>
      </c>
      <c r="BH387" s="6">
        <v>1003.3403929999999</v>
      </c>
      <c r="BI387" s="3">
        <v>1.4999999999999999E-2</v>
      </c>
      <c r="BK387" s="3" t="s">
        <v>247</v>
      </c>
      <c r="BL387" s="3">
        <v>0.95</v>
      </c>
      <c r="BM387" s="7">
        <v>1302.0946039999999</v>
      </c>
      <c r="BN387" s="3">
        <v>2E-3</v>
      </c>
      <c r="BO387" s="3">
        <f t="shared" si="43"/>
        <v>0.60499999999999998</v>
      </c>
    </row>
    <row r="388" spans="1:71" x14ac:dyDescent="0.3">
      <c r="A388" s="3" t="s">
        <v>248</v>
      </c>
      <c r="B388" s="3">
        <v>0.9</v>
      </c>
      <c r="C388" s="3">
        <v>0.5</v>
      </c>
      <c r="D388" s="3">
        <v>0.6</v>
      </c>
      <c r="E388" s="3">
        <v>0.19</v>
      </c>
      <c r="F388" s="7">
        <v>740.60314900000003</v>
      </c>
      <c r="G388" s="3">
        <v>2.7E-2</v>
      </c>
      <c r="I388" s="3" t="s">
        <v>248</v>
      </c>
      <c r="J388" s="3">
        <v>0.08</v>
      </c>
      <c r="K388" s="6">
        <v>718.94683799999996</v>
      </c>
      <c r="L388" s="3">
        <v>1E-3</v>
      </c>
      <c r="M388" s="3">
        <f t="shared" si="40"/>
        <v>0.13500000000000001</v>
      </c>
      <c r="N388" s="5"/>
      <c r="O388" s="5"/>
      <c r="P388" s="5"/>
      <c r="Q388" s="5"/>
      <c r="S388" s="3" t="s">
        <v>248</v>
      </c>
      <c r="T388" s="3">
        <v>0.9</v>
      </c>
      <c r="U388" s="3">
        <v>0.5</v>
      </c>
      <c r="V388" s="3">
        <v>0.6</v>
      </c>
      <c r="W388" s="3">
        <v>0.43</v>
      </c>
      <c r="X388" s="6">
        <v>814.73132299999997</v>
      </c>
      <c r="Y388" s="3">
        <v>3.6999999999999998E-2</v>
      </c>
      <c r="AA388" s="3" t="s">
        <v>248</v>
      </c>
      <c r="AB388" s="3">
        <v>0.39</v>
      </c>
      <c r="AC388" s="7">
        <v>817.22308299999997</v>
      </c>
      <c r="AD388" s="3">
        <v>7.0000000000000001E-3</v>
      </c>
      <c r="AE388" s="3">
        <f t="shared" si="41"/>
        <v>0.41000000000000003</v>
      </c>
      <c r="AF388" s="5"/>
      <c r="AG388" s="5"/>
      <c r="AH388" s="5"/>
      <c r="AI388" s="5"/>
      <c r="AK388" s="3" t="s">
        <v>249</v>
      </c>
      <c r="AL388" s="3">
        <v>0.9</v>
      </c>
      <c r="AM388" s="3">
        <v>0.5</v>
      </c>
      <c r="AN388" s="3">
        <v>0.6</v>
      </c>
      <c r="AO388" s="3">
        <v>0.86</v>
      </c>
      <c r="AP388" s="7">
        <v>1442.9963379999999</v>
      </c>
      <c r="AQ388" s="3">
        <v>2.5999999999999999E-2</v>
      </c>
      <c r="AS388" s="3" t="s">
        <v>249</v>
      </c>
      <c r="AT388" s="3">
        <v>0.72</v>
      </c>
      <c r="AU388" s="6">
        <v>1349.6920170000001</v>
      </c>
      <c r="AV388" s="3">
        <v>3.0000000000000001E-3</v>
      </c>
      <c r="AW388" s="3">
        <f t="shared" si="42"/>
        <v>0.79</v>
      </c>
      <c r="AX388" s="5"/>
      <c r="AY388" s="5"/>
      <c r="AZ388" s="5"/>
      <c r="BA388" s="5"/>
      <c r="BC388" s="3" t="s">
        <v>249</v>
      </c>
      <c r="BD388" s="3">
        <v>0.9</v>
      </c>
      <c r="BE388" s="3">
        <v>0.5</v>
      </c>
      <c r="BF388" s="3">
        <v>0.6</v>
      </c>
      <c r="BG388" s="3">
        <v>0.42</v>
      </c>
      <c r="BH388" s="6">
        <v>1188.1313479999999</v>
      </c>
      <c r="BI388" s="3">
        <v>1.4999999999999999E-2</v>
      </c>
      <c r="BK388" s="3" t="s">
        <v>249</v>
      </c>
      <c r="BL388" s="3">
        <v>0.81</v>
      </c>
      <c r="BM388" s="7">
        <v>1418.653198</v>
      </c>
      <c r="BN388" s="3">
        <v>3.0000000000000001E-3</v>
      </c>
      <c r="BO388" s="3">
        <f t="shared" si="43"/>
        <v>0.61499999999999999</v>
      </c>
    </row>
    <row r="389" spans="1:71" x14ac:dyDescent="0.3">
      <c r="A389" s="3" t="s">
        <v>250</v>
      </c>
      <c r="B389" s="3">
        <v>0.9</v>
      </c>
      <c r="C389" s="3">
        <v>0.5</v>
      </c>
      <c r="D389" s="3">
        <v>0.6</v>
      </c>
      <c r="E389" s="3">
        <v>0.69</v>
      </c>
      <c r="F389" s="6">
        <v>939.22131300000001</v>
      </c>
      <c r="G389" s="3">
        <v>1.0999999999999999E-2</v>
      </c>
      <c r="I389" s="3" t="s">
        <v>250</v>
      </c>
      <c r="J389" s="3">
        <v>0.83</v>
      </c>
      <c r="K389" s="7">
        <v>952.12377900000001</v>
      </c>
      <c r="L389" s="3">
        <v>1E-3</v>
      </c>
      <c r="M389" s="3">
        <f t="shared" si="40"/>
        <v>0.76</v>
      </c>
      <c r="N389" s="5"/>
      <c r="O389" s="5"/>
      <c r="P389" s="5"/>
      <c r="Q389" s="5"/>
      <c r="S389" s="3" t="s">
        <v>250</v>
      </c>
      <c r="T389" s="3">
        <v>0.9</v>
      </c>
      <c r="U389" s="3">
        <v>0.5</v>
      </c>
      <c r="V389" s="3">
        <v>0.6</v>
      </c>
      <c r="W389" s="3">
        <v>0.73</v>
      </c>
      <c r="X389" s="7">
        <v>935.49963400000001</v>
      </c>
      <c r="Y389" s="3">
        <v>8.9999999999999993E-3</v>
      </c>
      <c r="AA389" s="3" t="s">
        <v>250</v>
      </c>
      <c r="AB389" s="3">
        <v>0.36</v>
      </c>
      <c r="AC389" s="6">
        <v>812.85632299999997</v>
      </c>
      <c r="AD389" s="3">
        <v>0</v>
      </c>
      <c r="AE389" s="3">
        <f t="shared" si="41"/>
        <v>0.54499999999999993</v>
      </c>
      <c r="AF389" s="5"/>
      <c r="AG389" s="5"/>
      <c r="AH389" s="5"/>
      <c r="AI389" s="5"/>
      <c r="AK389" s="3" t="s">
        <v>251</v>
      </c>
      <c r="AL389" s="3">
        <v>0.9</v>
      </c>
      <c r="AM389" s="3">
        <v>0.5</v>
      </c>
      <c r="AN389" s="3">
        <v>0.6</v>
      </c>
      <c r="AO389" s="3">
        <v>0.09</v>
      </c>
      <c r="AP389" s="6">
        <v>979.62548800000002</v>
      </c>
      <c r="AQ389" s="3">
        <v>1.7999999999999999E-2</v>
      </c>
      <c r="AS389" s="3" t="s">
        <v>251</v>
      </c>
      <c r="AT389" s="3">
        <v>0.72</v>
      </c>
      <c r="AU389" s="7">
        <v>1330.3764650000001</v>
      </c>
      <c r="AV389" s="3">
        <v>4.0000000000000001E-3</v>
      </c>
      <c r="AW389" s="3">
        <f t="shared" si="42"/>
        <v>0.40499999999999997</v>
      </c>
      <c r="AX389" s="5"/>
      <c r="AY389" s="5"/>
      <c r="AZ389" s="5"/>
      <c r="BA389" s="5"/>
      <c r="BC389" s="3" t="s">
        <v>251</v>
      </c>
      <c r="BD389" s="3">
        <v>0.9</v>
      </c>
      <c r="BE389" s="3">
        <v>0.5</v>
      </c>
      <c r="BF389" s="3">
        <v>0.6</v>
      </c>
      <c r="BG389" s="3">
        <v>0.99</v>
      </c>
      <c r="BH389" s="7">
        <v>1362.221313</v>
      </c>
      <c r="BI389" s="3">
        <v>2.7E-2</v>
      </c>
      <c r="BK389" s="3" t="s">
        <v>251</v>
      </c>
      <c r="BL389" s="3">
        <v>0.11</v>
      </c>
      <c r="BM389" s="6">
        <v>949.785889</v>
      </c>
      <c r="BN389" s="3">
        <v>1E-3</v>
      </c>
      <c r="BO389" s="3">
        <f t="shared" si="43"/>
        <v>0.55000000000000004</v>
      </c>
    </row>
    <row r="390" spans="1:71" x14ac:dyDescent="0.3">
      <c r="A390" s="3" t="s">
        <v>252</v>
      </c>
      <c r="B390" s="3">
        <v>0.9</v>
      </c>
      <c r="C390" s="3">
        <v>0.5</v>
      </c>
      <c r="D390" s="3">
        <v>0.6</v>
      </c>
      <c r="E390" s="3">
        <v>0.68</v>
      </c>
      <c r="F390" s="7">
        <v>971.57800299999997</v>
      </c>
      <c r="G390" s="3">
        <v>0.02</v>
      </c>
      <c r="I390" s="3" t="s">
        <v>252</v>
      </c>
      <c r="J390" s="3">
        <v>0.13</v>
      </c>
      <c r="K390" s="6">
        <v>743.47363299999995</v>
      </c>
      <c r="L390" s="3">
        <v>1E-3</v>
      </c>
      <c r="M390" s="3">
        <f t="shared" si="40"/>
        <v>0.40500000000000003</v>
      </c>
      <c r="N390" s="5"/>
      <c r="O390" s="5"/>
      <c r="P390" s="5"/>
      <c r="Q390" s="5"/>
      <c r="S390" s="3" t="s">
        <v>252</v>
      </c>
      <c r="T390" s="3">
        <v>0.9</v>
      </c>
      <c r="U390" s="3">
        <v>0.5</v>
      </c>
      <c r="V390" s="3">
        <v>0.6</v>
      </c>
      <c r="W390" s="3">
        <v>0.93</v>
      </c>
      <c r="X390" s="7">
        <v>1049.494751</v>
      </c>
      <c r="Y390" s="3">
        <v>1.7999999999999999E-2</v>
      </c>
      <c r="AA390" s="3" t="s">
        <v>252</v>
      </c>
      <c r="AB390" s="3">
        <v>0.5</v>
      </c>
      <c r="AC390" s="6">
        <v>873.81445299999996</v>
      </c>
      <c r="AD390" s="3">
        <v>3.0000000000000001E-3</v>
      </c>
      <c r="AE390" s="3">
        <f t="shared" si="41"/>
        <v>0.71500000000000008</v>
      </c>
      <c r="AF390" s="5"/>
      <c r="AG390" s="5"/>
      <c r="AH390" s="5"/>
      <c r="AI390" s="5"/>
      <c r="AK390" s="3" t="s">
        <v>253</v>
      </c>
      <c r="AL390" s="3">
        <v>0.9</v>
      </c>
      <c r="AM390" s="3">
        <v>0.5</v>
      </c>
      <c r="AN390" s="3">
        <v>0.6</v>
      </c>
      <c r="AO390" s="3">
        <v>0.97</v>
      </c>
      <c r="AP390" s="6">
        <v>1553.1938479999999</v>
      </c>
      <c r="AQ390" s="3">
        <v>2.5000000000000001E-2</v>
      </c>
      <c r="AS390" s="3" t="s">
        <v>253</v>
      </c>
      <c r="AT390" s="3">
        <v>0.91</v>
      </c>
      <c r="AU390" s="7">
        <v>1562.3862300000001</v>
      </c>
      <c r="AV390" s="3">
        <v>3.0000000000000001E-3</v>
      </c>
      <c r="AW390" s="3">
        <f t="shared" si="42"/>
        <v>0.94</v>
      </c>
      <c r="AX390" s="5"/>
      <c r="AY390" s="5"/>
      <c r="AZ390" s="5"/>
      <c r="BA390" s="5"/>
      <c r="BC390" s="3" t="s">
        <v>253</v>
      </c>
      <c r="BD390" s="3">
        <v>0.9</v>
      </c>
      <c r="BE390" s="3">
        <v>0.5</v>
      </c>
      <c r="BF390" s="3">
        <v>0.6</v>
      </c>
      <c r="BG390" s="3">
        <v>0.28000000000000003</v>
      </c>
      <c r="BH390" s="7">
        <v>1130.0489500000001</v>
      </c>
      <c r="BI390" s="3">
        <v>4.7E-2</v>
      </c>
      <c r="BK390" s="3" t="s">
        <v>253</v>
      </c>
      <c r="BL390" s="3">
        <v>0.01</v>
      </c>
      <c r="BM390" s="6">
        <v>1084.908936</v>
      </c>
      <c r="BN390" s="3">
        <v>5.0000000000000001E-3</v>
      </c>
      <c r="BO390" s="3">
        <f t="shared" si="43"/>
        <v>0.14500000000000002</v>
      </c>
    </row>
    <row r="391" spans="1:71" x14ac:dyDescent="0.3">
      <c r="A391" s="9" t="s">
        <v>316</v>
      </c>
      <c r="E391" s="9">
        <f>AVERAGE(E361:E390)</f>
        <v>0.51033333333333331</v>
      </c>
      <c r="I391" s="9" t="s">
        <v>316</v>
      </c>
      <c r="J391" s="9">
        <f>AVERAGE(J361:J390)</f>
        <v>0.47866666666666668</v>
      </c>
      <c r="M391" s="5"/>
      <c r="N391" s="5"/>
      <c r="O391" s="5"/>
      <c r="P391" s="5"/>
      <c r="Q391" s="5"/>
      <c r="S391" s="9" t="s">
        <v>316</v>
      </c>
      <c r="W391" s="9">
        <f>AVERAGE(W361:W390)</f>
        <v>0.60166666666666657</v>
      </c>
      <c r="AA391" s="9" t="s">
        <v>316</v>
      </c>
      <c r="AB391" s="9">
        <f>AVERAGE(AB361:AB390)</f>
        <v>0.50900000000000001</v>
      </c>
      <c r="AE391" s="5"/>
      <c r="AF391" s="5"/>
      <c r="AG391" s="5"/>
      <c r="AH391" s="5"/>
      <c r="AI391" s="5"/>
      <c r="AK391" s="9" t="s">
        <v>316</v>
      </c>
      <c r="AO391" s="9">
        <f>AVERAGE(AO361:AO390)</f>
        <v>0.50199999999999989</v>
      </c>
      <c r="AS391" s="3" t="s">
        <v>316</v>
      </c>
      <c r="AT391" s="9">
        <f>AVERAGE(AT361:AT390)</f>
        <v>0.56333333333333335</v>
      </c>
      <c r="AU391" s="5"/>
      <c r="AV391" s="5"/>
      <c r="AW391" s="5"/>
      <c r="AX391" s="5"/>
      <c r="AY391" s="5"/>
      <c r="AZ391" s="5"/>
      <c r="BA391" s="5"/>
      <c r="BC391" s="9" t="s">
        <v>316</v>
      </c>
      <c r="BG391" s="9">
        <f>AVERAGE(BG361:BG390)</f>
        <v>0.45633333333333331</v>
      </c>
      <c r="BK391" s="9" t="s">
        <v>316</v>
      </c>
      <c r="BL391" s="9">
        <f>AVERAGE(BL361:BL390)</f>
        <v>0.56166666666666665</v>
      </c>
      <c r="BO391" s="5"/>
    </row>
    <row r="392" spans="1:71" x14ac:dyDescent="0.3">
      <c r="M392" s="5"/>
      <c r="N392" s="5"/>
      <c r="O392" s="5"/>
      <c r="P392" s="5"/>
      <c r="Q392" s="5"/>
      <c r="AE392" s="5"/>
      <c r="AF392" s="5"/>
      <c r="AG392" s="5"/>
      <c r="AH392" s="5"/>
      <c r="AI392" s="5"/>
      <c r="AW392" s="5"/>
      <c r="AX392" s="5"/>
      <c r="AY392" s="5"/>
      <c r="AZ392" s="5"/>
      <c r="BA392" s="5"/>
      <c r="BO392" s="5"/>
    </row>
    <row r="393" spans="1:71" x14ac:dyDescent="0.3">
      <c r="M393" s="5"/>
      <c r="N393" s="5"/>
      <c r="O393" s="5"/>
      <c r="P393" s="5"/>
      <c r="Q393" s="5"/>
      <c r="AE393" s="5"/>
      <c r="AF393" s="5"/>
      <c r="AG393" s="5"/>
      <c r="AH393" s="5"/>
      <c r="AI393" s="5"/>
      <c r="AW393" s="5"/>
      <c r="AX393" s="5"/>
      <c r="AY393" s="5"/>
      <c r="AZ393" s="5"/>
      <c r="BA393" s="5"/>
      <c r="BO393" s="5"/>
    </row>
    <row r="394" spans="1:71" x14ac:dyDescent="0.3">
      <c r="A394" s="20" t="s">
        <v>314</v>
      </c>
      <c r="B394" s="21"/>
      <c r="C394" s="21"/>
      <c r="D394" s="21"/>
      <c r="E394" s="21"/>
      <c r="F394" s="21"/>
      <c r="G394" s="22"/>
      <c r="I394" s="20" t="s">
        <v>315</v>
      </c>
      <c r="J394" s="21"/>
      <c r="K394" s="21"/>
      <c r="L394" s="21"/>
      <c r="M394" s="22"/>
      <c r="N394" s="11"/>
      <c r="O394" s="11"/>
      <c r="P394" s="11"/>
      <c r="Q394" s="11"/>
      <c r="S394" s="20" t="s">
        <v>314</v>
      </c>
      <c r="T394" s="21"/>
      <c r="U394" s="21"/>
      <c r="V394" s="21"/>
      <c r="W394" s="21"/>
      <c r="X394" s="21"/>
      <c r="Y394" s="22"/>
      <c r="AA394" s="20" t="s">
        <v>315</v>
      </c>
      <c r="AB394" s="21"/>
      <c r="AC394" s="21"/>
      <c r="AD394" s="21"/>
      <c r="AE394" s="22"/>
      <c r="AF394" s="11"/>
      <c r="AG394" s="11"/>
      <c r="AH394" s="11"/>
      <c r="AI394" s="11"/>
      <c r="AK394" s="20" t="s">
        <v>314</v>
      </c>
      <c r="AL394" s="21"/>
      <c r="AM394" s="21"/>
      <c r="AN394" s="21"/>
      <c r="AO394" s="21"/>
      <c r="AP394" s="21"/>
      <c r="AQ394" s="22"/>
      <c r="AS394" s="20" t="s">
        <v>315</v>
      </c>
      <c r="AT394" s="21"/>
      <c r="AU394" s="21"/>
      <c r="AV394" s="21"/>
      <c r="AW394" s="22"/>
      <c r="AX394" s="11"/>
      <c r="AY394" s="11"/>
      <c r="AZ394" s="11"/>
      <c r="BA394" s="11"/>
      <c r="BC394" s="20" t="s">
        <v>314</v>
      </c>
      <c r="BD394" s="21"/>
      <c r="BE394" s="21"/>
      <c r="BF394" s="21"/>
      <c r="BG394" s="21"/>
      <c r="BH394" s="21"/>
      <c r="BI394" s="22"/>
      <c r="BK394" s="20" t="s">
        <v>315</v>
      </c>
      <c r="BL394" s="21"/>
      <c r="BM394" s="21"/>
      <c r="BN394" s="21"/>
      <c r="BO394" s="22"/>
    </row>
    <row r="395" spans="1:71" x14ac:dyDescent="0.3">
      <c r="A395" s="3" t="s">
        <v>72</v>
      </c>
      <c r="B395" s="3"/>
      <c r="C395" s="3"/>
      <c r="D395" s="3"/>
      <c r="E395" s="3"/>
      <c r="F395" s="3"/>
      <c r="G395" s="3"/>
      <c r="I395" s="3" t="s">
        <v>72</v>
      </c>
      <c r="J395" s="3"/>
      <c r="K395" s="3"/>
      <c r="L395" s="3"/>
      <c r="M395" s="3"/>
      <c r="S395" s="3" t="s">
        <v>73</v>
      </c>
      <c r="T395" s="3"/>
      <c r="U395" s="3"/>
      <c r="V395" s="3"/>
      <c r="W395" s="3"/>
      <c r="X395" s="3"/>
      <c r="Y395" s="3"/>
      <c r="AA395" s="3" t="s">
        <v>73</v>
      </c>
      <c r="AB395" s="3"/>
      <c r="AC395" s="3"/>
      <c r="AD395" s="3"/>
      <c r="AE395" s="3"/>
      <c r="AK395" s="3" t="s">
        <v>72</v>
      </c>
      <c r="AL395" s="3"/>
      <c r="AM395" s="3"/>
      <c r="AN395" s="3"/>
      <c r="AO395" s="3"/>
      <c r="AP395" s="3"/>
      <c r="AQ395" s="3"/>
      <c r="AS395" s="3" t="s">
        <v>72</v>
      </c>
      <c r="AT395" s="3"/>
      <c r="AU395" s="3"/>
      <c r="AV395" s="3"/>
      <c r="AW395" s="3"/>
      <c r="AX395" s="3" t="s">
        <v>322</v>
      </c>
      <c r="AY395" s="3" t="s">
        <v>323</v>
      </c>
      <c r="AZ395" s="3" t="s">
        <v>322</v>
      </c>
      <c r="BA395" s="3" t="s">
        <v>323</v>
      </c>
      <c r="BC395" s="3" t="s">
        <v>73</v>
      </c>
      <c r="BD395" s="3"/>
      <c r="BE395" s="3"/>
      <c r="BF395" s="3"/>
      <c r="BG395" s="3"/>
      <c r="BH395" s="3"/>
      <c r="BI395" s="3"/>
      <c r="BK395" s="3" t="s">
        <v>73</v>
      </c>
      <c r="BL395" s="3"/>
      <c r="BM395" s="3"/>
      <c r="BN395" s="3"/>
      <c r="BO395" s="3"/>
      <c r="BP395" s="3" t="s">
        <v>322</v>
      </c>
      <c r="BQ395" s="3" t="s">
        <v>323</v>
      </c>
      <c r="BR395" s="3" t="s">
        <v>322</v>
      </c>
      <c r="BS395" s="3" t="s">
        <v>323</v>
      </c>
    </row>
    <row r="396" spans="1:71" x14ac:dyDescent="0.3">
      <c r="A396" s="3" t="s">
        <v>2</v>
      </c>
      <c r="B396" s="3" t="s">
        <v>3</v>
      </c>
      <c r="C396" s="3" t="s">
        <v>4</v>
      </c>
      <c r="D396" s="3" t="s">
        <v>5</v>
      </c>
      <c r="E396" s="3" t="s">
        <v>6</v>
      </c>
      <c r="F396" s="3" t="s">
        <v>7</v>
      </c>
      <c r="G396" s="3" t="s">
        <v>8</v>
      </c>
      <c r="I396" s="3" t="s">
        <v>2</v>
      </c>
      <c r="J396" s="3" t="s">
        <v>6</v>
      </c>
      <c r="K396" s="3" t="s">
        <v>7</v>
      </c>
      <c r="L396" s="3" t="s">
        <v>8</v>
      </c>
      <c r="M396" s="3" t="s">
        <v>9</v>
      </c>
      <c r="N396" s="3" t="s">
        <v>322</v>
      </c>
      <c r="O396" s="3" t="s">
        <v>323</v>
      </c>
      <c r="P396" s="3" t="s">
        <v>322</v>
      </c>
      <c r="Q396" s="3" t="s">
        <v>323</v>
      </c>
      <c r="S396" s="3" t="s">
        <v>2</v>
      </c>
      <c r="T396" s="3" t="s">
        <v>3</v>
      </c>
      <c r="U396" s="3" t="s">
        <v>4</v>
      </c>
      <c r="V396" s="3" t="s">
        <v>5</v>
      </c>
      <c r="W396" s="3" t="s">
        <v>6</v>
      </c>
      <c r="X396" s="3" t="s">
        <v>7</v>
      </c>
      <c r="Y396" s="3" t="s">
        <v>8</v>
      </c>
      <c r="AA396" s="3" t="s">
        <v>2</v>
      </c>
      <c r="AB396" s="3" t="s">
        <v>6</v>
      </c>
      <c r="AC396" s="3" t="s">
        <v>7</v>
      </c>
      <c r="AD396" s="3" t="s">
        <v>8</v>
      </c>
      <c r="AE396" s="3" t="s">
        <v>9</v>
      </c>
      <c r="AF396" s="3" t="s">
        <v>322</v>
      </c>
      <c r="AG396" s="3" t="s">
        <v>323</v>
      </c>
      <c r="AH396" s="3" t="s">
        <v>322</v>
      </c>
      <c r="AI396" s="3" t="s">
        <v>323</v>
      </c>
      <c r="AK396" s="3" t="s">
        <v>2</v>
      </c>
      <c r="AL396" s="3" t="s">
        <v>3</v>
      </c>
      <c r="AM396" s="3" t="s">
        <v>4</v>
      </c>
      <c r="AN396" s="3" t="s">
        <v>5</v>
      </c>
      <c r="AO396" s="3" t="s">
        <v>6</v>
      </c>
      <c r="AP396" s="3" t="s">
        <v>7</v>
      </c>
      <c r="AQ396" s="3" t="s">
        <v>8</v>
      </c>
      <c r="AS396" s="3" t="s">
        <v>2</v>
      </c>
      <c r="AT396" s="3" t="s">
        <v>6</v>
      </c>
      <c r="AU396" s="3" t="s">
        <v>7</v>
      </c>
      <c r="AV396" s="3" t="s">
        <v>8</v>
      </c>
      <c r="AW396" s="3" t="s">
        <v>9</v>
      </c>
      <c r="AX396" s="4" t="s">
        <v>320</v>
      </c>
      <c r="AY396" s="4" t="s">
        <v>320</v>
      </c>
      <c r="AZ396" s="4" t="s">
        <v>321</v>
      </c>
      <c r="BA396" s="4" t="s">
        <v>321</v>
      </c>
      <c r="BC396" s="3" t="s">
        <v>2</v>
      </c>
      <c r="BD396" s="3" t="s">
        <v>3</v>
      </c>
      <c r="BE396" s="3" t="s">
        <v>4</v>
      </c>
      <c r="BF396" s="3" t="s">
        <v>5</v>
      </c>
      <c r="BG396" s="3" t="s">
        <v>6</v>
      </c>
      <c r="BH396" s="3" t="s">
        <v>7</v>
      </c>
      <c r="BI396" s="3" t="s">
        <v>8</v>
      </c>
      <c r="BK396" s="3" t="s">
        <v>2</v>
      </c>
      <c r="BL396" s="3" t="s">
        <v>6</v>
      </c>
      <c r="BM396" s="3" t="s">
        <v>7</v>
      </c>
      <c r="BN396" s="3" t="s">
        <v>8</v>
      </c>
      <c r="BO396" s="3" t="s">
        <v>9</v>
      </c>
      <c r="BP396" s="4" t="s">
        <v>320</v>
      </c>
      <c r="BQ396" s="4" t="s">
        <v>320</v>
      </c>
      <c r="BR396" s="4" t="s">
        <v>321</v>
      </c>
      <c r="BS396" s="4" t="s">
        <v>321</v>
      </c>
    </row>
    <row r="397" spans="1:71" x14ac:dyDescent="0.3">
      <c r="A397" s="3" t="s">
        <v>194</v>
      </c>
      <c r="B397" s="3">
        <v>0.9</v>
      </c>
      <c r="C397" s="3">
        <v>0.5</v>
      </c>
      <c r="D397" s="3">
        <v>0.6</v>
      </c>
      <c r="E397" s="3">
        <v>0.01</v>
      </c>
      <c r="F397" s="6">
        <v>664.71227999999996</v>
      </c>
      <c r="G397" s="3">
        <v>4.2999999999999997E-2</v>
      </c>
      <c r="I397" s="3" t="s">
        <v>194</v>
      </c>
      <c r="J397" s="3">
        <v>0.01</v>
      </c>
      <c r="K397" s="6">
        <v>664.71227999999996</v>
      </c>
      <c r="L397" s="3">
        <v>1E-3</v>
      </c>
      <c r="M397" s="3">
        <f t="shared" ref="M397:M426" si="44">AVERAGE(E397,J397)</f>
        <v>0.01</v>
      </c>
      <c r="N397" s="4" t="s">
        <v>320</v>
      </c>
      <c r="O397" s="4" t="s">
        <v>320</v>
      </c>
      <c r="P397" s="4" t="s">
        <v>321</v>
      </c>
      <c r="Q397" s="4" t="s">
        <v>321</v>
      </c>
      <c r="S397" s="3" t="s">
        <v>194</v>
      </c>
      <c r="T397" s="3">
        <v>0.9</v>
      </c>
      <c r="U397" s="3">
        <v>0.5</v>
      </c>
      <c r="V397" s="3">
        <v>0.6</v>
      </c>
      <c r="W397" s="3">
        <v>0.01</v>
      </c>
      <c r="X397" s="6">
        <v>658.79663100000005</v>
      </c>
      <c r="Y397" s="3">
        <v>1.7000000000000001E-2</v>
      </c>
      <c r="AA397" s="3" t="s">
        <v>194</v>
      </c>
      <c r="AB397" s="3">
        <v>0.01</v>
      </c>
      <c r="AC397" s="6">
        <v>658.79663100000005</v>
      </c>
      <c r="AD397" s="3">
        <v>1E-3</v>
      </c>
      <c r="AE397" s="3">
        <f t="shared" ref="AE397:AE426" si="45">AVERAGE(W397,AB397)</f>
        <v>0.01</v>
      </c>
      <c r="AF397" s="4" t="s">
        <v>320</v>
      </c>
      <c r="AG397" s="4" t="s">
        <v>320</v>
      </c>
      <c r="AH397" s="4" t="s">
        <v>321</v>
      </c>
      <c r="AI397" s="4" t="s">
        <v>321</v>
      </c>
      <c r="AK397" s="3" t="s">
        <v>195</v>
      </c>
      <c r="AL397" s="3">
        <v>0.9</v>
      </c>
      <c r="AM397" s="3">
        <v>0.5</v>
      </c>
      <c r="AN397" s="3">
        <v>0.6</v>
      </c>
      <c r="AO397" s="3">
        <v>0.01</v>
      </c>
      <c r="AP397" s="6">
        <v>842.43615699999998</v>
      </c>
      <c r="AQ397" s="3">
        <v>1.4E-2</v>
      </c>
      <c r="AS397" s="3" t="s">
        <v>195</v>
      </c>
      <c r="AT397" s="3">
        <v>0.01</v>
      </c>
      <c r="AU397" s="6">
        <v>842.43615699999998</v>
      </c>
      <c r="AV397" s="3">
        <v>3.0000000000000001E-3</v>
      </c>
      <c r="AW397" s="3">
        <f t="shared" ref="AW397:AW426" si="46">AVERAGE(AO397,AT397)</f>
        <v>0.01</v>
      </c>
      <c r="AX397" s="3">
        <f>COUNT(AP397:AP398,AP403,AP406,AP409:AP411,AP413:AP414,AP418:AP423,AP426)</f>
        <v>16</v>
      </c>
      <c r="AY397" s="3">
        <f>30-AX397</f>
        <v>14</v>
      </c>
      <c r="AZ397" s="3">
        <f>COUNT(AU397,AU399:AU402,AU404:AU405,AU407:AU408,AU412,AU415:AU417,AU424:AU425)</f>
        <v>15</v>
      </c>
      <c r="BA397" s="3">
        <f>30-AZ397</f>
        <v>15</v>
      </c>
      <c r="BC397" s="3" t="s">
        <v>195</v>
      </c>
      <c r="BD397" s="3">
        <v>0.9</v>
      </c>
      <c r="BE397" s="3">
        <v>0.5</v>
      </c>
      <c r="BF397" s="3">
        <v>0.6</v>
      </c>
      <c r="BG397" s="3">
        <v>0.01</v>
      </c>
      <c r="BH397" s="6">
        <v>820.49029499999995</v>
      </c>
      <c r="BI397" s="3">
        <v>1.9E-2</v>
      </c>
      <c r="BK397" s="3" t="s">
        <v>195</v>
      </c>
      <c r="BL397" s="3">
        <v>0.01</v>
      </c>
      <c r="BM397" s="6">
        <v>820.49029499999995</v>
      </c>
      <c r="BN397" s="3">
        <v>2E-3</v>
      </c>
      <c r="BO397" s="3">
        <f t="shared" ref="BO397:BO426" si="47">AVERAGE(BG397,BL397)</f>
        <v>0.01</v>
      </c>
      <c r="BP397" s="3">
        <f>COUNT(BH397:BH398,BH401,BH407:BH408,BH410,BH413:BH414,BH416:BH425)</f>
        <v>18</v>
      </c>
      <c r="BQ397" s="3">
        <f>30-BP397</f>
        <v>12</v>
      </c>
      <c r="BR397" s="3">
        <f>COUNT(BM397,BM399:BM400,BM402:BM406,BM409,BM411:BM412,BM415,BM426)</f>
        <v>13</v>
      </c>
      <c r="BS397" s="3">
        <f>30-BR397</f>
        <v>17</v>
      </c>
    </row>
    <row r="398" spans="1:71" x14ac:dyDescent="0.3">
      <c r="A398" s="3" t="s">
        <v>196</v>
      </c>
      <c r="B398" s="3">
        <v>0.9</v>
      </c>
      <c r="C398" s="3">
        <v>0.5</v>
      </c>
      <c r="D398" s="3">
        <v>0.6</v>
      </c>
      <c r="E398" s="3">
        <v>0.73</v>
      </c>
      <c r="F398" s="6">
        <v>729.17571999999996</v>
      </c>
      <c r="G398" s="3">
        <v>0.02</v>
      </c>
      <c r="I398" s="3" t="s">
        <v>196</v>
      </c>
      <c r="J398" s="3">
        <v>0.88</v>
      </c>
      <c r="K398" s="7">
        <v>742.57714799999997</v>
      </c>
      <c r="L398" s="3">
        <v>2E-3</v>
      </c>
      <c r="M398" s="3">
        <f t="shared" si="44"/>
        <v>0.80499999999999994</v>
      </c>
      <c r="N398" s="3">
        <f>COUNT(F397:F400,F402,F405,F407,F411,F413:F414,F416,F420,F422:F423,F425)</f>
        <v>15</v>
      </c>
      <c r="O398" s="3">
        <f>COUNT(F401,F403:F404,F406,F408:F410,F412,F415,F417:F419,F421,F424,F426)</f>
        <v>15</v>
      </c>
      <c r="P398" s="3">
        <f>COUNT(K397,K401:K404,K406,K408:K410,K412,K415,K417:K419,K421,K424,K426)</f>
        <v>17</v>
      </c>
      <c r="Q398" s="3">
        <f>COUNT(K398:K400,K405,K407,K411,K413:K414,K416,K420,K422:K423,K425)</f>
        <v>13</v>
      </c>
      <c r="S398" s="3" t="s">
        <v>196</v>
      </c>
      <c r="T398" s="3">
        <v>0.9</v>
      </c>
      <c r="U398" s="3">
        <v>0.5</v>
      </c>
      <c r="V398" s="3">
        <v>0.6</v>
      </c>
      <c r="W398" s="3">
        <v>0.21</v>
      </c>
      <c r="X398" s="6">
        <v>615.56878700000004</v>
      </c>
      <c r="Y398" s="3">
        <v>1.7000000000000001E-2</v>
      </c>
      <c r="AA398" s="3" t="s">
        <v>196</v>
      </c>
      <c r="AB398" s="3">
        <v>0.27</v>
      </c>
      <c r="AC398" s="7">
        <v>638.76391599999999</v>
      </c>
      <c r="AD398" s="3">
        <v>1E-3</v>
      </c>
      <c r="AE398" s="3">
        <f t="shared" si="45"/>
        <v>0.24</v>
      </c>
      <c r="AF398" s="3">
        <f>COUNT(X397:X398,X400,X402,X406:X410,X415,X417:X418,X420,X422:X424,X426)</f>
        <v>17</v>
      </c>
      <c r="AG398" s="3">
        <f>COUNT(X399,X401,X403:X405,X411:X414,X416,X419,X421,X425)</f>
        <v>13</v>
      </c>
      <c r="AH398" s="3">
        <f>COUNT(AC397,AC399,AC401,AC403:AC405,AC411:AC414,AC416,AC419,AC421,AC425)</f>
        <v>14</v>
      </c>
      <c r="AI398" s="3">
        <f>COUNT(AC398,AC400,AC402,AC406:AC410,AC415,AC417:AC418,AC420,AC422:AC424,AC426)</f>
        <v>16</v>
      </c>
      <c r="AK398" s="3" t="s">
        <v>197</v>
      </c>
      <c r="AL398" s="3">
        <v>0.9</v>
      </c>
      <c r="AM398" s="3">
        <v>0.5</v>
      </c>
      <c r="AN398" s="3">
        <v>0.6</v>
      </c>
      <c r="AO398" s="3">
        <v>0.09</v>
      </c>
      <c r="AP398" s="6">
        <v>834.29595900000004</v>
      </c>
      <c r="AQ398" s="3">
        <v>1.2E-2</v>
      </c>
      <c r="AS398" s="3" t="s">
        <v>197</v>
      </c>
      <c r="AT398" s="3">
        <v>0.49</v>
      </c>
      <c r="AU398" s="7">
        <v>1005.565063</v>
      </c>
      <c r="AV398" s="3">
        <v>4.0000000000000001E-3</v>
      </c>
      <c r="AW398" s="3">
        <f t="shared" si="46"/>
        <v>0.28999999999999998</v>
      </c>
      <c r="AX398" s="5"/>
      <c r="AY398" s="5"/>
      <c r="AZ398" s="5"/>
      <c r="BA398" s="5"/>
      <c r="BC398" s="3" t="s">
        <v>197</v>
      </c>
      <c r="BD398" s="3">
        <v>0.9</v>
      </c>
      <c r="BE398" s="3">
        <v>0.5</v>
      </c>
      <c r="BF398" s="3">
        <v>0.6</v>
      </c>
      <c r="BG398" s="3">
        <v>0.14000000000000001</v>
      </c>
      <c r="BH398" s="6">
        <v>832.20349099999999</v>
      </c>
      <c r="BI398" s="3">
        <v>2.7E-2</v>
      </c>
      <c r="BK398" s="3" t="s">
        <v>197</v>
      </c>
      <c r="BL398" s="3">
        <v>0.47</v>
      </c>
      <c r="BM398" s="7">
        <v>970.54058799999996</v>
      </c>
      <c r="BN398" s="3">
        <v>0</v>
      </c>
      <c r="BO398" s="9">
        <f t="shared" si="47"/>
        <v>0.30499999999999999</v>
      </c>
    </row>
    <row r="399" spans="1:71" x14ac:dyDescent="0.3">
      <c r="A399" s="3" t="s">
        <v>198</v>
      </c>
      <c r="B399" s="3">
        <v>0.9</v>
      </c>
      <c r="C399" s="3">
        <v>0.5</v>
      </c>
      <c r="D399" s="3">
        <v>0.6</v>
      </c>
      <c r="E399" s="3">
        <v>0.23</v>
      </c>
      <c r="F399" s="6">
        <v>626.86199999999997</v>
      </c>
      <c r="G399" s="3">
        <v>1.4999999999999999E-2</v>
      </c>
      <c r="I399" s="3" t="s">
        <v>198</v>
      </c>
      <c r="J399" s="3">
        <v>0.53</v>
      </c>
      <c r="K399" s="7">
        <v>685.75067100000001</v>
      </c>
      <c r="L399" s="3">
        <v>2E-3</v>
      </c>
      <c r="M399" s="3">
        <f t="shared" si="44"/>
        <v>0.38</v>
      </c>
      <c r="N399" s="5"/>
      <c r="O399" s="5"/>
      <c r="P399" s="5"/>
      <c r="Q399" s="5"/>
      <c r="S399" s="3" t="s">
        <v>198</v>
      </c>
      <c r="T399" s="3">
        <v>0.9</v>
      </c>
      <c r="U399" s="3">
        <v>0.5</v>
      </c>
      <c r="V399" s="3">
        <v>0.6</v>
      </c>
      <c r="W399" s="3">
        <v>0.8</v>
      </c>
      <c r="X399" s="7">
        <v>712.91803000000004</v>
      </c>
      <c r="Y399" s="3">
        <v>2.9000000000000001E-2</v>
      </c>
      <c r="AA399" s="3" t="s">
        <v>198</v>
      </c>
      <c r="AB399" s="3">
        <v>0.09</v>
      </c>
      <c r="AC399" s="6">
        <v>569.61303699999996</v>
      </c>
      <c r="AD399" s="3">
        <v>0</v>
      </c>
      <c r="AE399" s="3">
        <f t="shared" si="45"/>
        <v>0.44500000000000001</v>
      </c>
      <c r="AF399" s="5"/>
      <c r="AG399" s="5"/>
      <c r="AH399" s="5"/>
      <c r="AI399" s="5"/>
      <c r="AK399" s="3" t="s">
        <v>199</v>
      </c>
      <c r="AL399" s="3">
        <v>0.9</v>
      </c>
      <c r="AM399" s="3">
        <v>0.5</v>
      </c>
      <c r="AN399" s="3">
        <v>0.6</v>
      </c>
      <c r="AO399" s="3">
        <v>0.69</v>
      </c>
      <c r="AP399" s="7">
        <v>1080.9704589999999</v>
      </c>
      <c r="AQ399" s="3">
        <v>2.7E-2</v>
      </c>
      <c r="AS399" s="3" t="s">
        <v>199</v>
      </c>
      <c r="AT399" s="3">
        <v>0.25</v>
      </c>
      <c r="AU399" s="6">
        <v>910.58074999999997</v>
      </c>
      <c r="AV399" s="3">
        <v>1E-3</v>
      </c>
      <c r="AW399" s="3">
        <f t="shared" si="46"/>
        <v>0.47</v>
      </c>
      <c r="AX399" s="5"/>
      <c r="AY399" s="5"/>
      <c r="AZ399" s="5"/>
      <c r="BA399" s="5"/>
      <c r="BC399" s="3" t="s">
        <v>199</v>
      </c>
      <c r="BD399" s="3">
        <v>0.9</v>
      </c>
      <c r="BE399" s="3">
        <v>0.5</v>
      </c>
      <c r="BF399" s="3">
        <v>0.6</v>
      </c>
      <c r="BG399" s="3">
        <v>0.81</v>
      </c>
      <c r="BH399" s="7">
        <v>1115.5123289999999</v>
      </c>
      <c r="BI399" s="3">
        <v>2.1999999999999999E-2</v>
      </c>
      <c r="BK399" s="3" t="s">
        <v>199</v>
      </c>
      <c r="BL399" s="3">
        <v>0.56999999999999995</v>
      </c>
      <c r="BM399" s="6">
        <v>1057.3542480000001</v>
      </c>
      <c r="BN399" s="3">
        <v>6.0000000000000001E-3</v>
      </c>
      <c r="BO399" s="3">
        <f t="shared" si="47"/>
        <v>0.69</v>
      </c>
    </row>
    <row r="400" spans="1:71" x14ac:dyDescent="0.3">
      <c r="A400" s="3" t="s">
        <v>200</v>
      </c>
      <c r="B400" s="3">
        <v>0.9</v>
      </c>
      <c r="C400" s="3">
        <v>0.5</v>
      </c>
      <c r="D400" s="3">
        <v>0.6</v>
      </c>
      <c r="E400" s="3">
        <v>0.17</v>
      </c>
      <c r="F400" s="6">
        <v>557.59008800000004</v>
      </c>
      <c r="G400" s="3">
        <v>1.2999999999999999E-2</v>
      </c>
      <c r="I400" s="3" t="s">
        <v>200</v>
      </c>
      <c r="J400" s="3">
        <v>0.55000000000000004</v>
      </c>
      <c r="K400" s="7">
        <v>649.00756799999999</v>
      </c>
      <c r="L400" s="3">
        <v>2E-3</v>
      </c>
      <c r="M400" s="3">
        <f t="shared" si="44"/>
        <v>0.36000000000000004</v>
      </c>
      <c r="N400" s="5"/>
      <c r="O400" s="5"/>
      <c r="P400" s="5"/>
      <c r="Q400" s="5"/>
      <c r="S400" s="3" t="s">
        <v>200</v>
      </c>
      <c r="T400" s="3">
        <v>0.9</v>
      </c>
      <c r="U400" s="3">
        <v>0.5</v>
      </c>
      <c r="V400" s="3">
        <v>0.6</v>
      </c>
      <c r="W400" s="3">
        <v>0.22</v>
      </c>
      <c r="X400" s="6">
        <v>560.99871800000005</v>
      </c>
      <c r="Y400" s="3">
        <v>1.7000000000000001E-2</v>
      </c>
      <c r="AA400" s="3" t="s">
        <v>200</v>
      </c>
      <c r="AB400" s="3">
        <v>0.94</v>
      </c>
      <c r="AC400" s="7">
        <v>675.22332800000004</v>
      </c>
      <c r="AD400" s="3">
        <v>4.0000000000000001E-3</v>
      </c>
      <c r="AE400" s="3">
        <f t="shared" si="45"/>
        <v>0.57999999999999996</v>
      </c>
      <c r="AF400" s="5"/>
      <c r="AG400" s="5"/>
      <c r="AH400" s="5"/>
      <c r="AI400" s="5"/>
      <c r="AK400" s="3" t="s">
        <v>201</v>
      </c>
      <c r="AL400" s="3">
        <v>0.9</v>
      </c>
      <c r="AM400" s="3">
        <v>0.5</v>
      </c>
      <c r="AN400" s="3">
        <v>0.6</v>
      </c>
      <c r="AO400" s="3">
        <v>0.84</v>
      </c>
      <c r="AP400" s="7">
        <v>1146.403442</v>
      </c>
      <c r="AQ400" s="3">
        <v>1.2999999999999999E-2</v>
      </c>
      <c r="AS400" s="3" t="s">
        <v>201</v>
      </c>
      <c r="AT400" s="3">
        <v>0.31</v>
      </c>
      <c r="AU400" s="6">
        <v>1017.632324</v>
      </c>
      <c r="AV400" s="3">
        <v>3.0000000000000001E-3</v>
      </c>
      <c r="AW400" s="3">
        <f t="shared" si="46"/>
        <v>0.57499999999999996</v>
      </c>
      <c r="AX400" s="5"/>
      <c r="AY400" s="5"/>
      <c r="AZ400" s="5"/>
      <c r="BA400" s="5"/>
      <c r="BC400" s="3" t="s">
        <v>201</v>
      </c>
      <c r="BD400" s="3">
        <v>0.9</v>
      </c>
      <c r="BE400" s="3">
        <v>0.5</v>
      </c>
      <c r="BF400" s="3">
        <v>0.6</v>
      </c>
      <c r="BG400" s="3">
        <v>0.42</v>
      </c>
      <c r="BH400" s="7">
        <v>1039.100952</v>
      </c>
      <c r="BI400" s="3">
        <v>1.2999999999999999E-2</v>
      </c>
      <c r="BK400" s="3" t="s">
        <v>201</v>
      </c>
      <c r="BL400" s="3">
        <v>0.26</v>
      </c>
      <c r="BM400" s="6">
        <v>969.03369099999998</v>
      </c>
      <c r="BN400" s="3">
        <v>1E-3</v>
      </c>
      <c r="BO400" s="3">
        <f t="shared" si="47"/>
        <v>0.33999999999999997</v>
      </c>
    </row>
    <row r="401" spans="1:67" x14ac:dyDescent="0.3">
      <c r="A401" s="3" t="s">
        <v>202</v>
      </c>
      <c r="B401" s="3">
        <v>0.9</v>
      </c>
      <c r="C401" s="3">
        <v>0.5</v>
      </c>
      <c r="D401" s="3">
        <v>0.6</v>
      </c>
      <c r="E401" s="3">
        <v>0.61</v>
      </c>
      <c r="F401" s="7">
        <v>666.75488299999995</v>
      </c>
      <c r="G401" s="3">
        <v>1.4999999999999999E-2</v>
      </c>
      <c r="I401" s="3" t="s">
        <v>202</v>
      </c>
      <c r="J401" s="3">
        <v>0.31</v>
      </c>
      <c r="K401" s="6">
        <v>607.53790300000003</v>
      </c>
      <c r="L401" s="3">
        <v>1E-3</v>
      </c>
      <c r="M401" s="3">
        <f t="shared" si="44"/>
        <v>0.45999999999999996</v>
      </c>
      <c r="N401" s="5"/>
      <c r="P401" s="5"/>
      <c r="Q401" s="5"/>
      <c r="S401" s="3" t="s">
        <v>202</v>
      </c>
      <c r="T401" s="3">
        <v>0.9</v>
      </c>
      <c r="U401" s="3">
        <v>0.5</v>
      </c>
      <c r="V401" s="3">
        <v>0.6</v>
      </c>
      <c r="W401" s="3">
        <v>0.78</v>
      </c>
      <c r="X401" s="7">
        <v>682.66027799999995</v>
      </c>
      <c r="Y401" s="3">
        <v>2.1000000000000001E-2</v>
      </c>
      <c r="AA401" s="3" t="s">
        <v>202</v>
      </c>
      <c r="AB401" s="3">
        <v>0.36</v>
      </c>
      <c r="AC401" s="6">
        <v>599.42492700000003</v>
      </c>
      <c r="AD401" s="3">
        <v>1.9E-2</v>
      </c>
      <c r="AE401" s="3">
        <f t="shared" si="45"/>
        <v>0.57000000000000006</v>
      </c>
      <c r="AF401" s="5"/>
      <c r="AG401" s="5"/>
      <c r="AH401" s="5"/>
      <c r="AI401" s="5"/>
      <c r="AK401" s="3" t="s">
        <v>203</v>
      </c>
      <c r="AL401" s="3">
        <v>0.9</v>
      </c>
      <c r="AM401" s="3">
        <v>0.5</v>
      </c>
      <c r="AN401" s="3">
        <v>0.6</v>
      </c>
      <c r="AO401" s="3">
        <v>0.67</v>
      </c>
      <c r="AP401" s="7">
        <v>1061.118774</v>
      </c>
      <c r="AQ401" s="3">
        <v>1.4999999999999999E-2</v>
      </c>
      <c r="AS401" s="3" t="s">
        <v>203</v>
      </c>
      <c r="AT401" s="3">
        <v>0.13</v>
      </c>
      <c r="AU401" s="6">
        <v>857.83514400000001</v>
      </c>
      <c r="AV401" s="3">
        <v>1E-3</v>
      </c>
      <c r="AW401" s="3">
        <f t="shared" si="46"/>
        <v>0.4</v>
      </c>
      <c r="AX401" s="5"/>
      <c r="AY401" s="5"/>
      <c r="AZ401" s="5"/>
      <c r="BA401" s="5"/>
      <c r="BC401" s="3" t="s">
        <v>203</v>
      </c>
      <c r="BD401" s="3">
        <v>0.9</v>
      </c>
      <c r="BE401" s="3">
        <v>0.5</v>
      </c>
      <c r="BF401" s="3">
        <v>0.6</v>
      </c>
      <c r="BG401" s="3">
        <v>0.37</v>
      </c>
      <c r="BH401" s="6">
        <v>981.759094</v>
      </c>
      <c r="BI401" s="3">
        <v>1.7000000000000001E-2</v>
      </c>
      <c r="BK401" s="3" t="s">
        <v>203</v>
      </c>
      <c r="BL401" s="3">
        <v>0.97</v>
      </c>
      <c r="BM401" s="7">
        <v>1076.9145510000001</v>
      </c>
      <c r="BN401" s="3">
        <v>3.0000000000000001E-3</v>
      </c>
      <c r="BO401" s="3">
        <f t="shared" si="47"/>
        <v>0.66999999999999993</v>
      </c>
    </row>
    <row r="402" spans="1:67" x14ac:dyDescent="0.3">
      <c r="A402" s="3" t="s">
        <v>204</v>
      </c>
      <c r="B402" s="3">
        <v>0.9</v>
      </c>
      <c r="C402" s="3">
        <v>0.5</v>
      </c>
      <c r="D402" s="3">
        <v>0.6</v>
      </c>
      <c r="E402" s="3">
        <v>0.76</v>
      </c>
      <c r="F402" s="6">
        <v>715.84832800000004</v>
      </c>
      <c r="G402" s="3">
        <v>3.4000000000000002E-2</v>
      </c>
      <c r="I402" s="3" t="s">
        <v>204</v>
      </c>
      <c r="J402" s="3">
        <v>0.76</v>
      </c>
      <c r="K402" s="6">
        <v>715.84832800000004</v>
      </c>
      <c r="L402" s="3">
        <v>5.0000000000000001E-3</v>
      </c>
      <c r="M402" s="3">
        <f t="shared" si="44"/>
        <v>0.76</v>
      </c>
      <c r="N402" s="5"/>
      <c r="O402" s="5"/>
      <c r="P402" s="5"/>
      <c r="Q402" s="5"/>
      <c r="S402" s="3" t="s">
        <v>204</v>
      </c>
      <c r="T402" s="3">
        <v>0.9</v>
      </c>
      <c r="U402" s="3">
        <v>0.5</v>
      </c>
      <c r="V402" s="3">
        <v>0.6</v>
      </c>
      <c r="W402" s="3">
        <v>0.61</v>
      </c>
      <c r="X402" s="6">
        <v>698.94964600000003</v>
      </c>
      <c r="Y402" s="3">
        <v>2.5000000000000001E-2</v>
      </c>
      <c r="AA402" s="3" t="s">
        <v>204</v>
      </c>
      <c r="AB402" s="3">
        <v>0.68</v>
      </c>
      <c r="AC402" s="7">
        <v>702.35046399999999</v>
      </c>
      <c r="AD402" s="3">
        <v>2E-3</v>
      </c>
      <c r="AE402" s="3">
        <f t="shared" si="45"/>
        <v>0.64500000000000002</v>
      </c>
      <c r="AF402" s="5"/>
      <c r="AG402" s="5"/>
      <c r="AH402" s="5"/>
      <c r="AI402" s="5"/>
      <c r="AK402" s="3" t="s">
        <v>205</v>
      </c>
      <c r="AL402" s="3">
        <v>0.9</v>
      </c>
      <c r="AM402" s="3">
        <v>0.5</v>
      </c>
      <c r="AN402" s="3">
        <v>0.6</v>
      </c>
      <c r="AO402" s="3">
        <v>0.16</v>
      </c>
      <c r="AP402" s="7">
        <v>873.42974900000002</v>
      </c>
      <c r="AQ402" s="3">
        <v>1.4E-2</v>
      </c>
      <c r="AS402" s="3" t="s">
        <v>205</v>
      </c>
      <c r="AT402" s="3">
        <v>7.0000000000000007E-2</v>
      </c>
      <c r="AU402" s="6">
        <v>804.12298599999997</v>
      </c>
      <c r="AV402" s="3">
        <v>1E-3</v>
      </c>
      <c r="AW402" s="3">
        <f t="shared" si="46"/>
        <v>0.115</v>
      </c>
      <c r="AX402" s="5"/>
      <c r="AY402" s="5"/>
      <c r="AZ402" s="5"/>
      <c r="BA402" s="5"/>
      <c r="BC402" s="3" t="s">
        <v>205</v>
      </c>
      <c r="BD402" s="3">
        <v>0.9</v>
      </c>
      <c r="BE402" s="3">
        <v>0.5</v>
      </c>
      <c r="BF402" s="3">
        <v>0.6</v>
      </c>
      <c r="BG402" s="3">
        <v>0.78</v>
      </c>
      <c r="BH402" s="7">
        <v>1106.771362</v>
      </c>
      <c r="BI402" s="3">
        <v>1.7000000000000001E-2</v>
      </c>
      <c r="BK402" s="3" t="s">
        <v>205</v>
      </c>
      <c r="BL402" s="3">
        <v>0.67</v>
      </c>
      <c r="BM402" s="6">
        <v>1071.0584719999999</v>
      </c>
      <c r="BN402" s="3">
        <v>1.2E-2</v>
      </c>
      <c r="BO402" s="3">
        <f t="shared" si="47"/>
        <v>0.72500000000000009</v>
      </c>
    </row>
    <row r="403" spans="1:67" x14ac:dyDescent="0.3">
      <c r="A403" s="3" t="s">
        <v>206</v>
      </c>
      <c r="B403" s="3">
        <v>0.9</v>
      </c>
      <c r="C403" s="3">
        <v>0.5</v>
      </c>
      <c r="D403" s="3">
        <v>0.6</v>
      </c>
      <c r="E403" s="3">
        <v>0.99</v>
      </c>
      <c r="F403" s="7">
        <v>721.87738000000002</v>
      </c>
      <c r="G403" s="3">
        <v>2.5999999999999999E-2</v>
      </c>
      <c r="I403" s="3" t="s">
        <v>206</v>
      </c>
      <c r="J403" s="3">
        <v>0.16</v>
      </c>
      <c r="K403" s="6">
        <v>641.54437299999995</v>
      </c>
      <c r="L403" s="3">
        <v>2E-3</v>
      </c>
      <c r="M403" s="3">
        <f t="shared" si="44"/>
        <v>0.57499999999999996</v>
      </c>
      <c r="N403" s="5"/>
      <c r="O403" s="5"/>
      <c r="P403" s="5"/>
      <c r="Q403" s="5"/>
      <c r="S403" s="3" t="s">
        <v>206</v>
      </c>
      <c r="T403" s="3">
        <v>0.9</v>
      </c>
      <c r="U403" s="3">
        <v>0.5</v>
      </c>
      <c r="V403" s="3">
        <v>0.6</v>
      </c>
      <c r="W403" s="3">
        <v>0.77</v>
      </c>
      <c r="X403" s="7">
        <v>691.29608199999996</v>
      </c>
      <c r="Y403" s="3">
        <v>2.1999999999999999E-2</v>
      </c>
      <c r="AA403" s="3" t="s">
        <v>206</v>
      </c>
      <c r="AB403" s="3">
        <v>0.37</v>
      </c>
      <c r="AC403" s="6">
        <v>663.10620100000006</v>
      </c>
      <c r="AD403" s="3">
        <v>4.0000000000000001E-3</v>
      </c>
      <c r="AE403" s="3">
        <f t="shared" si="45"/>
        <v>0.57000000000000006</v>
      </c>
      <c r="AF403" s="5"/>
      <c r="AG403" s="5"/>
      <c r="AH403" s="5"/>
      <c r="AI403" s="5"/>
      <c r="AK403" s="3" t="s">
        <v>207</v>
      </c>
      <c r="AL403" s="3">
        <v>0.9</v>
      </c>
      <c r="AM403" s="3">
        <v>0.5</v>
      </c>
      <c r="AN403" s="3">
        <v>0.6</v>
      </c>
      <c r="AO403" s="3">
        <v>0.21</v>
      </c>
      <c r="AP403" s="6">
        <v>828.38415499999996</v>
      </c>
      <c r="AQ403" s="3">
        <v>1.4999999999999999E-2</v>
      </c>
      <c r="AS403" s="3" t="s">
        <v>207</v>
      </c>
      <c r="AT403" s="3">
        <v>0.64</v>
      </c>
      <c r="AU403" s="7">
        <v>1002.214417</v>
      </c>
      <c r="AV403" s="3">
        <v>6.0000000000000001E-3</v>
      </c>
      <c r="AW403" s="3">
        <f t="shared" si="46"/>
        <v>0.42499999999999999</v>
      </c>
      <c r="AX403" s="5"/>
      <c r="AY403" s="5"/>
      <c r="AZ403" s="5"/>
      <c r="BA403" s="5"/>
      <c r="BC403" s="3" t="s">
        <v>207</v>
      </c>
      <c r="BD403" s="3">
        <v>0.9</v>
      </c>
      <c r="BE403" s="3">
        <v>0.5</v>
      </c>
      <c r="BF403" s="3">
        <v>0.6</v>
      </c>
      <c r="BG403" s="3">
        <v>0.99</v>
      </c>
      <c r="BH403" s="7">
        <v>1024.413818</v>
      </c>
      <c r="BI403" s="3">
        <v>1.2999999999999999E-2</v>
      </c>
      <c r="BK403" s="3" t="s">
        <v>207</v>
      </c>
      <c r="BL403" s="3">
        <v>0.87</v>
      </c>
      <c r="BM403" s="6">
        <v>1008.777466</v>
      </c>
      <c r="BN403" s="3">
        <v>2E-3</v>
      </c>
      <c r="BO403" s="3">
        <f t="shared" si="47"/>
        <v>0.92999999999999994</v>
      </c>
    </row>
    <row r="404" spans="1:67" x14ac:dyDescent="0.3">
      <c r="A404" s="3" t="s">
        <v>208</v>
      </c>
      <c r="B404" s="3">
        <v>0.9</v>
      </c>
      <c r="C404" s="3">
        <v>0.5</v>
      </c>
      <c r="D404" s="3">
        <v>0.6</v>
      </c>
      <c r="E404" s="3">
        <v>0.7</v>
      </c>
      <c r="F404" s="7">
        <v>695.15118399999994</v>
      </c>
      <c r="G404" s="3">
        <v>0.01</v>
      </c>
      <c r="I404" s="3" t="s">
        <v>208</v>
      </c>
      <c r="J404" s="3">
        <v>0.27</v>
      </c>
      <c r="K404" s="6">
        <v>605.45153800000003</v>
      </c>
      <c r="L404" s="3">
        <v>4.0000000000000001E-3</v>
      </c>
      <c r="M404" s="3">
        <f t="shared" si="44"/>
        <v>0.48499999999999999</v>
      </c>
      <c r="N404" s="5"/>
      <c r="O404" s="5"/>
      <c r="P404" s="5"/>
      <c r="Q404" s="5"/>
      <c r="S404" s="3" t="s">
        <v>208</v>
      </c>
      <c r="T404" s="3">
        <v>0.9</v>
      </c>
      <c r="U404" s="3">
        <v>0.5</v>
      </c>
      <c r="V404" s="3">
        <v>0.6</v>
      </c>
      <c r="W404" s="3">
        <v>0.94</v>
      </c>
      <c r="X404" s="7">
        <v>711.34863299999995</v>
      </c>
      <c r="Y404" s="3">
        <v>1.4999999999999999E-2</v>
      </c>
      <c r="AA404" s="3" t="s">
        <v>208</v>
      </c>
      <c r="AB404" s="3">
        <v>0.01</v>
      </c>
      <c r="AC404" s="6">
        <v>607.07592799999998</v>
      </c>
      <c r="AD404" s="3">
        <v>3.0000000000000001E-3</v>
      </c>
      <c r="AE404" s="3">
        <f t="shared" si="45"/>
        <v>0.47499999999999998</v>
      </c>
      <c r="AF404" s="5"/>
      <c r="AG404" s="5"/>
      <c r="AH404" s="5"/>
      <c r="AI404" s="5"/>
      <c r="AK404" s="3" t="s">
        <v>209</v>
      </c>
      <c r="AL404" s="3">
        <v>0.9</v>
      </c>
      <c r="AM404" s="3">
        <v>0.5</v>
      </c>
      <c r="AN404" s="3">
        <v>0.6</v>
      </c>
      <c r="AO404" s="3">
        <v>0.34</v>
      </c>
      <c r="AP404" s="7">
        <v>918.24585000000002</v>
      </c>
      <c r="AQ404" s="3">
        <v>1.7999999999999999E-2</v>
      </c>
      <c r="AS404" s="3" t="s">
        <v>209</v>
      </c>
      <c r="AT404" s="3">
        <v>0.28000000000000003</v>
      </c>
      <c r="AU404" s="6">
        <v>852.89184599999999</v>
      </c>
      <c r="AV404" s="3">
        <v>2E-3</v>
      </c>
      <c r="AW404" s="3">
        <f t="shared" si="46"/>
        <v>0.31000000000000005</v>
      </c>
      <c r="AX404" s="5"/>
      <c r="AY404" s="5"/>
      <c r="AZ404" s="5"/>
      <c r="BA404" s="5"/>
      <c r="BC404" s="3" t="s">
        <v>209</v>
      </c>
      <c r="BD404" s="3">
        <v>0.9</v>
      </c>
      <c r="BE404" s="3">
        <v>0.5</v>
      </c>
      <c r="BF404" s="3">
        <v>0.6</v>
      </c>
      <c r="BG404" s="3">
        <v>0.52</v>
      </c>
      <c r="BH404" s="7">
        <v>970.21508800000004</v>
      </c>
      <c r="BI404" s="3">
        <v>1.7999999999999999E-2</v>
      </c>
      <c r="BK404" s="3" t="s">
        <v>209</v>
      </c>
      <c r="BL404" s="3">
        <v>0.36</v>
      </c>
      <c r="BM404" s="6">
        <v>907.20648200000005</v>
      </c>
      <c r="BN404" s="3">
        <v>1E-3</v>
      </c>
      <c r="BO404" s="3">
        <f t="shared" si="47"/>
        <v>0.44</v>
      </c>
    </row>
    <row r="405" spans="1:67" x14ac:dyDescent="0.3">
      <c r="A405" s="3" t="s">
        <v>210</v>
      </c>
      <c r="B405" s="3">
        <v>0.9</v>
      </c>
      <c r="C405" s="3">
        <v>0.5</v>
      </c>
      <c r="D405" s="3">
        <v>0.6</v>
      </c>
      <c r="E405" s="3">
        <v>0.33</v>
      </c>
      <c r="F405" s="6">
        <v>635.881348</v>
      </c>
      <c r="G405" s="3">
        <v>1.4E-2</v>
      </c>
      <c r="I405" s="3" t="s">
        <v>210</v>
      </c>
      <c r="J405" s="3">
        <v>0.67</v>
      </c>
      <c r="K405" s="7">
        <v>688.64813200000003</v>
      </c>
      <c r="L405" s="3">
        <v>1E-3</v>
      </c>
      <c r="M405" s="3">
        <f t="shared" si="44"/>
        <v>0.5</v>
      </c>
      <c r="N405" s="5"/>
      <c r="O405" s="5"/>
      <c r="P405" s="5"/>
      <c r="Q405" s="5"/>
      <c r="S405" s="3" t="s">
        <v>210</v>
      </c>
      <c r="T405" s="3">
        <v>0.9</v>
      </c>
      <c r="U405" s="3">
        <v>0.5</v>
      </c>
      <c r="V405" s="3">
        <v>0.6</v>
      </c>
      <c r="W405" s="3">
        <v>0.95</v>
      </c>
      <c r="X405" s="7">
        <v>711.15875200000005</v>
      </c>
      <c r="Y405" s="3">
        <v>1.9E-2</v>
      </c>
      <c r="AA405" s="3" t="s">
        <v>210</v>
      </c>
      <c r="AB405" s="3">
        <v>0.71</v>
      </c>
      <c r="AC405" s="6">
        <v>664.13970900000004</v>
      </c>
      <c r="AD405" s="3">
        <v>2.7E-2</v>
      </c>
      <c r="AE405" s="3">
        <f t="shared" si="45"/>
        <v>0.83</v>
      </c>
      <c r="AF405" s="5"/>
      <c r="AG405" s="5"/>
      <c r="AH405" s="5"/>
      <c r="AI405" s="5"/>
      <c r="AK405" s="3" t="s">
        <v>211</v>
      </c>
      <c r="AL405" s="3">
        <v>0.9</v>
      </c>
      <c r="AM405" s="3">
        <v>0.5</v>
      </c>
      <c r="AN405" s="3">
        <v>0.6</v>
      </c>
      <c r="AO405" s="3">
        <v>0.54</v>
      </c>
      <c r="AP405" s="7">
        <v>1007.690979</v>
      </c>
      <c r="AQ405" s="3">
        <v>1.4999999999999999E-2</v>
      </c>
      <c r="AS405" s="3" t="s">
        <v>211</v>
      </c>
      <c r="AT405" s="3">
        <v>0.08</v>
      </c>
      <c r="AU405" s="6">
        <v>793.46905500000003</v>
      </c>
      <c r="AV405" s="3">
        <v>2E-3</v>
      </c>
      <c r="AW405" s="3">
        <f t="shared" si="46"/>
        <v>0.31</v>
      </c>
      <c r="AX405" s="5"/>
      <c r="AY405" s="5"/>
      <c r="AZ405" s="5"/>
      <c r="BA405" s="5"/>
      <c r="BC405" s="3" t="s">
        <v>211</v>
      </c>
      <c r="BD405" s="3">
        <v>0.9</v>
      </c>
      <c r="BE405" s="3">
        <v>0.5</v>
      </c>
      <c r="BF405" s="3">
        <v>0.6</v>
      </c>
      <c r="BG405" s="3">
        <v>0.56000000000000005</v>
      </c>
      <c r="BH405" s="7">
        <v>995.71807899999999</v>
      </c>
      <c r="BI405" s="3">
        <v>2.1000000000000001E-2</v>
      </c>
      <c r="BK405" s="3" t="s">
        <v>211</v>
      </c>
      <c r="BL405" s="3">
        <v>0.47</v>
      </c>
      <c r="BM405" s="6">
        <v>979.52734399999997</v>
      </c>
      <c r="BN405" s="3">
        <v>1E-3</v>
      </c>
      <c r="BO405" s="3">
        <f t="shared" si="47"/>
        <v>0.51500000000000001</v>
      </c>
    </row>
    <row r="406" spans="1:67" x14ac:dyDescent="0.3">
      <c r="A406" s="3" t="s">
        <v>212</v>
      </c>
      <c r="B406" s="3">
        <v>0.9</v>
      </c>
      <c r="C406" s="3">
        <v>0.5</v>
      </c>
      <c r="D406" s="3">
        <v>0.6</v>
      </c>
      <c r="E406" s="3">
        <v>0.01</v>
      </c>
      <c r="F406" s="7">
        <v>660.20269800000005</v>
      </c>
      <c r="G406" s="3">
        <v>0.02</v>
      </c>
      <c r="I406" s="3" t="s">
        <v>212</v>
      </c>
      <c r="J406" s="3">
        <v>0.26</v>
      </c>
      <c r="K406" s="6">
        <v>640.05841099999998</v>
      </c>
      <c r="L406" s="3">
        <v>7.0000000000000001E-3</v>
      </c>
      <c r="M406" s="3">
        <f t="shared" si="44"/>
        <v>0.13500000000000001</v>
      </c>
      <c r="N406" s="5"/>
      <c r="O406" s="5"/>
      <c r="P406" s="5"/>
      <c r="Q406" s="5"/>
      <c r="S406" s="3" t="s">
        <v>212</v>
      </c>
      <c r="T406" s="3">
        <v>0.9</v>
      </c>
      <c r="U406" s="3">
        <v>0.5</v>
      </c>
      <c r="V406" s="3">
        <v>0.6</v>
      </c>
      <c r="W406" s="3">
        <v>0.15</v>
      </c>
      <c r="X406" s="6">
        <v>604.70434599999999</v>
      </c>
      <c r="Y406" s="3">
        <v>2.9000000000000001E-2</v>
      </c>
      <c r="AA406" s="3" t="s">
        <v>212</v>
      </c>
      <c r="AB406" s="3">
        <v>0.74</v>
      </c>
      <c r="AC406" s="7">
        <v>699.831909</v>
      </c>
      <c r="AD406" s="3">
        <v>3.0000000000000001E-3</v>
      </c>
      <c r="AE406" s="3">
        <f t="shared" si="45"/>
        <v>0.44500000000000001</v>
      </c>
      <c r="AF406" s="5"/>
      <c r="AG406" s="5"/>
      <c r="AH406" s="5"/>
      <c r="AI406" s="5"/>
      <c r="AK406" s="3" t="s">
        <v>213</v>
      </c>
      <c r="AL406" s="3">
        <v>0.9</v>
      </c>
      <c r="AM406" s="3">
        <v>0.5</v>
      </c>
      <c r="AN406" s="3">
        <v>0.6</v>
      </c>
      <c r="AO406" s="3">
        <v>0.09</v>
      </c>
      <c r="AP406" s="6">
        <v>821.36456299999998</v>
      </c>
      <c r="AQ406" s="3">
        <v>1.6E-2</v>
      </c>
      <c r="AS406" s="3" t="s">
        <v>213</v>
      </c>
      <c r="AT406" s="3">
        <v>0.59</v>
      </c>
      <c r="AU406" s="7">
        <v>1049.8975829999999</v>
      </c>
      <c r="AV406" s="3">
        <v>2E-3</v>
      </c>
      <c r="AW406" s="3">
        <f t="shared" si="46"/>
        <v>0.33999999999999997</v>
      </c>
      <c r="AX406" s="5"/>
      <c r="AY406" s="5"/>
      <c r="AZ406" s="5"/>
      <c r="BA406" s="5"/>
      <c r="BC406" s="3" t="s">
        <v>213</v>
      </c>
      <c r="BD406" s="3">
        <v>0.9</v>
      </c>
      <c r="BE406" s="3">
        <v>0.5</v>
      </c>
      <c r="BF406" s="3">
        <v>0.6</v>
      </c>
      <c r="BG406" s="3">
        <v>0.94</v>
      </c>
      <c r="BH406" s="7">
        <v>1124.526611</v>
      </c>
      <c r="BI406" s="3">
        <v>2.3E-2</v>
      </c>
      <c r="BK406" s="3" t="s">
        <v>213</v>
      </c>
      <c r="BL406" s="3">
        <v>0.34</v>
      </c>
      <c r="BM406" s="6">
        <v>970.13525400000003</v>
      </c>
      <c r="BN406" s="3">
        <v>2E-3</v>
      </c>
      <c r="BO406" s="3">
        <f t="shared" si="47"/>
        <v>0.64</v>
      </c>
    </row>
    <row r="407" spans="1:67" x14ac:dyDescent="0.3">
      <c r="A407" s="3" t="s">
        <v>214</v>
      </c>
      <c r="B407" s="3">
        <v>0.9</v>
      </c>
      <c r="C407" s="3">
        <v>0.5</v>
      </c>
      <c r="D407" s="3">
        <v>0.6</v>
      </c>
      <c r="E407" s="3">
        <v>0.5</v>
      </c>
      <c r="F407" s="6">
        <v>688.24462900000003</v>
      </c>
      <c r="G407" s="3">
        <v>1.9E-2</v>
      </c>
      <c r="I407" s="3" t="s">
        <v>214</v>
      </c>
      <c r="J407" s="3">
        <v>0.85</v>
      </c>
      <c r="K407" s="7">
        <v>771.42877199999998</v>
      </c>
      <c r="L407" s="3">
        <v>3.0000000000000001E-3</v>
      </c>
      <c r="M407" s="3">
        <f t="shared" si="44"/>
        <v>0.67500000000000004</v>
      </c>
      <c r="N407" s="5"/>
      <c r="O407" s="5"/>
      <c r="P407" s="5"/>
      <c r="Q407" s="5"/>
      <c r="S407" s="3" t="s">
        <v>214</v>
      </c>
      <c r="T407" s="3">
        <v>0.9</v>
      </c>
      <c r="U407" s="3">
        <v>0.5</v>
      </c>
      <c r="V407" s="3">
        <v>0.6</v>
      </c>
      <c r="W407" s="3">
        <v>0.55000000000000004</v>
      </c>
      <c r="X407" s="6">
        <v>716.72723399999995</v>
      </c>
      <c r="Y407" s="3">
        <v>0.02</v>
      </c>
      <c r="AA407" s="3" t="s">
        <v>214</v>
      </c>
      <c r="AB407" s="3">
        <v>0.69</v>
      </c>
      <c r="AC407" s="7">
        <v>738.78204300000004</v>
      </c>
      <c r="AD407" s="3">
        <v>1E-3</v>
      </c>
      <c r="AE407" s="3">
        <f t="shared" si="45"/>
        <v>0.62</v>
      </c>
      <c r="AF407" s="5"/>
      <c r="AG407" s="5"/>
      <c r="AH407" s="5"/>
      <c r="AI407" s="5"/>
      <c r="AK407" s="3" t="s">
        <v>215</v>
      </c>
      <c r="AL407" s="3">
        <v>0.9</v>
      </c>
      <c r="AM407" s="3">
        <v>0.5</v>
      </c>
      <c r="AN407" s="3">
        <v>0.6</v>
      </c>
      <c r="AO407" s="3">
        <v>0.21</v>
      </c>
      <c r="AP407" s="7">
        <v>977.50891100000001</v>
      </c>
      <c r="AQ407" s="3">
        <v>3.1E-2</v>
      </c>
      <c r="AS407" s="3" t="s">
        <v>215</v>
      </c>
      <c r="AT407" s="3">
        <v>0.04</v>
      </c>
      <c r="AU407" s="6">
        <v>847.65649399999995</v>
      </c>
      <c r="AV407" s="3">
        <v>1E-3</v>
      </c>
      <c r="AW407" s="3">
        <f t="shared" si="46"/>
        <v>0.125</v>
      </c>
      <c r="AX407" s="5"/>
      <c r="AY407" s="5"/>
      <c r="AZ407" s="5"/>
      <c r="BA407" s="5"/>
      <c r="BC407" s="3" t="s">
        <v>215</v>
      </c>
      <c r="BD407" s="3">
        <v>0.9</v>
      </c>
      <c r="BE407" s="3">
        <v>0.5</v>
      </c>
      <c r="BF407" s="3">
        <v>0.6</v>
      </c>
      <c r="BG407" s="3">
        <v>0.14000000000000001</v>
      </c>
      <c r="BH407" s="6">
        <v>925.66570999999999</v>
      </c>
      <c r="BI407" s="3">
        <v>2.1000000000000001E-2</v>
      </c>
      <c r="BK407" s="3" t="s">
        <v>215</v>
      </c>
      <c r="BL407" s="3">
        <v>0.71</v>
      </c>
      <c r="BM407" s="7">
        <v>1227.574341</v>
      </c>
      <c r="BN407" s="3">
        <v>1E-3</v>
      </c>
      <c r="BO407" s="3">
        <f t="shared" si="47"/>
        <v>0.42499999999999999</v>
      </c>
    </row>
    <row r="408" spans="1:67" x14ac:dyDescent="0.3">
      <c r="A408" s="3" t="s">
        <v>216</v>
      </c>
      <c r="B408" s="3">
        <v>0.9</v>
      </c>
      <c r="C408" s="3">
        <v>0.5</v>
      </c>
      <c r="D408" s="3">
        <v>0.6</v>
      </c>
      <c r="E408" s="3">
        <v>0.54</v>
      </c>
      <c r="F408" s="7">
        <v>677.40118399999994</v>
      </c>
      <c r="G408" s="3">
        <v>1.2999999999999999E-2</v>
      </c>
      <c r="I408" s="3" t="s">
        <v>216</v>
      </c>
      <c r="J408" s="3">
        <v>0.38</v>
      </c>
      <c r="K408" s="6">
        <v>635.819885</v>
      </c>
      <c r="L408" s="3">
        <v>0</v>
      </c>
      <c r="M408" s="3">
        <f t="shared" si="44"/>
        <v>0.46</v>
      </c>
      <c r="N408" s="5"/>
      <c r="O408" s="5"/>
      <c r="P408" s="5"/>
      <c r="Q408" s="5"/>
      <c r="S408" s="3" t="s">
        <v>216</v>
      </c>
      <c r="T408" s="3">
        <v>0.9</v>
      </c>
      <c r="U408" s="3">
        <v>0.5</v>
      </c>
      <c r="V408" s="3">
        <v>0.6</v>
      </c>
      <c r="W408" s="3">
        <v>0.12</v>
      </c>
      <c r="X408" s="6">
        <v>560.38580300000001</v>
      </c>
      <c r="Y408" s="3">
        <v>2.7E-2</v>
      </c>
      <c r="AA408" s="3" t="s">
        <v>216</v>
      </c>
      <c r="AB408" s="3">
        <v>0.78</v>
      </c>
      <c r="AC408" s="7">
        <v>723.40637200000003</v>
      </c>
      <c r="AD408" s="3">
        <v>2E-3</v>
      </c>
      <c r="AE408" s="3">
        <f t="shared" si="45"/>
        <v>0.45</v>
      </c>
      <c r="AF408" s="5"/>
      <c r="AG408" s="5"/>
      <c r="AH408" s="5"/>
      <c r="AI408" s="5"/>
      <c r="AK408" s="3" t="s">
        <v>217</v>
      </c>
      <c r="AL408" s="3">
        <v>0.9</v>
      </c>
      <c r="AM408" s="3">
        <v>0.5</v>
      </c>
      <c r="AN408" s="3">
        <v>0.6</v>
      </c>
      <c r="AO408" s="3">
        <v>0.62</v>
      </c>
      <c r="AP408" s="7">
        <v>1221.4542240000001</v>
      </c>
      <c r="AQ408" s="3">
        <v>2.3E-2</v>
      </c>
      <c r="AS408" s="3" t="s">
        <v>217</v>
      </c>
      <c r="AT408" s="3">
        <v>0.61</v>
      </c>
      <c r="AU408" s="6">
        <v>1219.5014650000001</v>
      </c>
      <c r="AV408" s="3">
        <v>6.0000000000000001E-3</v>
      </c>
      <c r="AW408" s="3">
        <f t="shared" si="46"/>
        <v>0.61499999999999999</v>
      </c>
      <c r="AX408" s="5"/>
      <c r="AY408" s="5"/>
      <c r="AZ408" s="5"/>
      <c r="BA408" s="5"/>
      <c r="BC408" s="3" t="s">
        <v>217</v>
      </c>
      <c r="BD408" s="3">
        <v>0.9</v>
      </c>
      <c r="BE408" s="3">
        <v>0.5</v>
      </c>
      <c r="BF408" s="3">
        <v>0.6</v>
      </c>
      <c r="BG408" s="3">
        <v>0.01</v>
      </c>
      <c r="BH408" s="6">
        <v>940.88458300000002</v>
      </c>
      <c r="BI408" s="3">
        <v>2.4E-2</v>
      </c>
      <c r="BK408" s="3" t="s">
        <v>217</v>
      </c>
      <c r="BL408" s="3">
        <v>0.86</v>
      </c>
      <c r="BM408" s="7">
        <v>1295.4343260000001</v>
      </c>
      <c r="BN408" s="3">
        <v>4.0000000000000001E-3</v>
      </c>
      <c r="BO408" s="3">
        <f t="shared" si="47"/>
        <v>0.435</v>
      </c>
    </row>
    <row r="409" spans="1:67" x14ac:dyDescent="0.3">
      <c r="A409" s="3" t="s">
        <v>218</v>
      </c>
      <c r="B409" s="3">
        <v>0.9</v>
      </c>
      <c r="C409" s="3">
        <v>0.5</v>
      </c>
      <c r="D409" s="3">
        <v>0.6</v>
      </c>
      <c r="E409" s="3">
        <v>0.08</v>
      </c>
      <c r="F409" s="7">
        <v>623.96478300000001</v>
      </c>
      <c r="G409" s="3">
        <v>1.6E-2</v>
      </c>
      <c r="I409" s="3" t="s">
        <v>218</v>
      </c>
      <c r="J409" s="3">
        <v>0.06</v>
      </c>
      <c r="K409" s="6">
        <v>621.57153300000004</v>
      </c>
      <c r="L409" s="3">
        <v>1E-3</v>
      </c>
      <c r="M409" s="3">
        <f t="shared" si="44"/>
        <v>7.0000000000000007E-2</v>
      </c>
      <c r="N409" s="5"/>
      <c r="O409" s="5"/>
      <c r="P409" s="5"/>
      <c r="Q409" s="5"/>
      <c r="S409" s="3" t="s">
        <v>218</v>
      </c>
      <c r="T409" s="3">
        <v>0.9</v>
      </c>
      <c r="U409" s="3">
        <v>0.5</v>
      </c>
      <c r="V409" s="3">
        <v>0.6</v>
      </c>
      <c r="W409" s="3">
        <v>0.65</v>
      </c>
      <c r="X409" s="6">
        <v>752.11358600000005</v>
      </c>
      <c r="Y409" s="3">
        <v>1.4999999999999999E-2</v>
      </c>
      <c r="AA409" s="3" t="s">
        <v>218</v>
      </c>
      <c r="AB409" s="3">
        <v>0.73</v>
      </c>
      <c r="AC409" s="7">
        <v>766.73498500000005</v>
      </c>
      <c r="AD409" s="3">
        <v>1E-3</v>
      </c>
      <c r="AE409" s="3">
        <f t="shared" si="45"/>
        <v>0.69</v>
      </c>
      <c r="AF409" s="5"/>
      <c r="AG409" s="5"/>
      <c r="AH409" s="5"/>
      <c r="AI409" s="5"/>
      <c r="AK409" s="3" t="s">
        <v>219</v>
      </c>
      <c r="AL409" s="3">
        <v>0.9</v>
      </c>
      <c r="AM409" s="3">
        <v>0.5</v>
      </c>
      <c r="AN409" s="3">
        <v>0.6</v>
      </c>
      <c r="AO409" s="3">
        <v>0.2</v>
      </c>
      <c r="AP409" s="6">
        <v>981.13952600000005</v>
      </c>
      <c r="AQ409" s="3">
        <v>2.5000000000000001E-2</v>
      </c>
      <c r="AS409" s="3" t="s">
        <v>219</v>
      </c>
      <c r="AT409" s="3">
        <v>0.65</v>
      </c>
      <c r="AU409" s="7">
        <v>1214.949707</v>
      </c>
      <c r="AV409" s="3">
        <v>1E-3</v>
      </c>
      <c r="AW409" s="3">
        <f t="shared" si="46"/>
        <v>0.42500000000000004</v>
      </c>
      <c r="AX409" s="5"/>
      <c r="AY409" s="5"/>
      <c r="AZ409" s="5"/>
      <c r="BA409" s="5"/>
      <c r="BC409" s="3" t="s">
        <v>219</v>
      </c>
      <c r="BD409" s="3">
        <v>0.9</v>
      </c>
      <c r="BE409" s="3">
        <v>0.5</v>
      </c>
      <c r="BF409" s="3">
        <v>0.6</v>
      </c>
      <c r="BG409" s="3">
        <v>0.97</v>
      </c>
      <c r="BH409" s="7">
        <v>1244.4704589999999</v>
      </c>
      <c r="BI409" s="3">
        <v>2.4E-2</v>
      </c>
      <c r="BK409" s="3" t="s">
        <v>219</v>
      </c>
      <c r="BL409" s="3">
        <v>0.63</v>
      </c>
      <c r="BM409" s="6">
        <v>1193.2296140000001</v>
      </c>
      <c r="BN409" s="3">
        <v>1.0999999999999999E-2</v>
      </c>
      <c r="BO409" s="3">
        <f t="shared" si="47"/>
        <v>0.8</v>
      </c>
    </row>
    <row r="410" spans="1:67" x14ac:dyDescent="0.3">
      <c r="A410" s="3" t="s">
        <v>220</v>
      </c>
      <c r="B410" s="3">
        <v>0.9</v>
      </c>
      <c r="C410" s="3">
        <v>0.5</v>
      </c>
      <c r="D410" s="3">
        <v>0.6</v>
      </c>
      <c r="E410" s="3">
        <v>0.78</v>
      </c>
      <c r="F410" s="7">
        <v>867.79357900000002</v>
      </c>
      <c r="G410" s="3">
        <v>1.9E-2</v>
      </c>
      <c r="I410" s="3" t="s">
        <v>220</v>
      </c>
      <c r="J410" s="3">
        <v>0.41</v>
      </c>
      <c r="K410" s="6">
        <v>728.14550799999995</v>
      </c>
      <c r="L410" s="3">
        <v>5.0000000000000001E-3</v>
      </c>
      <c r="M410" s="3">
        <f t="shared" si="44"/>
        <v>0.59499999999999997</v>
      </c>
      <c r="N410" s="5"/>
      <c r="O410" s="5"/>
      <c r="P410" s="5"/>
      <c r="Q410" s="5"/>
      <c r="S410" s="3" t="s">
        <v>220</v>
      </c>
      <c r="T410" s="3">
        <v>0.9</v>
      </c>
      <c r="U410" s="3">
        <v>0.5</v>
      </c>
      <c r="V410" s="3">
        <v>0.6</v>
      </c>
      <c r="W410" s="3">
        <v>0.4</v>
      </c>
      <c r="X410" s="6">
        <v>703.87383999999997</v>
      </c>
      <c r="Y410" s="3">
        <v>6.4000000000000001E-2</v>
      </c>
      <c r="AA410" s="3" t="s">
        <v>220</v>
      </c>
      <c r="AB410" s="3">
        <v>0.56000000000000005</v>
      </c>
      <c r="AC410" s="7">
        <v>768.64630099999999</v>
      </c>
      <c r="AD410" s="3">
        <v>4.0000000000000001E-3</v>
      </c>
      <c r="AE410" s="3">
        <f t="shared" si="45"/>
        <v>0.48000000000000004</v>
      </c>
      <c r="AF410" s="5"/>
      <c r="AG410" s="5"/>
      <c r="AH410" s="5"/>
      <c r="AI410" s="5"/>
      <c r="AK410" s="3" t="s">
        <v>221</v>
      </c>
      <c r="AL410" s="3">
        <v>0.9</v>
      </c>
      <c r="AM410" s="3">
        <v>0.5</v>
      </c>
      <c r="AN410" s="3">
        <v>0.6</v>
      </c>
      <c r="AO410" s="3">
        <v>0.15</v>
      </c>
      <c r="AP410" s="6">
        <v>906.59442100000001</v>
      </c>
      <c r="AQ410" s="3">
        <v>2.9000000000000001E-2</v>
      </c>
      <c r="AS410" s="3" t="s">
        <v>221</v>
      </c>
      <c r="AT410" s="3">
        <v>0.84</v>
      </c>
      <c r="AU410" s="7">
        <v>1166.809937</v>
      </c>
      <c r="AV410" s="3">
        <v>2E-3</v>
      </c>
      <c r="AW410" s="3">
        <f t="shared" si="46"/>
        <v>0.495</v>
      </c>
      <c r="AX410" s="5"/>
      <c r="AY410" s="5"/>
      <c r="AZ410" s="5"/>
      <c r="BA410" s="5"/>
      <c r="BC410" s="3" t="s">
        <v>221</v>
      </c>
      <c r="BD410" s="3">
        <v>0.9</v>
      </c>
      <c r="BE410" s="3">
        <v>0.5</v>
      </c>
      <c r="BF410" s="3">
        <v>0.6</v>
      </c>
      <c r="BG410" s="3">
        <v>0.11</v>
      </c>
      <c r="BH410" s="6">
        <v>856.53143299999999</v>
      </c>
      <c r="BI410" s="3">
        <v>1.2E-2</v>
      </c>
      <c r="BK410" s="3" t="s">
        <v>221</v>
      </c>
      <c r="BL410" s="3">
        <v>0.31</v>
      </c>
      <c r="BM410" s="7">
        <v>988.78472899999997</v>
      </c>
      <c r="BN410" s="3">
        <v>1E-3</v>
      </c>
      <c r="BO410" s="3">
        <f t="shared" si="47"/>
        <v>0.21</v>
      </c>
    </row>
    <row r="411" spans="1:67" x14ac:dyDescent="0.3">
      <c r="A411" s="3" t="s">
        <v>222</v>
      </c>
      <c r="B411" s="3">
        <v>0.9</v>
      </c>
      <c r="C411" s="3">
        <v>0.5</v>
      </c>
      <c r="D411" s="3">
        <v>0.6</v>
      </c>
      <c r="E411" s="3">
        <v>0.21</v>
      </c>
      <c r="F411" s="6">
        <v>685.13958700000001</v>
      </c>
      <c r="G411" s="3">
        <v>1.2999999999999999E-2</v>
      </c>
      <c r="I411" s="3" t="s">
        <v>222</v>
      </c>
      <c r="J411" s="3">
        <v>0.82</v>
      </c>
      <c r="K411" s="7">
        <v>801.78155500000003</v>
      </c>
      <c r="L411" s="3">
        <v>1E-3</v>
      </c>
      <c r="M411" s="3">
        <f t="shared" si="44"/>
        <v>0.51500000000000001</v>
      </c>
      <c r="N411" s="5"/>
      <c r="O411" s="5"/>
      <c r="P411" s="5"/>
      <c r="Q411" s="5"/>
      <c r="S411" s="3" t="s">
        <v>222</v>
      </c>
      <c r="T411" s="3">
        <v>0.9</v>
      </c>
      <c r="U411" s="3">
        <v>0.5</v>
      </c>
      <c r="V411" s="3">
        <v>0.6</v>
      </c>
      <c r="W411" s="3">
        <v>0.93</v>
      </c>
      <c r="X411" s="7">
        <v>852.29040499999996</v>
      </c>
      <c r="Y411" s="3">
        <v>1.9E-2</v>
      </c>
      <c r="AA411" s="3" t="s">
        <v>222</v>
      </c>
      <c r="AB411" s="3">
        <v>0.46</v>
      </c>
      <c r="AC411" s="6">
        <v>740.91253700000004</v>
      </c>
      <c r="AD411" s="3">
        <v>1E-3</v>
      </c>
      <c r="AE411" s="3">
        <f t="shared" si="45"/>
        <v>0.69500000000000006</v>
      </c>
      <c r="AF411" s="5"/>
      <c r="AG411" s="5"/>
      <c r="AH411" s="5"/>
      <c r="AI411" s="5"/>
      <c r="AK411" s="3" t="s">
        <v>223</v>
      </c>
      <c r="AL411" s="3">
        <v>0.9</v>
      </c>
      <c r="AM411" s="3">
        <v>0.5</v>
      </c>
      <c r="AN411" s="3">
        <v>0.6</v>
      </c>
      <c r="AO411" s="3">
        <v>0.01</v>
      </c>
      <c r="AP411" s="6">
        <v>913.78033400000004</v>
      </c>
      <c r="AQ411" s="3">
        <v>2.1999999999999999E-2</v>
      </c>
      <c r="AS411" s="3" t="s">
        <v>223</v>
      </c>
      <c r="AT411" s="3">
        <v>0.93</v>
      </c>
      <c r="AU411" s="7">
        <v>1291.081543</v>
      </c>
      <c r="AV411" s="3">
        <v>1E-3</v>
      </c>
      <c r="AW411" s="3">
        <f t="shared" si="46"/>
        <v>0.47000000000000003</v>
      </c>
      <c r="AX411" s="5"/>
      <c r="AY411" s="5"/>
      <c r="AZ411" s="5"/>
      <c r="BA411" s="5"/>
      <c r="BC411" s="3" t="s">
        <v>223</v>
      </c>
      <c r="BD411" s="3">
        <v>0.9</v>
      </c>
      <c r="BE411" s="3">
        <v>0.5</v>
      </c>
      <c r="BF411" s="3">
        <v>0.6</v>
      </c>
      <c r="BG411" s="3">
        <v>0.87</v>
      </c>
      <c r="BH411" s="7">
        <v>1246.763672</v>
      </c>
      <c r="BI411" s="3">
        <v>1.4E-2</v>
      </c>
      <c r="BK411" s="3" t="s">
        <v>223</v>
      </c>
      <c r="BL411" s="3">
        <v>0.4</v>
      </c>
      <c r="BM411" s="6">
        <v>1125.5214840000001</v>
      </c>
      <c r="BN411" s="3">
        <v>2E-3</v>
      </c>
      <c r="BO411" s="3">
        <f t="shared" si="47"/>
        <v>0.63500000000000001</v>
      </c>
    </row>
    <row r="412" spans="1:67" x14ac:dyDescent="0.3">
      <c r="A412" s="3" t="s">
        <v>224</v>
      </c>
      <c r="B412" s="3">
        <v>0.9</v>
      </c>
      <c r="C412" s="3">
        <v>0.5</v>
      </c>
      <c r="D412" s="3">
        <v>0.6</v>
      </c>
      <c r="E412" s="3">
        <v>0.01</v>
      </c>
      <c r="F412" s="7">
        <v>732.31768799999998</v>
      </c>
      <c r="G412" s="3">
        <v>1.7000000000000001E-2</v>
      </c>
      <c r="I412" s="3" t="s">
        <v>224</v>
      </c>
      <c r="J412" s="3">
        <v>0.2</v>
      </c>
      <c r="K412" s="6">
        <v>725.34606900000006</v>
      </c>
      <c r="L412" s="3">
        <v>4.0000000000000001E-3</v>
      </c>
      <c r="M412" s="3">
        <f t="shared" si="44"/>
        <v>0.10500000000000001</v>
      </c>
      <c r="N412" s="5"/>
      <c r="O412" s="5"/>
      <c r="P412" s="5"/>
      <c r="Q412" s="5"/>
      <c r="S412" s="3" t="s">
        <v>224</v>
      </c>
      <c r="T412" s="3">
        <v>0.9</v>
      </c>
      <c r="U412" s="3">
        <v>0.5</v>
      </c>
      <c r="V412" s="3">
        <v>0.6</v>
      </c>
      <c r="W412" s="3">
        <v>0.85</v>
      </c>
      <c r="X412" s="7">
        <v>889.89080799999999</v>
      </c>
      <c r="Y412" s="3">
        <v>2.3E-2</v>
      </c>
      <c r="AA412" s="3" t="s">
        <v>224</v>
      </c>
      <c r="AB412" s="3">
        <v>0.34</v>
      </c>
      <c r="AC412" s="6">
        <v>771.55651899999998</v>
      </c>
      <c r="AD412" s="3">
        <v>1E-3</v>
      </c>
      <c r="AE412" s="3">
        <f t="shared" si="45"/>
        <v>0.59499999999999997</v>
      </c>
      <c r="AF412" s="5"/>
      <c r="AG412" s="5"/>
      <c r="AH412" s="5"/>
      <c r="AI412" s="5"/>
      <c r="AK412" s="3" t="s">
        <v>225</v>
      </c>
      <c r="AL412" s="3">
        <v>0.9</v>
      </c>
      <c r="AM412" s="3">
        <v>0.5</v>
      </c>
      <c r="AN412" s="3">
        <v>0.6</v>
      </c>
      <c r="AO412" s="3">
        <v>0.69</v>
      </c>
      <c r="AP412" s="7">
        <v>1172.9880370000001</v>
      </c>
      <c r="AQ412" s="3">
        <v>1.0999999999999999E-2</v>
      </c>
      <c r="AS412" s="3" t="s">
        <v>225</v>
      </c>
      <c r="AT412" s="3">
        <v>0.34</v>
      </c>
      <c r="AU412" s="6">
        <v>1034.8120120000001</v>
      </c>
      <c r="AV412" s="3">
        <v>6.0000000000000001E-3</v>
      </c>
      <c r="AW412" s="3">
        <f t="shared" si="46"/>
        <v>0.51500000000000001</v>
      </c>
      <c r="AX412" s="5"/>
      <c r="AY412" s="5"/>
      <c r="AZ412" s="5"/>
      <c r="BA412" s="5"/>
      <c r="BC412" s="3" t="s">
        <v>225</v>
      </c>
      <c r="BD412" s="3">
        <v>0.9</v>
      </c>
      <c r="BE412" s="3">
        <v>0.5</v>
      </c>
      <c r="BF412" s="3">
        <v>0.6</v>
      </c>
      <c r="BG412" s="3">
        <v>0.74</v>
      </c>
      <c r="BH412" s="7">
        <v>1190.8358149999999</v>
      </c>
      <c r="BI412" s="3">
        <v>2.4E-2</v>
      </c>
      <c r="BK412" s="3" t="s">
        <v>225</v>
      </c>
      <c r="BL412" s="3">
        <v>0.09</v>
      </c>
      <c r="BM412" s="6">
        <v>868.71673599999997</v>
      </c>
      <c r="BN412" s="3">
        <v>3.0000000000000001E-3</v>
      </c>
      <c r="BO412" s="3">
        <f t="shared" si="47"/>
        <v>0.41499999999999998</v>
      </c>
    </row>
    <row r="413" spans="1:67" x14ac:dyDescent="0.3">
      <c r="A413" s="3" t="s">
        <v>226</v>
      </c>
      <c r="B413" s="3">
        <v>0.9</v>
      </c>
      <c r="C413" s="3">
        <v>0.5</v>
      </c>
      <c r="D413" s="3">
        <v>0.6</v>
      </c>
      <c r="E413" s="3">
        <v>0.01</v>
      </c>
      <c r="F413" s="6">
        <v>720.72198500000002</v>
      </c>
      <c r="G413" s="3">
        <v>3.1E-2</v>
      </c>
      <c r="I413" s="3" t="s">
        <v>226</v>
      </c>
      <c r="J413" s="3">
        <v>0.69</v>
      </c>
      <c r="K413" s="7">
        <v>836.28601100000003</v>
      </c>
      <c r="L413" s="3">
        <v>1E-3</v>
      </c>
      <c r="M413" s="3">
        <f t="shared" si="44"/>
        <v>0.35</v>
      </c>
      <c r="N413" s="5"/>
      <c r="O413" s="5"/>
      <c r="P413" s="5"/>
      <c r="Q413" s="5"/>
      <c r="S413" s="3" t="s">
        <v>226</v>
      </c>
      <c r="T413" s="3">
        <v>0.9</v>
      </c>
      <c r="U413" s="3">
        <v>0.5</v>
      </c>
      <c r="V413" s="3">
        <v>0.6</v>
      </c>
      <c r="W413" s="3">
        <v>0.77</v>
      </c>
      <c r="X413" s="7">
        <v>874.82574499999998</v>
      </c>
      <c r="Y413" s="3">
        <v>1.4999999999999999E-2</v>
      </c>
      <c r="AA413" s="3" t="s">
        <v>226</v>
      </c>
      <c r="AB413" s="3">
        <v>0.2</v>
      </c>
      <c r="AC413" s="6">
        <v>702.76434300000005</v>
      </c>
      <c r="AD413" s="3">
        <v>2E-3</v>
      </c>
      <c r="AE413" s="3">
        <f t="shared" si="45"/>
        <v>0.48499999999999999</v>
      </c>
      <c r="AF413" s="5"/>
      <c r="AG413" s="5"/>
      <c r="AH413" s="5"/>
      <c r="AI413" s="5"/>
      <c r="AK413" s="3" t="s">
        <v>227</v>
      </c>
      <c r="AL413" s="3">
        <v>0.9</v>
      </c>
      <c r="AM413" s="3">
        <v>0.5</v>
      </c>
      <c r="AN413" s="3">
        <v>0.6</v>
      </c>
      <c r="AO413" s="3">
        <v>0.25</v>
      </c>
      <c r="AP413" s="6">
        <v>939.34966999999995</v>
      </c>
      <c r="AQ413" s="3">
        <v>1.2E-2</v>
      </c>
      <c r="AS413" s="3" t="s">
        <v>227</v>
      </c>
      <c r="AT413" s="3">
        <v>0.61</v>
      </c>
      <c r="AU413" s="7">
        <v>1126.4929199999999</v>
      </c>
      <c r="AV413" s="3">
        <v>2E-3</v>
      </c>
      <c r="AW413" s="3">
        <f t="shared" si="46"/>
        <v>0.43</v>
      </c>
      <c r="AX413" s="5"/>
      <c r="AY413" s="5"/>
      <c r="AZ413" s="5"/>
      <c r="BA413" s="5"/>
      <c r="BC413" s="3" t="s">
        <v>227</v>
      </c>
      <c r="BD413" s="3">
        <v>0.9</v>
      </c>
      <c r="BE413" s="3">
        <v>0.5</v>
      </c>
      <c r="BF413" s="3">
        <v>0.6</v>
      </c>
      <c r="BG413" s="3">
        <v>0.39</v>
      </c>
      <c r="BH413" s="6">
        <v>1022.316772</v>
      </c>
      <c r="BI413" s="3">
        <v>2.3E-2</v>
      </c>
      <c r="BK413" s="3" t="s">
        <v>227</v>
      </c>
      <c r="BL413" s="3">
        <v>0.55000000000000004</v>
      </c>
      <c r="BM413" s="7">
        <v>1099.70813</v>
      </c>
      <c r="BN413" s="3">
        <v>4.0000000000000001E-3</v>
      </c>
      <c r="BO413" s="3">
        <f t="shared" si="47"/>
        <v>0.47000000000000003</v>
      </c>
    </row>
    <row r="414" spans="1:67" x14ac:dyDescent="0.3">
      <c r="A414" s="3" t="s">
        <v>228</v>
      </c>
      <c r="B414" s="3">
        <v>0.9</v>
      </c>
      <c r="C414" s="3">
        <v>0.5</v>
      </c>
      <c r="D414" s="3">
        <v>0.6</v>
      </c>
      <c r="E414" s="3">
        <v>0.86</v>
      </c>
      <c r="F414" s="6">
        <v>776.63531499999999</v>
      </c>
      <c r="G414" s="3">
        <v>2.7E-2</v>
      </c>
      <c r="I414" s="3" t="s">
        <v>228</v>
      </c>
      <c r="J414" s="3">
        <v>0.91</v>
      </c>
      <c r="K414" s="7">
        <v>820.86425799999995</v>
      </c>
      <c r="L414" s="3">
        <v>1E-3</v>
      </c>
      <c r="M414" s="3">
        <f t="shared" si="44"/>
        <v>0.88500000000000001</v>
      </c>
      <c r="N414" s="5"/>
      <c r="O414" s="5"/>
      <c r="P414" s="5"/>
      <c r="Q414" s="5"/>
      <c r="S414" s="3" t="s">
        <v>228</v>
      </c>
      <c r="T414" s="3">
        <v>0.9</v>
      </c>
      <c r="U414" s="3">
        <v>0.5</v>
      </c>
      <c r="V414" s="3">
        <v>0.6</v>
      </c>
      <c r="W414" s="3">
        <v>0.94</v>
      </c>
      <c r="X414" s="7">
        <v>771.355591</v>
      </c>
      <c r="Y414" s="3">
        <v>2.1000000000000001E-2</v>
      </c>
      <c r="AA414" s="3" t="s">
        <v>228</v>
      </c>
      <c r="AB414" s="3">
        <v>0.63</v>
      </c>
      <c r="AC414" s="6">
        <v>741.18048099999999</v>
      </c>
      <c r="AD414" s="3">
        <v>3.0000000000000001E-3</v>
      </c>
      <c r="AE414" s="3">
        <f t="shared" si="45"/>
        <v>0.78499999999999992</v>
      </c>
      <c r="AF414" s="5"/>
      <c r="AG414" s="5"/>
      <c r="AH414" s="5"/>
      <c r="AI414" s="5"/>
      <c r="AK414" s="3" t="s">
        <v>229</v>
      </c>
      <c r="AL414" s="3">
        <v>0.9</v>
      </c>
      <c r="AM414" s="3">
        <v>0.5</v>
      </c>
      <c r="AN414" s="3">
        <v>0.6</v>
      </c>
      <c r="AO414" s="3">
        <v>0.31</v>
      </c>
      <c r="AP414" s="6">
        <v>1036.9194339999999</v>
      </c>
      <c r="AQ414" s="3">
        <v>0.02</v>
      </c>
      <c r="AS414" s="3" t="s">
        <v>229</v>
      </c>
      <c r="AT414" s="3">
        <v>0.65</v>
      </c>
      <c r="AU414" s="7">
        <v>1181.0698239999999</v>
      </c>
      <c r="AV414" s="3">
        <v>1E-3</v>
      </c>
      <c r="AW414" s="3">
        <f t="shared" si="46"/>
        <v>0.48</v>
      </c>
      <c r="AX414" s="5"/>
      <c r="AY414" s="5"/>
      <c r="AZ414" s="5"/>
      <c r="BA414" s="5"/>
      <c r="BC414" s="3" t="s">
        <v>229</v>
      </c>
      <c r="BD414" s="3">
        <v>0.9</v>
      </c>
      <c r="BE414" s="3">
        <v>0.5</v>
      </c>
      <c r="BF414" s="3">
        <v>0.6</v>
      </c>
      <c r="BG414" s="3">
        <v>0.61</v>
      </c>
      <c r="BH414" s="6">
        <v>1143.2849120000001</v>
      </c>
      <c r="BI414" s="3">
        <v>0.02</v>
      </c>
      <c r="BK414" s="3" t="s">
        <v>229</v>
      </c>
      <c r="BL414" s="3">
        <v>0.96</v>
      </c>
      <c r="BM414" s="7">
        <v>1228.877808</v>
      </c>
      <c r="BN414" s="3">
        <v>1E-3</v>
      </c>
      <c r="BO414" s="3">
        <f t="shared" si="47"/>
        <v>0.78499999999999992</v>
      </c>
    </row>
    <row r="415" spans="1:67" x14ac:dyDescent="0.3">
      <c r="A415" s="3" t="s">
        <v>230</v>
      </c>
      <c r="B415" s="3">
        <v>0.9</v>
      </c>
      <c r="C415" s="3">
        <v>0.5</v>
      </c>
      <c r="D415" s="3">
        <v>0.6</v>
      </c>
      <c r="E415" s="3">
        <v>0.62</v>
      </c>
      <c r="F415" s="7">
        <v>876.44085700000005</v>
      </c>
      <c r="G415" s="3">
        <v>1.4E-2</v>
      </c>
      <c r="I415" s="3" t="s">
        <v>230</v>
      </c>
      <c r="J415" s="3">
        <v>0.66</v>
      </c>
      <c r="K415" s="6">
        <v>861.96227999999996</v>
      </c>
      <c r="L415" s="3">
        <v>5.0000000000000001E-3</v>
      </c>
      <c r="M415" s="3">
        <f t="shared" si="44"/>
        <v>0.64</v>
      </c>
      <c r="N415" s="5"/>
      <c r="O415" s="5"/>
      <c r="P415" s="5"/>
      <c r="Q415" s="5"/>
      <c r="S415" s="3" t="s">
        <v>230</v>
      </c>
      <c r="T415" s="3">
        <v>0.9</v>
      </c>
      <c r="U415" s="3">
        <v>0.5</v>
      </c>
      <c r="V415" s="3">
        <v>0.6</v>
      </c>
      <c r="W415" s="3">
        <v>0.45</v>
      </c>
      <c r="X415" s="6">
        <v>794.68212900000003</v>
      </c>
      <c r="Y415" s="3">
        <v>1.9E-2</v>
      </c>
      <c r="AA415" s="3" t="s">
        <v>230</v>
      </c>
      <c r="AB415" s="3">
        <v>0.47</v>
      </c>
      <c r="AC415" s="7">
        <v>809.09680200000003</v>
      </c>
      <c r="AD415" s="3">
        <v>2E-3</v>
      </c>
      <c r="AE415" s="3">
        <f t="shared" si="45"/>
        <v>0.45999999999999996</v>
      </c>
      <c r="AF415" s="5"/>
      <c r="AG415" s="5"/>
      <c r="AH415" s="5"/>
      <c r="AI415" s="5"/>
      <c r="AK415" s="3" t="s">
        <v>231</v>
      </c>
      <c r="AL415" s="3">
        <v>0.9</v>
      </c>
      <c r="AM415" s="3">
        <v>0.5</v>
      </c>
      <c r="AN415" s="3">
        <v>0.6</v>
      </c>
      <c r="AO415" s="3">
        <v>0.65</v>
      </c>
      <c r="AP415" s="7">
        <v>1148.493408</v>
      </c>
      <c r="AQ415" s="3">
        <v>2.1000000000000001E-2</v>
      </c>
      <c r="AS415" s="3" t="s">
        <v>231</v>
      </c>
      <c r="AT415" s="3">
        <v>0.42</v>
      </c>
      <c r="AU415" s="6">
        <v>1048.67749</v>
      </c>
      <c r="AV415" s="3">
        <v>4.0000000000000001E-3</v>
      </c>
      <c r="AW415" s="3">
        <f t="shared" si="46"/>
        <v>0.53500000000000003</v>
      </c>
      <c r="AX415" s="5"/>
      <c r="AY415" s="5"/>
      <c r="AZ415" s="5"/>
      <c r="BA415" s="5"/>
      <c r="BC415" s="3" t="s">
        <v>231</v>
      </c>
      <c r="BD415" s="3">
        <v>0.9</v>
      </c>
      <c r="BE415" s="3">
        <v>0.5</v>
      </c>
      <c r="BF415" s="3">
        <v>0.6</v>
      </c>
      <c r="BG415" s="3">
        <v>0.33</v>
      </c>
      <c r="BH415" s="7">
        <v>987.11944600000004</v>
      </c>
      <c r="BI415" s="3">
        <v>1.7000000000000001E-2</v>
      </c>
      <c r="BK415" s="3" t="s">
        <v>231</v>
      </c>
      <c r="BL415" s="3">
        <v>0.31</v>
      </c>
      <c r="BM415" s="6">
        <v>966.39617899999996</v>
      </c>
      <c r="BN415" s="3">
        <v>5.0000000000000001E-3</v>
      </c>
      <c r="BO415" s="3">
        <f t="shared" si="47"/>
        <v>0.32</v>
      </c>
    </row>
    <row r="416" spans="1:67" x14ac:dyDescent="0.3">
      <c r="A416" s="3" t="s">
        <v>232</v>
      </c>
      <c r="B416" s="3">
        <v>0.9</v>
      </c>
      <c r="C416" s="3">
        <v>0.5</v>
      </c>
      <c r="D416" s="3">
        <v>0.6</v>
      </c>
      <c r="E416" s="3">
        <v>0.7</v>
      </c>
      <c r="F416" s="6">
        <v>862.56274399999995</v>
      </c>
      <c r="G416" s="3">
        <v>1.7000000000000001E-2</v>
      </c>
      <c r="I416" s="3" t="s">
        <v>232</v>
      </c>
      <c r="J416" s="3">
        <v>0.74</v>
      </c>
      <c r="K416" s="7">
        <v>877.482483</v>
      </c>
      <c r="L416" s="3">
        <v>1E-3</v>
      </c>
      <c r="M416" s="3">
        <f t="shared" si="44"/>
        <v>0.72</v>
      </c>
      <c r="N416" s="5"/>
      <c r="O416" s="5"/>
      <c r="P416" s="5"/>
      <c r="Q416" s="5"/>
      <c r="S416" s="3" t="s">
        <v>232</v>
      </c>
      <c r="T416" s="3">
        <v>0.9</v>
      </c>
      <c r="U416" s="3">
        <v>0.5</v>
      </c>
      <c r="V416" s="3">
        <v>0.6</v>
      </c>
      <c r="W416" s="3">
        <v>0.75</v>
      </c>
      <c r="X416" s="7">
        <v>871.59527600000001</v>
      </c>
      <c r="Y416" s="3">
        <v>0.01</v>
      </c>
      <c r="AA416" s="3" t="s">
        <v>232</v>
      </c>
      <c r="AB416" s="3">
        <v>0.34</v>
      </c>
      <c r="AC416" s="6">
        <v>827.430969</v>
      </c>
      <c r="AD416" s="3">
        <v>1E-3</v>
      </c>
      <c r="AE416" s="3">
        <f t="shared" si="45"/>
        <v>0.54500000000000004</v>
      </c>
      <c r="AF416" s="5"/>
      <c r="AG416" s="5"/>
      <c r="AH416" s="5"/>
      <c r="AI416" s="5"/>
      <c r="AK416" s="3" t="s">
        <v>233</v>
      </c>
      <c r="AL416" s="3">
        <v>0.9</v>
      </c>
      <c r="AM416" s="3">
        <v>0.5</v>
      </c>
      <c r="AN416" s="3">
        <v>0.6</v>
      </c>
      <c r="AO416" s="3">
        <v>0.53</v>
      </c>
      <c r="AP416" s="7">
        <v>1176.922607</v>
      </c>
      <c r="AQ416" s="3">
        <v>2.1000000000000001E-2</v>
      </c>
      <c r="AS416" s="3" t="s">
        <v>233</v>
      </c>
      <c r="AT416" s="3">
        <v>0.18</v>
      </c>
      <c r="AU416" s="6">
        <v>939.10247800000002</v>
      </c>
      <c r="AV416" s="3">
        <v>2E-3</v>
      </c>
      <c r="AW416" s="3">
        <f t="shared" si="46"/>
        <v>0.35499999999999998</v>
      </c>
      <c r="AX416" s="5"/>
      <c r="AY416" s="5"/>
      <c r="AZ416" s="5"/>
      <c r="BA416" s="5"/>
      <c r="BC416" s="3" t="s">
        <v>233</v>
      </c>
      <c r="BD416" s="3">
        <v>0.9</v>
      </c>
      <c r="BE416" s="3">
        <v>0.5</v>
      </c>
      <c r="BF416" s="3">
        <v>0.6</v>
      </c>
      <c r="BG416" s="3">
        <v>0.09</v>
      </c>
      <c r="BH416" s="6">
        <v>861.23736599999995</v>
      </c>
      <c r="BI416" s="3">
        <v>1.4999999999999999E-2</v>
      </c>
      <c r="BK416" s="3" t="s">
        <v>233</v>
      </c>
      <c r="BL416" s="3">
        <v>0.88</v>
      </c>
      <c r="BM416" s="7">
        <v>1259.8116460000001</v>
      </c>
      <c r="BN416" s="3">
        <v>4.0000000000000001E-3</v>
      </c>
      <c r="BO416" s="3">
        <f t="shared" si="47"/>
        <v>0.48499999999999999</v>
      </c>
    </row>
    <row r="417" spans="1:71" x14ac:dyDescent="0.3">
      <c r="A417" s="3" t="s">
        <v>234</v>
      </c>
      <c r="B417" s="3">
        <v>0.9</v>
      </c>
      <c r="C417" s="3">
        <v>0.5</v>
      </c>
      <c r="D417" s="3">
        <v>0.6</v>
      </c>
      <c r="E417" s="3">
        <v>0.83</v>
      </c>
      <c r="F417" s="7">
        <v>957.76654099999996</v>
      </c>
      <c r="G417" s="3">
        <v>2.1999999999999999E-2</v>
      </c>
      <c r="I417" s="3" t="s">
        <v>234</v>
      </c>
      <c r="J417" s="3">
        <v>0.79</v>
      </c>
      <c r="K417" s="6">
        <v>951.76525900000001</v>
      </c>
      <c r="L417" s="3">
        <v>1E-3</v>
      </c>
      <c r="M417" s="3">
        <f t="shared" si="44"/>
        <v>0.81</v>
      </c>
      <c r="N417" s="5"/>
      <c r="O417" s="5"/>
      <c r="P417" s="5"/>
      <c r="Q417" s="5"/>
      <c r="S417" s="3" t="s">
        <v>234</v>
      </c>
      <c r="T417" s="3">
        <v>0.9</v>
      </c>
      <c r="U417" s="3">
        <v>0.5</v>
      </c>
      <c r="V417" s="3">
        <v>0.6</v>
      </c>
      <c r="W417" s="3">
        <v>0.51</v>
      </c>
      <c r="X417" s="6">
        <v>853.25311299999998</v>
      </c>
      <c r="Y417" s="3">
        <v>0.01</v>
      </c>
      <c r="AA417" s="3" t="s">
        <v>234</v>
      </c>
      <c r="AB417" s="3">
        <v>0.69</v>
      </c>
      <c r="AC417" s="7">
        <v>900.79480000000001</v>
      </c>
      <c r="AD417" s="3">
        <v>3.0000000000000001E-3</v>
      </c>
      <c r="AE417" s="3">
        <f t="shared" si="45"/>
        <v>0.6</v>
      </c>
      <c r="AF417" s="5"/>
      <c r="AG417" s="5"/>
      <c r="AH417" s="5"/>
      <c r="AI417" s="5"/>
      <c r="AK417" s="3" t="s">
        <v>235</v>
      </c>
      <c r="AL417" s="3">
        <v>0.9</v>
      </c>
      <c r="AM417" s="3">
        <v>0.5</v>
      </c>
      <c r="AN417" s="3">
        <v>0.6</v>
      </c>
      <c r="AO417" s="3">
        <v>0.92</v>
      </c>
      <c r="AP417" s="7">
        <v>1391.090698</v>
      </c>
      <c r="AQ417" s="3">
        <v>1.2E-2</v>
      </c>
      <c r="AS417" s="3" t="s">
        <v>235</v>
      </c>
      <c r="AT417" s="3">
        <v>0.81</v>
      </c>
      <c r="AU417" s="6">
        <v>1333.682861</v>
      </c>
      <c r="AV417" s="3">
        <v>2E-3</v>
      </c>
      <c r="AW417" s="3">
        <f t="shared" si="46"/>
        <v>0.86499999999999999</v>
      </c>
      <c r="AX417" s="5"/>
      <c r="AY417" s="5"/>
      <c r="AZ417" s="5"/>
      <c r="BA417" s="5"/>
      <c r="BC417" s="3" t="s">
        <v>235</v>
      </c>
      <c r="BD417" s="3">
        <v>0.9</v>
      </c>
      <c r="BE417" s="3">
        <v>0.5</v>
      </c>
      <c r="BF417" s="3">
        <v>0.6</v>
      </c>
      <c r="BG417" s="3">
        <v>0.56999999999999995</v>
      </c>
      <c r="BH417" s="6">
        <v>1250.4212649999999</v>
      </c>
      <c r="BI417" s="3">
        <v>2.5000000000000001E-2</v>
      </c>
      <c r="BK417" s="3" t="s">
        <v>235</v>
      </c>
      <c r="BL417" s="3">
        <v>0.87</v>
      </c>
      <c r="BM417" s="7">
        <v>1347.1397710000001</v>
      </c>
      <c r="BN417" s="3">
        <v>1E-3</v>
      </c>
      <c r="BO417" s="3">
        <f t="shared" si="47"/>
        <v>0.72</v>
      </c>
    </row>
    <row r="418" spans="1:71" x14ac:dyDescent="0.3">
      <c r="A418" s="3" t="s">
        <v>236</v>
      </c>
      <c r="B418" s="3">
        <v>0.9</v>
      </c>
      <c r="C418" s="3">
        <v>0.5</v>
      </c>
      <c r="D418" s="3">
        <v>0.6</v>
      </c>
      <c r="E418" s="3">
        <v>0.75</v>
      </c>
      <c r="F418" s="7">
        <v>972.50183100000004</v>
      </c>
      <c r="G418" s="3">
        <v>8.9999999999999993E-3</v>
      </c>
      <c r="I418" s="3" t="s">
        <v>236</v>
      </c>
      <c r="J418" s="3">
        <v>0.63</v>
      </c>
      <c r="K418" s="6">
        <v>921.706726</v>
      </c>
      <c r="L418" s="3">
        <v>1E-3</v>
      </c>
      <c r="M418" s="3">
        <f t="shared" si="44"/>
        <v>0.69</v>
      </c>
      <c r="N418" s="5"/>
      <c r="O418" s="5"/>
      <c r="P418" s="5"/>
      <c r="Q418" s="5"/>
      <c r="S418" s="3" t="s">
        <v>236</v>
      </c>
      <c r="T418" s="3">
        <v>0.9</v>
      </c>
      <c r="U418" s="3">
        <v>0.5</v>
      </c>
      <c r="V418" s="3">
        <v>0.6</v>
      </c>
      <c r="W418" s="3">
        <v>0.12</v>
      </c>
      <c r="X418" s="6">
        <v>692.20043899999996</v>
      </c>
      <c r="Y418" s="3">
        <v>1.2E-2</v>
      </c>
      <c r="AA418" s="3" t="s">
        <v>236</v>
      </c>
      <c r="AB418" s="3">
        <v>0.1</v>
      </c>
      <c r="AC418" s="7">
        <v>696.53881799999999</v>
      </c>
      <c r="AD418" s="3">
        <v>5.0000000000000001E-3</v>
      </c>
      <c r="AE418" s="3">
        <f t="shared" si="45"/>
        <v>0.11</v>
      </c>
      <c r="AF418" s="5"/>
      <c r="AG418" s="5"/>
      <c r="AH418" s="5"/>
      <c r="AI418" s="5"/>
      <c r="AK418" s="3" t="s">
        <v>237</v>
      </c>
      <c r="AL418" s="3">
        <v>0.9</v>
      </c>
      <c r="AM418" s="3">
        <v>0.5</v>
      </c>
      <c r="AN418" s="3">
        <v>0.6</v>
      </c>
      <c r="AO418" s="3">
        <v>0.65</v>
      </c>
      <c r="AP418" s="6">
        <v>1267.279053</v>
      </c>
      <c r="AQ418" s="3">
        <v>1.4E-2</v>
      </c>
      <c r="AS418" s="3" t="s">
        <v>237</v>
      </c>
      <c r="AT418" s="3">
        <v>0.78</v>
      </c>
      <c r="AU418" s="7">
        <v>1341.4470209999999</v>
      </c>
      <c r="AV418" s="3">
        <v>1.2999999999999999E-2</v>
      </c>
      <c r="AW418" s="3">
        <f t="shared" si="46"/>
        <v>0.71500000000000008</v>
      </c>
      <c r="AX418" s="5"/>
      <c r="AY418" s="5"/>
      <c r="AZ418" s="5"/>
      <c r="BA418" s="5"/>
      <c r="BC418" s="3" t="s">
        <v>237</v>
      </c>
      <c r="BD418" s="3">
        <v>0.9</v>
      </c>
      <c r="BE418" s="3">
        <v>0.5</v>
      </c>
      <c r="BF418" s="3">
        <v>0.6</v>
      </c>
      <c r="BG418" s="3">
        <v>0.62</v>
      </c>
      <c r="BH418" s="6">
        <v>1301.0683590000001</v>
      </c>
      <c r="BI418" s="3">
        <v>2.1999999999999999E-2</v>
      </c>
      <c r="BK418" s="3" t="s">
        <v>237</v>
      </c>
      <c r="BL418" s="3">
        <v>0.95</v>
      </c>
      <c r="BM418" s="7">
        <v>1335.5151370000001</v>
      </c>
      <c r="BN418" s="3">
        <v>1E-3</v>
      </c>
      <c r="BO418" s="3">
        <f t="shared" si="47"/>
        <v>0.78499999999999992</v>
      </c>
    </row>
    <row r="419" spans="1:71" x14ac:dyDescent="0.3">
      <c r="A419" s="3" t="s">
        <v>238</v>
      </c>
      <c r="B419" s="3">
        <v>0.9</v>
      </c>
      <c r="C419" s="3">
        <v>0.5</v>
      </c>
      <c r="D419" s="3">
        <v>0.6</v>
      </c>
      <c r="E419" s="3">
        <v>0.9</v>
      </c>
      <c r="F419" s="7">
        <v>987.76263400000005</v>
      </c>
      <c r="G419" s="3">
        <v>0.01</v>
      </c>
      <c r="I419" s="3" t="s">
        <v>238</v>
      </c>
      <c r="J419" s="3">
        <v>0.04</v>
      </c>
      <c r="K419" s="6">
        <v>674.390625</v>
      </c>
      <c r="L419" s="3">
        <v>1E-3</v>
      </c>
      <c r="M419" s="3">
        <f t="shared" si="44"/>
        <v>0.47000000000000003</v>
      </c>
      <c r="N419" s="5"/>
      <c r="O419" s="5"/>
      <c r="P419" s="5"/>
      <c r="Q419" s="5"/>
      <c r="S419" s="3" t="s">
        <v>238</v>
      </c>
      <c r="T419" s="3">
        <v>0.9</v>
      </c>
      <c r="U419" s="3">
        <v>0.5</v>
      </c>
      <c r="V419" s="3">
        <v>0.6</v>
      </c>
      <c r="W419" s="3">
        <v>0.49</v>
      </c>
      <c r="X419" s="7">
        <v>800.76892099999998</v>
      </c>
      <c r="Y419" s="3">
        <v>1.7999999999999999E-2</v>
      </c>
      <c r="AA419" s="3" t="s">
        <v>238</v>
      </c>
      <c r="AB419" s="3">
        <v>0.21</v>
      </c>
      <c r="AC419" s="6">
        <v>712.66925000000003</v>
      </c>
      <c r="AD419" s="3">
        <v>8.0000000000000002E-3</v>
      </c>
      <c r="AE419" s="3">
        <f t="shared" si="45"/>
        <v>0.35</v>
      </c>
      <c r="AF419" s="5"/>
      <c r="AG419" s="5"/>
      <c r="AH419" s="5"/>
      <c r="AI419" s="5"/>
      <c r="AK419" s="3" t="s">
        <v>239</v>
      </c>
      <c r="AL419" s="3">
        <v>0.9</v>
      </c>
      <c r="AM419" s="3">
        <v>0.5</v>
      </c>
      <c r="AN419" s="3">
        <v>0.6</v>
      </c>
      <c r="AO419" s="3">
        <v>0.15</v>
      </c>
      <c r="AP419" s="6">
        <v>1011.246094</v>
      </c>
      <c r="AQ419" s="3">
        <v>0.02</v>
      </c>
      <c r="AS419" s="3" t="s">
        <v>239</v>
      </c>
      <c r="AT419" s="3">
        <v>0.57999999999999996</v>
      </c>
      <c r="AU419" s="7">
        <v>1395.2308350000001</v>
      </c>
      <c r="AV419" s="3">
        <v>3.0000000000000001E-3</v>
      </c>
      <c r="AW419" s="3">
        <f t="shared" si="46"/>
        <v>0.36499999999999999</v>
      </c>
      <c r="AX419" s="5"/>
      <c r="AY419" s="5"/>
      <c r="AZ419" s="5"/>
      <c r="BA419" s="5"/>
      <c r="BC419" s="3" t="s">
        <v>239</v>
      </c>
      <c r="BD419" s="3">
        <v>0.9</v>
      </c>
      <c r="BE419" s="3">
        <v>0.5</v>
      </c>
      <c r="BF419" s="3">
        <v>0.6</v>
      </c>
      <c r="BG419" s="3">
        <v>0.69</v>
      </c>
      <c r="BH419" s="6">
        <v>1433.2380370000001</v>
      </c>
      <c r="BI419" s="3">
        <v>2.3E-2</v>
      </c>
      <c r="BK419" s="3" t="s">
        <v>239</v>
      </c>
      <c r="BL419" s="3">
        <v>0.85</v>
      </c>
      <c r="BM419" s="7">
        <v>1520.990967</v>
      </c>
      <c r="BN419" s="3">
        <v>3.0000000000000001E-3</v>
      </c>
      <c r="BO419" s="3">
        <f t="shared" si="47"/>
        <v>0.77</v>
      </c>
    </row>
    <row r="420" spans="1:71" x14ac:dyDescent="0.3">
      <c r="A420" s="3" t="s">
        <v>240</v>
      </c>
      <c r="B420" s="3">
        <v>0.9</v>
      </c>
      <c r="C420" s="3">
        <v>0.5</v>
      </c>
      <c r="D420" s="3">
        <v>0.6</v>
      </c>
      <c r="E420" s="3">
        <v>0.06</v>
      </c>
      <c r="F420" s="6">
        <v>672.88140899999996</v>
      </c>
      <c r="G420" s="3">
        <v>0.02</v>
      </c>
      <c r="I420" s="3" t="s">
        <v>240</v>
      </c>
      <c r="J420" s="3">
        <v>0.23</v>
      </c>
      <c r="K420" s="7">
        <v>691.21490500000004</v>
      </c>
      <c r="L420" s="3">
        <v>4.0000000000000001E-3</v>
      </c>
      <c r="M420" s="3">
        <f t="shared" si="44"/>
        <v>0.14500000000000002</v>
      </c>
      <c r="N420" s="5"/>
      <c r="O420" s="5"/>
      <c r="P420" s="5"/>
      <c r="Q420" s="5"/>
      <c r="S420" s="3" t="s">
        <v>240</v>
      </c>
      <c r="T420" s="3">
        <v>0.9</v>
      </c>
      <c r="U420" s="3">
        <v>0.5</v>
      </c>
      <c r="V420" s="3">
        <v>0.6</v>
      </c>
      <c r="W420" s="3">
        <v>0.08</v>
      </c>
      <c r="X420" s="6">
        <v>665.04901099999995</v>
      </c>
      <c r="Y420" s="3">
        <v>1.4E-2</v>
      </c>
      <c r="AA420" s="3" t="s">
        <v>240</v>
      </c>
      <c r="AB420" s="3">
        <v>0.95</v>
      </c>
      <c r="AC420" s="7">
        <v>884.15893600000004</v>
      </c>
      <c r="AD420" s="3">
        <v>5.0000000000000001E-3</v>
      </c>
      <c r="AE420" s="3">
        <f t="shared" si="45"/>
        <v>0.51500000000000001</v>
      </c>
      <c r="AF420" s="5"/>
      <c r="AG420" s="5"/>
      <c r="AH420" s="5"/>
      <c r="AI420" s="5"/>
      <c r="AK420" s="3" t="s">
        <v>241</v>
      </c>
      <c r="AL420" s="3">
        <v>0.9</v>
      </c>
      <c r="AM420" s="3">
        <v>0.5</v>
      </c>
      <c r="AN420" s="3">
        <v>0.6</v>
      </c>
      <c r="AO420" s="3">
        <v>0.3</v>
      </c>
      <c r="AP420" s="6">
        <v>1092.9461670000001</v>
      </c>
      <c r="AQ420" s="3">
        <v>2.4E-2</v>
      </c>
      <c r="AS420" s="3" t="s">
        <v>241</v>
      </c>
      <c r="AT420" s="3">
        <v>0.69</v>
      </c>
      <c r="AU420" s="7">
        <v>1269.4014890000001</v>
      </c>
      <c r="AV420" s="3">
        <v>8.0000000000000002E-3</v>
      </c>
      <c r="AW420" s="3">
        <f t="shared" si="46"/>
        <v>0.495</v>
      </c>
      <c r="AX420" s="5"/>
      <c r="AY420" s="5"/>
      <c r="AZ420" s="5"/>
      <c r="BA420" s="5"/>
      <c r="BC420" s="3" t="s">
        <v>241</v>
      </c>
      <c r="BD420" s="3">
        <v>0.9</v>
      </c>
      <c r="BE420" s="3">
        <v>0.5</v>
      </c>
      <c r="BF420" s="3">
        <v>0.6</v>
      </c>
      <c r="BG420" s="3">
        <v>0.04</v>
      </c>
      <c r="BH420" s="6">
        <v>901.43029799999999</v>
      </c>
      <c r="BI420" s="3">
        <v>2.1000000000000001E-2</v>
      </c>
      <c r="BK420" s="3" t="s">
        <v>241</v>
      </c>
      <c r="BL420" s="3">
        <v>0.7</v>
      </c>
      <c r="BM420" s="7">
        <v>1304.7036129999999</v>
      </c>
      <c r="BN420" s="3">
        <v>5.0000000000000001E-3</v>
      </c>
      <c r="BO420" s="3">
        <f t="shared" si="47"/>
        <v>0.37</v>
      </c>
    </row>
    <row r="421" spans="1:71" x14ac:dyDescent="0.3">
      <c r="A421" s="3" t="s">
        <v>242</v>
      </c>
      <c r="B421" s="3">
        <v>0.9</v>
      </c>
      <c r="C421" s="3">
        <v>0.5</v>
      </c>
      <c r="D421" s="3">
        <v>0.6</v>
      </c>
      <c r="E421" s="3">
        <v>0.31</v>
      </c>
      <c r="F421" s="7">
        <v>728.91735800000004</v>
      </c>
      <c r="G421" s="3">
        <v>1.6E-2</v>
      </c>
      <c r="I421" s="3" t="s">
        <v>242</v>
      </c>
      <c r="J421" s="3">
        <v>0.01</v>
      </c>
      <c r="K421" s="6">
        <v>715.23089600000003</v>
      </c>
      <c r="L421" s="3">
        <v>0</v>
      </c>
      <c r="M421" s="3">
        <f t="shared" si="44"/>
        <v>0.16</v>
      </c>
      <c r="N421" s="5"/>
      <c r="O421" s="5"/>
      <c r="P421" s="5"/>
      <c r="Q421" s="5"/>
      <c r="S421" s="3" t="s">
        <v>242</v>
      </c>
      <c r="T421" s="3">
        <v>0.9</v>
      </c>
      <c r="U421" s="3">
        <v>0.5</v>
      </c>
      <c r="V421" s="3">
        <v>0.6</v>
      </c>
      <c r="W421" s="3">
        <v>0.69</v>
      </c>
      <c r="X421" s="7">
        <v>897.86090100000001</v>
      </c>
      <c r="Y421" s="3">
        <v>0.01</v>
      </c>
      <c r="AA421" s="3" t="s">
        <v>242</v>
      </c>
      <c r="AB421" s="3">
        <v>0.63</v>
      </c>
      <c r="AC421" s="6">
        <v>891.67773399999999</v>
      </c>
      <c r="AD421" s="3">
        <v>8.9999999999999993E-3</v>
      </c>
      <c r="AE421" s="3">
        <f t="shared" si="45"/>
        <v>0.65999999999999992</v>
      </c>
      <c r="AF421" s="5"/>
      <c r="AG421" s="5"/>
      <c r="AH421" s="5"/>
      <c r="AI421" s="5"/>
      <c r="AK421" s="3" t="s">
        <v>243</v>
      </c>
      <c r="AL421" s="3">
        <v>0.9</v>
      </c>
      <c r="AM421" s="3">
        <v>0.5</v>
      </c>
      <c r="AN421" s="3">
        <v>0.6</v>
      </c>
      <c r="AO421" s="3">
        <v>0.22</v>
      </c>
      <c r="AP421" s="6">
        <v>1139.536621</v>
      </c>
      <c r="AQ421" s="3">
        <v>4.3999999999999997E-2</v>
      </c>
      <c r="AS421" s="3" t="s">
        <v>243</v>
      </c>
      <c r="AT421" s="3">
        <v>0.91</v>
      </c>
      <c r="AU421" s="7">
        <v>1563.9320070000001</v>
      </c>
      <c r="AV421" s="3">
        <v>2E-3</v>
      </c>
      <c r="AW421" s="3">
        <f t="shared" si="46"/>
        <v>0.56500000000000006</v>
      </c>
      <c r="AX421" s="5"/>
      <c r="AY421" s="5"/>
      <c r="AZ421" s="5"/>
      <c r="BA421" s="5"/>
      <c r="BC421" s="3" t="s">
        <v>243</v>
      </c>
      <c r="BD421" s="3">
        <v>0.9</v>
      </c>
      <c r="BE421" s="3">
        <v>0.5</v>
      </c>
      <c r="BF421" s="3">
        <v>0.6</v>
      </c>
      <c r="BG421" s="3">
        <v>0.38</v>
      </c>
      <c r="BH421" s="6">
        <v>1248.570923</v>
      </c>
      <c r="BI421" s="3">
        <v>2.5000000000000001E-2</v>
      </c>
      <c r="BK421" s="3" t="s">
        <v>243</v>
      </c>
      <c r="BL421" s="3">
        <v>0.86</v>
      </c>
      <c r="BM421" s="7">
        <v>1527.82312</v>
      </c>
      <c r="BN421" s="3">
        <v>8.0000000000000002E-3</v>
      </c>
      <c r="BO421" s="3">
        <f t="shared" si="47"/>
        <v>0.62</v>
      </c>
    </row>
    <row r="422" spans="1:71" x14ac:dyDescent="0.3">
      <c r="A422" s="3" t="s">
        <v>244</v>
      </c>
      <c r="B422" s="3">
        <v>0.9</v>
      </c>
      <c r="C422" s="3">
        <v>0.5</v>
      </c>
      <c r="D422" s="3">
        <v>0.6</v>
      </c>
      <c r="E422" s="3">
        <v>0.44</v>
      </c>
      <c r="F422" s="6">
        <v>808.66162099999997</v>
      </c>
      <c r="G422" s="3">
        <v>1.2999999999999999E-2</v>
      </c>
      <c r="I422" s="3" t="s">
        <v>244</v>
      </c>
      <c r="J422" s="3">
        <v>0.68</v>
      </c>
      <c r="K422" s="7">
        <v>878.97619599999996</v>
      </c>
      <c r="L422" s="3">
        <v>1E-3</v>
      </c>
      <c r="M422" s="3">
        <f t="shared" si="44"/>
        <v>0.56000000000000005</v>
      </c>
      <c r="N422" s="5"/>
      <c r="O422" s="5"/>
      <c r="P422" s="5"/>
      <c r="Q422" s="5"/>
      <c r="S422" s="3" t="s">
        <v>244</v>
      </c>
      <c r="T422" s="3">
        <v>0.9</v>
      </c>
      <c r="U422" s="3">
        <v>0.5</v>
      </c>
      <c r="V422" s="3">
        <v>0.6</v>
      </c>
      <c r="W422" s="3">
        <v>0.28999999999999998</v>
      </c>
      <c r="X422" s="6">
        <v>747.33544900000004</v>
      </c>
      <c r="Y422" s="3">
        <v>2.5000000000000001E-2</v>
      </c>
      <c r="AA422" s="3" t="s">
        <v>244</v>
      </c>
      <c r="AB422" s="3">
        <v>0.51</v>
      </c>
      <c r="AC422" s="7">
        <v>805.20355199999995</v>
      </c>
      <c r="AD422" s="3">
        <v>1E-3</v>
      </c>
      <c r="AE422" s="3">
        <f t="shared" si="45"/>
        <v>0.4</v>
      </c>
      <c r="AF422" s="5"/>
      <c r="AG422" s="5"/>
      <c r="AH422" s="5"/>
      <c r="AI422" s="5"/>
      <c r="AK422" s="3" t="s">
        <v>245</v>
      </c>
      <c r="AL422" s="3">
        <v>0.9</v>
      </c>
      <c r="AM422" s="3">
        <v>0.5</v>
      </c>
      <c r="AN422" s="3">
        <v>0.6</v>
      </c>
      <c r="AO422" s="3">
        <v>0.04</v>
      </c>
      <c r="AP422" s="6">
        <v>968.01788299999998</v>
      </c>
      <c r="AQ422" s="3">
        <v>2.7E-2</v>
      </c>
      <c r="AS422" s="3" t="s">
        <v>245</v>
      </c>
      <c r="AT422" s="3">
        <v>0.95</v>
      </c>
      <c r="AU422" s="7">
        <v>1527.2989500000001</v>
      </c>
      <c r="AV422" s="3">
        <v>2E-3</v>
      </c>
      <c r="AW422" s="3">
        <f t="shared" si="46"/>
        <v>0.495</v>
      </c>
      <c r="AX422" s="5"/>
      <c r="AY422" s="5"/>
      <c r="AZ422" s="5"/>
      <c r="BA422" s="5"/>
      <c r="BC422" s="3" t="s">
        <v>245</v>
      </c>
      <c r="BD422" s="3">
        <v>0.9</v>
      </c>
      <c r="BE422" s="3">
        <v>0.5</v>
      </c>
      <c r="BF422" s="3">
        <v>0.6</v>
      </c>
      <c r="BG422" s="3">
        <v>0.08</v>
      </c>
      <c r="BH422" s="6">
        <v>1001.632446</v>
      </c>
      <c r="BI422" s="3">
        <v>2.4E-2</v>
      </c>
      <c r="BK422" s="3" t="s">
        <v>245</v>
      </c>
      <c r="BL422" s="3">
        <v>0.12</v>
      </c>
      <c r="BM422" s="7">
        <v>1026.5836179999999</v>
      </c>
      <c r="BN422" s="3">
        <v>3.0000000000000001E-3</v>
      </c>
      <c r="BO422" s="3">
        <f t="shared" si="47"/>
        <v>0.1</v>
      </c>
    </row>
    <row r="423" spans="1:71" x14ac:dyDescent="0.3">
      <c r="A423" s="3" t="s">
        <v>246</v>
      </c>
      <c r="B423" s="3">
        <v>0.9</v>
      </c>
      <c r="C423" s="3">
        <v>0.5</v>
      </c>
      <c r="D423" s="3">
        <v>0.6</v>
      </c>
      <c r="E423" s="3">
        <v>0.67</v>
      </c>
      <c r="F423" s="6">
        <v>891.53015100000005</v>
      </c>
      <c r="G423" s="3">
        <v>8.9999999999999993E-3</v>
      </c>
      <c r="I423" s="3" t="s">
        <v>246</v>
      </c>
      <c r="J423" s="3">
        <v>0.64</v>
      </c>
      <c r="K423" s="7">
        <v>894.57928500000003</v>
      </c>
      <c r="L423" s="3">
        <v>2E-3</v>
      </c>
      <c r="M423" s="3">
        <f t="shared" si="44"/>
        <v>0.65500000000000003</v>
      </c>
      <c r="N423" s="5"/>
      <c r="O423" s="5"/>
      <c r="P423" s="5"/>
      <c r="Q423" s="5"/>
      <c r="S423" s="3" t="s">
        <v>246</v>
      </c>
      <c r="T423" s="3">
        <v>0.9</v>
      </c>
      <c r="U423" s="3">
        <v>0.5</v>
      </c>
      <c r="V423" s="3">
        <v>0.6</v>
      </c>
      <c r="W423" s="3">
        <v>0.43</v>
      </c>
      <c r="X423" s="6">
        <v>804.74157700000001</v>
      </c>
      <c r="Y423" s="3">
        <v>1.6E-2</v>
      </c>
      <c r="AA423" s="3" t="s">
        <v>246</v>
      </c>
      <c r="AB423" s="3">
        <v>0.97</v>
      </c>
      <c r="AC423" s="7">
        <v>991.17175299999997</v>
      </c>
      <c r="AD423" s="3">
        <v>2E-3</v>
      </c>
      <c r="AE423" s="3">
        <f t="shared" si="45"/>
        <v>0.7</v>
      </c>
      <c r="AF423" s="5"/>
      <c r="AG423" s="5"/>
      <c r="AH423" s="5"/>
      <c r="AI423" s="5"/>
      <c r="AK423" s="3" t="s">
        <v>247</v>
      </c>
      <c r="AL423" s="3">
        <v>0.9</v>
      </c>
      <c r="AM423" s="3">
        <v>0.5</v>
      </c>
      <c r="AN423" s="3">
        <v>0.6</v>
      </c>
      <c r="AO423" s="3">
        <v>0.44</v>
      </c>
      <c r="AP423" s="6">
        <v>1161.404053</v>
      </c>
      <c r="AQ423" s="3">
        <v>2.1999999999999999E-2</v>
      </c>
      <c r="AS423" s="3" t="s">
        <v>247</v>
      </c>
      <c r="AT423" s="3">
        <v>0.53</v>
      </c>
      <c r="AU423" s="7">
        <v>1197.806763</v>
      </c>
      <c r="AV423" s="3">
        <v>2E-3</v>
      </c>
      <c r="AW423" s="3">
        <f t="shared" si="46"/>
        <v>0.48499999999999999</v>
      </c>
      <c r="AX423" s="5"/>
      <c r="AY423" s="5"/>
      <c r="AZ423" s="5"/>
      <c r="BA423" s="5"/>
      <c r="BC423" s="3" t="s">
        <v>247</v>
      </c>
      <c r="BD423" s="3">
        <v>0.9</v>
      </c>
      <c r="BE423" s="3">
        <v>0.5</v>
      </c>
      <c r="BF423" s="3">
        <v>0.6</v>
      </c>
      <c r="BG423" s="3">
        <v>0.13</v>
      </c>
      <c r="BH423" s="6">
        <v>920.660706</v>
      </c>
      <c r="BI423" s="3">
        <v>1.9E-2</v>
      </c>
      <c r="BK423" s="3" t="s">
        <v>247</v>
      </c>
      <c r="BL423" s="3">
        <v>0.31</v>
      </c>
      <c r="BM423" s="7">
        <v>1060.052246</v>
      </c>
      <c r="BN423" s="3">
        <v>1E-3</v>
      </c>
      <c r="BO423" s="3">
        <f t="shared" si="47"/>
        <v>0.22</v>
      </c>
    </row>
    <row r="424" spans="1:71" x14ac:dyDescent="0.3">
      <c r="A424" s="3" t="s">
        <v>248</v>
      </c>
      <c r="B424" s="3">
        <v>0.9</v>
      </c>
      <c r="C424" s="3">
        <v>0.5</v>
      </c>
      <c r="D424" s="3">
        <v>0.6</v>
      </c>
      <c r="E424" s="3">
        <v>0.78</v>
      </c>
      <c r="F424" s="7">
        <v>963.79199200000005</v>
      </c>
      <c r="G424" s="3">
        <v>1.7000000000000001E-2</v>
      </c>
      <c r="I424" s="3" t="s">
        <v>248</v>
      </c>
      <c r="J424" s="3">
        <v>0.03</v>
      </c>
      <c r="K424" s="6">
        <v>713.06536900000003</v>
      </c>
      <c r="L424" s="3">
        <v>0</v>
      </c>
      <c r="M424" s="3">
        <f t="shared" si="44"/>
        <v>0.40500000000000003</v>
      </c>
      <c r="N424" s="5"/>
      <c r="O424" s="5"/>
      <c r="P424" s="5"/>
      <c r="Q424" s="5"/>
      <c r="S424" s="3" t="s">
        <v>248</v>
      </c>
      <c r="T424" s="3">
        <v>0.9</v>
      </c>
      <c r="U424" s="3">
        <v>0.5</v>
      </c>
      <c r="V424" s="3">
        <v>0.6</v>
      </c>
      <c r="W424" s="3">
        <v>0.45</v>
      </c>
      <c r="X424" s="6">
        <v>844.66888400000005</v>
      </c>
      <c r="Y424" s="3">
        <v>8.9999999999999993E-3</v>
      </c>
      <c r="AA424" s="3" t="s">
        <v>248</v>
      </c>
      <c r="AB424" s="3">
        <v>0.96</v>
      </c>
      <c r="AC424" s="7">
        <v>991.79528800000003</v>
      </c>
      <c r="AD424" s="3">
        <v>2E-3</v>
      </c>
      <c r="AE424" s="3">
        <f t="shared" si="45"/>
        <v>0.70499999999999996</v>
      </c>
      <c r="AF424" s="5"/>
      <c r="AG424" s="5"/>
      <c r="AH424" s="5"/>
      <c r="AI424" s="5"/>
      <c r="AK424" s="3" t="s">
        <v>249</v>
      </c>
      <c r="AL424" s="3">
        <v>0.9</v>
      </c>
      <c r="AM424" s="3">
        <v>0.5</v>
      </c>
      <c r="AN424" s="3">
        <v>0.6</v>
      </c>
      <c r="AO424" s="3">
        <v>0.65</v>
      </c>
      <c r="AP424" s="7">
        <v>1320.8492429999999</v>
      </c>
      <c r="AQ424" s="3">
        <v>3.1E-2</v>
      </c>
      <c r="AS424" s="3" t="s">
        <v>249</v>
      </c>
      <c r="AT424" s="3">
        <v>0.52</v>
      </c>
      <c r="AU424" s="6">
        <v>1294.481323</v>
      </c>
      <c r="AV424" s="3">
        <v>2E-3</v>
      </c>
      <c r="AW424" s="3">
        <f t="shared" si="46"/>
        <v>0.58499999999999996</v>
      </c>
      <c r="AX424" s="5"/>
      <c r="AY424" s="5"/>
      <c r="AZ424" s="5"/>
      <c r="BA424" s="5"/>
      <c r="BC424" s="3" t="s">
        <v>249</v>
      </c>
      <c r="BD424" s="3">
        <v>0.9</v>
      </c>
      <c r="BE424" s="3">
        <v>0.5</v>
      </c>
      <c r="BF424" s="3">
        <v>0.6</v>
      </c>
      <c r="BG424" s="3">
        <v>0.32</v>
      </c>
      <c r="BH424" s="6">
        <v>1157.1019289999999</v>
      </c>
      <c r="BI424" s="3">
        <v>0.03</v>
      </c>
      <c r="BK424" s="3" t="s">
        <v>249</v>
      </c>
      <c r="BL424" s="3">
        <v>0.56999999999999995</v>
      </c>
      <c r="BM424" s="7">
        <v>1324.1373289999999</v>
      </c>
      <c r="BN424" s="3">
        <v>2E-3</v>
      </c>
      <c r="BO424" s="3">
        <f t="shared" si="47"/>
        <v>0.44499999999999995</v>
      </c>
    </row>
    <row r="425" spans="1:71" x14ac:dyDescent="0.3">
      <c r="A425" s="3" t="s">
        <v>250</v>
      </c>
      <c r="B425" s="3">
        <v>0.9</v>
      </c>
      <c r="C425" s="3">
        <v>0.5</v>
      </c>
      <c r="D425" s="3">
        <v>0.6</v>
      </c>
      <c r="E425" s="3">
        <v>0.46</v>
      </c>
      <c r="F425" s="6">
        <v>849.29632600000002</v>
      </c>
      <c r="G425" s="3">
        <v>1.0999999999999999E-2</v>
      </c>
      <c r="I425" s="3" t="s">
        <v>250</v>
      </c>
      <c r="J425" s="3">
        <v>0.79</v>
      </c>
      <c r="K425" s="7">
        <v>942.65399200000002</v>
      </c>
      <c r="L425" s="3">
        <v>5.0000000000000001E-3</v>
      </c>
      <c r="M425" s="3">
        <f t="shared" si="44"/>
        <v>0.625</v>
      </c>
      <c r="N425" s="5"/>
      <c r="O425" s="5"/>
      <c r="P425" s="5"/>
      <c r="Q425" s="5"/>
      <c r="S425" s="3" t="s">
        <v>250</v>
      </c>
      <c r="T425" s="3">
        <v>0.9</v>
      </c>
      <c r="U425" s="3">
        <v>0.5</v>
      </c>
      <c r="V425" s="3">
        <v>0.6</v>
      </c>
      <c r="W425" s="3">
        <v>0.3</v>
      </c>
      <c r="X425" s="7">
        <v>768.99511700000005</v>
      </c>
      <c r="Y425" s="3">
        <v>1.7999999999999999E-2</v>
      </c>
      <c r="AA425" s="3" t="s">
        <v>250</v>
      </c>
      <c r="AB425" s="3">
        <v>0.08</v>
      </c>
      <c r="AC425" s="6">
        <v>701.29571499999997</v>
      </c>
      <c r="AD425" s="3">
        <v>1E-3</v>
      </c>
      <c r="AE425" s="3">
        <f t="shared" si="45"/>
        <v>0.19</v>
      </c>
      <c r="AF425" s="5"/>
      <c r="AG425" s="5"/>
      <c r="AH425" s="5"/>
      <c r="AI425" s="5"/>
      <c r="AK425" s="3" t="s">
        <v>251</v>
      </c>
      <c r="AL425" s="3">
        <v>0.9</v>
      </c>
      <c r="AM425" s="3">
        <v>0.5</v>
      </c>
      <c r="AN425" s="3">
        <v>0.6</v>
      </c>
      <c r="AO425" s="3">
        <v>0.39</v>
      </c>
      <c r="AP425" s="7">
        <v>1205.158203</v>
      </c>
      <c r="AQ425" s="3">
        <v>1.7999999999999999E-2</v>
      </c>
      <c r="AS425" s="3" t="s">
        <v>251</v>
      </c>
      <c r="AT425" s="3">
        <v>0.17</v>
      </c>
      <c r="AU425" s="6">
        <v>1027.351318</v>
      </c>
      <c r="AV425" s="3">
        <v>3.0000000000000001E-3</v>
      </c>
      <c r="AW425" s="3">
        <f t="shared" si="46"/>
        <v>0.28000000000000003</v>
      </c>
      <c r="AX425" s="5"/>
      <c r="AY425" s="5"/>
      <c r="AZ425" s="5"/>
      <c r="BA425" s="5"/>
      <c r="BC425" s="3" t="s">
        <v>251</v>
      </c>
      <c r="BD425" s="3">
        <v>0.9</v>
      </c>
      <c r="BE425" s="3">
        <v>0.5</v>
      </c>
      <c r="BF425" s="3">
        <v>0.6</v>
      </c>
      <c r="BG425" s="3">
        <v>0.74</v>
      </c>
      <c r="BH425" s="6">
        <v>1304.9375</v>
      </c>
      <c r="BI425" s="3">
        <v>1.7000000000000001E-2</v>
      </c>
      <c r="BK425" s="3" t="s">
        <v>251</v>
      </c>
      <c r="BL425" s="3">
        <v>0.78</v>
      </c>
      <c r="BM425" s="7">
        <v>1310.918457</v>
      </c>
      <c r="BN425" s="3">
        <v>4.0000000000000001E-3</v>
      </c>
      <c r="BO425" s="3">
        <f t="shared" si="47"/>
        <v>0.76</v>
      </c>
    </row>
    <row r="426" spans="1:71" x14ac:dyDescent="0.3">
      <c r="A426" s="3" t="s">
        <v>252</v>
      </c>
      <c r="B426" s="3">
        <v>0.9</v>
      </c>
      <c r="C426" s="3">
        <v>0.5</v>
      </c>
      <c r="D426" s="3">
        <v>0.6</v>
      </c>
      <c r="E426" s="3">
        <v>0.93</v>
      </c>
      <c r="F426" s="7">
        <v>1008.8498540000001</v>
      </c>
      <c r="G426" s="3">
        <v>8.9999999999999993E-3</v>
      </c>
      <c r="I426" s="3" t="s">
        <v>252</v>
      </c>
      <c r="J426" s="3">
        <v>0.44</v>
      </c>
      <c r="K426" s="6">
        <v>844.24566700000003</v>
      </c>
      <c r="L426" s="3">
        <v>2E-3</v>
      </c>
      <c r="M426" s="3">
        <f t="shared" si="44"/>
        <v>0.68500000000000005</v>
      </c>
      <c r="N426" s="5"/>
      <c r="O426" s="5"/>
      <c r="P426" s="5"/>
      <c r="Q426" s="5"/>
      <c r="S426" s="3" t="s">
        <v>252</v>
      </c>
      <c r="T426" s="3">
        <v>0.9</v>
      </c>
      <c r="U426" s="3">
        <v>0.5</v>
      </c>
      <c r="V426" s="3">
        <v>0.6</v>
      </c>
      <c r="W426" s="3">
        <v>0.39</v>
      </c>
      <c r="X426" s="6">
        <v>856.60894800000005</v>
      </c>
      <c r="Y426" s="3">
        <v>1.4E-2</v>
      </c>
      <c r="AA426" s="3" t="s">
        <v>252</v>
      </c>
      <c r="AB426" s="3">
        <v>0.96</v>
      </c>
      <c r="AC426" s="7">
        <v>1052.1281739999999</v>
      </c>
      <c r="AD426" s="3">
        <v>3.0000000000000001E-3</v>
      </c>
      <c r="AE426" s="3">
        <f t="shared" si="45"/>
        <v>0.67500000000000004</v>
      </c>
      <c r="AF426" s="5"/>
      <c r="AG426" s="5"/>
      <c r="AH426" s="5"/>
      <c r="AI426" s="5"/>
      <c r="AK426" s="3" t="s">
        <v>253</v>
      </c>
      <c r="AL426" s="3">
        <v>0.9</v>
      </c>
      <c r="AM426" s="3">
        <v>0.5</v>
      </c>
      <c r="AN426" s="3">
        <v>0.6</v>
      </c>
      <c r="AO426" s="3">
        <v>0.47</v>
      </c>
      <c r="AP426" s="6">
        <v>1290.544189</v>
      </c>
      <c r="AQ426" s="3">
        <v>2.3E-2</v>
      </c>
      <c r="AS426" s="3" t="s">
        <v>253</v>
      </c>
      <c r="AT426" s="3">
        <v>0.88</v>
      </c>
      <c r="AU426" s="7">
        <v>1596.166626</v>
      </c>
      <c r="AV426" s="3">
        <v>2E-3</v>
      </c>
      <c r="AW426" s="3">
        <f t="shared" si="46"/>
        <v>0.67500000000000004</v>
      </c>
      <c r="AX426" s="5"/>
      <c r="AY426" s="5"/>
      <c r="AZ426" s="5"/>
      <c r="BA426" s="5"/>
      <c r="BC426" s="3" t="s">
        <v>253</v>
      </c>
      <c r="BD426" s="3">
        <v>0.9</v>
      </c>
      <c r="BE426" s="3">
        <v>0.5</v>
      </c>
      <c r="BF426" s="3">
        <v>0.6</v>
      </c>
      <c r="BG426" s="3">
        <v>0.1</v>
      </c>
      <c r="BH426" s="7">
        <v>1000.022217</v>
      </c>
      <c r="BI426" s="3">
        <v>1.7999999999999999E-2</v>
      </c>
      <c r="BK426" s="3" t="s">
        <v>253</v>
      </c>
      <c r="BL426" s="3">
        <v>0.1</v>
      </c>
      <c r="BM426" s="6">
        <v>999.11114499999996</v>
      </c>
      <c r="BN426" s="3">
        <v>1E-3</v>
      </c>
      <c r="BO426" s="3">
        <f t="shared" si="47"/>
        <v>0.1</v>
      </c>
    </row>
    <row r="427" spans="1:71" x14ac:dyDescent="0.3">
      <c r="A427" s="9" t="s">
        <v>316</v>
      </c>
      <c r="E427" s="9">
        <f>AVERAGE(E397:E426)</f>
        <v>0.49933333333333335</v>
      </c>
      <c r="I427" s="9" t="s">
        <v>316</v>
      </c>
      <c r="J427" s="9">
        <f>AVERAGE(J397:J426)</f>
        <v>0.48000000000000004</v>
      </c>
      <c r="S427" s="9" t="s">
        <v>316</v>
      </c>
      <c r="W427" s="9">
        <f>AVERAGE(W397:W426)</f>
        <v>0.51999999999999991</v>
      </c>
      <c r="AA427" s="9" t="s">
        <v>316</v>
      </c>
      <c r="AB427" s="9">
        <f>AVERAGE(AB397:AB426)</f>
        <v>0.51466666666666672</v>
      </c>
      <c r="AK427" s="9" t="s">
        <v>316</v>
      </c>
      <c r="AO427" s="9">
        <f>AVERAGE(AO397:AO426)</f>
        <v>0.38300000000000006</v>
      </c>
      <c r="AS427" s="9" t="s">
        <v>316</v>
      </c>
      <c r="AT427" s="9">
        <f>AVERAGE(AT397:AT426)</f>
        <v>0.49799999999999994</v>
      </c>
      <c r="BC427" s="9" t="s">
        <v>316</v>
      </c>
      <c r="BG427" s="9">
        <f>AVERAGE(BG397:BG426)</f>
        <v>0.44900000000000001</v>
      </c>
      <c r="BK427" s="9" t="s">
        <v>316</v>
      </c>
      <c r="BL427" s="9">
        <f>AVERAGE(BL397:BL426)</f>
        <v>0.56000000000000005</v>
      </c>
    </row>
    <row r="428" spans="1:71" s="1" customFormat="1" x14ac:dyDescent="0.3"/>
    <row r="429" spans="1:71" x14ac:dyDescent="0.3">
      <c r="A429" s="20" t="s">
        <v>314</v>
      </c>
      <c r="B429" s="21"/>
      <c r="C429" s="21"/>
      <c r="D429" s="21"/>
      <c r="E429" s="21"/>
      <c r="F429" s="21"/>
      <c r="G429" s="22"/>
      <c r="I429" s="20" t="s">
        <v>315</v>
      </c>
      <c r="J429" s="21"/>
      <c r="K429" s="21"/>
      <c r="L429" s="21"/>
      <c r="M429" s="22"/>
      <c r="N429" s="1"/>
      <c r="O429" s="1"/>
      <c r="P429" s="1"/>
      <c r="Q429" s="1"/>
      <c r="S429" s="20" t="s">
        <v>314</v>
      </c>
      <c r="T429" s="21"/>
      <c r="U429" s="21"/>
      <c r="V429" s="21"/>
      <c r="W429" s="21"/>
      <c r="X429" s="21"/>
      <c r="Y429" s="22"/>
      <c r="AA429" s="20" t="s">
        <v>315</v>
      </c>
      <c r="AB429" s="21"/>
      <c r="AC429" s="21"/>
      <c r="AD429" s="21"/>
      <c r="AE429" s="22"/>
      <c r="AF429" s="1"/>
      <c r="AG429" s="1"/>
      <c r="AH429" s="1"/>
      <c r="AI429" s="1"/>
      <c r="AK429" s="20" t="s">
        <v>314</v>
      </c>
      <c r="AL429" s="21"/>
      <c r="AM429" s="21"/>
      <c r="AN429" s="21"/>
      <c r="AO429" s="21"/>
      <c r="AP429" s="21"/>
      <c r="AQ429" s="22"/>
      <c r="AS429" s="20" t="s">
        <v>315</v>
      </c>
      <c r="AT429" s="21"/>
      <c r="AU429" s="21"/>
      <c r="AV429" s="21"/>
      <c r="AW429" s="22"/>
      <c r="AX429" s="11"/>
      <c r="AY429" s="11"/>
      <c r="AZ429" s="11"/>
      <c r="BA429" s="11"/>
      <c r="BC429" s="20" t="s">
        <v>314</v>
      </c>
      <c r="BD429" s="21"/>
      <c r="BE429" s="21"/>
      <c r="BF429" s="21"/>
      <c r="BG429" s="21"/>
      <c r="BH429" s="21"/>
      <c r="BI429" s="22"/>
      <c r="BK429" s="20" t="s">
        <v>315</v>
      </c>
      <c r="BL429" s="21"/>
      <c r="BM429" s="21"/>
      <c r="BN429" s="21"/>
      <c r="BO429" s="22"/>
    </row>
    <row r="430" spans="1:71" x14ac:dyDescent="0.3">
      <c r="A430" s="3" t="s">
        <v>0</v>
      </c>
      <c r="B430" s="3"/>
      <c r="C430" s="3"/>
      <c r="D430" s="3"/>
      <c r="E430" s="3"/>
      <c r="F430" s="3"/>
      <c r="G430" s="3"/>
      <c r="I430" s="3" t="s">
        <v>0</v>
      </c>
      <c r="J430" s="3"/>
      <c r="K430" s="3"/>
      <c r="L430" s="3"/>
      <c r="M430" s="3"/>
      <c r="N430" s="11"/>
      <c r="O430" s="11"/>
      <c r="P430" s="11"/>
      <c r="Q430" s="11"/>
      <c r="S430" s="3" t="s">
        <v>1</v>
      </c>
      <c r="T430" s="3"/>
      <c r="U430" s="3"/>
      <c r="V430" s="3"/>
      <c r="W430" s="3"/>
      <c r="X430" s="3"/>
      <c r="Y430" s="3"/>
      <c r="AA430" s="3" t="s">
        <v>1</v>
      </c>
      <c r="AB430" s="3"/>
      <c r="AC430" s="3"/>
      <c r="AD430" s="3"/>
      <c r="AE430" s="3"/>
      <c r="AF430" s="11"/>
      <c r="AG430" s="11"/>
      <c r="AH430" s="11"/>
      <c r="AI430" s="11"/>
      <c r="AK430" s="3" t="s">
        <v>0</v>
      </c>
      <c r="AL430" s="3"/>
      <c r="AM430" s="3"/>
      <c r="AN430" s="3"/>
      <c r="AO430" s="3"/>
      <c r="AP430" s="3"/>
      <c r="AQ430" s="3"/>
      <c r="AS430" s="3" t="s">
        <v>0</v>
      </c>
      <c r="AT430" s="3"/>
      <c r="AU430" s="3"/>
      <c r="AV430" s="3"/>
      <c r="AW430" s="3"/>
      <c r="AX430" s="3" t="s">
        <v>322</v>
      </c>
      <c r="AY430" s="3" t="s">
        <v>323</v>
      </c>
      <c r="AZ430" s="3" t="s">
        <v>322</v>
      </c>
      <c r="BA430" s="3" t="s">
        <v>323</v>
      </c>
      <c r="BC430" s="3" t="s">
        <v>1</v>
      </c>
      <c r="BD430" s="3"/>
      <c r="BE430" s="3"/>
      <c r="BF430" s="3"/>
      <c r="BG430" s="3"/>
      <c r="BH430" s="3"/>
      <c r="BI430" s="3"/>
      <c r="BK430" s="3" t="s">
        <v>1</v>
      </c>
      <c r="BL430" s="3"/>
      <c r="BM430" s="3"/>
      <c r="BN430" s="3"/>
      <c r="BO430" s="3"/>
      <c r="BP430" s="3" t="s">
        <v>322</v>
      </c>
      <c r="BQ430" s="3" t="s">
        <v>323</v>
      </c>
      <c r="BR430" s="3" t="s">
        <v>322</v>
      </c>
      <c r="BS430" s="3" t="s">
        <v>323</v>
      </c>
    </row>
    <row r="431" spans="1:71" x14ac:dyDescent="0.3">
      <c r="A431" s="3" t="s">
        <v>2</v>
      </c>
      <c r="B431" s="3" t="s">
        <v>3</v>
      </c>
      <c r="C431" s="3" t="s">
        <v>4</v>
      </c>
      <c r="D431" s="3" t="s">
        <v>5</v>
      </c>
      <c r="E431" s="3" t="s">
        <v>6</v>
      </c>
      <c r="F431" s="3" t="s">
        <v>7</v>
      </c>
      <c r="G431" s="3" t="s">
        <v>8</v>
      </c>
      <c r="I431" s="3" t="s">
        <v>2</v>
      </c>
      <c r="J431" s="3" t="s">
        <v>6</v>
      </c>
      <c r="K431" s="3" t="s">
        <v>7</v>
      </c>
      <c r="L431" s="3" t="s">
        <v>8</v>
      </c>
      <c r="M431" s="3" t="s">
        <v>9</v>
      </c>
      <c r="N431" s="3" t="s">
        <v>322</v>
      </c>
      <c r="O431" s="3" t="s">
        <v>323</v>
      </c>
      <c r="P431" s="3" t="s">
        <v>322</v>
      </c>
      <c r="Q431" s="3" t="s">
        <v>323</v>
      </c>
      <c r="S431" s="3" t="s">
        <v>2</v>
      </c>
      <c r="T431" s="3" t="s">
        <v>3</v>
      </c>
      <c r="U431" s="3" t="s">
        <v>4</v>
      </c>
      <c r="V431" s="3" t="s">
        <v>5</v>
      </c>
      <c r="W431" s="3" t="s">
        <v>6</v>
      </c>
      <c r="X431" s="3" t="s">
        <v>7</v>
      </c>
      <c r="Y431" s="3" t="s">
        <v>8</v>
      </c>
      <c r="AA431" s="3" t="s">
        <v>2</v>
      </c>
      <c r="AB431" s="3" t="s">
        <v>6</v>
      </c>
      <c r="AC431" s="3" t="s">
        <v>7</v>
      </c>
      <c r="AD431" s="3" t="s">
        <v>8</v>
      </c>
      <c r="AE431" s="3" t="s">
        <v>9</v>
      </c>
      <c r="AF431" s="3" t="s">
        <v>322</v>
      </c>
      <c r="AG431" s="3" t="s">
        <v>323</v>
      </c>
      <c r="AH431" s="3" t="s">
        <v>322</v>
      </c>
      <c r="AI431" s="3" t="s">
        <v>323</v>
      </c>
      <c r="AK431" s="3" t="s">
        <v>2</v>
      </c>
      <c r="AL431" s="3" t="s">
        <v>3</v>
      </c>
      <c r="AM431" s="3" t="s">
        <v>4</v>
      </c>
      <c r="AN431" s="3" t="s">
        <v>5</v>
      </c>
      <c r="AO431" s="3" t="s">
        <v>6</v>
      </c>
      <c r="AP431" s="3" t="s">
        <v>7</v>
      </c>
      <c r="AQ431" s="3" t="s">
        <v>8</v>
      </c>
      <c r="AS431" s="3" t="s">
        <v>2</v>
      </c>
      <c r="AT431" s="3" t="s">
        <v>6</v>
      </c>
      <c r="AU431" s="3" t="s">
        <v>7</v>
      </c>
      <c r="AV431" s="3" t="s">
        <v>8</v>
      </c>
      <c r="AW431" s="3" t="s">
        <v>9</v>
      </c>
      <c r="AX431" s="4" t="s">
        <v>320</v>
      </c>
      <c r="AY431" s="4" t="s">
        <v>320</v>
      </c>
      <c r="AZ431" s="4" t="s">
        <v>321</v>
      </c>
      <c r="BA431" s="4" t="s">
        <v>321</v>
      </c>
      <c r="BC431" s="3" t="s">
        <v>2</v>
      </c>
      <c r="BD431" s="3" t="s">
        <v>3</v>
      </c>
      <c r="BE431" s="3" t="s">
        <v>4</v>
      </c>
      <c r="BF431" s="3" t="s">
        <v>5</v>
      </c>
      <c r="BG431" s="3" t="s">
        <v>6</v>
      </c>
      <c r="BH431" s="3" t="s">
        <v>7</v>
      </c>
      <c r="BI431" s="3" t="s">
        <v>8</v>
      </c>
      <c r="BK431" s="3" t="s">
        <v>2</v>
      </c>
      <c r="BL431" s="3" t="s">
        <v>6</v>
      </c>
      <c r="BM431" s="3" t="s">
        <v>7</v>
      </c>
      <c r="BN431" s="3" t="s">
        <v>8</v>
      </c>
      <c r="BO431" s="3" t="s">
        <v>9</v>
      </c>
      <c r="BP431" s="4" t="s">
        <v>320</v>
      </c>
      <c r="BQ431" s="4" t="s">
        <v>320</v>
      </c>
      <c r="BR431" s="4" t="s">
        <v>321</v>
      </c>
      <c r="BS431" s="4" t="s">
        <v>321</v>
      </c>
    </row>
    <row r="432" spans="1:71" x14ac:dyDescent="0.3">
      <c r="A432" s="3" t="s">
        <v>254</v>
      </c>
      <c r="B432" s="3">
        <v>0.9</v>
      </c>
      <c r="C432" s="3">
        <v>0.5</v>
      </c>
      <c r="D432" s="3">
        <v>0.6</v>
      </c>
      <c r="E432" s="3">
        <v>0.01</v>
      </c>
      <c r="F432" s="6">
        <v>621.78442399999994</v>
      </c>
      <c r="G432" s="3">
        <v>1.4E-2</v>
      </c>
      <c r="I432" s="3" t="s">
        <v>254</v>
      </c>
      <c r="J432" s="3">
        <v>0.01</v>
      </c>
      <c r="K432" s="6">
        <v>621.78442399999994</v>
      </c>
      <c r="L432" s="3">
        <v>6.0000000000000001E-3</v>
      </c>
      <c r="M432" s="3">
        <f t="shared" ref="M432:M461" si="48">AVERAGE(E432,J432)</f>
        <v>0.01</v>
      </c>
      <c r="N432" s="4" t="s">
        <v>320</v>
      </c>
      <c r="O432" s="4" t="s">
        <v>320</v>
      </c>
      <c r="P432" s="4" t="s">
        <v>321</v>
      </c>
      <c r="Q432" s="4" t="s">
        <v>321</v>
      </c>
      <c r="S432" s="3" t="s">
        <v>254</v>
      </c>
      <c r="T432" s="3">
        <v>0.9</v>
      </c>
      <c r="U432" s="3">
        <v>0.5</v>
      </c>
      <c r="V432" s="3">
        <v>0.6</v>
      </c>
      <c r="W432" s="3">
        <v>0.01</v>
      </c>
      <c r="X432" s="6">
        <v>583.43267800000001</v>
      </c>
      <c r="Y432" s="3">
        <v>2.7E-2</v>
      </c>
      <c r="AA432" s="3" t="s">
        <v>254</v>
      </c>
      <c r="AB432" s="3">
        <v>0.01</v>
      </c>
      <c r="AC432" s="6">
        <v>583.43267800000001</v>
      </c>
      <c r="AD432" s="3">
        <v>7.0000000000000001E-3</v>
      </c>
      <c r="AE432" s="3">
        <f t="shared" ref="AE432:AE461" si="49">AVERAGE(W432,AB432)</f>
        <v>0.01</v>
      </c>
      <c r="AF432" s="4" t="s">
        <v>320</v>
      </c>
      <c r="AG432" s="4" t="s">
        <v>320</v>
      </c>
      <c r="AH432" s="4" t="s">
        <v>321</v>
      </c>
      <c r="AI432" s="4" t="s">
        <v>321</v>
      </c>
      <c r="AK432" s="3" t="s">
        <v>255</v>
      </c>
      <c r="AL432" s="3">
        <v>0.9</v>
      </c>
      <c r="AM432" s="3">
        <v>0.5</v>
      </c>
      <c r="AN432" s="3">
        <v>0.6</v>
      </c>
      <c r="AO432" s="3">
        <v>0.01</v>
      </c>
      <c r="AP432" s="6">
        <v>860.48821999999996</v>
      </c>
      <c r="AQ432" s="3">
        <v>2.3E-2</v>
      </c>
      <c r="AS432" s="3" t="s">
        <v>255</v>
      </c>
      <c r="AT432" s="3">
        <v>0.01</v>
      </c>
      <c r="AU432" s="6">
        <v>860.48821999999996</v>
      </c>
      <c r="AV432" s="3">
        <v>5.0000000000000001E-3</v>
      </c>
      <c r="AW432" s="3">
        <f t="shared" ref="AW432:AW461" si="50">AVERAGE(AO432,AT432)</f>
        <v>0.01</v>
      </c>
      <c r="AX432" s="3">
        <f>COUNT(AP432,AP435,AP439,AP441:AP442,AP444,AP446:AP447,AP450:AP451,AP454:AP458,AP460)</f>
        <v>16</v>
      </c>
      <c r="AY432" s="3">
        <f>30-AX432</f>
        <v>14</v>
      </c>
      <c r="AZ432" s="3">
        <f>COUNT(AU432:AU434,AU436:AU438,AU440,AU443,AU445,AU448:AU449,AU452:AU453,AU459)</f>
        <v>14</v>
      </c>
      <c r="BA432" s="3">
        <f>30-AZ432</f>
        <v>16</v>
      </c>
      <c r="BC432" s="3" t="s">
        <v>255</v>
      </c>
      <c r="BD432" s="3">
        <v>0.9</v>
      </c>
      <c r="BE432" s="3">
        <v>0.5</v>
      </c>
      <c r="BF432" s="3">
        <v>0.6</v>
      </c>
      <c r="BG432" s="3">
        <v>0.01</v>
      </c>
      <c r="BH432" s="6">
        <v>778.04431199999999</v>
      </c>
      <c r="BI432" s="3">
        <v>1.7000000000000001E-2</v>
      </c>
      <c r="BK432" s="3" t="s">
        <v>255</v>
      </c>
      <c r="BL432" s="3">
        <v>0.01</v>
      </c>
      <c r="BM432" s="6">
        <v>778.04431199999999</v>
      </c>
      <c r="BN432" s="3">
        <v>1E-3</v>
      </c>
      <c r="BO432" s="3">
        <f t="shared" ref="BO432:BO461" si="51">AVERAGE(BG432,BL432)</f>
        <v>0.01</v>
      </c>
      <c r="BP432" s="3">
        <f>COUNT(BH432:BH435,BH437,BH439,BH441:BH442,BH446:BH451,BH455,BH457:BH458,BH460)</f>
        <v>18</v>
      </c>
      <c r="BQ432" s="3">
        <f>30-BP432</f>
        <v>12</v>
      </c>
      <c r="BR432" s="3">
        <f>COUNT(BM432,BM436,BM438,BM440,BM443:BM445,BM452:BM454,BM456,BM459,BM461)</f>
        <v>13</v>
      </c>
      <c r="BS432" s="3">
        <f>30-BR432</f>
        <v>17</v>
      </c>
    </row>
    <row r="433" spans="1:67" x14ac:dyDescent="0.3">
      <c r="A433" s="3" t="s">
        <v>256</v>
      </c>
      <c r="B433" s="3">
        <v>0.9</v>
      </c>
      <c r="C433" s="3">
        <v>0.5</v>
      </c>
      <c r="D433" s="3">
        <v>0.6</v>
      </c>
      <c r="E433" s="3">
        <v>0.65</v>
      </c>
      <c r="F433" s="7">
        <v>763.34381099999996</v>
      </c>
      <c r="G433" s="3">
        <v>2.4E-2</v>
      </c>
      <c r="I433" s="3" t="s">
        <v>256</v>
      </c>
      <c r="J433" s="3">
        <v>0.08</v>
      </c>
      <c r="K433" s="6">
        <v>641.48138400000005</v>
      </c>
      <c r="L433" s="3">
        <v>2E-3</v>
      </c>
      <c r="M433" s="3">
        <f t="shared" si="48"/>
        <v>0.36499999999999999</v>
      </c>
      <c r="N433" s="3">
        <f>COUNT(F432,F434,F436:F439,F442,F444:F446,F451:F453,F459:F460)</f>
        <v>15</v>
      </c>
      <c r="O433" s="3">
        <f>COUNT(F433,F435,F440:F441,F443,F447:F450,F454:F458,F461)</f>
        <v>15</v>
      </c>
      <c r="P433" s="3">
        <f>COUNT(K432:K433,K435,K440:K441,K443,K447:K450,K454:K458,K461)</f>
        <v>16</v>
      </c>
      <c r="Q433" s="3">
        <f>COUNT(K434,K436:K439,K442,K444:K446,K451:K453,K459:K460)</f>
        <v>14</v>
      </c>
      <c r="S433" s="3" t="s">
        <v>256</v>
      </c>
      <c r="T433" s="3">
        <v>0.9</v>
      </c>
      <c r="U433" s="3">
        <v>0.5</v>
      </c>
      <c r="V433" s="3">
        <v>0.6</v>
      </c>
      <c r="W433" s="3">
        <v>0.84</v>
      </c>
      <c r="X433" s="7">
        <v>757.94061299999998</v>
      </c>
      <c r="Y433" s="3">
        <v>2.4E-2</v>
      </c>
      <c r="AA433" s="3" t="s">
        <v>256</v>
      </c>
      <c r="AB433" s="3">
        <v>0.13</v>
      </c>
      <c r="AC433" s="6">
        <v>610.59265100000005</v>
      </c>
      <c r="AD433" s="3">
        <v>1E-3</v>
      </c>
      <c r="AE433" s="3">
        <f t="shared" si="49"/>
        <v>0.48499999999999999</v>
      </c>
      <c r="AF433" s="3">
        <f>COUNT(X432,X436:X440,X443:X444,X450,X455,X457:X459,X461)</f>
        <v>14</v>
      </c>
      <c r="AG433" s="3">
        <f>COUNT(X433:X435,X441:X442,X445:X449,X451:X454,X456,X460)</f>
        <v>16</v>
      </c>
      <c r="AH433" s="3">
        <f>COUNT(AC432:AC435,AC437,AC441:AC442,AC445:AC449,AC451:AC454,AC456,AC460)</f>
        <v>18</v>
      </c>
      <c r="AI433" s="3">
        <f>COUNT(AC436,AC438:AC440,AC443:AC444,AC450,AC455,AC457:AC459,AC461)</f>
        <v>12</v>
      </c>
      <c r="AK433" s="3" t="s">
        <v>257</v>
      </c>
      <c r="AL433" s="3">
        <v>0.9</v>
      </c>
      <c r="AM433" s="3">
        <v>0.5</v>
      </c>
      <c r="AN433" s="3">
        <v>0.6</v>
      </c>
      <c r="AO433" s="3">
        <v>0.62</v>
      </c>
      <c r="AP433" s="7">
        <v>1103.81665</v>
      </c>
      <c r="AQ433" s="3">
        <v>3.1E-2</v>
      </c>
      <c r="AS433" s="3" t="s">
        <v>257</v>
      </c>
      <c r="AT433" s="3">
        <v>0.23</v>
      </c>
      <c r="AU433" s="6">
        <v>930.69281000000001</v>
      </c>
      <c r="AV433" s="3">
        <v>2E-3</v>
      </c>
      <c r="AW433" s="3">
        <f t="shared" si="50"/>
        <v>0.42499999999999999</v>
      </c>
      <c r="AX433" s="5"/>
      <c r="AY433" s="5"/>
      <c r="AZ433" s="5"/>
      <c r="BA433" s="5"/>
      <c r="BC433" s="3" t="s">
        <v>257</v>
      </c>
      <c r="BD433" s="3">
        <v>0.9</v>
      </c>
      <c r="BE433" s="3">
        <v>0.5</v>
      </c>
      <c r="BF433" s="3">
        <v>0.6</v>
      </c>
      <c r="BG433" s="3">
        <v>0.39</v>
      </c>
      <c r="BH433" s="6">
        <v>965.34362799999997</v>
      </c>
      <c r="BI433" s="3">
        <v>2.4E-2</v>
      </c>
      <c r="BK433" s="3" t="s">
        <v>257</v>
      </c>
      <c r="BL433" s="3">
        <v>0.53</v>
      </c>
      <c r="BM433" s="7">
        <v>1026.3488769999999</v>
      </c>
      <c r="BN433" s="3">
        <v>1E-3</v>
      </c>
      <c r="BO433" s="3">
        <f t="shared" si="51"/>
        <v>0.46</v>
      </c>
    </row>
    <row r="434" spans="1:67" x14ac:dyDescent="0.3">
      <c r="A434" s="3" t="s">
        <v>258</v>
      </c>
      <c r="B434" s="3">
        <v>0.9</v>
      </c>
      <c r="C434" s="3">
        <v>0.5</v>
      </c>
      <c r="D434" s="3">
        <v>0.6</v>
      </c>
      <c r="E434" s="3">
        <v>0.15</v>
      </c>
      <c r="F434" s="6">
        <v>636.49768100000006</v>
      </c>
      <c r="G434" s="3">
        <v>4.2000000000000003E-2</v>
      </c>
      <c r="I434" s="3" t="s">
        <v>258</v>
      </c>
      <c r="J434" s="3">
        <v>0.62</v>
      </c>
      <c r="K434" s="7">
        <v>742.99047900000005</v>
      </c>
      <c r="L434" s="3">
        <v>2E-3</v>
      </c>
      <c r="M434" s="3">
        <f t="shared" si="48"/>
        <v>0.38500000000000001</v>
      </c>
      <c r="N434" s="5"/>
      <c r="O434" s="5"/>
      <c r="P434" s="5"/>
      <c r="Q434" s="5"/>
      <c r="S434" s="3" t="s">
        <v>258</v>
      </c>
      <c r="T434" s="3">
        <v>0.9</v>
      </c>
      <c r="U434" s="3">
        <v>0.5</v>
      </c>
      <c r="V434" s="3">
        <v>0.6</v>
      </c>
      <c r="W434" s="3">
        <v>0.45</v>
      </c>
      <c r="X434" s="7">
        <v>681.66876200000002</v>
      </c>
      <c r="Y434" s="3">
        <v>1.2999999999999999E-2</v>
      </c>
      <c r="AA434" s="3" t="s">
        <v>258</v>
      </c>
      <c r="AB434" s="3">
        <v>0.5</v>
      </c>
      <c r="AC434" s="6">
        <v>647.63317900000004</v>
      </c>
      <c r="AD434" s="3">
        <v>0</v>
      </c>
      <c r="AE434" s="3">
        <f t="shared" si="49"/>
        <v>0.47499999999999998</v>
      </c>
      <c r="AF434" s="5"/>
      <c r="AG434" s="5"/>
      <c r="AH434" s="5"/>
      <c r="AI434" s="5"/>
      <c r="AK434" s="3" t="s">
        <v>259</v>
      </c>
      <c r="AL434" s="3">
        <v>0.9</v>
      </c>
      <c r="AM434" s="3">
        <v>0.5</v>
      </c>
      <c r="AN434" s="3">
        <v>0.6</v>
      </c>
      <c r="AO434" s="3">
        <v>0.83</v>
      </c>
      <c r="AP434" s="7">
        <v>1140.1549070000001</v>
      </c>
      <c r="AQ434" s="3">
        <v>3.6999999999999998E-2</v>
      </c>
      <c r="AS434" s="3" t="s">
        <v>259</v>
      </c>
      <c r="AT434" s="3">
        <v>0.32</v>
      </c>
      <c r="AU434" s="6">
        <v>1017.998352</v>
      </c>
      <c r="AV434" s="3">
        <v>5.0000000000000001E-3</v>
      </c>
      <c r="AW434" s="3">
        <f t="shared" si="50"/>
        <v>0.57499999999999996</v>
      </c>
      <c r="AX434" s="5"/>
      <c r="AY434" s="5"/>
      <c r="AZ434" s="5"/>
      <c r="BA434" s="5"/>
      <c r="BC434" s="3" t="s">
        <v>259</v>
      </c>
      <c r="BD434" s="3">
        <v>0.9</v>
      </c>
      <c r="BE434" s="3">
        <v>0.5</v>
      </c>
      <c r="BF434" s="3">
        <v>0.6</v>
      </c>
      <c r="BG434" s="3">
        <v>0.31</v>
      </c>
      <c r="BH434" s="6">
        <v>937.44152799999995</v>
      </c>
      <c r="BI434" s="3">
        <v>2.1000000000000001E-2</v>
      </c>
      <c r="BK434" s="3" t="s">
        <v>259</v>
      </c>
      <c r="BL434" s="3">
        <v>0.42</v>
      </c>
      <c r="BM434" s="7">
        <v>1014.359375</v>
      </c>
      <c r="BN434" s="3">
        <v>2E-3</v>
      </c>
      <c r="BO434" s="3">
        <f t="shared" si="51"/>
        <v>0.36499999999999999</v>
      </c>
    </row>
    <row r="435" spans="1:67" x14ac:dyDescent="0.3">
      <c r="A435" s="3" t="s">
        <v>260</v>
      </c>
      <c r="B435" s="3">
        <v>0.9</v>
      </c>
      <c r="C435" s="3">
        <v>0.5</v>
      </c>
      <c r="D435" s="3">
        <v>0.6</v>
      </c>
      <c r="E435" s="3">
        <v>0.82</v>
      </c>
      <c r="F435" s="7">
        <v>815.81689500000005</v>
      </c>
      <c r="G435" s="3">
        <v>2.4E-2</v>
      </c>
      <c r="I435" s="3" t="s">
        <v>260</v>
      </c>
      <c r="J435" s="3">
        <v>0.34</v>
      </c>
      <c r="K435" s="6">
        <v>724.44500700000003</v>
      </c>
      <c r="L435" s="3">
        <v>4.0000000000000001E-3</v>
      </c>
      <c r="M435" s="3">
        <f t="shared" si="48"/>
        <v>0.57999999999999996</v>
      </c>
      <c r="N435" s="5"/>
      <c r="O435" s="5"/>
      <c r="P435" s="5"/>
      <c r="Q435" s="5"/>
      <c r="S435" s="3" t="s">
        <v>260</v>
      </c>
      <c r="T435" s="3">
        <v>0.9</v>
      </c>
      <c r="U435" s="3">
        <v>0.5</v>
      </c>
      <c r="V435" s="3">
        <v>0.6</v>
      </c>
      <c r="W435" s="3">
        <v>0.4</v>
      </c>
      <c r="X435" s="7">
        <v>699.86529499999995</v>
      </c>
      <c r="Y435" s="3">
        <v>2.5999999999999999E-2</v>
      </c>
      <c r="AA435" s="3" t="s">
        <v>260</v>
      </c>
      <c r="AB435" s="3">
        <v>0.25</v>
      </c>
      <c r="AC435" s="6">
        <v>657.59344499999997</v>
      </c>
      <c r="AD435" s="3">
        <v>8.9999999999999993E-3</v>
      </c>
      <c r="AE435" s="3">
        <f t="shared" si="49"/>
        <v>0.32500000000000001</v>
      </c>
      <c r="AF435" s="5"/>
      <c r="AG435" s="5"/>
      <c r="AH435" s="5"/>
      <c r="AI435" s="5"/>
      <c r="AK435" s="3" t="s">
        <v>261</v>
      </c>
      <c r="AL435" s="3">
        <v>0.9</v>
      </c>
      <c r="AM435" s="3">
        <v>0.5</v>
      </c>
      <c r="AN435" s="3">
        <v>0.6</v>
      </c>
      <c r="AO435" s="3">
        <v>0.5</v>
      </c>
      <c r="AP435" s="6">
        <v>1035.7042240000001</v>
      </c>
      <c r="AQ435" s="3">
        <v>0.04</v>
      </c>
      <c r="AS435" s="3" t="s">
        <v>261</v>
      </c>
      <c r="AT435" s="3">
        <v>0.79</v>
      </c>
      <c r="AU435" s="7">
        <v>1082.82251</v>
      </c>
      <c r="AV435" s="3">
        <v>1E-3</v>
      </c>
      <c r="AW435" s="3">
        <f t="shared" si="50"/>
        <v>0.64500000000000002</v>
      </c>
      <c r="AX435" s="5"/>
      <c r="AY435" s="5"/>
      <c r="AZ435" s="5"/>
      <c r="BA435" s="5"/>
      <c r="BC435" s="3" t="s">
        <v>261</v>
      </c>
      <c r="BD435" s="3">
        <v>0.9</v>
      </c>
      <c r="BE435" s="3">
        <v>0.5</v>
      </c>
      <c r="BF435" s="3">
        <v>0.6</v>
      </c>
      <c r="BG435" s="3">
        <v>0.7</v>
      </c>
      <c r="BH435" s="6">
        <v>1014.841797</v>
      </c>
      <c r="BI435" s="3">
        <v>2.7E-2</v>
      </c>
      <c r="BK435" s="3" t="s">
        <v>261</v>
      </c>
      <c r="BL435" s="3">
        <v>0.83</v>
      </c>
      <c r="BM435" s="7">
        <v>1044.455933</v>
      </c>
      <c r="BN435" s="3">
        <v>2E-3</v>
      </c>
      <c r="BO435" s="3">
        <f t="shared" si="51"/>
        <v>0.7649999999999999</v>
      </c>
    </row>
    <row r="436" spans="1:67" x14ac:dyDescent="0.3">
      <c r="A436" s="3" t="s">
        <v>262</v>
      </c>
      <c r="B436" s="3">
        <v>0.9</v>
      </c>
      <c r="C436" s="3">
        <v>0.5</v>
      </c>
      <c r="D436" s="3">
        <v>0.6</v>
      </c>
      <c r="E436" s="3">
        <v>0.72</v>
      </c>
      <c r="F436" s="6">
        <v>891.28527799999995</v>
      </c>
      <c r="G436" s="3">
        <v>2.7E-2</v>
      </c>
      <c r="I436" s="3" t="s">
        <v>262</v>
      </c>
      <c r="J436" s="3">
        <v>0.88</v>
      </c>
      <c r="K436" s="7">
        <v>896.948486</v>
      </c>
      <c r="L436" s="3">
        <v>0</v>
      </c>
      <c r="M436" s="3">
        <f t="shared" si="48"/>
        <v>0.8</v>
      </c>
      <c r="N436" s="5"/>
      <c r="O436" s="5"/>
      <c r="P436" s="5"/>
      <c r="Q436" s="5"/>
      <c r="S436" s="3" t="s">
        <v>262</v>
      </c>
      <c r="T436" s="3">
        <v>0.9</v>
      </c>
      <c r="U436" s="3">
        <v>0.5</v>
      </c>
      <c r="V436" s="3">
        <v>0.6</v>
      </c>
      <c r="W436" s="3">
        <v>0.09</v>
      </c>
      <c r="X436" s="6">
        <v>656.53918499999997</v>
      </c>
      <c r="Y436" s="3">
        <v>1.0999999999999999E-2</v>
      </c>
      <c r="AA436" s="3" t="s">
        <v>262</v>
      </c>
      <c r="AB436" s="3">
        <v>0.18</v>
      </c>
      <c r="AC436" s="7">
        <v>680.671021</v>
      </c>
      <c r="AD436" s="3">
        <v>0</v>
      </c>
      <c r="AE436" s="3">
        <f t="shared" si="49"/>
        <v>0.13500000000000001</v>
      </c>
      <c r="AF436" s="5"/>
      <c r="AG436" s="5"/>
      <c r="AH436" s="5"/>
      <c r="AI436" s="5"/>
      <c r="AK436" s="3" t="s">
        <v>263</v>
      </c>
      <c r="AL436" s="3">
        <v>0.9</v>
      </c>
      <c r="AM436" s="3">
        <v>0.5</v>
      </c>
      <c r="AN436" s="3">
        <v>0.6</v>
      </c>
      <c r="AO436" s="3">
        <v>0.19</v>
      </c>
      <c r="AP436" s="7">
        <v>944.18713400000001</v>
      </c>
      <c r="AQ436" s="3">
        <v>2.1000000000000001E-2</v>
      </c>
      <c r="AS436" s="3" t="s">
        <v>263</v>
      </c>
      <c r="AT436" s="3">
        <v>7.0000000000000007E-2</v>
      </c>
      <c r="AU436" s="6">
        <v>889.314392</v>
      </c>
      <c r="AV436" s="3">
        <v>3.0000000000000001E-3</v>
      </c>
      <c r="AW436" s="3">
        <f t="shared" si="50"/>
        <v>0.13</v>
      </c>
      <c r="AX436" s="5"/>
      <c r="AY436" s="5"/>
      <c r="AZ436" s="5"/>
      <c r="BA436" s="5"/>
      <c r="BC436" s="3" t="s">
        <v>263</v>
      </c>
      <c r="BD436" s="3">
        <v>0.9</v>
      </c>
      <c r="BE436" s="3">
        <v>0.5</v>
      </c>
      <c r="BF436" s="3">
        <v>0.6</v>
      </c>
      <c r="BG436" s="3">
        <v>0.93</v>
      </c>
      <c r="BH436" s="7">
        <v>1095.24353</v>
      </c>
      <c r="BI436" s="3">
        <v>0.02</v>
      </c>
      <c r="BK436" s="3" t="s">
        <v>263</v>
      </c>
      <c r="BL436" s="3">
        <v>0.89</v>
      </c>
      <c r="BM436" s="6">
        <v>1091.5683590000001</v>
      </c>
      <c r="BN436" s="3">
        <v>4.0000000000000001E-3</v>
      </c>
      <c r="BO436" s="3">
        <f t="shared" si="51"/>
        <v>0.91</v>
      </c>
    </row>
    <row r="437" spans="1:67" x14ac:dyDescent="0.3">
      <c r="A437" s="3" t="s">
        <v>264</v>
      </c>
      <c r="B437" s="3">
        <v>0.9</v>
      </c>
      <c r="C437" s="3">
        <v>0.5</v>
      </c>
      <c r="D437" s="3">
        <v>0.6</v>
      </c>
      <c r="E437" s="3">
        <v>0.43</v>
      </c>
      <c r="F437" s="6">
        <v>776.88085899999999</v>
      </c>
      <c r="G437" s="3">
        <v>1.6E-2</v>
      </c>
      <c r="I437" s="3" t="s">
        <v>264</v>
      </c>
      <c r="J437" s="3">
        <v>0.61</v>
      </c>
      <c r="K437" s="7">
        <v>801.82598900000005</v>
      </c>
      <c r="L437" s="3">
        <v>0</v>
      </c>
      <c r="M437" s="3">
        <f t="shared" si="48"/>
        <v>0.52</v>
      </c>
      <c r="N437" s="5"/>
      <c r="O437" s="5"/>
      <c r="P437" s="5"/>
      <c r="Q437" s="5"/>
      <c r="S437" s="3" t="s">
        <v>264</v>
      </c>
      <c r="T437" s="3">
        <v>0.9</v>
      </c>
      <c r="U437" s="3">
        <v>0.5</v>
      </c>
      <c r="V437" s="3">
        <v>0.6</v>
      </c>
      <c r="W437" s="3">
        <v>0.98</v>
      </c>
      <c r="X437" s="6">
        <v>853.91528300000004</v>
      </c>
      <c r="Y437" s="3">
        <v>1.4999999999999999E-2</v>
      </c>
      <c r="AA437" s="3" t="s">
        <v>264</v>
      </c>
      <c r="AB437" s="3">
        <v>0.93</v>
      </c>
      <c r="AC437" s="6">
        <v>853.91528300000004</v>
      </c>
      <c r="AD437" s="3">
        <v>3.0000000000000001E-3</v>
      </c>
      <c r="AE437" s="3">
        <f t="shared" si="49"/>
        <v>0.95500000000000007</v>
      </c>
      <c r="AF437" s="5"/>
      <c r="AG437" s="5"/>
      <c r="AH437" s="5"/>
      <c r="AI437" s="5"/>
      <c r="AK437" s="3" t="s">
        <v>265</v>
      </c>
      <c r="AL437" s="3">
        <v>0.9</v>
      </c>
      <c r="AM437" s="3">
        <v>0.5</v>
      </c>
      <c r="AN437" s="3">
        <v>0.6</v>
      </c>
      <c r="AO437" s="3">
        <v>0.33</v>
      </c>
      <c r="AP437" s="7">
        <v>1008.366516</v>
      </c>
      <c r="AQ437" s="3">
        <v>4.2999999999999997E-2</v>
      </c>
      <c r="AS437" s="3" t="s">
        <v>265</v>
      </c>
      <c r="AT437" s="3">
        <v>0.3</v>
      </c>
      <c r="AU437" s="6">
        <v>973.01397699999995</v>
      </c>
      <c r="AV437" s="3">
        <v>1.2E-2</v>
      </c>
      <c r="AW437" s="3">
        <f t="shared" si="50"/>
        <v>0.315</v>
      </c>
      <c r="AX437" s="5"/>
      <c r="AY437" s="5"/>
      <c r="AZ437" s="5"/>
      <c r="BA437" s="5"/>
      <c r="BC437" s="3" t="s">
        <v>265</v>
      </c>
      <c r="BD437" s="3">
        <v>0.9</v>
      </c>
      <c r="BE437" s="3">
        <v>0.5</v>
      </c>
      <c r="BF437" s="3">
        <v>0.6</v>
      </c>
      <c r="BG437" s="3">
        <v>0.36</v>
      </c>
      <c r="BH437" s="6">
        <v>972.96899399999995</v>
      </c>
      <c r="BI437" s="3">
        <v>3.5999999999999997E-2</v>
      </c>
      <c r="BK437" s="3" t="s">
        <v>265</v>
      </c>
      <c r="BL437" s="3">
        <v>0.43</v>
      </c>
      <c r="BM437" s="7">
        <v>994.99188200000003</v>
      </c>
      <c r="BN437" s="3">
        <v>4.0000000000000001E-3</v>
      </c>
      <c r="BO437" s="3">
        <f t="shared" si="51"/>
        <v>0.39500000000000002</v>
      </c>
    </row>
    <row r="438" spans="1:67" x14ac:dyDescent="0.3">
      <c r="A438" s="3" t="s">
        <v>266</v>
      </c>
      <c r="B438" s="3">
        <v>0.9</v>
      </c>
      <c r="C438" s="3">
        <v>0.5</v>
      </c>
      <c r="D438" s="3">
        <v>0.6</v>
      </c>
      <c r="E438" s="3">
        <v>0.73</v>
      </c>
      <c r="F438" s="6">
        <v>715.08727999999996</v>
      </c>
      <c r="G438" s="3">
        <v>1.2E-2</v>
      </c>
      <c r="I438" s="3" t="s">
        <v>266</v>
      </c>
      <c r="J438" s="3">
        <v>0.84</v>
      </c>
      <c r="K438" s="7">
        <v>719.29504399999996</v>
      </c>
      <c r="L438" s="3">
        <v>2E-3</v>
      </c>
      <c r="M438" s="3">
        <f t="shared" si="48"/>
        <v>0.78499999999999992</v>
      </c>
      <c r="N438" s="5"/>
      <c r="O438" s="5"/>
      <c r="P438" s="5"/>
      <c r="Q438" s="5"/>
      <c r="S438" s="3" t="s">
        <v>266</v>
      </c>
      <c r="T438" s="3">
        <v>0.9</v>
      </c>
      <c r="U438" s="3">
        <v>0.5</v>
      </c>
      <c r="V438" s="3">
        <v>0.6</v>
      </c>
      <c r="W438" s="3">
        <v>0.02</v>
      </c>
      <c r="X438" s="6">
        <v>514.72705099999996</v>
      </c>
      <c r="Y438" s="3">
        <v>2.1000000000000001E-2</v>
      </c>
      <c r="AA438" s="3" t="s">
        <v>266</v>
      </c>
      <c r="AB438" s="3">
        <v>0.39</v>
      </c>
      <c r="AC438" s="7">
        <v>615.42016599999999</v>
      </c>
      <c r="AD438" s="3">
        <v>4.0000000000000001E-3</v>
      </c>
      <c r="AE438" s="3">
        <f t="shared" si="49"/>
        <v>0.20500000000000002</v>
      </c>
      <c r="AF438" s="5"/>
      <c r="AG438" s="5"/>
      <c r="AH438" s="5"/>
      <c r="AI438" s="5"/>
      <c r="AK438" s="3" t="s">
        <v>267</v>
      </c>
      <c r="AL438" s="3">
        <v>0.9</v>
      </c>
      <c r="AM438" s="3">
        <v>0.5</v>
      </c>
      <c r="AN438" s="3">
        <v>0.6</v>
      </c>
      <c r="AO438" s="3">
        <v>0.8</v>
      </c>
      <c r="AP438" s="7">
        <v>1167.823975</v>
      </c>
      <c r="AQ438" s="3">
        <v>3.1E-2</v>
      </c>
      <c r="AS438" s="3" t="s">
        <v>267</v>
      </c>
      <c r="AT438" s="3">
        <v>0.12</v>
      </c>
      <c r="AU438" s="6">
        <v>904.92242399999998</v>
      </c>
      <c r="AV438" s="3">
        <v>3.0000000000000001E-3</v>
      </c>
      <c r="AW438" s="3">
        <f t="shared" si="50"/>
        <v>0.46</v>
      </c>
      <c r="AX438" s="5"/>
      <c r="AY438" s="5"/>
      <c r="AZ438" s="5"/>
      <c r="BA438" s="5"/>
      <c r="BC438" s="3" t="s">
        <v>267</v>
      </c>
      <c r="BD438" s="3">
        <v>0.9</v>
      </c>
      <c r="BE438" s="3">
        <v>0.5</v>
      </c>
      <c r="BF438" s="3">
        <v>0.6</v>
      </c>
      <c r="BG438" s="3">
        <v>0.33</v>
      </c>
      <c r="BH438" s="7">
        <v>1000.171814</v>
      </c>
      <c r="BI438" s="3">
        <v>2.4E-2</v>
      </c>
      <c r="BK438" s="3" t="s">
        <v>267</v>
      </c>
      <c r="BL438" s="3">
        <v>0.28999999999999998</v>
      </c>
      <c r="BM438" s="6">
        <v>973.36456299999998</v>
      </c>
      <c r="BN438" s="3">
        <v>2E-3</v>
      </c>
      <c r="BO438" s="3">
        <f t="shared" si="51"/>
        <v>0.31</v>
      </c>
    </row>
    <row r="439" spans="1:67" x14ac:dyDescent="0.3">
      <c r="A439" s="3" t="s">
        <v>268</v>
      </c>
      <c r="B439" s="3">
        <v>0.9</v>
      </c>
      <c r="C439" s="3">
        <v>0.5</v>
      </c>
      <c r="D439" s="3">
        <v>0.6</v>
      </c>
      <c r="E439" s="3">
        <v>0.3</v>
      </c>
      <c r="F439" s="6">
        <v>710.45544400000006</v>
      </c>
      <c r="G439" s="3">
        <v>1.7000000000000001E-2</v>
      </c>
      <c r="I439" s="3" t="s">
        <v>268</v>
      </c>
      <c r="J439" s="3">
        <v>0.5</v>
      </c>
      <c r="K439" s="7">
        <v>770.07507299999997</v>
      </c>
      <c r="L439" s="3">
        <v>1E-3</v>
      </c>
      <c r="M439" s="3">
        <f t="shared" si="48"/>
        <v>0.4</v>
      </c>
      <c r="N439" s="5"/>
      <c r="O439" s="5"/>
      <c r="P439" s="5"/>
      <c r="Q439" s="5"/>
      <c r="S439" s="3" t="s">
        <v>268</v>
      </c>
      <c r="T439" s="3">
        <v>0.9</v>
      </c>
      <c r="U439" s="3">
        <v>0.5</v>
      </c>
      <c r="V439" s="3">
        <v>0.6</v>
      </c>
      <c r="W439" s="3">
        <v>0.23</v>
      </c>
      <c r="X439" s="6">
        <v>666.58117700000003</v>
      </c>
      <c r="Y439" s="3">
        <v>0.03</v>
      </c>
      <c r="AA439" s="3" t="s">
        <v>268</v>
      </c>
      <c r="AB439" s="3">
        <v>0.31</v>
      </c>
      <c r="AC439" s="7">
        <v>681.87683100000004</v>
      </c>
      <c r="AD439" s="3">
        <v>4.0000000000000001E-3</v>
      </c>
      <c r="AE439" s="3">
        <f t="shared" si="49"/>
        <v>0.27</v>
      </c>
      <c r="AF439" s="5"/>
      <c r="AG439" s="5"/>
      <c r="AH439" s="5"/>
      <c r="AI439" s="5"/>
      <c r="AK439" s="3" t="s">
        <v>269</v>
      </c>
      <c r="AL439" s="3">
        <v>0.9</v>
      </c>
      <c r="AM439" s="3">
        <v>0.5</v>
      </c>
      <c r="AN439" s="3">
        <v>0.6</v>
      </c>
      <c r="AO439" s="3">
        <v>0.13</v>
      </c>
      <c r="AP439" s="6">
        <v>863.18359399999997</v>
      </c>
      <c r="AQ439" s="3">
        <v>1.9E-2</v>
      </c>
      <c r="AS439" s="3" t="s">
        <v>269</v>
      </c>
      <c r="AT439" s="3">
        <v>0.55000000000000004</v>
      </c>
      <c r="AU439" s="7">
        <v>1071.009033</v>
      </c>
      <c r="AV439" s="3">
        <v>7.0000000000000001E-3</v>
      </c>
      <c r="AW439" s="3">
        <f t="shared" si="50"/>
        <v>0.34</v>
      </c>
      <c r="AX439" s="5"/>
      <c r="AY439" s="5"/>
      <c r="AZ439" s="5"/>
      <c r="BA439" s="5"/>
      <c r="BC439" s="3" t="s">
        <v>269</v>
      </c>
      <c r="BD439" s="3">
        <v>0.9</v>
      </c>
      <c r="BE439" s="3">
        <v>0.5</v>
      </c>
      <c r="BF439" s="3">
        <v>0.6</v>
      </c>
      <c r="BG439" s="3">
        <v>0.61</v>
      </c>
      <c r="BH439" s="6">
        <v>1030.0229489999999</v>
      </c>
      <c r="BI439" s="3">
        <v>3.5999999999999997E-2</v>
      </c>
      <c r="BK439" s="3" t="s">
        <v>269</v>
      </c>
      <c r="BL439" s="3">
        <v>0.94</v>
      </c>
      <c r="BM439" s="7">
        <v>1073.991211</v>
      </c>
      <c r="BN439" s="3">
        <v>6.0000000000000001E-3</v>
      </c>
      <c r="BO439" s="3">
        <f t="shared" si="51"/>
        <v>0.77499999999999991</v>
      </c>
    </row>
    <row r="440" spans="1:67" x14ac:dyDescent="0.3">
      <c r="A440" s="3" t="s">
        <v>270</v>
      </c>
      <c r="B440" s="3">
        <v>0.9</v>
      </c>
      <c r="C440" s="3">
        <v>0.5</v>
      </c>
      <c r="D440" s="3">
        <v>0.6</v>
      </c>
      <c r="E440" s="3">
        <v>0.5</v>
      </c>
      <c r="F440" s="7">
        <v>653.91717500000004</v>
      </c>
      <c r="G440" s="3">
        <v>0.03</v>
      </c>
      <c r="I440" s="3" t="s">
        <v>270</v>
      </c>
      <c r="J440" s="3">
        <v>0.43</v>
      </c>
      <c r="K440" s="6">
        <v>649.87426800000003</v>
      </c>
      <c r="L440" s="3">
        <v>2E-3</v>
      </c>
      <c r="M440" s="3">
        <f t="shared" si="48"/>
        <v>0.46499999999999997</v>
      </c>
      <c r="N440" s="5"/>
      <c r="O440" s="5"/>
      <c r="P440" s="5"/>
      <c r="Q440" s="5"/>
      <c r="S440" s="3" t="s">
        <v>270</v>
      </c>
      <c r="T440" s="3">
        <v>0.9</v>
      </c>
      <c r="U440" s="3">
        <v>0.5</v>
      </c>
      <c r="V440" s="3">
        <v>0.6</v>
      </c>
      <c r="W440" s="3">
        <v>0.95</v>
      </c>
      <c r="X440" s="6">
        <v>663.98468000000003</v>
      </c>
      <c r="Y440" s="3">
        <v>1.7999999999999999E-2</v>
      </c>
      <c r="AA440" s="3" t="s">
        <v>270</v>
      </c>
      <c r="AB440" s="3">
        <v>0.91</v>
      </c>
      <c r="AC440" s="7">
        <v>667.42980999999997</v>
      </c>
      <c r="AD440" s="3">
        <v>4.0000000000000001E-3</v>
      </c>
      <c r="AE440" s="3">
        <f t="shared" si="49"/>
        <v>0.92999999999999994</v>
      </c>
      <c r="AF440" s="5"/>
      <c r="AG440" s="5"/>
      <c r="AH440" s="5"/>
      <c r="AI440" s="5"/>
      <c r="AK440" s="3" t="s">
        <v>271</v>
      </c>
      <c r="AL440" s="3">
        <v>0.9</v>
      </c>
      <c r="AM440" s="3">
        <v>0.5</v>
      </c>
      <c r="AN440" s="3">
        <v>0.6</v>
      </c>
      <c r="AO440" s="3">
        <v>0.93</v>
      </c>
      <c r="AP440" s="7">
        <v>1156.3131100000001</v>
      </c>
      <c r="AQ440" s="3">
        <v>0.03</v>
      </c>
      <c r="AS440" s="3" t="s">
        <v>271</v>
      </c>
      <c r="AT440" s="3">
        <v>0.46</v>
      </c>
      <c r="AU440" s="6">
        <v>1050.635376</v>
      </c>
      <c r="AV440" s="3">
        <v>1E-3</v>
      </c>
      <c r="AW440" s="3">
        <f t="shared" si="50"/>
        <v>0.69500000000000006</v>
      </c>
      <c r="AX440" s="5"/>
      <c r="AY440" s="5"/>
      <c r="AZ440" s="5"/>
      <c r="BA440" s="5"/>
      <c r="BC440" s="3" t="s">
        <v>271</v>
      </c>
      <c r="BD440" s="3">
        <v>0.9</v>
      </c>
      <c r="BE440" s="3">
        <v>0.5</v>
      </c>
      <c r="BF440" s="3">
        <v>0.6</v>
      </c>
      <c r="BG440" s="3">
        <v>0.69</v>
      </c>
      <c r="BH440" s="7">
        <v>1062.8472899999999</v>
      </c>
      <c r="BI440" s="3">
        <v>0.03</v>
      </c>
      <c r="BK440" s="3" t="s">
        <v>271</v>
      </c>
      <c r="BL440" s="3">
        <v>0.64</v>
      </c>
      <c r="BM440" s="6">
        <v>1058.1970209999999</v>
      </c>
      <c r="BN440" s="3">
        <v>1E-3</v>
      </c>
      <c r="BO440" s="3">
        <f t="shared" si="51"/>
        <v>0.66500000000000004</v>
      </c>
    </row>
    <row r="441" spans="1:67" x14ac:dyDescent="0.3">
      <c r="A441" s="3" t="s">
        <v>272</v>
      </c>
      <c r="B441" s="3">
        <v>0.9</v>
      </c>
      <c r="C441" s="3">
        <v>0.5</v>
      </c>
      <c r="D441" s="3">
        <v>0.6</v>
      </c>
      <c r="E441" s="3">
        <v>0.94</v>
      </c>
      <c r="F441" s="7">
        <v>890.96478300000001</v>
      </c>
      <c r="G441" s="3">
        <v>2.1999999999999999E-2</v>
      </c>
      <c r="I441" s="3" t="s">
        <v>272</v>
      </c>
      <c r="J441" s="3">
        <v>0.01</v>
      </c>
      <c r="K441" s="6">
        <v>694.27404799999999</v>
      </c>
      <c r="L441" s="3">
        <v>1E-3</v>
      </c>
      <c r="M441" s="3">
        <f t="shared" si="48"/>
        <v>0.47499999999999998</v>
      </c>
      <c r="N441" s="5"/>
      <c r="O441" s="5"/>
      <c r="P441" s="5"/>
      <c r="Q441" s="5"/>
      <c r="S441" s="3" t="s">
        <v>272</v>
      </c>
      <c r="T441" s="3">
        <v>0.9</v>
      </c>
      <c r="U441" s="3">
        <v>0.5</v>
      </c>
      <c r="V441" s="3">
        <v>0.6</v>
      </c>
      <c r="W441" s="3">
        <v>0.91</v>
      </c>
      <c r="X441" s="7">
        <v>878.62390100000005</v>
      </c>
      <c r="Y441" s="3">
        <v>2.1999999999999999E-2</v>
      </c>
      <c r="AA441" s="3" t="s">
        <v>272</v>
      </c>
      <c r="AB441" s="3">
        <v>0.56999999999999995</v>
      </c>
      <c r="AC441" s="6">
        <v>824.77685499999995</v>
      </c>
      <c r="AD441" s="3">
        <v>2E-3</v>
      </c>
      <c r="AE441" s="3">
        <f t="shared" si="49"/>
        <v>0.74</v>
      </c>
      <c r="AF441" s="5"/>
      <c r="AG441" s="5"/>
      <c r="AH441" s="5"/>
      <c r="AI441" s="5"/>
      <c r="AK441" s="3" t="s">
        <v>273</v>
      </c>
      <c r="AL441" s="3">
        <v>0.9</v>
      </c>
      <c r="AM441" s="3">
        <v>0.5</v>
      </c>
      <c r="AN441" s="3">
        <v>0.6</v>
      </c>
      <c r="AO441" s="3">
        <v>0.01</v>
      </c>
      <c r="AP441" s="6">
        <v>896.68231200000002</v>
      </c>
      <c r="AQ441" s="3">
        <v>2.4E-2</v>
      </c>
      <c r="AS441" s="3" t="s">
        <v>273</v>
      </c>
      <c r="AT441" s="3">
        <v>0.15</v>
      </c>
      <c r="AU441" s="7">
        <v>921.39544699999999</v>
      </c>
      <c r="AV441" s="3">
        <v>5.0000000000000001E-3</v>
      </c>
      <c r="AW441" s="3">
        <f t="shared" si="50"/>
        <v>0.08</v>
      </c>
      <c r="AX441" s="5"/>
      <c r="AY441" s="5"/>
      <c r="AZ441" s="5"/>
      <c r="BA441" s="5"/>
      <c r="BC441" s="3" t="s">
        <v>273</v>
      </c>
      <c r="BD441" s="3">
        <v>0.9</v>
      </c>
      <c r="BE441" s="3">
        <v>0.5</v>
      </c>
      <c r="BF441" s="3">
        <v>0.6</v>
      </c>
      <c r="BG441" s="3">
        <v>0.35</v>
      </c>
      <c r="BH441" s="6">
        <v>996.60260000000005</v>
      </c>
      <c r="BI441" s="3">
        <v>0.03</v>
      </c>
      <c r="BK441" s="3" t="s">
        <v>273</v>
      </c>
      <c r="BL441" s="3">
        <v>0.9</v>
      </c>
      <c r="BM441" s="7">
        <v>1148.7114260000001</v>
      </c>
      <c r="BN441" s="3">
        <v>2E-3</v>
      </c>
      <c r="BO441" s="3">
        <f t="shared" si="51"/>
        <v>0.625</v>
      </c>
    </row>
    <row r="442" spans="1:67" x14ac:dyDescent="0.3">
      <c r="A442" s="3" t="s">
        <v>274</v>
      </c>
      <c r="B442" s="3">
        <v>0.9</v>
      </c>
      <c r="C442" s="3">
        <v>0.5</v>
      </c>
      <c r="D442" s="3">
        <v>0.6</v>
      </c>
      <c r="E442" s="3">
        <v>7.0000000000000007E-2</v>
      </c>
      <c r="F442" s="6">
        <v>727.16033900000002</v>
      </c>
      <c r="G442" s="3">
        <v>2.5000000000000001E-2</v>
      </c>
      <c r="I442" s="3" t="s">
        <v>274</v>
      </c>
      <c r="J442" s="3">
        <v>0.13</v>
      </c>
      <c r="K442" s="7">
        <v>744.87988299999995</v>
      </c>
      <c r="L442" s="3">
        <v>4.0000000000000001E-3</v>
      </c>
      <c r="M442" s="3">
        <f t="shared" si="48"/>
        <v>0.1</v>
      </c>
      <c r="N442" s="5"/>
      <c r="O442" s="5"/>
      <c r="P442" s="5"/>
      <c r="Q442" s="5"/>
      <c r="S442" s="3" t="s">
        <v>274</v>
      </c>
      <c r="T442" s="3">
        <v>0.9</v>
      </c>
      <c r="U442" s="3">
        <v>0.5</v>
      </c>
      <c r="V442" s="3">
        <v>0.6</v>
      </c>
      <c r="W442" s="3">
        <v>0.71</v>
      </c>
      <c r="X442" s="7">
        <v>926.83166500000004</v>
      </c>
      <c r="Y442" s="3">
        <v>0.02</v>
      </c>
      <c r="AA442" s="3" t="s">
        <v>274</v>
      </c>
      <c r="AB442" s="3">
        <v>0.46</v>
      </c>
      <c r="AC442" s="6">
        <v>849.20013400000005</v>
      </c>
      <c r="AD442" s="3">
        <v>4.0000000000000001E-3</v>
      </c>
      <c r="AE442" s="3">
        <f t="shared" si="49"/>
        <v>0.58499999999999996</v>
      </c>
      <c r="AF442" s="5"/>
      <c r="AG442" s="5"/>
      <c r="AH442" s="5"/>
      <c r="AI442" s="5"/>
      <c r="AK442" s="3" t="s">
        <v>275</v>
      </c>
      <c r="AL442" s="3">
        <v>0.9</v>
      </c>
      <c r="AM442" s="3">
        <v>0.5</v>
      </c>
      <c r="AN442" s="3">
        <v>0.6</v>
      </c>
      <c r="AO442" s="3">
        <v>0.6</v>
      </c>
      <c r="AP442" s="6">
        <v>1257.931274</v>
      </c>
      <c r="AQ442" s="3">
        <v>4.2000000000000003E-2</v>
      </c>
      <c r="AS442" s="3" t="s">
        <v>275</v>
      </c>
      <c r="AT442" s="3">
        <v>0.64</v>
      </c>
      <c r="AU442" s="7">
        <v>1278.119019</v>
      </c>
      <c r="AV442" s="3">
        <v>2E-3</v>
      </c>
      <c r="AW442" s="3">
        <f t="shared" si="50"/>
        <v>0.62</v>
      </c>
      <c r="AX442" s="5"/>
      <c r="AY442" s="5"/>
      <c r="AZ442" s="5"/>
      <c r="BA442" s="5"/>
      <c r="BC442" s="3" t="s">
        <v>275</v>
      </c>
      <c r="BD442" s="3">
        <v>0.9</v>
      </c>
      <c r="BE442" s="3">
        <v>0.5</v>
      </c>
      <c r="BF442" s="3">
        <v>0.6</v>
      </c>
      <c r="BG442" s="3">
        <v>0.68</v>
      </c>
      <c r="BH442" s="6">
        <v>1252.791504</v>
      </c>
      <c r="BI442" s="3">
        <v>1.9E-2</v>
      </c>
      <c r="BK442" s="3" t="s">
        <v>275</v>
      </c>
      <c r="BL442" s="3">
        <v>0.85</v>
      </c>
      <c r="BM442" s="7">
        <v>1346.5701899999999</v>
      </c>
      <c r="BN442" s="3">
        <v>2E-3</v>
      </c>
      <c r="BO442" s="3">
        <f t="shared" si="51"/>
        <v>0.76500000000000001</v>
      </c>
    </row>
    <row r="443" spans="1:67" x14ac:dyDescent="0.3">
      <c r="A443" s="3" t="s">
        <v>276</v>
      </c>
      <c r="B443" s="3">
        <v>0.9</v>
      </c>
      <c r="C443" s="3">
        <v>0.5</v>
      </c>
      <c r="D443" s="3">
        <v>0.6</v>
      </c>
      <c r="E443" s="3">
        <v>0.69</v>
      </c>
      <c r="F443" s="7">
        <v>831.56298800000002</v>
      </c>
      <c r="G443" s="3">
        <v>8.0000000000000002E-3</v>
      </c>
      <c r="I443" s="3" t="s">
        <v>276</v>
      </c>
      <c r="J443" s="3">
        <v>0.22</v>
      </c>
      <c r="K443" s="6">
        <v>682.91009499999996</v>
      </c>
      <c r="L443" s="3">
        <v>1E-3</v>
      </c>
      <c r="M443" s="3">
        <f t="shared" si="48"/>
        <v>0.45499999999999996</v>
      </c>
      <c r="N443" s="5"/>
      <c r="O443" s="5"/>
      <c r="P443" s="5"/>
      <c r="Q443" s="5"/>
      <c r="S443" s="3" t="s">
        <v>276</v>
      </c>
      <c r="T443" s="3">
        <v>0.9</v>
      </c>
      <c r="U443" s="3">
        <v>0.5</v>
      </c>
      <c r="V443" s="3">
        <v>0.6</v>
      </c>
      <c r="W443" s="3">
        <v>0.19</v>
      </c>
      <c r="X443" s="6">
        <v>621.65399200000002</v>
      </c>
      <c r="Y443" s="3">
        <v>2.4E-2</v>
      </c>
      <c r="AA443" s="3" t="s">
        <v>276</v>
      </c>
      <c r="AB443" s="3">
        <v>0.49</v>
      </c>
      <c r="AC443" s="7">
        <v>732.04504399999996</v>
      </c>
      <c r="AD443" s="3">
        <v>4.0000000000000001E-3</v>
      </c>
      <c r="AE443" s="3">
        <f t="shared" si="49"/>
        <v>0.33999999999999997</v>
      </c>
      <c r="AF443" s="5"/>
      <c r="AG443" s="5"/>
      <c r="AH443" s="5"/>
      <c r="AI443" s="5"/>
      <c r="AK443" s="3" t="s">
        <v>277</v>
      </c>
      <c r="AL443" s="3">
        <v>0.9</v>
      </c>
      <c r="AM443" s="3">
        <v>0.5</v>
      </c>
      <c r="AN443" s="3">
        <v>0.6</v>
      </c>
      <c r="AO443" s="3">
        <v>0.38</v>
      </c>
      <c r="AP443" s="7">
        <v>1017.958923</v>
      </c>
      <c r="AQ443" s="3">
        <v>1.9E-2</v>
      </c>
      <c r="AS443" s="3" t="s">
        <v>277</v>
      </c>
      <c r="AT443" s="3">
        <v>0.09</v>
      </c>
      <c r="AU443" s="6">
        <v>832.53051800000003</v>
      </c>
      <c r="AV443" s="3">
        <v>4.0000000000000001E-3</v>
      </c>
      <c r="AW443" s="3">
        <f t="shared" si="50"/>
        <v>0.23499999999999999</v>
      </c>
      <c r="AX443" s="5"/>
      <c r="AY443" s="5"/>
      <c r="AZ443" s="5"/>
      <c r="BA443" s="5"/>
      <c r="BC443" s="3" t="s">
        <v>277</v>
      </c>
      <c r="BD443" s="3">
        <v>0.9</v>
      </c>
      <c r="BE443" s="3">
        <v>0.5</v>
      </c>
      <c r="BF443" s="3">
        <v>0.6</v>
      </c>
      <c r="BG443" s="3">
        <v>0.85</v>
      </c>
      <c r="BH443" s="7">
        <v>1177.9620359999999</v>
      </c>
      <c r="BI443" s="3">
        <v>2.7E-2</v>
      </c>
      <c r="BK443" s="3" t="s">
        <v>277</v>
      </c>
      <c r="BL443" s="3">
        <v>0.13</v>
      </c>
      <c r="BM443" s="6">
        <v>826.20025599999997</v>
      </c>
      <c r="BN443" s="3">
        <v>1.0999999999999999E-2</v>
      </c>
      <c r="BO443" s="3">
        <f t="shared" si="51"/>
        <v>0.49</v>
      </c>
    </row>
    <row r="444" spans="1:67" x14ac:dyDescent="0.3">
      <c r="A444" s="3" t="s">
        <v>278</v>
      </c>
      <c r="B444" s="3">
        <v>0.9</v>
      </c>
      <c r="C444" s="3">
        <v>0.5</v>
      </c>
      <c r="D444" s="3">
        <v>0.6</v>
      </c>
      <c r="E444" s="3">
        <v>0.02</v>
      </c>
      <c r="F444" s="6">
        <v>602.39593500000001</v>
      </c>
      <c r="G444" s="3">
        <v>1.0999999999999999E-2</v>
      </c>
      <c r="I444" s="3" t="s">
        <v>278</v>
      </c>
      <c r="J444" s="3">
        <v>0.32</v>
      </c>
      <c r="K444" s="7">
        <v>670.98431400000004</v>
      </c>
      <c r="L444" s="3">
        <v>1E-3</v>
      </c>
      <c r="M444" s="3">
        <f t="shared" si="48"/>
        <v>0.17</v>
      </c>
      <c r="N444" s="5"/>
      <c r="O444" s="5"/>
      <c r="P444" s="5"/>
      <c r="Q444" s="5"/>
      <c r="S444" s="3" t="s">
        <v>278</v>
      </c>
      <c r="T444" s="3">
        <v>0.9</v>
      </c>
      <c r="U444" s="3">
        <v>0.5</v>
      </c>
      <c r="V444" s="3">
        <v>0.6</v>
      </c>
      <c r="W444" s="3">
        <v>0.49</v>
      </c>
      <c r="X444" s="6">
        <v>703.60730000000001</v>
      </c>
      <c r="Y444" s="3">
        <v>3.4000000000000002E-2</v>
      </c>
      <c r="AA444" s="3" t="s">
        <v>278</v>
      </c>
      <c r="AB444" s="3">
        <v>0.68</v>
      </c>
      <c r="AC444" s="7">
        <v>756.99139400000001</v>
      </c>
      <c r="AD444" s="3">
        <v>1E-3</v>
      </c>
      <c r="AE444" s="3">
        <f t="shared" si="49"/>
        <v>0.58499999999999996</v>
      </c>
      <c r="AF444" s="5"/>
      <c r="AG444" s="5"/>
      <c r="AH444" s="5"/>
      <c r="AI444" s="5"/>
      <c r="AK444" s="3" t="s">
        <v>279</v>
      </c>
      <c r="AL444" s="3">
        <v>0.9</v>
      </c>
      <c r="AM444" s="3">
        <v>0.5</v>
      </c>
      <c r="AN444" s="3">
        <v>0.6</v>
      </c>
      <c r="AO444" s="3">
        <v>0.78</v>
      </c>
      <c r="AP444" s="6">
        <v>1298.7963870000001</v>
      </c>
      <c r="AQ444" s="3">
        <v>3.6999999999999998E-2</v>
      </c>
      <c r="AS444" s="3" t="s">
        <v>279</v>
      </c>
      <c r="AT444" s="3">
        <v>0.97</v>
      </c>
      <c r="AU444" s="7">
        <v>1356.5787350000001</v>
      </c>
      <c r="AV444" s="3">
        <v>3.0000000000000001E-3</v>
      </c>
      <c r="AW444" s="3">
        <f t="shared" si="50"/>
        <v>0.875</v>
      </c>
      <c r="AX444" s="5"/>
      <c r="AY444" s="5"/>
      <c r="AZ444" s="5"/>
      <c r="BA444" s="5"/>
      <c r="BC444" s="3" t="s">
        <v>279</v>
      </c>
      <c r="BD444" s="3">
        <v>0.9</v>
      </c>
      <c r="BE444" s="3">
        <v>0.5</v>
      </c>
      <c r="BF444" s="3">
        <v>0.6</v>
      </c>
      <c r="BG444" s="3">
        <v>0.98</v>
      </c>
      <c r="BH444" s="7">
        <v>1323.560913</v>
      </c>
      <c r="BI444" s="3">
        <v>4.2999999999999997E-2</v>
      </c>
      <c r="BK444" s="3" t="s">
        <v>279</v>
      </c>
      <c r="BL444" s="3">
        <v>0.27</v>
      </c>
      <c r="BM444" s="6">
        <v>1049.395874</v>
      </c>
      <c r="BN444" s="3">
        <v>8.0000000000000002E-3</v>
      </c>
      <c r="BO444" s="3">
        <f t="shared" si="51"/>
        <v>0.625</v>
      </c>
    </row>
    <row r="445" spans="1:67" x14ac:dyDescent="0.3">
      <c r="A445" s="3" t="s">
        <v>280</v>
      </c>
      <c r="B445" s="3">
        <v>0.9</v>
      </c>
      <c r="C445" s="3">
        <v>0.5</v>
      </c>
      <c r="D445" s="3">
        <v>0.6</v>
      </c>
      <c r="E445" s="3">
        <v>0.04</v>
      </c>
      <c r="F445" s="6">
        <v>737.60131799999999</v>
      </c>
      <c r="G445" s="3">
        <v>1.9E-2</v>
      </c>
      <c r="I445" s="3" t="s">
        <v>280</v>
      </c>
      <c r="J445" s="3">
        <v>0.41</v>
      </c>
      <c r="K445" s="7">
        <v>951.03942900000004</v>
      </c>
      <c r="L445" s="3">
        <v>1E-3</v>
      </c>
      <c r="M445" s="3">
        <f t="shared" si="48"/>
        <v>0.22499999999999998</v>
      </c>
      <c r="N445" s="5"/>
      <c r="O445" s="5"/>
      <c r="P445" s="5"/>
      <c r="Q445" s="5"/>
      <c r="S445" s="3" t="s">
        <v>280</v>
      </c>
      <c r="T445" s="3">
        <v>0.9</v>
      </c>
      <c r="U445" s="3">
        <v>0.5</v>
      </c>
      <c r="V445" s="3">
        <v>0.6</v>
      </c>
      <c r="W445" s="3">
        <v>0.65</v>
      </c>
      <c r="X445" s="7">
        <v>1016.5766599999999</v>
      </c>
      <c r="Y445" s="3">
        <v>1.7999999999999999E-2</v>
      </c>
      <c r="AA445" s="3" t="s">
        <v>280</v>
      </c>
      <c r="AB445" s="3">
        <v>0.06</v>
      </c>
      <c r="AC445" s="6">
        <v>726.42620799999997</v>
      </c>
      <c r="AD445" s="3">
        <v>5.0000000000000001E-3</v>
      </c>
      <c r="AE445" s="3">
        <f t="shared" si="49"/>
        <v>0.35499999999999998</v>
      </c>
      <c r="AF445" s="5"/>
      <c r="AG445" s="5"/>
      <c r="AH445" s="5"/>
      <c r="AI445" s="5"/>
      <c r="AK445" s="3" t="s">
        <v>281</v>
      </c>
      <c r="AL445" s="3">
        <v>0.9</v>
      </c>
      <c r="AM445" s="3">
        <v>0.5</v>
      </c>
      <c r="AN445" s="3">
        <v>0.6</v>
      </c>
      <c r="AO445" s="3">
        <v>0.9</v>
      </c>
      <c r="AP445" s="7">
        <v>1329.212524</v>
      </c>
      <c r="AQ445" s="3">
        <v>2.1999999999999999E-2</v>
      </c>
      <c r="AS445" s="3" t="s">
        <v>281</v>
      </c>
      <c r="AT445" s="3">
        <v>0.79</v>
      </c>
      <c r="AU445" s="6">
        <v>1310.1072999999999</v>
      </c>
      <c r="AV445" s="3">
        <v>3.0000000000000001E-3</v>
      </c>
      <c r="AW445" s="3">
        <f t="shared" si="50"/>
        <v>0.84499999999999997</v>
      </c>
      <c r="AX445" s="5"/>
      <c r="AY445" s="5"/>
      <c r="AZ445" s="5"/>
      <c r="BA445" s="5"/>
      <c r="BC445" s="3" t="s">
        <v>281</v>
      </c>
      <c r="BD445" s="3">
        <v>0.9</v>
      </c>
      <c r="BE445" s="3">
        <v>0.5</v>
      </c>
      <c r="BF445" s="3">
        <v>0.6</v>
      </c>
      <c r="BG445" s="3">
        <v>0.59</v>
      </c>
      <c r="BH445" s="7">
        <v>1218.990601</v>
      </c>
      <c r="BI445" s="3">
        <v>3.3000000000000002E-2</v>
      </c>
      <c r="BK445" s="3" t="s">
        <v>281</v>
      </c>
      <c r="BL445" s="3">
        <v>0.16</v>
      </c>
      <c r="BM445" s="6">
        <v>969.68597399999999</v>
      </c>
      <c r="BN445" s="3">
        <v>8.0000000000000002E-3</v>
      </c>
      <c r="BO445" s="3">
        <f t="shared" si="51"/>
        <v>0.375</v>
      </c>
    </row>
    <row r="446" spans="1:67" x14ac:dyDescent="0.3">
      <c r="A446" s="3" t="s">
        <v>282</v>
      </c>
      <c r="B446" s="3">
        <v>0.9</v>
      </c>
      <c r="C446" s="3">
        <v>0.5</v>
      </c>
      <c r="D446" s="3">
        <v>0.6</v>
      </c>
      <c r="E446" s="3">
        <v>0.43</v>
      </c>
      <c r="F446" s="6">
        <v>869.76654099999996</v>
      </c>
      <c r="G446" s="3">
        <v>2.4E-2</v>
      </c>
      <c r="I446" s="3" t="s">
        <v>282</v>
      </c>
      <c r="J446" s="3">
        <v>0.5</v>
      </c>
      <c r="K446" s="7">
        <v>936.307861</v>
      </c>
      <c r="L446" s="3">
        <v>2.1000000000000001E-2</v>
      </c>
      <c r="M446" s="3">
        <f t="shared" si="48"/>
        <v>0.46499999999999997</v>
      </c>
      <c r="N446" s="5"/>
      <c r="O446" s="5"/>
      <c r="P446" s="5"/>
      <c r="Q446" s="5"/>
      <c r="S446" s="3" t="s">
        <v>282</v>
      </c>
      <c r="T446" s="3">
        <v>0.9</v>
      </c>
      <c r="U446" s="3">
        <v>0.5</v>
      </c>
      <c r="V446" s="3">
        <v>0.6</v>
      </c>
      <c r="W446" s="3">
        <v>0.38</v>
      </c>
      <c r="X446" s="7">
        <v>834.10095200000001</v>
      </c>
      <c r="Y446" s="3">
        <v>2.9000000000000001E-2</v>
      </c>
      <c r="AA446" s="3" t="s">
        <v>282</v>
      </c>
      <c r="AB446" s="3">
        <v>0.31</v>
      </c>
      <c r="AC446" s="6">
        <v>780.73211700000002</v>
      </c>
      <c r="AD446" s="3">
        <v>2E-3</v>
      </c>
      <c r="AE446" s="3">
        <f t="shared" si="49"/>
        <v>0.34499999999999997</v>
      </c>
      <c r="AF446" s="5"/>
      <c r="AG446" s="5"/>
      <c r="AH446" s="5"/>
      <c r="AI446" s="5"/>
      <c r="AK446" s="3" t="s">
        <v>283</v>
      </c>
      <c r="AL446" s="3">
        <v>0.9</v>
      </c>
      <c r="AM446" s="3">
        <v>0.5</v>
      </c>
      <c r="AN446" s="3">
        <v>0.6</v>
      </c>
      <c r="AO446" s="3">
        <v>0.01</v>
      </c>
      <c r="AP446" s="6">
        <v>890.46758999999997</v>
      </c>
      <c r="AQ446" s="3">
        <v>3.5000000000000003E-2</v>
      </c>
      <c r="AS446" s="3" t="s">
        <v>283</v>
      </c>
      <c r="AT446" s="3">
        <v>0.66</v>
      </c>
      <c r="AU446" s="7">
        <v>1170.946289</v>
      </c>
      <c r="AV446" s="3">
        <v>3.0000000000000001E-3</v>
      </c>
      <c r="AW446" s="3">
        <f t="shared" si="50"/>
        <v>0.33500000000000002</v>
      </c>
      <c r="AX446" s="5"/>
      <c r="AY446" s="5"/>
      <c r="AZ446" s="5"/>
      <c r="BA446" s="5"/>
      <c r="BC446" s="3" t="s">
        <v>283</v>
      </c>
      <c r="BD446" s="3">
        <v>0.9</v>
      </c>
      <c r="BE446" s="3">
        <v>0.5</v>
      </c>
      <c r="BF446" s="3">
        <v>0.6</v>
      </c>
      <c r="BG446" s="3">
        <v>7.0000000000000007E-2</v>
      </c>
      <c r="BH446" s="6">
        <v>831.14782700000001</v>
      </c>
      <c r="BI446" s="3">
        <v>3.2000000000000001E-2</v>
      </c>
      <c r="BK446" s="3" t="s">
        <v>283</v>
      </c>
      <c r="BL446" s="3">
        <v>0.15</v>
      </c>
      <c r="BM446" s="7">
        <v>902.82019000000003</v>
      </c>
      <c r="BN446" s="3">
        <v>3.0000000000000001E-3</v>
      </c>
      <c r="BO446" s="3">
        <f t="shared" si="51"/>
        <v>0.11</v>
      </c>
    </row>
    <row r="447" spans="1:67" x14ac:dyDescent="0.3">
      <c r="A447" s="3" t="s">
        <v>284</v>
      </c>
      <c r="B447" s="3">
        <v>0.9</v>
      </c>
      <c r="C447" s="3">
        <v>0.5</v>
      </c>
      <c r="D447" s="3">
        <v>0.6</v>
      </c>
      <c r="E447" s="3">
        <v>0.72</v>
      </c>
      <c r="F447" s="7">
        <v>962.16156000000001</v>
      </c>
      <c r="G447" s="3">
        <v>2.1000000000000001E-2</v>
      </c>
      <c r="I447" s="3" t="s">
        <v>284</v>
      </c>
      <c r="J447" s="3">
        <v>0.03</v>
      </c>
      <c r="K447" s="6">
        <v>742.27502400000003</v>
      </c>
      <c r="L447" s="3">
        <v>1E-3</v>
      </c>
      <c r="M447" s="3">
        <f t="shared" si="48"/>
        <v>0.375</v>
      </c>
      <c r="N447" s="5"/>
      <c r="O447" s="5"/>
      <c r="P447" s="5"/>
      <c r="Q447" s="5"/>
      <c r="S447" s="3" t="s">
        <v>284</v>
      </c>
      <c r="T447" s="3">
        <v>0.9</v>
      </c>
      <c r="U447" s="3">
        <v>0.5</v>
      </c>
      <c r="V447" s="3">
        <v>0.6</v>
      </c>
      <c r="W447" s="3">
        <v>0.84</v>
      </c>
      <c r="X447" s="7">
        <v>973.832764</v>
      </c>
      <c r="Y447" s="3">
        <v>1.4999999999999999E-2</v>
      </c>
      <c r="AA447" s="3" t="s">
        <v>284</v>
      </c>
      <c r="AB447" s="3">
        <v>0.42</v>
      </c>
      <c r="AC447" s="6">
        <v>853.14031999999997</v>
      </c>
      <c r="AD447" s="3">
        <v>3.0000000000000001E-3</v>
      </c>
      <c r="AE447" s="3">
        <f t="shared" si="49"/>
        <v>0.63</v>
      </c>
      <c r="AF447" s="5"/>
      <c r="AG447" s="5"/>
      <c r="AH447" s="5"/>
      <c r="AI447" s="5"/>
      <c r="AK447" s="3" t="s">
        <v>285</v>
      </c>
      <c r="AL447" s="3">
        <v>0.9</v>
      </c>
      <c r="AM447" s="3">
        <v>0.5</v>
      </c>
      <c r="AN447" s="3">
        <v>0.6</v>
      </c>
      <c r="AO447" s="3">
        <v>0.01</v>
      </c>
      <c r="AP447" s="6">
        <v>988.68133499999999</v>
      </c>
      <c r="AQ447" s="3">
        <v>2.1999999999999999E-2</v>
      </c>
      <c r="AS447" s="3" t="s">
        <v>285</v>
      </c>
      <c r="AT447" s="3">
        <v>0.96</v>
      </c>
      <c r="AU447" s="7">
        <v>1388.861572</v>
      </c>
      <c r="AV447" s="3">
        <v>8.0000000000000002E-3</v>
      </c>
      <c r="AW447" s="3">
        <f t="shared" si="50"/>
        <v>0.48499999999999999</v>
      </c>
      <c r="AX447" s="5"/>
      <c r="AY447" s="5"/>
      <c r="AZ447" s="5"/>
      <c r="BA447" s="5"/>
      <c r="BC447" s="3" t="s">
        <v>285</v>
      </c>
      <c r="BD447" s="3">
        <v>0.9</v>
      </c>
      <c r="BE447" s="3">
        <v>0.5</v>
      </c>
      <c r="BF447" s="3">
        <v>0.6</v>
      </c>
      <c r="BG447" s="3">
        <v>0.3</v>
      </c>
      <c r="BH447" s="6">
        <v>1070.862061</v>
      </c>
      <c r="BI447" s="3">
        <v>3.5000000000000003E-2</v>
      </c>
      <c r="BK447" s="3" t="s">
        <v>285</v>
      </c>
      <c r="BL447" s="3">
        <v>0.9</v>
      </c>
      <c r="BM447" s="7">
        <v>1336.538086</v>
      </c>
      <c r="BN447" s="3">
        <v>5.0000000000000001E-3</v>
      </c>
      <c r="BO447" s="3">
        <f t="shared" si="51"/>
        <v>0.6</v>
      </c>
    </row>
    <row r="448" spans="1:67" x14ac:dyDescent="0.3">
      <c r="A448" s="3" t="s">
        <v>286</v>
      </c>
      <c r="B448" s="3">
        <v>0.9</v>
      </c>
      <c r="C448" s="3">
        <v>0.5</v>
      </c>
      <c r="D448" s="3">
        <v>0.6</v>
      </c>
      <c r="E448" s="3">
        <v>0.39</v>
      </c>
      <c r="F448" s="7">
        <v>745.68261700000005</v>
      </c>
      <c r="G448" s="3">
        <v>1.9E-2</v>
      </c>
      <c r="I448" s="3" t="s">
        <v>286</v>
      </c>
      <c r="J448" s="3">
        <v>0.17</v>
      </c>
      <c r="K448" s="6">
        <v>685.70929000000001</v>
      </c>
      <c r="L448" s="3">
        <v>5.0000000000000001E-3</v>
      </c>
      <c r="M448" s="3">
        <f t="shared" si="48"/>
        <v>0.28000000000000003</v>
      </c>
      <c r="N448" s="5"/>
      <c r="O448" s="5"/>
      <c r="P448" s="5"/>
      <c r="Q448" s="5"/>
      <c r="S448" s="3" t="s">
        <v>286</v>
      </c>
      <c r="T448" s="3">
        <v>0.9</v>
      </c>
      <c r="U448" s="3">
        <v>0.5</v>
      </c>
      <c r="V448" s="3">
        <v>0.6</v>
      </c>
      <c r="W448" s="3">
        <v>0.69</v>
      </c>
      <c r="X448" s="7">
        <v>821.45214799999997</v>
      </c>
      <c r="Y448" s="3">
        <v>2.1000000000000001E-2</v>
      </c>
      <c r="AA448" s="3" t="s">
        <v>286</v>
      </c>
      <c r="AB448" s="3">
        <v>0.14000000000000001</v>
      </c>
      <c r="AC448" s="6">
        <v>663.10168499999997</v>
      </c>
      <c r="AD448" s="3">
        <v>1E-3</v>
      </c>
      <c r="AE448" s="3">
        <f t="shared" si="49"/>
        <v>0.41499999999999998</v>
      </c>
      <c r="AF448" s="5"/>
      <c r="AG448" s="5"/>
      <c r="AH448" s="5"/>
      <c r="AI448" s="5"/>
      <c r="AK448" s="3" t="s">
        <v>287</v>
      </c>
      <c r="AL448" s="3">
        <v>0.9</v>
      </c>
      <c r="AM448" s="3">
        <v>0.5</v>
      </c>
      <c r="AN448" s="3">
        <v>0.6</v>
      </c>
      <c r="AO448" s="3">
        <v>0.91</v>
      </c>
      <c r="AP448" s="7">
        <v>1264.2062989999999</v>
      </c>
      <c r="AQ448" s="3">
        <v>3.1E-2</v>
      </c>
      <c r="AS448" s="3" t="s">
        <v>287</v>
      </c>
      <c r="AT448" s="3">
        <v>0.43</v>
      </c>
      <c r="AU448" s="6">
        <v>1085.9111330000001</v>
      </c>
      <c r="AV448" s="3">
        <v>2E-3</v>
      </c>
      <c r="AW448" s="3">
        <f t="shared" si="50"/>
        <v>0.67</v>
      </c>
      <c r="AX448" s="5"/>
      <c r="AY448" s="5"/>
      <c r="AZ448" s="5"/>
      <c r="BA448" s="5"/>
      <c r="BC448" s="3" t="s">
        <v>287</v>
      </c>
      <c r="BD448" s="3">
        <v>0.9</v>
      </c>
      <c r="BE448" s="3">
        <v>0.5</v>
      </c>
      <c r="BF448" s="3">
        <v>0.6</v>
      </c>
      <c r="BG448" s="3">
        <v>0.26</v>
      </c>
      <c r="BH448" s="6">
        <v>969.61010699999997</v>
      </c>
      <c r="BI448" s="3">
        <v>2.1999999999999999E-2</v>
      </c>
      <c r="BK448" s="3" t="s">
        <v>287</v>
      </c>
      <c r="BL448" s="3">
        <v>0.57999999999999996</v>
      </c>
      <c r="BM448" s="7">
        <v>1125.8199460000001</v>
      </c>
      <c r="BN448" s="3">
        <v>5.0000000000000001E-3</v>
      </c>
      <c r="BO448" s="3">
        <f t="shared" si="51"/>
        <v>0.42</v>
      </c>
    </row>
    <row r="449" spans="1:67" x14ac:dyDescent="0.3">
      <c r="A449" s="3" t="s">
        <v>288</v>
      </c>
      <c r="B449" s="3">
        <v>0.9</v>
      </c>
      <c r="C449" s="3">
        <v>0.5</v>
      </c>
      <c r="D449" s="3">
        <v>0.6</v>
      </c>
      <c r="E449" s="3">
        <v>0.86</v>
      </c>
      <c r="F449" s="7">
        <v>949.21746800000005</v>
      </c>
      <c r="G449" s="3">
        <v>2.1000000000000001E-2</v>
      </c>
      <c r="I449" s="3" t="s">
        <v>288</v>
      </c>
      <c r="J449" s="3">
        <v>0.74</v>
      </c>
      <c r="K449" s="6">
        <v>918.63586399999997</v>
      </c>
      <c r="L449" s="3">
        <v>3.0000000000000001E-3</v>
      </c>
      <c r="M449" s="3">
        <f t="shared" si="48"/>
        <v>0.8</v>
      </c>
      <c r="N449" s="5"/>
      <c r="O449" s="5"/>
      <c r="P449" s="5"/>
      <c r="Q449" s="5"/>
      <c r="S449" s="3" t="s">
        <v>288</v>
      </c>
      <c r="T449" s="3">
        <v>0.9</v>
      </c>
      <c r="U449" s="3">
        <v>0.5</v>
      </c>
      <c r="V449" s="3">
        <v>0.6</v>
      </c>
      <c r="W449" s="3">
        <v>0.75</v>
      </c>
      <c r="X449" s="7">
        <v>891.88891599999999</v>
      </c>
      <c r="Y449" s="3">
        <v>2.5000000000000001E-2</v>
      </c>
      <c r="AA449" s="3" t="s">
        <v>288</v>
      </c>
      <c r="AB449" s="3">
        <v>0.31</v>
      </c>
      <c r="AC449" s="6">
        <v>707.34417699999995</v>
      </c>
      <c r="AD449" s="3">
        <v>1E-3</v>
      </c>
      <c r="AE449" s="3">
        <f t="shared" si="49"/>
        <v>0.53</v>
      </c>
      <c r="AF449" s="5"/>
      <c r="AG449" s="5"/>
      <c r="AH449" s="5"/>
      <c r="AI449" s="5"/>
      <c r="AK449" s="3" t="s">
        <v>289</v>
      </c>
      <c r="AL449" s="3">
        <v>0.9</v>
      </c>
      <c r="AM449" s="3">
        <v>0.5</v>
      </c>
      <c r="AN449" s="3">
        <v>0.6</v>
      </c>
      <c r="AO449" s="3">
        <v>0.52</v>
      </c>
      <c r="AP449" s="7">
        <v>1254.9410399999999</v>
      </c>
      <c r="AQ449" s="3">
        <v>4.2999999999999997E-2</v>
      </c>
      <c r="AS449" s="3" t="s">
        <v>289</v>
      </c>
      <c r="AT449" s="3">
        <v>0.52</v>
      </c>
      <c r="AU449" s="6">
        <v>1239.3133539999999</v>
      </c>
      <c r="AV449" s="3">
        <v>6.0000000000000001E-3</v>
      </c>
      <c r="AW449" s="3">
        <f t="shared" si="50"/>
        <v>0.52</v>
      </c>
      <c r="AX449" s="5"/>
      <c r="AY449" s="5"/>
      <c r="AZ449" s="5"/>
      <c r="BA449" s="5"/>
      <c r="BC449" s="3" t="s">
        <v>289</v>
      </c>
      <c r="BD449" s="3">
        <v>0.9</v>
      </c>
      <c r="BE449" s="3">
        <v>0.5</v>
      </c>
      <c r="BF449" s="3">
        <v>0.6</v>
      </c>
      <c r="BG449" s="3">
        <v>0.59</v>
      </c>
      <c r="BH449" s="6">
        <v>1250.279297</v>
      </c>
      <c r="BI449" s="3">
        <v>3.3000000000000002E-2</v>
      </c>
      <c r="BK449" s="3" t="s">
        <v>289</v>
      </c>
      <c r="BL449" s="3">
        <v>0.77</v>
      </c>
      <c r="BM449" s="7">
        <v>1347.792236</v>
      </c>
      <c r="BN449" s="3">
        <v>2E-3</v>
      </c>
      <c r="BO449" s="3">
        <f t="shared" si="51"/>
        <v>0.67999999999999994</v>
      </c>
    </row>
    <row r="450" spans="1:67" x14ac:dyDescent="0.3">
      <c r="A450" s="3" t="s">
        <v>290</v>
      </c>
      <c r="B450" s="3">
        <v>0.9</v>
      </c>
      <c r="C450" s="3">
        <v>0.5</v>
      </c>
      <c r="D450" s="3">
        <v>0.6</v>
      </c>
      <c r="E450" s="3">
        <v>0.71</v>
      </c>
      <c r="F450" s="7">
        <v>862.34246800000005</v>
      </c>
      <c r="G450" s="3">
        <v>0.03</v>
      </c>
      <c r="I450" s="3" t="s">
        <v>290</v>
      </c>
      <c r="J450" s="3">
        <v>0.51</v>
      </c>
      <c r="K450" s="6">
        <v>809.819885</v>
      </c>
      <c r="L450" s="3">
        <v>2E-3</v>
      </c>
      <c r="M450" s="3">
        <f t="shared" si="48"/>
        <v>0.61</v>
      </c>
      <c r="N450" s="5"/>
      <c r="O450" s="5"/>
      <c r="P450" s="5"/>
      <c r="Q450" s="5"/>
      <c r="S450" s="3" t="s">
        <v>290</v>
      </c>
      <c r="T450" s="3">
        <v>0.9</v>
      </c>
      <c r="U450" s="3">
        <v>0.5</v>
      </c>
      <c r="V450" s="3">
        <v>0.6</v>
      </c>
      <c r="W450" s="3">
        <v>0.22</v>
      </c>
      <c r="X450" s="6">
        <v>668.42657499999996</v>
      </c>
      <c r="Y450" s="3">
        <v>2.3E-2</v>
      </c>
      <c r="AA450" s="3" t="s">
        <v>290</v>
      </c>
      <c r="AB450" s="3">
        <v>0.87</v>
      </c>
      <c r="AC450" s="7">
        <v>890.36627199999998</v>
      </c>
      <c r="AD450" s="3">
        <v>5.0000000000000001E-3</v>
      </c>
      <c r="AE450" s="3">
        <f t="shared" si="49"/>
        <v>0.54500000000000004</v>
      </c>
      <c r="AF450" s="5"/>
      <c r="AG450" s="5"/>
      <c r="AH450" s="5"/>
      <c r="AI450" s="5"/>
      <c r="AK450" s="3" t="s">
        <v>291</v>
      </c>
      <c r="AL450" s="3">
        <v>0.9</v>
      </c>
      <c r="AM450" s="3">
        <v>0.5</v>
      </c>
      <c r="AN450" s="3">
        <v>0.6</v>
      </c>
      <c r="AO450" s="3">
        <v>0.09</v>
      </c>
      <c r="AP450" s="6">
        <v>889.87634300000002</v>
      </c>
      <c r="AQ450" s="3">
        <v>2.1000000000000001E-2</v>
      </c>
      <c r="AS450" s="3" t="s">
        <v>291</v>
      </c>
      <c r="AT450" s="3">
        <v>0.97</v>
      </c>
      <c r="AU450" s="7">
        <v>1266.7114260000001</v>
      </c>
      <c r="AV450" s="3">
        <v>3.0000000000000001E-3</v>
      </c>
      <c r="AW450" s="3">
        <f t="shared" si="50"/>
        <v>0.53</v>
      </c>
      <c r="AX450" s="5"/>
      <c r="AY450" s="5"/>
      <c r="AZ450" s="5"/>
      <c r="BA450" s="5"/>
      <c r="BC450" s="3" t="s">
        <v>291</v>
      </c>
      <c r="BD450" s="3">
        <v>0.9</v>
      </c>
      <c r="BE450" s="3">
        <v>0.5</v>
      </c>
      <c r="BF450" s="3">
        <v>0.6</v>
      </c>
      <c r="BG450" s="3">
        <v>0.39</v>
      </c>
      <c r="BH450" s="6">
        <v>1080.4086910000001</v>
      </c>
      <c r="BI450" s="3">
        <v>1.9E-2</v>
      </c>
      <c r="BK450" s="3" t="s">
        <v>291</v>
      </c>
      <c r="BL450" s="3">
        <v>0.97</v>
      </c>
      <c r="BM450" s="7">
        <v>1259.876831</v>
      </c>
      <c r="BN450" s="3">
        <v>1E-3</v>
      </c>
      <c r="BO450" s="3">
        <f t="shared" si="51"/>
        <v>0.67999999999999994</v>
      </c>
    </row>
    <row r="451" spans="1:67" x14ac:dyDescent="0.3">
      <c r="A451" s="3" t="s">
        <v>292</v>
      </c>
      <c r="B451" s="3">
        <v>0.9</v>
      </c>
      <c r="C451" s="3">
        <v>0.5</v>
      </c>
      <c r="D451" s="3">
        <v>0.6</v>
      </c>
      <c r="E451" s="3">
        <v>0.46</v>
      </c>
      <c r="F451" s="6">
        <v>895.15924099999995</v>
      </c>
      <c r="G451" s="3">
        <v>1.7999999999999999E-2</v>
      </c>
      <c r="I451" s="3" t="s">
        <v>292</v>
      </c>
      <c r="J451" s="3">
        <v>0.77</v>
      </c>
      <c r="K451" s="7">
        <v>954.990906</v>
      </c>
      <c r="L451" s="3">
        <v>1E-3</v>
      </c>
      <c r="M451" s="3">
        <f t="shared" si="48"/>
        <v>0.61499999999999999</v>
      </c>
      <c r="N451" s="5"/>
      <c r="O451" s="5"/>
      <c r="P451" s="5"/>
      <c r="Q451" s="5"/>
      <c r="S451" s="3" t="s">
        <v>292</v>
      </c>
      <c r="T451" s="3">
        <v>0.9</v>
      </c>
      <c r="U451" s="3">
        <v>0.5</v>
      </c>
      <c r="V451" s="3">
        <v>0.6</v>
      </c>
      <c r="W451" s="3">
        <v>0.79</v>
      </c>
      <c r="X451" s="7">
        <v>992.40460199999995</v>
      </c>
      <c r="Y451" s="3">
        <v>1.6E-2</v>
      </c>
      <c r="AA451" s="3" t="s">
        <v>292</v>
      </c>
      <c r="AB451" s="3">
        <v>0.67</v>
      </c>
      <c r="AC451" s="6">
        <v>924.10327099999995</v>
      </c>
      <c r="AD451" s="3">
        <v>1E-3</v>
      </c>
      <c r="AE451" s="3">
        <f t="shared" si="49"/>
        <v>0.73</v>
      </c>
      <c r="AF451" s="5"/>
      <c r="AG451" s="5"/>
      <c r="AH451" s="5"/>
      <c r="AI451" s="5"/>
      <c r="AK451" s="3" t="s">
        <v>293</v>
      </c>
      <c r="AL451" s="3">
        <v>0.9</v>
      </c>
      <c r="AM451" s="3">
        <v>0.5</v>
      </c>
      <c r="AN451" s="3">
        <v>0.6</v>
      </c>
      <c r="AO451" s="3">
        <v>0.57999999999999996</v>
      </c>
      <c r="AP451" s="6">
        <v>1280.087769</v>
      </c>
      <c r="AQ451" s="3">
        <v>1.7999999999999999E-2</v>
      </c>
      <c r="AS451" s="3" t="s">
        <v>293</v>
      </c>
      <c r="AT451" s="3">
        <v>0.67</v>
      </c>
      <c r="AU451" s="7">
        <v>1303.9351810000001</v>
      </c>
      <c r="AV451" s="3">
        <v>3.0000000000000001E-3</v>
      </c>
      <c r="AW451" s="3">
        <f t="shared" si="50"/>
        <v>0.625</v>
      </c>
      <c r="AX451" s="5"/>
      <c r="AY451" s="5"/>
      <c r="AZ451" s="5"/>
      <c r="BA451" s="5"/>
      <c r="BC451" s="3" t="s">
        <v>293</v>
      </c>
      <c r="BD451" s="3">
        <v>0.9</v>
      </c>
      <c r="BE451" s="3">
        <v>0.5</v>
      </c>
      <c r="BF451" s="3">
        <v>0.6</v>
      </c>
      <c r="BG451" s="3">
        <v>0.42</v>
      </c>
      <c r="BH451" s="6">
        <v>1171.5582280000001</v>
      </c>
      <c r="BI451" s="3">
        <v>0.02</v>
      </c>
      <c r="BK451" s="3" t="s">
        <v>293</v>
      </c>
      <c r="BL451" s="3">
        <v>0.95</v>
      </c>
      <c r="BM451" s="7">
        <v>1388.9368899999999</v>
      </c>
      <c r="BN451" s="3">
        <v>2E-3</v>
      </c>
      <c r="BO451" s="3">
        <f t="shared" si="51"/>
        <v>0.68499999999999994</v>
      </c>
    </row>
    <row r="452" spans="1:67" x14ac:dyDescent="0.3">
      <c r="A452" s="3" t="s">
        <v>294</v>
      </c>
      <c r="B452" s="3">
        <v>0.9</v>
      </c>
      <c r="C452" s="3">
        <v>0.5</v>
      </c>
      <c r="D452" s="3">
        <v>0.6</v>
      </c>
      <c r="E452" s="3">
        <v>0.47</v>
      </c>
      <c r="F452" s="6">
        <v>1007.297546</v>
      </c>
      <c r="G452" s="3">
        <v>1.7000000000000001E-2</v>
      </c>
      <c r="I452" s="3" t="s">
        <v>294</v>
      </c>
      <c r="J452" s="3">
        <v>0.67</v>
      </c>
      <c r="K452" s="7">
        <v>1079.7655030000001</v>
      </c>
      <c r="L452" s="3">
        <v>3.0000000000000001E-3</v>
      </c>
      <c r="M452" s="3">
        <f t="shared" si="48"/>
        <v>0.57000000000000006</v>
      </c>
      <c r="N452" s="5"/>
      <c r="O452" s="5"/>
      <c r="P452" s="5"/>
      <c r="Q452" s="5"/>
      <c r="S452" s="3" t="s">
        <v>294</v>
      </c>
      <c r="T452" s="3">
        <v>0.9</v>
      </c>
      <c r="U452" s="3">
        <v>0.5</v>
      </c>
      <c r="V452" s="3">
        <v>0.6</v>
      </c>
      <c r="W452" s="3">
        <v>0.71</v>
      </c>
      <c r="X452" s="7">
        <v>1075.8588870000001</v>
      </c>
      <c r="Y452" s="3">
        <v>2.5999999999999999E-2</v>
      </c>
      <c r="AA452" s="3" t="s">
        <v>294</v>
      </c>
      <c r="AB452" s="3">
        <v>0.28999999999999998</v>
      </c>
      <c r="AC452" s="6">
        <v>910.50506600000006</v>
      </c>
      <c r="AD452" s="3">
        <v>3.0000000000000001E-3</v>
      </c>
      <c r="AE452" s="3">
        <f t="shared" si="49"/>
        <v>0.5</v>
      </c>
      <c r="AF452" s="5"/>
      <c r="AG452" s="5"/>
      <c r="AH452" s="5"/>
      <c r="AI452" s="5"/>
      <c r="AK452" s="3" t="s">
        <v>295</v>
      </c>
      <c r="AL452" s="3">
        <v>0.9</v>
      </c>
      <c r="AM452" s="3">
        <v>0.5</v>
      </c>
      <c r="AN452" s="3">
        <v>0.6</v>
      </c>
      <c r="AO452" s="3">
        <v>0.44</v>
      </c>
      <c r="AP452" s="7">
        <v>1315.5986330000001</v>
      </c>
      <c r="AQ452" s="3">
        <v>3.6999999999999998E-2</v>
      </c>
      <c r="AS452" s="3" t="s">
        <v>295</v>
      </c>
      <c r="AT452" s="3">
        <v>0.35</v>
      </c>
      <c r="AU452" s="6">
        <v>1236.4195560000001</v>
      </c>
      <c r="AV452" s="3">
        <v>4.0000000000000001E-3</v>
      </c>
      <c r="AW452" s="3">
        <f t="shared" si="50"/>
        <v>0.39500000000000002</v>
      </c>
      <c r="AX452" s="5"/>
      <c r="AY452" s="5"/>
      <c r="AZ452" s="5"/>
      <c r="BA452" s="5"/>
      <c r="BC452" s="3" t="s">
        <v>295</v>
      </c>
      <c r="BD452" s="3">
        <v>0.9</v>
      </c>
      <c r="BE452" s="3">
        <v>0.5</v>
      </c>
      <c r="BF452" s="3">
        <v>0.6</v>
      </c>
      <c r="BG452" s="3">
        <v>0.43</v>
      </c>
      <c r="BH452" s="7">
        <v>1270.857788</v>
      </c>
      <c r="BI452" s="3">
        <v>2.5999999999999999E-2</v>
      </c>
      <c r="BK452" s="3" t="s">
        <v>295</v>
      </c>
      <c r="BL452" s="3">
        <v>0.04</v>
      </c>
      <c r="BM452" s="6">
        <v>962.13147000000004</v>
      </c>
      <c r="BN452" s="3">
        <v>7.0000000000000001E-3</v>
      </c>
      <c r="BO452" s="3">
        <f t="shared" si="51"/>
        <v>0.23499999999999999</v>
      </c>
    </row>
    <row r="453" spans="1:67" x14ac:dyDescent="0.3">
      <c r="A453" s="3" t="s">
        <v>296</v>
      </c>
      <c r="B453" s="3">
        <v>0.9</v>
      </c>
      <c r="C453" s="3">
        <v>0.5</v>
      </c>
      <c r="D453" s="3">
        <v>0.6</v>
      </c>
      <c r="E453" s="3">
        <v>0.87</v>
      </c>
      <c r="F453" s="6">
        <v>1078.30835</v>
      </c>
      <c r="G453" s="3">
        <v>1.2E-2</v>
      </c>
      <c r="I453" s="3" t="s">
        <v>296</v>
      </c>
      <c r="J453" s="3">
        <v>0.87</v>
      </c>
      <c r="K453" s="7">
        <v>1093.695557</v>
      </c>
      <c r="L453" s="3">
        <v>2E-3</v>
      </c>
      <c r="M453" s="3">
        <f t="shared" si="48"/>
        <v>0.87</v>
      </c>
      <c r="N453" s="5"/>
      <c r="O453" s="5"/>
      <c r="P453" s="5"/>
      <c r="Q453" s="5"/>
      <c r="S453" s="3" t="s">
        <v>296</v>
      </c>
      <c r="T453" s="3">
        <v>0.9</v>
      </c>
      <c r="U453" s="3">
        <v>0.5</v>
      </c>
      <c r="V453" s="3">
        <v>0.6</v>
      </c>
      <c r="W453" s="3">
        <v>0.74</v>
      </c>
      <c r="X453" s="7">
        <v>1049.3524170000001</v>
      </c>
      <c r="Y453" s="3">
        <v>2.1000000000000001E-2</v>
      </c>
      <c r="AA453" s="3" t="s">
        <v>296</v>
      </c>
      <c r="AB453" s="3">
        <v>0.57999999999999996</v>
      </c>
      <c r="AC453" s="6">
        <v>1008.151672</v>
      </c>
      <c r="AD453" s="3">
        <v>1E-3</v>
      </c>
      <c r="AE453" s="3">
        <f t="shared" si="49"/>
        <v>0.65999999999999992</v>
      </c>
      <c r="AF453" s="5"/>
      <c r="AG453" s="5"/>
      <c r="AH453" s="5"/>
      <c r="AI453" s="5"/>
      <c r="AK453" s="3" t="s">
        <v>297</v>
      </c>
      <c r="AL453" s="3">
        <v>0.9</v>
      </c>
      <c r="AM453" s="3">
        <v>0.5</v>
      </c>
      <c r="AN453" s="3">
        <v>0.6</v>
      </c>
      <c r="AO453" s="3">
        <v>0.36</v>
      </c>
      <c r="AP453" s="7">
        <v>1167.1601559999999</v>
      </c>
      <c r="AQ453" s="3">
        <v>2.9000000000000001E-2</v>
      </c>
      <c r="AS453" s="3" t="s">
        <v>297</v>
      </c>
      <c r="AT453" s="3">
        <v>0.03</v>
      </c>
      <c r="AU453" s="6">
        <v>942.618469</v>
      </c>
      <c r="AV453" s="3">
        <v>5.0000000000000001E-3</v>
      </c>
      <c r="AW453" s="3">
        <f t="shared" si="50"/>
        <v>0.19500000000000001</v>
      </c>
      <c r="AX453" s="5"/>
      <c r="AY453" s="5"/>
      <c r="AZ453" s="5"/>
      <c r="BA453" s="5"/>
      <c r="BC453" s="3" t="s">
        <v>297</v>
      </c>
      <c r="BD453" s="3">
        <v>0.9</v>
      </c>
      <c r="BE453" s="3">
        <v>0.5</v>
      </c>
      <c r="BF453" s="3">
        <v>0.6</v>
      </c>
      <c r="BG453" s="3">
        <v>0.63</v>
      </c>
      <c r="BH453" s="7">
        <v>1342.846436</v>
      </c>
      <c r="BI453" s="3">
        <v>1.7999999999999999E-2</v>
      </c>
      <c r="BK453" s="3" t="s">
        <v>297</v>
      </c>
      <c r="BL453" s="3">
        <v>0.52</v>
      </c>
      <c r="BM453" s="6">
        <v>1286.830078</v>
      </c>
      <c r="BN453" s="3">
        <v>2E-3</v>
      </c>
      <c r="BO453" s="3">
        <f t="shared" si="51"/>
        <v>0.57499999999999996</v>
      </c>
    </row>
    <row r="454" spans="1:67" x14ac:dyDescent="0.3">
      <c r="A454" s="3" t="s">
        <v>298</v>
      </c>
      <c r="B454" s="3">
        <v>0.9</v>
      </c>
      <c r="C454" s="3">
        <v>0.5</v>
      </c>
      <c r="D454" s="3">
        <v>0.6</v>
      </c>
      <c r="E454" s="3">
        <v>0.36</v>
      </c>
      <c r="F454" s="7">
        <v>765.813354</v>
      </c>
      <c r="G454" s="3">
        <v>3.7999999999999999E-2</v>
      </c>
      <c r="I454" s="3" t="s">
        <v>298</v>
      </c>
      <c r="J454" s="3">
        <v>0.23</v>
      </c>
      <c r="K454" s="6">
        <v>740.45800799999995</v>
      </c>
      <c r="L454" s="3">
        <v>2E-3</v>
      </c>
      <c r="M454" s="3">
        <f t="shared" si="48"/>
        <v>0.29499999999999998</v>
      </c>
      <c r="N454" s="5"/>
      <c r="O454" s="5"/>
      <c r="P454" s="5"/>
      <c r="Q454" s="5"/>
      <c r="S454" s="3" t="s">
        <v>298</v>
      </c>
      <c r="T454" s="3">
        <v>0.9</v>
      </c>
      <c r="U454" s="3">
        <v>0.5</v>
      </c>
      <c r="V454" s="3">
        <v>0.6</v>
      </c>
      <c r="W454" s="3">
        <v>0.26</v>
      </c>
      <c r="X454" s="7">
        <v>717.47045900000001</v>
      </c>
      <c r="Y454" s="3">
        <v>1.7000000000000001E-2</v>
      </c>
      <c r="AA454" s="3" t="s">
        <v>298</v>
      </c>
      <c r="AB454" s="3">
        <v>0.05</v>
      </c>
      <c r="AC454" s="6">
        <v>647.85687299999995</v>
      </c>
      <c r="AD454" s="3">
        <v>2E-3</v>
      </c>
      <c r="AE454" s="3">
        <f t="shared" si="49"/>
        <v>0.155</v>
      </c>
      <c r="AF454" s="5"/>
      <c r="AG454" s="5"/>
      <c r="AH454" s="5"/>
      <c r="AI454" s="5"/>
      <c r="AK454" s="3" t="s">
        <v>299</v>
      </c>
      <c r="AL454" s="3">
        <v>0.9</v>
      </c>
      <c r="AM454" s="3">
        <v>0.5</v>
      </c>
      <c r="AN454" s="3">
        <v>0.6</v>
      </c>
      <c r="AO454" s="3">
        <v>0.57999999999999996</v>
      </c>
      <c r="AP454" s="6">
        <v>1408.8283690000001</v>
      </c>
      <c r="AQ454" s="3">
        <v>2.7E-2</v>
      </c>
      <c r="AS454" s="3" t="s">
        <v>299</v>
      </c>
      <c r="AT454" s="3">
        <v>0.84</v>
      </c>
      <c r="AU454" s="7">
        <v>1589.236938</v>
      </c>
      <c r="AV454" s="3">
        <v>6.0000000000000001E-3</v>
      </c>
      <c r="AW454" s="3">
        <f t="shared" si="50"/>
        <v>0.71</v>
      </c>
      <c r="AX454" s="5"/>
      <c r="AY454" s="5"/>
      <c r="AZ454" s="5"/>
      <c r="BA454" s="5"/>
      <c r="BC454" s="3" t="s">
        <v>299</v>
      </c>
      <c r="BD454" s="3">
        <v>0.9</v>
      </c>
      <c r="BE454" s="3">
        <v>0.5</v>
      </c>
      <c r="BF454" s="3">
        <v>0.6</v>
      </c>
      <c r="BG454" s="3">
        <v>0.62</v>
      </c>
      <c r="BH454" s="7">
        <v>1402.2154539999999</v>
      </c>
      <c r="BI454" s="3">
        <v>1.4999999999999999E-2</v>
      </c>
      <c r="BK454" s="3" t="s">
        <v>299</v>
      </c>
      <c r="BL454" s="3">
        <v>0.59</v>
      </c>
      <c r="BM454" s="6">
        <v>1389.4914550000001</v>
      </c>
      <c r="BN454" s="3">
        <v>6.0000000000000001E-3</v>
      </c>
      <c r="BO454" s="3">
        <f t="shared" si="51"/>
        <v>0.60499999999999998</v>
      </c>
    </row>
    <row r="455" spans="1:67" x14ac:dyDescent="0.3">
      <c r="A455" s="3" t="s">
        <v>300</v>
      </c>
      <c r="B455" s="3">
        <v>0.9</v>
      </c>
      <c r="C455" s="3">
        <v>0.5</v>
      </c>
      <c r="D455" s="3">
        <v>0.6</v>
      </c>
      <c r="E455" s="3">
        <v>0.94</v>
      </c>
      <c r="F455" s="7">
        <v>1044.869385</v>
      </c>
      <c r="G455" s="3">
        <v>2.8000000000000001E-2</v>
      </c>
      <c r="I455" s="3" t="s">
        <v>300</v>
      </c>
      <c r="J455" s="3">
        <v>0.52</v>
      </c>
      <c r="K455" s="6">
        <v>933.56201199999998</v>
      </c>
      <c r="L455" s="3">
        <v>6.0000000000000001E-3</v>
      </c>
      <c r="M455" s="3">
        <f t="shared" si="48"/>
        <v>0.73</v>
      </c>
      <c r="N455" s="5"/>
      <c r="O455" s="5"/>
      <c r="P455" s="5"/>
      <c r="Q455" s="5"/>
      <c r="S455" s="3" t="s">
        <v>300</v>
      </c>
      <c r="T455" s="3">
        <v>0.9</v>
      </c>
      <c r="U455" s="3">
        <v>0.5</v>
      </c>
      <c r="V455" s="3">
        <v>0.6</v>
      </c>
      <c r="W455" s="3">
        <v>0.83</v>
      </c>
      <c r="X455" s="6">
        <v>978.84271200000001</v>
      </c>
      <c r="Y455" s="3">
        <v>1.4999999999999999E-2</v>
      </c>
      <c r="AA455" s="3" t="s">
        <v>300</v>
      </c>
      <c r="AB455" s="3">
        <v>0.75</v>
      </c>
      <c r="AC455" s="7">
        <v>984.87683100000004</v>
      </c>
      <c r="AD455" s="3">
        <v>1E-3</v>
      </c>
      <c r="AE455" s="3">
        <f t="shared" si="49"/>
        <v>0.79</v>
      </c>
      <c r="AF455" s="5"/>
      <c r="AG455" s="5"/>
      <c r="AH455" s="5"/>
      <c r="AI455" s="5"/>
      <c r="AK455" s="3" t="s">
        <v>301</v>
      </c>
      <c r="AL455" s="3">
        <v>0.9</v>
      </c>
      <c r="AM455" s="3">
        <v>0.5</v>
      </c>
      <c r="AN455" s="3">
        <v>0.6</v>
      </c>
      <c r="AO455" s="3">
        <v>0.87</v>
      </c>
      <c r="AP455" s="6">
        <v>1496.121216</v>
      </c>
      <c r="AQ455" s="3">
        <v>2.8000000000000001E-2</v>
      </c>
      <c r="AS455" s="3" t="s">
        <v>301</v>
      </c>
      <c r="AT455" s="3">
        <v>0.73</v>
      </c>
      <c r="AU455" s="7">
        <v>1372.5157469999999</v>
      </c>
      <c r="AV455" s="3">
        <v>1E-3</v>
      </c>
      <c r="AW455" s="3">
        <f t="shared" si="50"/>
        <v>0.8</v>
      </c>
      <c r="AX455" s="5"/>
      <c r="AY455" s="5"/>
      <c r="AZ455" s="5"/>
      <c r="BA455" s="5"/>
      <c r="BC455" s="3" t="s">
        <v>301</v>
      </c>
      <c r="BD455" s="3">
        <v>0.9</v>
      </c>
      <c r="BE455" s="3">
        <v>0.5</v>
      </c>
      <c r="BF455" s="3">
        <v>0.6</v>
      </c>
      <c r="BG455" s="3">
        <v>0.13</v>
      </c>
      <c r="BH455" s="6">
        <v>1014.939209</v>
      </c>
      <c r="BI455" s="3">
        <v>2.1000000000000001E-2</v>
      </c>
      <c r="BK455" s="3" t="s">
        <v>301</v>
      </c>
      <c r="BL455" s="3">
        <v>0.01</v>
      </c>
      <c r="BM455" s="7">
        <v>1063.3328859999999</v>
      </c>
      <c r="BN455" s="3">
        <v>1E-3</v>
      </c>
      <c r="BO455" s="3">
        <f t="shared" si="51"/>
        <v>7.0000000000000007E-2</v>
      </c>
    </row>
    <row r="456" spans="1:67" x14ac:dyDescent="0.3">
      <c r="A456" s="3" t="s">
        <v>302</v>
      </c>
      <c r="B456" s="3">
        <v>0.9</v>
      </c>
      <c r="C456" s="3">
        <v>0.5</v>
      </c>
      <c r="D456" s="3">
        <v>0.6</v>
      </c>
      <c r="E456" s="3">
        <v>0.74</v>
      </c>
      <c r="F456" s="7">
        <v>955.16156000000001</v>
      </c>
      <c r="G456" s="3">
        <v>1.2999999999999999E-2</v>
      </c>
      <c r="I456" s="3" t="s">
        <v>302</v>
      </c>
      <c r="J456" s="3">
        <v>0.63</v>
      </c>
      <c r="K456" s="6">
        <v>943.22900400000003</v>
      </c>
      <c r="L456" s="3">
        <v>8.0000000000000002E-3</v>
      </c>
      <c r="M456" s="3">
        <f t="shared" si="48"/>
        <v>0.68500000000000005</v>
      </c>
      <c r="N456" s="5"/>
      <c r="O456" s="5"/>
      <c r="P456" s="5"/>
      <c r="Q456" s="5"/>
      <c r="S456" s="3" t="s">
        <v>302</v>
      </c>
      <c r="T456" s="3">
        <v>0.9</v>
      </c>
      <c r="U456" s="3">
        <v>0.5</v>
      </c>
      <c r="V456" s="3">
        <v>0.6</v>
      </c>
      <c r="W456" s="3">
        <v>0.61</v>
      </c>
      <c r="X456" s="7">
        <v>938.14318800000001</v>
      </c>
      <c r="Y456" s="3">
        <v>1.2999999999999999E-2</v>
      </c>
      <c r="AA456" s="3" t="s">
        <v>302</v>
      </c>
      <c r="AB456" s="3">
        <v>0.69</v>
      </c>
      <c r="AC456" s="6">
        <v>935.44628899999998</v>
      </c>
      <c r="AD456" s="3">
        <v>1E-3</v>
      </c>
      <c r="AE456" s="3">
        <f t="shared" si="49"/>
        <v>0.64999999999999991</v>
      </c>
      <c r="AF456" s="5"/>
      <c r="AG456" s="5"/>
      <c r="AH456" s="5"/>
      <c r="AI456" s="5"/>
      <c r="AK456" s="3" t="s">
        <v>303</v>
      </c>
      <c r="AL456" s="3">
        <v>0.9</v>
      </c>
      <c r="AM456" s="3">
        <v>0.5</v>
      </c>
      <c r="AN456" s="3">
        <v>0.6</v>
      </c>
      <c r="AO456" s="3">
        <v>0.08</v>
      </c>
      <c r="AP456" s="6">
        <v>974.76190199999996</v>
      </c>
      <c r="AQ456" s="3">
        <v>2.8000000000000001E-2</v>
      </c>
      <c r="AS456" s="3" t="s">
        <v>303</v>
      </c>
      <c r="AT456" s="3">
        <v>0.47</v>
      </c>
      <c r="AU456" s="7">
        <v>1232.2969969999999</v>
      </c>
      <c r="AV456" s="3">
        <v>5.0000000000000001E-3</v>
      </c>
      <c r="AW456" s="3">
        <f t="shared" si="50"/>
        <v>0.27499999999999997</v>
      </c>
      <c r="AX456" s="5"/>
      <c r="AY456" s="5"/>
      <c r="AZ456" s="5"/>
      <c r="BA456" s="5"/>
      <c r="BC456" s="3" t="s">
        <v>303</v>
      </c>
      <c r="BD456" s="3">
        <v>0.9</v>
      </c>
      <c r="BE456" s="3">
        <v>0.5</v>
      </c>
      <c r="BF456" s="3">
        <v>0.6</v>
      </c>
      <c r="BG456" s="3">
        <v>0.52</v>
      </c>
      <c r="BH456" s="7">
        <v>1261.5992429999999</v>
      </c>
      <c r="BI456" s="3">
        <v>2.4E-2</v>
      </c>
      <c r="BK456" s="3" t="s">
        <v>303</v>
      </c>
      <c r="BL456" s="3">
        <v>0.26</v>
      </c>
      <c r="BM456" s="6">
        <v>1060.4022219999999</v>
      </c>
      <c r="BN456" s="3">
        <v>7.0000000000000001E-3</v>
      </c>
      <c r="BO456" s="3">
        <f t="shared" si="51"/>
        <v>0.39</v>
      </c>
    </row>
    <row r="457" spans="1:67" x14ac:dyDescent="0.3">
      <c r="A457" s="3" t="s">
        <v>304</v>
      </c>
      <c r="B457" s="3">
        <v>0.9</v>
      </c>
      <c r="C457" s="3">
        <v>0.5</v>
      </c>
      <c r="D457" s="3">
        <v>0.6</v>
      </c>
      <c r="E457" s="3">
        <v>0.73</v>
      </c>
      <c r="F457" s="7">
        <v>1079.1098629999999</v>
      </c>
      <c r="G457" s="3">
        <v>2.1999999999999999E-2</v>
      </c>
      <c r="I457" s="3" t="s">
        <v>304</v>
      </c>
      <c r="J457" s="3">
        <v>0.26</v>
      </c>
      <c r="K457" s="6">
        <v>897.48065199999996</v>
      </c>
      <c r="L457" s="3">
        <v>1.2E-2</v>
      </c>
      <c r="M457" s="3">
        <f t="shared" si="48"/>
        <v>0.495</v>
      </c>
      <c r="N457" s="5"/>
      <c r="O457" s="5"/>
      <c r="P457" s="5"/>
      <c r="Q457" s="5"/>
      <c r="S457" s="3" t="s">
        <v>304</v>
      </c>
      <c r="T457" s="3">
        <v>0.9</v>
      </c>
      <c r="U457" s="3">
        <v>0.5</v>
      </c>
      <c r="V457" s="3">
        <v>0.6</v>
      </c>
      <c r="W457" s="3">
        <v>0.41</v>
      </c>
      <c r="X457" s="6">
        <v>947.75750700000003</v>
      </c>
      <c r="Y457" s="3">
        <v>1.2999999999999999E-2</v>
      </c>
      <c r="AA457" s="3" t="s">
        <v>304</v>
      </c>
      <c r="AB457" s="3">
        <v>0.98</v>
      </c>
      <c r="AC457" s="7">
        <v>1095.1982419999999</v>
      </c>
      <c r="AD457" s="3">
        <v>1E-3</v>
      </c>
      <c r="AE457" s="3">
        <f t="shared" si="49"/>
        <v>0.69499999999999995</v>
      </c>
      <c r="AF457" s="5"/>
      <c r="AG457" s="5"/>
      <c r="AH457" s="5"/>
      <c r="AI457" s="5"/>
      <c r="AK457" s="3" t="s">
        <v>305</v>
      </c>
      <c r="AL457" s="3">
        <v>0.9</v>
      </c>
      <c r="AM457" s="3">
        <v>0.5</v>
      </c>
      <c r="AN457" s="3">
        <v>0.6</v>
      </c>
      <c r="AO457" s="3">
        <v>0.55000000000000004</v>
      </c>
      <c r="AP457" s="6">
        <v>1405.8129879999999</v>
      </c>
      <c r="AQ457" s="3">
        <v>0.03</v>
      </c>
      <c r="AS457" s="3" t="s">
        <v>305</v>
      </c>
      <c r="AT457" s="3">
        <v>0.89</v>
      </c>
      <c r="AU457" s="7">
        <v>1571.509155</v>
      </c>
      <c r="AV457" s="3">
        <v>8.0000000000000002E-3</v>
      </c>
      <c r="AW457" s="3">
        <f t="shared" si="50"/>
        <v>0.72</v>
      </c>
      <c r="AX457" s="5"/>
      <c r="AY457" s="5"/>
      <c r="AZ457" s="5"/>
      <c r="BA457" s="5"/>
      <c r="BC457" s="3" t="s">
        <v>305</v>
      </c>
      <c r="BD457" s="3">
        <v>0.9</v>
      </c>
      <c r="BE457" s="3">
        <v>0.5</v>
      </c>
      <c r="BF457" s="3">
        <v>0.6</v>
      </c>
      <c r="BG457" s="3">
        <v>0.14000000000000001</v>
      </c>
      <c r="BH457" s="6">
        <v>1024.8122559999999</v>
      </c>
      <c r="BI457" s="3">
        <v>1.7999999999999999E-2</v>
      </c>
      <c r="BK457" s="3" t="s">
        <v>305</v>
      </c>
      <c r="BL457" s="3">
        <v>0.37</v>
      </c>
      <c r="BM457" s="7">
        <v>1218.3992920000001</v>
      </c>
      <c r="BN457" s="3">
        <v>3.0000000000000001E-3</v>
      </c>
      <c r="BO457" s="3">
        <f t="shared" si="51"/>
        <v>0.255</v>
      </c>
    </row>
    <row r="458" spans="1:67" x14ac:dyDescent="0.3">
      <c r="A458" s="3" t="s">
        <v>306</v>
      </c>
      <c r="B458" s="3">
        <v>0.9</v>
      </c>
      <c r="C458" s="3">
        <v>0.5</v>
      </c>
      <c r="D458" s="3">
        <v>0.6</v>
      </c>
      <c r="E458" s="3">
        <v>0.98</v>
      </c>
      <c r="F458" s="7">
        <v>1167.9499510000001</v>
      </c>
      <c r="G458" s="3">
        <v>2.5999999999999999E-2</v>
      </c>
      <c r="I458" s="3" t="s">
        <v>306</v>
      </c>
      <c r="J458" s="3">
        <v>0.78</v>
      </c>
      <c r="K458" s="6">
        <v>1071.9282229999999</v>
      </c>
      <c r="L458" s="3">
        <v>2E-3</v>
      </c>
      <c r="M458" s="3">
        <f t="shared" si="48"/>
        <v>0.88</v>
      </c>
      <c r="N458" s="5"/>
      <c r="O458" s="5"/>
      <c r="P458" s="5"/>
      <c r="Q458" s="5"/>
      <c r="S458" s="3" t="s">
        <v>306</v>
      </c>
      <c r="T458" s="3">
        <v>0.9</v>
      </c>
      <c r="U458" s="3">
        <v>0.5</v>
      </c>
      <c r="V458" s="3">
        <v>0.6</v>
      </c>
      <c r="W458" s="3">
        <v>0.37</v>
      </c>
      <c r="X458" s="6">
        <v>964.96105999999997</v>
      </c>
      <c r="Y458" s="3">
        <v>1.9E-2</v>
      </c>
      <c r="AA458" s="3" t="s">
        <v>306</v>
      </c>
      <c r="AB458" s="3">
        <v>0.72</v>
      </c>
      <c r="AC458" s="7">
        <v>1082.00415</v>
      </c>
      <c r="AD458" s="3">
        <v>2E-3</v>
      </c>
      <c r="AE458" s="3">
        <f t="shared" si="49"/>
        <v>0.54499999999999993</v>
      </c>
      <c r="AF458" s="5"/>
      <c r="AG458" s="5"/>
      <c r="AH458" s="5"/>
      <c r="AI458" s="5"/>
      <c r="AK458" s="3" t="s">
        <v>307</v>
      </c>
      <c r="AL458" s="3">
        <v>0.9</v>
      </c>
      <c r="AM458" s="3">
        <v>0.5</v>
      </c>
      <c r="AN458" s="3">
        <v>0.6</v>
      </c>
      <c r="AO458" s="3">
        <v>0.27</v>
      </c>
      <c r="AP458" s="6">
        <v>1113.3726810000001</v>
      </c>
      <c r="AQ458" s="3">
        <v>1.6E-2</v>
      </c>
      <c r="AS458" s="3" t="s">
        <v>307</v>
      </c>
      <c r="AT458" s="3">
        <v>0.97</v>
      </c>
      <c r="AU458" s="7">
        <v>1463.1972659999999</v>
      </c>
      <c r="AV458" s="3">
        <v>3.0000000000000001E-3</v>
      </c>
      <c r="AW458" s="3">
        <f t="shared" si="50"/>
        <v>0.62</v>
      </c>
      <c r="AX458" s="5"/>
      <c r="AY458" s="5"/>
      <c r="AZ458" s="5"/>
      <c r="BA458" s="5"/>
      <c r="BC458" s="3" t="s">
        <v>307</v>
      </c>
      <c r="BD458" s="3">
        <v>0.9</v>
      </c>
      <c r="BE458" s="3">
        <v>0.5</v>
      </c>
      <c r="BF458" s="3">
        <v>0.6</v>
      </c>
      <c r="BG458" s="3">
        <v>0.12</v>
      </c>
      <c r="BH458" s="6">
        <v>967.95800799999995</v>
      </c>
      <c r="BI458" s="3">
        <v>0.02</v>
      </c>
      <c r="BK458" s="3" t="s">
        <v>307</v>
      </c>
      <c r="BL458" s="3">
        <v>0.83</v>
      </c>
      <c r="BM458" s="7">
        <v>1433.808716</v>
      </c>
      <c r="BN458" s="3">
        <v>1E-3</v>
      </c>
      <c r="BO458" s="3">
        <f t="shared" si="51"/>
        <v>0.47499999999999998</v>
      </c>
    </row>
    <row r="459" spans="1:67" x14ac:dyDescent="0.3">
      <c r="A459" s="3" t="s">
        <v>308</v>
      </c>
      <c r="B459" s="3">
        <v>0.9</v>
      </c>
      <c r="C459" s="3">
        <v>0.5</v>
      </c>
      <c r="D459" s="3">
        <v>0.6</v>
      </c>
      <c r="E459" s="3">
        <v>0.27</v>
      </c>
      <c r="F459" s="6">
        <v>926.25537099999997</v>
      </c>
      <c r="G459" s="3">
        <v>3.7999999999999999E-2</v>
      </c>
      <c r="I459" s="3" t="s">
        <v>308</v>
      </c>
      <c r="J459" s="3">
        <v>0.79</v>
      </c>
      <c r="K459" s="7">
        <v>1102.307251</v>
      </c>
      <c r="L459" s="3">
        <v>4.0000000000000001E-3</v>
      </c>
      <c r="M459" s="3">
        <f t="shared" si="48"/>
        <v>0.53</v>
      </c>
      <c r="N459" s="5"/>
      <c r="O459" s="5"/>
      <c r="P459" s="5"/>
      <c r="Q459" s="5"/>
      <c r="S459" s="3" t="s">
        <v>308</v>
      </c>
      <c r="T459" s="3">
        <v>0.9</v>
      </c>
      <c r="U459" s="3">
        <v>0.5</v>
      </c>
      <c r="V459" s="3">
        <v>0.6</v>
      </c>
      <c r="W459" s="3">
        <v>0.75</v>
      </c>
      <c r="X459" s="6">
        <v>1072.4197999999999</v>
      </c>
      <c r="Y459" s="3">
        <v>1.0999999999999999E-2</v>
      </c>
      <c r="AA459" s="3" t="s">
        <v>308</v>
      </c>
      <c r="AB459" s="3">
        <v>0.85</v>
      </c>
      <c r="AC459" s="7">
        <v>1095.9646</v>
      </c>
      <c r="AD459" s="3">
        <v>5.0000000000000001E-3</v>
      </c>
      <c r="AE459" s="3">
        <f t="shared" si="49"/>
        <v>0.8</v>
      </c>
      <c r="AF459" s="5"/>
      <c r="AG459" s="5"/>
      <c r="AH459" s="5"/>
      <c r="AI459" s="5"/>
      <c r="AK459" s="3" t="s">
        <v>309</v>
      </c>
      <c r="AL459" s="3">
        <v>0.9</v>
      </c>
      <c r="AM459" s="3">
        <v>0.5</v>
      </c>
      <c r="AN459" s="3">
        <v>0.6</v>
      </c>
      <c r="AO459" s="3">
        <v>0.74</v>
      </c>
      <c r="AP459" s="7">
        <v>1523.7020259999999</v>
      </c>
      <c r="AQ459" s="3">
        <v>4.3999999999999997E-2</v>
      </c>
      <c r="AS459" s="3" t="s">
        <v>309</v>
      </c>
      <c r="AT459" s="3">
        <v>0.72</v>
      </c>
      <c r="AU459" s="6">
        <v>1461.447876</v>
      </c>
      <c r="AV459" s="3">
        <v>2E-3</v>
      </c>
      <c r="AW459" s="3">
        <f t="shared" si="50"/>
        <v>0.73</v>
      </c>
      <c r="AX459" s="5"/>
      <c r="AY459" s="5"/>
      <c r="AZ459" s="5"/>
      <c r="BA459" s="5"/>
      <c r="BC459" s="3" t="s">
        <v>309</v>
      </c>
      <c r="BD459" s="3">
        <v>0.9</v>
      </c>
      <c r="BE459" s="3">
        <v>0.5</v>
      </c>
      <c r="BF459" s="3">
        <v>0.6</v>
      </c>
      <c r="BG459" s="3">
        <v>0.34</v>
      </c>
      <c r="BH459" s="7">
        <v>1177.9560550000001</v>
      </c>
      <c r="BI459" s="3">
        <v>0.02</v>
      </c>
      <c r="BK459" s="3" t="s">
        <v>309</v>
      </c>
      <c r="BL459" s="3">
        <v>0.17</v>
      </c>
      <c r="BM459" s="6">
        <v>1021.156311</v>
      </c>
      <c r="BN459" s="3">
        <v>2E-3</v>
      </c>
      <c r="BO459" s="3">
        <f t="shared" si="51"/>
        <v>0.255</v>
      </c>
    </row>
    <row r="460" spans="1:67" x14ac:dyDescent="0.3">
      <c r="A460" s="3" t="s">
        <v>310</v>
      </c>
      <c r="B460" s="3">
        <v>0.9</v>
      </c>
      <c r="C460" s="3">
        <v>0.5</v>
      </c>
      <c r="D460" s="3">
        <v>0.6</v>
      </c>
      <c r="E460" s="3">
        <v>0.5</v>
      </c>
      <c r="F460" s="6">
        <v>1000.1410519999999</v>
      </c>
      <c r="G460" s="3">
        <v>1.9E-2</v>
      </c>
      <c r="I460" s="3" t="s">
        <v>310</v>
      </c>
      <c r="J460" s="3">
        <v>0.86</v>
      </c>
      <c r="K460" s="7">
        <v>1106.641846</v>
      </c>
      <c r="L460" s="3">
        <v>4.0000000000000001E-3</v>
      </c>
      <c r="M460" s="3">
        <f t="shared" si="48"/>
        <v>0.67999999999999994</v>
      </c>
      <c r="N460" s="5"/>
      <c r="O460" s="5"/>
      <c r="P460" s="5"/>
      <c r="Q460" s="5"/>
      <c r="S460" s="3" t="s">
        <v>310</v>
      </c>
      <c r="T460" s="3">
        <v>0.9</v>
      </c>
      <c r="U460" s="3">
        <v>0.5</v>
      </c>
      <c r="V460" s="3">
        <v>0.6</v>
      </c>
      <c r="W460" s="3">
        <v>0.93</v>
      </c>
      <c r="X460" s="7">
        <v>1074.2154539999999</v>
      </c>
      <c r="Y460" s="3">
        <v>2.4E-2</v>
      </c>
      <c r="AA460" s="3" t="s">
        <v>310</v>
      </c>
      <c r="AB460" s="3">
        <v>0.36</v>
      </c>
      <c r="AC460" s="6">
        <v>874.981628</v>
      </c>
      <c r="AD460" s="3">
        <v>2E-3</v>
      </c>
      <c r="AE460" s="3">
        <f t="shared" si="49"/>
        <v>0.64500000000000002</v>
      </c>
      <c r="AF460" s="5"/>
      <c r="AG460" s="5"/>
      <c r="AH460" s="5"/>
      <c r="AI460" s="5"/>
      <c r="AK460" s="3" t="s">
        <v>311</v>
      </c>
      <c r="AL460" s="3">
        <v>0.9</v>
      </c>
      <c r="AM460" s="3">
        <v>0.5</v>
      </c>
      <c r="AN460" s="3">
        <v>0.6</v>
      </c>
      <c r="AO460" s="3">
        <v>0.08</v>
      </c>
      <c r="AP460" s="6">
        <v>984.10131799999999</v>
      </c>
      <c r="AQ460" s="3">
        <v>2.3E-2</v>
      </c>
      <c r="AS460" s="3" t="s">
        <v>311</v>
      </c>
      <c r="AT460" s="3">
        <v>0.42</v>
      </c>
      <c r="AU460" s="7">
        <v>1283.9429929999999</v>
      </c>
      <c r="AV460" s="3">
        <v>3.0000000000000001E-3</v>
      </c>
      <c r="AW460" s="3">
        <f t="shared" si="50"/>
        <v>0.25</v>
      </c>
      <c r="AX460" s="5"/>
      <c r="AY460" s="5"/>
      <c r="AZ460" s="5"/>
      <c r="BA460" s="5"/>
      <c r="BC460" s="3" t="s">
        <v>311</v>
      </c>
      <c r="BD460" s="3">
        <v>0.9</v>
      </c>
      <c r="BE460" s="3">
        <v>0.5</v>
      </c>
      <c r="BF460" s="3">
        <v>0.6</v>
      </c>
      <c r="BG460" s="3">
        <v>0.28000000000000003</v>
      </c>
      <c r="BH460" s="6">
        <v>1166.1732179999999</v>
      </c>
      <c r="BI460" s="3">
        <v>2.5000000000000001E-2</v>
      </c>
      <c r="BK460" s="3" t="s">
        <v>311</v>
      </c>
      <c r="BL460" s="3">
        <v>0.64</v>
      </c>
      <c r="BM460" s="7">
        <v>1430.6601559999999</v>
      </c>
      <c r="BN460" s="3">
        <v>2E-3</v>
      </c>
      <c r="BO460" s="3">
        <f t="shared" si="51"/>
        <v>0.46</v>
      </c>
    </row>
    <row r="461" spans="1:67" x14ac:dyDescent="0.3">
      <c r="A461" s="3" t="s">
        <v>312</v>
      </c>
      <c r="B461" s="3">
        <v>0.9</v>
      </c>
      <c r="C461" s="3">
        <v>0.5</v>
      </c>
      <c r="D461" s="3">
        <v>0.6</v>
      </c>
      <c r="E461" s="3">
        <v>0.74</v>
      </c>
      <c r="F461" s="7">
        <v>1047.118408</v>
      </c>
      <c r="G461" s="3">
        <v>3.3000000000000002E-2</v>
      </c>
      <c r="I461" s="3" t="s">
        <v>312</v>
      </c>
      <c r="J461" s="3">
        <v>0.38</v>
      </c>
      <c r="K461" s="6">
        <v>956.24523899999997</v>
      </c>
      <c r="L461" s="3">
        <v>5.0000000000000001E-3</v>
      </c>
      <c r="M461" s="3">
        <f t="shared" si="48"/>
        <v>0.56000000000000005</v>
      </c>
      <c r="N461" s="5"/>
      <c r="O461" s="5"/>
      <c r="P461" s="5"/>
      <c r="Q461" s="5"/>
      <c r="S461" s="3" t="s">
        <v>312</v>
      </c>
      <c r="T461" s="3">
        <v>0.9</v>
      </c>
      <c r="U461" s="3">
        <v>0.5</v>
      </c>
      <c r="V461" s="3">
        <v>0.6</v>
      </c>
      <c r="W461" s="3">
        <v>0.17</v>
      </c>
      <c r="X461" s="6">
        <v>762.63354500000003</v>
      </c>
      <c r="Y461" s="3">
        <v>1.6E-2</v>
      </c>
      <c r="AA461" s="3" t="s">
        <v>312</v>
      </c>
      <c r="AB461" s="3">
        <v>0.87</v>
      </c>
      <c r="AC461" s="7">
        <v>1037.624634</v>
      </c>
      <c r="AD461" s="3">
        <v>1E-3</v>
      </c>
      <c r="AE461" s="3">
        <f t="shared" si="49"/>
        <v>0.52</v>
      </c>
      <c r="AF461" s="5"/>
      <c r="AG461" s="5"/>
      <c r="AH461" s="5"/>
      <c r="AI461" s="5"/>
      <c r="AK461" s="3" t="s">
        <v>313</v>
      </c>
      <c r="AL461" s="3">
        <v>0.9</v>
      </c>
      <c r="AM461" s="3">
        <v>0.5</v>
      </c>
      <c r="AN461" s="3">
        <v>0.6</v>
      </c>
      <c r="AO461" s="3">
        <v>0.7</v>
      </c>
      <c r="AP461" s="7">
        <v>1392.565552</v>
      </c>
      <c r="AQ461" s="3">
        <v>2.5000000000000001E-2</v>
      </c>
      <c r="AS461" s="3" t="s">
        <v>313</v>
      </c>
      <c r="AT461" s="3">
        <v>0.43</v>
      </c>
      <c r="AU461" s="6">
        <v>1261.5167240000001</v>
      </c>
      <c r="AV461" s="3">
        <v>6.0000000000000001E-3</v>
      </c>
      <c r="AW461" s="3">
        <f t="shared" si="50"/>
        <v>0.56499999999999995</v>
      </c>
      <c r="AX461" s="5"/>
      <c r="AY461" s="5"/>
      <c r="AZ461" s="5"/>
      <c r="BA461" s="5"/>
      <c r="BC461" s="3" t="s">
        <v>313</v>
      </c>
      <c r="BD461" s="3">
        <v>0.9</v>
      </c>
      <c r="BE461" s="3">
        <v>0.5</v>
      </c>
      <c r="BF461" s="3">
        <v>0.6</v>
      </c>
      <c r="BG461" s="3">
        <v>0.49</v>
      </c>
      <c r="BH461" s="7">
        <v>1272.938721</v>
      </c>
      <c r="BI461" s="3">
        <v>1.4999999999999999E-2</v>
      </c>
      <c r="BK461" s="3" t="s">
        <v>313</v>
      </c>
      <c r="BL461" s="3">
        <v>0.4</v>
      </c>
      <c r="BM461" s="6">
        <v>1206.042236</v>
      </c>
      <c r="BN461" s="3">
        <v>4.0000000000000001E-3</v>
      </c>
      <c r="BO461" s="3">
        <f t="shared" si="51"/>
        <v>0.44500000000000001</v>
      </c>
    </row>
    <row r="462" spans="1:67" x14ac:dyDescent="0.3">
      <c r="A462" s="9" t="s">
        <v>316</v>
      </c>
      <c r="E462" s="9">
        <f>AVERAGE(E432:E461)</f>
        <v>0.54133333333333333</v>
      </c>
      <c r="I462" s="9" t="s">
        <v>316</v>
      </c>
      <c r="J462" s="9">
        <f>AVERAGE(J432:J461)</f>
        <v>0.47033333333333327</v>
      </c>
      <c r="M462" s="5"/>
      <c r="N462" s="5"/>
      <c r="O462" s="5"/>
      <c r="P462" s="5"/>
      <c r="Q462" s="5"/>
      <c r="S462" s="9" t="s">
        <v>316</v>
      </c>
      <c r="W462" s="9">
        <f>AVERAGE(W432:W461)</f>
        <v>0.54566666666666686</v>
      </c>
      <c r="AA462" s="9" t="s">
        <v>316</v>
      </c>
      <c r="AB462" s="9">
        <f>AVERAGE(AB432:AB461)</f>
        <v>0.49099999999999994</v>
      </c>
      <c r="AE462" s="5"/>
      <c r="AF462" s="5"/>
      <c r="AG462" s="5"/>
      <c r="AH462" s="5"/>
      <c r="AI462" s="5"/>
      <c r="AK462" s="9" t="s">
        <v>316</v>
      </c>
      <c r="AO462" s="9">
        <f>AVERAGE(AO432:AO461)</f>
        <v>0.45999999999999991</v>
      </c>
      <c r="AS462" s="9" t="s">
        <v>316</v>
      </c>
      <c r="AT462" s="9">
        <f>AVERAGE(AT432:AT461)</f>
        <v>0.51833333333333342</v>
      </c>
      <c r="AW462" s="5"/>
      <c r="AX462" s="5"/>
      <c r="AY462" s="5"/>
      <c r="AZ462" s="5"/>
      <c r="BA462" s="5"/>
      <c r="BC462" s="9" t="s">
        <v>316</v>
      </c>
      <c r="BG462" s="9">
        <f>AVERAGE(BG432:BG461)</f>
        <v>0.45033333333333331</v>
      </c>
      <c r="BK462" s="9" t="s">
        <v>316</v>
      </c>
      <c r="BL462" s="9">
        <f>AVERAGE(BL432:BL461)</f>
        <v>0.51466666666666661</v>
      </c>
      <c r="BO462" s="5"/>
    </row>
    <row r="463" spans="1:67" x14ac:dyDescent="0.3">
      <c r="M463" s="5"/>
      <c r="N463" s="5"/>
      <c r="O463" s="5"/>
      <c r="P463" s="5"/>
      <c r="Q463" s="5"/>
      <c r="AE463" s="5"/>
      <c r="AF463" s="5"/>
      <c r="AG463" s="5"/>
      <c r="AH463" s="5"/>
      <c r="AI463" s="5"/>
      <c r="AW463" s="5"/>
      <c r="AX463" s="5"/>
      <c r="AY463" s="5"/>
      <c r="AZ463" s="5"/>
      <c r="BA463" s="5"/>
      <c r="BO463" s="5"/>
    </row>
    <row r="464" spans="1:67" x14ac:dyDescent="0.3">
      <c r="M464" s="5"/>
      <c r="N464" s="5"/>
      <c r="O464" s="5"/>
      <c r="P464" s="5"/>
      <c r="Q464" s="5"/>
      <c r="AE464" s="5"/>
      <c r="AF464" s="5"/>
      <c r="AG464" s="5"/>
      <c r="AH464" s="5"/>
      <c r="AI464" s="5"/>
      <c r="AW464" s="5"/>
      <c r="AX464" s="5"/>
      <c r="AY464" s="5"/>
      <c r="AZ464" s="5"/>
      <c r="BA464" s="5"/>
      <c r="BO464" s="5"/>
    </row>
    <row r="465" spans="1:71" x14ac:dyDescent="0.3">
      <c r="A465" s="20" t="s">
        <v>314</v>
      </c>
      <c r="B465" s="21"/>
      <c r="C465" s="21"/>
      <c r="D465" s="21"/>
      <c r="E465" s="21"/>
      <c r="F465" s="21"/>
      <c r="G465" s="22"/>
      <c r="I465" s="20" t="s">
        <v>315</v>
      </c>
      <c r="J465" s="21"/>
      <c r="K465" s="21"/>
      <c r="L465" s="21"/>
      <c r="M465" s="22"/>
      <c r="N465" s="5"/>
      <c r="O465" s="5"/>
      <c r="P465" s="5"/>
      <c r="Q465" s="5"/>
      <c r="S465" s="20" t="s">
        <v>314</v>
      </c>
      <c r="T465" s="21"/>
      <c r="U465" s="21"/>
      <c r="V465" s="21"/>
      <c r="W465" s="21"/>
      <c r="X465" s="21"/>
      <c r="Y465" s="22"/>
      <c r="AA465" s="20" t="s">
        <v>315</v>
      </c>
      <c r="AB465" s="21"/>
      <c r="AC465" s="21"/>
      <c r="AD465" s="21"/>
      <c r="AE465" s="22"/>
      <c r="AF465" s="5"/>
      <c r="AG465" s="5"/>
      <c r="AH465" s="5"/>
      <c r="AI465" s="5"/>
      <c r="AK465" s="20" t="s">
        <v>314</v>
      </c>
      <c r="AL465" s="21"/>
      <c r="AM465" s="21"/>
      <c r="AN465" s="21"/>
      <c r="AO465" s="21"/>
      <c r="AP465" s="21"/>
      <c r="AQ465" s="22"/>
      <c r="AS465" s="20" t="s">
        <v>315</v>
      </c>
      <c r="AT465" s="21"/>
      <c r="AU465" s="21"/>
      <c r="AV465" s="21"/>
      <c r="AW465" s="22"/>
      <c r="AX465" s="11"/>
      <c r="AY465" s="11"/>
      <c r="AZ465" s="11"/>
      <c r="BA465" s="11"/>
      <c r="BC465" s="20" t="s">
        <v>314</v>
      </c>
      <c r="BD465" s="21"/>
      <c r="BE465" s="21"/>
      <c r="BF465" s="21"/>
      <c r="BG465" s="21"/>
      <c r="BH465" s="21"/>
      <c r="BI465" s="22"/>
      <c r="BK465" s="20" t="s">
        <v>315</v>
      </c>
      <c r="BL465" s="21"/>
      <c r="BM465" s="21"/>
      <c r="BN465" s="21"/>
      <c r="BO465" s="22"/>
    </row>
    <row r="466" spans="1:71" x14ac:dyDescent="0.3">
      <c r="A466" s="3" t="s">
        <v>70</v>
      </c>
      <c r="B466" s="3"/>
      <c r="C466" s="3"/>
      <c r="D466" s="3"/>
      <c r="E466" s="3"/>
      <c r="F466" s="3"/>
      <c r="G466" s="3"/>
      <c r="I466" s="3" t="s">
        <v>70</v>
      </c>
      <c r="J466" s="3"/>
      <c r="K466" s="3"/>
      <c r="L466" s="3"/>
      <c r="M466" s="3"/>
      <c r="N466" s="11"/>
      <c r="O466" s="11"/>
      <c r="P466" s="11"/>
      <c r="Q466" s="11"/>
      <c r="S466" s="3" t="s">
        <v>71</v>
      </c>
      <c r="T466" s="3"/>
      <c r="U466" s="3"/>
      <c r="V466" s="3"/>
      <c r="W466" s="3"/>
      <c r="X466" s="3"/>
      <c r="Y466" s="3"/>
      <c r="AA466" s="3" t="s">
        <v>71</v>
      </c>
      <c r="AB466" s="3"/>
      <c r="AC466" s="3"/>
      <c r="AD466" s="3"/>
      <c r="AE466" s="3"/>
      <c r="AF466" s="11"/>
      <c r="AG466" s="11"/>
      <c r="AH466" s="11"/>
      <c r="AI466" s="11"/>
      <c r="AK466" s="3" t="s">
        <v>70</v>
      </c>
      <c r="AL466" s="3"/>
      <c r="AM466" s="3"/>
      <c r="AN466" s="3"/>
      <c r="AO466" s="3"/>
      <c r="AP466" s="3"/>
      <c r="AQ466" s="3"/>
      <c r="AS466" s="3" t="s">
        <v>70</v>
      </c>
      <c r="AT466" s="3"/>
      <c r="AU466" s="3"/>
      <c r="AV466" s="3"/>
      <c r="AW466" s="3"/>
      <c r="AX466" s="3" t="s">
        <v>322</v>
      </c>
      <c r="AY466" s="3" t="s">
        <v>323</v>
      </c>
      <c r="AZ466" s="3" t="s">
        <v>322</v>
      </c>
      <c r="BA466" s="3" t="s">
        <v>323</v>
      </c>
      <c r="BC466" s="3" t="s">
        <v>71</v>
      </c>
      <c r="BD466" s="3"/>
      <c r="BE466" s="3"/>
      <c r="BF466" s="3"/>
      <c r="BG466" s="3"/>
      <c r="BH466" s="3"/>
      <c r="BI466" s="3"/>
      <c r="BK466" s="3" t="s">
        <v>71</v>
      </c>
      <c r="BL466" s="3"/>
      <c r="BM466" s="3"/>
      <c r="BN466" s="3"/>
      <c r="BO466" s="3"/>
      <c r="BP466" s="3" t="s">
        <v>322</v>
      </c>
      <c r="BQ466" s="3" t="s">
        <v>323</v>
      </c>
      <c r="BR466" s="3" t="s">
        <v>322</v>
      </c>
      <c r="BS466" s="3" t="s">
        <v>323</v>
      </c>
    </row>
    <row r="467" spans="1:71" x14ac:dyDescent="0.3">
      <c r="A467" s="3" t="s">
        <v>2</v>
      </c>
      <c r="B467" s="3" t="s">
        <v>3</v>
      </c>
      <c r="C467" s="3" t="s">
        <v>4</v>
      </c>
      <c r="D467" s="3" t="s">
        <v>5</v>
      </c>
      <c r="E467" s="3" t="s">
        <v>6</v>
      </c>
      <c r="F467" s="3" t="s">
        <v>7</v>
      </c>
      <c r="G467" s="3" t="s">
        <v>8</v>
      </c>
      <c r="I467" s="3" t="s">
        <v>2</v>
      </c>
      <c r="J467" s="3" t="s">
        <v>6</v>
      </c>
      <c r="K467" s="3" t="s">
        <v>7</v>
      </c>
      <c r="L467" s="3" t="s">
        <v>8</v>
      </c>
      <c r="M467" s="3" t="s">
        <v>9</v>
      </c>
      <c r="N467" s="3" t="s">
        <v>322</v>
      </c>
      <c r="O467" s="3" t="s">
        <v>323</v>
      </c>
      <c r="P467" s="3" t="s">
        <v>322</v>
      </c>
      <c r="Q467" s="3" t="s">
        <v>323</v>
      </c>
      <c r="S467" s="3" t="s">
        <v>2</v>
      </c>
      <c r="T467" s="3" t="s">
        <v>3</v>
      </c>
      <c r="U467" s="3" t="s">
        <v>4</v>
      </c>
      <c r="V467" s="3" t="s">
        <v>5</v>
      </c>
      <c r="W467" s="3" t="s">
        <v>6</v>
      </c>
      <c r="X467" s="3" t="s">
        <v>7</v>
      </c>
      <c r="Y467" s="3" t="s">
        <v>8</v>
      </c>
      <c r="AA467" s="3" t="s">
        <v>2</v>
      </c>
      <c r="AB467" s="3" t="s">
        <v>6</v>
      </c>
      <c r="AC467" s="3" t="s">
        <v>7</v>
      </c>
      <c r="AD467" s="3" t="s">
        <v>8</v>
      </c>
      <c r="AE467" s="3" t="s">
        <v>9</v>
      </c>
      <c r="AF467" s="3" t="s">
        <v>322</v>
      </c>
      <c r="AG467" s="3" t="s">
        <v>323</v>
      </c>
      <c r="AH467" s="3" t="s">
        <v>322</v>
      </c>
      <c r="AI467" s="3" t="s">
        <v>323</v>
      </c>
      <c r="AK467" s="3" t="s">
        <v>2</v>
      </c>
      <c r="AL467" s="3" t="s">
        <v>3</v>
      </c>
      <c r="AM467" s="3" t="s">
        <v>4</v>
      </c>
      <c r="AN467" s="3" t="s">
        <v>5</v>
      </c>
      <c r="AO467" s="3" t="s">
        <v>6</v>
      </c>
      <c r="AP467" s="3" t="s">
        <v>7</v>
      </c>
      <c r="AQ467" s="3" t="s">
        <v>8</v>
      </c>
      <c r="AS467" s="3" t="s">
        <v>2</v>
      </c>
      <c r="AT467" s="3" t="s">
        <v>6</v>
      </c>
      <c r="AU467" s="3" t="s">
        <v>7</v>
      </c>
      <c r="AV467" s="3" t="s">
        <v>8</v>
      </c>
      <c r="AW467" s="3" t="s">
        <v>9</v>
      </c>
      <c r="AX467" s="4" t="s">
        <v>320</v>
      </c>
      <c r="AY467" s="4" t="s">
        <v>320</v>
      </c>
      <c r="AZ467" s="4" t="s">
        <v>321</v>
      </c>
      <c r="BA467" s="4" t="s">
        <v>321</v>
      </c>
      <c r="BC467" s="3" t="s">
        <v>2</v>
      </c>
      <c r="BD467" s="3" t="s">
        <v>3</v>
      </c>
      <c r="BE467" s="3" t="s">
        <v>4</v>
      </c>
      <c r="BF467" s="3" t="s">
        <v>5</v>
      </c>
      <c r="BG467" s="3" t="s">
        <v>6</v>
      </c>
      <c r="BH467" s="3" t="s">
        <v>7</v>
      </c>
      <c r="BI467" s="3" t="s">
        <v>8</v>
      </c>
      <c r="BK467" s="3" t="s">
        <v>2</v>
      </c>
      <c r="BL467" s="3" t="s">
        <v>6</v>
      </c>
      <c r="BM467" s="3" t="s">
        <v>7</v>
      </c>
      <c r="BN467" s="3" t="s">
        <v>8</v>
      </c>
      <c r="BO467" s="3" t="s">
        <v>9</v>
      </c>
      <c r="BP467" s="4" t="s">
        <v>320</v>
      </c>
      <c r="BQ467" s="4" t="s">
        <v>320</v>
      </c>
      <c r="BR467" s="4" t="s">
        <v>321</v>
      </c>
      <c r="BS467" s="4" t="s">
        <v>321</v>
      </c>
    </row>
    <row r="468" spans="1:71" x14ac:dyDescent="0.3">
      <c r="A468" s="3" t="s">
        <v>254</v>
      </c>
      <c r="B468" s="3">
        <v>0.9</v>
      </c>
      <c r="C468" s="3">
        <v>0.5</v>
      </c>
      <c r="D468" s="3">
        <v>0.6</v>
      </c>
      <c r="E468" s="3">
        <v>0.01</v>
      </c>
      <c r="F468" s="6">
        <v>625.56311000000005</v>
      </c>
      <c r="G468" s="3">
        <v>1.2E-2</v>
      </c>
      <c r="I468" s="3" t="s">
        <v>254</v>
      </c>
      <c r="J468" s="3">
        <v>0.01</v>
      </c>
      <c r="K468" s="6">
        <v>625.56311000000005</v>
      </c>
      <c r="L468" s="3">
        <v>4.0000000000000001E-3</v>
      </c>
      <c r="M468" s="3">
        <f t="shared" ref="M468:M497" si="52">AVERAGE(E468,J468)</f>
        <v>0.01</v>
      </c>
      <c r="N468" s="4" t="s">
        <v>320</v>
      </c>
      <c r="O468" s="4" t="s">
        <v>320</v>
      </c>
      <c r="P468" s="4" t="s">
        <v>321</v>
      </c>
      <c r="Q468" s="4" t="s">
        <v>321</v>
      </c>
      <c r="S468" s="3" t="s">
        <v>254</v>
      </c>
      <c r="T468" s="3">
        <v>0.9</v>
      </c>
      <c r="U468" s="3">
        <v>0.5</v>
      </c>
      <c r="V468" s="3">
        <v>0.6</v>
      </c>
      <c r="W468" s="3">
        <v>0.01</v>
      </c>
      <c r="X468" s="6">
        <v>604.00616500000001</v>
      </c>
      <c r="Y468" s="3">
        <v>2.7E-2</v>
      </c>
      <c r="AA468" s="3" t="s">
        <v>254</v>
      </c>
      <c r="AB468" s="3">
        <v>0.01</v>
      </c>
      <c r="AC468" s="6">
        <v>604.00616500000001</v>
      </c>
      <c r="AD468" s="3">
        <v>0.01</v>
      </c>
      <c r="AE468" s="3">
        <f t="shared" ref="AE468:AE497" si="53">AVERAGE(W468,AB468)</f>
        <v>0.01</v>
      </c>
      <c r="AF468" s="4" t="s">
        <v>320</v>
      </c>
      <c r="AG468" s="4" t="s">
        <v>320</v>
      </c>
      <c r="AH468" s="4" t="s">
        <v>321</v>
      </c>
      <c r="AI468" s="4" t="s">
        <v>321</v>
      </c>
      <c r="AK468" s="3" t="s">
        <v>255</v>
      </c>
      <c r="AL468" s="3">
        <v>0.9</v>
      </c>
      <c r="AM468" s="3">
        <v>0.5</v>
      </c>
      <c r="AN468" s="3">
        <v>0.6</v>
      </c>
      <c r="AO468" s="3">
        <v>0.01</v>
      </c>
      <c r="AP468" s="6">
        <v>860.48821999999996</v>
      </c>
      <c r="AQ468" s="3">
        <v>1.7999999999999999E-2</v>
      </c>
      <c r="AS468" s="3" t="s">
        <v>255</v>
      </c>
      <c r="AT468" s="3">
        <v>0.01</v>
      </c>
      <c r="AU468" s="6">
        <v>860.48821999999996</v>
      </c>
      <c r="AV468" s="3">
        <v>4.0000000000000001E-3</v>
      </c>
      <c r="AW468" s="3">
        <f t="shared" ref="AW468:AW497" si="54">AVERAGE(AO468,AT468)</f>
        <v>0.01</v>
      </c>
      <c r="AX468" s="3">
        <f>COUNT(AP468:AP470,AP474,AP477,AP480,AP482,AP489:AP490,AP492:AP494,AP496)</f>
        <v>13</v>
      </c>
      <c r="AY468" s="3">
        <f>30-AX468</f>
        <v>17</v>
      </c>
      <c r="AZ468" s="3">
        <f>COUNT(AU468,AU471:AU473,AU475:AU476,AU478:AU479,AU481,AU483:AU488,AU491,AU495,AU497)</f>
        <v>18</v>
      </c>
      <c r="BA468" s="3">
        <f>30-AZ468</f>
        <v>12</v>
      </c>
      <c r="BC468" s="3" t="s">
        <v>255</v>
      </c>
      <c r="BD468" s="3">
        <v>0.9</v>
      </c>
      <c r="BE468" s="3">
        <v>0.5</v>
      </c>
      <c r="BF468" s="3">
        <v>0.6</v>
      </c>
      <c r="BG468" s="3">
        <v>0.01</v>
      </c>
      <c r="BH468" s="6">
        <v>822.14190699999995</v>
      </c>
      <c r="BI468" s="3">
        <v>2.1000000000000001E-2</v>
      </c>
      <c r="BK468" s="3" t="s">
        <v>255</v>
      </c>
      <c r="BL468" s="3">
        <v>0.01</v>
      </c>
      <c r="BM468" s="6">
        <v>822.14190699999995</v>
      </c>
      <c r="BN468" s="3">
        <v>1E-3</v>
      </c>
      <c r="BO468" s="3">
        <f t="shared" ref="BO468:BO497" si="55">AVERAGE(BG468,BL468)</f>
        <v>0.01</v>
      </c>
      <c r="BP468" s="3">
        <f>COUNT(BH468:BH469,BH471,BH473:BH478,BH483,BH485:BH488,BH490,BH492:BH494)</f>
        <v>18</v>
      </c>
      <c r="BQ468" s="3">
        <f>30-BP468</f>
        <v>12</v>
      </c>
      <c r="BR468" s="3">
        <f>COUNT(BM468,BM470,BM472,BM479:BM482,BM484,BM489,BM491,BM495:BM497)</f>
        <v>13</v>
      </c>
      <c r="BS468" s="3">
        <f>30-BR468</f>
        <v>17</v>
      </c>
    </row>
    <row r="469" spans="1:71" x14ac:dyDescent="0.3">
      <c r="A469" s="3" t="s">
        <v>256</v>
      </c>
      <c r="B469" s="3">
        <v>0.9</v>
      </c>
      <c r="C469" s="3">
        <v>0.5</v>
      </c>
      <c r="D469" s="3">
        <v>0.6</v>
      </c>
      <c r="E469" s="3">
        <v>0.99</v>
      </c>
      <c r="F469" s="7">
        <v>854.74780299999998</v>
      </c>
      <c r="G469" s="3">
        <v>1.4E-2</v>
      </c>
      <c r="I469" s="3" t="s">
        <v>256</v>
      </c>
      <c r="J469" s="3">
        <v>0.4</v>
      </c>
      <c r="K469" s="6">
        <v>717.50750700000003</v>
      </c>
      <c r="L469" s="3">
        <v>3.0000000000000001E-3</v>
      </c>
      <c r="M469" s="3">
        <f t="shared" si="52"/>
        <v>0.69500000000000006</v>
      </c>
      <c r="N469" s="3">
        <f>COUNT(F468,F470,F473,F476,F478,F480:F482,F484,F487,F489:F490,F492:F493,F496:F497)</f>
        <v>16</v>
      </c>
      <c r="O469" s="3">
        <f>COUNT(F469,F471:F472,F474:F475,F477,F479,F483,F485:F486,F488,F491,F494:F495)</f>
        <v>14</v>
      </c>
      <c r="P469" s="3">
        <f>COUNT(K468:K469,K471:K472,K474:K475,K477,K479,K483,K485:K486,K488,K491,K494:K495)</f>
        <v>15</v>
      </c>
      <c r="Q469" s="3">
        <f>COUNT(K470,K473,K476,K478,K480:K482,K484,K487,K489:K490,K492:K493,K496:K497)</f>
        <v>15</v>
      </c>
      <c r="S469" s="3" t="s">
        <v>256</v>
      </c>
      <c r="T469" s="3">
        <v>0.9</v>
      </c>
      <c r="U469" s="3">
        <v>0.5</v>
      </c>
      <c r="V469" s="3">
        <v>0.6</v>
      </c>
      <c r="W469" s="3">
        <v>0.67</v>
      </c>
      <c r="X469" s="6">
        <v>743.59179700000004</v>
      </c>
      <c r="Y469" s="3">
        <v>1.2999999999999999E-2</v>
      </c>
      <c r="AA469" s="3" t="s">
        <v>256</v>
      </c>
      <c r="AB469" s="3">
        <v>0.75</v>
      </c>
      <c r="AC469" s="7">
        <v>762.11242700000003</v>
      </c>
      <c r="AD469" s="3">
        <v>1E-3</v>
      </c>
      <c r="AE469" s="3">
        <f t="shared" si="53"/>
        <v>0.71</v>
      </c>
      <c r="AF469" s="3">
        <f>COUNT(X468:X470,X472:X474,X476,X478,X482:X483,X486,X488:X489,X494,X496)</f>
        <v>15</v>
      </c>
      <c r="AG469" s="3">
        <f>COUNT(X471,X475,X477,X479:X481,X484:X485,X487,X490:X493,X495,X497)</f>
        <v>15</v>
      </c>
      <c r="AH469" s="3">
        <f>COUNT(AC468,AC471,AC475,AC477,AC479:AC481,AC484:AC485,AC487,AC490:AC493,AC497)</f>
        <v>15</v>
      </c>
      <c r="AI469" s="3">
        <f>COUNT(AC469:AC470,AC472:AC474,AC476,AC478,AC482:AC483,AC486,AC488:AC489,AC494:AC496)</f>
        <v>15</v>
      </c>
      <c r="AK469" s="3" t="s">
        <v>257</v>
      </c>
      <c r="AL469" s="3">
        <v>0.9</v>
      </c>
      <c r="AM469" s="3">
        <v>0.5</v>
      </c>
      <c r="AN469" s="3">
        <v>0.6</v>
      </c>
      <c r="AO469" s="3">
        <v>0.41</v>
      </c>
      <c r="AP469" s="6">
        <v>1038.1553960000001</v>
      </c>
      <c r="AQ469" s="3">
        <v>2.4E-2</v>
      </c>
      <c r="AS469" s="3" t="s">
        <v>257</v>
      </c>
      <c r="AT469" s="3">
        <v>0.92</v>
      </c>
      <c r="AU469" s="7">
        <v>1154.572876</v>
      </c>
      <c r="AV469" s="3">
        <v>5.0000000000000001E-3</v>
      </c>
      <c r="AW469" s="3">
        <f t="shared" si="54"/>
        <v>0.66500000000000004</v>
      </c>
      <c r="AX469" s="5"/>
      <c r="AY469" s="5"/>
      <c r="AZ469" s="5"/>
      <c r="BA469" s="5"/>
      <c r="BC469" s="3" t="s">
        <v>257</v>
      </c>
      <c r="BD469" s="3">
        <v>0.9</v>
      </c>
      <c r="BE469" s="3">
        <v>0.5</v>
      </c>
      <c r="BF469" s="3">
        <v>0.6</v>
      </c>
      <c r="BG469" s="3">
        <v>0.08</v>
      </c>
      <c r="BH469" s="6">
        <v>833.69714399999998</v>
      </c>
      <c r="BI469" s="3">
        <v>2.1999999999999999E-2</v>
      </c>
      <c r="BK469" s="3" t="s">
        <v>257</v>
      </c>
      <c r="BL469" s="3">
        <v>0.75</v>
      </c>
      <c r="BM469" s="7">
        <v>1097.630737</v>
      </c>
      <c r="BN469" s="3">
        <v>4.0000000000000001E-3</v>
      </c>
      <c r="BO469" s="3">
        <f t="shared" si="55"/>
        <v>0.41499999999999998</v>
      </c>
    </row>
    <row r="470" spans="1:71" x14ac:dyDescent="0.3">
      <c r="A470" s="3" t="s">
        <v>258</v>
      </c>
      <c r="B470" s="3">
        <v>0.9</v>
      </c>
      <c r="C470" s="3">
        <v>0.5</v>
      </c>
      <c r="D470" s="3">
        <v>0.6</v>
      </c>
      <c r="E470" s="3">
        <v>0.46</v>
      </c>
      <c r="F470" s="6">
        <v>705.26916500000004</v>
      </c>
      <c r="G470" s="3">
        <v>1.4999999999999999E-2</v>
      </c>
      <c r="I470" s="3" t="s">
        <v>258</v>
      </c>
      <c r="J470" s="3">
        <v>0.45</v>
      </c>
      <c r="K470" s="7">
        <v>711.580872</v>
      </c>
      <c r="L470" s="3">
        <v>4.0000000000000001E-3</v>
      </c>
      <c r="M470" s="3">
        <f t="shared" si="52"/>
        <v>0.45500000000000002</v>
      </c>
      <c r="N470" s="5"/>
      <c r="O470" s="5"/>
      <c r="P470" s="5"/>
      <c r="Q470" s="5"/>
      <c r="S470" s="3" t="s">
        <v>258</v>
      </c>
      <c r="T470" s="3">
        <v>0.9</v>
      </c>
      <c r="U470" s="3">
        <v>0.5</v>
      </c>
      <c r="V470" s="3">
        <v>0.6</v>
      </c>
      <c r="W470" s="3">
        <v>0.02</v>
      </c>
      <c r="X470" s="6">
        <v>607.12799099999995</v>
      </c>
      <c r="Y470" s="3">
        <v>8.0000000000000002E-3</v>
      </c>
      <c r="AA470" s="3" t="s">
        <v>258</v>
      </c>
      <c r="AB470" s="3">
        <v>0.96</v>
      </c>
      <c r="AC470" s="7">
        <v>761.75964399999998</v>
      </c>
      <c r="AD470" s="3">
        <v>2E-3</v>
      </c>
      <c r="AE470" s="3">
        <f t="shared" si="53"/>
        <v>0.49</v>
      </c>
      <c r="AF470" s="5"/>
      <c r="AG470" s="5"/>
      <c r="AH470" s="5"/>
      <c r="AI470" s="5"/>
      <c r="AK470" s="3" t="s">
        <v>259</v>
      </c>
      <c r="AL470" s="3">
        <v>0.9</v>
      </c>
      <c r="AM470" s="3">
        <v>0.5</v>
      </c>
      <c r="AN470" s="3">
        <v>0.6</v>
      </c>
      <c r="AO470" s="3">
        <v>0.31</v>
      </c>
      <c r="AP470" s="6">
        <v>996.72174099999995</v>
      </c>
      <c r="AQ470" s="3">
        <v>2.1999999999999999E-2</v>
      </c>
      <c r="AS470" s="3" t="s">
        <v>259</v>
      </c>
      <c r="AT470" s="3">
        <v>0.99</v>
      </c>
      <c r="AU470" s="7">
        <v>1166.097168</v>
      </c>
      <c r="AV470" s="3">
        <v>4.0000000000000001E-3</v>
      </c>
      <c r="AW470" s="3">
        <f t="shared" si="54"/>
        <v>0.65</v>
      </c>
      <c r="AX470" s="5"/>
      <c r="AY470" s="5"/>
      <c r="AZ470" s="5"/>
      <c r="BA470" s="5"/>
      <c r="BC470" s="3" t="s">
        <v>259</v>
      </c>
      <c r="BD470" s="3">
        <v>0.9</v>
      </c>
      <c r="BE470" s="3">
        <v>0.5</v>
      </c>
      <c r="BF470" s="3">
        <v>0.6</v>
      </c>
      <c r="BG470" s="3">
        <v>0.41</v>
      </c>
      <c r="BH470" s="7">
        <v>1039.6922609999999</v>
      </c>
      <c r="BI470" s="3">
        <v>2.5999999999999999E-2</v>
      </c>
      <c r="BK470" s="3" t="s">
        <v>259</v>
      </c>
      <c r="BL470" s="3">
        <v>0.32</v>
      </c>
      <c r="BM470" s="6">
        <v>984.84136999999998</v>
      </c>
      <c r="BN470" s="3">
        <v>2E-3</v>
      </c>
      <c r="BO470" s="3">
        <f t="shared" si="55"/>
        <v>0.36499999999999999</v>
      </c>
    </row>
    <row r="471" spans="1:71" x14ac:dyDescent="0.3">
      <c r="A471" s="3" t="s">
        <v>260</v>
      </c>
      <c r="B471" s="3">
        <v>0.9</v>
      </c>
      <c r="C471" s="3">
        <v>0.5</v>
      </c>
      <c r="D471" s="3">
        <v>0.6</v>
      </c>
      <c r="E471" s="3">
        <v>0.92</v>
      </c>
      <c r="F471" s="7">
        <v>847.34350600000005</v>
      </c>
      <c r="G471" s="3">
        <v>2.7E-2</v>
      </c>
      <c r="I471" s="3" t="s">
        <v>260</v>
      </c>
      <c r="J471" s="3">
        <v>0.01</v>
      </c>
      <c r="K471" s="6">
        <v>669.31835899999999</v>
      </c>
      <c r="L471" s="3">
        <v>1E-3</v>
      </c>
      <c r="M471" s="3">
        <f t="shared" si="52"/>
        <v>0.46500000000000002</v>
      </c>
      <c r="N471" s="5"/>
      <c r="O471" s="5"/>
      <c r="P471" s="5"/>
      <c r="Q471" s="5"/>
      <c r="S471" s="3" t="s">
        <v>260</v>
      </c>
      <c r="T471" s="3">
        <v>0.9</v>
      </c>
      <c r="U471" s="3">
        <v>0.5</v>
      </c>
      <c r="V471" s="3">
        <v>0.6</v>
      </c>
      <c r="W471" s="3">
        <v>0.47</v>
      </c>
      <c r="X471" s="7">
        <v>737.58679199999995</v>
      </c>
      <c r="Y471" s="3">
        <v>1.7999999999999999E-2</v>
      </c>
      <c r="AA471" s="3" t="s">
        <v>260</v>
      </c>
      <c r="AB471" s="3">
        <v>0.51</v>
      </c>
      <c r="AC471" s="6">
        <v>728.39209000000005</v>
      </c>
      <c r="AD471" s="3">
        <v>3.0000000000000001E-3</v>
      </c>
      <c r="AE471" s="3">
        <f t="shared" si="53"/>
        <v>0.49</v>
      </c>
      <c r="AF471" s="5"/>
      <c r="AG471" s="5"/>
      <c r="AH471" s="5"/>
      <c r="AI471" s="5"/>
      <c r="AK471" s="3" t="s">
        <v>261</v>
      </c>
      <c r="AL471" s="3">
        <v>0.9</v>
      </c>
      <c r="AM471" s="3">
        <v>0.5</v>
      </c>
      <c r="AN471" s="3">
        <v>0.6</v>
      </c>
      <c r="AO471" s="3">
        <v>0.73</v>
      </c>
      <c r="AP471" s="7">
        <v>1085.0585940000001</v>
      </c>
      <c r="AQ471" s="3">
        <v>1.7000000000000001E-2</v>
      </c>
      <c r="AS471" s="3" t="s">
        <v>261</v>
      </c>
      <c r="AT471" s="3">
        <v>0.68</v>
      </c>
      <c r="AU471" s="6">
        <v>1065.395996</v>
      </c>
      <c r="AV471" s="3">
        <v>3.0000000000000001E-3</v>
      </c>
      <c r="AW471" s="3">
        <f t="shared" si="54"/>
        <v>0.70500000000000007</v>
      </c>
      <c r="AX471" s="5"/>
      <c r="AY471" s="5"/>
      <c r="AZ471" s="5"/>
      <c r="BA471" s="5"/>
      <c r="BC471" s="3" t="s">
        <v>261</v>
      </c>
      <c r="BD471" s="3">
        <v>0.9</v>
      </c>
      <c r="BE471" s="3">
        <v>0.5</v>
      </c>
      <c r="BF471" s="3">
        <v>0.6</v>
      </c>
      <c r="BG471" s="3">
        <v>0.05</v>
      </c>
      <c r="BH471" s="6">
        <v>778.96582000000001</v>
      </c>
      <c r="BI471" s="3">
        <v>0.02</v>
      </c>
      <c r="BK471" s="3" t="s">
        <v>261</v>
      </c>
      <c r="BL471" s="3">
        <v>0.83</v>
      </c>
      <c r="BM471" s="7">
        <v>1045.511841</v>
      </c>
      <c r="BN471" s="3">
        <v>5.0000000000000001E-3</v>
      </c>
      <c r="BO471" s="3">
        <f t="shared" si="55"/>
        <v>0.44</v>
      </c>
    </row>
    <row r="472" spans="1:71" x14ac:dyDescent="0.3">
      <c r="A472" s="3" t="s">
        <v>262</v>
      </c>
      <c r="B472" s="3">
        <v>0.9</v>
      </c>
      <c r="C472" s="3">
        <v>0.5</v>
      </c>
      <c r="D472" s="3">
        <v>0.6</v>
      </c>
      <c r="E472" s="3">
        <v>0.83</v>
      </c>
      <c r="F472" s="7">
        <v>914.89080799999999</v>
      </c>
      <c r="G472" s="3">
        <v>8.0000000000000002E-3</v>
      </c>
      <c r="I472" s="3" t="s">
        <v>262</v>
      </c>
      <c r="J472" s="3">
        <v>0.09</v>
      </c>
      <c r="K472" s="6">
        <v>684.946777</v>
      </c>
      <c r="L472" s="3">
        <v>4.0000000000000001E-3</v>
      </c>
      <c r="M472" s="3">
        <f t="shared" si="52"/>
        <v>0.45999999999999996</v>
      </c>
      <c r="N472" s="5"/>
      <c r="O472" s="5"/>
      <c r="P472" s="5"/>
      <c r="Q472" s="5"/>
      <c r="S472" s="3" t="s">
        <v>262</v>
      </c>
      <c r="T472" s="3">
        <v>0.9</v>
      </c>
      <c r="U472" s="3">
        <v>0.5</v>
      </c>
      <c r="V472" s="3">
        <v>0.6</v>
      </c>
      <c r="W472" s="3">
        <v>0.73</v>
      </c>
      <c r="X472" s="6">
        <v>875.20459000000005</v>
      </c>
      <c r="Y472" s="3">
        <v>1.7000000000000001E-2</v>
      </c>
      <c r="AA472" s="3" t="s">
        <v>262</v>
      </c>
      <c r="AB472" s="3">
        <v>0.82</v>
      </c>
      <c r="AC472" s="7">
        <v>891.91857900000002</v>
      </c>
      <c r="AD472" s="3">
        <v>8.0000000000000002E-3</v>
      </c>
      <c r="AE472" s="3">
        <f t="shared" si="53"/>
        <v>0.77499999999999991</v>
      </c>
      <c r="AF472" s="5"/>
      <c r="AG472" s="5"/>
      <c r="AH472" s="5"/>
      <c r="AI472" s="5"/>
      <c r="AK472" s="3" t="s">
        <v>263</v>
      </c>
      <c r="AL472" s="3">
        <v>0.9</v>
      </c>
      <c r="AM472" s="3">
        <v>0.5</v>
      </c>
      <c r="AN472" s="3">
        <v>0.6</v>
      </c>
      <c r="AO472" s="3">
        <v>0.88</v>
      </c>
      <c r="AP472" s="7">
        <v>1136.5478519999999</v>
      </c>
      <c r="AQ472" s="3">
        <v>1.9E-2</v>
      </c>
      <c r="AS472" s="3" t="s">
        <v>263</v>
      </c>
      <c r="AT472" s="3">
        <v>0.14000000000000001</v>
      </c>
      <c r="AU472" s="6">
        <v>919.04180899999994</v>
      </c>
      <c r="AV472" s="3">
        <v>2E-3</v>
      </c>
      <c r="AW472" s="3">
        <f t="shared" si="54"/>
        <v>0.51</v>
      </c>
      <c r="AX472" s="5"/>
      <c r="AY472" s="5"/>
      <c r="AZ472" s="5"/>
      <c r="BA472" s="5"/>
      <c r="BC472" s="3" t="s">
        <v>263</v>
      </c>
      <c r="BD472" s="3">
        <v>0.9</v>
      </c>
      <c r="BE472" s="3">
        <v>0.5</v>
      </c>
      <c r="BF472" s="3">
        <v>0.6</v>
      </c>
      <c r="BG472" s="3">
        <v>0.42</v>
      </c>
      <c r="BH472" s="7">
        <v>1016.462524</v>
      </c>
      <c r="BI472" s="3">
        <v>1.7999999999999999E-2</v>
      </c>
      <c r="BK472" s="3" t="s">
        <v>263</v>
      </c>
      <c r="BL472" s="3">
        <v>0.11</v>
      </c>
      <c r="BM472" s="6">
        <v>869.64276099999995</v>
      </c>
      <c r="BN472" s="3">
        <v>4.0000000000000001E-3</v>
      </c>
      <c r="BO472" s="3">
        <f t="shared" si="55"/>
        <v>0.26500000000000001</v>
      </c>
    </row>
    <row r="473" spans="1:71" x14ac:dyDescent="0.3">
      <c r="A473" s="3" t="s">
        <v>264</v>
      </c>
      <c r="B473" s="3">
        <v>0.9</v>
      </c>
      <c r="C473" s="3">
        <v>0.5</v>
      </c>
      <c r="D473" s="3">
        <v>0.6</v>
      </c>
      <c r="E473" s="3">
        <v>0.37</v>
      </c>
      <c r="F473" s="6">
        <v>752.85467500000004</v>
      </c>
      <c r="G473" s="3">
        <v>2.5000000000000001E-2</v>
      </c>
      <c r="I473" s="3" t="s">
        <v>264</v>
      </c>
      <c r="J473" s="3">
        <v>0.9</v>
      </c>
      <c r="K473" s="7">
        <v>853.06066899999996</v>
      </c>
      <c r="L473" s="3">
        <v>3.0000000000000001E-3</v>
      </c>
      <c r="M473" s="3">
        <f t="shared" si="52"/>
        <v>0.63500000000000001</v>
      </c>
      <c r="N473" s="5"/>
      <c r="O473" s="5"/>
      <c r="P473" s="5"/>
      <c r="Q473" s="5"/>
      <c r="S473" s="3" t="s">
        <v>264</v>
      </c>
      <c r="T473" s="3">
        <v>0.9</v>
      </c>
      <c r="U473" s="3">
        <v>0.5</v>
      </c>
      <c r="V473" s="3">
        <v>0.6</v>
      </c>
      <c r="W473" s="3">
        <v>0.01</v>
      </c>
      <c r="X473" s="6">
        <v>636.85681199999999</v>
      </c>
      <c r="Y473" s="3">
        <v>0.02</v>
      </c>
      <c r="AA473" s="3" t="s">
        <v>264</v>
      </c>
      <c r="AB473" s="3">
        <v>0.43</v>
      </c>
      <c r="AC473" s="7">
        <v>737.550659</v>
      </c>
      <c r="AD473" s="3">
        <v>0</v>
      </c>
      <c r="AE473" s="3">
        <f t="shared" si="53"/>
        <v>0.22</v>
      </c>
      <c r="AF473" s="5"/>
      <c r="AG473" s="5"/>
      <c r="AH473" s="5"/>
      <c r="AI473" s="5"/>
      <c r="AK473" s="3" t="s">
        <v>265</v>
      </c>
      <c r="AL473" s="3">
        <v>0.9</v>
      </c>
      <c r="AM473" s="3">
        <v>0.5</v>
      </c>
      <c r="AN473" s="3">
        <v>0.6</v>
      </c>
      <c r="AO473" s="3">
        <v>0.74</v>
      </c>
      <c r="AP473" s="7">
        <v>1136.1951899999999</v>
      </c>
      <c r="AQ473" s="3">
        <v>2.9000000000000001E-2</v>
      </c>
      <c r="AS473" s="3" t="s">
        <v>265</v>
      </c>
      <c r="AT473" s="3">
        <v>0.47</v>
      </c>
      <c r="AU473" s="6">
        <v>1048.267822</v>
      </c>
      <c r="AV473" s="3">
        <v>2E-3</v>
      </c>
      <c r="AW473" s="3">
        <f t="shared" si="54"/>
        <v>0.60499999999999998</v>
      </c>
      <c r="AX473" s="5"/>
      <c r="AY473" s="5"/>
      <c r="AZ473" s="5"/>
      <c r="BA473" s="5"/>
      <c r="BC473" s="3" t="s">
        <v>265</v>
      </c>
      <c r="BD473" s="3">
        <v>0.9</v>
      </c>
      <c r="BE473" s="3">
        <v>0.5</v>
      </c>
      <c r="BF473" s="3">
        <v>0.6</v>
      </c>
      <c r="BG473" s="3">
        <v>0.82</v>
      </c>
      <c r="BH473" s="6">
        <v>1104.882202</v>
      </c>
      <c r="BI473" s="3">
        <v>2.1000000000000001E-2</v>
      </c>
      <c r="BK473" s="3" t="s">
        <v>265</v>
      </c>
      <c r="BL473" s="3">
        <v>0.78</v>
      </c>
      <c r="BM473" s="7">
        <v>1114.977905</v>
      </c>
      <c r="BN473" s="3">
        <v>2E-3</v>
      </c>
      <c r="BO473" s="3">
        <f t="shared" si="55"/>
        <v>0.8</v>
      </c>
    </row>
    <row r="474" spans="1:71" x14ac:dyDescent="0.3">
      <c r="A474" s="3" t="s">
        <v>266</v>
      </c>
      <c r="B474" s="3">
        <v>0.9</v>
      </c>
      <c r="C474" s="3">
        <v>0.5</v>
      </c>
      <c r="D474" s="3">
        <v>0.6</v>
      </c>
      <c r="E474" s="3">
        <v>0.83</v>
      </c>
      <c r="F474" s="7">
        <v>714.69348100000002</v>
      </c>
      <c r="G474" s="3">
        <v>0.02</v>
      </c>
      <c r="I474" s="3" t="s">
        <v>266</v>
      </c>
      <c r="J474" s="3">
        <v>0.45</v>
      </c>
      <c r="K474" s="6">
        <v>667.66650400000003</v>
      </c>
      <c r="L474" s="3">
        <v>6.0000000000000001E-3</v>
      </c>
      <c r="M474" s="3">
        <f t="shared" si="52"/>
        <v>0.64</v>
      </c>
      <c r="N474" s="5"/>
      <c r="O474" s="5"/>
      <c r="P474" s="5"/>
      <c r="Q474" s="5"/>
      <c r="S474" s="3" t="s">
        <v>266</v>
      </c>
      <c r="T474" s="3">
        <v>0.9</v>
      </c>
      <c r="U474" s="3">
        <v>0.5</v>
      </c>
      <c r="V474" s="3">
        <v>0.6</v>
      </c>
      <c r="W474" s="3">
        <v>0.39</v>
      </c>
      <c r="X474" s="6">
        <v>641.30242899999996</v>
      </c>
      <c r="Y474" s="3">
        <v>3.4000000000000002E-2</v>
      </c>
      <c r="AA474" s="3" t="s">
        <v>266</v>
      </c>
      <c r="AB474" s="3">
        <v>0.7</v>
      </c>
      <c r="AC474" s="7">
        <v>699.54492200000004</v>
      </c>
      <c r="AD474" s="3">
        <v>7.0000000000000001E-3</v>
      </c>
      <c r="AE474" s="3">
        <f t="shared" si="53"/>
        <v>0.54499999999999993</v>
      </c>
      <c r="AF474" s="5"/>
      <c r="AG474" s="5"/>
      <c r="AH474" s="5"/>
      <c r="AI474" s="5"/>
      <c r="AK474" s="3" t="s">
        <v>267</v>
      </c>
      <c r="AL474" s="3">
        <v>0.9</v>
      </c>
      <c r="AM474" s="3">
        <v>0.5</v>
      </c>
      <c r="AN474" s="3">
        <v>0.6</v>
      </c>
      <c r="AO474" s="3">
        <v>0.06</v>
      </c>
      <c r="AP474" s="6">
        <v>878.83673099999999</v>
      </c>
      <c r="AQ474" s="3">
        <v>1.0999999999999999E-2</v>
      </c>
      <c r="AS474" s="3" t="s">
        <v>267</v>
      </c>
      <c r="AT474" s="3">
        <v>0.18</v>
      </c>
      <c r="AU474" s="7">
        <v>944.645081</v>
      </c>
      <c r="AV474" s="3">
        <v>2E-3</v>
      </c>
      <c r="AW474" s="3">
        <f t="shared" si="54"/>
        <v>0.12</v>
      </c>
      <c r="AX474" s="5"/>
      <c r="AY474" s="5"/>
      <c r="AZ474" s="5"/>
      <c r="BA474" s="5"/>
      <c r="BC474" s="3" t="s">
        <v>267</v>
      </c>
      <c r="BD474" s="3">
        <v>0.9</v>
      </c>
      <c r="BE474" s="3">
        <v>0.5</v>
      </c>
      <c r="BF474" s="3">
        <v>0.6</v>
      </c>
      <c r="BG474" s="3">
        <v>0.19</v>
      </c>
      <c r="BH474" s="6">
        <v>927.74005099999999</v>
      </c>
      <c r="BI474" s="3">
        <v>3.2000000000000001E-2</v>
      </c>
      <c r="BK474" s="3" t="s">
        <v>267</v>
      </c>
      <c r="BL474" s="3">
        <v>0.49</v>
      </c>
      <c r="BM474" s="7">
        <v>1079.379639</v>
      </c>
      <c r="BN474" s="3">
        <v>5.0000000000000001E-3</v>
      </c>
      <c r="BO474" s="3">
        <f t="shared" si="55"/>
        <v>0.33999999999999997</v>
      </c>
    </row>
    <row r="475" spans="1:71" x14ac:dyDescent="0.3">
      <c r="A475" s="3" t="s">
        <v>268</v>
      </c>
      <c r="B475" s="3">
        <v>0.9</v>
      </c>
      <c r="C475" s="3">
        <v>0.5</v>
      </c>
      <c r="D475" s="3">
        <v>0.6</v>
      </c>
      <c r="E475" s="3">
        <v>0.78</v>
      </c>
      <c r="F475" s="7">
        <v>799.45929000000001</v>
      </c>
      <c r="G475" s="3">
        <v>1.6E-2</v>
      </c>
      <c r="I475" s="3" t="s">
        <v>268</v>
      </c>
      <c r="J475" s="3">
        <v>0.47</v>
      </c>
      <c r="K475" s="6">
        <v>756.98541299999999</v>
      </c>
      <c r="L475" s="3">
        <v>4.0000000000000001E-3</v>
      </c>
      <c r="M475" s="3">
        <f t="shared" si="52"/>
        <v>0.625</v>
      </c>
      <c r="N475" s="5"/>
      <c r="O475" s="5"/>
      <c r="P475" s="5"/>
      <c r="Q475" s="5"/>
      <c r="S475" s="3" t="s">
        <v>268</v>
      </c>
      <c r="T475" s="3">
        <v>0.9</v>
      </c>
      <c r="U475" s="3">
        <v>0.5</v>
      </c>
      <c r="V475" s="3">
        <v>0.6</v>
      </c>
      <c r="W475" s="3">
        <v>0.78</v>
      </c>
      <c r="X475" s="7">
        <v>762.62524399999995</v>
      </c>
      <c r="Y475" s="3">
        <v>1.0999999999999999E-2</v>
      </c>
      <c r="AA475" s="3" t="s">
        <v>268</v>
      </c>
      <c r="AB475" s="3">
        <v>0.11</v>
      </c>
      <c r="AC475" s="6">
        <v>653.744507</v>
      </c>
      <c r="AD475" s="3">
        <v>5.0000000000000001E-3</v>
      </c>
      <c r="AE475" s="3">
        <f t="shared" si="53"/>
        <v>0.44500000000000001</v>
      </c>
      <c r="AF475" s="5"/>
      <c r="AG475" s="5"/>
      <c r="AH475" s="5"/>
      <c r="AI475" s="5"/>
      <c r="AK475" s="3" t="s">
        <v>269</v>
      </c>
      <c r="AL475" s="3">
        <v>0.9</v>
      </c>
      <c r="AM475" s="3">
        <v>0.5</v>
      </c>
      <c r="AN475" s="3">
        <v>0.6</v>
      </c>
      <c r="AO475" s="3">
        <v>0.93</v>
      </c>
      <c r="AP475" s="7">
        <v>1122.5703120000001</v>
      </c>
      <c r="AQ475" s="3">
        <v>2.8000000000000001E-2</v>
      </c>
      <c r="AS475" s="3" t="s">
        <v>269</v>
      </c>
      <c r="AT475" s="3">
        <v>0.11</v>
      </c>
      <c r="AU475" s="6">
        <v>856.24017300000003</v>
      </c>
      <c r="AV475" s="3">
        <v>1E-3</v>
      </c>
      <c r="AW475" s="3">
        <f t="shared" si="54"/>
        <v>0.52</v>
      </c>
      <c r="AX475" s="5"/>
      <c r="AY475" s="5"/>
      <c r="AZ475" s="5"/>
      <c r="BA475" s="5"/>
      <c r="BC475" s="3" t="s">
        <v>269</v>
      </c>
      <c r="BD475" s="3">
        <v>0.9</v>
      </c>
      <c r="BE475" s="3">
        <v>0.5</v>
      </c>
      <c r="BF475" s="3">
        <v>0.6</v>
      </c>
      <c r="BG475" s="3">
        <v>0.09</v>
      </c>
      <c r="BH475" s="6">
        <v>803.07556199999999</v>
      </c>
      <c r="BI475" s="3">
        <v>1.4999999999999999E-2</v>
      </c>
      <c r="BK475" s="3" t="s">
        <v>269</v>
      </c>
      <c r="BL475" s="3">
        <v>0.26</v>
      </c>
      <c r="BM475" s="7">
        <v>922.92864999999995</v>
      </c>
      <c r="BN475" s="3">
        <v>2E-3</v>
      </c>
      <c r="BO475" s="3">
        <f t="shared" si="55"/>
        <v>0.17499999999999999</v>
      </c>
    </row>
    <row r="476" spans="1:71" x14ac:dyDescent="0.3">
      <c r="A476" s="3" t="s">
        <v>270</v>
      </c>
      <c r="B476" s="3">
        <v>0.9</v>
      </c>
      <c r="C476" s="3">
        <v>0.5</v>
      </c>
      <c r="D476" s="3">
        <v>0.6</v>
      </c>
      <c r="E476" s="3">
        <v>0.52</v>
      </c>
      <c r="F476" s="6">
        <v>671.05676300000005</v>
      </c>
      <c r="G476" s="3">
        <v>1.0999999999999999E-2</v>
      </c>
      <c r="I476" s="3" t="s">
        <v>270</v>
      </c>
      <c r="J476" s="3">
        <v>0.81</v>
      </c>
      <c r="K476" s="7">
        <v>699.362122</v>
      </c>
      <c r="L476" s="3">
        <v>0</v>
      </c>
      <c r="M476" s="3">
        <f t="shared" si="52"/>
        <v>0.66500000000000004</v>
      </c>
      <c r="N476" s="5"/>
      <c r="O476" s="5"/>
      <c r="P476" s="5"/>
      <c r="Q476" s="5"/>
      <c r="S476" s="3" t="s">
        <v>270</v>
      </c>
      <c r="T476" s="3">
        <v>0.9</v>
      </c>
      <c r="U476" s="3">
        <v>0.5</v>
      </c>
      <c r="V476" s="3">
        <v>0.6</v>
      </c>
      <c r="W476" s="3">
        <v>0.21</v>
      </c>
      <c r="X476" s="6">
        <v>554.49035600000002</v>
      </c>
      <c r="Y476" s="3">
        <v>2.5999999999999999E-2</v>
      </c>
      <c r="AA476" s="3" t="s">
        <v>270</v>
      </c>
      <c r="AB476" s="3">
        <v>0.54</v>
      </c>
      <c r="AC476" s="7">
        <v>636.39355499999999</v>
      </c>
      <c r="AD476" s="3">
        <v>0.01</v>
      </c>
      <c r="AE476" s="3">
        <f t="shared" si="53"/>
        <v>0.375</v>
      </c>
      <c r="AF476" s="5"/>
      <c r="AG476" s="5"/>
      <c r="AH476" s="5"/>
      <c r="AI476" s="5"/>
      <c r="AK476" s="3" t="s">
        <v>271</v>
      </c>
      <c r="AL476" s="3">
        <v>0.9</v>
      </c>
      <c r="AM476" s="3">
        <v>0.5</v>
      </c>
      <c r="AN476" s="3">
        <v>0.6</v>
      </c>
      <c r="AO476" s="3">
        <v>0.95</v>
      </c>
      <c r="AP476" s="7">
        <v>1142.7146</v>
      </c>
      <c r="AQ476" s="3">
        <v>2.3E-2</v>
      </c>
      <c r="AS476" s="3" t="s">
        <v>271</v>
      </c>
      <c r="AT476" s="3">
        <v>0.72</v>
      </c>
      <c r="AU476" s="6">
        <v>1120.0179439999999</v>
      </c>
      <c r="AV476" s="3">
        <v>1E-3</v>
      </c>
      <c r="AW476" s="3">
        <f t="shared" si="54"/>
        <v>0.83499999999999996</v>
      </c>
      <c r="AX476" s="5"/>
      <c r="AY476" s="5"/>
      <c r="AZ476" s="5"/>
      <c r="BA476" s="5"/>
      <c r="BC476" s="3" t="s">
        <v>271</v>
      </c>
      <c r="BD476" s="3">
        <v>0.9</v>
      </c>
      <c r="BE476" s="3">
        <v>0.5</v>
      </c>
      <c r="BF476" s="3">
        <v>0.6</v>
      </c>
      <c r="BG476" s="3">
        <v>0.02</v>
      </c>
      <c r="BH476" s="6">
        <v>754.55291699999998</v>
      </c>
      <c r="BI476" s="3">
        <v>2.8000000000000001E-2</v>
      </c>
      <c r="BK476" s="3" t="s">
        <v>271</v>
      </c>
      <c r="BL476" s="3">
        <v>0.05</v>
      </c>
      <c r="BM476" s="7">
        <v>768.55389400000001</v>
      </c>
      <c r="BN476" s="3">
        <v>1E-3</v>
      </c>
      <c r="BO476" s="3">
        <f t="shared" si="55"/>
        <v>3.5000000000000003E-2</v>
      </c>
    </row>
    <row r="477" spans="1:71" x14ac:dyDescent="0.3">
      <c r="A477" s="3" t="s">
        <v>272</v>
      </c>
      <c r="B477" s="3">
        <v>0.9</v>
      </c>
      <c r="C477" s="3">
        <v>0.5</v>
      </c>
      <c r="D477" s="3">
        <v>0.6</v>
      </c>
      <c r="E477" s="3">
        <v>0.28000000000000003</v>
      </c>
      <c r="F477" s="7">
        <v>761.46527100000003</v>
      </c>
      <c r="G477" s="3">
        <v>8.0000000000000002E-3</v>
      </c>
      <c r="I477" s="3" t="s">
        <v>272</v>
      </c>
      <c r="J477" s="3">
        <v>0.16</v>
      </c>
      <c r="K477" s="6">
        <v>719.43182400000001</v>
      </c>
      <c r="L477" s="3">
        <v>0</v>
      </c>
      <c r="M477" s="3">
        <f t="shared" si="52"/>
        <v>0.22000000000000003</v>
      </c>
      <c r="N477" s="5"/>
      <c r="O477" s="5"/>
      <c r="P477" s="5"/>
      <c r="Q477" s="5"/>
      <c r="S477" s="3" t="s">
        <v>272</v>
      </c>
      <c r="T477" s="3">
        <v>0.9</v>
      </c>
      <c r="U477" s="3">
        <v>0.5</v>
      </c>
      <c r="V477" s="3">
        <v>0.6</v>
      </c>
      <c r="W477" s="3">
        <v>0.65</v>
      </c>
      <c r="X477" s="7">
        <v>878.56677200000001</v>
      </c>
      <c r="Y477" s="3">
        <v>2.7E-2</v>
      </c>
      <c r="AA477" s="3" t="s">
        <v>272</v>
      </c>
      <c r="AB477" s="3">
        <v>0.19</v>
      </c>
      <c r="AC477" s="6">
        <v>717.31555200000003</v>
      </c>
      <c r="AD477" s="3">
        <v>6.0000000000000001E-3</v>
      </c>
      <c r="AE477" s="3">
        <f t="shared" si="53"/>
        <v>0.42000000000000004</v>
      </c>
      <c r="AF477" s="5"/>
      <c r="AG477" s="5"/>
      <c r="AH477" s="5"/>
      <c r="AI477" s="5"/>
      <c r="AK477" s="3" t="s">
        <v>273</v>
      </c>
      <c r="AL477" s="3">
        <v>0.9</v>
      </c>
      <c r="AM477" s="3">
        <v>0.5</v>
      </c>
      <c r="AN477" s="3">
        <v>0.6</v>
      </c>
      <c r="AO477" s="3">
        <v>0.2</v>
      </c>
      <c r="AP477" s="6">
        <v>956.21557600000006</v>
      </c>
      <c r="AQ477" s="3">
        <v>3.1E-2</v>
      </c>
      <c r="AS477" s="3" t="s">
        <v>273</v>
      </c>
      <c r="AT477" s="3">
        <v>0.77</v>
      </c>
      <c r="AU477" s="7">
        <v>1180.3626710000001</v>
      </c>
      <c r="AV477" s="3">
        <v>7.0000000000000001E-3</v>
      </c>
      <c r="AW477" s="3">
        <f t="shared" si="54"/>
        <v>0.48499999999999999</v>
      </c>
      <c r="AX477" s="5"/>
      <c r="AY477" s="5"/>
      <c r="AZ477" s="5"/>
      <c r="BA477" s="5"/>
      <c r="BC477" s="3" t="s">
        <v>273</v>
      </c>
      <c r="BD477" s="3">
        <v>0.9</v>
      </c>
      <c r="BE477" s="3">
        <v>0.5</v>
      </c>
      <c r="BF477" s="3">
        <v>0.6</v>
      </c>
      <c r="BG477" s="3">
        <v>0.01</v>
      </c>
      <c r="BH477" s="6">
        <v>866.97851600000001</v>
      </c>
      <c r="BI477" s="3">
        <v>1.2E-2</v>
      </c>
      <c r="BK477" s="3" t="s">
        <v>273</v>
      </c>
      <c r="BL477" s="3">
        <v>0.67</v>
      </c>
      <c r="BM477" s="7">
        <v>1119.5017089999999</v>
      </c>
      <c r="BN477" s="3">
        <v>1E-3</v>
      </c>
      <c r="BO477" s="3">
        <f t="shared" si="55"/>
        <v>0.34</v>
      </c>
    </row>
    <row r="478" spans="1:71" x14ac:dyDescent="0.3">
      <c r="A478" s="3" t="s">
        <v>274</v>
      </c>
      <c r="B478" s="3">
        <v>0.9</v>
      </c>
      <c r="C478" s="3">
        <v>0.5</v>
      </c>
      <c r="D478" s="3">
        <v>0.6</v>
      </c>
      <c r="E478" s="3">
        <v>0.05</v>
      </c>
      <c r="F478" s="6">
        <v>728.07940699999995</v>
      </c>
      <c r="G478" s="3">
        <v>1.4E-2</v>
      </c>
      <c r="I478" s="3" t="s">
        <v>274</v>
      </c>
      <c r="J478" s="3">
        <v>0.5</v>
      </c>
      <c r="K478" s="7">
        <v>877.32507299999997</v>
      </c>
      <c r="L478" s="3">
        <v>0</v>
      </c>
      <c r="M478" s="3">
        <f t="shared" si="52"/>
        <v>0.27500000000000002</v>
      </c>
      <c r="N478" s="5"/>
      <c r="O478" s="5"/>
      <c r="P478" s="5"/>
      <c r="Q478" s="5"/>
      <c r="S478" s="3" t="s">
        <v>274</v>
      </c>
      <c r="T478" s="3">
        <v>0.9</v>
      </c>
      <c r="U478" s="3">
        <v>0.5</v>
      </c>
      <c r="V478" s="3">
        <v>0.6</v>
      </c>
      <c r="W478" s="3">
        <v>0.03</v>
      </c>
      <c r="X478" s="6">
        <v>706.527466</v>
      </c>
      <c r="Y478" s="3">
        <v>1.6E-2</v>
      </c>
      <c r="AA478" s="3" t="s">
        <v>274</v>
      </c>
      <c r="AB478" s="3">
        <v>0.27</v>
      </c>
      <c r="AC478" s="7">
        <v>775.40039100000001</v>
      </c>
      <c r="AD478" s="3">
        <v>3.0000000000000001E-3</v>
      </c>
      <c r="AE478" s="3">
        <f t="shared" si="53"/>
        <v>0.15000000000000002</v>
      </c>
      <c r="AF478" s="5"/>
      <c r="AG478" s="5"/>
      <c r="AH478" s="5"/>
      <c r="AI478" s="5"/>
      <c r="AK478" s="3" t="s">
        <v>275</v>
      </c>
      <c r="AL478" s="3">
        <v>0.9</v>
      </c>
      <c r="AM478" s="3">
        <v>0.5</v>
      </c>
      <c r="AN478" s="3">
        <v>0.6</v>
      </c>
      <c r="AO478" s="3">
        <v>0.79</v>
      </c>
      <c r="AP478" s="7">
        <v>1299.4461670000001</v>
      </c>
      <c r="AQ478" s="3">
        <v>1.4E-2</v>
      </c>
      <c r="AS478" s="3" t="s">
        <v>275</v>
      </c>
      <c r="AT478" s="3">
        <v>0.15</v>
      </c>
      <c r="AU478" s="6">
        <v>999.983521</v>
      </c>
      <c r="AV478" s="3">
        <v>3.0000000000000001E-3</v>
      </c>
      <c r="AW478" s="3">
        <f t="shared" si="54"/>
        <v>0.47000000000000003</v>
      </c>
      <c r="AX478" s="5"/>
      <c r="AY478" s="5"/>
      <c r="AZ478" s="5"/>
      <c r="BA478" s="5"/>
      <c r="BC478" s="3" t="s">
        <v>275</v>
      </c>
      <c r="BD478" s="3">
        <v>0.9</v>
      </c>
      <c r="BE478" s="3">
        <v>0.5</v>
      </c>
      <c r="BF478" s="3">
        <v>0.6</v>
      </c>
      <c r="BG478" s="3">
        <v>0.16</v>
      </c>
      <c r="BH478" s="6">
        <v>1014.754517</v>
      </c>
      <c r="BI478" s="3">
        <v>1.4E-2</v>
      </c>
      <c r="BK478" s="3" t="s">
        <v>275</v>
      </c>
      <c r="BL478" s="3">
        <v>0.31</v>
      </c>
      <c r="BM478" s="7">
        <v>1095.6213379999999</v>
      </c>
      <c r="BN478" s="3">
        <v>2E-3</v>
      </c>
      <c r="BO478" s="3">
        <f t="shared" si="55"/>
        <v>0.23499999999999999</v>
      </c>
    </row>
    <row r="479" spans="1:71" x14ac:dyDescent="0.3">
      <c r="A479" s="3" t="s">
        <v>276</v>
      </c>
      <c r="B479" s="3">
        <v>0.9</v>
      </c>
      <c r="C479" s="3">
        <v>0.5</v>
      </c>
      <c r="D479" s="3">
        <v>0.6</v>
      </c>
      <c r="E479" s="3">
        <v>0.91</v>
      </c>
      <c r="F479" s="7">
        <v>858.96881099999996</v>
      </c>
      <c r="G479" s="3">
        <v>3.7999999999999999E-2</v>
      </c>
      <c r="I479" s="3" t="s">
        <v>276</v>
      </c>
      <c r="J479" s="3">
        <v>0.05</v>
      </c>
      <c r="K479" s="6">
        <v>644.53375200000005</v>
      </c>
      <c r="L479" s="3">
        <v>1.4E-2</v>
      </c>
      <c r="M479" s="3">
        <f t="shared" si="52"/>
        <v>0.48000000000000004</v>
      </c>
      <c r="N479" s="5"/>
      <c r="O479" s="5"/>
      <c r="P479" s="5"/>
      <c r="Q479" s="5"/>
      <c r="S479" s="3" t="s">
        <v>276</v>
      </c>
      <c r="T479" s="3">
        <v>0.9</v>
      </c>
      <c r="U479" s="3">
        <v>0.5</v>
      </c>
      <c r="V479" s="3">
        <v>0.6</v>
      </c>
      <c r="W479" s="3">
        <v>0.99</v>
      </c>
      <c r="X479" s="7">
        <v>897.96875</v>
      </c>
      <c r="Y479" s="3">
        <v>2.1000000000000001E-2</v>
      </c>
      <c r="AA479" s="3" t="s">
        <v>276</v>
      </c>
      <c r="AB479" s="3">
        <v>0.38</v>
      </c>
      <c r="AC479" s="6">
        <v>721.26379399999996</v>
      </c>
      <c r="AD479" s="3">
        <v>2E-3</v>
      </c>
      <c r="AE479" s="3">
        <f t="shared" si="53"/>
        <v>0.68500000000000005</v>
      </c>
      <c r="AF479" s="5"/>
      <c r="AG479" s="5"/>
      <c r="AH479" s="5"/>
      <c r="AI479" s="5"/>
      <c r="AK479" s="3" t="s">
        <v>277</v>
      </c>
      <c r="AL479" s="3">
        <v>0.9</v>
      </c>
      <c r="AM479" s="3">
        <v>0.5</v>
      </c>
      <c r="AN479" s="3">
        <v>0.6</v>
      </c>
      <c r="AO479" s="3">
        <v>0.75</v>
      </c>
      <c r="AP479" s="7">
        <v>1234.862061</v>
      </c>
      <c r="AQ479" s="3">
        <v>1.4999999999999999E-2</v>
      </c>
      <c r="AS479" s="3" t="s">
        <v>277</v>
      </c>
      <c r="AT479" s="3">
        <v>0.73</v>
      </c>
      <c r="AU479" s="6">
        <v>1203.1324460000001</v>
      </c>
      <c r="AV479" s="3">
        <v>3.0000000000000001E-3</v>
      </c>
      <c r="AW479" s="3">
        <f t="shared" si="54"/>
        <v>0.74</v>
      </c>
      <c r="AX479" s="5"/>
      <c r="AY479" s="5"/>
      <c r="AZ479" s="5"/>
      <c r="BA479" s="5"/>
      <c r="BC479" s="3" t="s">
        <v>277</v>
      </c>
      <c r="BD479" s="3">
        <v>0.9</v>
      </c>
      <c r="BE479" s="3">
        <v>0.5</v>
      </c>
      <c r="BF479" s="3">
        <v>0.6</v>
      </c>
      <c r="BG479" s="3">
        <v>0.52</v>
      </c>
      <c r="BH479" s="7">
        <v>1098.1748050000001</v>
      </c>
      <c r="BI479" s="3">
        <v>1.6E-2</v>
      </c>
      <c r="BK479" s="3" t="s">
        <v>277</v>
      </c>
      <c r="BL479" s="3">
        <v>0.25</v>
      </c>
      <c r="BM479" s="6">
        <v>958.29986599999995</v>
      </c>
      <c r="BN479" s="3">
        <v>0.01</v>
      </c>
      <c r="BO479" s="3">
        <f t="shared" si="55"/>
        <v>0.38500000000000001</v>
      </c>
    </row>
    <row r="480" spans="1:71" x14ac:dyDescent="0.3">
      <c r="A480" s="3" t="s">
        <v>278</v>
      </c>
      <c r="B480" s="3">
        <v>0.9</v>
      </c>
      <c r="C480" s="3">
        <v>0.5</v>
      </c>
      <c r="D480" s="3">
        <v>0.6</v>
      </c>
      <c r="E480" s="3">
        <v>0.52</v>
      </c>
      <c r="F480" s="6">
        <v>734.91156000000001</v>
      </c>
      <c r="G480" s="3">
        <v>1.0999999999999999E-2</v>
      </c>
      <c r="I480" s="3" t="s">
        <v>278</v>
      </c>
      <c r="J480" s="3">
        <v>0.86</v>
      </c>
      <c r="K480" s="7">
        <v>840.69982900000002</v>
      </c>
      <c r="L480" s="3">
        <v>4.0000000000000001E-3</v>
      </c>
      <c r="M480" s="3">
        <f t="shared" si="52"/>
        <v>0.69</v>
      </c>
      <c r="N480" s="5"/>
      <c r="O480" s="5"/>
      <c r="P480" s="5"/>
      <c r="Q480" s="5"/>
      <c r="S480" s="3" t="s">
        <v>278</v>
      </c>
      <c r="T480" s="3">
        <v>0.9</v>
      </c>
      <c r="U480" s="3">
        <v>0.5</v>
      </c>
      <c r="V480" s="3">
        <v>0.6</v>
      </c>
      <c r="W480" s="3">
        <v>0.69</v>
      </c>
      <c r="X480" s="7">
        <v>769.54046600000004</v>
      </c>
      <c r="Y480" s="3">
        <v>1.7999999999999999E-2</v>
      </c>
      <c r="AA480" s="3" t="s">
        <v>278</v>
      </c>
      <c r="AB480" s="3">
        <v>0.26</v>
      </c>
      <c r="AC480" s="6">
        <v>634.39111300000002</v>
      </c>
      <c r="AD480" s="3">
        <v>0.02</v>
      </c>
      <c r="AE480" s="3">
        <f t="shared" si="53"/>
        <v>0.47499999999999998</v>
      </c>
      <c r="AF480" s="5"/>
      <c r="AG480" s="5"/>
      <c r="AH480" s="5"/>
      <c r="AI480" s="5"/>
      <c r="AK480" s="3" t="s">
        <v>279</v>
      </c>
      <c r="AL480" s="3">
        <v>0.9</v>
      </c>
      <c r="AM480" s="3">
        <v>0.5</v>
      </c>
      <c r="AN480" s="3">
        <v>0.6</v>
      </c>
      <c r="AO480" s="3">
        <v>0.12</v>
      </c>
      <c r="AP480" s="6">
        <v>972.27325399999995</v>
      </c>
      <c r="AQ480" s="3">
        <v>1.7000000000000001E-2</v>
      </c>
      <c r="AS480" s="3" t="s">
        <v>279</v>
      </c>
      <c r="AT480" s="3">
        <v>0.8</v>
      </c>
      <c r="AU480" s="7">
        <v>1340.1473390000001</v>
      </c>
      <c r="AV480" s="3">
        <v>1E-3</v>
      </c>
      <c r="AW480" s="3">
        <f t="shared" si="54"/>
        <v>0.46</v>
      </c>
      <c r="AX480" s="5"/>
      <c r="AY480" s="5"/>
      <c r="AZ480" s="5"/>
      <c r="BA480" s="5"/>
      <c r="BC480" s="3" t="s">
        <v>279</v>
      </c>
      <c r="BD480" s="3">
        <v>0.9</v>
      </c>
      <c r="BE480" s="3">
        <v>0.5</v>
      </c>
      <c r="BF480" s="3">
        <v>0.6</v>
      </c>
      <c r="BG480" s="3">
        <v>0.27</v>
      </c>
      <c r="BH480" s="7">
        <v>1095.565063</v>
      </c>
      <c r="BI480" s="3">
        <v>0.03</v>
      </c>
      <c r="BK480" s="3" t="s">
        <v>279</v>
      </c>
      <c r="BL480" s="3">
        <v>0.02</v>
      </c>
      <c r="BM480" s="6">
        <v>878.16198699999995</v>
      </c>
      <c r="BN480" s="3">
        <v>1.2E-2</v>
      </c>
      <c r="BO480" s="3">
        <f t="shared" si="55"/>
        <v>0.14500000000000002</v>
      </c>
    </row>
    <row r="481" spans="1:67" x14ac:dyDescent="0.3">
      <c r="A481" s="3" t="s">
        <v>280</v>
      </c>
      <c r="B481" s="3">
        <v>0.9</v>
      </c>
      <c r="C481" s="3">
        <v>0.5</v>
      </c>
      <c r="D481" s="3">
        <v>0.6</v>
      </c>
      <c r="E481" s="3">
        <v>0.24</v>
      </c>
      <c r="F481" s="6">
        <v>873.555969</v>
      </c>
      <c r="G481" s="3">
        <v>2.1000000000000001E-2</v>
      </c>
      <c r="I481" s="3" t="s">
        <v>280</v>
      </c>
      <c r="J481" s="3">
        <v>0.6</v>
      </c>
      <c r="K481" s="7">
        <v>1030.218384</v>
      </c>
      <c r="L481" s="3">
        <v>5.0000000000000001E-3</v>
      </c>
      <c r="M481" s="3">
        <f t="shared" si="52"/>
        <v>0.42</v>
      </c>
      <c r="N481" s="5"/>
      <c r="O481" s="5"/>
      <c r="P481" s="5"/>
      <c r="Q481" s="5"/>
      <c r="S481" s="3" t="s">
        <v>280</v>
      </c>
      <c r="T481" s="3">
        <v>0.9</v>
      </c>
      <c r="U481" s="3">
        <v>0.5</v>
      </c>
      <c r="V481" s="3">
        <v>0.6</v>
      </c>
      <c r="W481" s="3">
        <v>0.16</v>
      </c>
      <c r="X481" s="7">
        <v>801.13171399999999</v>
      </c>
      <c r="Y481" s="3">
        <v>2.3E-2</v>
      </c>
      <c r="AA481" s="3" t="s">
        <v>280</v>
      </c>
      <c r="AB481" s="3">
        <v>0.02</v>
      </c>
      <c r="AC481" s="6">
        <v>738.75116000000003</v>
      </c>
      <c r="AD481" s="3">
        <v>5.0000000000000001E-3</v>
      </c>
      <c r="AE481" s="3">
        <f t="shared" si="53"/>
        <v>0.09</v>
      </c>
      <c r="AF481" s="5"/>
      <c r="AG481" s="5"/>
      <c r="AH481" s="5"/>
      <c r="AI481" s="5"/>
      <c r="AK481" s="3" t="s">
        <v>281</v>
      </c>
      <c r="AL481" s="3">
        <v>0.9</v>
      </c>
      <c r="AM481" s="3">
        <v>0.5</v>
      </c>
      <c r="AN481" s="3">
        <v>0.6</v>
      </c>
      <c r="AO481" s="3">
        <v>0.75</v>
      </c>
      <c r="AP481" s="7">
        <v>1267.9677730000001</v>
      </c>
      <c r="AQ481" s="3">
        <v>2.8000000000000001E-2</v>
      </c>
      <c r="AS481" s="3" t="s">
        <v>281</v>
      </c>
      <c r="AT481" s="3">
        <v>0.19</v>
      </c>
      <c r="AU481" s="6">
        <v>1002.167419</v>
      </c>
      <c r="AV481" s="3">
        <v>1E-3</v>
      </c>
      <c r="AW481" s="3">
        <f t="shared" si="54"/>
        <v>0.47</v>
      </c>
      <c r="AX481" s="5"/>
      <c r="AY481" s="5"/>
      <c r="AZ481" s="5"/>
      <c r="BA481" s="5"/>
      <c r="BC481" s="3" t="s">
        <v>281</v>
      </c>
      <c r="BD481" s="3">
        <v>0.9</v>
      </c>
      <c r="BE481" s="3">
        <v>0.5</v>
      </c>
      <c r="BF481" s="3">
        <v>0.6</v>
      </c>
      <c r="BG481" s="3">
        <v>0.36</v>
      </c>
      <c r="BH481" s="7">
        <v>1087.1464840000001</v>
      </c>
      <c r="BI481" s="3">
        <v>3.5999999999999997E-2</v>
      </c>
      <c r="BK481" s="3" t="s">
        <v>281</v>
      </c>
      <c r="BL481" s="3">
        <v>0.26</v>
      </c>
      <c r="BM481" s="6">
        <v>1051.730957</v>
      </c>
      <c r="BN481" s="3">
        <v>2E-3</v>
      </c>
      <c r="BO481" s="3">
        <f t="shared" si="55"/>
        <v>0.31</v>
      </c>
    </row>
    <row r="482" spans="1:67" x14ac:dyDescent="0.3">
      <c r="A482" s="3" t="s">
        <v>282</v>
      </c>
      <c r="B482" s="3">
        <v>0.9</v>
      </c>
      <c r="C482" s="3">
        <v>0.5</v>
      </c>
      <c r="D482" s="3">
        <v>0.6</v>
      </c>
      <c r="E482" s="3">
        <v>0.2</v>
      </c>
      <c r="F482" s="6">
        <v>736.00579800000003</v>
      </c>
      <c r="G482" s="3">
        <v>1.6E-2</v>
      </c>
      <c r="I482" s="3" t="s">
        <v>282</v>
      </c>
      <c r="J482" s="3">
        <v>0.75</v>
      </c>
      <c r="K482" s="7">
        <v>1018.595886</v>
      </c>
      <c r="L482" s="3">
        <v>2E-3</v>
      </c>
      <c r="M482" s="3">
        <f t="shared" si="52"/>
        <v>0.47499999999999998</v>
      </c>
      <c r="N482" s="5"/>
      <c r="O482" s="5"/>
      <c r="P482" s="5"/>
      <c r="Q482" s="5"/>
      <c r="S482" s="3" t="s">
        <v>282</v>
      </c>
      <c r="T482" s="3">
        <v>0.9</v>
      </c>
      <c r="U482" s="3">
        <v>0.5</v>
      </c>
      <c r="V482" s="3">
        <v>0.6</v>
      </c>
      <c r="W482" s="3">
        <v>0.14000000000000001</v>
      </c>
      <c r="X482" s="6">
        <v>702.543274</v>
      </c>
      <c r="Y482" s="3">
        <v>2.1999999999999999E-2</v>
      </c>
      <c r="AA482" s="3" t="s">
        <v>282</v>
      </c>
      <c r="AB482" s="3">
        <v>0.27</v>
      </c>
      <c r="AC482" s="7">
        <v>774.48974599999997</v>
      </c>
      <c r="AD482" s="3">
        <v>2E-3</v>
      </c>
      <c r="AE482" s="3">
        <f t="shared" si="53"/>
        <v>0.20500000000000002</v>
      </c>
      <c r="AF482" s="5"/>
      <c r="AG482" s="5"/>
      <c r="AH482" s="5"/>
      <c r="AI482" s="5"/>
      <c r="AK482" s="3" t="s">
        <v>283</v>
      </c>
      <c r="AL482" s="3">
        <v>0.9</v>
      </c>
      <c r="AM482" s="3">
        <v>0.5</v>
      </c>
      <c r="AN482" s="3">
        <v>0.6</v>
      </c>
      <c r="AO482" s="3">
        <v>0.6</v>
      </c>
      <c r="AP482" s="6">
        <v>1173.5582280000001</v>
      </c>
      <c r="AQ482" s="3">
        <v>3.7999999999999999E-2</v>
      </c>
      <c r="AS482" s="3" t="s">
        <v>283</v>
      </c>
      <c r="AT482" s="3">
        <v>0.79</v>
      </c>
      <c r="AU482" s="7">
        <v>1253.9174800000001</v>
      </c>
      <c r="AV482" s="3">
        <v>2E-3</v>
      </c>
      <c r="AW482" s="3">
        <f t="shared" si="54"/>
        <v>0.69500000000000006</v>
      </c>
      <c r="AX482" s="5"/>
      <c r="AY482" s="5"/>
      <c r="AZ482" s="5"/>
      <c r="BA482" s="5"/>
      <c r="BC482" s="3" t="s">
        <v>283</v>
      </c>
      <c r="BD482" s="3">
        <v>0.9</v>
      </c>
      <c r="BE482" s="3">
        <v>0.5</v>
      </c>
      <c r="BF482" s="3">
        <v>0.6</v>
      </c>
      <c r="BG482" s="3">
        <v>0.53</v>
      </c>
      <c r="BH482" s="7">
        <v>1140.003418</v>
      </c>
      <c r="BI482" s="3">
        <v>1.7999999999999999E-2</v>
      </c>
      <c r="BK482" s="3" t="s">
        <v>283</v>
      </c>
      <c r="BL482" s="3">
        <v>0.19</v>
      </c>
      <c r="BM482" s="6">
        <v>943.297729</v>
      </c>
      <c r="BN482" s="3">
        <v>2E-3</v>
      </c>
      <c r="BO482" s="3">
        <f t="shared" si="55"/>
        <v>0.36</v>
      </c>
    </row>
    <row r="483" spans="1:67" x14ac:dyDescent="0.3">
      <c r="A483" s="3" t="s">
        <v>284</v>
      </c>
      <c r="B483" s="3">
        <v>0.9</v>
      </c>
      <c r="C483" s="3">
        <v>0.5</v>
      </c>
      <c r="D483" s="3">
        <v>0.6</v>
      </c>
      <c r="E483" s="3">
        <v>0.64</v>
      </c>
      <c r="F483" s="7">
        <v>941.98821999999996</v>
      </c>
      <c r="G483" s="3">
        <v>1.2E-2</v>
      </c>
      <c r="I483" s="3" t="s">
        <v>284</v>
      </c>
      <c r="J483" s="3">
        <v>0.84</v>
      </c>
      <c r="K483" s="6">
        <v>923.94146699999999</v>
      </c>
      <c r="L483" s="3">
        <v>4.0000000000000001E-3</v>
      </c>
      <c r="M483" s="3">
        <f t="shared" si="52"/>
        <v>0.74</v>
      </c>
      <c r="N483" s="5"/>
      <c r="O483" s="5"/>
      <c r="P483" s="5"/>
      <c r="Q483" s="5"/>
      <c r="S483" s="3" t="s">
        <v>284</v>
      </c>
      <c r="T483" s="3">
        <v>0.9</v>
      </c>
      <c r="U483" s="3">
        <v>0.5</v>
      </c>
      <c r="V483" s="3">
        <v>0.6</v>
      </c>
      <c r="W483" s="3">
        <v>0.46</v>
      </c>
      <c r="X483" s="6">
        <v>900.80792199999996</v>
      </c>
      <c r="Y483" s="3">
        <v>1.7999999999999999E-2</v>
      </c>
      <c r="AA483" s="3" t="s">
        <v>284</v>
      </c>
      <c r="AB483" s="3">
        <v>0.99</v>
      </c>
      <c r="AC483" s="7">
        <v>1003.70636</v>
      </c>
      <c r="AD483" s="3">
        <v>1.2999999999999999E-2</v>
      </c>
      <c r="AE483" s="3">
        <f t="shared" si="53"/>
        <v>0.72499999999999998</v>
      </c>
      <c r="AF483" s="5"/>
      <c r="AG483" s="5"/>
      <c r="AH483" s="5"/>
      <c r="AI483" s="5"/>
      <c r="AK483" s="3" t="s">
        <v>285</v>
      </c>
      <c r="AL483" s="3">
        <v>0.9</v>
      </c>
      <c r="AM483" s="3">
        <v>0.5</v>
      </c>
      <c r="AN483" s="3">
        <v>0.6</v>
      </c>
      <c r="AO483" s="3">
        <v>0.21</v>
      </c>
      <c r="AP483" s="7">
        <v>1027.9141850000001</v>
      </c>
      <c r="AQ483" s="3">
        <v>1.9E-2</v>
      </c>
      <c r="AS483" s="3" t="s">
        <v>285</v>
      </c>
      <c r="AT483" s="3">
        <v>0.05</v>
      </c>
      <c r="AU483" s="6">
        <v>897.48754899999994</v>
      </c>
      <c r="AV483" s="3">
        <v>3.0000000000000001E-3</v>
      </c>
      <c r="AW483" s="3">
        <f t="shared" si="54"/>
        <v>0.13</v>
      </c>
      <c r="AX483" s="5"/>
      <c r="AY483" s="5"/>
      <c r="AZ483" s="5"/>
      <c r="BA483" s="5"/>
      <c r="BC483" s="3" t="s">
        <v>285</v>
      </c>
      <c r="BD483" s="3">
        <v>0.9</v>
      </c>
      <c r="BE483" s="3">
        <v>0.5</v>
      </c>
      <c r="BF483" s="3">
        <v>0.6</v>
      </c>
      <c r="BG483" s="3">
        <v>0.03</v>
      </c>
      <c r="BH483" s="6">
        <v>868.98046899999997</v>
      </c>
      <c r="BI483" s="3">
        <v>0.04</v>
      </c>
      <c r="BK483" s="3" t="s">
        <v>285</v>
      </c>
      <c r="BL483" s="3">
        <v>0.45</v>
      </c>
      <c r="BM483" s="7">
        <v>1165.8895259999999</v>
      </c>
      <c r="BN483" s="3">
        <v>1E-3</v>
      </c>
      <c r="BO483" s="3">
        <f t="shared" si="55"/>
        <v>0.24</v>
      </c>
    </row>
    <row r="484" spans="1:67" x14ac:dyDescent="0.3">
      <c r="A484" s="3" t="s">
        <v>286</v>
      </c>
      <c r="B484" s="3">
        <v>0.9</v>
      </c>
      <c r="C484" s="3">
        <v>0.5</v>
      </c>
      <c r="D484" s="3">
        <v>0.6</v>
      </c>
      <c r="E484" s="3">
        <v>0.01</v>
      </c>
      <c r="F484" s="6">
        <v>700.83837900000003</v>
      </c>
      <c r="G484" s="3">
        <v>8.9999999999999993E-3</v>
      </c>
      <c r="I484" s="3" t="s">
        <v>286</v>
      </c>
      <c r="J484" s="3">
        <v>0.99</v>
      </c>
      <c r="K484" s="7">
        <v>949.36029099999996</v>
      </c>
      <c r="L484" s="3">
        <v>2E-3</v>
      </c>
      <c r="M484" s="3">
        <f t="shared" si="52"/>
        <v>0.5</v>
      </c>
      <c r="N484" s="5"/>
      <c r="O484" s="5"/>
      <c r="P484" s="5"/>
      <c r="Q484" s="5"/>
      <c r="S484" s="3" t="s">
        <v>286</v>
      </c>
      <c r="T484" s="3">
        <v>0.9</v>
      </c>
      <c r="U484" s="3">
        <v>0.5</v>
      </c>
      <c r="V484" s="3">
        <v>0.6</v>
      </c>
      <c r="W484" s="3">
        <v>0.43</v>
      </c>
      <c r="X484" s="7">
        <v>746.44329800000003</v>
      </c>
      <c r="Y484" s="3">
        <v>3.3000000000000002E-2</v>
      </c>
      <c r="AA484" s="3" t="s">
        <v>286</v>
      </c>
      <c r="AB484" s="3">
        <v>0.01</v>
      </c>
      <c r="AC484" s="6">
        <v>681.391479</v>
      </c>
      <c r="AD484" s="3">
        <v>5.0000000000000001E-3</v>
      </c>
      <c r="AE484" s="3">
        <f t="shared" si="53"/>
        <v>0.22</v>
      </c>
      <c r="AF484" s="5"/>
      <c r="AG484" s="5"/>
      <c r="AH484" s="5"/>
      <c r="AI484" s="5"/>
      <c r="AK484" s="3" t="s">
        <v>287</v>
      </c>
      <c r="AL484" s="3">
        <v>0.9</v>
      </c>
      <c r="AM484" s="3">
        <v>0.5</v>
      </c>
      <c r="AN484" s="3">
        <v>0.6</v>
      </c>
      <c r="AO484" s="3">
        <v>0.73</v>
      </c>
      <c r="AP484" s="7">
        <v>1238.0795900000001</v>
      </c>
      <c r="AQ484" s="3">
        <v>2.1999999999999999E-2</v>
      </c>
      <c r="AS484" s="3" t="s">
        <v>287</v>
      </c>
      <c r="AT484" s="3">
        <v>0.75</v>
      </c>
      <c r="AU484" s="6">
        <v>1223.3481449999999</v>
      </c>
      <c r="AV484" s="3">
        <v>2E-3</v>
      </c>
      <c r="AW484" s="3">
        <f t="shared" si="54"/>
        <v>0.74</v>
      </c>
      <c r="AX484" s="5"/>
      <c r="AY484" s="5"/>
      <c r="AZ484" s="5"/>
      <c r="BA484" s="5"/>
      <c r="BC484" s="3" t="s">
        <v>287</v>
      </c>
      <c r="BD484" s="3">
        <v>0.9</v>
      </c>
      <c r="BE484" s="3">
        <v>0.5</v>
      </c>
      <c r="BF484" s="3">
        <v>0.6</v>
      </c>
      <c r="BG484" s="3">
        <v>0.48</v>
      </c>
      <c r="BH484" s="7">
        <v>1098.9030760000001</v>
      </c>
      <c r="BI484" s="3">
        <v>2.5000000000000001E-2</v>
      </c>
      <c r="BK484" s="3" t="s">
        <v>287</v>
      </c>
      <c r="BL484" s="3">
        <v>0.09</v>
      </c>
      <c r="BM484" s="6">
        <v>867.52062999999998</v>
      </c>
      <c r="BN484" s="3">
        <v>4.0000000000000001E-3</v>
      </c>
      <c r="BO484" s="3">
        <f t="shared" si="55"/>
        <v>0.28499999999999998</v>
      </c>
    </row>
    <row r="485" spans="1:67" x14ac:dyDescent="0.3">
      <c r="A485" s="3" t="s">
        <v>288</v>
      </c>
      <c r="B485" s="3">
        <v>0.9</v>
      </c>
      <c r="C485" s="3">
        <v>0.5</v>
      </c>
      <c r="D485" s="3">
        <v>0.6</v>
      </c>
      <c r="E485" s="3">
        <v>0.94</v>
      </c>
      <c r="F485" s="7">
        <v>954.26464799999997</v>
      </c>
      <c r="G485" s="3">
        <v>1.9E-2</v>
      </c>
      <c r="I485" s="3" t="s">
        <v>288</v>
      </c>
      <c r="J485" s="3">
        <v>0.31</v>
      </c>
      <c r="K485" s="6">
        <v>741.03930700000001</v>
      </c>
      <c r="L485" s="3">
        <v>1E-3</v>
      </c>
      <c r="M485" s="3">
        <f t="shared" si="52"/>
        <v>0.625</v>
      </c>
      <c r="N485" s="5"/>
      <c r="O485" s="5"/>
      <c r="P485" s="5"/>
      <c r="Q485" s="5"/>
      <c r="S485" s="3" t="s">
        <v>288</v>
      </c>
      <c r="T485" s="3">
        <v>0.9</v>
      </c>
      <c r="U485" s="3">
        <v>0.5</v>
      </c>
      <c r="V485" s="3">
        <v>0.6</v>
      </c>
      <c r="W485" s="3">
        <v>0.93</v>
      </c>
      <c r="X485" s="7">
        <v>924.34258999999997</v>
      </c>
      <c r="Y485" s="3">
        <v>3.2000000000000001E-2</v>
      </c>
      <c r="AA485" s="3" t="s">
        <v>288</v>
      </c>
      <c r="AB485" s="3">
        <v>0.01</v>
      </c>
      <c r="AC485" s="6">
        <v>692.228882</v>
      </c>
      <c r="AD485" s="3">
        <v>0</v>
      </c>
      <c r="AE485" s="3">
        <f t="shared" si="53"/>
        <v>0.47000000000000003</v>
      </c>
      <c r="AF485" s="5"/>
      <c r="AG485" s="5"/>
      <c r="AH485" s="5"/>
      <c r="AI485" s="5"/>
      <c r="AK485" s="3" t="s">
        <v>289</v>
      </c>
      <c r="AL485" s="3">
        <v>0.9</v>
      </c>
      <c r="AM485" s="3">
        <v>0.5</v>
      </c>
      <c r="AN485" s="3">
        <v>0.6</v>
      </c>
      <c r="AO485" s="3">
        <v>0.99</v>
      </c>
      <c r="AP485" s="7">
        <v>1417.453491</v>
      </c>
      <c r="AQ485" s="3">
        <v>1.7999999999999999E-2</v>
      </c>
      <c r="AS485" s="3" t="s">
        <v>289</v>
      </c>
      <c r="AT485" s="3">
        <v>0.25</v>
      </c>
      <c r="AU485" s="6">
        <v>1070.2647710000001</v>
      </c>
      <c r="AV485" s="3">
        <v>2E-3</v>
      </c>
      <c r="AW485" s="3">
        <f t="shared" si="54"/>
        <v>0.62</v>
      </c>
      <c r="AX485" s="5"/>
      <c r="AY485" s="5"/>
      <c r="AZ485" s="5"/>
      <c r="BA485" s="5"/>
      <c r="BC485" s="3" t="s">
        <v>289</v>
      </c>
      <c r="BD485" s="3">
        <v>0.9</v>
      </c>
      <c r="BE485" s="3">
        <v>0.5</v>
      </c>
      <c r="BF485" s="3">
        <v>0.6</v>
      </c>
      <c r="BG485" s="3">
        <v>0.2</v>
      </c>
      <c r="BH485" s="6">
        <v>1018.161499</v>
      </c>
      <c r="BI485" s="3">
        <v>2.8000000000000001E-2</v>
      </c>
      <c r="BK485" s="3" t="s">
        <v>289</v>
      </c>
      <c r="BL485" s="3">
        <v>0.36</v>
      </c>
      <c r="BM485" s="7">
        <v>1123.7563479999999</v>
      </c>
      <c r="BN485" s="3">
        <v>3.0000000000000001E-3</v>
      </c>
      <c r="BO485" s="3">
        <f t="shared" si="55"/>
        <v>0.28000000000000003</v>
      </c>
    </row>
    <row r="486" spans="1:67" x14ac:dyDescent="0.3">
      <c r="A486" s="3" t="s">
        <v>290</v>
      </c>
      <c r="B486" s="3">
        <v>0.9</v>
      </c>
      <c r="C486" s="3">
        <v>0.5</v>
      </c>
      <c r="D486" s="3">
        <v>0.6</v>
      </c>
      <c r="E486" s="3">
        <v>0.9</v>
      </c>
      <c r="F486" s="7">
        <v>953.61163299999998</v>
      </c>
      <c r="G486" s="3">
        <v>1.7999999999999999E-2</v>
      </c>
      <c r="I486" s="3" t="s">
        <v>290</v>
      </c>
      <c r="J486" s="3">
        <v>0.48</v>
      </c>
      <c r="K486" s="6">
        <v>803.28344700000002</v>
      </c>
      <c r="L486" s="3">
        <v>1E-3</v>
      </c>
      <c r="M486" s="3">
        <f t="shared" si="52"/>
        <v>0.69</v>
      </c>
      <c r="N486" s="5"/>
      <c r="O486" s="5"/>
      <c r="P486" s="5"/>
      <c r="Q486" s="5"/>
      <c r="S486" s="3" t="s">
        <v>290</v>
      </c>
      <c r="T486" s="3">
        <v>0.9</v>
      </c>
      <c r="U486" s="3">
        <v>0.5</v>
      </c>
      <c r="V486" s="3">
        <v>0.6</v>
      </c>
      <c r="W486" s="3">
        <v>0.64</v>
      </c>
      <c r="X486" s="6">
        <v>867.037598</v>
      </c>
      <c r="Y486" s="3">
        <v>2.3E-2</v>
      </c>
      <c r="AA486" s="3" t="s">
        <v>290</v>
      </c>
      <c r="AB486" s="3">
        <v>0.86</v>
      </c>
      <c r="AC486" s="7">
        <v>946.84771699999999</v>
      </c>
      <c r="AD486" s="3">
        <v>2E-3</v>
      </c>
      <c r="AE486" s="3">
        <f t="shared" si="53"/>
        <v>0.75</v>
      </c>
      <c r="AF486" s="5"/>
      <c r="AG486" s="5"/>
      <c r="AH486" s="5"/>
      <c r="AI486" s="5"/>
      <c r="AK486" s="3" t="s">
        <v>291</v>
      </c>
      <c r="AL486" s="3">
        <v>0.9</v>
      </c>
      <c r="AM486" s="3">
        <v>0.5</v>
      </c>
      <c r="AN486" s="3">
        <v>0.6</v>
      </c>
      <c r="AO486" s="3">
        <v>0.5</v>
      </c>
      <c r="AP486" s="7">
        <v>1167.996216</v>
      </c>
      <c r="AQ486" s="3">
        <v>2.5999999999999999E-2</v>
      </c>
      <c r="AS486" s="3" t="s">
        <v>291</v>
      </c>
      <c r="AT486" s="3">
        <v>0.32</v>
      </c>
      <c r="AU486" s="6">
        <v>1083.1342770000001</v>
      </c>
      <c r="AV486" s="3">
        <v>6.0000000000000001E-3</v>
      </c>
      <c r="AW486" s="3">
        <f t="shared" si="54"/>
        <v>0.41000000000000003</v>
      </c>
      <c r="AX486" s="5"/>
      <c r="AY486" s="5"/>
      <c r="AZ486" s="5"/>
      <c r="BA486" s="5"/>
      <c r="BC486" s="3" t="s">
        <v>291</v>
      </c>
      <c r="BD486" s="3">
        <v>0.9</v>
      </c>
      <c r="BE486" s="3">
        <v>0.5</v>
      </c>
      <c r="BF486" s="3">
        <v>0.6</v>
      </c>
      <c r="BG486" s="3">
        <v>0.76</v>
      </c>
      <c r="BH486" s="6">
        <v>1233.1229249999999</v>
      </c>
      <c r="BI486" s="3">
        <v>2.5000000000000001E-2</v>
      </c>
      <c r="BK486" s="3" t="s">
        <v>291</v>
      </c>
      <c r="BL486" s="3">
        <v>0.81</v>
      </c>
      <c r="BM486" s="7">
        <v>1244.406982</v>
      </c>
      <c r="BN486" s="3">
        <v>1E-3</v>
      </c>
      <c r="BO486" s="3">
        <f t="shared" si="55"/>
        <v>0.78500000000000003</v>
      </c>
    </row>
    <row r="487" spans="1:67" x14ac:dyDescent="0.3">
      <c r="A487" s="3" t="s">
        <v>292</v>
      </c>
      <c r="B487" s="3">
        <v>0.9</v>
      </c>
      <c r="C487" s="3">
        <v>0.5</v>
      </c>
      <c r="D487" s="3">
        <v>0.6</v>
      </c>
      <c r="E487" s="3">
        <v>0.56999999999999995</v>
      </c>
      <c r="F487" s="6">
        <v>911.14935300000002</v>
      </c>
      <c r="G487" s="3">
        <v>1.2E-2</v>
      </c>
      <c r="I487" s="3" t="s">
        <v>292</v>
      </c>
      <c r="J487" s="3">
        <v>0.72</v>
      </c>
      <c r="K487" s="7">
        <v>956.48559599999999</v>
      </c>
      <c r="L487" s="3">
        <v>1E-3</v>
      </c>
      <c r="M487" s="3">
        <f t="shared" si="52"/>
        <v>0.64500000000000002</v>
      </c>
      <c r="N487" s="5"/>
      <c r="O487" s="5"/>
      <c r="P487" s="5"/>
      <c r="Q487" s="5"/>
      <c r="S487" s="3" t="s">
        <v>292</v>
      </c>
      <c r="T487" s="3">
        <v>0.9</v>
      </c>
      <c r="U487" s="3">
        <v>0.5</v>
      </c>
      <c r="V487" s="3">
        <v>0.6</v>
      </c>
      <c r="W487" s="3">
        <v>0.95</v>
      </c>
      <c r="X487" s="7">
        <v>1033.9801030000001</v>
      </c>
      <c r="Y487" s="3">
        <v>2.4E-2</v>
      </c>
      <c r="AA487" s="3" t="s">
        <v>292</v>
      </c>
      <c r="AB487" s="3">
        <v>0.36</v>
      </c>
      <c r="AC487" s="6">
        <v>806.49688700000002</v>
      </c>
      <c r="AD487" s="3">
        <v>2E-3</v>
      </c>
      <c r="AE487" s="3">
        <f t="shared" si="53"/>
        <v>0.65500000000000003</v>
      </c>
      <c r="AF487" s="5"/>
      <c r="AG487" s="5"/>
      <c r="AH487" s="5"/>
      <c r="AI487" s="5"/>
      <c r="AK487" s="3" t="s">
        <v>293</v>
      </c>
      <c r="AL487" s="3">
        <v>0.9</v>
      </c>
      <c r="AM487" s="3">
        <v>0.5</v>
      </c>
      <c r="AN487" s="3">
        <v>0.6</v>
      </c>
      <c r="AO487" s="3">
        <v>0.87</v>
      </c>
      <c r="AP487" s="7">
        <v>1407.4562989999999</v>
      </c>
      <c r="AQ487" s="3">
        <v>2.8000000000000001E-2</v>
      </c>
      <c r="AS487" s="3" t="s">
        <v>293</v>
      </c>
      <c r="AT487" s="3">
        <v>0.23</v>
      </c>
      <c r="AU487" s="6">
        <v>1046.974731</v>
      </c>
      <c r="AV487" s="3">
        <v>2E-3</v>
      </c>
      <c r="AW487" s="3">
        <f t="shared" si="54"/>
        <v>0.55000000000000004</v>
      </c>
      <c r="AX487" s="5"/>
      <c r="AY487" s="5"/>
      <c r="AZ487" s="5"/>
      <c r="BA487" s="5"/>
      <c r="BC487" s="3" t="s">
        <v>293</v>
      </c>
      <c r="BD487" s="3">
        <v>0.9</v>
      </c>
      <c r="BE487" s="3">
        <v>0.5</v>
      </c>
      <c r="BF487" s="3">
        <v>0.6</v>
      </c>
      <c r="BG487" s="3">
        <v>0.67</v>
      </c>
      <c r="BH487" s="6">
        <v>1326.333862</v>
      </c>
      <c r="BI487" s="3">
        <v>2.4E-2</v>
      </c>
      <c r="BK487" s="3" t="s">
        <v>293</v>
      </c>
      <c r="BL487" s="3">
        <v>0.86</v>
      </c>
      <c r="BM487" s="7">
        <v>1387.932861</v>
      </c>
      <c r="BN487" s="3">
        <v>8.9999999999999993E-3</v>
      </c>
      <c r="BO487" s="3">
        <f t="shared" si="55"/>
        <v>0.76500000000000001</v>
      </c>
    </row>
    <row r="488" spans="1:67" x14ac:dyDescent="0.3">
      <c r="A488" s="3" t="s">
        <v>294</v>
      </c>
      <c r="B488" s="3">
        <v>0.9</v>
      </c>
      <c r="C488" s="3">
        <v>0.5</v>
      </c>
      <c r="D488" s="3">
        <v>0.6</v>
      </c>
      <c r="E488" s="3">
        <v>0.97</v>
      </c>
      <c r="F488" s="7">
        <v>1160.5455320000001</v>
      </c>
      <c r="G488" s="3">
        <v>1.4E-2</v>
      </c>
      <c r="I488" s="3" t="s">
        <v>294</v>
      </c>
      <c r="J488" s="3">
        <v>0.96</v>
      </c>
      <c r="K488" s="6">
        <v>1148.529297</v>
      </c>
      <c r="L488" s="3">
        <v>5.0000000000000001E-3</v>
      </c>
      <c r="M488" s="3">
        <f t="shared" si="52"/>
        <v>0.96499999999999997</v>
      </c>
      <c r="N488" s="5"/>
      <c r="O488" s="5"/>
      <c r="P488" s="5"/>
      <c r="Q488" s="5"/>
      <c r="S488" s="3" t="s">
        <v>294</v>
      </c>
      <c r="T488" s="3">
        <v>0.9</v>
      </c>
      <c r="U488" s="3">
        <v>0.5</v>
      </c>
      <c r="V488" s="3">
        <v>0.6</v>
      </c>
      <c r="W488" s="3">
        <v>0.35</v>
      </c>
      <c r="X488" s="6">
        <v>947.83203100000003</v>
      </c>
      <c r="Y488" s="3">
        <v>1.9E-2</v>
      </c>
      <c r="AA488" s="3" t="s">
        <v>294</v>
      </c>
      <c r="AB488" s="3">
        <v>0.79</v>
      </c>
      <c r="AC488" s="7">
        <v>1101.74585</v>
      </c>
      <c r="AD488" s="3">
        <v>1E-3</v>
      </c>
      <c r="AE488" s="3">
        <f t="shared" si="53"/>
        <v>0.57000000000000006</v>
      </c>
      <c r="AF488" s="5"/>
      <c r="AG488" s="5"/>
      <c r="AH488" s="5"/>
      <c r="AI488" s="5"/>
      <c r="AK488" s="3" t="s">
        <v>295</v>
      </c>
      <c r="AL488" s="3">
        <v>0.9</v>
      </c>
      <c r="AM488" s="3">
        <v>0.5</v>
      </c>
      <c r="AN488" s="3">
        <v>0.6</v>
      </c>
      <c r="AO488" s="3">
        <v>0.63</v>
      </c>
      <c r="AP488" s="7">
        <v>1436.5264890000001</v>
      </c>
      <c r="AQ488" s="3">
        <v>0.02</v>
      </c>
      <c r="AS488" s="3" t="s">
        <v>295</v>
      </c>
      <c r="AT488" s="3">
        <v>0.15</v>
      </c>
      <c r="AU488" s="6">
        <v>1079.0395510000001</v>
      </c>
      <c r="AV488" s="3">
        <v>2E-3</v>
      </c>
      <c r="AW488" s="3">
        <f t="shared" si="54"/>
        <v>0.39</v>
      </c>
      <c r="AX488" s="5"/>
      <c r="AY488" s="5"/>
      <c r="AZ488" s="5"/>
      <c r="BA488" s="5"/>
      <c r="BC488" s="3" t="s">
        <v>295</v>
      </c>
      <c r="BD488" s="3">
        <v>0.9</v>
      </c>
      <c r="BE488" s="3">
        <v>0.5</v>
      </c>
      <c r="BF488" s="3">
        <v>0.6</v>
      </c>
      <c r="BG488" s="3">
        <v>0.43</v>
      </c>
      <c r="BH488" s="6">
        <v>1290.387573</v>
      </c>
      <c r="BI488" s="3">
        <v>2.1000000000000001E-2</v>
      </c>
      <c r="BK488" s="3" t="s">
        <v>295</v>
      </c>
      <c r="BL488" s="3">
        <v>0.99</v>
      </c>
      <c r="BM488" s="7">
        <v>1596.3438719999999</v>
      </c>
      <c r="BN488" s="3">
        <v>3.0000000000000001E-3</v>
      </c>
      <c r="BO488" s="3">
        <f t="shared" si="55"/>
        <v>0.71</v>
      </c>
    </row>
    <row r="489" spans="1:67" x14ac:dyDescent="0.3">
      <c r="A489" s="3" t="s">
        <v>296</v>
      </c>
      <c r="B489" s="3">
        <v>0.9</v>
      </c>
      <c r="C489" s="3">
        <v>0.5</v>
      </c>
      <c r="D489" s="3">
        <v>0.6</v>
      </c>
      <c r="E489" s="3">
        <v>0.15</v>
      </c>
      <c r="F489" s="6">
        <v>838.13342299999999</v>
      </c>
      <c r="G489" s="3">
        <v>1.9E-2</v>
      </c>
      <c r="I489" s="3" t="s">
        <v>296</v>
      </c>
      <c r="J489" s="3">
        <v>0.33</v>
      </c>
      <c r="K489" s="7">
        <v>909.74743699999999</v>
      </c>
      <c r="L489" s="3">
        <v>3.0000000000000001E-3</v>
      </c>
      <c r="M489" s="3">
        <f t="shared" si="52"/>
        <v>0.24</v>
      </c>
      <c r="N489" s="5"/>
      <c r="O489" s="5"/>
      <c r="P489" s="5"/>
      <c r="Q489" s="5"/>
      <c r="S489" s="3" t="s">
        <v>296</v>
      </c>
      <c r="T489" s="3">
        <v>0.9</v>
      </c>
      <c r="U489" s="3">
        <v>0.5</v>
      </c>
      <c r="V489" s="3">
        <v>0.6</v>
      </c>
      <c r="W489" s="3">
        <v>0.51</v>
      </c>
      <c r="X489" s="6">
        <v>987.53033400000004</v>
      </c>
      <c r="Y489" s="3">
        <v>1.7999999999999999E-2</v>
      </c>
      <c r="AA489" s="3" t="s">
        <v>296</v>
      </c>
      <c r="AB489" s="3">
        <v>0.63</v>
      </c>
      <c r="AC489" s="7">
        <v>1013.89325</v>
      </c>
      <c r="AD489" s="3">
        <v>1E-3</v>
      </c>
      <c r="AE489" s="3">
        <f t="shared" si="53"/>
        <v>0.57000000000000006</v>
      </c>
      <c r="AF489" s="5"/>
      <c r="AG489" s="5"/>
      <c r="AH489" s="5"/>
      <c r="AI489" s="5"/>
      <c r="AK489" s="3" t="s">
        <v>297</v>
      </c>
      <c r="AL489" s="3">
        <v>0.9</v>
      </c>
      <c r="AM489" s="3">
        <v>0.5</v>
      </c>
      <c r="AN489" s="3">
        <v>0.6</v>
      </c>
      <c r="AO489" s="3">
        <v>0.26</v>
      </c>
      <c r="AP489" s="6">
        <v>1121.7569579999999</v>
      </c>
      <c r="AQ489" s="3">
        <v>1.7999999999999999E-2</v>
      </c>
      <c r="AS489" s="3" t="s">
        <v>297</v>
      </c>
      <c r="AT489" s="3">
        <v>0.3</v>
      </c>
      <c r="AU489" s="7">
        <v>1143.752808</v>
      </c>
      <c r="AV489" s="3">
        <v>4.0000000000000001E-3</v>
      </c>
      <c r="AW489" s="3">
        <f t="shared" si="54"/>
        <v>0.28000000000000003</v>
      </c>
      <c r="AX489" s="5"/>
      <c r="AY489" s="5"/>
      <c r="AZ489" s="5"/>
      <c r="BA489" s="5"/>
      <c r="BC489" s="3" t="s">
        <v>297</v>
      </c>
      <c r="BD489" s="3">
        <v>0.9</v>
      </c>
      <c r="BE489" s="3">
        <v>0.5</v>
      </c>
      <c r="BF489" s="3">
        <v>0.6</v>
      </c>
      <c r="BG489" s="3">
        <v>0.71</v>
      </c>
      <c r="BH489" s="7">
        <v>1416.036865</v>
      </c>
      <c r="BI489" s="3">
        <v>2.7E-2</v>
      </c>
      <c r="BK489" s="3" t="s">
        <v>297</v>
      </c>
      <c r="BL489" s="3">
        <v>0.32</v>
      </c>
      <c r="BM489" s="6">
        <v>1149.1107179999999</v>
      </c>
      <c r="BN489" s="3">
        <v>5.0000000000000001E-3</v>
      </c>
      <c r="BO489" s="3">
        <f t="shared" si="55"/>
        <v>0.51500000000000001</v>
      </c>
    </row>
    <row r="490" spans="1:67" x14ac:dyDescent="0.3">
      <c r="A490" s="3" t="s">
        <v>298</v>
      </c>
      <c r="B490" s="3">
        <v>0.9</v>
      </c>
      <c r="C490" s="3">
        <v>0.5</v>
      </c>
      <c r="D490" s="3">
        <v>0.6</v>
      </c>
      <c r="E490" s="3">
        <v>0.48</v>
      </c>
      <c r="F490" s="6">
        <v>871.31005900000002</v>
      </c>
      <c r="G490" s="3">
        <v>8.9999999999999993E-3</v>
      </c>
      <c r="I490" s="3" t="s">
        <v>298</v>
      </c>
      <c r="J490" s="3">
        <v>0.91</v>
      </c>
      <c r="K490" s="7">
        <v>1017.625061</v>
      </c>
      <c r="L490" s="3">
        <v>2E-3</v>
      </c>
      <c r="M490" s="3">
        <f t="shared" si="52"/>
        <v>0.69500000000000006</v>
      </c>
      <c r="N490" s="5"/>
      <c r="O490" s="5"/>
      <c r="P490" s="5"/>
      <c r="Q490" s="5"/>
      <c r="S490" s="3" t="s">
        <v>298</v>
      </c>
      <c r="T490" s="3">
        <v>0.9</v>
      </c>
      <c r="U490" s="3">
        <v>0.5</v>
      </c>
      <c r="V490" s="3">
        <v>0.6</v>
      </c>
      <c r="W490" s="3">
        <v>0.9</v>
      </c>
      <c r="X490" s="7">
        <v>1014.44281</v>
      </c>
      <c r="Y490" s="3">
        <v>4.8000000000000001E-2</v>
      </c>
      <c r="AA490" s="3" t="s">
        <v>298</v>
      </c>
      <c r="AB490" s="3">
        <v>0.81</v>
      </c>
      <c r="AC490" s="6">
        <v>993.91961700000002</v>
      </c>
      <c r="AD490" s="3">
        <v>1.2E-2</v>
      </c>
      <c r="AE490" s="3">
        <f t="shared" si="53"/>
        <v>0.85499999999999998</v>
      </c>
      <c r="AF490" s="5"/>
      <c r="AG490" s="5"/>
      <c r="AH490" s="5"/>
      <c r="AI490" s="5"/>
      <c r="AK490" s="3" t="s">
        <v>299</v>
      </c>
      <c r="AL490" s="3">
        <v>0.9</v>
      </c>
      <c r="AM490" s="3">
        <v>0.5</v>
      </c>
      <c r="AN490" s="3">
        <v>0.6</v>
      </c>
      <c r="AO490" s="3">
        <v>0.17</v>
      </c>
      <c r="AP490" s="6">
        <v>1068.7775879999999</v>
      </c>
      <c r="AQ490" s="3">
        <v>0.02</v>
      </c>
      <c r="AS490" s="3" t="s">
        <v>299</v>
      </c>
      <c r="AT490" s="3">
        <v>0.27</v>
      </c>
      <c r="AU490" s="7">
        <v>1141.1523440000001</v>
      </c>
      <c r="AV490" s="3">
        <v>3.0000000000000001E-3</v>
      </c>
      <c r="AW490" s="3">
        <f t="shared" si="54"/>
        <v>0.22000000000000003</v>
      </c>
      <c r="AX490" s="5"/>
      <c r="AY490" s="5"/>
      <c r="AZ490" s="5"/>
      <c r="BA490" s="5"/>
      <c r="BC490" s="3" t="s">
        <v>299</v>
      </c>
      <c r="BD490" s="3">
        <v>0.9</v>
      </c>
      <c r="BE490" s="3">
        <v>0.5</v>
      </c>
      <c r="BF490" s="3">
        <v>0.6</v>
      </c>
      <c r="BG490" s="3">
        <v>0.52</v>
      </c>
      <c r="BH490" s="6">
        <v>1334.4820560000001</v>
      </c>
      <c r="BI490" s="3">
        <v>3.6999999999999998E-2</v>
      </c>
      <c r="BK490" s="3" t="s">
        <v>299</v>
      </c>
      <c r="BL490" s="3">
        <v>0.71</v>
      </c>
      <c r="BM490" s="7">
        <v>1496.3585210000001</v>
      </c>
      <c r="BN490" s="3">
        <v>2E-3</v>
      </c>
      <c r="BO490" s="3">
        <f t="shared" si="55"/>
        <v>0.61499999999999999</v>
      </c>
    </row>
    <row r="491" spans="1:67" x14ac:dyDescent="0.3">
      <c r="A491" s="3" t="s">
        <v>300</v>
      </c>
      <c r="B491" s="3">
        <v>0.9</v>
      </c>
      <c r="C491" s="3">
        <v>0.5</v>
      </c>
      <c r="D491" s="3">
        <v>0.6</v>
      </c>
      <c r="E491" s="3">
        <v>0.53</v>
      </c>
      <c r="F491" s="7">
        <v>943.61340299999995</v>
      </c>
      <c r="G491" s="3">
        <v>1.2E-2</v>
      </c>
      <c r="I491" s="3" t="s">
        <v>300</v>
      </c>
      <c r="J491" s="3">
        <v>0.21</v>
      </c>
      <c r="K491" s="6">
        <v>788.90173300000004</v>
      </c>
      <c r="L491" s="3">
        <v>2E-3</v>
      </c>
      <c r="M491" s="3">
        <f t="shared" si="52"/>
        <v>0.37</v>
      </c>
      <c r="N491" s="5"/>
      <c r="O491" s="5"/>
      <c r="P491" s="5"/>
      <c r="Q491" s="5"/>
      <c r="S491" s="3" t="s">
        <v>300</v>
      </c>
      <c r="T491" s="3">
        <v>0.9</v>
      </c>
      <c r="U491" s="3">
        <v>0.5</v>
      </c>
      <c r="V491" s="3">
        <v>0.6</v>
      </c>
      <c r="W491" s="3">
        <v>0.4</v>
      </c>
      <c r="X491" s="7">
        <v>893.27795400000002</v>
      </c>
      <c r="Y491" s="3">
        <v>2.8000000000000001E-2</v>
      </c>
      <c r="AA491" s="3" t="s">
        <v>300</v>
      </c>
      <c r="AB491" s="3">
        <v>0.28000000000000003</v>
      </c>
      <c r="AC491" s="6">
        <v>800.93267800000001</v>
      </c>
      <c r="AD491" s="3">
        <v>7.0000000000000001E-3</v>
      </c>
      <c r="AE491" s="3">
        <f t="shared" si="53"/>
        <v>0.34</v>
      </c>
      <c r="AF491" s="5"/>
      <c r="AG491" s="5"/>
      <c r="AH491" s="5"/>
      <c r="AI491" s="5"/>
      <c r="AK491" s="3" t="s">
        <v>301</v>
      </c>
      <c r="AL491" s="3">
        <v>0.9</v>
      </c>
      <c r="AM491" s="3">
        <v>0.5</v>
      </c>
      <c r="AN491" s="3">
        <v>0.6</v>
      </c>
      <c r="AO491" s="3">
        <v>0.89</v>
      </c>
      <c r="AP491" s="7">
        <v>1472.2438959999999</v>
      </c>
      <c r="AQ491" s="3">
        <v>1.6E-2</v>
      </c>
      <c r="AS491" s="3" t="s">
        <v>301</v>
      </c>
      <c r="AT491" s="3">
        <v>0.1</v>
      </c>
      <c r="AU491" s="6">
        <v>1023.476746</v>
      </c>
      <c r="AV491" s="3">
        <v>3.0000000000000001E-3</v>
      </c>
      <c r="AW491" s="3">
        <f t="shared" si="54"/>
        <v>0.495</v>
      </c>
      <c r="AX491" s="5"/>
      <c r="AY491" s="5"/>
      <c r="AZ491" s="5"/>
      <c r="BA491" s="5"/>
      <c r="BC491" s="3" t="s">
        <v>301</v>
      </c>
      <c r="BD491" s="3">
        <v>0.9</v>
      </c>
      <c r="BE491" s="3">
        <v>0.5</v>
      </c>
      <c r="BF491" s="3">
        <v>0.6</v>
      </c>
      <c r="BG491" s="3">
        <v>0.91</v>
      </c>
      <c r="BH491" s="7">
        <v>1490.153687</v>
      </c>
      <c r="BI491" s="3">
        <v>1.7999999999999999E-2</v>
      </c>
      <c r="BK491" s="3" t="s">
        <v>301</v>
      </c>
      <c r="BL491" s="3">
        <v>0.13</v>
      </c>
      <c r="BM491" s="6">
        <v>1039.435547</v>
      </c>
      <c r="BN491" s="3">
        <v>6.0000000000000001E-3</v>
      </c>
      <c r="BO491" s="3">
        <f t="shared" si="55"/>
        <v>0.52</v>
      </c>
    </row>
    <row r="492" spans="1:67" x14ac:dyDescent="0.3">
      <c r="A492" s="3" t="s">
        <v>302</v>
      </c>
      <c r="B492" s="3">
        <v>0.9</v>
      </c>
      <c r="C492" s="3">
        <v>0.5</v>
      </c>
      <c r="D492" s="3">
        <v>0.6</v>
      </c>
      <c r="E492" s="3">
        <v>0.23</v>
      </c>
      <c r="F492" s="6">
        <v>768.14154099999996</v>
      </c>
      <c r="G492" s="3">
        <v>3.2000000000000001E-2</v>
      </c>
      <c r="I492" s="3" t="s">
        <v>302</v>
      </c>
      <c r="J492" s="3">
        <v>0.83</v>
      </c>
      <c r="K492" s="7">
        <v>993.06634499999996</v>
      </c>
      <c r="L492" s="3">
        <v>2E-3</v>
      </c>
      <c r="M492" s="3">
        <f t="shared" si="52"/>
        <v>0.53</v>
      </c>
      <c r="N492" s="5"/>
      <c r="O492" s="5"/>
      <c r="P492" s="5"/>
      <c r="Q492" s="5"/>
      <c r="S492" s="3" t="s">
        <v>302</v>
      </c>
      <c r="T492" s="3">
        <v>0.9</v>
      </c>
      <c r="U492" s="3">
        <v>0.5</v>
      </c>
      <c r="V492" s="3">
        <v>0.6</v>
      </c>
      <c r="W492" s="3">
        <v>0.92</v>
      </c>
      <c r="X492" s="7">
        <v>1009.967041</v>
      </c>
      <c r="Y492" s="3">
        <v>1.9E-2</v>
      </c>
      <c r="AA492" s="3" t="s">
        <v>302</v>
      </c>
      <c r="AB492" s="3">
        <v>0.28000000000000003</v>
      </c>
      <c r="AC492" s="6">
        <v>777.50726299999997</v>
      </c>
      <c r="AD492" s="3">
        <v>3.0000000000000001E-3</v>
      </c>
      <c r="AE492" s="3">
        <f t="shared" si="53"/>
        <v>0.60000000000000009</v>
      </c>
      <c r="AF492" s="5"/>
      <c r="AG492" s="5"/>
      <c r="AH492" s="5"/>
      <c r="AI492" s="5"/>
      <c r="AK492" s="3" t="s">
        <v>303</v>
      </c>
      <c r="AL492" s="3">
        <v>0.9</v>
      </c>
      <c r="AM492" s="3">
        <v>0.5</v>
      </c>
      <c r="AN492" s="3">
        <v>0.6</v>
      </c>
      <c r="AO492" s="3">
        <v>0.45</v>
      </c>
      <c r="AP492" s="6">
        <v>1207.9486079999999</v>
      </c>
      <c r="AQ492" s="3">
        <v>2.5999999999999999E-2</v>
      </c>
      <c r="AS492" s="3" t="s">
        <v>303</v>
      </c>
      <c r="AT492" s="3">
        <v>0.62</v>
      </c>
      <c r="AU492" s="7">
        <v>1341.8118899999999</v>
      </c>
      <c r="AV492" s="3">
        <v>2E-3</v>
      </c>
      <c r="AW492" s="3">
        <f t="shared" si="54"/>
        <v>0.53500000000000003</v>
      </c>
      <c r="AX492" s="5"/>
      <c r="AY492" s="5"/>
      <c r="AZ492" s="5"/>
      <c r="BA492" s="5"/>
      <c r="BC492" s="3" t="s">
        <v>303</v>
      </c>
      <c r="BD492" s="3">
        <v>0.9</v>
      </c>
      <c r="BE492" s="3">
        <v>0.5</v>
      </c>
      <c r="BF492" s="3">
        <v>0.6</v>
      </c>
      <c r="BG492" s="3">
        <v>0.53</v>
      </c>
      <c r="BH492" s="6">
        <v>1282.1883539999999</v>
      </c>
      <c r="BI492" s="3">
        <v>2.8000000000000001E-2</v>
      </c>
      <c r="BK492" s="3" t="s">
        <v>303</v>
      </c>
      <c r="BL492" s="3">
        <v>0.76</v>
      </c>
      <c r="BM492" s="7">
        <v>1378.642578</v>
      </c>
      <c r="BN492" s="3">
        <v>4.0000000000000001E-3</v>
      </c>
      <c r="BO492" s="3">
        <f t="shared" si="55"/>
        <v>0.64500000000000002</v>
      </c>
    </row>
    <row r="493" spans="1:67" x14ac:dyDescent="0.3">
      <c r="A493" s="3" t="s">
        <v>304</v>
      </c>
      <c r="B493" s="3">
        <v>0.9</v>
      </c>
      <c r="C493" s="3">
        <v>0.5</v>
      </c>
      <c r="D493" s="3">
        <v>0.6</v>
      </c>
      <c r="E493" s="3">
        <v>0.56999999999999995</v>
      </c>
      <c r="F493" s="6">
        <v>1043.3304439999999</v>
      </c>
      <c r="G493" s="3">
        <v>0.02</v>
      </c>
      <c r="I493" s="3" t="s">
        <v>304</v>
      </c>
      <c r="J493" s="3">
        <v>0.63</v>
      </c>
      <c r="K493" s="7">
        <v>1066.6145019999999</v>
      </c>
      <c r="L493" s="3">
        <v>1E-3</v>
      </c>
      <c r="M493" s="3">
        <f t="shared" si="52"/>
        <v>0.6</v>
      </c>
      <c r="N493" s="5"/>
      <c r="O493" s="5"/>
      <c r="P493" s="5"/>
      <c r="Q493" s="5"/>
      <c r="S493" s="3" t="s">
        <v>304</v>
      </c>
      <c r="T493" s="3">
        <v>0.9</v>
      </c>
      <c r="U493" s="3">
        <v>0.5</v>
      </c>
      <c r="V493" s="3">
        <v>0.6</v>
      </c>
      <c r="W493" s="3">
        <v>0.32</v>
      </c>
      <c r="X493" s="7">
        <v>911.64007600000002</v>
      </c>
      <c r="Y493" s="3">
        <v>1.0999999999999999E-2</v>
      </c>
      <c r="AA493" s="3" t="s">
        <v>304</v>
      </c>
      <c r="AB493" s="3">
        <v>0.01</v>
      </c>
      <c r="AC493" s="6">
        <v>815.44250499999998</v>
      </c>
      <c r="AD493" s="3">
        <v>4.0000000000000001E-3</v>
      </c>
      <c r="AE493" s="3">
        <f t="shared" si="53"/>
        <v>0.16500000000000001</v>
      </c>
      <c r="AF493" s="5"/>
      <c r="AG493" s="5"/>
      <c r="AH493" s="5"/>
      <c r="AI493" s="5"/>
      <c r="AK493" s="3" t="s">
        <v>305</v>
      </c>
      <c r="AL493" s="3">
        <v>0.9</v>
      </c>
      <c r="AM493" s="3">
        <v>0.5</v>
      </c>
      <c r="AN493" s="3">
        <v>0.6</v>
      </c>
      <c r="AO493" s="3">
        <v>0.04</v>
      </c>
      <c r="AP493" s="6">
        <v>952.83074999999997</v>
      </c>
      <c r="AQ493" s="3">
        <v>2.8000000000000001E-2</v>
      </c>
      <c r="AS493" s="3" t="s">
        <v>305</v>
      </c>
      <c r="AT493" s="3">
        <v>0.89</v>
      </c>
      <c r="AU493" s="7">
        <v>1550.449707</v>
      </c>
      <c r="AV493" s="3">
        <v>4.0000000000000001E-3</v>
      </c>
      <c r="AW493" s="3">
        <f t="shared" si="54"/>
        <v>0.46500000000000002</v>
      </c>
      <c r="AX493" s="5"/>
      <c r="AY493" s="5"/>
      <c r="AZ493" s="5"/>
      <c r="BA493" s="5"/>
      <c r="BC493" s="3" t="s">
        <v>305</v>
      </c>
      <c r="BD493" s="3">
        <v>0.9</v>
      </c>
      <c r="BE493" s="3">
        <v>0.5</v>
      </c>
      <c r="BF493" s="3">
        <v>0.6</v>
      </c>
      <c r="BG493" s="3">
        <v>0.16</v>
      </c>
      <c r="BH493" s="6">
        <v>1046.0688479999999</v>
      </c>
      <c r="BI493" s="3">
        <v>3.3000000000000002E-2</v>
      </c>
      <c r="BK493" s="3" t="s">
        <v>305</v>
      </c>
      <c r="BL493" s="3">
        <v>0.4</v>
      </c>
      <c r="BM493" s="7">
        <v>1244.049683</v>
      </c>
      <c r="BN493" s="3">
        <v>4.0000000000000001E-3</v>
      </c>
      <c r="BO493" s="3">
        <f t="shared" si="55"/>
        <v>0.28000000000000003</v>
      </c>
    </row>
    <row r="494" spans="1:67" x14ac:dyDescent="0.3">
      <c r="A494" s="3" t="s">
        <v>306</v>
      </c>
      <c r="B494" s="3">
        <v>0.9</v>
      </c>
      <c r="C494" s="3">
        <v>0.5</v>
      </c>
      <c r="D494" s="3">
        <v>0.6</v>
      </c>
      <c r="E494" s="3">
        <v>0.7</v>
      </c>
      <c r="F494" s="7">
        <v>1091.0390620000001</v>
      </c>
      <c r="G494" s="3">
        <v>2.3E-2</v>
      </c>
      <c r="I494" s="3" t="s">
        <v>306</v>
      </c>
      <c r="J494" s="3">
        <v>0.36</v>
      </c>
      <c r="K494" s="6">
        <v>967.855774</v>
      </c>
      <c r="L494" s="3">
        <v>2E-3</v>
      </c>
      <c r="M494" s="3">
        <f t="shared" si="52"/>
        <v>0.53</v>
      </c>
      <c r="N494" s="5"/>
      <c r="O494" s="5"/>
      <c r="P494" s="5"/>
      <c r="Q494" s="5"/>
      <c r="S494" s="3" t="s">
        <v>306</v>
      </c>
      <c r="T494" s="3">
        <v>0.9</v>
      </c>
      <c r="U494" s="3">
        <v>0.5</v>
      </c>
      <c r="V494" s="3">
        <v>0.6</v>
      </c>
      <c r="W494" s="3">
        <v>0.12</v>
      </c>
      <c r="X494" s="6">
        <v>807.31396500000005</v>
      </c>
      <c r="Y494" s="3">
        <v>0.03</v>
      </c>
      <c r="AA494" s="3" t="s">
        <v>306</v>
      </c>
      <c r="AB494" s="3">
        <v>0.41</v>
      </c>
      <c r="AC494" s="7">
        <v>981.29565400000001</v>
      </c>
      <c r="AD494" s="3">
        <v>1E-3</v>
      </c>
      <c r="AE494" s="3">
        <f t="shared" si="53"/>
        <v>0.26500000000000001</v>
      </c>
      <c r="AF494" s="5"/>
      <c r="AG494" s="5"/>
      <c r="AH494" s="5"/>
      <c r="AI494" s="5"/>
      <c r="AK494" s="3" t="s">
        <v>307</v>
      </c>
      <c r="AL494" s="3">
        <v>0.9</v>
      </c>
      <c r="AM494" s="3">
        <v>0.5</v>
      </c>
      <c r="AN494" s="3">
        <v>0.6</v>
      </c>
      <c r="AO494" s="3">
        <v>0.47</v>
      </c>
      <c r="AP494" s="6">
        <v>1259.8138429999999</v>
      </c>
      <c r="AQ494" s="3">
        <v>1.7999999999999999E-2</v>
      </c>
      <c r="AS494" s="3" t="s">
        <v>307</v>
      </c>
      <c r="AT494" s="3">
        <v>0.59</v>
      </c>
      <c r="AU494" s="7">
        <v>1370.8370359999999</v>
      </c>
      <c r="AV494" s="3">
        <v>8.9999999999999993E-3</v>
      </c>
      <c r="AW494" s="3">
        <f t="shared" si="54"/>
        <v>0.53</v>
      </c>
      <c r="AX494" s="5"/>
      <c r="AY494" s="5"/>
      <c r="AZ494" s="5"/>
      <c r="BA494" s="5"/>
      <c r="BC494" s="3" t="s">
        <v>307</v>
      </c>
      <c r="BD494" s="3">
        <v>0.9</v>
      </c>
      <c r="BE494" s="3">
        <v>0.5</v>
      </c>
      <c r="BF494" s="3">
        <v>0.6</v>
      </c>
      <c r="BG494" s="3">
        <v>0.56000000000000005</v>
      </c>
      <c r="BH494" s="6">
        <v>1301.818115</v>
      </c>
      <c r="BI494" s="3">
        <v>2.1999999999999999E-2</v>
      </c>
      <c r="BK494" s="3" t="s">
        <v>307</v>
      </c>
      <c r="BL494" s="3">
        <v>0.96</v>
      </c>
      <c r="BM494" s="7">
        <v>1485.7030030000001</v>
      </c>
      <c r="BN494" s="3">
        <v>2E-3</v>
      </c>
      <c r="BO494" s="3">
        <f t="shared" si="55"/>
        <v>0.76</v>
      </c>
    </row>
    <row r="495" spans="1:67" x14ac:dyDescent="0.3">
      <c r="A495" s="3" t="s">
        <v>308</v>
      </c>
      <c r="B495" s="3">
        <v>0.9</v>
      </c>
      <c r="C495" s="3">
        <v>0.5</v>
      </c>
      <c r="D495" s="3">
        <v>0.6</v>
      </c>
      <c r="E495" s="3">
        <v>0.77</v>
      </c>
      <c r="F495" s="7">
        <v>1087.588379</v>
      </c>
      <c r="G495" s="3">
        <v>2.4E-2</v>
      </c>
      <c r="I495" s="3" t="s">
        <v>308</v>
      </c>
      <c r="J495" s="3">
        <v>0.01</v>
      </c>
      <c r="K495" s="6">
        <v>971.28820800000005</v>
      </c>
      <c r="L495" s="3">
        <v>1E-3</v>
      </c>
      <c r="M495" s="3">
        <f t="shared" si="52"/>
        <v>0.39</v>
      </c>
      <c r="N495" s="5"/>
      <c r="O495" s="5"/>
      <c r="P495" s="5"/>
      <c r="Q495" s="5"/>
      <c r="S495" s="3" t="s">
        <v>308</v>
      </c>
      <c r="T495" s="3">
        <v>0.9</v>
      </c>
      <c r="U495" s="3">
        <v>0.5</v>
      </c>
      <c r="V495" s="3">
        <v>0.6</v>
      </c>
      <c r="W495" s="3">
        <v>0.4</v>
      </c>
      <c r="X495" s="7">
        <v>966.30835000000002</v>
      </c>
      <c r="Y495" s="3">
        <v>2.4E-2</v>
      </c>
      <c r="AA495" s="3" t="s">
        <v>308</v>
      </c>
      <c r="AB495" s="3">
        <v>0.69</v>
      </c>
      <c r="AC495" s="7">
        <v>1066.7607419999999</v>
      </c>
      <c r="AD495" s="3">
        <v>2E-3</v>
      </c>
      <c r="AE495" s="3">
        <f t="shared" si="53"/>
        <v>0.54499999999999993</v>
      </c>
      <c r="AF495" s="5"/>
      <c r="AG495" s="5"/>
      <c r="AH495" s="5"/>
      <c r="AI495" s="5"/>
      <c r="AK495" s="3" t="s">
        <v>309</v>
      </c>
      <c r="AL495" s="3">
        <v>0.9</v>
      </c>
      <c r="AM495" s="3">
        <v>0.5</v>
      </c>
      <c r="AN495" s="3">
        <v>0.6</v>
      </c>
      <c r="AO495" s="3">
        <v>0.43</v>
      </c>
      <c r="AP495" s="7">
        <v>1245.06897</v>
      </c>
      <c r="AQ495" s="3">
        <v>2.8000000000000001E-2</v>
      </c>
      <c r="AS495" s="3" t="s">
        <v>309</v>
      </c>
      <c r="AT495" s="3">
        <v>0.31</v>
      </c>
      <c r="AU495" s="6">
        <v>1167.2146</v>
      </c>
      <c r="AV495" s="3">
        <v>5.0000000000000001E-3</v>
      </c>
      <c r="AW495" s="3">
        <f t="shared" si="54"/>
        <v>0.37</v>
      </c>
      <c r="AX495" s="5"/>
      <c r="AY495" s="5"/>
      <c r="AZ495" s="5"/>
      <c r="BA495" s="5"/>
      <c r="BC495" s="3" t="s">
        <v>309</v>
      </c>
      <c r="BD495" s="3">
        <v>0.9</v>
      </c>
      <c r="BE495" s="3">
        <v>0.5</v>
      </c>
      <c r="BF495" s="3">
        <v>0.6</v>
      </c>
      <c r="BG495" s="3">
        <v>0.76</v>
      </c>
      <c r="BH495" s="7">
        <v>1489.337524</v>
      </c>
      <c r="BI495" s="3">
        <v>1.9E-2</v>
      </c>
      <c r="BK495" s="3" t="s">
        <v>309</v>
      </c>
      <c r="BL495" s="3">
        <v>0.46</v>
      </c>
      <c r="BM495" s="6">
        <v>1247.949341</v>
      </c>
      <c r="BN495" s="3">
        <v>2E-3</v>
      </c>
      <c r="BO495" s="3">
        <f t="shared" si="55"/>
        <v>0.61</v>
      </c>
    </row>
    <row r="496" spans="1:67" x14ac:dyDescent="0.3">
      <c r="A496" s="3" t="s">
        <v>310</v>
      </c>
      <c r="B496" s="3">
        <v>0.9</v>
      </c>
      <c r="C496" s="3">
        <v>0.5</v>
      </c>
      <c r="D496" s="3">
        <v>0.6</v>
      </c>
      <c r="E496" s="3">
        <v>0.03</v>
      </c>
      <c r="F496" s="6">
        <v>809.33795199999997</v>
      </c>
      <c r="G496" s="3">
        <v>1.2E-2</v>
      </c>
      <c r="I496" s="3" t="s">
        <v>310</v>
      </c>
      <c r="J496" s="3">
        <v>0.85</v>
      </c>
      <c r="K496" s="7">
        <v>1092.7382809999999</v>
      </c>
      <c r="L496" s="3">
        <v>3.0000000000000001E-3</v>
      </c>
      <c r="M496" s="3">
        <f t="shared" si="52"/>
        <v>0.44</v>
      </c>
      <c r="N496" s="5"/>
      <c r="O496" s="5"/>
      <c r="P496" s="5"/>
      <c r="Q496" s="5"/>
      <c r="S496" s="3" t="s">
        <v>310</v>
      </c>
      <c r="T496" s="3">
        <v>0.9</v>
      </c>
      <c r="U496" s="3">
        <v>0.5</v>
      </c>
      <c r="V496" s="3">
        <v>0.6</v>
      </c>
      <c r="W496" s="3">
        <v>0.18</v>
      </c>
      <c r="X496" s="6">
        <v>776.28375200000005</v>
      </c>
      <c r="Y496" s="3">
        <v>2.4E-2</v>
      </c>
      <c r="AA496" s="3" t="s">
        <v>310</v>
      </c>
      <c r="AB496" s="3">
        <v>0.66</v>
      </c>
      <c r="AC496" s="7">
        <v>1038.389404</v>
      </c>
      <c r="AD496" s="3">
        <v>7.0000000000000001E-3</v>
      </c>
      <c r="AE496" s="3">
        <f t="shared" si="53"/>
        <v>0.42000000000000004</v>
      </c>
      <c r="AF496" s="5"/>
      <c r="AG496" s="5"/>
      <c r="AH496" s="5"/>
      <c r="AI496" s="5"/>
      <c r="AK496" s="3" t="s">
        <v>311</v>
      </c>
      <c r="AL496" s="3">
        <v>0.9</v>
      </c>
      <c r="AM496" s="3">
        <v>0.5</v>
      </c>
      <c r="AN496" s="3">
        <v>0.6</v>
      </c>
      <c r="AO496" s="3">
        <v>0.28999999999999998</v>
      </c>
      <c r="AP496" s="6">
        <v>1191.434692</v>
      </c>
      <c r="AQ496" s="3">
        <v>1.9E-2</v>
      </c>
      <c r="AS496" s="3" t="s">
        <v>311</v>
      </c>
      <c r="AT496" s="3">
        <v>0.75</v>
      </c>
      <c r="AU496" s="7">
        <v>1479.4879149999999</v>
      </c>
      <c r="AV496" s="3">
        <v>2E-3</v>
      </c>
      <c r="AW496" s="3">
        <f t="shared" si="54"/>
        <v>0.52</v>
      </c>
      <c r="AX496" s="5"/>
      <c r="AY496" s="5"/>
      <c r="AZ496" s="5"/>
      <c r="BA496" s="5"/>
      <c r="BC496" s="3" t="s">
        <v>311</v>
      </c>
      <c r="BD496" s="3">
        <v>0.9</v>
      </c>
      <c r="BE496" s="3">
        <v>0.5</v>
      </c>
      <c r="BF496" s="3">
        <v>0.6</v>
      </c>
      <c r="BG496" s="3">
        <v>0.74</v>
      </c>
      <c r="BH496" s="7">
        <v>1463.5189210000001</v>
      </c>
      <c r="BI496" s="3">
        <v>0.03</v>
      </c>
      <c r="BK496" s="3" t="s">
        <v>311</v>
      </c>
      <c r="BL496" s="3">
        <v>0.52</v>
      </c>
      <c r="BM496" s="6">
        <v>1358.786255</v>
      </c>
      <c r="BN496" s="3">
        <v>0.01</v>
      </c>
      <c r="BO496" s="3">
        <f t="shared" si="55"/>
        <v>0.63</v>
      </c>
    </row>
    <row r="497" spans="1:71" x14ac:dyDescent="0.3">
      <c r="A497" s="3" t="s">
        <v>312</v>
      </c>
      <c r="B497" s="3">
        <v>0.9</v>
      </c>
      <c r="C497" s="3">
        <v>0.5</v>
      </c>
      <c r="D497" s="3">
        <v>0.6</v>
      </c>
      <c r="E497" s="3">
        <v>0.04</v>
      </c>
      <c r="F497" s="6">
        <v>708.56121800000005</v>
      </c>
      <c r="G497" s="3">
        <v>2.7E-2</v>
      </c>
      <c r="I497" s="3" t="s">
        <v>312</v>
      </c>
      <c r="J497" s="3">
        <v>0.54</v>
      </c>
      <c r="K497" s="7">
        <v>996.78826900000001</v>
      </c>
      <c r="L497" s="3">
        <v>3.0000000000000001E-3</v>
      </c>
      <c r="M497" s="3">
        <f t="shared" si="52"/>
        <v>0.29000000000000004</v>
      </c>
      <c r="N497" s="5"/>
      <c r="O497" s="5"/>
      <c r="P497" s="5"/>
      <c r="Q497" s="5"/>
      <c r="S497" s="3" t="s">
        <v>312</v>
      </c>
      <c r="T497" s="3">
        <v>0.9</v>
      </c>
      <c r="U497" s="3">
        <v>0.5</v>
      </c>
      <c r="V497" s="3">
        <v>0.6</v>
      </c>
      <c r="W497" s="3">
        <v>0.53</v>
      </c>
      <c r="X497" s="7">
        <v>966.95788600000003</v>
      </c>
      <c r="Y497" s="3">
        <v>4.1000000000000002E-2</v>
      </c>
      <c r="AA497" s="3" t="s">
        <v>312</v>
      </c>
      <c r="AB497" s="3">
        <v>0.36</v>
      </c>
      <c r="AC497" s="6">
        <v>902.76971400000002</v>
      </c>
      <c r="AD497" s="3">
        <v>1E-3</v>
      </c>
      <c r="AE497" s="3">
        <f t="shared" si="53"/>
        <v>0.44500000000000001</v>
      </c>
      <c r="AF497" s="5"/>
      <c r="AG497" s="5"/>
      <c r="AH497" s="5"/>
      <c r="AI497" s="5"/>
      <c r="AK497" s="3" t="s">
        <v>313</v>
      </c>
      <c r="AL497" s="3">
        <v>0.9</v>
      </c>
      <c r="AM497" s="3">
        <v>0.5</v>
      </c>
      <c r="AN497" s="3">
        <v>0.6</v>
      </c>
      <c r="AO497" s="3">
        <v>0.75</v>
      </c>
      <c r="AP497" s="7">
        <v>1429.7921140000001</v>
      </c>
      <c r="AQ497" s="3">
        <v>1.6E-2</v>
      </c>
      <c r="AS497" s="3" t="s">
        <v>313</v>
      </c>
      <c r="AT497" s="3">
        <v>0.46</v>
      </c>
      <c r="AU497" s="6">
        <v>1285.5726320000001</v>
      </c>
      <c r="AV497" s="3">
        <v>1E-3</v>
      </c>
      <c r="AW497" s="3">
        <f t="shared" si="54"/>
        <v>0.60499999999999998</v>
      </c>
      <c r="AX497" s="5"/>
      <c r="AY497" s="5"/>
      <c r="AZ497" s="5"/>
      <c r="BA497" s="5"/>
      <c r="BC497" s="3" t="s">
        <v>313</v>
      </c>
      <c r="BD497" s="3">
        <v>0.9</v>
      </c>
      <c r="BE497" s="3">
        <v>0.5</v>
      </c>
      <c r="BF497" s="3">
        <v>0.6</v>
      </c>
      <c r="BG497" s="3">
        <v>0.47</v>
      </c>
      <c r="BH497" s="7">
        <v>1278.543457</v>
      </c>
      <c r="BI497" s="3">
        <v>3.3000000000000002E-2</v>
      </c>
      <c r="BK497" s="3" t="s">
        <v>313</v>
      </c>
      <c r="BL497" s="3">
        <v>0.27</v>
      </c>
      <c r="BM497" s="6">
        <v>1148.7451169999999</v>
      </c>
      <c r="BN497" s="3">
        <v>4.0000000000000001E-3</v>
      </c>
      <c r="BO497" s="3">
        <f t="shared" si="55"/>
        <v>0.37</v>
      </c>
    </row>
    <row r="498" spans="1:71" x14ac:dyDescent="0.3">
      <c r="A498" s="9" t="s">
        <v>316</v>
      </c>
      <c r="E498" s="9">
        <f>AVERAGE(E468:E497)</f>
        <v>0.51466666666666661</v>
      </c>
      <c r="I498" s="9" t="s">
        <v>316</v>
      </c>
      <c r="J498" s="9">
        <f>AVERAGE(J468:J497)</f>
        <v>0.51600000000000013</v>
      </c>
      <c r="M498" s="5"/>
      <c r="N498" s="5"/>
      <c r="O498" s="5"/>
      <c r="P498" s="5"/>
      <c r="Q498" s="5"/>
      <c r="S498" s="9" t="s">
        <v>316</v>
      </c>
      <c r="W498" s="9">
        <f>AVERAGE(W468:W497)</f>
        <v>0.46633333333333327</v>
      </c>
      <c r="AA498" s="9" t="s">
        <v>316</v>
      </c>
      <c r="AB498" s="9">
        <f>AVERAGE(AB468:AB497)</f>
        <v>0.4456666666666666</v>
      </c>
      <c r="AE498" s="5"/>
      <c r="AF498" s="5"/>
      <c r="AG498" s="5"/>
      <c r="AH498" s="5"/>
      <c r="AI498" s="5"/>
      <c r="AK498" s="9" t="s">
        <v>316</v>
      </c>
      <c r="AO498" s="9">
        <f>AVERAGE(AO468:AO497)</f>
        <v>0.53033333333333332</v>
      </c>
      <c r="AS498" s="9" t="s">
        <v>316</v>
      </c>
      <c r="AT498" s="9">
        <f>AVERAGE(AT468:AT497)</f>
        <v>0.45633333333333342</v>
      </c>
      <c r="AW498" s="5"/>
      <c r="AX498" s="5"/>
      <c r="AY498" s="5"/>
      <c r="AZ498" s="5"/>
      <c r="BA498" s="5"/>
      <c r="BC498" s="9" t="s">
        <v>316</v>
      </c>
      <c r="BG498" s="9">
        <f>AVERAGE(BG468:BG497)</f>
        <v>0.39566666666666667</v>
      </c>
      <c r="BK498" s="9" t="s">
        <v>316</v>
      </c>
      <c r="BL498" s="9">
        <f>AVERAGE(BL468:BL497)</f>
        <v>0.44633333333333336</v>
      </c>
      <c r="BO498" s="5"/>
    </row>
    <row r="499" spans="1:71" x14ac:dyDescent="0.3">
      <c r="M499" s="5"/>
      <c r="N499" s="5"/>
      <c r="O499" s="5"/>
      <c r="P499" s="5"/>
      <c r="Q499" s="5"/>
      <c r="AE499" s="5"/>
      <c r="AF499" s="5"/>
      <c r="AG499" s="5"/>
      <c r="AH499" s="5"/>
      <c r="AI499" s="5"/>
      <c r="AW499" s="5"/>
      <c r="AX499" s="5"/>
      <c r="AY499" s="5"/>
      <c r="AZ499" s="5"/>
      <c r="BA499" s="5"/>
      <c r="BO499" s="5"/>
    </row>
    <row r="500" spans="1:71" x14ac:dyDescent="0.3">
      <c r="M500" s="5"/>
      <c r="N500" s="5"/>
      <c r="O500" s="5"/>
      <c r="P500" s="5"/>
      <c r="Q500" s="5"/>
      <c r="AE500" s="5"/>
      <c r="AF500" s="5"/>
      <c r="AG500" s="5"/>
      <c r="AH500" s="5"/>
      <c r="AI500" s="5"/>
      <c r="AW500" s="5"/>
      <c r="AX500" s="5"/>
      <c r="AY500" s="5"/>
      <c r="AZ500" s="5"/>
      <c r="BA500" s="5"/>
      <c r="BO500" s="5"/>
    </row>
    <row r="501" spans="1:71" x14ac:dyDescent="0.3">
      <c r="A501" s="20" t="s">
        <v>314</v>
      </c>
      <c r="B501" s="21"/>
      <c r="C501" s="21"/>
      <c r="D501" s="21"/>
      <c r="E501" s="21"/>
      <c r="F501" s="21"/>
      <c r="G501" s="22"/>
      <c r="I501" s="20" t="s">
        <v>315</v>
      </c>
      <c r="J501" s="21"/>
      <c r="K501" s="21"/>
      <c r="L501" s="21"/>
      <c r="M501" s="22"/>
      <c r="N501" s="5"/>
      <c r="O501" s="5"/>
      <c r="P501" s="5"/>
      <c r="Q501" s="5"/>
      <c r="S501" s="20" t="s">
        <v>314</v>
      </c>
      <c r="T501" s="21"/>
      <c r="U501" s="21"/>
      <c r="V501" s="21"/>
      <c r="W501" s="21"/>
      <c r="X501" s="21"/>
      <c r="Y501" s="22"/>
      <c r="AA501" s="20" t="s">
        <v>315</v>
      </c>
      <c r="AB501" s="21"/>
      <c r="AC501" s="21"/>
      <c r="AD501" s="21"/>
      <c r="AE501" s="22"/>
      <c r="AF501" s="5"/>
      <c r="AG501" s="5"/>
      <c r="AH501" s="5"/>
      <c r="AI501" s="5"/>
      <c r="AK501" s="20" t="s">
        <v>314</v>
      </c>
      <c r="AL501" s="21"/>
      <c r="AM501" s="21"/>
      <c r="AN501" s="21"/>
      <c r="AO501" s="21"/>
      <c r="AP501" s="21"/>
      <c r="AQ501" s="22"/>
      <c r="AS501" s="20" t="s">
        <v>315</v>
      </c>
      <c r="AT501" s="21"/>
      <c r="AU501" s="21"/>
      <c r="AV501" s="21"/>
      <c r="AW501" s="22"/>
      <c r="AX501" s="11"/>
      <c r="AY501" s="11"/>
      <c r="AZ501" s="11"/>
      <c r="BA501" s="11"/>
      <c r="BC501" s="20" t="s">
        <v>314</v>
      </c>
      <c r="BD501" s="21"/>
      <c r="BE501" s="21"/>
      <c r="BF501" s="21"/>
      <c r="BG501" s="21"/>
      <c r="BH501" s="21"/>
      <c r="BI501" s="22"/>
      <c r="BK501" s="20" t="s">
        <v>315</v>
      </c>
      <c r="BL501" s="21"/>
      <c r="BM501" s="21"/>
      <c r="BN501" s="21"/>
      <c r="BO501" s="22"/>
    </row>
    <row r="502" spans="1:71" x14ac:dyDescent="0.3">
      <c r="A502" s="3" t="s">
        <v>72</v>
      </c>
      <c r="B502" s="3"/>
      <c r="C502" s="3"/>
      <c r="D502" s="3"/>
      <c r="E502" s="3"/>
      <c r="F502" s="3"/>
      <c r="G502" s="3"/>
      <c r="I502" s="3" t="s">
        <v>72</v>
      </c>
      <c r="J502" s="3"/>
      <c r="K502" s="3"/>
      <c r="L502" s="3"/>
      <c r="M502" s="3"/>
      <c r="N502" s="11"/>
      <c r="O502" s="11"/>
      <c r="P502" s="11"/>
      <c r="Q502" s="11"/>
      <c r="S502" s="3" t="s">
        <v>73</v>
      </c>
      <c r="T502" s="3"/>
      <c r="U502" s="3"/>
      <c r="V502" s="3"/>
      <c r="W502" s="3"/>
      <c r="X502" s="3"/>
      <c r="Y502" s="3"/>
      <c r="AA502" s="3" t="s">
        <v>73</v>
      </c>
      <c r="AB502" s="3"/>
      <c r="AC502" s="3"/>
      <c r="AD502" s="3"/>
      <c r="AE502" s="3"/>
      <c r="AF502" s="11"/>
      <c r="AG502" s="11"/>
      <c r="AH502" s="11"/>
      <c r="AI502" s="11"/>
      <c r="AK502" s="3" t="s">
        <v>72</v>
      </c>
      <c r="AL502" s="3"/>
      <c r="AM502" s="3"/>
      <c r="AN502" s="3"/>
      <c r="AO502" s="3"/>
      <c r="AP502" s="3"/>
      <c r="AQ502" s="3"/>
      <c r="AS502" s="3" t="s">
        <v>72</v>
      </c>
      <c r="AT502" s="3"/>
      <c r="AU502" s="3"/>
      <c r="AV502" s="3"/>
      <c r="AW502" s="3"/>
      <c r="AX502" s="3" t="s">
        <v>322</v>
      </c>
      <c r="AY502" s="3" t="s">
        <v>323</v>
      </c>
      <c r="AZ502" s="3" t="s">
        <v>322</v>
      </c>
      <c r="BA502" s="3" t="s">
        <v>323</v>
      </c>
      <c r="BC502" s="3" t="s">
        <v>73</v>
      </c>
      <c r="BD502" s="3"/>
      <c r="BE502" s="3"/>
      <c r="BF502" s="3"/>
      <c r="BG502" s="3"/>
      <c r="BH502" s="3"/>
      <c r="BI502" s="3"/>
      <c r="BK502" s="3" t="s">
        <v>73</v>
      </c>
      <c r="BL502" s="3"/>
      <c r="BM502" s="3"/>
      <c r="BN502" s="3"/>
      <c r="BO502" s="3"/>
      <c r="BP502" s="3" t="s">
        <v>322</v>
      </c>
      <c r="BQ502" s="3" t="s">
        <v>323</v>
      </c>
      <c r="BR502" s="3" t="s">
        <v>322</v>
      </c>
      <c r="BS502" s="3" t="s">
        <v>323</v>
      </c>
    </row>
    <row r="503" spans="1:71" x14ac:dyDescent="0.3">
      <c r="A503" s="3" t="s">
        <v>2</v>
      </c>
      <c r="B503" s="3" t="s">
        <v>3</v>
      </c>
      <c r="C503" s="3" t="s">
        <v>4</v>
      </c>
      <c r="D503" s="3" t="s">
        <v>5</v>
      </c>
      <c r="E503" s="3" t="s">
        <v>6</v>
      </c>
      <c r="F503" s="3" t="s">
        <v>7</v>
      </c>
      <c r="G503" s="3" t="s">
        <v>8</v>
      </c>
      <c r="I503" s="3" t="s">
        <v>2</v>
      </c>
      <c r="J503" s="3" t="s">
        <v>6</v>
      </c>
      <c r="K503" s="3" t="s">
        <v>7</v>
      </c>
      <c r="L503" s="3" t="s">
        <v>8</v>
      </c>
      <c r="M503" s="3" t="s">
        <v>9</v>
      </c>
      <c r="N503" s="3" t="s">
        <v>322</v>
      </c>
      <c r="O503" s="3" t="s">
        <v>323</v>
      </c>
      <c r="P503" s="3" t="s">
        <v>322</v>
      </c>
      <c r="Q503" s="3" t="s">
        <v>323</v>
      </c>
      <c r="S503" s="3" t="s">
        <v>2</v>
      </c>
      <c r="T503" s="3" t="s">
        <v>3</v>
      </c>
      <c r="U503" s="3" t="s">
        <v>4</v>
      </c>
      <c r="V503" s="3" t="s">
        <v>5</v>
      </c>
      <c r="W503" s="3" t="s">
        <v>6</v>
      </c>
      <c r="X503" s="3" t="s">
        <v>7</v>
      </c>
      <c r="Y503" s="3" t="s">
        <v>8</v>
      </c>
      <c r="AA503" s="3" t="s">
        <v>2</v>
      </c>
      <c r="AB503" s="3" t="s">
        <v>6</v>
      </c>
      <c r="AC503" s="3" t="s">
        <v>7</v>
      </c>
      <c r="AD503" s="3" t="s">
        <v>8</v>
      </c>
      <c r="AE503" s="3" t="s">
        <v>9</v>
      </c>
      <c r="AF503" s="3" t="s">
        <v>322</v>
      </c>
      <c r="AG503" s="3" t="s">
        <v>323</v>
      </c>
      <c r="AH503" s="3" t="s">
        <v>322</v>
      </c>
      <c r="AI503" s="3" t="s">
        <v>323</v>
      </c>
      <c r="AK503" s="3" t="s">
        <v>2</v>
      </c>
      <c r="AL503" s="3" t="s">
        <v>3</v>
      </c>
      <c r="AM503" s="3" t="s">
        <v>4</v>
      </c>
      <c r="AN503" s="3" t="s">
        <v>5</v>
      </c>
      <c r="AO503" s="3" t="s">
        <v>6</v>
      </c>
      <c r="AP503" s="3" t="s">
        <v>7</v>
      </c>
      <c r="AQ503" s="3" t="s">
        <v>8</v>
      </c>
      <c r="AS503" s="3" t="s">
        <v>2</v>
      </c>
      <c r="AT503" s="3" t="s">
        <v>6</v>
      </c>
      <c r="AU503" s="3" t="s">
        <v>7</v>
      </c>
      <c r="AV503" s="3" t="s">
        <v>8</v>
      </c>
      <c r="AW503" s="3" t="s">
        <v>9</v>
      </c>
      <c r="AX503" s="4" t="s">
        <v>320</v>
      </c>
      <c r="AY503" s="4" t="s">
        <v>320</v>
      </c>
      <c r="AZ503" s="4" t="s">
        <v>321</v>
      </c>
      <c r="BA503" s="4" t="s">
        <v>321</v>
      </c>
      <c r="BC503" s="3" t="s">
        <v>2</v>
      </c>
      <c r="BD503" s="3" t="s">
        <v>3</v>
      </c>
      <c r="BE503" s="3" t="s">
        <v>4</v>
      </c>
      <c r="BF503" s="3" t="s">
        <v>5</v>
      </c>
      <c r="BG503" s="3" t="s">
        <v>6</v>
      </c>
      <c r="BH503" s="3" t="s">
        <v>7</v>
      </c>
      <c r="BI503" s="3" t="s">
        <v>8</v>
      </c>
      <c r="BK503" s="3" t="s">
        <v>2</v>
      </c>
      <c r="BL503" s="3" t="s">
        <v>6</v>
      </c>
      <c r="BM503" s="3" t="s">
        <v>7</v>
      </c>
      <c r="BN503" s="3" t="s">
        <v>8</v>
      </c>
      <c r="BO503" s="3" t="s">
        <v>9</v>
      </c>
      <c r="BP503" s="4" t="s">
        <v>320</v>
      </c>
      <c r="BQ503" s="4" t="s">
        <v>320</v>
      </c>
      <c r="BR503" s="4" t="s">
        <v>321</v>
      </c>
      <c r="BS503" s="4" t="s">
        <v>321</v>
      </c>
    </row>
    <row r="504" spans="1:71" x14ac:dyDescent="0.3">
      <c r="A504" s="3" t="s">
        <v>254</v>
      </c>
      <c r="B504" s="3">
        <v>0.9</v>
      </c>
      <c r="C504" s="3">
        <v>0.5</v>
      </c>
      <c r="D504" s="3">
        <v>0.6</v>
      </c>
      <c r="E504" s="3">
        <v>0.01</v>
      </c>
      <c r="F504" s="6">
        <v>626.76531999999997</v>
      </c>
      <c r="G504" s="3">
        <v>2.1000000000000001E-2</v>
      </c>
      <c r="I504" s="3" t="s">
        <v>254</v>
      </c>
      <c r="J504" s="3">
        <v>0.01</v>
      </c>
      <c r="K504" s="6">
        <v>626.76531999999997</v>
      </c>
      <c r="L504" s="3">
        <v>8.9999999999999993E-3</v>
      </c>
      <c r="M504" s="3">
        <f t="shared" ref="M504:M533" si="56">AVERAGE(E504,J504)</f>
        <v>0.01</v>
      </c>
      <c r="N504" s="4" t="s">
        <v>320</v>
      </c>
      <c r="O504" s="4" t="s">
        <v>320</v>
      </c>
      <c r="P504" s="4" t="s">
        <v>321</v>
      </c>
      <c r="Q504" s="4" t="s">
        <v>321</v>
      </c>
      <c r="S504" s="3" t="s">
        <v>254</v>
      </c>
      <c r="T504" s="3">
        <v>0.9</v>
      </c>
      <c r="U504" s="3">
        <v>0.5</v>
      </c>
      <c r="V504" s="3">
        <v>0.6</v>
      </c>
      <c r="W504" s="3">
        <v>0.01</v>
      </c>
      <c r="X504" s="6">
        <v>613.77172900000005</v>
      </c>
      <c r="Y504" s="3">
        <v>0.01</v>
      </c>
      <c r="AA504" s="3" t="s">
        <v>254</v>
      </c>
      <c r="AB504" s="3">
        <v>0.01</v>
      </c>
      <c r="AC504" s="6">
        <v>613.77172900000005</v>
      </c>
      <c r="AD504" s="3">
        <v>7.0000000000000001E-3</v>
      </c>
      <c r="AE504" s="3">
        <f t="shared" ref="AE504:AE533" si="57">AVERAGE(W504,AB504)</f>
        <v>0.01</v>
      </c>
      <c r="AF504" s="4" t="s">
        <v>320</v>
      </c>
      <c r="AG504" s="4" t="s">
        <v>320</v>
      </c>
      <c r="AH504" s="4" t="s">
        <v>321</v>
      </c>
      <c r="AI504" s="4" t="s">
        <v>321</v>
      </c>
      <c r="AK504" s="3" t="s">
        <v>255</v>
      </c>
      <c r="AL504" s="3">
        <v>0.9</v>
      </c>
      <c r="AM504" s="3">
        <v>0.5</v>
      </c>
      <c r="AN504" s="3">
        <v>0.6</v>
      </c>
      <c r="AO504" s="3">
        <v>0.01</v>
      </c>
      <c r="AP504" s="6">
        <v>861.04809599999999</v>
      </c>
      <c r="AQ504" s="3">
        <v>3.3000000000000002E-2</v>
      </c>
      <c r="AS504" s="3" t="s">
        <v>255</v>
      </c>
      <c r="AT504" s="3">
        <v>0.01</v>
      </c>
      <c r="AU504" s="6">
        <v>861.04809599999999</v>
      </c>
      <c r="AV504" s="3">
        <v>3.0000000000000001E-3</v>
      </c>
      <c r="AW504" s="3">
        <f t="shared" ref="AW504:AW533" si="58">AVERAGE(AO504,AT504)</f>
        <v>0.01</v>
      </c>
      <c r="AX504" s="3">
        <f>COUNT(AP504,AP506:AP507,AP511:AP512,AP516:AP517,AP522:AP524,AP528:AP530,AP532)</f>
        <v>14</v>
      </c>
      <c r="AY504" s="3">
        <f>30-AX504</f>
        <v>16</v>
      </c>
      <c r="AZ504" s="3">
        <f>COUNT(AU504:AU505,AU508:AU510,AU513:AU515,AU518:AU521,AU525:AU527,AU531,AU533)</f>
        <v>17</v>
      </c>
      <c r="BA504" s="3">
        <f>30-AZ504</f>
        <v>13</v>
      </c>
      <c r="BC504" s="3" t="s">
        <v>255</v>
      </c>
      <c r="BD504" s="3">
        <v>0.9</v>
      </c>
      <c r="BE504" s="3">
        <v>0.5</v>
      </c>
      <c r="BF504" s="3">
        <v>0.6</v>
      </c>
      <c r="BG504" s="3">
        <v>0.01</v>
      </c>
      <c r="BH504" s="6">
        <v>848.05395499999997</v>
      </c>
      <c r="BI504" s="3">
        <v>1.4E-2</v>
      </c>
      <c r="BK504" s="3" t="s">
        <v>255</v>
      </c>
      <c r="BL504" s="3">
        <v>0.01</v>
      </c>
      <c r="BM504" s="6">
        <v>848.05395499999997</v>
      </c>
      <c r="BN504" s="3">
        <v>7.0000000000000001E-3</v>
      </c>
      <c r="BO504" s="3">
        <f t="shared" ref="BO504:BO533" si="59">AVERAGE(BG504,BL504)</f>
        <v>0.01</v>
      </c>
      <c r="BP504" s="3">
        <f>COUNT(BH504,BH506:BH507,BH511:BH517,BH519:BH520,BH522,BH524,BH526,BH529,BH532)</f>
        <v>17</v>
      </c>
      <c r="BQ504" s="3">
        <f>30-BP504</f>
        <v>13</v>
      </c>
      <c r="BR504" s="3">
        <f>COUNT(BM504:BM505,BM508:BM510,BM518,BM521,BM523,BM525,BM527:BM528,BM530:BM531,BM533)</f>
        <v>14</v>
      </c>
      <c r="BS504" s="3">
        <f>30-BR504</f>
        <v>16</v>
      </c>
    </row>
    <row r="505" spans="1:71" x14ac:dyDescent="0.3">
      <c r="A505" s="3" t="s">
        <v>256</v>
      </c>
      <c r="B505" s="3">
        <v>0.9</v>
      </c>
      <c r="C505" s="3">
        <v>0.5</v>
      </c>
      <c r="D505" s="3">
        <v>0.6</v>
      </c>
      <c r="E505" s="3">
        <v>0.45</v>
      </c>
      <c r="F505" s="6">
        <v>748.74060099999997</v>
      </c>
      <c r="G505" s="3">
        <v>2.9000000000000001E-2</v>
      </c>
      <c r="I505" s="3" t="s">
        <v>256</v>
      </c>
      <c r="J505" s="3">
        <v>0.94</v>
      </c>
      <c r="K505" s="7">
        <v>854.74780299999998</v>
      </c>
      <c r="L505" s="3">
        <v>2E-3</v>
      </c>
      <c r="M505" s="3">
        <f t="shared" si="56"/>
        <v>0.69499999999999995</v>
      </c>
      <c r="N505" s="3">
        <f>COUNT(F504:F507,F511:F512,F514:F517,F520,F523,F525,F528:F530)</f>
        <v>16</v>
      </c>
      <c r="O505" s="3">
        <f>COUNT(F508:F510,F513,F518:F519,F521:F522,F524,F526:F527,F531:F533)</f>
        <v>14</v>
      </c>
      <c r="P505" s="3">
        <f>COUNT(K504,K508:K510,K513,K518:K519,K521:K524,K526:K527,K530:K533)</f>
        <v>17</v>
      </c>
      <c r="Q505" s="3">
        <f>COUNT(K505:K507,K511:K512,K514:K517,K520,K525,K528:K529)</f>
        <v>13</v>
      </c>
      <c r="S505" s="3" t="s">
        <v>256</v>
      </c>
      <c r="T505" s="3">
        <v>0.9</v>
      </c>
      <c r="U505" s="3">
        <v>0.5</v>
      </c>
      <c r="V505" s="3">
        <v>0.6</v>
      </c>
      <c r="W505" s="3">
        <v>0.4</v>
      </c>
      <c r="X505" s="6">
        <v>711.36724900000002</v>
      </c>
      <c r="Y505" s="3">
        <v>1.2999999999999999E-2</v>
      </c>
      <c r="AA505" s="3" t="s">
        <v>256</v>
      </c>
      <c r="AB505" s="3">
        <v>0.55000000000000004</v>
      </c>
      <c r="AC505" s="7">
        <v>730.06555200000003</v>
      </c>
      <c r="AD505" s="3">
        <v>4.0000000000000001E-3</v>
      </c>
      <c r="AE505" s="3">
        <f t="shared" si="57"/>
        <v>0.47500000000000003</v>
      </c>
      <c r="AF505" s="3">
        <f>COUNT(X504:X505,X507,X509,X511:X513,X515,X517,X519,X521,X525:X527,X530:X531)</f>
        <v>16</v>
      </c>
      <c r="AG505" s="3">
        <f>COUNT(X506,X508,X510,X514,X516,X518,X520,X522:X524,X528:X529,X532:X533)</f>
        <v>14</v>
      </c>
      <c r="AH505" s="3">
        <f>COUNT(AC504,AC506,AC508,AC510,AC514,AC516,AC518,AC520,AC522:AC523,AC525,AC528:AC529,AC532:AC533)</f>
        <v>15</v>
      </c>
      <c r="AI505" s="3">
        <f>COUNT(AC505,AC507,AC509,AC511:AC513,AC515,AC517,AC519,AC521,AC524,AC526:AC527,AC530:AC531)</f>
        <v>15</v>
      </c>
      <c r="AK505" s="3" t="s">
        <v>257</v>
      </c>
      <c r="AL505" s="3">
        <v>0.9</v>
      </c>
      <c r="AM505" s="3">
        <v>0.5</v>
      </c>
      <c r="AN505" s="3">
        <v>0.6</v>
      </c>
      <c r="AO505" s="3">
        <v>0.93</v>
      </c>
      <c r="AP505" s="7">
        <v>1168.334717</v>
      </c>
      <c r="AQ505" s="3">
        <v>3.3000000000000002E-2</v>
      </c>
      <c r="AS505" s="3" t="s">
        <v>257</v>
      </c>
      <c r="AT505" s="3">
        <v>0.94</v>
      </c>
      <c r="AU505" s="6">
        <v>1166.0756839999999</v>
      </c>
      <c r="AV505" s="3">
        <v>6.0000000000000001E-3</v>
      </c>
      <c r="AW505" s="3">
        <f t="shared" si="58"/>
        <v>0.93500000000000005</v>
      </c>
      <c r="AX505" s="5"/>
      <c r="AY505" s="5"/>
      <c r="AZ505" s="5"/>
      <c r="BA505" s="5"/>
      <c r="BC505" s="3" t="s">
        <v>257</v>
      </c>
      <c r="BD505" s="3">
        <v>0.9</v>
      </c>
      <c r="BE505" s="3">
        <v>0.5</v>
      </c>
      <c r="BF505" s="3">
        <v>0.6</v>
      </c>
      <c r="BG505" s="3">
        <v>0.34</v>
      </c>
      <c r="BH505" s="7">
        <v>1002.467773</v>
      </c>
      <c r="BI505" s="3">
        <v>2.7E-2</v>
      </c>
      <c r="BK505" s="3" t="s">
        <v>257</v>
      </c>
      <c r="BL505" s="3">
        <v>0.12</v>
      </c>
      <c r="BM505" s="6">
        <v>885.63818400000002</v>
      </c>
      <c r="BN505" s="3">
        <v>7.0000000000000001E-3</v>
      </c>
      <c r="BO505" s="3">
        <f t="shared" si="59"/>
        <v>0.23</v>
      </c>
    </row>
    <row r="506" spans="1:71" x14ac:dyDescent="0.3">
      <c r="A506" s="3" t="s">
        <v>258</v>
      </c>
      <c r="B506" s="3">
        <v>0.9</v>
      </c>
      <c r="C506" s="3">
        <v>0.5</v>
      </c>
      <c r="D506" s="3">
        <v>0.6</v>
      </c>
      <c r="E506" s="3">
        <v>0.41</v>
      </c>
      <c r="F506" s="6">
        <v>706.378784</v>
      </c>
      <c r="G506" s="3">
        <v>1.7000000000000001E-2</v>
      </c>
      <c r="I506" s="3" t="s">
        <v>258</v>
      </c>
      <c r="J506" s="3">
        <v>0.6</v>
      </c>
      <c r="K506" s="7">
        <v>754.521973</v>
      </c>
      <c r="L506" s="3">
        <v>1E-3</v>
      </c>
      <c r="M506" s="3">
        <f t="shared" si="56"/>
        <v>0.505</v>
      </c>
      <c r="N506" s="5"/>
      <c r="O506" s="5"/>
      <c r="P506" s="5"/>
      <c r="Q506" s="5"/>
      <c r="S506" s="3" t="s">
        <v>258</v>
      </c>
      <c r="T506" s="3">
        <v>0.9</v>
      </c>
      <c r="U506" s="3">
        <v>0.5</v>
      </c>
      <c r="V506" s="3">
        <v>0.6</v>
      </c>
      <c r="W506" s="3">
        <v>0.46</v>
      </c>
      <c r="X506" s="7">
        <v>702.38140899999996</v>
      </c>
      <c r="Y506" s="3">
        <v>1.9E-2</v>
      </c>
      <c r="AA506" s="3" t="s">
        <v>258</v>
      </c>
      <c r="AB506" s="3">
        <v>0.35</v>
      </c>
      <c r="AC506" s="6">
        <v>680.13592500000004</v>
      </c>
      <c r="AD506" s="3">
        <v>4.0000000000000001E-3</v>
      </c>
      <c r="AE506" s="3">
        <f t="shared" si="57"/>
        <v>0.40500000000000003</v>
      </c>
      <c r="AF506" s="5"/>
      <c r="AG506" s="5"/>
      <c r="AH506" s="5"/>
      <c r="AI506" s="5"/>
      <c r="AK506" s="3" t="s">
        <v>259</v>
      </c>
      <c r="AL506" s="3">
        <v>0.9</v>
      </c>
      <c r="AM506" s="3">
        <v>0.5</v>
      </c>
      <c r="AN506" s="3">
        <v>0.6</v>
      </c>
      <c r="AO506" s="3">
        <v>0.25</v>
      </c>
      <c r="AP506" s="6">
        <v>976.71850600000005</v>
      </c>
      <c r="AQ506" s="3">
        <v>3.1E-2</v>
      </c>
      <c r="AS506" s="3" t="s">
        <v>259</v>
      </c>
      <c r="AT506" s="3">
        <v>0.51</v>
      </c>
      <c r="AU506" s="7">
        <v>1102.5878909999999</v>
      </c>
      <c r="AV506" s="3">
        <v>5.0000000000000001E-3</v>
      </c>
      <c r="AW506" s="3">
        <f t="shared" si="58"/>
        <v>0.38</v>
      </c>
      <c r="AX506" s="5"/>
      <c r="AY506" s="5"/>
      <c r="AZ506" s="5"/>
      <c r="BA506" s="5"/>
      <c r="BC506" s="3" t="s">
        <v>259</v>
      </c>
      <c r="BD506" s="3">
        <v>0.9</v>
      </c>
      <c r="BE506" s="3">
        <v>0.5</v>
      </c>
      <c r="BF506" s="3">
        <v>0.6</v>
      </c>
      <c r="BG506" s="3">
        <v>0.32</v>
      </c>
      <c r="BH506" s="6">
        <v>1009.043396</v>
      </c>
      <c r="BI506" s="3">
        <v>2.3E-2</v>
      </c>
      <c r="BK506" s="3" t="s">
        <v>259</v>
      </c>
      <c r="BL506" s="3">
        <v>0.45</v>
      </c>
      <c r="BM506" s="7">
        <v>1066.978638</v>
      </c>
      <c r="BN506" s="3">
        <v>4.0000000000000001E-3</v>
      </c>
      <c r="BO506" s="3">
        <f t="shared" si="59"/>
        <v>0.38500000000000001</v>
      </c>
    </row>
    <row r="507" spans="1:71" x14ac:dyDescent="0.3">
      <c r="A507" s="3" t="s">
        <v>260</v>
      </c>
      <c r="B507" s="3">
        <v>0.9</v>
      </c>
      <c r="C507" s="3">
        <v>0.5</v>
      </c>
      <c r="D507" s="3">
        <v>0.6</v>
      </c>
      <c r="E507" s="3">
        <v>0.05</v>
      </c>
      <c r="F507" s="6">
        <v>654.51275599999997</v>
      </c>
      <c r="G507" s="3">
        <v>2.5000000000000001E-2</v>
      </c>
      <c r="I507" s="3" t="s">
        <v>260</v>
      </c>
      <c r="J507" s="3">
        <v>0.2</v>
      </c>
      <c r="K507" s="7">
        <v>684.55932600000006</v>
      </c>
      <c r="L507" s="3">
        <v>5.0000000000000001E-3</v>
      </c>
      <c r="M507" s="3">
        <f t="shared" si="56"/>
        <v>0.125</v>
      </c>
      <c r="N507" s="5"/>
      <c r="O507" s="5"/>
      <c r="P507" s="5"/>
      <c r="Q507" s="5"/>
      <c r="S507" s="3" t="s">
        <v>260</v>
      </c>
      <c r="T507" s="3">
        <v>0.9</v>
      </c>
      <c r="U507" s="3">
        <v>0.5</v>
      </c>
      <c r="V507" s="3">
        <v>0.6</v>
      </c>
      <c r="W507" s="3">
        <v>0.23</v>
      </c>
      <c r="X507" s="6">
        <v>689.27209500000004</v>
      </c>
      <c r="Y507" s="3">
        <v>1.7999999999999999E-2</v>
      </c>
      <c r="AA507" s="3" t="s">
        <v>260</v>
      </c>
      <c r="AB507" s="3">
        <v>0.71</v>
      </c>
      <c r="AC507" s="7">
        <v>792.36602800000003</v>
      </c>
      <c r="AD507" s="3">
        <v>1E-3</v>
      </c>
      <c r="AE507" s="3">
        <f t="shared" si="57"/>
        <v>0.47</v>
      </c>
      <c r="AF507" s="5"/>
      <c r="AG507" s="5"/>
      <c r="AH507" s="5"/>
      <c r="AI507" s="5"/>
      <c r="AK507" s="3" t="s">
        <v>261</v>
      </c>
      <c r="AL507" s="3">
        <v>0.9</v>
      </c>
      <c r="AM507" s="3">
        <v>0.5</v>
      </c>
      <c r="AN507" s="3">
        <v>0.6</v>
      </c>
      <c r="AO507" s="3">
        <v>0.02</v>
      </c>
      <c r="AP507" s="6">
        <v>830.035889</v>
      </c>
      <c r="AQ507" s="3">
        <v>1.7999999999999999E-2</v>
      </c>
      <c r="AS507" s="3" t="s">
        <v>261</v>
      </c>
      <c r="AT507" s="3">
        <v>0.63</v>
      </c>
      <c r="AU507" s="7">
        <v>1075.8392329999999</v>
      </c>
      <c r="AV507" s="3">
        <v>8.9999999999999993E-3</v>
      </c>
      <c r="AW507" s="3">
        <f t="shared" si="58"/>
        <v>0.32500000000000001</v>
      </c>
      <c r="AX507" s="5"/>
      <c r="AY507" s="5"/>
      <c r="AZ507" s="5"/>
      <c r="BA507" s="5"/>
      <c r="BC507" s="3" t="s">
        <v>261</v>
      </c>
      <c r="BD507" s="3">
        <v>0.9</v>
      </c>
      <c r="BE507" s="3">
        <v>0.5</v>
      </c>
      <c r="BF507" s="3">
        <v>0.6</v>
      </c>
      <c r="BG507" s="3">
        <v>0.64</v>
      </c>
      <c r="BH507" s="6">
        <v>1064.3355710000001</v>
      </c>
      <c r="BI507" s="3">
        <v>1.7000000000000001E-2</v>
      </c>
      <c r="BK507" s="3" t="s">
        <v>261</v>
      </c>
      <c r="BL507" s="3">
        <v>0.96</v>
      </c>
      <c r="BM507" s="7">
        <v>1105.8795170000001</v>
      </c>
      <c r="BN507" s="3">
        <v>2E-3</v>
      </c>
      <c r="BO507" s="3">
        <f t="shared" si="59"/>
        <v>0.8</v>
      </c>
    </row>
    <row r="508" spans="1:71" x14ac:dyDescent="0.3">
      <c r="A508" s="3" t="s">
        <v>262</v>
      </c>
      <c r="B508" s="3">
        <v>0.9</v>
      </c>
      <c r="C508" s="3">
        <v>0.5</v>
      </c>
      <c r="D508" s="3">
        <v>0.6</v>
      </c>
      <c r="E508" s="3">
        <v>0.54</v>
      </c>
      <c r="F508" s="7">
        <v>818.86920199999997</v>
      </c>
      <c r="G508" s="3">
        <v>6.2E-2</v>
      </c>
      <c r="I508" s="3" t="s">
        <v>262</v>
      </c>
      <c r="J508" s="3">
        <v>0.4</v>
      </c>
      <c r="K508" s="6">
        <v>794.480774</v>
      </c>
      <c r="L508" s="3">
        <v>4.0000000000000001E-3</v>
      </c>
      <c r="M508" s="3">
        <f t="shared" si="56"/>
        <v>0.47000000000000003</v>
      </c>
      <c r="N508" s="5"/>
      <c r="O508" s="5"/>
      <c r="P508" s="5"/>
      <c r="Q508" s="5"/>
      <c r="S508" s="3" t="s">
        <v>262</v>
      </c>
      <c r="T508" s="3">
        <v>0.9</v>
      </c>
      <c r="U508" s="3">
        <v>0.5</v>
      </c>
      <c r="V508" s="3">
        <v>0.6</v>
      </c>
      <c r="W508" s="3">
        <v>0.28000000000000003</v>
      </c>
      <c r="X508" s="7">
        <v>731.99456799999996</v>
      </c>
      <c r="Y508" s="3">
        <v>7.0000000000000001E-3</v>
      </c>
      <c r="AA508" s="3" t="s">
        <v>262</v>
      </c>
      <c r="AB508" s="3">
        <v>0.09</v>
      </c>
      <c r="AC508" s="6">
        <v>683.11407499999996</v>
      </c>
      <c r="AD508" s="3">
        <v>2E-3</v>
      </c>
      <c r="AE508" s="3">
        <f t="shared" si="57"/>
        <v>0.185</v>
      </c>
      <c r="AF508" s="5"/>
      <c r="AG508" s="5"/>
      <c r="AH508" s="5"/>
      <c r="AI508" s="5"/>
      <c r="AK508" s="3" t="s">
        <v>263</v>
      </c>
      <c r="AL508" s="3">
        <v>0.9</v>
      </c>
      <c r="AM508" s="3">
        <v>0.5</v>
      </c>
      <c r="AN508" s="3">
        <v>0.6</v>
      </c>
      <c r="AO508" s="3">
        <v>0.93</v>
      </c>
      <c r="AP508" s="7">
        <v>1153.0916749999999</v>
      </c>
      <c r="AQ508" s="3">
        <v>3.7999999999999999E-2</v>
      </c>
      <c r="AS508" s="3" t="s">
        <v>263</v>
      </c>
      <c r="AT508" s="3">
        <v>0.35</v>
      </c>
      <c r="AU508" s="6">
        <v>1042.0878909999999</v>
      </c>
      <c r="AV508" s="3">
        <v>4.0000000000000001E-3</v>
      </c>
      <c r="AW508" s="3">
        <f t="shared" si="58"/>
        <v>0.64</v>
      </c>
      <c r="AX508" s="5"/>
      <c r="AY508" s="5"/>
      <c r="AZ508" s="5"/>
      <c r="BA508" s="5"/>
      <c r="BC508" s="3" t="s">
        <v>263</v>
      </c>
      <c r="BD508" s="3">
        <v>0.9</v>
      </c>
      <c r="BE508" s="3">
        <v>0.5</v>
      </c>
      <c r="BF508" s="3">
        <v>0.6</v>
      </c>
      <c r="BG508" s="3">
        <v>0.89</v>
      </c>
      <c r="BH508" s="7">
        <v>1135.966064</v>
      </c>
      <c r="BI508" s="3">
        <v>1.2999999999999999E-2</v>
      </c>
      <c r="BK508" s="3" t="s">
        <v>263</v>
      </c>
      <c r="BL508" s="3">
        <v>0.56000000000000005</v>
      </c>
      <c r="BM508" s="6">
        <v>1086.394043</v>
      </c>
      <c r="BN508" s="3">
        <v>2E-3</v>
      </c>
      <c r="BO508" s="3">
        <f t="shared" si="59"/>
        <v>0.72500000000000009</v>
      </c>
    </row>
    <row r="509" spans="1:71" x14ac:dyDescent="0.3">
      <c r="A509" s="3" t="s">
        <v>264</v>
      </c>
      <c r="B509" s="3">
        <v>0.9</v>
      </c>
      <c r="C509" s="3">
        <v>0.5</v>
      </c>
      <c r="D509" s="3">
        <v>0.6</v>
      </c>
      <c r="E509" s="3">
        <v>0.45</v>
      </c>
      <c r="F509" s="7">
        <v>782.74249299999997</v>
      </c>
      <c r="G509" s="3">
        <v>2.1999999999999999E-2</v>
      </c>
      <c r="I509" s="3" t="s">
        <v>264</v>
      </c>
      <c r="J509" s="3">
        <v>0.35</v>
      </c>
      <c r="K509" s="6">
        <v>742.35540800000001</v>
      </c>
      <c r="L509" s="3">
        <v>2E-3</v>
      </c>
      <c r="M509" s="3">
        <f t="shared" si="56"/>
        <v>0.4</v>
      </c>
      <c r="N509" s="5"/>
      <c r="O509" s="5"/>
      <c r="P509" s="5"/>
      <c r="Q509" s="5"/>
      <c r="S509" s="3" t="s">
        <v>264</v>
      </c>
      <c r="T509" s="3">
        <v>0.9</v>
      </c>
      <c r="U509" s="3">
        <v>0.5</v>
      </c>
      <c r="V509" s="3">
        <v>0.6</v>
      </c>
      <c r="W509" s="3">
        <v>0.39</v>
      </c>
      <c r="X509" s="6">
        <v>759.28961200000003</v>
      </c>
      <c r="Y509" s="3">
        <v>2.3E-2</v>
      </c>
      <c r="AA509" s="3" t="s">
        <v>264</v>
      </c>
      <c r="AB509" s="3">
        <v>0.77</v>
      </c>
      <c r="AC509" s="7">
        <v>861.57818599999996</v>
      </c>
      <c r="AD509" s="3">
        <v>1E-3</v>
      </c>
      <c r="AE509" s="3">
        <f t="shared" si="57"/>
        <v>0.58000000000000007</v>
      </c>
      <c r="AF509" s="5"/>
      <c r="AG509" s="5"/>
      <c r="AH509" s="5"/>
      <c r="AI509" s="5"/>
      <c r="AK509" s="3" t="s">
        <v>265</v>
      </c>
      <c r="AL509" s="3">
        <v>0.9</v>
      </c>
      <c r="AM509" s="3">
        <v>0.5</v>
      </c>
      <c r="AN509" s="3">
        <v>0.6</v>
      </c>
      <c r="AO509" s="3">
        <v>0.96</v>
      </c>
      <c r="AP509" s="7">
        <v>1183.161621</v>
      </c>
      <c r="AQ509" s="3">
        <v>2.1999999999999999E-2</v>
      </c>
      <c r="AS509" s="3" t="s">
        <v>265</v>
      </c>
      <c r="AT509" s="3">
        <v>0.73</v>
      </c>
      <c r="AU509" s="6">
        <v>1097.3054199999999</v>
      </c>
      <c r="AV509" s="3">
        <v>6.0000000000000001E-3</v>
      </c>
      <c r="AW509" s="3">
        <f t="shared" si="58"/>
        <v>0.84499999999999997</v>
      </c>
      <c r="AX509" s="5"/>
      <c r="AY509" s="5"/>
      <c r="AZ509" s="5"/>
      <c r="BA509" s="5"/>
      <c r="BC509" s="3" t="s">
        <v>265</v>
      </c>
      <c r="BD509" s="3">
        <v>0.9</v>
      </c>
      <c r="BE509" s="3">
        <v>0.5</v>
      </c>
      <c r="BF509" s="3">
        <v>0.6</v>
      </c>
      <c r="BG509" s="3">
        <v>0.94</v>
      </c>
      <c r="BH509" s="7">
        <v>1164.587524</v>
      </c>
      <c r="BI509" s="3">
        <v>2.5999999999999999E-2</v>
      </c>
      <c r="BK509" s="3" t="s">
        <v>265</v>
      </c>
      <c r="BL509" s="3">
        <v>0.74</v>
      </c>
      <c r="BM509" s="6">
        <v>1110.010376</v>
      </c>
      <c r="BN509" s="3">
        <v>3.0000000000000001E-3</v>
      </c>
      <c r="BO509" s="3">
        <f t="shared" si="59"/>
        <v>0.84</v>
      </c>
    </row>
    <row r="510" spans="1:71" x14ac:dyDescent="0.3">
      <c r="A510" s="3" t="s">
        <v>266</v>
      </c>
      <c r="B510" s="3">
        <v>0.9</v>
      </c>
      <c r="C510" s="3">
        <v>0.5</v>
      </c>
      <c r="D510" s="3">
        <v>0.6</v>
      </c>
      <c r="E510" s="3">
        <v>0.93</v>
      </c>
      <c r="F510" s="7">
        <v>730.35900900000001</v>
      </c>
      <c r="G510" s="3">
        <v>1.4999999999999999E-2</v>
      </c>
      <c r="I510" s="3" t="s">
        <v>266</v>
      </c>
      <c r="J510" s="3">
        <v>0.57999999999999996</v>
      </c>
      <c r="K510" s="6">
        <v>702.01330600000006</v>
      </c>
      <c r="L510" s="3">
        <v>2E-3</v>
      </c>
      <c r="M510" s="3">
        <f t="shared" si="56"/>
        <v>0.755</v>
      </c>
      <c r="N510" s="5"/>
      <c r="O510" s="5"/>
      <c r="P510" s="5"/>
      <c r="Q510" s="5"/>
      <c r="S510" s="3" t="s">
        <v>266</v>
      </c>
      <c r="T510" s="3">
        <v>0.9</v>
      </c>
      <c r="U510" s="3">
        <v>0.5</v>
      </c>
      <c r="V510" s="3">
        <v>0.6</v>
      </c>
      <c r="W510" s="3">
        <v>0.99</v>
      </c>
      <c r="X510" s="7">
        <v>708.16113299999995</v>
      </c>
      <c r="Y510" s="3">
        <v>1.4E-2</v>
      </c>
      <c r="AA510" s="3" t="s">
        <v>266</v>
      </c>
      <c r="AB510" s="3">
        <v>0.37</v>
      </c>
      <c r="AC510" s="6">
        <v>653.00238000000002</v>
      </c>
      <c r="AD510" s="3">
        <v>5.0000000000000001E-3</v>
      </c>
      <c r="AE510" s="3">
        <f t="shared" si="57"/>
        <v>0.67999999999999994</v>
      </c>
      <c r="AF510" s="5"/>
      <c r="AG510" s="5"/>
      <c r="AH510" s="5"/>
      <c r="AI510" s="5"/>
      <c r="AK510" s="3" t="s">
        <v>267</v>
      </c>
      <c r="AL510" s="3">
        <v>0.9</v>
      </c>
      <c r="AM510" s="3">
        <v>0.5</v>
      </c>
      <c r="AN510" s="3">
        <v>0.6</v>
      </c>
      <c r="AO510" s="3">
        <v>0.72</v>
      </c>
      <c r="AP510" s="7">
        <v>1174.403442</v>
      </c>
      <c r="AQ510" s="3">
        <v>2.5000000000000001E-2</v>
      </c>
      <c r="AS510" s="3" t="s">
        <v>267</v>
      </c>
      <c r="AT510" s="3">
        <v>0.19</v>
      </c>
      <c r="AU510" s="6">
        <v>971.658997</v>
      </c>
      <c r="AV510" s="3">
        <v>4.0000000000000001E-3</v>
      </c>
      <c r="AW510" s="3">
        <f t="shared" si="58"/>
        <v>0.45499999999999996</v>
      </c>
      <c r="AX510" s="5"/>
      <c r="AY510" s="5"/>
      <c r="AZ510" s="5"/>
      <c r="BA510" s="5"/>
      <c r="BC510" s="3" t="s">
        <v>267</v>
      </c>
      <c r="BD510" s="3">
        <v>0.9</v>
      </c>
      <c r="BE510" s="3">
        <v>0.5</v>
      </c>
      <c r="BF510" s="3">
        <v>0.6</v>
      </c>
      <c r="BG510" s="3">
        <v>0.71</v>
      </c>
      <c r="BH510" s="7">
        <v>1152.9216309999999</v>
      </c>
      <c r="BI510" s="3">
        <v>1.4999999999999999E-2</v>
      </c>
      <c r="BK510" s="3" t="s">
        <v>267</v>
      </c>
      <c r="BL510" s="3">
        <v>0.5</v>
      </c>
      <c r="BM510" s="6">
        <v>1099.298828</v>
      </c>
      <c r="BN510" s="3">
        <v>1E-3</v>
      </c>
      <c r="BO510" s="3">
        <f t="shared" si="59"/>
        <v>0.60499999999999998</v>
      </c>
    </row>
    <row r="511" spans="1:71" x14ac:dyDescent="0.3">
      <c r="A511" s="3" t="s">
        <v>268</v>
      </c>
      <c r="B511" s="3">
        <v>0.9</v>
      </c>
      <c r="C511" s="3">
        <v>0.5</v>
      </c>
      <c r="D511" s="3">
        <v>0.6</v>
      </c>
      <c r="E511" s="3">
        <v>0.1</v>
      </c>
      <c r="F511" s="6">
        <v>671.13037099999997</v>
      </c>
      <c r="G511" s="3">
        <v>2.5999999999999999E-2</v>
      </c>
      <c r="I511" s="3" t="s">
        <v>268</v>
      </c>
      <c r="J511" s="3">
        <v>0.43</v>
      </c>
      <c r="K511" s="7">
        <v>760.95752000000005</v>
      </c>
      <c r="L511" s="3">
        <v>0</v>
      </c>
      <c r="M511" s="3">
        <f t="shared" si="56"/>
        <v>0.26500000000000001</v>
      </c>
      <c r="N511" s="5"/>
      <c r="O511" s="5"/>
      <c r="P511" s="5"/>
      <c r="Q511" s="5"/>
      <c r="S511" s="3" t="s">
        <v>268</v>
      </c>
      <c r="T511" s="3">
        <v>0.9</v>
      </c>
      <c r="U511" s="3">
        <v>0.5</v>
      </c>
      <c r="V511" s="3">
        <v>0.6</v>
      </c>
      <c r="W511" s="3">
        <v>0.28999999999999998</v>
      </c>
      <c r="X511" s="6">
        <v>716.06542999999999</v>
      </c>
      <c r="Y511" s="3">
        <v>1.2999999999999999E-2</v>
      </c>
      <c r="AA511" s="3" t="s">
        <v>268</v>
      </c>
      <c r="AB511" s="3">
        <v>0.72</v>
      </c>
      <c r="AC511" s="7">
        <v>800.19219999999996</v>
      </c>
      <c r="AD511" s="3">
        <v>0</v>
      </c>
      <c r="AE511" s="3">
        <f t="shared" si="57"/>
        <v>0.505</v>
      </c>
      <c r="AF511" s="5"/>
      <c r="AG511" s="5"/>
      <c r="AH511" s="5"/>
      <c r="AI511" s="5"/>
      <c r="AK511" s="3" t="s">
        <v>269</v>
      </c>
      <c r="AL511" s="3">
        <v>0.9</v>
      </c>
      <c r="AM511" s="3">
        <v>0.5</v>
      </c>
      <c r="AN511" s="3">
        <v>0.6</v>
      </c>
      <c r="AO511" s="3">
        <v>0.12</v>
      </c>
      <c r="AP511" s="6">
        <v>861.01367200000004</v>
      </c>
      <c r="AQ511" s="3">
        <v>2.7E-2</v>
      </c>
      <c r="AS511" s="3" t="s">
        <v>269</v>
      </c>
      <c r="AT511" s="3">
        <v>0.56999999999999995</v>
      </c>
      <c r="AU511" s="7">
        <v>1063.4449460000001</v>
      </c>
      <c r="AV511" s="3">
        <v>3.0000000000000001E-3</v>
      </c>
      <c r="AW511" s="3">
        <f t="shared" si="58"/>
        <v>0.34499999999999997</v>
      </c>
      <c r="AX511" s="5"/>
      <c r="AY511" s="5"/>
      <c r="AZ511" s="5"/>
      <c r="BA511" s="5"/>
      <c r="BC511" s="3" t="s">
        <v>269</v>
      </c>
      <c r="BD511" s="3">
        <v>0.9</v>
      </c>
      <c r="BE511" s="3">
        <v>0.5</v>
      </c>
      <c r="BF511" s="3">
        <v>0.6</v>
      </c>
      <c r="BG511" s="3">
        <v>0.26</v>
      </c>
      <c r="BH511" s="6">
        <v>939.637024</v>
      </c>
      <c r="BI511" s="3">
        <v>1.9E-2</v>
      </c>
      <c r="BK511" s="3" t="s">
        <v>269</v>
      </c>
      <c r="BL511" s="3">
        <v>0.28000000000000003</v>
      </c>
      <c r="BM511" s="7">
        <v>950.88183600000002</v>
      </c>
      <c r="BN511" s="3">
        <v>1E-3</v>
      </c>
      <c r="BO511" s="3">
        <f t="shared" si="59"/>
        <v>0.27</v>
      </c>
    </row>
    <row r="512" spans="1:71" x14ac:dyDescent="0.3">
      <c r="A512" s="3" t="s">
        <v>270</v>
      </c>
      <c r="B512" s="3">
        <v>0.9</v>
      </c>
      <c r="C512" s="3">
        <v>0.5</v>
      </c>
      <c r="D512" s="3">
        <v>0.6</v>
      </c>
      <c r="E512" s="3">
        <v>0.5</v>
      </c>
      <c r="F512" s="6">
        <v>666.57696499999997</v>
      </c>
      <c r="G512" s="3">
        <v>2.5000000000000001E-2</v>
      </c>
      <c r="I512" s="3" t="s">
        <v>270</v>
      </c>
      <c r="J512" s="3">
        <v>0.66</v>
      </c>
      <c r="K512" s="7">
        <v>692.90808100000004</v>
      </c>
      <c r="L512" s="3">
        <v>1.7000000000000001E-2</v>
      </c>
      <c r="M512" s="3">
        <f t="shared" si="56"/>
        <v>0.58000000000000007</v>
      </c>
      <c r="N512" s="5"/>
      <c r="O512" s="5"/>
      <c r="P512" s="5"/>
      <c r="Q512" s="5"/>
      <c r="S512" s="3" t="s">
        <v>270</v>
      </c>
      <c r="T512" s="3">
        <v>0.9</v>
      </c>
      <c r="U512" s="3">
        <v>0.5</v>
      </c>
      <c r="V512" s="3">
        <v>0.6</v>
      </c>
      <c r="W512" s="3">
        <v>0.12</v>
      </c>
      <c r="X512" s="6">
        <v>566.63647500000002</v>
      </c>
      <c r="Y512" s="3">
        <v>1.6E-2</v>
      </c>
      <c r="AA512" s="3" t="s">
        <v>270</v>
      </c>
      <c r="AB512" s="3">
        <v>0.55000000000000004</v>
      </c>
      <c r="AC512" s="7">
        <v>655.69000200000005</v>
      </c>
      <c r="AD512" s="3">
        <v>3.0000000000000001E-3</v>
      </c>
      <c r="AE512" s="3">
        <f t="shared" si="57"/>
        <v>0.33500000000000002</v>
      </c>
      <c r="AF512" s="5"/>
      <c r="AG512" s="5"/>
      <c r="AH512" s="5"/>
      <c r="AI512" s="5"/>
      <c r="AK512" s="3" t="s">
        <v>271</v>
      </c>
      <c r="AL512" s="3">
        <v>0.9</v>
      </c>
      <c r="AM512" s="3">
        <v>0.5</v>
      </c>
      <c r="AN512" s="3">
        <v>0.6</v>
      </c>
      <c r="AO512" s="3">
        <v>0.16</v>
      </c>
      <c r="AP512" s="6">
        <v>877.21551499999998</v>
      </c>
      <c r="AQ512" s="3">
        <v>3.5999999999999997E-2</v>
      </c>
      <c r="AS512" s="3" t="s">
        <v>271</v>
      </c>
      <c r="AT512" s="3">
        <v>0.68</v>
      </c>
      <c r="AU512" s="7">
        <v>1113.607788</v>
      </c>
      <c r="AV512" s="3">
        <v>0.01</v>
      </c>
      <c r="AW512" s="3">
        <f t="shared" si="58"/>
        <v>0.42000000000000004</v>
      </c>
      <c r="AX512" s="5"/>
      <c r="AY512" s="5"/>
      <c r="AZ512" s="5"/>
      <c r="BA512" s="5"/>
      <c r="BC512" s="3" t="s">
        <v>271</v>
      </c>
      <c r="BD512" s="3">
        <v>0.9</v>
      </c>
      <c r="BE512" s="3">
        <v>0.5</v>
      </c>
      <c r="BF512" s="3">
        <v>0.6</v>
      </c>
      <c r="BG512" s="3">
        <v>0.06</v>
      </c>
      <c r="BH512" s="6">
        <v>788.35638400000005</v>
      </c>
      <c r="BI512" s="3">
        <v>3.1E-2</v>
      </c>
      <c r="BK512" s="3" t="s">
        <v>271</v>
      </c>
      <c r="BL512" s="3">
        <v>0.16</v>
      </c>
      <c r="BM512" s="7">
        <v>873.08831799999996</v>
      </c>
      <c r="BN512" s="3">
        <v>2E-3</v>
      </c>
      <c r="BO512" s="3">
        <f t="shared" si="59"/>
        <v>0.11</v>
      </c>
    </row>
    <row r="513" spans="1:67" x14ac:dyDescent="0.3">
      <c r="A513" s="3" t="s">
        <v>272</v>
      </c>
      <c r="B513" s="3">
        <v>0.9</v>
      </c>
      <c r="C513" s="3">
        <v>0.5</v>
      </c>
      <c r="D513" s="3">
        <v>0.6</v>
      </c>
      <c r="E513" s="3">
        <v>0.87</v>
      </c>
      <c r="F513" s="7">
        <v>921.57562299999995</v>
      </c>
      <c r="G513" s="3">
        <v>0.06</v>
      </c>
      <c r="I513" s="3" t="s">
        <v>272</v>
      </c>
      <c r="J513" s="3">
        <v>0.44</v>
      </c>
      <c r="K513" s="6">
        <v>836.46813999999995</v>
      </c>
      <c r="L513" s="3">
        <v>1.0999999999999999E-2</v>
      </c>
      <c r="M513" s="3">
        <f t="shared" si="56"/>
        <v>0.65500000000000003</v>
      </c>
      <c r="N513" s="5"/>
      <c r="O513" s="5"/>
      <c r="P513" s="5"/>
      <c r="Q513" s="5"/>
      <c r="S513" s="3" t="s">
        <v>272</v>
      </c>
      <c r="T513" s="3">
        <v>0.9</v>
      </c>
      <c r="U513" s="3">
        <v>0.5</v>
      </c>
      <c r="V513" s="3">
        <v>0.6</v>
      </c>
      <c r="W513" s="3">
        <v>0.62</v>
      </c>
      <c r="X513" s="6">
        <v>874.59326199999998</v>
      </c>
      <c r="Y513" s="3">
        <v>2.1999999999999999E-2</v>
      </c>
      <c r="AA513" s="3" t="s">
        <v>272</v>
      </c>
      <c r="AB513" s="3">
        <v>0.72</v>
      </c>
      <c r="AC513" s="7">
        <v>896.20770300000004</v>
      </c>
      <c r="AD513" s="3">
        <v>1E-3</v>
      </c>
      <c r="AE513" s="3">
        <f t="shared" si="57"/>
        <v>0.66999999999999993</v>
      </c>
      <c r="AF513" s="5"/>
      <c r="AG513" s="5"/>
      <c r="AH513" s="5"/>
      <c r="AI513" s="5"/>
      <c r="AK513" s="3" t="s">
        <v>273</v>
      </c>
      <c r="AL513" s="3">
        <v>0.9</v>
      </c>
      <c r="AM513" s="3">
        <v>0.5</v>
      </c>
      <c r="AN513" s="3">
        <v>0.6</v>
      </c>
      <c r="AO513" s="3">
        <v>0.68</v>
      </c>
      <c r="AP513" s="7">
        <v>1159.749634</v>
      </c>
      <c r="AQ513" s="3">
        <v>2.1999999999999999E-2</v>
      </c>
      <c r="AS513" s="3" t="s">
        <v>273</v>
      </c>
      <c r="AT513" s="3">
        <v>0.01</v>
      </c>
      <c r="AU513" s="6">
        <v>853.73095699999999</v>
      </c>
      <c r="AV513" s="3">
        <v>2E-3</v>
      </c>
      <c r="AW513" s="3">
        <f t="shared" si="58"/>
        <v>0.34500000000000003</v>
      </c>
      <c r="AX513" s="5"/>
      <c r="AY513" s="5"/>
      <c r="AZ513" s="5"/>
      <c r="BA513" s="5"/>
      <c r="BC513" s="3" t="s">
        <v>273</v>
      </c>
      <c r="BD513" s="3">
        <v>0.9</v>
      </c>
      <c r="BE513" s="3">
        <v>0.5</v>
      </c>
      <c r="BF513" s="3">
        <v>0.6</v>
      </c>
      <c r="BG513" s="3">
        <v>0.6</v>
      </c>
      <c r="BH513" s="6">
        <v>1127.4542240000001</v>
      </c>
      <c r="BI513" s="3">
        <v>2.1000000000000001E-2</v>
      </c>
      <c r="BK513" s="3" t="s">
        <v>273</v>
      </c>
      <c r="BL513" s="3">
        <v>0.62</v>
      </c>
      <c r="BM513" s="7">
        <v>1130.2193600000001</v>
      </c>
      <c r="BN513" s="3">
        <v>4.0000000000000001E-3</v>
      </c>
      <c r="BO513" s="3">
        <f t="shared" si="59"/>
        <v>0.61</v>
      </c>
    </row>
    <row r="514" spans="1:67" x14ac:dyDescent="0.3">
      <c r="A514" s="3" t="s">
        <v>274</v>
      </c>
      <c r="B514" s="3">
        <v>0.9</v>
      </c>
      <c r="C514" s="3">
        <v>0.5</v>
      </c>
      <c r="D514" s="3">
        <v>0.6</v>
      </c>
      <c r="E514" s="3">
        <v>7.0000000000000007E-2</v>
      </c>
      <c r="F514" s="6">
        <v>726.89935300000002</v>
      </c>
      <c r="G514" s="3">
        <v>2.8000000000000001E-2</v>
      </c>
      <c r="I514" s="3" t="s">
        <v>274</v>
      </c>
      <c r="J514" s="3">
        <v>0.4</v>
      </c>
      <c r="K514" s="7">
        <v>879.12854000000004</v>
      </c>
      <c r="L514" s="3">
        <v>5.0000000000000001E-3</v>
      </c>
      <c r="M514" s="3">
        <f t="shared" si="56"/>
        <v>0.23500000000000001</v>
      </c>
      <c r="N514" s="5"/>
      <c r="O514" s="5"/>
      <c r="P514" s="5"/>
      <c r="Q514" s="5"/>
      <c r="S514" s="3" t="s">
        <v>274</v>
      </c>
      <c r="T514" s="3">
        <v>0.9</v>
      </c>
      <c r="U514" s="3">
        <v>0.5</v>
      </c>
      <c r="V514" s="3">
        <v>0.6</v>
      </c>
      <c r="W514" s="3">
        <v>0.59</v>
      </c>
      <c r="X514" s="7">
        <v>933.52972399999999</v>
      </c>
      <c r="Y514" s="3">
        <v>2.5000000000000001E-2</v>
      </c>
      <c r="AA514" s="3" t="s">
        <v>274</v>
      </c>
      <c r="AB514" s="3">
        <v>0.25</v>
      </c>
      <c r="AC514" s="6">
        <v>783.83081100000004</v>
      </c>
      <c r="AD514" s="3">
        <v>1.2999999999999999E-2</v>
      </c>
      <c r="AE514" s="3">
        <f t="shared" si="57"/>
        <v>0.42</v>
      </c>
      <c r="AF514" s="5"/>
      <c r="AG514" s="5"/>
      <c r="AH514" s="5"/>
      <c r="AI514" s="5"/>
      <c r="AK514" s="3" t="s">
        <v>275</v>
      </c>
      <c r="AL514" s="3">
        <v>0.9</v>
      </c>
      <c r="AM514" s="3">
        <v>0.5</v>
      </c>
      <c r="AN514" s="3">
        <v>0.6</v>
      </c>
      <c r="AO514" s="3">
        <v>0.61</v>
      </c>
      <c r="AP514" s="7">
        <v>1278.730591</v>
      </c>
      <c r="AQ514" s="3">
        <v>2.5999999999999999E-2</v>
      </c>
      <c r="AS514" s="3" t="s">
        <v>275</v>
      </c>
      <c r="AT514" s="3">
        <v>0.39</v>
      </c>
      <c r="AU514" s="6">
        <v>1171.1166989999999</v>
      </c>
      <c r="AV514" s="3">
        <v>2E-3</v>
      </c>
      <c r="AW514" s="3">
        <f t="shared" si="58"/>
        <v>0.5</v>
      </c>
      <c r="AX514" s="5"/>
      <c r="AY514" s="5"/>
      <c r="AZ514" s="5"/>
      <c r="BA514" s="5"/>
      <c r="BC514" s="3" t="s">
        <v>275</v>
      </c>
      <c r="BD514" s="3">
        <v>0.9</v>
      </c>
      <c r="BE514" s="3">
        <v>0.5</v>
      </c>
      <c r="BF514" s="3">
        <v>0.6</v>
      </c>
      <c r="BG514" s="3">
        <v>0.68</v>
      </c>
      <c r="BH514" s="6">
        <v>1275.309814</v>
      </c>
      <c r="BI514" s="3">
        <v>1.9E-2</v>
      </c>
      <c r="BK514" s="3" t="s">
        <v>275</v>
      </c>
      <c r="BL514" s="3">
        <v>0.89</v>
      </c>
      <c r="BM514" s="7">
        <v>1332.5023189999999</v>
      </c>
      <c r="BN514" s="3">
        <v>2E-3</v>
      </c>
      <c r="BO514" s="3">
        <f t="shared" si="59"/>
        <v>0.78500000000000003</v>
      </c>
    </row>
    <row r="515" spans="1:67" x14ac:dyDescent="0.3">
      <c r="A515" s="3" t="s">
        <v>276</v>
      </c>
      <c r="B515" s="3">
        <v>0.9</v>
      </c>
      <c r="C515" s="3">
        <v>0.5</v>
      </c>
      <c r="D515" s="3">
        <v>0.6</v>
      </c>
      <c r="E515" s="3">
        <v>0.57999999999999996</v>
      </c>
      <c r="F515" s="6">
        <v>819.82025099999998</v>
      </c>
      <c r="G515" s="3">
        <v>0.04</v>
      </c>
      <c r="I515" s="3" t="s">
        <v>276</v>
      </c>
      <c r="J515" s="3">
        <v>0.99</v>
      </c>
      <c r="K515" s="7">
        <v>894.67657499999996</v>
      </c>
      <c r="L515" s="3">
        <v>1.4999999999999999E-2</v>
      </c>
      <c r="M515" s="3">
        <f t="shared" si="56"/>
        <v>0.78499999999999992</v>
      </c>
      <c r="N515" s="5"/>
      <c r="O515" s="5"/>
      <c r="P515" s="5"/>
      <c r="Q515" s="5"/>
      <c r="S515" s="3" t="s">
        <v>276</v>
      </c>
      <c r="T515" s="3">
        <v>0.9</v>
      </c>
      <c r="U515" s="3">
        <v>0.5</v>
      </c>
      <c r="V515" s="3">
        <v>0.6</v>
      </c>
      <c r="W515" s="3">
        <v>0.48</v>
      </c>
      <c r="X515" s="6">
        <v>770.22997999999995</v>
      </c>
      <c r="Y515" s="3">
        <v>1.7999999999999999E-2</v>
      </c>
      <c r="AA515" s="3" t="s">
        <v>276</v>
      </c>
      <c r="AB515" s="3">
        <v>0.91</v>
      </c>
      <c r="AC515" s="7">
        <v>893.85589600000003</v>
      </c>
      <c r="AD515" s="3">
        <v>3.0000000000000001E-3</v>
      </c>
      <c r="AE515" s="3">
        <f t="shared" si="57"/>
        <v>0.69500000000000006</v>
      </c>
      <c r="AF515" s="5"/>
      <c r="AG515" s="5"/>
      <c r="AH515" s="5"/>
      <c r="AI515" s="5"/>
      <c r="AK515" s="3" t="s">
        <v>277</v>
      </c>
      <c r="AL515" s="3">
        <v>0.9</v>
      </c>
      <c r="AM515" s="3">
        <v>0.5</v>
      </c>
      <c r="AN515" s="3">
        <v>0.6</v>
      </c>
      <c r="AO515" s="3">
        <v>0.95</v>
      </c>
      <c r="AP515" s="7">
        <v>1246.0601810000001</v>
      </c>
      <c r="AQ515" s="3">
        <v>1.9E-2</v>
      </c>
      <c r="AS515" s="3" t="s">
        <v>277</v>
      </c>
      <c r="AT515" s="3">
        <v>0.5</v>
      </c>
      <c r="AU515" s="6">
        <v>1137.331543</v>
      </c>
      <c r="AV515" s="3">
        <v>2E-3</v>
      </c>
      <c r="AW515" s="3">
        <f t="shared" si="58"/>
        <v>0.72499999999999998</v>
      </c>
      <c r="AX515" s="5"/>
      <c r="AY515" s="5"/>
      <c r="AZ515" s="5"/>
      <c r="BA515" s="5"/>
      <c r="BC515" s="3" t="s">
        <v>277</v>
      </c>
      <c r="BD515" s="3">
        <v>0.9</v>
      </c>
      <c r="BE515" s="3">
        <v>0.5</v>
      </c>
      <c r="BF515" s="3">
        <v>0.6</v>
      </c>
      <c r="BG515" s="3">
        <v>7.0000000000000007E-2</v>
      </c>
      <c r="BH515" s="6">
        <v>827.91296399999999</v>
      </c>
      <c r="BI515" s="3">
        <v>1.7999999999999999E-2</v>
      </c>
      <c r="BK515" s="3" t="s">
        <v>277</v>
      </c>
      <c r="BL515" s="3">
        <v>0.47</v>
      </c>
      <c r="BM515" s="7">
        <v>1108.474487</v>
      </c>
      <c r="BN515" s="3">
        <v>4.0000000000000001E-3</v>
      </c>
      <c r="BO515" s="3">
        <f t="shared" si="59"/>
        <v>0.27</v>
      </c>
    </row>
    <row r="516" spans="1:67" x14ac:dyDescent="0.3">
      <c r="A516" s="3" t="s">
        <v>278</v>
      </c>
      <c r="B516" s="3">
        <v>0.9</v>
      </c>
      <c r="C516" s="3">
        <v>0.5</v>
      </c>
      <c r="D516" s="3">
        <v>0.6</v>
      </c>
      <c r="E516" s="3">
        <v>0.23</v>
      </c>
      <c r="F516" s="6">
        <v>648.762024</v>
      </c>
      <c r="G516" s="3">
        <v>1.2E-2</v>
      </c>
      <c r="I516" s="3" t="s">
        <v>278</v>
      </c>
      <c r="J516" s="3">
        <v>0.78</v>
      </c>
      <c r="K516" s="7">
        <v>842.16308600000002</v>
      </c>
      <c r="L516" s="3">
        <v>2E-3</v>
      </c>
      <c r="M516" s="3">
        <f t="shared" si="56"/>
        <v>0.505</v>
      </c>
      <c r="N516" s="5"/>
      <c r="O516" s="5"/>
      <c r="P516" s="5"/>
      <c r="Q516" s="5"/>
      <c r="S516" s="3" t="s">
        <v>278</v>
      </c>
      <c r="T516" s="3">
        <v>0.9</v>
      </c>
      <c r="U516" s="3">
        <v>0.5</v>
      </c>
      <c r="V516" s="3">
        <v>0.6</v>
      </c>
      <c r="W516" s="3">
        <v>0.72</v>
      </c>
      <c r="X516" s="7">
        <v>781.84491000000003</v>
      </c>
      <c r="Y516" s="3">
        <v>1.4999999999999999E-2</v>
      </c>
      <c r="AA516" s="3" t="s">
        <v>278</v>
      </c>
      <c r="AB516" s="3">
        <v>0.24</v>
      </c>
      <c r="AC516" s="6">
        <v>632.49249299999997</v>
      </c>
      <c r="AD516" s="3">
        <v>6.0000000000000001E-3</v>
      </c>
      <c r="AE516" s="3">
        <f t="shared" si="57"/>
        <v>0.48</v>
      </c>
      <c r="AF516" s="5"/>
      <c r="AG516" s="5"/>
      <c r="AH516" s="5"/>
      <c r="AI516" s="5"/>
      <c r="AK516" s="3" t="s">
        <v>279</v>
      </c>
      <c r="AL516" s="3">
        <v>0.9</v>
      </c>
      <c r="AM516" s="3">
        <v>0.5</v>
      </c>
      <c r="AN516" s="3">
        <v>0.6</v>
      </c>
      <c r="AO516" s="3">
        <v>0.48</v>
      </c>
      <c r="AP516" s="6">
        <v>1205.722534</v>
      </c>
      <c r="AQ516" s="3">
        <v>2.1000000000000001E-2</v>
      </c>
      <c r="AS516" s="3" t="s">
        <v>279</v>
      </c>
      <c r="AT516" s="3">
        <v>0.68</v>
      </c>
      <c r="AU516" s="7">
        <v>1314.505981</v>
      </c>
      <c r="AV516" s="3">
        <v>7.0000000000000001E-3</v>
      </c>
      <c r="AW516" s="3">
        <f t="shared" si="58"/>
        <v>0.58000000000000007</v>
      </c>
      <c r="AX516" s="5"/>
      <c r="AY516" s="5"/>
      <c r="AZ516" s="5"/>
      <c r="BA516" s="5"/>
      <c r="BC516" s="3" t="s">
        <v>279</v>
      </c>
      <c r="BD516" s="3">
        <v>0.9</v>
      </c>
      <c r="BE516" s="3">
        <v>0.5</v>
      </c>
      <c r="BF516" s="3">
        <v>0.6</v>
      </c>
      <c r="BG516" s="3">
        <v>0.08</v>
      </c>
      <c r="BH516" s="6">
        <v>950.36810300000002</v>
      </c>
      <c r="BI516" s="3">
        <v>1.7000000000000001E-2</v>
      </c>
      <c r="BK516" s="3" t="s">
        <v>279</v>
      </c>
      <c r="BL516" s="3">
        <v>0.53</v>
      </c>
      <c r="BM516" s="7">
        <v>1231.895874</v>
      </c>
      <c r="BN516" s="3">
        <v>4.0000000000000001E-3</v>
      </c>
      <c r="BO516" s="3">
        <f t="shared" si="59"/>
        <v>0.30499999999999999</v>
      </c>
    </row>
    <row r="517" spans="1:67" x14ac:dyDescent="0.3">
      <c r="A517" s="3" t="s">
        <v>280</v>
      </c>
      <c r="B517" s="3">
        <v>0.9</v>
      </c>
      <c r="C517" s="3">
        <v>0.5</v>
      </c>
      <c r="D517" s="3">
        <v>0.6</v>
      </c>
      <c r="E517" s="3">
        <v>0.06</v>
      </c>
      <c r="F517" s="6">
        <v>760.55602999999996</v>
      </c>
      <c r="G517" s="3">
        <v>2.9000000000000001E-2</v>
      </c>
      <c r="I517" s="3" t="s">
        <v>280</v>
      </c>
      <c r="J517" s="3">
        <v>0.49</v>
      </c>
      <c r="K517" s="7">
        <v>970.948669</v>
      </c>
      <c r="L517" s="3">
        <v>8.9999999999999993E-3</v>
      </c>
      <c r="M517" s="3">
        <f t="shared" si="56"/>
        <v>0.27500000000000002</v>
      </c>
      <c r="N517" s="5"/>
      <c r="O517" s="5"/>
      <c r="P517" s="5"/>
      <c r="Q517" s="5"/>
      <c r="S517" s="3" t="s">
        <v>280</v>
      </c>
      <c r="T517" s="3">
        <v>0.9</v>
      </c>
      <c r="U517" s="3">
        <v>0.5</v>
      </c>
      <c r="V517" s="3">
        <v>0.6</v>
      </c>
      <c r="W517" s="3">
        <v>0.09</v>
      </c>
      <c r="X517" s="6">
        <v>746.58203100000003</v>
      </c>
      <c r="Y517" s="3">
        <v>1.0999999999999999E-2</v>
      </c>
      <c r="AA517" s="3" t="s">
        <v>280</v>
      </c>
      <c r="AB517" s="3">
        <v>0.66</v>
      </c>
      <c r="AC517" s="7">
        <v>995.38519299999996</v>
      </c>
      <c r="AD517" s="3">
        <v>1.2E-2</v>
      </c>
      <c r="AE517" s="3">
        <f t="shared" si="57"/>
        <v>0.375</v>
      </c>
      <c r="AF517" s="5"/>
      <c r="AG517" s="5"/>
      <c r="AH517" s="5"/>
      <c r="AI517" s="5"/>
      <c r="AK517" s="3" t="s">
        <v>281</v>
      </c>
      <c r="AL517" s="3">
        <v>0.9</v>
      </c>
      <c r="AM517" s="3">
        <v>0.5</v>
      </c>
      <c r="AN517" s="3">
        <v>0.6</v>
      </c>
      <c r="AO517" s="3">
        <v>0.01</v>
      </c>
      <c r="AP517" s="6">
        <v>902.80865500000004</v>
      </c>
      <c r="AQ517" s="3">
        <v>3.3000000000000002E-2</v>
      </c>
      <c r="AS517" s="3" t="s">
        <v>281</v>
      </c>
      <c r="AT517" s="3">
        <v>0.77</v>
      </c>
      <c r="AU517" s="7">
        <v>1312.1644289999999</v>
      </c>
      <c r="AV517" s="3">
        <v>4.0000000000000001E-3</v>
      </c>
      <c r="AW517" s="3">
        <f t="shared" si="58"/>
        <v>0.39</v>
      </c>
      <c r="AX517" s="5"/>
      <c r="AY517" s="5"/>
      <c r="AZ517" s="5"/>
      <c r="BA517" s="5"/>
      <c r="BC517" s="3" t="s">
        <v>281</v>
      </c>
      <c r="BD517" s="3">
        <v>0.9</v>
      </c>
      <c r="BE517" s="3">
        <v>0.5</v>
      </c>
      <c r="BF517" s="3">
        <v>0.6</v>
      </c>
      <c r="BG517" s="3">
        <v>0.04</v>
      </c>
      <c r="BH517" s="6">
        <v>907.24761999999998</v>
      </c>
      <c r="BI517" s="3">
        <v>1.9E-2</v>
      </c>
      <c r="BK517" s="3" t="s">
        <v>281</v>
      </c>
      <c r="BL517" s="3">
        <v>0.77</v>
      </c>
      <c r="BM517" s="7">
        <v>1319.6561280000001</v>
      </c>
      <c r="BN517" s="3">
        <v>5.0000000000000001E-3</v>
      </c>
      <c r="BO517" s="3">
        <f t="shared" si="59"/>
        <v>0.40500000000000003</v>
      </c>
    </row>
    <row r="518" spans="1:67" x14ac:dyDescent="0.3">
      <c r="A518" s="3" t="s">
        <v>282</v>
      </c>
      <c r="B518" s="3">
        <v>0.9</v>
      </c>
      <c r="C518" s="3">
        <v>0.5</v>
      </c>
      <c r="D518" s="3">
        <v>0.6</v>
      </c>
      <c r="E518" s="3">
        <v>0.33</v>
      </c>
      <c r="F518" s="7">
        <v>826.53698699999995</v>
      </c>
      <c r="G518" s="3">
        <v>8.9999999999999993E-3</v>
      </c>
      <c r="I518" s="3" t="s">
        <v>282</v>
      </c>
      <c r="J518" s="3">
        <v>0.13</v>
      </c>
      <c r="K518" s="6">
        <v>714.98370399999999</v>
      </c>
      <c r="L518" s="3">
        <v>4.0000000000000001E-3</v>
      </c>
      <c r="M518" s="3">
        <f t="shared" si="56"/>
        <v>0.23</v>
      </c>
      <c r="N518" s="5"/>
      <c r="O518" s="5"/>
      <c r="P518" s="5"/>
      <c r="Q518" s="5"/>
      <c r="S518" s="3" t="s">
        <v>282</v>
      </c>
      <c r="T518" s="3">
        <v>0.9</v>
      </c>
      <c r="U518" s="3">
        <v>0.5</v>
      </c>
      <c r="V518" s="3">
        <v>0.6</v>
      </c>
      <c r="W518" s="3">
        <v>0.75</v>
      </c>
      <c r="X518" s="7">
        <v>999.69164999999998</v>
      </c>
      <c r="Y518" s="3">
        <v>1.4999999999999999E-2</v>
      </c>
      <c r="AA518" s="3" t="s">
        <v>282</v>
      </c>
      <c r="AB518" s="3">
        <v>0.14000000000000001</v>
      </c>
      <c r="AC518" s="6">
        <v>716.47607400000004</v>
      </c>
      <c r="AD518" s="3">
        <v>1E-3</v>
      </c>
      <c r="AE518" s="3">
        <f t="shared" si="57"/>
        <v>0.44500000000000001</v>
      </c>
      <c r="AF518" s="5"/>
      <c r="AG518" s="5"/>
      <c r="AH518" s="5"/>
      <c r="AI518" s="5"/>
      <c r="AK518" s="3" t="s">
        <v>283</v>
      </c>
      <c r="AL518" s="3">
        <v>0.9</v>
      </c>
      <c r="AM518" s="3">
        <v>0.5</v>
      </c>
      <c r="AN518" s="3">
        <v>0.6</v>
      </c>
      <c r="AO518" s="3">
        <v>0.48</v>
      </c>
      <c r="AP518" s="7">
        <v>1135.8903809999999</v>
      </c>
      <c r="AQ518" s="3">
        <v>2.5999999999999999E-2</v>
      </c>
      <c r="AS518" s="3" t="s">
        <v>283</v>
      </c>
      <c r="AT518" s="3">
        <v>0.38</v>
      </c>
      <c r="AU518" s="6">
        <v>1100.865356</v>
      </c>
      <c r="AV518" s="3">
        <v>1.7999999999999999E-2</v>
      </c>
      <c r="AW518" s="3">
        <f t="shared" si="58"/>
        <v>0.43</v>
      </c>
      <c r="AX518" s="5"/>
      <c r="AY518" s="5"/>
      <c r="AZ518" s="5"/>
      <c r="BA518" s="5"/>
      <c r="BC518" s="3" t="s">
        <v>283</v>
      </c>
      <c r="BD518" s="3">
        <v>0.9</v>
      </c>
      <c r="BE518" s="3">
        <v>0.5</v>
      </c>
      <c r="BF518" s="3">
        <v>0.6</v>
      </c>
      <c r="BG518" s="3">
        <v>0.68</v>
      </c>
      <c r="BH518" s="7">
        <v>1205.9456789999999</v>
      </c>
      <c r="BI518" s="3">
        <v>0.02</v>
      </c>
      <c r="BK518" s="3" t="s">
        <v>283</v>
      </c>
      <c r="BL518" s="3">
        <v>0.28999999999999998</v>
      </c>
      <c r="BM518" s="6">
        <v>1014.677002</v>
      </c>
      <c r="BN518" s="3">
        <v>2E-3</v>
      </c>
      <c r="BO518" s="3">
        <f t="shared" si="59"/>
        <v>0.48499999999999999</v>
      </c>
    </row>
    <row r="519" spans="1:67" x14ac:dyDescent="0.3">
      <c r="A519" s="3" t="s">
        <v>284</v>
      </c>
      <c r="B519" s="3">
        <v>0.9</v>
      </c>
      <c r="C519" s="3">
        <v>0.5</v>
      </c>
      <c r="D519" s="3">
        <v>0.6</v>
      </c>
      <c r="E519" s="3">
        <v>0.78</v>
      </c>
      <c r="F519" s="7">
        <v>992.999146</v>
      </c>
      <c r="G519" s="3">
        <v>1.7000000000000001E-2</v>
      </c>
      <c r="I519" s="3" t="s">
        <v>284</v>
      </c>
      <c r="J519" s="3">
        <v>0.46</v>
      </c>
      <c r="K519" s="6">
        <v>914.54760699999997</v>
      </c>
      <c r="L519" s="3">
        <v>8.9999999999999993E-3</v>
      </c>
      <c r="M519" s="3">
        <f t="shared" si="56"/>
        <v>0.62</v>
      </c>
      <c r="N519" s="5"/>
      <c r="O519" s="5"/>
      <c r="P519" s="5"/>
      <c r="Q519" s="5"/>
      <c r="S519" s="3" t="s">
        <v>284</v>
      </c>
      <c r="T519" s="3">
        <v>0.9</v>
      </c>
      <c r="U519" s="3">
        <v>0.5</v>
      </c>
      <c r="V519" s="3">
        <v>0.6</v>
      </c>
      <c r="W519" s="3">
        <v>0.04</v>
      </c>
      <c r="X519" s="6">
        <v>734.37616000000003</v>
      </c>
      <c r="Y519" s="3">
        <v>1.4999999999999999E-2</v>
      </c>
      <c r="AA519" s="3" t="s">
        <v>284</v>
      </c>
      <c r="AB519" s="3">
        <v>0.44</v>
      </c>
      <c r="AC519" s="7">
        <v>906.03637700000002</v>
      </c>
      <c r="AD519" s="3">
        <v>2E-3</v>
      </c>
      <c r="AE519" s="3">
        <f t="shared" si="57"/>
        <v>0.24</v>
      </c>
      <c r="AF519" s="5"/>
      <c r="AG519" s="5"/>
      <c r="AH519" s="5"/>
      <c r="AI519" s="5"/>
      <c r="AK519" s="3" t="s">
        <v>285</v>
      </c>
      <c r="AL519" s="3">
        <v>0.9</v>
      </c>
      <c r="AM519" s="3">
        <v>0.5</v>
      </c>
      <c r="AN519" s="3">
        <v>0.6</v>
      </c>
      <c r="AO519" s="3">
        <v>0.99</v>
      </c>
      <c r="AP519" s="7">
        <v>1413.1442870000001</v>
      </c>
      <c r="AQ519" s="3">
        <v>2.7E-2</v>
      </c>
      <c r="AS519" s="3" t="s">
        <v>285</v>
      </c>
      <c r="AT519" s="3">
        <v>0.46</v>
      </c>
      <c r="AU519" s="6">
        <v>1223.145996</v>
      </c>
      <c r="AV519" s="3">
        <v>3.0000000000000001E-3</v>
      </c>
      <c r="AW519" s="3">
        <f t="shared" si="58"/>
        <v>0.72499999999999998</v>
      </c>
      <c r="AX519" s="5"/>
      <c r="AY519" s="5"/>
      <c r="AZ519" s="5"/>
      <c r="BA519" s="5"/>
      <c r="BC519" s="3" t="s">
        <v>285</v>
      </c>
      <c r="BD519" s="3">
        <v>0.9</v>
      </c>
      <c r="BE519" s="3">
        <v>0.5</v>
      </c>
      <c r="BF519" s="3">
        <v>0.6</v>
      </c>
      <c r="BG519" s="3">
        <v>0.67</v>
      </c>
      <c r="BH519" s="6">
        <v>1275.7585449999999</v>
      </c>
      <c r="BI519" s="3">
        <v>2.5999999999999999E-2</v>
      </c>
      <c r="BK519" s="3" t="s">
        <v>285</v>
      </c>
      <c r="BL519" s="3">
        <v>0.79</v>
      </c>
      <c r="BM519" s="7">
        <v>1343.5042719999999</v>
      </c>
      <c r="BN519" s="3">
        <v>2E-3</v>
      </c>
      <c r="BO519" s="3">
        <f t="shared" si="59"/>
        <v>0.73</v>
      </c>
    </row>
    <row r="520" spans="1:67" x14ac:dyDescent="0.3">
      <c r="A520" s="3" t="s">
        <v>286</v>
      </c>
      <c r="B520" s="3">
        <v>0.9</v>
      </c>
      <c r="C520" s="3">
        <v>0.5</v>
      </c>
      <c r="D520" s="3">
        <v>0.6</v>
      </c>
      <c r="E520" s="3">
        <v>0.25</v>
      </c>
      <c r="F520" s="6">
        <v>704.66503899999998</v>
      </c>
      <c r="G520" s="3">
        <v>0.02</v>
      </c>
      <c r="I520" s="3" t="s">
        <v>286</v>
      </c>
      <c r="J520" s="3">
        <v>0.01</v>
      </c>
      <c r="K520" s="7">
        <v>706.39569100000006</v>
      </c>
      <c r="L520" s="3">
        <v>2E-3</v>
      </c>
      <c r="M520" s="3">
        <f t="shared" si="56"/>
        <v>0.13</v>
      </c>
      <c r="N520" s="5"/>
      <c r="O520" s="5"/>
      <c r="P520" s="5"/>
      <c r="Q520" s="5"/>
      <c r="S520" s="3" t="s">
        <v>286</v>
      </c>
      <c r="T520" s="3">
        <v>0.9</v>
      </c>
      <c r="U520" s="3">
        <v>0.5</v>
      </c>
      <c r="V520" s="3">
        <v>0.6</v>
      </c>
      <c r="W520" s="3">
        <v>0.74</v>
      </c>
      <c r="X520" s="7">
        <v>879.10705600000006</v>
      </c>
      <c r="Y520" s="3">
        <v>1.9E-2</v>
      </c>
      <c r="AA520" s="3" t="s">
        <v>286</v>
      </c>
      <c r="AB520" s="3">
        <v>0.67</v>
      </c>
      <c r="AC520" s="6">
        <v>829.20202600000005</v>
      </c>
      <c r="AD520" s="3">
        <v>8.9999999999999993E-3</v>
      </c>
      <c r="AE520" s="3">
        <f t="shared" si="57"/>
        <v>0.70500000000000007</v>
      </c>
      <c r="AF520" s="5"/>
      <c r="AG520" s="5"/>
      <c r="AH520" s="5"/>
      <c r="AI520" s="5"/>
      <c r="AK520" s="3" t="s">
        <v>287</v>
      </c>
      <c r="AL520" s="3">
        <v>0.9</v>
      </c>
      <c r="AM520" s="3">
        <v>0.5</v>
      </c>
      <c r="AN520" s="3">
        <v>0.6</v>
      </c>
      <c r="AO520" s="3">
        <v>0.84</v>
      </c>
      <c r="AP520" s="7">
        <v>1270.502686</v>
      </c>
      <c r="AQ520" s="3">
        <v>2.5000000000000001E-2</v>
      </c>
      <c r="AS520" s="3" t="s">
        <v>287</v>
      </c>
      <c r="AT520" s="3">
        <v>0.17</v>
      </c>
      <c r="AU520" s="6">
        <v>957.60400400000003</v>
      </c>
      <c r="AV520" s="3">
        <v>8.0000000000000002E-3</v>
      </c>
      <c r="AW520" s="3">
        <f t="shared" si="58"/>
        <v>0.505</v>
      </c>
      <c r="AX520" s="5"/>
      <c r="AY520" s="5"/>
      <c r="AZ520" s="5"/>
      <c r="BA520" s="5"/>
      <c r="BC520" s="3" t="s">
        <v>287</v>
      </c>
      <c r="BD520" s="3">
        <v>0.9</v>
      </c>
      <c r="BE520" s="3">
        <v>0.5</v>
      </c>
      <c r="BF520" s="3">
        <v>0.6</v>
      </c>
      <c r="BG520" s="3">
        <v>0.75</v>
      </c>
      <c r="BH520" s="6">
        <v>1230.458862</v>
      </c>
      <c r="BI520" s="3">
        <v>2.5999999999999999E-2</v>
      </c>
      <c r="BK520" s="3" t="s">
        <v>287</v>
      </c>
      <c r="BL520" s="3">
        <v>0.89</v>
      </c>
      <c r="BM520" s="7">
        <v>1288.2818600000001</v>
      </c>
      <c r="BN520" s="3">
        <v>1E-3</v>
      </c>
      <c r="BO520" s="3">
        <f t="shared" si="59"/>
        <v>0.82000000000000006</v>
      </c>
    </row>
    <row r="521" spans="1:67" x14ac:dyDescent="0.3">
      <c r="A521" s="3" t="s">
        <v>288</v>
      </c>
      <c r="B521" s="3">
        <v>0.9</v>
      </c>
      <c r="C521" s="3">
        <v>0.5</v>
      </c>
      <c r="D521" s="3">
        <v>0.6</v>
      </c>
      <c r="E521" s="3">
        <v>0.45</v>
      </c>
      <c r="F521" s="7">
        <v>813.38861099999997</v>
      </c>
      <c r="G521" s="3">
        <v>7.0000000000000001E-3</v>
      </c>
      <c r="I521" s="3" t="s">
        <v>288</v>
      </c>
      <c r="J521" s="3">
        <v>0.01</v>
      </c>
      <c r="K521" s="6">
        <v>710.25933799999996</v>
      </c>
      <c r="L521" s="3">
        <v>0.01</v>
      </c>
      <c r="M521" s="3">
        <f t="shared" si="56"/>
        <v>0.23</v>
      </c>
      <c r="N521" s="5"/>
      <c r="O521" s="5"/>
      <c r="P521" s="5"/>
      <c r="Q521" s="5"/>
      <c r="S521" s="3" t="s">
        <v>288</v>
      </c>
      <c r="T521" s="3">
        <v>0.9</v>
      </c>
      <c r="U521" s="3">
        <v>0.5</v>
      </c>
      <c r="V521" s="3">
        <v>0.6</v>
      </c>
      <c r="W521" s="3">
        <v>0.28000000000000003</v>
      </c>
      <c r="X521" s="6">
        <v>711.12426800000003</v>
      </c>
      <c r="Y521" s="3">
        <v>1.9E-2</v>
      </c>
      <c r="AA521" s="3" t="s">
        <v>288</v>
      </c>
      <c r="AB521" s="3">
        <v>0.78</v>
      </c>
      <c r="AC521" s="7">
        <v>924.48968500000001</v>
      </c>
      <c r="AD521" s="3">
        <v>1E-3</v>
      </c>
      <c r="AE521" s="3">
        <f t="shared" si="57"/>
        <v>0.53</v>
      </c>
      <c r="AF521" s="5"/>
      <c r="AG521" s="5"/>
      <c r="AH521" s="5"/>
      <c r="AI521" s="5"/>
      <c r="AK521" s="3" t="s">
        <v>289</v>
      </c>
      <c r="AL521" s="3">
        <v>0.9</v>
      </c>
      <c r="AM521" s="3">
        <v>0.5</v>
      </c>
      <c r="AN521" s="3">
        <v>0.6</v>
      </c>
      <c r="AO521" s="3">
        <v>0.91</v>
      </c>
      <c r="AP521" s="7">
        <v>1435.5686040000001</v>
      </c>
      <c r="AQ521" s="3">
        <v>2.4E-2</v>
      </c>
      <c r="AS521" s="3" t="s">
        <v>289</v>
      </c>
      <c r="AT521" s="3">
        <v>0.26</v>
      </c>
      <c r="AU521" s="6">
        <v>1066.0936280000001</v>
      </c>
      <c r="AV521" s="3">
        <v>5.0000000000000001E-3</v>
      </c>
      <c r="AW521" s="3">
        <f t="shared" si="58"/>
        <v>0.58499999999999996</v>
      </c>
      <c r="AX521" s="5"/>
      <c r="AY521" s="5"/>
      <c r="AZ521" s="5"/>
      <c r="BA521" s="5"/>
      <c r="BC521" s="3" t="s">
        <v>289</v>
      </c>
      <c r="BD521" s="3">
        <v>0.9</v>
      </c>
      <c r="BE521" s="3">
        <v>0.5</v>
      </c>
      <c r="BF521" s="3">
        <v>0.6</v>
      </c>
      <c r="BG521" s="3">
        <v>0.75</v>
      </c>
      <c r="BH521" s="7">
        <v>1368.7138669999999</v>
      </c>
      <c r="BI521" s="3">
        <v>2.8000000000000001E-2</v>
      </c>
      <c r="BK521" s="3" t="s">
        <v>289</v>
      </c>
      <c r="BL521" s="3">
        <v>0.51</v>
      </c>
      <c r="BM521" s="6">
        <v>1256.685669</v>
      </c>
      <c r="BN521" s="3">
        <v>2E-3</v>
      </c>
      <c r="BO521" s="3">
        <f t="shared" si="59"/>
        <v>0.63</v>
      </c>
    </row>
    <row r="522" spans="1:67" x14ac:dyDescent="0.3">
      <c r="A522" s="3" t="s">
        <v>290</v>
      </c>
      <c r="B522" s="3">
        <v>0.9</v>
      </c>
      <c r="C522" s="3">
        <v>0.5</v>
      </c>
      <c r="D522" s="3">
        <v>0.6</v>
      </c>
      <c r="E522" s="3">
        <v>0.78</v>
      </c>
      <c r="F522" s="7">
        <v>908.53045699999996</v>
      </c>
      <c r="G522" s="3">
        <v>1.7000000000000001E-2</v>
      </c>
      <c r="I522" s="3" t="s">
        <v>290</v>
      </c>
      <c r="J522" s="3">
        <v>0.11</v>
      </c>
      <c r="K522" s="6">
        <v>677.14111300000002</v>
      </c>
      <c r="L522" s="3">
        <v>1E-3</v>
      </c>
      <c r="M522" s="3">
        <f t="shared" si="56"/>
        <v>0.44500000000000001</v>
      </c>
      <c r="N522" s="5"/>
      <c r="O522" s="5"/>
      <c r="P522" s="5"/>
      <c r="Q522" s="5"/>
      <c r="S522" s="3" t="s">
        <v>290</v>
      </c>
      <c r="T522" s="3">
        <v>0.9</v>
      </c>
      <c r="U522" s="3">
        <v>0.5</v>
      </c>
      <c r="V522" s="3">
        <v>0.6</v>
      </c>
      <c r="W522" s="3">
        <v>0.69</v>
      </c>
      <c r="X522" s="7">
        <v>895.54467799999998</v>
      </c>
      <c r="Y522" s="3">
        <v>1.2999999999999999E-2</v>
      </c>
      <c r="AA522" s="3" t="s">
        <v>290</v>
      </c>
      <c r="AB522" s="3">
        <v>0.14000000000000001</v>
      </c>
      <c r="AC522" s="6">
        <v>683.75231900000006</v>
      </c>
      <c r="AD522" s="3">
        <v>4.0000000000000001E-3</v>
      </c>
      <c r="AE522" s="3">
        <f t="shared" si="57"/>
        <v>0.41499999999999998</v>
      </c>
      <c r="AF522" s="5"/>
      <c r="AG522" s="5"/>
      <c r="AH522" s="5"/>
      <c r="AI522" s="5"/>
      <c r="AK522" s="3" t="s">
        <v>291</v>
      </c>
      <c r="AL522" s="3">
        <v>0.9</v>
      </c>
      <c r="AM522" s="3">
        <v>0.5</v>
      </c>
      <c r="AN522" s="3">
        <v>0.6</v>
      </c>
      <c r="AO522" s="3">
        <v>0.12</v>
      </c>
      <c r="AP522" s="6">
        <v>934.76898200000005</v>
      </c>
      <c r="AQ522" s="3">
        <v>2.5999999999999999E-2</v>
      </c>
      <c r="AS522" s="3" t="s">
        <v>291</v>
      </c>
      <c r="AT522" s="3">
        <v>0.98</v>
      </c>
      <c r="AU522" s="7">
        <v>1309.758789</v>
      </c>
      <c r="AV522" s="3">
        <v>5.0000000000000001E-3</v>
      </c>
      <c r="AW522" s="3">
        <f t="shared" si="58"/>
        <v>0.55000000000000004</v>
      </c>
      <c r="AX522" s="5"/>
      <c r="AY522" s="5"/>
      <c r="AZ522" s="5"/>
      <c r="BA522" s="5"/>
      <c r="BC522" s="3" t="s">
        <v>291</v>
      </c>
      <c r="BD522" s="3">
        <v>0.9</v>
      </c>
      <c r="BE522" s="3">
        <v>0.5</v>
      </c>
      <c r="BF522" s="3">
        <v>0.6</v>
      </c>
      <c r="BG522" s="3">
        <v>0.34</v>
      </c>
      <c r="BH522" s="6">
        <v>1082.255737</v>
      </c>
      <c r="BI522" s="3">
        <v>1.6E-2</v>
      </c>
      <c r="BK522" s="3" t="s">
        <v>291</v>
      </c>
      <c r="BL522" s="3">
        <v>0.64</v>
      </c>
      <c r="BM522" s="7">
        <v>1197.8660890000001</v>
      </c>
      <c r="BN522" s="3">
        <v>6.0000000000000001E-3</v>
      </c>
      <c r="BO522" s="3">
        <f t="shared" si="59"/>
        <v>0.49</v>
      </c>
    </row>
    <row r="523" spans="1:67" x14ac:dyDescent="0.3">
      <c r="A523" s="3" t="s">
        <v>292</v>
      </c>
      <c r="B523" s="3">
        <v>0.9</v>
      </c>
      <c r="C523" s="3">
        <v>0.5</v>
      </c>
      <c r="D523" s="3">
        <v>0.6</v>
      </c>
      <c r="E523" s="3">
        <v>0.97</v>
      </c>
      <c r="F523" s="6">
        <v>1023.93927</v>
      </c>
      <c r="G523" s="3">
        <v>1.7000000000000001E-2</v>
      </c>
      <c r="I523" s="3" t="s">
        <v>292</v>
      </c>
      <c r="J523" s="3">
        <v>0.9</v>
      </c>
      <c r="K523" s="6">
        <v>1023.93927</v>
      </c>
      <c r="L523" s="3">
        <v>2E-3</v>
      </c>
      <c r="M523" s="3">
        <f t="shared" si="56"/>
        <v>0.93500000000000005</v>
      </c>
      <c r="N523" s="5"/>
      <c r="O523" s="5"/>
      <c r="P523" s="5"/>
      <c r="Q523" s="5"/>
      <c r="S523" s="3" t="s">
        <v>292</v>
      </c>
      <c r="T523" s="3">
        <v>0.9</v>
      </c>
      <c r="U523" s="3">
        <v>0.5</v>
      </c>
      <c r="V523" s="3">
        <v>0.6</v>
      </c>
      <c r="W523" s="3">
        <v>0.75</v>
      </c>
      <c r="X523" s="7">
        <v>957.48394800000005</v>
      </c>
      <c r="Y523" s="3">
        <v>0.01</v>
      </c>
      <c r="AA523" s="3" t="s">
        <v>292</v>
      </c>
      <c r="AB523" s="3">
        <v>0.61</v>
      </c>
      <c r="AC523" s="6">
        <v>953.87152100000003</v>
      </c>
      <c r="AD523" s="3">
        <v>0</v>
      </c>
      <c r="AE523" s="3">
        <f t="shared" si="57"/>
        <v>0.67999999999999994</v>
      </c>
      <c r="AF523" s="5"/>
      <c r="AG523" s="5"/>
      <c r="AH523" s="5"/>
      <c r="AI523" s="5"/>
      <c r="AK523" s="3" t="s">
        <v>293</v>
      </c>
      <c r="AL523" s="3">
        <v>0.9</v>
      </c>
      <c r="AM523" s="3">
        <v>0.5</v>
      </c>
      <c r="AN523" s="3">
        <v>0.6</v>
      </c>
      <c r="AO523" s="3">
        <v>0.32</v>
      </c>
      <c r="AP523" s="6">
        <v>1128.5863039999999</v>
      </c>
      <c r="AQ523" s="3">
        <v>2.7E-2</v>
      </c>
      <c r="AS523" s="3" t="s">
        <v>293</v>
      </c>
      <c r="AT523" s="3">
        <v>0.59</v>
      </c>
      <c r="AU523" s="7">
        <v>1267.9051509999999</v>
      </c>
      <c r="AV523" s="3">
        <v>2E-3</v>
      </c>
      <c r="AW523" s="3">
        <f t="shared" si="58"/>
        <v>0.45499999999999996</v>
      </c>
      <c r="AX523" s="5"/>
      <c r="AY523" s="5"/>
      <c r="AZ523" s="5"/>
      <c r="BA523" s="5"/>
      <c r="BC523" s="3" t="s">
        <v>293</v>
      </c>
      <c r="BD523" s="3">
        <v>0.9</v>
      </c>
      <c r="BE523" s="3">
        <v>0.5</v>
      </c>
      <c r="BF523" s="3">
        <v>0.6</v>
      </c>
      <c r="BG523" s="3">
        <v>0.64</v>
      </c>
      <c r="BH523" s="7">
        <v>1334.6851810000001</v>
      </c>
      <c r="BI523" s="3">
        <v>3.4000000000000002E-2</v>
      </c>
      <c r="BK523" s="3" t="s">
        <v>293</v>
      </c>
      <c r="BL523" s="3">
        <v>0.71</v>
      </c>
      <c r="BM523" s="6">
        <v>1328.721436</v>
      </c>
      <c r="BN523" s="3">
        <v>3.0000000000000001E-3</v>
      </c>
      <c r="BO523" s="3">
        <f t="shared" si="59"/>
        <v>0.67500000000000004</v>
      </c>
    </row>
    <row r="524" spans="1:67" x14ac:dyDescent="0.3">
      <c r="A524" s="3" t="s">
        <v>294</v>
      </c>
      <c r="B524" s="3">
        <v>0.9</v>
      </c>
      <c r="C524" s="3">
        <v>0.5</v>
      </c>
      <c r="D524" s="3">
        <v>0.6</v>
      </c>
      <c r="E524" s="3">
        <v>0.47</v>
      </c>
      <c r="F524" s="7">
        <v>1024.871948</v>
      </c>
      <c r="G524" s="3">
        <v>0.02</v>
      </c>
      <c r="I524" s="3" t="s">
        <v>294</v>
      </c>
      <c r="J524" s="3">
        <v>0.48</v>
      </c>
      <c r="K524" s="6">
        <v>1011.6026000000001</v>
      </c>
      <c r="L524" s="3">
        <v>3.0000000000000001E-3</v>
      </c>
      <c r="M524" s="3">
        <f t="shared" si="56"/>
        <v>0.47499999999999998</v>
      </c>
      <c r="N524" s="5"/>
      <c r="O524" s="5"/>
      <c r="P524" s="5"/>
      <c r="Q524" s="5"/>
      <c r="S524" s="3" t="s">
        <v>294</v>
      </c>
      <c r="T524" s="3">
        <v>0.9</v>
      </c>
      <c r="U524" s="3">
        <v>0.5</v>
      </c>
      <c r="V524" s="3">
        <v>0.6</v>
      </c>
      <c r="W524" s="3">
        <v>0.91</v>
      </c>
      <c r="X524" s="7">
        <v>1134.599976</v>
      </c>
      <c r="Y524" s="3">
        <v>2.1000000000000001E-2</v>
      </c>
      <c r="AA524" s="3" t="s">
        <v>294</v>
      </c>
      <c r="AB524" s="3">
        <v>0.94</v>
      </c>
      <c r="AC524" s="7">
        <v>1148.947388</v>
      </c>
      <c r="AD524" s="3">
        <v>6.0000000000000001E-3</v>
      </c>
      <c r="AE524" s="3">
        <f t="shared" si="57"/>
        <v>0.92500000000000004</v>
      </c>
      <c r="AF524" s="5"/>
      <c r="AG524" s="5"/>
      <c r="AH524" s="5"/>
      <c r="AI524" s="5"/>
      <c r="AK524" s="3" t="s">
        <v>295</v>
      </c>
      <c r="AL524" s="3">
        <v>0.9</v>
      </c>
      <c r="AM524" s="3">
        <v>0.5</v>
      </c>
      <c r="AN524" s="3">
        <v>0.6</v>
      </c>
      <c r="AO524" s="3">
        <v>0.02</v>
      </c>
      <c r="AP524" s="6">
        <v>986.51397699999995</v>
      </c>
      <c r="AQ524" s="3">
        <v>3.9E-2</v>
      </c>
      <c r="AS524" s="3" t="s">
        <v>295</v>
      </c>
      <c r="AT524" s="3">
        <v>0.94</v>
      </c>
      <c r="AU524" s="7">
        <v>1596.100342</v>
      </c>
      <c r="AV524" s="3">
        <v>3.0000000000000001E-3</v>
      </c>
      <c r="AW524" s="3">
        <f t="shared" si="58"/>
        <v>0.48</v>
      </c>
      <c r="AX524" s="5"/>
      <c r="AY524" s="5"/>
      <c r="AZ524" s="5"/>
      <c r="BA524" s="5"/>
      <c r="BC524" s="3" t="s">
        <v>295</v>
      </c>
      <c r="BD524" s="3">
        <v>0.9</v>
      </c>
      <c r="BE524" s="3">
        <v>0.5</v>
      </c>
      <c r="BF524" s="3">
        <v>0.6</v>
      </c>
      <c r="BG524" s="3">
        <v>0.27</v>
      </c>
      <c r="BH524" s="6">
        <v>1172.852783</v>
      </c>
      <c r="BI524" s="3">
        <v>2.1000000000000001E-2</v>
      </c>
      <c r="BK524" s="3" t="s">
        <v>295</v>
      </c>
      <c r="BL524" s="3">
        <v>0.65</v>
      </c>
      <c r="BM524" s="7">
        <v>1432.4091800000001</v>
      </c>
      <c r="BN524" s="3">
        <v>2E-3</v>
      </c>
      <c r="BO524" s="3">
        <f t="shared" si="59"/>
        <v>0.46</v>
      </c>
    </row>
    <row r="525" spans="1:67" x14ac:dyDescent="0.3">
      <c r="A525" s="3" t="s">
        <v>296</v>
      </c>
      <c r="B525" s="3">
        <v>0.9</v>
      </c>
      <c r="C525" s="3">
        <v>0.5</v>
      </c>
      <c r="D525" s="3">
        <v>0.6</v>
      </c>
      <c r="E525" s="3">
        <v>0.25</v>
      </c>
      <c r="F525" s="6">
        <v>862.47668499999997</v>
      </c>
      <c r="G525" s="3">
        <v>1.2999999999999999E-2</v>
      </c>
      <c r="I525" s="3" t="s">
        <v>296</v>
      </c>
      <c r="J525" s="3">
        <v>0.64</v>
      </c>
      <c r="K525" s="7">
        <v>1014.662476</v>
      </c>
      <c r="L525" s="3">
        <v>2E-3</v>
      </c>
      <c r="M525" s="3">
        <f t="shared" si="56"/>
        <v>0.44500000000000001</v>
      </c>
      <c r="N525" s="5"/>
      <c r="O525" s="5"/>
      <c r="P525" s="5"/>
      <c r="Q525" s="5"/>
      <c r="S525" s="3" t="s">
        <v>296</v>
      </c>
      <c r="T525" s="3">
        <v>0.9</v>
      </c>
      <c r="U525" s="3">
        <v>0.5</v>
      </c>
      <c r="V525" s="3">
        <v>0.6</v>
      </c>
      <c r="W525" s="3">
        <v>0.61</v>
      </c>
      <c r="X525" s="6">
        <v>1021.223938</v>
      </c>
      <c r="Y525" s="3">
        <v>1.7000000000000001E-2</v>
      </c>
      <c r="AA525" s="3" t="s">
        <v>296</v>
      </c>
      <c r="AB525" s="3">
        <v>0.3</v>
      </c>
      <c r="AC525" s="6">
        <v>927.657104</v>
      </c>
      <c r="AD525" s="3">
        <v>1E-3</v>
      </c>
      <c r="AE525" s="3">
        <f t="shared" si="57"/>
        <v>0.45499999999999996</v>
      </c>
      <c r="AF525" s="5"/>
      <c r="AG525" s="5"/>
      <c r="AH525" s="5"/>
      <c r="AI525" s="5"/>
      <c r="AK525" s="3" t="s">
        <v>297</v>
      </c>
      <c r="AL525" s="3">
        <v>0.9</v>
      </c>
      <c r="AM525" s="3">
        <v>0.5</v>
      </c>
      <c r="AN525" s="3">
        <v>0.6</v>
      </c>
      <c r="AO525" s="3">
        <v>0.88</v>
      </c>
      <c r="AP525" s="7">
        <v>1489.1455080000001</v>
      </c>
      <c r="AQ525" s="3">
        <v>3.6999999999999998E-2</v>
      </c>
      <c r="AS525" s="3" t="s">
        <v>297</v>
      </c>
      <c r="AT525" s="3">
        <v>0.36</v>
      </c>
      <c r="AU525" s="6">
        <v>1204.1695560000001</v>
      </c>
      <c r="AV525" s="3">
        <v>2E-3</v>
      </c>
      <c r="AW525" s="3">
        <f t="shared" si="58"/>
        <v>0.62</v>
      </c>
      <c r="AX525" s="5"/>
      <c r="AY525" s="5"/>
      <c r="AZ525" s="5"/>
      <c r="BA525" s="5"/>
      <c r="BC525" s="3" t="s">
        <v>297</v>
      </c>
      <c r="BD525" s="3">
        <v>0.9</v>
      </c>
      <c r="BE525" s="3">
        <v>0.5</v>
      </c>
      <c r="BF525" s="3">
        <v>0.6</v>
      </c>
      <c r="BG525" s="3">
        <v>0.61</v>
      </c>
      <c r="BH525" s="7">
        <v>1391.044312</v>
      </c>
      <c r="BI525" s="3">
        <v>1.2999999999999999E-2</v>
      </c>
      <c r="BK525" s="3" t="s">
        <v>297</v>
      </c>
      <c r="BL525" s="3">
        <v>0.38</v>
      </c>
      <c r="BM525" s="6">
        <v>1187.939453</v>
      </c>
      <c r="BN525" s="3">
        <v>2E-3</v>
      </c>
      <c r="BO525" s="3">
        <f t="shared" si="59"/>
        <v>0.495</v>
      </c>
    </row>
    <row r="526" spans="1:67" x14ac:dyDescent="0.3">
      <c r="A526" s="3" t="s">
        <v>298</v>
      </c>
      <c r="B526" s="3">
        <v>0.9</v>
      </c>
      <c r="C526" s="3">
        <v>0.5</v>
      </c>
      <c r="D526" s="3">
        <v>0.6</v>
      </c>
      <c r="E526" s="3">
        <v>0.5</v>
      </c>
      <c r="F526" s="7">
        <v>902.97656199999994</v>
      </c>
      <c r="G526" s="3">
        <v>2.3E-2</v>
      </c>
      <c r="I526" s="3" t="s">
        <v>298</v>
      </c>
      <c r="J526" s="3">
        <v>0.01</v>
      </c>
      <c r="K526" s="6">
        <v>772.53765899999996</v>
      </c>
      <c r="L526" s="3">
        <v>3.0000000000000001E-3</v>
      </c>
      <c r="M526" s="3">
        <f t="shared" si="56"/>
        <v>0.255</v>
      </c>
      <c r="N526" s="5"/>
      <c r="O526" s="5"/>
      <c r="P526" s="5"/>
      <c r="Q526" s="5"/>
      <c r="S526" s="3" t="s">
        <v>298</v>
      </c>
      <c r="T526" s="3">
        <v>0.9</v>
      </c>
      <c r="U526" s="3">
        <v>0.5</v>
      </c>
      <c r="V526" s="3">
        <v>0.6</v>
      </c>
      <c r="W526" s="3">
        <v>0.24</v>
      </c>
      <c r="X526" s="6">
        <v>742.66467299999999</v>
      </c>
      <c r="Y526" s="3">
        <v>8.9999999999999993E-3</v>
      </c>
      <c r="AA526" s="3" t="s">
        <v>298</v>
      </c>
      <c r="AB526" s="3">
        <v>0.85</v>
      </c>
      <c r="AC526" s="7">
        <v>1012.182678</v>
      </c>
      <c r="AD526" s="3">
        <v>4.0000000000000001E-3</v>
      </c>
      <c r="AE526" s="3">
        <f t="shared" si="57"/>
        <v>0.54499999999999993</v>
      </c>
      <c r="AF526" s="5"/>
      <c r="AG526" s="5"/>
      <c r="AH526" s="5"/>
      <c r="AI526" s="5"/>
      <c r="AK526" s="3" t="s">
        <v>299</v>
      </c>
      <c r="AL526" s="3">
        <v>0.9</v>
      </c>
      <c r="AM526" s="3">
        <v>0.5</v>
      </c>
      <c r="AN526" s="3">
        <v>0.6</v>
      </c>
      <c r="AO526" s="3">
        <v>0.86</v>
      </c>
      <c r="AP526" s="7">
        <v>1608.1096190000001</v>
      </c>
      <c r="AQ526" s="3">
        <v>2.4E-2</v>
      </c>
      <c r="AS526" s="3" t="s">
        <v>299</v>
      </c>
      <c r="AT526" s="3">
        <v>0.27</v>
      </c>
      <c r="AU526" s="6">
        <v>1146.3116460000001</v>
      </c>
      <c r="AV526" s="3">
        <v>6.0000000000000001E-3</v>
      </c>
      <c r="AW526" s="3">
        <f t="shared" si="58"/>
        <v>0.56499999999999995</v>
      </c>
      <c r="AX526" s="5"/>
      <c r="AY526" s="5"/>
      <c r="AZ526" s="5"/>
      <c r="BA526" s="5"/>
      <c r="BC526" s="3" t="s">
        <v>299</v>
      </c>
      <c r="BD526" s="3">
        <v>0.9</v>
      </c>
      <c r="BE526" s="3">
        <v>0.5</v>
      </c>
      <c r="BF526" s="3">
        <v>0.6</v>
      </c>
      <c r="BG526" s="3">
        <v>0.08</v>
      </c>
      <c r="BH526" s="6">
        <v>1013.579102</v>
      </c>
      <c r="BI526" s="3">
        <v>3.7999999999999999E-2</v>
      </c>
      <c r="BK526" s="3" t="s">
        <v>299</v>
      </c>
      <c r="BL526" s="3">
        <v>0.72</v>
      </c>
      <c r="BM526" s="7">
        <v>1491.288452</v>
      </c>
      <c r="BN526" s="3">
        <v>1E-3</v>
      </c>
      <c r="BO526" s="3">
        <f t="shared" si="59"/>
        <v>0.39999999999999997</v>
      </c>
    </row>
    <row r="527" spans="1:67" x14ac:dyDescent="0.3">
      <c r="A527" s="3" t="s">
        <v>300</v>
      </c>
      <c r="B527" s="3">
        <v>0.9</v>
      </c>
      <c r="C527" s="3">
        <v>0.5</v>
      </c>
      <c r="D527" s="3">
        <v>0.6</v>
      </c>
      <c r="E527" s="3">
        <v>0.88</v>
      </c>
      <c r="F527" s="7">
        <v>1003.011536</v>
      </c>
      <c r="G527" s="3">
        <v>1.0999999999999999E-2</v>
      </c>
      <c r="I527" s="3" t="s">
        <v>300</v>
      </c>
      <c r="J527" s="3">
        <v>0.41</v>
      </c>
      <c r="K527" s="6">
        <v>879.48846400000002</v>
      </c>
      <c r="L527" s="3">
        <v>8.0000000000000002E-3</v>
      </c>
      <c r="M527" s="3">
        <f t="shared" si="56"/>
        <v>0.64500000000000002</v>
      </c>
      <c r="N527" s="5"/>
      <c r="O527" s="5"/>
      <c r="P527" s="5"/>
      <c r="Q527" s="5"/>
      <c r="S527" s="3" t="s">
        <v>300</v>
      </c>
      <c r="T527" s="3">
        <v>0.9</v>
      </c>
      <c r="U527" s="3">
        <v>0.5</v>
      </c>
      <c r="V527" s="3">
        <v>0.6</v>
      </c>
      <c r="W527" s="3">
        <v>0.77</v>
      </c>
      <c r="X527" s="6">
        <v>996.54907200000002</v>
      </c>
      <c r="Y527" s="3">
        <v>0.02</v>
      </c>
      <c r="AA527" s="3" t="s">
        <v>300</v>
      </c>
      <c r="AB527" s="3">
        <v>0.98</v>
      </c>
      <c r="AC527" s="7">
        <v>1032.6716309999999</v>
      </c>
      <c r="AD527" s="3">
        <v>1E-3</v>
      </c>
      <c r="AE527" s="3">
        <f t="shared" si="57"/>
        <v>0.875</v>
      </c>
      <c r="AF527" s="5"/>
      <c r="AG527" s="5"/>
      <c r="AH527" s="5"/>
      <c r="AI527" s="5"/>
      <c r="AK527" s="3" t="s">
        <v>301</v>
      </c>
      <c r="AL527" s="3">
        <v>0.9</v>
      </c>
      <c r="AM527" s="3">
        <v>0.5</v>
      </c>
      <c r="AN527" s="3">
        <v>0.6</v>
      </c>
      <c r="AO527" s="3">
        <v>0.45</v>
      </c>
      <c r="AP527" s="7">
        <v>1249.409302</v>
      </c>
      <c r="AQ527" s="3">
        <v>1.9E-2</v>
      </c>
      <c r="AS527" s="3" t="s">
        <v>301</v>
      </c>
      <c r="AT527" s="3">
        <v>0.33</v>
      </c>
      <c r="AU527" s="6">
        <v>1195.9803469999999</v>
      </c>
      <c r="AV527" s="3">
        <v>5.0000000000000001E-3</v>
      </c>
      <c r="AW527" s="3">
        <f t="shared" si="58"/>
        <v>0.39</v>
      </c>
      <c r="AX527" s="5"/>
      <c r="AY527" s="5"/>
      <c r="AZ527" s="5"/>
      <c r="BA527" s="5"/>
      <c r="BC527" s="3" t="s">
        <v>301</v>
      </c>
      <c r="BD527" s="3">
        <v>0.9</v>
      </c>
      <c r="BE527" s="3">
        <v>0.5</v>
      </c>
      <c r="BF527" s="3">
        <v>0.6</v>
      </c>
      <c r="BG527" s="3">
        <v>0.9</v>
      </c>
      <c r="BH527" s="7">
        <v>1502.217529</v>
      </c>
      <c r="BI527" s="3">
        <v>2.1000000000000001E-2</v>
      </c>
      <c r="BK527" s="3" t="s">
        <v>301</v>
      </c>
      <c r="BL527" s="3">
        <v>0.82</v>
      </c>
      <c r="BM527" s="6">
        <v>1422.446899</v>
      </c>
      <c r="BN527" s="3">
        <v>5.0000000000000001E-3</v>
      </c>
      <c r="BO527" s="3">
        <f t="shared" si="59"/>
        <v>0.86</v>
      </c>
    </row>
    <row r="528" spans="1:67" x14ac:dyDescent="0.3">
      <c r="A528" s="3" t="s">
        <v>302</v>
      </c>
      <c r="B528" s="3">
        <v>0.9</v>
      </c>
      <c r="C528" s="3">
        <v>0.5</v>
      </c>
      <c r="D528" s="3">
        <v>0.6</v>
      </c>
      <c r="E528" s="3">
        <v>0.09</v>
      </c>
      <c r="F528" s="6">
        <v>731.26531999999997</v>
      </c>
      <c r="G528" s="3">
        <v>1.2999999999999999E-2</v>
      </c>
      <c r="I528" s="3" t="s">
        <v>302</v>
      </c>
      <c r="J528" s="3">
        <v>0.54</v>
      </c>
      <c r="K528" s="7">
        <v>935.91857900000002</v>
      </c>
      <c r="L528" s="3">
        <v>2E-3</v>
      </c>
      <c r="M528" s="3">
        <f t="shared" si="56"/>
        <v>0.315</v>
      </c>
      <c r="N528" s="5"/>
      <c r="O528" s="5"/>
      <c r="P528" s="5"/>
      <c r="Q528" s="5"/>
      <c r="S528" s="3" t="s">
        <v>302</v>
      </c>
      <c r="T528" s="3">
        <v>0.9</v>
      </c>
      <c r="U528" s="3">
        <v>0.5</v>
      </c>
      <c r="V528" s="3">
        <v>0.6</v>
      </c>
      <c r="W528" s="3">
        <v>0.38</v>
      </c>
      <c r="X528" s="7">
        <v>862.02368200000001</v>
      </c>
      <c r="Y528" s="3">
        <v>0.01</v>
      </c>
      <c r="AA528" s="3" t="s">
        <v>302</v>
      </c>
      <c r="AB528" s="3">
        <v>0.04</v>
      </c>
      <c r="AC528" s="6">
        <v>712.50585899999999</v>
      </c>
      <c r="AD528" s="3">
        <v>3.0000000000000001E-3</v>
      </c>
      <c r="AE528" s="3">
        <f t="shared" si="57"/>
        <v>0.21</v>
      </c>
      <c r="AF528" s="5"/>
      <c r="AG528" s="5"/>
      <c r="AH528" s="5"/>
      <c r="AI528" s="5"/>
      <c r="AK528" s="3" t="s">
        <v>303</v>
      </c>
      <c r="AL528" s="3">
        <v>0.9</v>
      </c>
      <c r="AM528" s="3">
        <v>0.5</v>
      </c>
      <c r="AN528" s="3">
        <v>0.6</v>
      </c>
      <c r="AO528" s="3">
        <v>0.08</v>
      </c>
      <c r="AP528" s="6">
        <v>989.67828399999996</v>
      </c>
      <c r="AQ528" s="3">
        <v>3.2000000000000001E-2</v>
      </c>
      <c r="AS528" s="3" t="s">
        <v>303</v>
      </c>
      <c r="AT528" s="3">
        <v>0.92</v>
      </c>
      <c r="AU528" s="7">
        <v>1495.5466309999999</v>
      </c>
      <c r="AV528" s="3">
        <v>2E-3</v>
      </c>
      <c r="AW528" s="3">
        <f t="shared" si="58"/>
        <v>0.5</v>
      </c>
      <c r="AX528" s="5"/>
      <c r="AY528" s="5"/>
      <c r="AZ528" s="5"/>
      <c r="BA528" s="5"/>
      <c r="BC528" s="3" t="s">
        <v>303</v>
      </c>
      <c r="BD528" s="3">
        <v>0.9</v>
      </c>
      <c r="BE528" s="3">
        <v>0.5</v>
      </c>
      <c r="BF528" s="3">
        <v>0.6</v>
      </c>
      <c r="BG528" s="3">
        <v>0.48</v>
      </c>
      <c r="BH528" s="7">
        <v>1220.93335</v>
      </c>
      <c r="BI528" s="3">
        <v>2.1999999999999999E-2</v>
      </c>
      <c r="BK528" s="3" t="s">
        <v>303</v>
      </c>
      <c r="BL528" s="3">
        <v>7.0000000000000007E-2</v>
      </c>
      <c r="BM528" s="6">
        <v>976.65979000000004</v>
      </c>
      <c r="BN528" s="3">
        <v>2E-3</v>
      </c>
      <c r="BO528" s="3">
        <f t="shared" si="59"/>
        <v>0.27500000000000002</v>
      </c>
    </row>
    <row r="529" spans="1:67" x14ac:dyDescent="0.3">
      <c r="A529" s="3" t="s">
        <v>304</v>
      </c>
      <c r="B529" s="3">
        <v>0.9</v>
      </c>
      <c r="C529" s="3">
        <v>0.5</v>
      </c>
      <c r="D529" s="3">
        <v>0.6</v>
      </c>
      <c r="E529" s="3">
        <v>0.08</v>
      </c>
      <c r="F529" s="6">
        <v>792.81195100000002</v>
      </c>
      <c r="G529" s="3">
        <v>5.0000000000000001E-3</v>
      </c>
      <c r="I529" s="3" t="s">
        <v>304</v>
      </c>
      <c r="J529" s="3">
        <v>0.11</v>
      </c>
      <c r="K529" s="7">
        <v>805.96466099999998</v>
      </c>
      <c r="L529" s="3">
        <v>5.0000000000000001E-3</v>
      </c>
      <c r="M529" s="3">
        <f t="shared" si="56"/>
        <v>9.5000000000000001E-2</v>
      </c>
      <c r="N529" s="5"/>
      <c r="O529" s="5"/>
      <c r="P529" s="5"/>
      <c r="Q529" s="5"/>
      <c r="S529" s="3" t="s">
        <v>304</v>
      </c>
      <c r="T529" s="3">
        <v>0.9</v>
      </c>
      <c r="U529" s="3">
        <v>0.5</v>
      </c>
      <c r="V529" s="3">
        <v>0.6</v>
      </c>
      <c r="W529" s="3">
        <v>0.54</v>
      </c>
      <c r="X529" s="7">
        <v>1009.947449</v>
      </c>
      <c r="Y529" s="3">
        <v>1.2999999999999999E-2</v>
      </c>
      <c r="AA529" s="3" t="s">
        <v>304</v>
      </c>
      <c r="AB529" s="3">
        <v>0.34</v>
      </c>
      <c r="AC529" s="6">
        <v>940.82012899999995</v>
      </c>
      <c r="AD529" s="3">
        <v>6.0000000000000001E-3</v>
      </c>
      <c r="AE529" s="3">
        <f t="shared" si="57"/>
        <v>0.44000000000000006</v>
      </c>
      <c r="AF529" s="5"/>
      <c r="AG529" s="5"/>
      <c r="AH529" s="5"/>
      <c r="AI529" s="5"/>
      <c r="AK529" s="3" t="s">
        <v>305</v>
      </c>
      <c r="AL529" s="3">
        <v>0.9</v>
      </c>
      <c r="AM529" s="3">
        <v>0.5</v>
      </c>
      <c r="AN529" s="3">
        <v>0.6</v>
      </c>
      <c r="AO529" s="3">
        <v>0.6</v>
      </c>
      <c r="AP529" s="6">
        <v>1397.4261469999999</v>
      </c>
      <c r="AQ529" s="3">
        <v>2.8000000000000001E-2</v>
      </c>
      <c r="AS529" s="3" t="s">
        <v>305</v>
      </c>
      <c r="AT529" s="3">
        <v>0.82</v>
      </c>
      <c r="AU529" s="7">
        <v>1540.3000489999999</v>
      </c>
      <c r="AV529" s="3">
        <v>4.0000000000000001E-3</v>
      </c>
      <c r="AW529" s="3">
        <f t="shared" si="58"/>
        <v>0.71</v>
      </c>
      <c r="AX529" s="5"/>
      <c r="AY529" s="5"/>
      <c r="AZ529" s="5"/>
      <c r="BA529" s="5"/>
      <c r="BC529" s="3" t="s">
        <v>305</v>
      </c>
      <c r="BD529" s="3">
        <v>0.9</v>
      </c>
      <c r="BE529" s="3">
        <v>0.5</v>
      </c>
      <c r="BF529" s="3">
        <v>0.6</v>
      </c>
      <c r="BG529" s="3">
        <v>0.88</v>
      </c>
      <c r="BH529" s="6">
        <v>1556.099976</v>
      </c>
      <c r="BI529" s="3">
        <v>0.03</v>
      </c>
      <c r="BK529" s="3" t="s">
        <v>305</v>
      </c>
      <c r="BL529" s="3">
        <v>0.91</v>
      </c>
      <c r="BM529" s="7">
        <v>1575.455688</v>
      </c>
      <c r="BN529" s="3">
        <v>2E-3</v>
      </c>
      <c r="BO529" s="3">
        <f t="shared" si="59"/>
        <v>0.89500000000000002</v>
      </c>
    </row>
    <row r="530" spans="1:67" x14ac:dyDescent="0.3">
      <c r="A530" s="3" t="s">
        <v>306</v>
      </c>
      <c r="B530" s="3">
        <v>0.9</v>
      </c>
      <c r="C530" s="3">
        <v>0.5</v>
      </c>
      <c r="D530" s="3">
        <v>0.6</v>
      </c>
      <c r="E530" s="3">
        <v>0.23</v>
      </c>
      <c r="F530" s="6">
        <v>911.19781499999999</v>
      </c>
      <c r="G530" s="3">
        <v>2.4E-2</v>
      </c>
      <c r="I530" s="3" t="s">
        <v>306</v>
      </c>
      <c r="J530" s="3">
        <v>0.23</v>
      </c>
      <c r="K530" s="6">
        <v>911.19781499999999</v>
      </c>
      <c r="L530" s="3">
        <v>8.0000000000000002E-3</v>
      </c>
      <c r="M530" s="3">
        <f t="shared" si="56"/>
        <v>0.23</v>
      </c>
      <c r="N530" s="5"/>
      <c r="O530" s="5"/>
      <c r="P530" s="5"/>
      <c r="Q530" s="5"/>
      <c r="S530" s="3" t="s">
        <v>306</v>
      </c>
      <c r="T530" s="3">
        <v>0.9</v>
      </c>
      <c r="U530" s="3">
        <v>0.5</v>
      </c>
      <c r="V530" s="3">
        <v>0.6</v>
      </c>
      <c r="W530" s="3">
        <v>0.1</v>
      </c>
      <c r="X530" s="6">
        <v>826.36901899999998</v>
      </c>
      <c r="Y530" s="3">
        <v>1.2999999999999999E-2</v>
      </c>
      <c r="AA530" s="3" t="s">
        <v>306</v>
      </c>
      <c r="AB530" s="3">
        <v>0.77</v>
      </c>
      <c r="AC530" s="7">
        <v>1113.6970209999999</v>
      </c>
      <c r="AD530" s="3">
        <v>1E-3</v>
      </c>
      <c r="AE530" s="3">
        <f t="shared" si="57"/>
        <v>0.435</v>
      </c>
      <c r="AF530" s="5"/>
      <c r="AG530" s="5"/>
      <c r="AH530" s="5"/>
      <c r="AI530" s="5"/>
      <c r="AK530" s="3" t="s">
        <v>307</v>
      </c>
      <c r="AL530" s="3">
        <v>0.9</v>
      </c>
      <c r="AM530" s="3">
        <v>0.5</v>
      </c>
      <c r="AN530" s="3">
        <v>0.6</v>
      </c>
      <c r="AO530" s="3">
        <v>0.45</v>
      </c>
      <c r="AP530" s="6">
        <v>1302.483154</v>
      </c>
      <c r="AQ530" s="3">
        <v>2.3E-2</v>
      </c>
      <c r="AS530" s="3" t="s">
        <v>307</v>
      </c>
      <c r="AT530" s="3">
        <v>0.56999999999999995</v>
      </c>
      <c r="AU530" s="7">
        <v>1334.4185789999999</v>
      </c>
      <c r="AV530" s="3">
        <v>4.0000000000000001E-3</v>
      </c>
      <c r="AW530" s="3">
        <f t="shared" si="58"/>
        <v>0.51</v>
      </c>
      <c r="AX530" s="5"/>
      <c r="AY530" s="5"/>
      <c r="AZ530" s="5"/>
      <c r="BA530" s="5"/>
      <c r="BC530" s="3" t="s">
        <v>307</v>
      </c>
      <c r="BD530" s="3">
        <v>0.9</v>
      </c>
      <c r="BE530" s="3">
        <v>0.5</v>
      </c>
      <c r="BF530" s="3">
        <v>0.6</v>
      </c>
      <c r="BG530" s="3">
        <v>0.57999999999999996</v>
      </c>
      <c r="BH530" s="7">
        <v>1357.399414</v>
      </c>
      <c r="BI530" s="3">
        <v>1.7000000000000001E-2</v>
      </c>
      <c r="BK530" s="3" t="s">
        <v>307</v>
      </c>
      <c r="BL530" s="3">
        <v>0.15</v>
      </c>
      <c r="BM530" s="6">
        <v>1012.477112</v>
      </c>
      <c r="BN530" s="3">
        <v>6.0000000000000001E-3</v>
      </c>
      <c r="BO530" s="3">
        <f t="shared" si="59"/>
        <v>0.36499999999999999</v>
      </c>
    </row>
    <row r="531" spans="1:67" x14ac:dyDescent="0.3">
      <c r="A531" s="3" t="s">
        <v>308</v>
      </c>
      <c r="B531" s="3">
        <v>0.9</v>
      </c>
      <c r="C531" s="3">
        <v>0.5</v>
      </c>
      <c r="D531" s="3">
        <v>0.6</v>
      </c>
      <c r="E531" s="3">
        <v>0.86</v>
      </c>
      <c r="F531" s="7">
        <v>1109.007202</v>
      </c>
      <c r="G531" s="3">
        <v>2.1999999999999999E-2</v>
      </c>
      <c r="I531" s="3" t="s">
        <v>308</v>
      </c>
      <c r="J531" s="3">
        <v>0.37</v>
      </c>
      <c r="K531" s="6">
        <v>981.03381300000001</v>
      </c>
      <c r="L531" s="3">
        <v>3.0000000000000001E-3</v>
      </c>
      <c r="M531" s="3">
        <f t="shared" si="56"/>
        <v>0.61499999999999999</v>
      </c>
      <c r="N531" s="5"/>
      <c r="O531" s="5"/>
      <c r="P531" s="5"/>
      <c r="Q531" s="5"/>
      <c r="S531" s="3" t="s">
        <v>308</v>
      </c>
      <c r="T531" s="3">
        <v>0.9</v>
      </c>
      <c r="U531" s="3">
        <v>0.5</v>
      </c>
      <c r="V531" s="3">
        <v>0.6</v>
      </c>
      <c r="W531" s="3">
        <v>0.04</v>
      </c>
      <c r="X531" s="6">
        <v>831.24279799999999</v>
      </c>
      <c r="Y531" s="3">
        <v>2.1000000000000001E-2</v>
      </c>
      <c r="AA531" s="3" t="s">
        <v>308</v>
      </c>
      <c r="AB531" s="3">
        <v>0.03</v>
      </c>
      <c r="AC531" s="7">
        <v>848.96704099999999</v>
      </c>
      <c r="AD531" s="3">
        <v>1E-3</v>
      </c>
      <c r="AE531" s="3">
        <f t="shared" si="57"/>
        <v>3.5000000000000003E-2</v>
      </c>
      <c r="AF531" s="5"/>
      <c r="AG531" s="5"/>
      <c r="AH531" s="5"/>
      <c r="AI531" s="5"/>
      <c r="AK531" s="3" t="s">
        <v>309</v>
      </c>
      <c r="AL531" s="3">
        <v>0.9</v>
      </c>
      <c r="AM531" s="3">
        <v>0.5</v>
      </c>
      <c r="AN531" s="3">
        <v>0.6</v>
      </c>
      <c r="AO531" s="3">
        <v>0.78</v>
      </c>
      <c r="AP531" s="7">
        <v>1537.7055660000001</v>
      </c>
      <c r="AQ531" s="3">
        <v>1.7999999999999999E-2</v>
      </c>
      <c r="AS531" s="3" t="s">
        <v>309</v>
      </c>
      <c r="AT531" s="3">
        <v>0.35</v>
      </c>
      <c r="AU531" s="6">
        <v>1222.2260739999999</v>
      </c>
      <c r="AV531" s="3">
        <v>3.0000000000000001E-3</v>
      </c>
      <c r="AW531" s="3">
        <f t="shared" si="58"/>
        <v>0.56499999999999995</v>
      </c>
      <c r="AX531" s="5"/>
      <c r="AY531" s="5"/>
      <c r="AZ531" s="5"/>
      <c r="BA531" s="5"/>
      <c r="BC531" s="3" t="s">
        <v>309</v>
      </c>
      <c r="BD531" s="3">
        <v>0.9</v>
      </c>
      <c r="BE531" s="3">
        <v>0.5</v>
      </c>
      <c r="BF531" s="3">
        <v>0.6</v>
      </c>
      <c r="BG531" s="3">
        <v>0.44</v>
      </c>
      <c r="BH531" s="7">
        <v>1284.8204350000001</v>
      </c>
      <c r="BI531" s="3">
        <v>2.1000000000000001E-2</v>
      </c>
      <c r="BK531" s="3" t="s">
        <v>309</v>
      </c>
      <c r="BL531" s="3">
        <v>0.24</v>
      </c>
      <c r="BM531" s="6">
        <v>1110.9729</v>
      </c>
      <c r="BN531" s="3">
        <v>4.0000000000000001E-3</v>
      </c>
      <c r="BO531" s="3">
        <f t="shared" si="59"/>
        <v>0.33999999999999997</v>
      </c>
    </row>
    <row r="532" spans="1:67" x14ac:dyDescent="0.3">
      <c r="A532" s="3" t="s">
        <v>310</v>
      </c>
      <c r="B532" s="3">
        <v>0.9</v>
      </c>
      <c r="C532" s="3">
        <v>0.5</v>
      </c>
      <c r="D532" s="3">
        <v>0.6</v>
      </c>
      <c r="E532" s="3">
        <v>0.93</v>
      </c>
      <c r="F532" s="7">
        <v>1117.249634</v>
      </c>
      <c r="G532" s="3">
        <v>1.4E-2</v>
      </c>
      <c r="I532" s="3" t="s">
        <v>310</v>
      </c>
      <c r="J532" s="3">
        <v>0.83</v>
      </c>
      <c r="K532" s="6">
        <v>1097.2883300000001</v>
      </c>
      <c r="L532" s="3">
        <v>0</v>
      </c>
      <c r="M532" s="3">
        <f t="shared" si="56"/>
        <v>0.88</v>
      </c>
      <c r="N532" s="5"/>
      <c r="O532" s="5"/>
      <c r="P532" s="5"/>
      <c r="Q532" s="5"/>
      <c r="S532" s="3" t="s">
        <v>310</v>
      </c>
      <c r="T532" s="3">
        <v>0.9</v>
      </c>
      <c r="U532" s="3">
        <v>0.5</v>
      </c>
      <c r="V532" s="3">
        <v>0.6</v>
      </c>
      <c r="W532" s="3">
        <v>0.74</v>
      </c>
      <c r="X532" s="7">
        <v>1062.9383539999999</v>
      </c>
      <c r="Y532" s="3">
        <v>1.7000000000000001E-2</v>
      </c>
      <c r="AA532" s="3" t="s">
        <v>310</v>
      </c>
      <c r="AB532" s="3">
        <v>0.42</v>
      </c>
      <c r="AC532" s="6">
        <v>962.37597700000003</v>
      </c>
      <c r="AD532" s="3">
        <v>1E-3</v>
      </c>
      <c r="AE532" s="3">
        <f t="shared" si="57"/>
        <v>0.57999999999999996</v>
      </c>
      <c r="AF532" s="5"/>
      <c r="AG532" s="5"/>
      <c r="AH532" s="5"/>
      <c r="AI532" s="5"/>
      <c r="AK532" s="3" t="s">
        <v>311</v>
      </c>
      <c r="AL532" s="3">
        <v>0.9</v>
      </c>
      <c r="AM532" s="3">
        <v>0.5</v>
      </c>
      <c r="AN532" s="3">
        <v>0.6</v>
      </c>
      <c r="AO532" s="3">
        <v>0.26</v>
      </c>
      <c r="AP532" s="6">
        <v>1153.251831</v>
      </c>
      <c r="AQ532" s="3">
        <v>3.4000000000000002E-2</v>
      </c>
      <c r="AS532" s="3" t="s">
        <v>311</v>
      </c>
      <c r="AT532" s="3">
        <v>0.5</v>
      </c>
      <c r="AU532" s="7">
        <v>1364.928711</v>
      </c>
      <c r="AV532" s="3">
        <v>2E-3</v>
      </c>
      <c r="AW532" s="3">
        <f t="shared" si="58"/>
        <v>0.38</v>
      </c>
      <c r="AX532" s="5"/>
      <c r="AY532" s="5"/>
      <c r="AZ532" s="5"/>
      <c r="BA532" s="5"/>
      <c r="BC532" s="3" t="s">
        <v>311</v>
      </c>
      <c r="BD532" s="3">
        <v>0.9</v>
      </c>
      <c r="BE532" s="3">
        <v>0.5</v>
      </c>
      <c r="BF532" s="3">
        <v>0.6</v>
      </c>
      <c r="BG532" s="3">
        <v>0.56999999999999995</v>
      </c>
      <c r="BH532" s="6">
        <v>1406.0848390000001</v>
      </c>
      <c r="BI532" s="3">
        <v>2.1000000000000001E-2</v>
      </c>
      <c r="BK532" s="3" t="s">
        <v>311</v>
      </c>
      <c r="BL532" s="3">
        <v>0.8</v>
      </c>
      <c r="BM532" s="7">
        <v>1514.692139</v>
      </c>
      <c r="BN532" s="3">
        <v>2E-3</v>
      </c>
      <c r="BO532" s="3">
        <f t="shared" si="59"/>
        <v>0.68500000000000005</v>
      </c>
    </row>
    <row r="533" spans="1:67" x14ac:dyDescent="0.3">
      <c r="A533" s="3" t="s">
        <v>312</v>
      </c>
      <c r="B533" s="3">
        <v>0.9</v>
      </c>
      <c r="C533" s="3">
        <v>0.5</v>
      </c>
      <c r="D533" s="3">
        <v>0.6</v>
      </c>
      <c r="E533" s="3">
        <v>0.91</v>
      </c>
      <c r="F533" s="7">
        <v>1061.974976</v>
      </c>
      <c r="G533" s="3">
        <v>2.4E-2</v>
      </c>
      <c r="I533" s="3" t="s">
        <v>312</v>
      </c>
      <c r="J533" s="3">
        <v>0.67</v>
      </c>
      <c r="K533" s="6">
        <v>1006.104858</v>
      </c>
      <c r="L533" s="3">
        <v>2E-3</v>
      </c>
      <c r="M533" s="3">
        <f t="shared" si="56"/>
        <v>0.79</v>
      </c>
      <c r="N533" s="5"/>
      <c r="O533" s="5"/>
      <c r="P533" s="5"/>
      <c r="Q533" s="5"/>
      <c r="S533" s="3" t="s">
        <v>312</v>
      </c>
      <c r="T533" s="3">
        <v>0.9</v>
      </c>
      <c r="U533" s="3">
        <v>0.5</v>
      </c>
      <c r="V533" s="3">
        <v>0.6</v>
      </c>
      <c r="W533" s="3">
        <v>0.94</v>
      </c>
      <c r="X533" s="7">
        <v>1057.0520019999999</v>
      </c>
      <c r="Y533" s="3">
        <v>2.1999999999999999E-2</v>
      </c>
      <c r="AA533" s="3" t="s">
        <v>312</v>
      </c>
      <c r="AB533" s="3">
        <v>0.33</v>
      </c>
      <c r="AC533" s="6">
        <v>889.90856900000006</v>
      </c>
      <c r="AD533" s="3">
        <v>2E-3</v>
      </c>
      <c r="AE533" s="3">
        <f t="shared" si="57"/>
        <v>0.63500000000000001</v>
      </c>
      <c r="AF533" s="5"/>
      <c r="AG533" s="5"/>
      <c r="AH533" s="5"/>
      <c r="AI533" s="5"/>
      <c r="AK533" s="3" t="s">
        <v>313</v>
      </c>
      <c r="AL533" s="3">
        <v>0.9</v>
      </c>
      <c r="AM533" s="3">
        <v>0.5</v>
      </c>
      <c r="AN533" s="3">
        <v>0.6</v>
      </c>
      <c r="AO533" s="3">
        <v>0.83</v>
      </c>
      <c r="AP533" s="7">
        <v>1448.3095699999999</v>
      </c>
      <c r="AQ533" s="3">
        <v>3.9E-2</v>
      </c>
      <c r="AS533" s="3" t="s">
        <v>313</v>
      </c>
      <c r="AT533" s="3">
        <v>0.39</v>
      </c>
      <c r="AU533" s="6">
        <v>1249.9575199999999</v>
      </c>
      <c r="AV533" s="3">
        <v>2E-3</v>
      </c>
      <c r="AW533" s="3">
        <f t="shared" si="58"/>
        <v>0.61</v>
      </c>
      <c r="AX533" s="5"/>
      <c r="AY533" s="5"/>
      <c r="AZ533" s="5"/>
      <c r="BA533" s="5"/>
      <c r="BC533" s="3" t="s">
        <v>313</v>
      </c>
      <c r="BD533" s="3">
        <v>0.9</v>
      </c>
      <c r="BE533" s="3">
        <v>0.5</v>
      </c>
      <c r="BF533" s="3">
        <v>0.6</v>
      </c>
      <c r="BG533" s="3">
        <v>0.26</v>
      </c>
      <c r="BH533" s="7">
        <v>1121.5445560000001</v>
      </c>
      <c r="BI533" s="3">
        <v>2.3E-2</v>
      </c>
      <c r="BK533" s="3" t="s">
        <v>313</v>
      </c>
      <c r="BL533" s="3">
        <v>0.13</v>
      </c>
      <c r="BM533" s="6">
        <v>1054.2204589999999</v>
      </c>
      <c r="BN533" s="3">
        <v>1E-3</v>
      </c>
      <c r="BO533" s="3">
        <f t="shared" si="59"/>
        <v>0.19500000000000001</v>
      </c>
    </row>
    <row r="534" spans="1:67" x14ac:dyDescent="0.3">
      <c r="A534" s="9" t="s">
        <v>316</v>
      </c>
      <c r="E534" s="9">
        <f>AVERAGE(E504:E533)</f>
        <v>0.46700000000000003</v>
      </c>
      <c r="I534" s="9" t="s">
        <v>316</v>
      </c>
      <c r="J534" s="9">
        <f>AVERAGE(J504:J533)</f>
        <v>0.43933333333333341</v>
      </c>
      <c r="N534" s="5"/>
      <c r="O534" s="5"/>
      <c r="P534" s="5"/>
      <c r="Q534" s="5"/>
      <c r="S534" s="9" t="s">
        <v>316</v>
      </c>
      <c r="W534" s="9">
        <f>AVERAGE(W504:W533)</f>
        <v>0.47299999999999998</v>
      </c>
      <c r="AA534" s="9" t="s">
        <v>316</v>
      </c>
      <c r="AB534" s="9">
        <f>AVERAGE(AB504:AB533)</f>
        <v>0.48933333333333329</v>
      </c>
      <c r="AF534" s="5"/>
      <c r="AG534" s="5"/>
      <c r="AH534" s="5"/>
      <c r="AI534" s="5"/>
      <c r="AK534" s="9" t="s">
        <v>316</v>
      </c>
      <c r="AO534" s="9">
        <f>AVERAGE(AO504:AO533)</f>
        <v>0.52333333333333321</v>
      </c>
      <c r="AS534" s="9" t="s">
        <v>316</v>
      </c>
      <c r="AT534" s="9">
        <f>AVERAGE(AT504:AT533)</f>
        <v>0.5083333333333333</v>
      </c>
      <c r="BC534" s="9" t="s">
        <v>316</v>
      </c>
      <c r="BG534" s="9">
        <f>AVERAGE(BG504:BG533)</f>
        <v>0.48466666666666663</v>
      </c>
      <c r="BK534" s="9" t="s">
        <v>316</v>
      </c>
      <c r="BL534" s="9">
        <f>AVERAGE(BL504:BL533)</f>
        <v>0.52533333333333354</v>
      </c>
    </row>
  </sheetData>
  <mergeCells count="120">
    <mergeCell ref="BC501:BI501"/>
    <mergeCell ref="BK501:BO501"/>
    <mergeCell ref="A501:G501"/>
    <mergeCell ref="I501:M501"/>
    <mergeCell ref="S501:Y501"/>
    <mergeCell ref="AA501:AE501"/>
    <mergeCell ref="AK501:AQ501"/>
    <mergeCell ref="AS501:AW501"/>
    <mergeCell ref="BC429:BI429"/>
    <mergeCell ref="BK429:BO429"/>
    <mergeCell ref="A465:G465"/>
    <mergeCell ref="I465:M465"/>
    <mergeCell ref="S465:Y465"/>
    <mergeCell ref="AA465:AE465"/>
    <mergeCell ref="AK465:AQ465"/>
    <mergeCell ref="AS465:AW465"/>
    <mergeCell ref="BC465:BI465"/>
    <mergeCell ref="BK465:BO465"/>
    <mergeCell ref="A429:G429"/>
    <mergeCell ref="I429:M429"/>
    <mergeCell ref="S429:Y429"/>
    <mergeCell ref="AA429:AE429"/>
    <mergeCell ref="AK429:AQ429"/>
    <mergeCell ref="AS429:AW429"/>
    <mergeCell ref="BC358:BI358"/>
    <mergeCell ref="BK358:BO358"/>
    <mergeCell ref="A394:G394"/>
    <mergeCell ref="I394:M394"/>
    <mergeCell ref="S394:Y394"/>
    <mergeCell ref="AA394:AE394"/>
    <mergeCell ref="AK394:AQ394"/>
    <mergeCell ref="AS394:AW394"/>
    <mergeCell ref="BC394:BI394"/>
    <mergeCell ref="BK394:BO394"/>
    <mergeCell ref="A358:G358"/>
    <mergeCell ref="I358:M358"/>
    <mergeCell ref="S358:Y358"/>
    <mergeCell ref="AA358:AE358"/>
    <mergeCell ref="AK358:AQ358"/>
    <mergeCell ref="AS358:AW358"/>
    <mergeCell ref="BK287:BO287"/>
    <mergeCell ref="A322:G322"/>
    <mergeCell ref="I322:M322"/>
    <mergeCell ref="S322:Y322"/>
    <mergeCell ref="AA322:AE322"/>
    <mergeCell ref="AK322:AQ322"/>
    <mergeCell ref="AS322:AW322"/>
    <mergeCell ref="BC322:BI322"/>
    <mergeCell ref="BK322:BO322"/>
    <mergeCell ref="A287:G287"/>
    <mergeCell ref="I287:M287"/>
    <mergeCell ref="S287:Y287"/>
    <mergeCell ref="AA287:AE287"/>
    <mergeCell ref="AK287:AQ287"/>
    <mergeCell ref="AS287:AW287"/>
    <mergeCell ref="AS251:AW251"/>
    <mergeCell ref="A215:G215"/>
    <mergeCell ref="I215:M215"/>
    <mergeCell ref="S215:Y215"/>
    <mergeCell ref="AA215:AE215"/>
    <mergeCell ref="AK215:AQ215"/>
    <mergeCell ref="AS215:AW215"/>
    <mergeCell ref="BC287:BI287"/>
    <mergeCell ref="BC215:BI215"/>
    <mergeCell ref="BK215:BO215"/>
    <mergeCell ref="BC251:BI251"/>
    <mergeCell ref="BK251:BO251"/>
    <mergeCell ref="AK144:AQ144"/>
    <mergeCell ref="AS144:AW144"/>
    <mergeCell ref="BC144:BI144"/>
    <mergeCell ref="BK144:BO144"/>
    <mergeCell ref="A180:G180"/>
    <mergeCell ref="I180:M180"/>
    <mergeCell ref="S180:Y180"/>
    <mergeCell ref="AA180:AE180"/>
    <mergeCell ref="AK180:AQ180"/>
    <mergeCell ref="AS180:AW180"/>
    <mergeCell ref="A144:G144"/>
    <mergeCell ref="I144:M144"/>
    <mergeCell ref="S144:Y144"/>
    <mergeCell ref="AA144:AE144"/>
    <mergeCell ref="BC180:BI180"/>
    <mergeCell ref="BK180:BO180"/>
    <mergeCell ref="A251:G251"/>
    <mergeCell ref="I251:M251"/>
    <mergeCell ref="S251:Y251"/>
    <mergeCell ref="AA251:AE251"/>
    <mergeCell ref="AK251:AQ251"/>
    <mergeCell ref="BC73:BI73"/>
    <mergeCell ref="BK73:BO73"/>
    <mergeCell ref="A108:G108"/>
    <mergeCell ref="I108:M108"/>
    <mergeCell ref="S108:Y108"/>
    <mergeCell ref="AA108:AE108"/>
    <mergeCell ref="AK108:AQ108"/>
    <mergeCell ref="AS108:AW108"/>
    <mergeCell ref="BC108:BI108"/>
    <mergeCell ref="BK108:BO108"/>
    <mergeCell ref="A73:G73"/>
    <mergeCell ref="I73:M73"/>
    <mergeCell ref="S73:Y73"/>
    <mergeCell ref="AA73:AE73"/>
    <mergeCell ref="AK73:AQ73"/>
    <mergeCell ref="AS73:AW73"/>
    <mergeCell ref="BC1:BI1"/>
    <mergeCell ref="BK1:BO1"/>
    <mergeCell ref="A37:G37"/>
    <mergeCell ref="I37:M37"/>
    <mergeCell ref="S37:Y37"/>
    <mergeCell ref="AA37:AE37"/>
    <mergeCell ref="AK37:AQ37"/>
    <mergeCell ref="AS37:AW37"/>
    <mergeCell ref="BC37:BI37"/>
    <mergeCell ref="BK37:BO37"/>
    <mergeCell ref="A1:G1"/>
    <mergeCell ref="I1:M1"/>
    <mergeCell ref="S1:Y1"/>
    <mergeCell ref="AA1:AE1"/>
    <mergeCell ref="AK1:AQ1"/>
    <mergeCell ref="AS1:AW1"/>
  </mergeCells>
  <pageMargins left="0.7" right="0.7" top="0.75" bottom="0.75" header="0.3" footer="0.3"/>
  <pageSetup orientation="portrait" r:id="rId1"/>
  <ignoredErrors>
    <ignoredError sqref="AZ254 AZ290 AZ325 AZ361 AZ397 AZ432 AZ468 AZ504 BR4 BR40 BR76 BR111 BR147 BR183 BR218 BR254 BR290 BR325 BR361 BR397 BR432 BR468 BR504"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535"/>
  <sheetViews>
    <sheetView zoomScaleNormal="100" workbookViewId="0">
      <selection activeCell="Q4" sqref="Q4"/>
    </sheetView>
  </sheetViews>
  <sheetFormatPr baseColWidth="10" defaultRowHeight="14.4" x14ac:dyDescent="0.3"/>
  <cols>
    <col min="1" max="1" width="15.88671875" style="2" bestFit="1" customWidth="1"/>
    <col min="2" max="5" width="4.77734375" style="2" bestFit="1" customWidth="1"/>
    <col min="6" max="6" width="12.5546875" style="2" bestFit="1" customWidth="1"/>
    <col min="7" max="7" width="7" style="2" bestFit="1" customWidth="1"/>
    <col min="8" max="8" width="11.5546875" style="2"/>
    <col min="9" max="9" width="15.6640625" style="2" bestFit="1" customWidth="1"/>
    <col min="10" max="12" width="4.77734375" style="2" bestFit="1" customWidth="1"/>
    <col min="13" max="13" width="13.6640625" style="2" bestFit="1" customWidth="1"/>
    <col min="14" max="14" width="12.5546875" style="2" bestFit="1" customWidth="1"/>
    <col min="15" max="15" width="7" style="2" bestFit="1" customWidth="1"/>
    <col min="16" max="17" width="16.77734375" bestFit="1" customWidth="1"/>
    <col min="18" max="19" width="18.77734375" bestFit="1" customWidth="1"/>
    <col min="20" max="20" width="11.5546875" style="1"/>
    <col min="21" max="21" width="15.88671875" style="2" bestFit="1" customWidth="1"/>
    <col min="22" max="25" width="4.77734375" style="2" bestFit="1" customWidth="1"/>
    <col min="26" max="26" width="12.5546875" style="2" bestFit="1" customWidth="1"/>
    <col min="27" max="27" width="7" style="2" bestFit="1" customWidth="1"/>
    <col min="28" max="28" width="11.5546875" style="2"/>
    <col min="29" max="29" width="15.6640625" style="2" bestFit="1" customWidth="1"/>
    <col min="30" max="32" width="4.77734375" style="2" bestFit="1" customWidth="1"/>
    <col min="33" max="33" width="13.6640625" style="2" bestFit="1" customWidth="1"/>
    <col min="34" max="34" width="12.5546875" style="2" bestFit="1" customWidth="1"/>
    <col min="35" max="35" width="7" style="2" bestFit="1" customWidth="1"/>
    <col min="36" max="37" width="16.77734375" bestFit="1" customWidth="1"/>
    <col min="38" max="39" width="18.77734375" bestFit="1" customWidth="1"/>
    <col min="40" max="40" width="11.5546875" style="1"/>
    <col min="41" max="41" width="15.88671875" style="2" bestFit="1" customWidth="1"/>
    <col min="42" max="45" width="4.77734375" style="2" bestFit="1" customWidth="1"/>
    <col min="46" max="46" width="13.6640625" style="2" bestFit="1" customWidth="1"/>
    <col min="47" max="47" width="7" style="2" bestFit="1" customWidth="1"/>
    <col min="48" max="48" width="11.5546875" style="2"/>
    <col min="49" max="49" width="15.6640625" style="2" bestFit="1" customWidth="1"/>
    <col min="50" max="52" width="4.77734375" style="2" bestFit="1" customWidth="1"/>
    <col min="53" max="54" width="13.6640625" style="2" bestFit="1" customWidth="1"/>
    <col min="55" max="55" width="7" style="2" bestFit="1" customWidth="1"/>
    <col min="56" max="57" width="16.77734375" bestFit="1" customWidth="1"/>
    <col min="58" max="59" width="18.77734375" bestFit="1" customWidth="1"/>
    <col min="60" max="60" width="11.5546875" style="1"/>
    <col min="61" max="61" width="15.88671875" style="2" bestFit="1" customWidth="1"/>
    <col min="62" max="65" width="4.77734375" style="2" bestFit="1" customWidth="1"/>
    <col min="66" max="66" width="13.6640625" style="2" bestFit="1" customWidth="1"/>
    <col min="67" max="67" width="7" style="2" bestFit="1" customWidth="1"/>
    <col min="68" max="68" width="11.5546875" style="2"/>
    <col min="69" max="69" width="15.6640625" style="2" bestFit="1" customWidth="1"/>
    <col min="70" max="72" width="4.77734375" style="2" bestFit="1" customWidth="1"/>
    <col min="73" max="74" width="13.6640625" style="2" bestFit="1" customWidth="1"/>
    <col min="75" max="75" width="7" style="2" bestFit="1" customWidth="1"/>
    <col min="76" max="77" width="16.77734375" bestFit="1" customWidth="1"/>
    <col min="78" max="79" width="18.77734375" bestFit="1" customWidth="1"/>
  </cols>
  <sheetData>
    <row r="1" spans="1:79" x14ac:dyDescent="0.3">
      <c r="A1" s="23" t="s">
        <v>314</v>
      </c>
      <c r="B1" s="23"/>
      <c r="C1" s="23"/>
      <c r="D1" s="23"/>
      <c r="E1" s="23"/>
      <c r="F1" s="23"/>
      <c r="G1" s="23"/>
      <c r="I1" s="23" t="s">
        <v>314</v>
      </c>
      <c r="J1" s="23"/>
      <c r="K1" s="23"/>
      <c r="L1" s="23"/>
      <c r="M1" s="23"/>
      <c r="N1" s="23"/>
      <c r="O1" s="23"/>
      <c r="P1" s="11"/>
      <c r="Q1" s="11"/>
      <c r="R1" s="11"/>
      <c r="S1" s="11"/>
      <c r="U1" s="23" t="s">
        <v>314</v>
      </c>
      <c r="V1" s="23"/>
      <c r="W1" s="23"/>
      <c r="X1" s="23"/>
      <c r="Y1" s="23"/>
      <c r="Z1" s="23"/>
      <c r="AA1" s="23"/>
      <c r="AC1" s="23" t="s">
        <v>314</v>
      </c>
      <c r="AD1" s="23"/>
      <c r="AE1" s="23"/>
      <c r="AF1" s="23"/>
      <c r="AG1" s="23"/>
      <c r="AH1" s="23"/>
      <c r="AI1" s="23"/>
      <c r="AJ1" s="11"/>
      <c r="AK1" s="11"/>
      <c r="AL1" s="11"/>
      <c r="AM1" s="11"/>
      <c r="AO1" s="23" t="s">
        <v>314</v>
      </c>
      <c r="AP1" s="23"/>
      <c r="AQ1" s="23"/>
      <c r="AR1" s="23"/>
      <c r="AS1" s="23"/>
      <c r="AT1" s="23"/>
      <c r="AU1" s="23"/>
      <c r="AW1" s="23" t="s">
        <v>314</v>
      </c>
      <c r="AX1" s="23"/>
      <c r="AY1" s="23"/>
      <c r="AZ1" s="23"/>
      <c r="BA1" s="23"/>
      <c r="BB1" s="23"/>
      <c r="BC1" s="23"/>
      <c r="BD1" s="11"/>
      <c r="BE1" s="11"/>
      <c r="BF1" s="11"/>
      <c r="BG1" s="11"/>
      <c r="BI1" s="23" t="s">
        <v>314</v>
      </c>
      <c r="BJ1" s="23"/>
      <c r="BK1" s="23"/>
      <c r="BL1" s="23"/>
      <c r="BM1" s="23"/>
      <c r="BN1" s="23"/>
      <c r="BO1" s="23"/>
      <c r="BQ1" s="23" t="s">
        <v>314</v>
      </c>
      <c r="BR1" s="23"/>
      <c r="BS1" s="23"/>
      <c r="BT1" s="23"/>
      <c r="BU1" s="23"/>
      <c r="BV1" s="23"/>
      <c r="BW1" s="23"/>
      <c r="BX1" s="11"/>
      <c r="BY1" s="11"/>
      <c r="BZ1" s="11"/>
      <c r="CA1" s="11"/>
    </row>
    <row r="2" spans="1:79" x14ac:dyDescent="0.3">
      <c r="A2" s="24" t="s">
        <v>0</v>
      </c>
      <c r="B2" s="25"/>
      <c r="C2" s="25"/>
      <c r="D2" s="25"/>
      <c r="E2" s="25"/>
      <c r="F2" s="25"/>
      <c r="G2" s="26"/>
      <c r="I2" s="23" t="s">
        <v>0</v>
      </c>
      <c r="J2" s="23"/>
      <c r="K2" s="23"/>
      <c r="L2" s="23"/>
      <c r="M2" s="23"/>
      <c r="N2" s="23"/>
      <c r="O2" s="23"/>
      <c r="P2" s="11"/>
      <c r="Q2" s="11"/>
      <c r="R2" s="11"/>
      <c r="S2" s="11"/>
      <c r="U2" s="24" t="s">
        <v>1</v>
      </c>
      <c r="V2" s="25"/>
      <c r="W2" s="25"/>
      <c r="X2" s="25"/>
      <c r="Y2" s="25"/>
      <c r="Z2" s="25"/>
      <c r="AA2" s="26"/>
      <c r="AC2" s="23" t="s">
        <v>1</v>
      </c>
      <c r="AD2" s="23"/>
      <c r="AE2" s="23"/>
      <c r="AF2" s="23"/>
      <c r="AG2" s="23"/>
      <c r="AH2" s="23"/>
      <c r="AI2" s="23"/>
      <c r="AJ2" s="11"/>
      <c r="AK2" s="11"/>
      <c r="AL2" s="11"/>
      <c r="AM2" s="11"/>
      <c r="AO2" s="4" t="s">
        <v>0</v>
      </c>
      <c r="AP2" s="4"/>
      <c r="AQ2" s="4"/>
      <c r="AR2" s="4"/>
      <c r="AS2" s="4"/>
      <c r="AT2" s="4"/>
      <c r="AU2" s="4"/>
      <c r="AW2" s="23" t="s">
        <v>0</v>
      </c>
      <c r="AX2" s="23"/>
      <c r="AY2" s="23"/>
      <c r="AZ2" s="23"/>
      <c r="BA2" s="23"/>
      <c r="BB2" s="23"/>
      <c r="BC2" s="23"/>
      <c r="BD2" s="11"/>
      <c r="BE2" s="11"/>
      <c r="BF2" s="11"/>
      <c r="BG2" s="11"/>
      <c r="BI2" s="4" t="s">
        <v>1</v>
      </c>
      <c r="BJ2" s="4"/>
      <c r="BK2" s="4"/>
      <c r="BL2" s="4"/>
      <c r="BM2" s="4"/>
      <c r="BN2" s="4"/>
      <c r="BO2" s="4"/>
      <c r="BQ2" s="23" t="s">
        <v>1</v>
      </c>
      <c r="BR2" s="23"/>
      <c r="BS2" s="23"/>
      <c r="BT2" s="23"/>
      <c r="BU2" s="23"/>
      <c r="BV2" s="23"/>
      <c r="BW2" s="23"/>
      <c r="BX2" s="11"/>
      <c r="BY2" s="11"/>
      <c r="BZ2" s="11"/>
      <c r="CA2" s="11"/>
    </row>
    <row r="3" spans="1:79" x14ac:dyDescent="0.3">
      <c r="A3" s="4" t="s">
        <v>2</v>
      </c>
      <c r="B3" s="4" t="s">
        <v>3</v>
      </c>
      <c r="C3" s="4" t="s">
        <v>4</v>
      </c>
      <c r="D3" s="4" t="s">
        <v>5</v>
      </c>
      <c r="E3" s="4" t="s">
        <v>6</v>
      </c>
      <c r="F3" s="4" t="s">
        <v>7</v>
      </c>
      <c r="G3" s="4" t="s">
        <v>8</v>
      </c>
      <c r="I3" s="4" t="s">
        <v>2</v>
      </c>
      <c r="J3" s="4" t="s">
        <v>3</v>
      </c>
      <c r="K3" s="4" t="s">
        <v>4</v>
      </c>
      <c r="L3" s="4" t="s">
        <v>5</v>
      </c>
      <c r="M3" s="4" t="s">
        <v>6</v>
      </c>
      <c r="N3" s="4" t="s">
        <v>7</v>
      </c>
      <c r="O3" s="4" t="s">
        <v>8</v>
      </c>
      <c r="P3" s="3" t="s">
        <v>322</v>
      </c>
      <c r="Q3" s="3" t="s">
        <v>323</v>
      </c>
      <c r="R3" s="3" t="s">
        <v>322</v>
      </c>
      <c r="S3" s="3" t="s">
        <v>323</v>
      </c>
      <c r="U3" s="4" t="s">
        <v>2</v>
      </c>
      <c r="V3" s="4" t="s">
        <v>3</v>
      </c>
      <c r="W3" s="4" t="s">
        <v>4</v>
      </c>
      <c r="X3" s="4" t="s">
        <v>5</v>
      </c>
      <c r="Y3" s="4" t="s">
        <v>6</v>
      </c>
      <c r="Z3" s="4" t="s">
        <v>7</v>
      </c>
      <c r="AA3" s="4" t="s">
        <v>8</v>
      </c>
      <c r="AC3" s="4" t="s">
        <v>2</v>
      </c>
      <c r="AD3" s="4" t="s">
        <v>3</v>
      </c>
      <c r="AE3" s="4" t="s">
        <v>4</v>
      </c>
      <c r="AF3" s="4" t="s">
        <v>5</v>
      </c>
      <c r="AG3" s="4" t="s">
        <v>6</v>
      </c>
      <c r="AH3" s="4" t="s">
        <v>7</v>
      </c>
      <c r="AI3" s="4" t="s">
        <v>8</v>
      </c>
      <c r="AJ3" s="3" t="s">
        <v>322</v>
      </c>
      <c r="AK3" s="3" t="s">
        <v>323</v>
      </c>
      <c r="AL3" s="3" t="s">
        <v>322</v>
      </c>
      <c r="AM3" s="3" t="s">
        <v>323</v>
      </c>
      <c r="AO3" s="4" t="s">
        <v>2</v>
      </c>
      <c r="AP3" s="4" t="s">
        <v>3</v>
      </c>
      <c r="AQ3" s="4" t="s">
        <v>4</v>
      </c>
      <c r="AR3" s="4" t="s">
        <v>5</v>
      </c>
      <c r="AS3" s="4" t="s">
        <v>6</v>
      </c>
      <c r="AT3" s="4" t="s">
        <v>7</v>
      </c>
      <c r="AU3" s="4" t="s">
        <v>8</v>
      </c>
      <c r="AW3" s="4" t="s">
        <v>2</v>
      </c>
      <c r="AX3" s="4" t="s">
        <v>3</v>
      </c>
      <c r="AY3" s="4" t="s">
        <v>4</v>
      </c>
      <c r="AZ3" s="4" t="s">
        <v>5</v>
      </c>
      <c r="BA3" s="4" t="s">
        <v>6</v>
      </c>
      <c r="BB3" s="4" t="s">
        <v>7</v>
      </c>
      <c r="BC3" s="4" t="s">
        <v>8</v>
      </c>
      <c r="BD3" s="3" t="s">
        <v>322</v>
      </c>
      <c r="BE3" s="3" t="s">
        <v>323</v>
      </c>
      <c r="BF3" s="3" t="s">
        <v>322</v>
      </c>
      <c r="BG3" s="3" t="s">
        <v>323</v>
      </c>
      <c r="BI3" s="4" t="s">
        <v>2</v>
      </c>
      <c r="BJ3" s="4" t="s">
        <v>3</v>
      </c>
      <c r="BK3" s="4" t="s">
        <v>4</v>
      </c>
      <c r="BL3" s="4" t="s">
        <v>5</v>
      </c>
      <c r="BM3" s="4" t="s">
        <v>6</v>
      </c>
      <c r="BN3" s="4" t="s">
        <v>7</v>
      </c>
      <c r="BO3" s="4" t="s">
        <v>8</v>
      </c>
      <c r="BQ3" s="4" t="s">
        <v>2</v>
      </c>
      <c r="BR3" s="4" t="s">
        <v>3</v>
      </c>
      <c r="BS3" s="4" t="s">
        <v>4</v>
      </c>
      <c r="BT3" s="4" t="s">
        <v>5</v>
      </c>
      <c r="BU3" s="4" t="s">
        <v>6</v>
      </c>
      <c r="BV3" s="4" t="s">
        <v>7</v>
      </c>
      <c r="BW3" s="4" t="s">
        <v>8</v>
      </c>
      <c r="BX3" s="3" t="s">
        <v>322</v>
      </c>
      <c r="BY3" s="3" t="s">
        <v>323</v>
      </c>
      <c r="BZ3" s="3" t="s">
        <v>322</v>
      </c>
      <c r="CA3" s="3" t="s">
        <v>323</v>
      </c>
    </row>
    <row r="4" spans="1:79" x14ac:dyDescent="0.3">
      <c r="A4" s="4" t="s">
        <v>10</v>
      </c>
      <c r="B4" s="4">
        <v>0.9</v>
      </c>
      <c r="C4" s="4">
        <v>0.5</v>
      </c>
      <c r="D4" s="4">
        <v>0.6</v>
      </c>
      <c r="E4" s="4">
        <v>0.3</v>
      </c>
      <c r="F4" s="4">
        <v>382.83227499999998</v>
      </c>
      <c r="G4" s="4">
        <v>0</v>
      </c>
      <c r="I4" s="4" t="s">
        <v>10</v>
      </c>
      <c r="J4" s="4">
        <v>0.9</v>
      </c>
      <c r="K4" s="4">
        <v>0.5</v>
      </c>
      <c r="L4" s="4">
        <v>0.6</v>
      </c>
      <c r="M4" s="4">
        <v>0.42</v>
      </c>
      <c r="N4" s="6">
        <v>376.96539300000001</v>
      </c>
      <c r="O4" s="4">
        <v>0</v>
      </c>
      <c r="P4" s="4" t="s">
        <v>324</v>
      </c>
      <c r="Q4" s="4" t="s">
        <v>324</v>
      </c>
      <c r="R4" s="4" t="s">
        <v>325</v>
      </c>
      <c r="S4" s="4" t="s">
        <v>325</v>
      </c>
      <c r="U4" s="4" t="s">
        <v>10</v>
      </c>
      <c r="V4" s="4">
        <v>0.9</v>
      </c>
      <c r="W4" s="4">
        <v>0.5</v>
      </c>
      <c r="X4" s="4">
        <v>0.6</v>
      </c>
      <c r="Y4" s="4">
        <v>0.3</v>
      </c>
      <c r="Z4" s="6">
        <v>356.94982900000002</v>
      </c>
      <c r="AA4" s="4">
        <v>0</v>
      </c>
      <c r="AC4" s="4" t="s">
        <v>10</v>
      </c>
      <c r="AD4" s="4">
        <v>0.9</v>
      </c>
      <c r="AE4" s="4">
        <v>0.5</v>
      </c>
      <c r="AF4" s="4">
        <v>0.6</v>
      </c>
      <c r="AG4" s="4">
        <v>0.49</v>
      </c>
      <c r="AH4" s="4">
        <v>364.59973100000002</v>
      </c>
      <c r="AI4" s="4">
        <v>1E-3</v>
      </c>
      <c r="AJ4" s="4" t="s">
        <v>324</v>
      </c>
      <c r="AK4" s="4" t="s">
        <v>324</v>
      </c>
      <c r="AL4" s="4" t="s">
        <v>325</v>
      </c>
      <c r="AM4" s="4" t="s">
        <v>325</v>
      </c>
      <c r="AO4" s="4" t="s">
        <v>11</v>
      </c>
      <c r="AP4" s="4">
        <v>0.9</v>
      </c>
      <c r="AQ4" s="4">
        <v>0.5</v>
      </c>
      <c r="AR4" s="4">
        <v>0.6</v>
      </c>
      <c r="AS4" s="4">
        <v>0.3</v>
      </c>
      <c r="AT4" s="6">
        <v>721.82312000000002</v>
      </c>
      <c r="AU4" s="4">
        <v>4.0000000000000001E-3</v>
      </c>
      <c r="AW4" s="4" t="s">
        <v>11</v>
      </c>
      <c r="AX4" s="4">
        <v>0.9</v>
      </c>
      <c r="AY4" s="4">
        <v>0.5</v>
      </c>
      <c r="AZ4" s="4">
        <v>0.6</v>
      </c>
      <c r="BA4" s="4">
        <v>0.31</v>
      </c>
      <c r="BB4" s="4">
        <v>740.149902</v>
      </c>
      <c r="BC4" s="4">
        <v>6.0000000000000001E-3</v>
      </c>
      <c r="BD4" s="4" t="s">
        <v>324</v>
      </c>
      <c r="BE4" s="4" t="s">
        <v>324</v>
      </c>
      <c r="BF4" s="4" t="s">
        <v>325</v>
      </c>
      <c r="BG4" s="4" t="s">
        <v>325</v>
      </c>
      <c r="BI4" s="4" t="s">
        <v>11</v>
      </c>
      <c r="BJ4" s="4">
        <v>0.9</v>
      </c>
      <c r="BK4" s="4">
        <v>0.5</v>
      </c>
      <c r="BL4" s="4">
        <v>0.6</v>
      </c>
      <c r="BM4" s="4">
        <v>0.3</v>
      </c>
      <c r="BN4" s="6">
        <v>705.15502900000001</v>
      </c>
      <c r="BO4" s="4">
        <v>3.0000000000000001E-3</v>
      </c>
      <c r="BQ4" s="4" t="s">
        <v>11</v>
      </c>
      <c r="BR4" s="4">
        <v>0.9</v>
      </c>
      <c r="BS4" s="4">
        <v>0.5</v>
      </c>
      <c r="BT4" s="4">
        <v>0.6</v>
      </c>
      <c r="BU4" s="4">
        <v>0.3</v>
      </c>
      <c r="BV4" s="4">
        <v>718.32843000000003</v>
      </c>
      <c r="BW4" s="4">
        <v>4.0000000000000001E-3</v>
      </c>
      <c r="BX4" s="4" t="s">
        <v>324</v>
      </c>
      <c r="BY4" s="4" t="s">
        <v>324</v>
      </c>
      <c r="BZ4" s="4" t="s">
        <v>325</v>
      </c>
      <c r="CA4" s="4" t="s">
        <v>325</v>
      </c>
    </row>
    <row r="5" spans="1:79" x14ac:dyDescent="0.3">
      <c r="A5" s="4" t="s">
        <v>12</v>
      </c>
      <c r="B5" s="4">
        <v>0.9</v>
      </c>
      <c r="C5" s="4">
        <v>0.5</v>
      </c>
      <c r="D5" s="4">
        <v>0.6</v>
      </c>
      <c r="E5" s="4">
        <v>0.3</v>
      </c>
      <c r="F5" s="6">
        <v>414.58303799999999</v>
      </c>
      <c r="G5" s="4">
        <v>0</v>
      </c>
      <c r="I5" s="4" t="s">
        <v>12</v>
      </c>
      <c r="J5" s="4">
        <v>0.9</v>
      </c>
      <c r="K5" s="4">
        <v>0.5</v>
      </c>
      <c r="L5" s="4">
        <v>0.6</v>
      </c>
      <c r="M5" s="4">
        <v>0.3</v>
      </c>
      <c r="N5" s="4">
        <v>424.229218</v>
      </c>
      <c r="O5" s="4">
        <v>0</v>
      </c>
      <c r="P5" s="3">
        <f>COUNT(F5:F32)</f>
        <v>28</v>
      </c>
      <c r="Q5" s="3">
        <f>30-P5</f>
        <v>2</v>
      </c>
      <c r="R5" s="3">
        <f>COUNT(N4,N8,N33)</f>
        <v>3</v>
      </c>
      <c r="S5" s="3">
        <f>30-R5</f>
        <v>27</v>
      </c>
      <c r="U5" s="4" t="s">
        <v>12</v>
      </c>
      <c r="V5" s="4">
        <v>0.9</v>
      </c>
      <c r="W5" s="4">
        <v>0.5</v>
      </c>
      <c r="X5" s="4">
        <v>0.6</v>
      </c>
      <c r="Y5" s="4">
        <v>0.3</v>
      </c>
      <c r="Z5" s="6">
        <v>400.56689499999999</v>
      </c>
      <c r="AA5" s="4">
        <v>1E-3</v>
      </c>
      <c r="AC5" s="4" t="s">
        <v>12</v>
      </c>
      <c r="AD5" s="4">
        <v>0.9</v>
      </c>
      <c r="AE5" s="4">
        <v>0.5</v>
      </c>
      <c r="AF5" s="4">
        <v>0.6</v>
      </c>
      <c r="AG5" s="4">
        <v>0.56000000000000005</v>
      </c>
      <c r="AH5" s="4">
        <v>405.06506300000001</v>
      </c>
      <c r="AI5" s="4">
        <v>0</v>
      </c>
      <c r="AJ5" s="3">
        <f>COUNT(AB4:AB33)</f>
        <v>0</v>
      </c>
      <c r="AK5" s="3">
        <f>30-AJ5</f>
        <v>30</v>
      </c>
      <c r="AL5" s="3"/>
      <c r="AM5" s="3">
        <f>30-AL5</f>
        <v>30</v>
      </c>
      <c r="AO5" s="4" t="s">
        <v>13</v>
      </c>
      <c r="AP5" s="4">
        <v>0.9</v>
      </c>
      <c r="AQ5" s="4">
        <v>0.5</v>
      </c>
      <c r="AR5" s="4">
        <v>0.6</v>
      </c>
      <c r="AS5" s="4">
        <v>0.3</v>
      </c>
      <c r="AT5" s="6">
        <v>670.298767</v>
      </c>
      <c r="AU5" s="4">
        <v>3.0000000000000001E-3</v>
      </c>
      <c r="AW5" s="4" t="s">
        <v>13</v>
      </c>
      <c r="AX5" s="4">
        <v>0.9</v>
      </c>
      <c r="AY5" s="4">
        <v>0.5</v>
      </c>
      <c r="AZ5" s="4">
        <v>0.6</v>
      </c>
      <c r="BA5" s="4">
        <v>0.32</v>
      </c>
      <c r="BB5" s="4">
        <v>684.11614999999995</v>
      </c>
      <c r="BC5" s="4">
        <v>5.0000000000000001E-3</v>
      </c>
      <c r="BD5" s="3">
        <f>COUNT(AV4:AV33)</f>
        <v>0</v>
      </c>
      <c r="BE5" s="3">
        <f>30-BD5</f>
        <v>30</v>
      </c>
      <c r="BF5" s="3"/>
      <c r="BG5" s="3">
        <f>30-BF5</f>
        <v>30</v>
      </c>
      <c r="BI5" s="4" t="s">
        <v>13</v>
      </c>
      <c r="BJ5" s="4">
        <v>0.9</v>
      </c>
      <c r="BK5" s="4">
        <v>0.5</v>
      </c>
      <c r="BL5" s="4">
        <v>0.6</v>
      </c>
      <c r="BM5" s="4">
        <v>0.3</v>
      </c>
      <c r="BN5" s="6">
        <v>630.09008800000004</v>
      </c>
      <c r="BO5" s="4">
        <v>3.0000000000000001E-3</v>
      </c>
      <c r="BQ5" s="4" t="s">
        <v>13</v>
      </c>
      <c r="BR5" s="4">
        <v>0.9</v>
      </c>
      <c r="BS5" s="4">
        <v>0.5</v>
      </c>
      <c r="BT5" s="4">
        <v>0.6</v>
      </c>
      <c r="BU5" s="4">
        <v>0.33</v>
      </c>
      <c r="BV5" s="4">
        <v>640.94354199999998</v>
      </c>
      <c r="BW5" s="4">
        <v>5.0000000000000001E-3</v>
      </c>
      <c r="BX5" s="3">
        <f>COUNT(BN4:BN33)</f>
        <v>30</v>
      </c>
      <c r="BY5" s="3">
        <f>30-BX5</f>
        <v>0</v>
      </c>
      <c r="BZ5" s="3">
        <f>COUNT(BV17)</f>
        <v>1</v>
      </c>
      <c r="CA5" s="3">
        <f>30-BZ5</f>
        <v>29</v>
      </c>
    </row>
    <row r="6" spans="1:79" x14ac:dyDescent="0.3">
      <c r="A6" s="4" t="s">
        <v>14</v>
      </c>
      <c r="B6" s="4">
        <v>0.9</v>
      </c>
      <c r="C6" s="4">
        <v>0.5</v>
      </c>
      <c r="D6" s="4">
        <v>0.6</v>
      </c>
      <c r="E6" s="4">
        <v>0.3</v>
      </c>
      <c r="F6" s="6">
        <v>359.89016700000002</v>
      </c>
      <c r="G6" s="4">
        <v>2E-3</v>
      </c>
      <c r="I6" s="4" t="s">
        <v>14</v>
      </c>
      <c r="J6" s="4">
        <v>0.9</v>
      </c>
      <c r="K6" s="4">
        <v>0.5</v>
      </c>
      <c r="L6" s="4">
        <v>0.6</v>
      </c>
      <c r="M6" s="4">
        <v>0.33</v>
      </c>
      <c r="N6" s="4">
        <v>365.81158399999998</v>
      </c>
      <c r="O6" s="4">
        <v>0</v>
      </c>
      <c r="P6" s="5"/>
      <c r="Q6" s="5"/>
      <c r="R6" s="5"/>
      <c r="S6" s="5"/>
      <c r="U6" s="4" t="s">
        <v>14</v>
      </c>
      <c r="V6" s="4">
        <v>0.9</v>
      </c>
      <c r="W6" s="4">
        <v>0.5</v>
      </c>
      <c r="X6" s="4">
        <v>0.6</v>
      </c>
      <c r="Y6" s="4">
        <v>0.3</v>
      </c>
      <c r="Z6" s="6">
        <v>335.153503</v>
      </c>
      <c r="AA6" s="4">
        <v>1E-3</v>
      </c>
      <c r="AC6" s="4" t="s">
        <v>14</v>
      </c>
      <c r="AD6" s="4">
        <v>0.9</v>
      </c>
      <c r="AE6" s="4">
        <v>0.5</v>
      </c>
      <c r="AF6" s="4">
        <v>0.6</v>
      </c>
      <c r="AG6" s="4">
        <v>0.36</v>
      </c>
      <c r="AH6" s="4">
        <v>337.63259900000003</v>
      </c>
      <c r="AI6" s="4">
        <v>0</v>
      </c>
      <c r="AJ6" s="5"/>
      <c r="AK6" s="5"/>
      <c r="AL6" s="5"/>
      <c r="AM6" s="5"/>
      <c r="AO6" s="4" t="s">
        <v>15</v>
      </c>
      <c r="AP6" s="4">
        <v>0.9</v>
      </c>
      <c r="AQ6" s="4">
        <v>0.5</v>
      </c>
      <c r="AR6" s="4">
        <v>0.6</v>
      </c>
      <c r="AS6" s="4">
        <v>0.3</v>
      </c>
      <c r="AT6" s="4">
        <v>719.17132600000002</v>
      </c>
      <c r="AU6" s="4">
        <v>3.0000000000000001E-3</v>
      </c>
      <c r="AW6" s="4" t="s">
        <v>15</v>
      </c>
      <c r="AX6" s="4">
        <v>0.9</v>
      </c>
      <c r="AY6" s="4">
        <v>0.5</v>
      </c>
      <c r="AZ6" s="4">
        <v>0.6</v>
      </c>
      <c r="BA6" s="4">
        <v>0.31</v>
      </c>
      <c r="BB6" s="6">
        <v>716.26879899999994</v>
      </c>
      <c r="BC6" s="4">
        <v>8.0000000000000002E-3</v>
      </c>
      <c r="BD6" s="5"/>
      <c r="BE6" s="5"/>
      <c r="BF6" s="5"/>
      <c r="BG6" s="5"/>
      <c r="BI6" s="4" t="s">
        <v>15</v>
      </c>
      <c r="BJ6" s="4">
        <v>0.9</v>
      </c>
      <c r="BK6" s="4">
        <v>0.5</v>
      </c>
      <c r="BL6" s="4">
        <v>0.6</v>
      </c>
      <c r="BM6" s="4">
        <v>0.3</v>
      </c>
      <c r="BN6" s="6">
        <v>673.50183100000004</v>
      </c>
      <c r="BO6" s="4">
        <v>4.0000000000000001E-3</v>
      </c>
      <c r="BQ6" s="4" t="s">
        <v>15</v>
      </c>
      <c r="BR6" s="4">
        <v>0.9</v>
      </c>
      <c r="BS6" s="4">
        <v>0.5</v>
      </c>
      <c r="BT6" s="4">
        <v>0.6</v>
      </c>
      <c r="BU6" s="4">
        <v>0.31</v>
      </c>
      <c r="BV6" s="4">
        <v>695.62091099999998</v>
      </c>
      <c r="BW6" s="4">
        <v>4.0000000000000001E-3</v>
      </c>
      <c r="BX6" s="5"/>
      <c r="BY6" s="5"/>
      <c r="BZ6" s="5"/>
      <c r="CA6" s="5"/>
    </row>
    <row r="7" spans="1:79" x14ac:dyDescent="0.3">
      <c r="A7" s="4" t="s">
        <v>16</v>
      </c>
      <c r="B7" s="4">
        <v>0.9</v>
      </c>
      <c r="C7" s="4">
        <v>0.5</v>
      </c>
      <c r="D7" s="4">
        <v>0.6</v>
      </c>
      <c r="E7" s="4">
        <v>0.3</v>
      </c>
      <c r="F7" s="6">
        <v>386.27529900000002</v>
      </c>
      <c r="G7" s="4">
        <v>2E-3</v>
      </c>
      <c r="I7" s="4" t="s">
        <v>16</v>
      </c>
      <c r="J7" s="4">
        <v>0.9</v>
      </c>
      <c r="K7" s="4">
        <v>0.5</v>
      </c>
      <c r="L7" s="4">
        <v>0.6</v>
      </c>
      <c r="M7" s="4">
        <v>0.31</v>
      </c>
      <c r="N7" s="4">
        <v>395.05444299999999</v>
      </c>
      <c r="O7" s="4">
        <v>1E-3</v>
      </c>
      <c r="P7" s="5"/>
      <c r="Q7" s="5"/>
      <c r="R7" s="5"/>
      <c r="S7" s="5"/>
      <c r="U7" s="4" t="s">
        <v>16</v>
      </c>
      <c r="V7" s="4">
        <v>0.9</v>
      </c>
      <c r="W7" s="4">
        <v>0.5</v>
      </c>
      <c r="X7" s="4">
        <v>0.6</v>
      </c>
      <c r="Y7" s="4">
        <v>0.3</v>
      </c>
      <c r="Z7" s="6">
        <v>368.649719</v>
      </c>
      <c r="AA7" s="4">
        <v>0</v>
      </c>
      <c r="AC7" s="4" t="s">
        <v>16</v>
      </c>
      <c r="AD7" s="4">
        <v>0.9</v>
      </c>
      <c r="AE7" s="4">
        <v>0.5</v>
      </c>
      <c r="AF7" s="4">
        <v>0.6</v>
      </c>
      <c r="AG7" s="4">
        <v>0.3</v>
      </c>
      <c r="AH7" s="4">
        <v>370.94268799999998</v>
      </c>
      <c r="AI7" s="4">
        <v>1E-3</v>
      </c>
      <c r="AJ7" s="5"/>
      <c r="AK7" s="5"/>
      <c r="AL7" s="5"/>
      <c r="AM7" s="5"/>
      <c r="AO7" s="4" t="s">
        <v>17</v>
      </c>
      <c r="AP7" s="4">
        <v>0.9</v>
      </c>
      <c r="AQ7" s="4">
        <v>0.5</v>
      </c>
      <c r="AR7" s="4">
        <v>0.6</v>
      </c>
      <c r="AS7" s="4">
        <v>0.3</v>
      </c>
      <c r="AT7" s="6">
        <v>699.62377900000001</v>
      </c>
      <c r="AU7" s="4">
        <v>4.0000000000000001E-3</v>
      </c>
      <c r="AW7" s="4" t="s">
        <v>17</v>
      </c>
      <c r="AX7" s="4">
        <v>0.9</v>
      </c>
      <c r="AY7" s="4">
        <v>0.5</v>
      </c>
      <c r="AZ7" s="4">
        <v>0.6</v>
      </c>
      <c r="BA7" s="4">
        <v>0.33</v>
      </c>
      <c r="BB7" s="4">
        <v>700.03228799999999</v>
      </c>
      <c r="BC7" s="4">
        <v>8.0000000000000002E-3</v>
      </c>
      <c r="BD7" s="5"/>
      <c r="BE7" s="5"/>
      <c r="BF7" s="5"/>
      <c r="BG7" s="5"/>
      <c r="BI7" s="4" t="s">
        <v>17</v>
      </c>
      <c r="BJ7" s="4">
        <v>0.9</v>
      </c>
      <c r="BK7" s="4">
        <v>0.5</v>
      </c>
      <c r="BL7" s="4">
        <v>0.6</v>
      </c>
      <c r="BM7" s="4">
        <v>0.3</v>
      </c>
      <c r="BN7" s="6">
        <v>664.324341</v>
      </c>
      <c r="BO7" s="4">
        <v>3.0000000000000001E-3</v>
      </c>
      <c r="BQ7" s="4" t="s">
        <v>17</v>
      </c>
      <c r="BR7" s="4">
        <v>0.9</v>
      </c>
      <c r="BS7" s="4">
        <v>0.5</v>
      </c>
      <c r="BT7" s="4">
        <v>0.6</v>
      </c>
      <c r="BU7" s="4">
        <v>0.32</v>
      </c>
      <c r="BV7" s="4">
        <v>683.96862799999997</v>
      </c>
      <c r="BW7" s="4">
        <v>3.0000000000000001E-3</v>
      </c>
      <c r="BX7" s="5"/>
      <c r="BY7" s="5"/>
      <c r="BZ7" s="5"/>
      <c r="CA7" s="5"/>
    </row>
    <row r="8" spans="1:79" x14ac:dyDescent="0.3">
      <c r="A8" s="4" t="s">
        <v>18</v>
      </c>
      <c r="B8" s="4">
        <v>0.9</v>
      </c>
      <c r="C8" s="4">
        <v>0.5</v>
      </c>
      <c r="D8" s="4">
        <v>0.6</v>
      </c>
      <c r="E8" s="4">
        <v>0.3</v>
      </c>
      <c r="F8" s="8">
        <v>341.47854599999999</v>
      </c>
      <c r="G8" s="4">
        <v>2E-3</v>
      </c>
      <c r="I8" s="4" t="s">
        <v>18</v>
      </c>
      <c r="J8" s="4">
        <v>0.9</v>
      </c>
      <c r="K8" s="4">
        <v>0.5</v>
      </c>
      <c r="L8" s="4">
        <v>0.6</v>
      </c>
      <c r="M8" s="4">
        <v>0.36</v>
      </c>
      <c r="N8" s="6">
        <v>341.22711199999998</v>
      </c>
      <c r="O8" s="4">
        <v>0</v>
      </c>
      <c r="P8" s="5"/>
      <c r="Q8" s="5"/>
      <c r="R8" s="5"/>
      <c r="S8" s="5"/>
      <c r="U8" s="4" t="s">
        <v>18</v>
      </c>
      <c r="V8" s="4">
        <v>0.9</v>
      </c>
      <c r="W8" s="4">
        <v>0.5</v>
      </c>
      <c r="X8" s="4">
        <v>0.6</v>
      </c>
      <c r="Y8" s="4">
        <v>0.3</v>
      </c>
      <c r="Z8" s="6">
        <v>318.64178500000003</v>
      </c>
      <c r="AA8" s="4">
        <v>1E-3</v>
      </c>
      <c r="AC8" s="4" t="s">
        <v>18</v>
      </c>
      <c r="AD8" s="4">
        <v>0.9</v>
      </c>
      <c r="AE8" s="4">
        <v>0.5</v>
      </c>
      <c r="AF8" s="4">
        <v>0.6</v>
      </c>
      <c r="AG8" s="4">
        <v>0.39</v>
      </c>
      <c r="AH8" s="8">
        <v>318.96472199999999</v>
      </c>
      <c r="AI8" s="4">
        <v>0</v>
      </c>
      <c r="AJ8" s="5"/>
      <c r="AK8" s="5"/>
      <c r="AL8" s="5"/>
      <c r="AM8" s="5"/>
      <c r="AO8" s="4" t="s">
        <v>19</v>
      </c>
      <c r="AP8" s="4">
        <v>0.9</v>
      </c>
      <c r="AQ8" s="4">
        <v>0.5</v>
      </c>
      <c r="AR8" s="4">
        <v>0.6</v>
      </c>
      <c r="AS8" s="4">
        <v>0.3</v>
      </c>
      <c r="AT8" s="6">
        <v>725.96997099999999</v>
      </c>
      <c r="AU8" s="4">
        <v>3.0000000000000001E-3</v>
      </c>
      <c r="AW8" s="4" t="s">
        <v>19</v>
      </c>
      <c r="AX8" s="4">
        <v>0.9</v>
      </c>
      <c r="AY8" s="4">
        <v>0.5</v>
      </c>
      <c r="AZ8" s="4">
        <v>0.6</v>
      </c>
      <c r="BA8" s="4">
        <v>0.31</v>
      </c>
      <c r="BB8" s="4">
        <v>761.31011999999998</v>
      </c>
      <c r="BC8" s="4">
        <v>6.0000000000000001E-3</v>
      </c>
      <c r="BD8" s="5"/>
      <c r="BE8" s="5"/>
      <c r="BF8" s="5"/>
      <c r="BG8" s="5"/>
      <c r="BI8" s="4" t="s">
        <v>19</v>
      </c>
      <c r="BJ8" s="4">
        <v>0.9</v>
      </c>
      <c r="BK8" s="4">
        <v>0.5</v>
      </c>
      <c r="BL8" s="4">
        <v>0.6</v>
      </c>
      <c r="BM8" s="4">
        <v>0.3</v>
      </c>
      <c r="BN8" s="6">
        <v>693.78283699999997</v>
      </c>
      <c r="BO8" s="4">
        <v>3.0000000000000001E-3</v>
      </c>
      <c r="BQ8" s="4" t="s">
        <v>19</v>
      </c>
      <c r="BR8" s="4">
        <v>0.9</v>
      </c>
      <c r="BS8" s="4">
        <v>0.5</v>
      </c>
      <c r="BT8" s="4">
        <v>0.6</v>
      </c>
      <c r="BU8" s="4">
        <v>0.36</v>
      </c>
      <c r="BV8" s="4">
        <v>710.90527299999997</v>
      </c>
      <c r="BW8" s="4">
        <v>6.0000000000000001E-3</v>
      </c>
      <c r="BX8" s="5"/>
      <c r="BY8" s="5"/>
      <c r="BZ8" s="5"/>
      <c r="CA8" s="5"/>
    </row>
    <row r="9" spans="1:79" x14ac:dyDescent="0.3">
      <c r="A9" s="4" t="s">
        <v>20</v>
      </c>
      <c r="B9" s="4">
        <v>0.9</v>
      </c>
      <c r="C9" s="4">
        <v>0.5</v>
      </c>
      <c r="D9" s="4">
        <v>0.6</v>
      </c>
      <c r="E9" s="4">
        <v>0.3</v>
      </c>
      <c r="F9" s="6">
        <v>400.13763399999999</v>
      </c>
      <c r="G9" s="4">
        <v>1E-3</v>
      </c>
      <c r="I9" s="4" t="s">
        <v>20</v>
      </c>
      <c r="J9" s="4">
        <v>0.9</v>
      </c>
      <c r="K9" s="4">
        <v>0.5</v>
      </c>
      <c r="L9" s="4">
        <v>0.6</v>
      </c>
      <c r="M9" s="4">
        <v>0.3</v>
      </c>
      <c r="N9" s="4">
        <v>408.41876200000002</v>
      </c>
      <c r="O9" s="4">
        <v>1E-3</v>
      </c>
      <c r="P9" s="5"/>
      <c r="Q9" s="5"/>
      <c r="R9" s="5"/>
      <c r="S9" s="5"/>
      <c r="U9" s="4" t="s">
        <v>20</v>
      </c>
      <c r="V9" s="4">
        <v>0.9</v>
      </c>
      <c r="W9" s="4">
        <v>0.5</v>
      </c>
      <c r="X9" s="4">
        <v>0.6</v>
      </c>
      <c r="Y9" s="4">
        <v>0.3</v>
      </c>
      <c r="Z9" s="8">
        <v>384.309845</v>
      </c>
      <c r="AA9" s="4">
        <v>1E-3</v>
      </c>
      <c r="AC9" s="4" t="s">
        <v>20</v>
      </c>
      <c r="AD9" s="4">
        <v>0.9</v>
      </c>
      <c r="AE9" s="4">
        <v>0.5</v>
      </c>
      <c r="AF9" s="4">
        <v>0.6</v>
      </c>
      <c r="AG9" s="4">
        <v>0.45</v>
      </c>
      <c r="AH9" s="6">
        <v>384.07998700000002</v>
      </c>
      <c r="AI9" s="4">
        <v>1E-3</v>
      </c>
      <c r="AJ9" s="5"/>
      <c r="AK9" s="5"/>
      <c r="AL9" s="5"/>
      <c r="AM9" s="5"/>
      <c r="AO9" s="4" t="s">
        <v>21</v>
      </c>
      <c r="AP9" s="4">
        <v>0.9</v>
      </c>
      <c r="AQ9" s="4">
        <v>0.5</v>
      </c>
      <c r="AR9" s="4">
        <v>0.6</v>
      </c>
      <c r="AS9" s="4">
        <v>0.3</v>
      </c>
      <c r="AT9" s="6">
        <v>707.42553699999996</v>
      </c>
      <c r="AU9" s="4">
        <v>3.0000000000000001E-3</v>
      </c>
      <c r="AW9" s="4" t="s">
        <v>21</v>
      </c>
      <c r="AX9" s="4">
        <v>0.9</v>
      </c>
      <c r="AY9" s="4">
        <v>0.5</v>
      </c>
      <c r="AZ9" s="4">
        <v>0.6</v>
      </c>
      <c r="BA9" s="4">
        <v>0.33</v>
      </c>
      <c r="BB9" s="4">
        <v>735.19415300000003</v>
      </c>
      <c r="BC9" s="4">
        <v>4.0000000000000001E-3</v>
      </c>
      <c r="BD9" s="5"/>
      <c r="BE9" s="5"/>
      <c r="BF9" s="5"/>
      <c r="BG9" s="5"/>
      <c r="BI9" s="4" t="s">
        <v>21</v>
      </c>
      <c r="BJ9" s="4">
        <v>0.9</v>
      </c>
      <c r="BK9" s="4">
        <v>0.5</v>
      </c>
      <c r="BL9" s="4">
        <v>0.6</v>
      </c>
      <c r="BM9" s="4">
        <v>0.3</v>
      </c>
      <c r="BN9" s="6">
        <v>671.61804199999995</v>
      </c>
      <c r="BO9" s="4">
        <v>4.0000000000000001E-3</v>
      </c>
      <c r="BQ9" s="4" t="s">
        <v>21</v>
      </c>
      <c r="BR9" s="4">
        <v>0.9</v>
      </c>
      <c r="BS9" s="4">
        <v>0.5</v>
      </c>
      <c r="BT9" s="4">
        <v>0.6</v>
      </c>
      <c r="BU9" s="4">
        <v>0.3</v>
      </c>
      <c r="BV9" s="4">
        <v>674.69805899999994</v>
      </c>
      <c r="BW9" s="4">
        <v>8.9999999999999993E-3</v>
      </c>
      <c r="BX9" s="5"/>
      <c r="BY9" s="5"/>
      <c r="BZ9" s="5"/>
      <c r="CA9" s="5"/>
    </row>
    <row r="10" spans="1:79" x14ac:dyDescent="0.3">
      <c r="A10" s="4" t="s">
        <v>22</v>
      </c>
      <c r="B10" s="4">
        <v>0.9</v>
      </c>
      <c r="C10" s="4">
        <v>0.5</v>
      </c>
      <c r="D10" s="4">
        <v>0.6</v>
      </c>
      <c r="E10" s="4">
        <v>0.3</v>
      </c>
      <c r="F10" s="6">
        <v>380.04760700000003</v>
      </c>
      <c r="G10" s="4">
        <v>1E-3</v>
      </c>
      <c r="I10" s="4" t="s">
        <v>22</v>
      </c>
      <c r="J10" s="4">
        <v>0.9</v>
      </c>
      <c r="K10" s="4">
        <v>0.5</v>
      </c>
      <c r="L10" s="4">
        <v>0.6</v>
      </c>
      <c r="M10" s="4">
        <v>0.31</v>
      </c>
      <c r="N10" s="4">
        <v>382.210846</v>
      </c>
      <c r="O10" s="4">
        <v>1E-3</v>
      </c>
      <c r="P10" s="5"/>
      <c r="Q10" s="5"/>
      <c r="R10" s="5"/>
      <c r="S10" s="5"/>
      <c r="U10" s="4" t="s">
        <v>22</v>
      </c>
      <c r="V10" s="4">
        <v>0.9</v>
      </c>
      <c r="W10" s="4">
        <v>0.5</v>
      </c>
      <c r="X10" s="4">
        <v>0.6</v>
      </c>
      <c r="Y10" s="4">
        <v>0.3</v>
      </c>
      <c r="Z10" s="6">
        <v>354.80401599999999</v>
      </c>
      <c r="AA10" s="4">
        <v>0</v>
      </c>
      <c r="AC10" s="4" t="s">
        <v>22</v>
      </c>
      <c r="AD10" s="4">
        <v>0.9</v>
      </c>
      <c r="AE10" s="4">
        <v>0.5</v>
      </c>
      <c r="AF10" s="4">
        <v>0.6</v>
      </c>
      <c r="AG10" s="4">
        <v>0.39</v>
      </c>
      <c r="AH10" s="8">
        <v>354.81280500000003</v>
      </c>
      <c r="AI10" s="4">
        <v>1E-3</v>
      </c>
      <c r="AJ10" s="5"/>
      <c r="AK10" s="5"/>
      <c r="AL10" s="5"/>
      <c r="AM10" s="5"/>
      <c r="AO10" s="4" t="s">
        <v>23</v>
      </c>
      <c r="AP10" s="4">
        <v>0.9</v>
      </c>
      <c r="AQ10" s="4">
        <v>0.5</v>
      </c>
      <c r="AR10" s="4">
        <v>0.6</v>
      </c>
      <c r="AS10" s="4">
        <v>0.3</v>
      </c>
      <c r="AT10" s="6">
        <v>720.77105700000004</v>
      </c>
      <c r="AU10" s="4">
        <v>4.0000000000000001E-3</v>
      </c>
      <c r="AW10" s="4" t="s">
        <v>23</v>
      </c>
      <c r="AX10" s="4">
        <v>0.9</v>
      </c>
      <c r="AY10" s="4">
        <v>0.5</v>
      </c>
      <c r="AZ10" s="4">
        <v>0.6</v>
      </c>
      <c r="BA10" s="4">
        <v>0.33</v>
      </c>
      <c r="BB10" s="4">
        <v>736.36047399999995</v>
      </c>
      <c r="BC10" s="4">
        <v>7.0000000000000001E-3</v>
      </c>
      <c r="BD10" s="5"/>
      <c r="BE10" s="5"/>
      <c r="BF10" s="5"/>
      <c r="BG10" s="5"/>
      <c r="BI10" s="4" t="s">
        <v>23</v>
      </c>
      <c r="BJ10" s="4">
        <v>0.9</v>
      </c>
      <c r="BK10" s="4">
        <v>0.5</v>
      </c>
      <c r="BL10" s="4">
        <v>0.6</v>
      </c>
      <c r="BM10" s="4">
        <v>0.3</v>
      </c>
      <c r="BN10" s="6">
        <v>692.03894000000003</v>
      </c>
      <c r="BO10" s="4">
        <v>3.0000000000000001E-3</v>
      </c>
      <c r="BQ10" s="4" t="s">
        <v>23</v>
      </c>
      <c r="BR10" s="4">
        <v>0.9</v>
      </c>
      <c r="BS10" s="4">
        <v>0.5</v>
      </c>
      <c r="BT10" s="4">
        <v>0.6</v>
      </c>
      <c r="BU10" s="4">
        <v>0.3</v>
      </c>
      <c r="BV10" s="4">
        <v>703.99188200000003</v>
      </c>
      <c r="BW10" s="4">
        <v>5.0000000000000001E-3</v>
      </c>
      <c r="BX10" s="5"/>
      <c r="BY10" s="5"/>
      <c r="BZ10" s="5"/>
      <c r="CA10" s="5"/>
    </row>
    <row r="11" spans="1:79" x14ac:dyDescent="0.3">
      <c r="A11" s="4" t="s">
        <v>24</v>
      </c>
      <c r="B11" s="4">
        <v>0.9</v>
      </c>
      <c r="C11" s="4">
        <v>0.5</v>
      </c>
      <c r="D11" s="4">
        <v>0.6</v>
      </c>
      <c r="E11" s="4">
        <v>0.3</v>
      </c>
      <c r="F11" s="6">
        <v>428.24426299999999</v>
      </c>
      <c r="G11" s="4">
        <v>1E-3</v>
      </c>
      <c r="I11" s="4" t="s">
        <v>24</v>
      </c>
      <c r="J11" s="4">
        <v>0.9</v>
      </c>
      <c r="K11" s="4">
        <v>0.5</v>
      </c>
      <c r="L11" s="4">
        <v>0.6</v>
      </c>
      <c r="M11" s="4">
        <v>0.35</v>
      </c>
      <c r="N11" s="4">
        <v>458.79028299999999</v>
      </c>
      <c r="O11" s="4">
        <v>1E-3</v>
      </c>
      <c r="P11" s="5"/>
      <c r="Q11" s="5"/>
      <c r="R11" s="5"/>
      <c r="S11" s="5"/>
      <c r="U11" s="4" t="s">
        <v>24</v>
      </c>
      <c r="V11" s="4">
        <v>0.9</v>
      </c>
      <c r="W11" s="4">
        <v>0.5</v>
      </c>
      <c r="X11" s="4">
        <v>0.6</v>
      </c>
      <c r="Y11" s="4">
        <v>0.3</v>
      </c>
      <c r="Z11" s="6">
        <v>413.58767699999999</v>
      </c>
      <c r="AA11" s="4">
        <v>1E-3</v>
      </c>
      <c r="AC11" s="4" t="s">
        <v>24</v>
      </c>
      <c r="AD11" s="4">
        <v>0.9</v>
      </c>
      <c r="AE11" s="4">
        <v>0.5</v>
      </c>
      <c r="AF11" s="4">
        <v>0.6</v>
      </c>
      <c r="AG11" s="4">
        <v>0.37</v>
      </c>
      <c r="AH11" s="8">
        <v>413.71029700000003</v>
      </c>
      <c r="AI11" s="4">
        <v>0</v>
      </c>
      <c r="AJ11" s="5"/>
      <c r="AK11" s="5"/>
      <c r="AL11" s="5"/>
      <c r="AM11" s="5"/>
      <c r="AO11" s="4" t="s">
        <v>25</v>
      </c>
      <c r="AP11" s="4">
        <v>0.9</v>
      </c>
      <c r="AQ11" s="4">
        <v>0.5</v>
      </c>
      <c r="AR11" s="4">
        <v>0.6</v>
      </c>
      <c r="AS11" s="4">
        <v>0.3</v>
      </c>
      <c r="AT11" s="6">
        <v>733.290344</v>
      </c>
      <c r="AU11" s="4">
        <v>3.0000000000000001E-3</v>
      </c>
      <c r="AW11" s="4" t="s">
        <v>25</v>
      </c>
      <c r="AX11" s="4">
        <v>0.9</v>
      </c>
      <c r="AY11" s="4">
        <v>0.5</v>
      </c>
      <c r="AZ11" s="4">
        <v>0.6</v>
      </c>
      <c r="BA11" s="4">
        <v>0.34</v>
      </c>
      <c r="BB11" s="4">
        <v>741.91430700000001</v>
      </c>
      <c r="BC11" s="4">
        <v>5.0000000000000001E-3</v>
      </c>
      <c r="BD11" s="5"/>
      <c r="BE11" s="5"/>
      <c r="BF11" s="5"/>
      <c r="BG11" s="5"/>
      <c r="BI11" s="4" t="s">
        <v>25</v>
      </c>
      <c r="BJ11" s="4">
        <v>0.9</v>
      </c>
      <c r="BK11" s="4">
        <v>0.5</v>
      </c>
      <c r="BL11" s="4">
        <v>0.6</v>
      </c>
      <c r="BM11" s="4">
        <v>0.3</v>
      </c>
      <c r="BN11" s="6">
        <v>711.53033400000004</v>
      </c>
      <c r="BO11" s="4">
        <v>3.0000000000000001E-3</v>
      </c>
      <c r="BQ11" s="4" t="s">
        <v>25</v>
      </c>
      <c r="BR11" s="4">
        <v>0.9</v>
      </c>
      <c r="BS11" s="4">
        <v>0.5</v>
      </c>
      <c r="BT11" s="4">
        <v>0.6</v>
      </c>
      <c r="BU11" s="4">
        <v>0.3</v>
      </c>
      <c r="BV11" s="4">
        <v>721.39190699999995</v>
      </c>
      <c r="BW11" s="4">
        <v>5.0000000000000001E-3</v>
      </c>
      <c r="BX11" s="5"/>
      <c r="BY11" s="5"/>
      <c r="BZ11" s="5"/>
      <c r="CA11" s="5"/>
    </row>
    <row r="12" spans="1:79" x14ac:dyDescent="0.3">
      <c r="A12" s="4" t="s">
        <v>26</v>
      </c>
      <c r="B12" s="4">
        <v>0.9</v>
      </c>
      <c r="C12" s="4">
        <v>0.5</v>
      </c>
      <c r="D12" s="4">
        <v>0.6</v>
      </c>
      <c r="E12" s="4">
        <v>0.3</v>
      </c>
      <c r="F12" s="6">
        <v>411.07409699999999</v>
      </c>
      <c r="G12" s="4">
        <v>1E-3</v>
      </c>
      <c r="I12" s="4" t="s">
        <v>26</v>
      </c>
      <c r="J12" s="4">
        <v>0.9</v>
      </c>
      <c r="K12" s="4">
        <v>0.5</v>
      </c>
      <c r="L12" s="4">
        <v>0.6</v>
      </c>
      <c r="M12" s="4">
        <v>0.57999999999999996</v>
      </c>
      <c r="N12" s="4">
        <v>413.77310199999999</v>
      </c>
      <c r="O12" s="4">
        <v>1E-3</v>
      </c>
      <c r="P12" s="5"/>
      <c r="Q12" s="5"/>
      <c r="R12" s="5"/>
      <c r="S12" s="5"/>
      <c r="U12" s="4" t="s">
        <v>26</v>
      </c>
      <c r="V12" s="4">
        <v>0.9</v>
      </c>
      <c r="W12" s="4">
        <v>0.5</v>
      </c>
      <c r="X12" s="4">
        <v>0.6</v>
      </c>
      <c r="Y12" s="4">
        <v>0.3</v>
      </c>
      <c r="Z12" s="6">
        <v>387.96127300000001</v>
      </c>
      <c r="AA12" s="4">
        <v>1E-3</v>
      </c>
      <c r="AC12" s="4" t="s">
        <v>26</v>
      </c>
      <c r="AD12" s="4">
        <v>0.9</v>
      </c>
      <c r="AE12" s="4">
        <v>0.5</v>
      </c>
      <c r="AF12" s="4">
        <v>0.6</v>
      </c>
      <c r="AG12" s="4">
        <v>0.41</v>
      </c>
      <c r="AH12" s="4">
        <v>395.448486</v>
      </c>
      <c r="AI12" s="4">
        <v>1E-3</v>
      </c>
      <c r="AJ12" s="5"/>
      <c r="AK12" s="5"/>
      <c r="AL12" s="5"/>
      <c r="AM12" s="5"/>
      <c r="AO12" s="4" t="s">
        <v>27</v>
      </c>
      <c r="AP12" s="4">
        <v>0.9</v>
      </c>
      <c r="AQ12" s="4">
        <v>0.5</v>
      </c>
      <c r="AR12" s="4">
        <v>0.6</v>
      </c>
      <c r="AS12" s="4">
        <v>0.3</v>
      </c>
      <c r="AT12" s="6">
        <v>704.16943400000002</v>
      </c>
      <c r="AU12" s="4">
        <v>3.0000000000000001E-3</v>
      </c>
      <c r="AW12" s="4" t="s">
        <v>27</v>
      </c>
      <c r="AX12" s="4">
        <v>0.9</v>
      </c>
      <c r="AY12" s="4">
        <v>0.5</v>
      </c>
      <c r="AZ12" s="4">
        <v>0.6</v>
      </c>
      <c r="BA12" s="4">
        <v>0.3</v>
      </c>
      <c r="BB12" s="4">
        <v>724.55328399999996</v>
      </c>
      <c r="BC12" s="4">
        <v>6.0000000000000001E-3</v>
      </c>
      <c r="BD12" s="5"/>
      <c r="BE12" s="5"/>
      <c r="BF12" s="5"/>
      <c r="BG12" s="5"/>
      <c r="BI12" s="4" t="s">
        <v>27</v>
      </c>
      <c r="BJ12" s="4">
        <v>0.9</v>
      </c>
      <c r="BK12" s="4">
        <v>0.5</v>
      </c>
      <c r="BL12" s="4">
        <v>0.6</v>
      </c>
      <c r="BM12" s="4">
        <v>0.3</v>
      </c>
      <c r="BN12" s="6">
        <v>675.07019000000003</v>
      </c>
      <c r="BO12" s="4">
        <v>3.0000000000000001E-3</v>
      </c>
      <c r="BQ12" s="4" t="s">
        <v>27</v>
      </c>
      <c r="BR12" s="4">
        <v>0.9</v>
      </c>
      <c r="BS12" s="4">
        <v>0.5</v>
      </c>
      <c r="BT12" s="4">
        <v>0.6</v>
      </c>
      <c r="BU12" s="4">
        <v>0.31</v>
      </c>
      <c r="BV12" s="4">
        <v>694.88061500000003</v>
      </c>
      <c r="BW12" s="4">
        <v>5.0000000000000001E-3</v>
      </c>
      <c r="BX12" s="5"/>
      <c r="BY12" s="5"/>
      <c r="BZ12" s="5"/>
      <c r="CA12" s="5"/>
    </row>
    <row r="13" spans="1:79" x14ac:dyDescent="0.3">
      <c r="A13" s="4" t="s">
        <v>28</v>
      </c>
      <c r="B13" s="4">
        <v>0.9</v>
      </c>
      <c r="C13" s="4">
        <v>0.5</v>
      </c>
      <c r="D13" s="4">
        <v>0.6</v>
      </c>
      <c r="E13" s="4">
        <v>0.3</v>
      </c>
      <c r="F13" s="6">
        <v>338.95556599999998</v>
      </c>
      <c r="G13" s="4">
        <v>1E-3</v>
      </c>
      <c r="I13" s="4" t="s">
        <v>28</v>
      </c>
      <c r="J13" s="4">
        <v>0.9</v>
      </c>
      <c r="K13" s="4">
        <v>0.5</v>
      </c>
      <c r="L13" s="4">
        <v>0.6</v>
      </c>
      <c r="M13" s="4">
        <v>0.3</v>
      </c>
      <c r="N13" s="4">
        <v>342.79367100000002</v>
      </c>
      <c r="O13" s="4">
        <v>1E-3</v>
      </c>
      <c r="P13" s="5"/>
      <c r="Q13" s="5"/>
      <c r="R13" s="5"/>
      <c r="S13" s="5"/>
      <c r="U13" s="4" t="s">
        <v>28</v>
      </c>
      <c r="V13" s="4">
        <v>0.9</v>
      </c>
      <c r="W13" s="4">
        <v>0.5</v>
      </c>
      <c r="X13" s="4">
        <v>0.6</v>
      </c>
      <c r="Y13" s="4">
        <v>0.3</v>
      </c>
      <c r="Z13" s="6">
        <v>311.57052599999997</v>
      </c>
      <c r="AA13" s="4">
        <v>1E-3</v>
      </c>
      <c r="AC13" s="4" t="s">
        <v>28</v>
      </c>
      <c r="AD13" s="4">
        <v>0.9</v>
      </c>
      <c r="AE13" s="4">
        <v>0.5</v>
      </c>
      <c r="AF13" s="4">
        <v>0.6</v>
      </c>
      <c r="AG13" s="4">
        <v>0.32</v>
      </c>
      <c r="AH13" s="6">
        <v>311.57052599999997</v>
      </c>
      <c r="AI13" s="4">
        <v>1E-3</v>
      </c>
      <c r="AJ13" s="5"/>
      <c r="AK13" s="5"/>
      <c r="AL13" s="5"/>
      <c r="AM13" s="5"/>
      <c r="AO13" s="4" t="s">
        <v>29</v>
      </c>
      <c r="AP13" s="4">
        <v>0.9</v>
      </c>
      <c r="AQ13" s="4">
        <v>0.5</v>
      </c>
      <c r="AR13" s="4">
        <v>0.6</v>
      </c>
      <c r="AS13" s="4">
        <v>0.3</v>
      </c>
      <c r="AT13" s="4">
        <v>725.91839600000003</v>
      </c>
      <c r="AU13" s="4">
        <v>3.0000000000000001E-3</v>
      </c>
      <c r="AW13" s="4" t="s">
        <v>29</v>
      </c>
      <c r="AX13" s="4">
        <v>0.9</v>
      </c>
      <c r="AY13" s="4">
        <v>0.5</v>
      </c>
      <c r="AZ13" s="4">
        <v>0.6</v>
      </c>
      <c r="BA13" s="4">
        <v>0.3</v>
      </c>
      <c r="BB13" s="6">
        <v>717.01342799999998</v>
      </c>
      <c r="BC13" s="4">
        <v>6.0000000000000001E-3</v>
      </c>
      <c r="BD13" s="5"/>
      <c r="BE13" s="5"/>
      <c r="BF13" s="5"/>
      <c r="BG13" s="5"/>
      <c r="BI13" s="4" t="s">
        <v>29</v>
      </c>
      <c r="BJ13" s="4">
        <v>0.9</v>
      </c>
      <c r="BK13" s="4">
        <v>0.5</v>
      </c>
      <c r="BL13" s="4">
        <v>0.6</v>
      </c>
      <c r="BM13" s="4">
        <v>0.3</v>
      </c>
      <c r="BN13" s="6">
        <v>692.61828600000001</v>
      </c>
      <c r="BO13" s="4">
        <v>3.0000000000000001E-3</v>
      </c>
      <c r="BQ13" s="4" t="s">
        <v>29</v>
      </c>
      <c r="BR13" s="4">
        <v>0.9</v>
      </c>
      <c r="BS13" s="4">
        <v>0.5</v>
      </c>
      <c r="BT13" s="4">
        <v>0.6</v>
      </c>
      <c r="BU13" s="4">
        <v>0.3</v>
      </c>
      <c r="BV13" s="4">
        <v>708.32543899999996</v>
      </c>
      <c r="BW13" s="4">
        <v>4.0000000000000001E-3</v>
      </c>
      <c r="BX13" s="5"/>
      <c r="BY13" s="5"/>
      <c r="BZ13" s="5"/>
      <c r="CA13" s="5"/>
    </row>
    <row r="14" spans="1:79" x14ac:dyDescent="0.3">
      <c r="A14" s="4" t="s">
        <v>30</v>
      </c>
      <c r="B14" s="4">
        <v>0.9</v>
      </c>
      <c r="C14" s="4">
        <v>0.5</v>
      </c>
      <c r="D14" s="4">
        <v>0.6</v>
      </c>
      <c r="E14" s="4">
        <v>0.3</v>
      </c>
      <c r="F14" s="6">
        <v>485.22625699999998</v>
      </c>
      <c r="G14" s="4">
        <v>1E-3</v>
      </c>
      <c r="I14" s="4" t="s">
        <v>30</v>
      </c>
      <c r="J14" s="4">
        <v>0.9</v>
      </c>
      <c r="K14" s="4">
        <v>0.5</v>
      </c>
      <c r="L14" s="4">
        <v>0.6</v>
      </c>
      <c r="M14" s="4">
        <v>0.35</v>
      </c>
      <c r="N14" s="4">
        <v>513.706909</v>
      </c>
      <c r="O14" s="4">
        <v>1E-3</v>
      </c>
      <c r="P14" s="5"/>
      <c r="Q14" s="5"/>
      <c r="R14" s="5"/>
      <c r="S14" s="5"/>
      <c r="U14" s="4" t="s">
        <v>30</v>
      </c>
      <c r="V14" s="4">
        <v>0.9</v>
      </c>
      <c r="W14" s="4">
        <v>0.5</v>
      </c>
      <c r="X14" s="4">
        <v>0.6</v>
      </c>
      <c r="Y14" s="4">
        <v>0.3</v>
      </c>
      <c r="Z14" s="6">
        <v>463.24887100000001</v>
      </c>
      <c r="AA14" s="4">
        <v>0</v>
      </c>
      <c r="AC14" s="4" t="s">
        <v>30</v>
      </c>
      <c r="AD14" s="4">
        <v>0.9</v>
      </c>
      <c r="AE14" s="4">
        <v>0.5</v>
      </c>
      <c r="AF14" s="4">
        <v>0.6</v>
      </c>
      <c r="AG14" s="4">
        <v>0.48</v>
      </c>
      <c r="AH14" s="4">
        <v>506.281158</v>
      </c>
      <c r="AI14" s="4">
        <v>0</v>
      </c>
      <c r="AJ14" s="5"/>
      <c r="AK14" s="5"/>
      <c r="AL14" s="5"/>
      <c r="AM14" s="5"/>
      <c r="AO14" s="4" t="s">
        <v>31</v>
      </c>
      <c r="AP14" s="4">
        <v>0.9</v>
      </c>
      <c r="AQ14" s="4">
        <v>0.5</v>
      </c>
      <c r="AR14" s="4">
        <v>0.6</v>
      </c>
      <c r="AS14" s="4">
        <v>0.3</v>
      </c>
      <c r="AT14" s="4">
        <v>826.98053000000004</v>
      </c>
      <c r="AU14" s="4">
        <v>4.0000000000000001E-3</v>
      </c>
      <c r="AW14" s="4" t="s">
        <v>31</v>
      </c>
      <c r="AX14" s="4">
        <v>0.9</v>
      </c>
      <c r="AY14" s="4">
        <v>0.5</v>
      </c>
      <c r="AZ14" s="4">
        <v>0.6</v>
      </c>
      <c r="BA14" s="4">
        <v>0.3</v>
      </c>
      <c r="BB14" s="6">
        <v>824.06768799999998</v>
      </c>
      <c r="BC14" s="4">
        <v>6.0000000000000001E-3</v>
      </c>
      <c r="BD14" s="5"/>
      <c r="BE14" s="5"/>
      <c r="BF14" s="5"/>
      <c r="BG14" s="5"/>
      <c r="BI14" s="4" t="s">
        <v>31</v>
      </c>
      <c r="BJ14" s="4">
        <v>0.9</v>
      </c>
      <c r="BK14" s="4">
        <v>0.5</v>
      </c>
      <c r="BL14" s="4">
        <v>0.6</v>
      </c>
      <c r="BM14" s="4">
        <v>0.3</v>
      </c>
      <c r="BN14" s="6">
        <v>800.44757100000004</v>
      </c>
      <c r="BO14" s="4">
        <v>4.0000000000000001E-3</v>
      </c>
      <c r="BQ14" s="4" t="s">
        <v>31</v>
      </c>
      <c r="BR14" s="4">
        <v>0.9</v>
      </c>
      <c r="BS14" s="4">
        <v>0.5</v>
      </c>
      <c r="BT14" s="4">
        <v>0.6</v>
      </c>
      <c r="BU14" s="4">
        <v>0.32</v>
      </c>
      <c r="BV14" s="4">
        <v>833.41949499999998</v>
      </c>
      <c r="BW14" s="4">
        <v>8.9999999999999993E-3</v>
      </c>
      <c r="BX14" s="5"/>
      <c r="BY14" s="5"/>
      <c r="BZ14" s="5"/>
      <c r="CA14" s="5"/>
    </row>
    <row r="15" spans="1:79" x14ac:dyDescent="0.3">
      <c r="A15" s="4" t="s">
        <v>32</v>
      </c>
      <c r="B15" s="4">
        <v>0.9</v>
      </c>
      <c r="C15" s="4">
        <v>0.5</v>
      </c>
      <c r="D15" s="4">
        <v>0.6</v>
      </c>
      <c r="E15" s="4">
        <v>0.3</v>
      </c>
      <c r="F15" s="6">
        <v>448.001282</v>
      </c>
      <c r="G15" s="4">
        <v>1E-3</v>
      </c>
      <c r="I15" s="4" t="s">
        <v>32</v>
      </c>
      <c r="J15" s="4">
        <v>0.9</v>
      </c>
      <c r="K15" s="4">
        <v>0.5</v>
      </c>
      <c r="L15" s="4">
        <v>0.6</v>
      </c>
      <c r="M15" s="4">
        <v>0.33</v>
      </c>
      <c r="N15" s="4">
        <v>471.94580100000002</v>
      </c>
      <c r="O15" s="4">
        <v>1E-3</v>
      </c>
      <c r="P15" s="5"/>
      <c r="Q15" s="5"/>
      <c r="R15" s="5"/>
      <c r="S15" s="5"/>
      <c r="U15" s="4" t="s">
        <v>32</v>
      </c>
      <c r="V15" s="4">
        <v>0.9</v>
      </c>
      <c r="W15" s="4">
        <v>0.5</v>
      </c>
      <c r="X15" s="4">
        <v>0.6</v>
      </c>
      <c r="Y15" s="4">
        <v>0.3</v>
      </c>
      <c r="Z15" s="6">
        <v>425.74417099999999</v>
      </c>
      <c r="AA15" s="4">
        <v>1E-3</v>
      </c>
      <c r="AC15" s="4" t="s">
        <v>32</v>
      </c>
      <c r="AD15" s="4">
        <v>0.9</v>
      </c>
      <c r="AE15" s="4">
        <v>0.5</v>
      </c>
      <c r="AF15" s="4">
        <v>0.6</v>
      </c>
      <c r="AG15" s="4">
        <v>0.3</v>
      </c>
      <c r="AH15" s="4">
        <v>435.57107500000001</v>
      </c>
      <c r="AI15" s="4">
        <v>1E-3</v>
      </c>
      <c r="AJ15" s="5"/>
      <c r="AK15" s="5"/>
      <c r="AL15" s="5"/>
      <c r="AM15" s="5"/>
      <c r="AO15" s="4" t="s">
        <v>33</v>
      </c>
      <c r="AP15" s="4">
        <v>0.9</v>
      </c>
      <c r="AQ15" s="4">
        <v>0.5</v>
      </c>
      <c r="AR15" s="4">
        <v>0.6</v>
      </c>
      <c r="AS15" s="4">
        <v>0.3</v>
      </c>
      <c r="AT15" s="6">
        <v>759.88958700000001</v>
      </c>
      <c r="AU15" s="4">
        <v>3.0000000000000001E-3</v>
      </c>
      <c r="AW15" s="4" t="s">
        <v>33</v>
      </c>
      <c r="AX15" s="4">
        <v>0.9</v>
      </c>
      <c r="AY15" s="4">
        <v>0.5</v>
      </c>
      <c r="AZ15" s="4">
        <v>0.6</v>
      </c>
      <c r="BA15" s="4">
        <v>0.3</v>
      </c>
      <c r="BB15" s="4">
        <v>775.71832300000005</v>
      </c>
      <c r="BC15" s="4">
        <v>4.0000000000000001E-3</v>
      </c>
      <c r="BD15" s="5"/>
      <c r="BE15" s="5"/>
      <c r="BF15" s="5"/>
      <c r="BG15" s="5"/>
      <c r="BI15" s="4" t="s">
        <v>33</v>
      </c>
      <c r="BJ15" s="4">
        <v>0.9</v>
      </c>
      <c r="BK15" s="4">
        <v>0.5</v>
      </c>
      <c r="BL15" s="4">
        <v>0.6</v>
      </c>
      <c r="BM15" s="4">
        <v>0.3</v>
      </c>
      <c r="BN15" s="6">
        <v>725.22882100000004</v>
      </c>
      <c r="BO15" s="4">
        <v>4.0000000000000001E-3</v>
      </c>
      <c r="BQ15" s="4" t="s">
        <v>33</v>
      </c>
      <c r="BR15" s="4">
        <v>0.9</v>
      </c>
      <c r="BS15" s="4">
        <v>0.5</v>
      </c>
      <c r="BT15" s="4">
        <v>0.6</v>
      </c>
      <c r="BU15" s="4">
        <v>0.3</v>
      </c>
      <c r="BV15" s="4">
        <v>776.71893299999999</v>
      </c>
      <c r="BW15" s="4">
        <v>5.0000000000000001E-3</v>
      </c>
      <c r="BX15" s="5"/>
      <c r="BY15" s="5"/>
      <c r="BZ15" s="5"/>
      <c r="CA15" s="5"/>
    </row>
    <row r="16" spans="1:79" x14ac:dyDescent="0.3">
      <c r="A16" s="4" t="s">
        <v>34</v>
      </c>
      <c r="B16" s="4">
        <v>0.9</v>
      </c>
      <c r="C16" s="4">
        <v>0.5</v>
      </c>
      <c r="D16" s="4">
        <v>0.6</v>
      </c>
      <c r="E16" s="4">
        <v>0.3</v>
      </c>
      <c r="F16" s="6">
        <v>402.28042599999998</v>
      </c>
      <c r="G16" s="4">
        <v>1E-3</v>
      </c>
      <c r="I16" s="4" t="s">
        <v>34</v>
      </c>
      <c r="J16" s="4">
        <v>0.9</v>
      </c>
      <c r="K16" s="4">
        <v>0.5</v>
      </c>
      <c r="L16" s="4">
        <v>0.6</v>
      </c>
      <c r="M16" s="4">
        <v>0.33</v>
      </c>
      <c r="N16" s="4">
        <v>409.16146900000001</v>
      </c>
      <c r="O16" s="4">
        <v>0</v>
      </c>
      <c r="P16" s="5"/>
      <c r="Q16" s="5"/>
      <c r="R16" s="5"/>
      <c r="S16" s="5"/>
      <c r="U16" s="4" t="s">
        <v>34</v>
      </c>
      <c r="V16" s="4">
        <v>0.9</v>
      </c>
      <c r="W16" s="4">
        <v>0.5</v>
      </c>
      <c r="X16" s="4">
        <v>0.6</v>
      </c>
      <c r="Y16" s="4">
        <v>0.3</v>
      </c>
      <c r="Z16" s="6">
        <v>393.565247</v>
      </c>
      <c r="AA16" s="4">
        <v>0</v>
      </c>
      <c r="AC16" s="4" t="s">
        <v>34</v>
      </c>
      <c r="AD16" s="4">
        <v>0.9</v>
      </c>
      <c r="AE16" s="4">
        <v>0.5</v>
      </c>
      <c r="AF16" s="4">
        <v>0.6</v>
      </c>
      <c r="AG16" s="4">
        <v>0.32</v>
      </c>
      <c r="AH16" s="6">
        <v>393.565247</v>
      </c>
      <c r="AI16" s="4">
        <v>1E-3</v>
      </c>
      <c r="AJ16" s="5"/>
      <c r="AK16" s="5"/>
      <c r="AL16" s="5"/>
      <c r="AM16" s="5"/>
      <c r="AO16" s="4" t="s">
        <v>35</v>
      </c>
      <c r="AP16" s="4">
        <v>0.9</v>
      </c>
      <c r="AQ16" s="4">
        <v>0.5</v>
      </c>
      <c r="AR16" s="4">
        <v>0.6</v>
      </c>
      <c r="AS16" s="4">
        <v>0.3</v>
      </c>
      <c r="AT16" s="6">
        <v>779.29614300000003</v>
      </c>
      <c r="AU16" s="4">
        <v>4.0000000000000001E-3</v>
      </c>
      <c r="AW16" s="4" t="s">
        <v>35</v>
      </c>
      <c r="AX16" s="4">
        <v>0.9</v>
      </c>
      <c r="AY16" s="4">
        <v>0.5</v>
      </c>
      <c r="AZ16" s="4">
        <v>0.6</v>
      </c>
      <c r="BA16" s="4">
        <v>0.3</v>
      </c>
      <c r="BB16" s="4">
        <v>809.42425500000002</v>
      </c>
      <c r="BC16" s="4">
        <v>4.0000000000000001E-3</v>
      </c>
      <c r="BD16" s="5"/>
      <c r="BE16" s="5"/>
      <c r="BF16" s="5"/>
      <c r="BG16" s="5"/>
      <c r="BI16" s="4" t="s">
        <v>35</v>
      </c>
      <c r="BJ16" s="4">
        <v>0.9</v>
      </c>
      <c r="BK16" s="4">
        <v>0.5</v>
      </c>
      <c r="BL16" s="4">
        <v>0.6</v>
      </c>
      <c r="BM16" s="4">
        <v>0.3</v>
      </c>
      <c r="BN16" s="6">
        <v>758.28533900000002</v>
      </c>
      <c r="BO16" s="4">
        <v>4.0000000000000001E-3</v>
      </c>
      <c r="BQ16" s="4" t="s">
        <v>35</v>
      </c>
      <c r="BR16" s="4">
        <v>0.9</v>
      </c>
      <c r="BS16" s="4">
        <v>0.5</v>
      </c>
      <c r="BT16" s="4">
        <v>0.6</v>
      </c>
      <c r="BU16" s="4">
        <v>0.3</v>
      </c>
      <c r="BV16" s="4">
        <v>786.37359600000002</v>
      </c>
      <c r="BW16" s="4">
        <v>7.0000000000000001E-3</v>
      </c>
      <c r="BX16" s="5"/>
      <c r="BY16" s="5"/>
      <c r="BZ16" s="5"/>
      <c r="CA16" s="5"/>
    </row>
    <row r="17" spans="1:79" x14ac:dyDescent="0.3">
      <c r="A17" s="4" t="s">
        <v>36</v>
      </c>
      <c r="B17" s="4">
        <v>0.9</v>
      </c>
      <c r="C17" s="4">
        <v>0.5</v>
      </c>
      <c r="D17" s="4">
        <v>0.6</v>
      </c>
      <c r="E17" s="4">
        <v>0.3</v>
      </c>
      <c r="F17" s="6">
        <v>474.96545400000002</v>
      </c>
      <c r="G17" s="4">
        <v>0</v>
      </c>
      <c r="I17" s="4" t="s">
        <v>36</v>
      </c>
      <c r="J17" s="4">
        <v>0.9</v>
      </c>
      <c r="K17" s="4">
        <v>0.5</v>
      </c>
      <c r="L17" s="4">
        <v>0.6</v>
      </c>
      <c r="M17" s="4">
        <v>0.4</v>
      </c>
      <c r="N17" s="4">
        <v>510.84286500000002</v>
      </c>
      <c r="O17" s="4">
        <v>0</v>
      </c>
      <c r="P17" s="5"/>
      <c r="Q17" s="5"/>
      <c r="R17" s="5"/>
      <c r="S17" s="5"/>
      <c r="U17" s="4" t="s">
        <v>36</v>
      </c>
      <c r="V17" s="4">
        <v>0.9</v>
      </c>
      <c r="W17" s="4">
        <v>0.5</v>
      </c>
      <c r="X17" s="4">
        <v>0.6</v>
      </c>
      <c r="Y17" s="4">
        <v>0.3</v>
      </c>
      <c r="Z17" s="6">
        <v>447.39724699999999</v>
      </c>
      <c r="AA17" s="4">
        <v>1E-3</v>
      </c>
      <c r="AC17" s="4" t="s">
        <v>36</v>
      </c>
      <c r="AD17" s="4">
        <v>0.9</v>
      </c>
      <c r="AE17" s="4">
        <v>0.5</v>
      </c>
      <c r="AF17" s="4">
        <v>0.6</v>
      </c>
      <c r="AG17" s="4">
        <v>0.32</v>
      </c>
      <c r="AH17" s="4">
        <v>471.080963</v>
      </c>
      <c r="AI17" s="4">
        <v>1E-3</v>
      </c>
      <c r="AJ17" s="5"/>
      <c r="AK17" s="5"/>
      <c r="AL17" s="5"/>
      <c r="AM17" s="5"/>
      <c r="AO17" s="4" t="s">
        <v>37</v>
      </c>
      <c r="AP17" s="4">
        <v>0.9</v>
      </c>
      <c r="AQ17" s="4">
        <v>0.5</v>
      </c>
      <c r="AR17" s="4">
        <v>0.6</v>
      </c>
      <c r="AS17" s="4">
        <v>0.3</v>
      </c>
      <c r="AT17" s="6">
        <v>771.72601299999997</v>
      </c>
      <c r="AU17" s="4">
        <v>3.0000000000000001E-3</v>
      </c>
      <c r="AW17" s="4" t="s">
        <v>37</v>
      </c>
      <c r="AX17" s="4">
        <v>0.9</v>
      </c>
      <c r="AY17" s="4">
        <v>0.5</v>
      </c>
      <c r="AZ17" s="4">
        <v>0.6</v>
      </c>
      <c r="BA17" s="4">
        <v>0.32</v>
      </c>
      <c r="BB17" s="4">
        <v>809.16980000000001</v>
      </c>
      <c r="BC17" s="4">
        <v>5.0000000000000001E-3</v>
      </c>
      <c r="BD17" s="5"/>
      <c r="BE17" s="5"/>
      <c r="BF17" s="5"/>
      <c r="BG17" s="5"/>
      <c r="BI17" s="4" t="s">
        <v>37</v>
      </c>
      <c r="BJ17" s="4">
        <v>0.9</v>
      </c>
      <c r="BK17" s="4">
        <v>0.5</v>
      </c>
      <c r="BL17" s="4">
        <v>0.6</v>
      </c>
      <c r="BM17" s="4">
        <v>0.3</v>
      </c>
      <c r="BN17" s="6">
        <v>760.30242899999996</v>
      </c>
      <c r="BO17" s="4">
        <v>4.0000000000000001E-3</v>
      </c>
      <c r="BQ17" s="4" t="s">
        <v>37</v>
      </c>
      <c r="BR17" s="4">
        <v>0.9</v>
      </c>
      <c r="BS17" s="4">
        <v>0.5</v>
      </c>
      <c r="BT17" s="4">
        <v>0.6</v>
      </c>
      <c r="BU17" s="4">
        <v>0.4</v>
      </c>
      <c r="BV17" s="8">
        <v>760.75109899999995</v>
      </c>
      <c r="BW17" s="4">
        <v>5.0000000000000001E-3</v>
      </c>
      <c r="BX17" s="5"/>
      <c r="BY17" s="5"/>
      <c r="BZ17" s="5"/>
      <c r="CA17" s="5"/>
    </row>
    <row r="18" spans="1:79" x14ac:dyDescent="0.3">
      <c r="A18" s="4" t="s">
        <v>38</v>
      </c>
      <c r="B18" s="4">
        <v>0.9</v>
      </c>
      <c r="C18" s="4">
        <v>0.5</v>
      </c>
      <c r="D18" s="4">
        <v>0.6</v>
      </c>
      <c r="E18" s="4">
        <v>0.3</v>
      </c>
      <c r="F18" s="6">
        <v>434.000427</v>
      </c>
      <c r="G18" s="4">
        <v>0</v>
      </c>
      <c r="I18" s="4" t="s">
        <v>38</v>
      </c>
      <c r="J18" s="4">
        <v>0.9</v>
      </c>
      <c r="K18" s="4">
        <v>0.5</v>
      </c>
      <c r="L18" s="4">
        <v>0.6</v>
      </c>
      <c r="M18" s="4">
        <v>0.34</v>
      </c>
      <c r="N18" s="4">
        <v>463.072205</v>
      </c>
      <c r="O18" s="4">
        <v>1E-3</v>
      </c>
      <c r="P18" s="5"/>
      <c r="Q18" s="5"/>
      <c r="R18" s="5"/>
      <c r="S18" s="5"/>
      <c r="U18" s="4" t="s">
        <v>38</v>
      </c>
      <c r="V18" s="4">
        <v>0.9</v>
      </c>
      <c r="W18" s="4">
        <v>0.5</v>
      </c>
      <c r="X18" s="4">
        <v>0.6</v>
      </c>
      <c r="Y18" s="4">
        <v>0.3</v>
      </c>
      <c r="Z18" s="6">
        <v>420.77505500000001</v>
      </c>
      <c r="AA18" s="4">
        <v>0</v>
      </c>
      <c r="AC18" s="4" t="s">
        <v>38</v>
      </c>
      <c r="AD18" s="4">
        <v>0.9</v>
      </c>
      <c r="AE18" s="4">
        <v>0.5</v>
      </c>
      <c r="AF18" s="4">
        <v>0.6</v>
      </c>
      <c r="AG18" s="4">
        <v>0.36</v>
      </c>
      <c r="AH18" s="4">
        <v>428.46099900000002</v>
      </c>
      <c r="AI18" s="4">
        <v>1E-3</v>
      </c>
      <c r="AJ18" s="5"/>
      <c r="AK18" s="5"/>
      <c r="AL18" s="5"/>
      <c r="AM18" s="5"/>
      <c r="AO18" s="4" t="s">
        <v>39</v>
      </c>
      <c r="AP18" s="4">
        <v>0.9</v>
      </c>
      <c r="AQ18" s="4">
        <v>0.5</v>
      </c>
      <c r="AR18" s="4">
        <v>0.6</v>
      </c>
      <c r="AS18" s="4">
        <v>0.3</v>
      </c>
      <c r="AT18" s="6">
        <v>770.44561799999997</v>
      </c>
      <c r="AU18" s="4">
        <v>3.0000000000000001E-3</v>
      </c>
      <c r="AW18" s="4" t="s">
        <v>39</v>
      </c>
      <c r="AX18" s="4">
        <v>0.9</v>
      </c>
      <c r="AY18" s="4">
        <v>0.5</v>
      </c>
      <c r="AZ18" s="4">
        <v>0.6</v>
      </c>
      <c r="BA18" s="4">
        <v>0.3</v>
      </c>
      <c r="BB18" s="4">
        <v>777.57501200000002</v>
      </c>
      <c r="BC18" s="4">
        <v>4.0000000000000001E-3</v>
      </c>
      <c r="BD18" s="5"/>
      <c r="BE18" s="5"/>
      <c r="BF18" s="5"/>
      <c r="BG18" s="5"/>
      <c r="BI18" s="4" t="s">
        <v>39</v>
      </c>
      <c r="BJ18" s="4">
        <v>0.9</v>
      </c>
      <c r="BK18" s="4">
        <v>0.5</v>
      </c>
      <c r="BL18" s="4">
        <v>0.6</v>
      </c>
      <c r="BM18" s="4">
        <v>0.3</v>
      </c>
      <c r="BN18" s="6">
        <v>746.59356700000001</v>
      </c>
      <c r="BO18" s="4">
        <v>4.0000000000000001E-3</v>
      </c>
      <c r="BQ18" s="4" t="s">
        <v>39</v>
      </c>
      <c r="BR18" s="4">
        <v>0.9</v>
      </c>
      <c r="BS18" s="4">
        <v>0.5</v>
      </c>
      <c r="BT18" s="4">
        <v>0.6</v>
      </c>
      <c r="BU18" s="4">
        <v>0.31</v>
      </c>
      <c r="BV18" s="4">
        <v>760.90551800000003</v>
      </c>
      <c r="BW18" s="4">
        <v>5.0000000000000001E-3</v>
      </c>
      <c r="BX18" s="5"/>
      <c r="BY18" s="5"/>
      <c r="BZ18" s="5"/>
      <c r="CA18" s="5"/>
    </row>
    <row r="19" spans="1:79" x14ac:dyDescent="0.3">
      <c r="A19" s="4" t="s">
        <v>40</v>
      </c>
      <c r="B19" s="4">
        <v>0.9</v>
      </c>
      <c r="C19" s="4">
        <v>0.5</v>
      </c>
      <c r="D19" s="4">
        <v>0.6</v>
      </c>
      <c r="E19" s="4">
        <v>0.3</v>
      </c>
      <c r="F19" s="6">
        <v>399.08822600000002</v>
      </c>
      <c r="G19" s="4">
        <v>1E-3</v>
      </c>
      <c r="I19" s="4" t="s">
        <v>40</v>
      </c>
      <c r="J19" s="4">
        <v>0.9</v>
      </c>
      <c r="K19" s="4">
        <v>0.5</v>
      </c>
      <c r="L19" s="4">
        <v>0.6</v>
      </c>
      <c r="M19" s="4">
        <v>0.32</v>
      </c>
      <c r="N19" s="4">
        <v>401.01702899999998</v>
      </c>
      <c r="O19" s="4">
        <v>1E-3</v>
      </c>
      <c r="P19" s="5"/>
      <c r="Q19" s="5"/>
      <c r="R19" s="5"/>
      <c r="S19" s="5"/>
      <c r="U19" s="4" t="s">
        <v>40</v>
      </c>
      <c r="V19" s="4">
        <v>0.9</v>
      </c>
      <c r="W19" s="4">
        <v>0.5</v>
      </c>
      <c r="X19" s="4">
        <v>0.6</v>
      </c>
      <c r="Y19" s="4">
        <v>0.3</v>
      </c>
      <c r="Z19" s="6">
        <v>380.45025600000002</v>
      </c>
      <c r="AA19" s="4">
        <v>1E-3</v>
      </c>
      <c r="AC19" s="4" t="s">
        <v>40</v>
      </c>
      <c r="AD19" s="4">
        <v>0.9</v>
      </c>
      <c r="AE19" s="4">
        <v>0.5</v>
      </c>
      <c r="AF19" s="4">
        <v>0.6</v>
      </c>
      <c r="AG19" s="4">
        <v>0.34</v>
      </c>
      <c r="AH19" s="6">
        <v>380.45025600000002</v>
      </c>
      <c r="AI19" s="4">
        <v>1E-3</v>
      </c>
      <c r="AJ19" s="5"/>
      <c r="AK19" s="5"/>
      <c r="AL19" s="5"/>
      <c r="AM19" s="5"/>
      <c r="AO19" s="4" t="s">
        <v>41</v>
      </c>
      <c r="AP19" s="4">
        <v>0.9</v>
      </c>
      <c r="AQ19" s="4">
        <v>0.5</v>
      </c>
      <c r="AR19" s="4">
        <v>0.6</v>
      </c>
      <c r="AS19" s="4">
        <v>0.3</v>
      </c>
      <c r="AT19" s="6">
        <v>860.73877000000005</v>
      </c>
      <c r="AU19" s="4">
        <v>4.0000000000000001E-3</v>
      </c>
      <c r="AW19" s="4" t="s">
        <v>41</v>
      </c>
      <c r="AX19" s="4">
        <v>0.9</v>
      </c>
      <c r="AY19" s="4">
        <v>0.5</v>
      </c>
      <c r="AZ19" s="4">
        <v>0.6</v>
      </c>
      <c r="BA19" s="4">
        <v>0.32</v>
      </c>
      <c r="BB19" s="4">
        <v>926.06256099999996</v>
      </c>
      <c r="BC19" s="4">
        <v>5.0000000000000001E-3</v>
      </c>
      <c r="BD19" s="5"/>
      <c r="BE19" s="5"/>
      <c r="BF19" s="5"/>
      <c r="BG19" s="5"/>
      <c r="BI19" s="4" t="s">
        <v>41</v>
      </c>
      <c r="BJ19" s="4">
        <v>0.9</v>
      </c>
      <c r="BK19" s="4">
        <v>0.5</v>
      </c>
      <c r="BL19" s="4">
        <v>0.6</v>
      </c>
      <c r="BM19" s="4">
        <v>0.3</v>
      </c>
      <c r="BN19" s="6">
        <v>852.54357900000002</v>
      </c>
      <c r="BO19" s="4">
        <v>4.0000000000000001E-3</v>
      </c>
      <c r="BQ19" s="4" t="s">
        <v>41</v>
      </c>
      <c r="BR19" s="4">
        <v>0.9</v>
      </c>
      <c r="BS19" s="4">
        <v>0.5</v>
      </c>
      <c r="BT19" s="4">
        <v>0.6</v>
      </c>
      <c r="BU19" s="4">
        <v>0.35</v>
      </c>
      <c r="BV19" s="4">
        <v>879.19104000000004</v>
      </c>
      <c r="BW19" s="4">
        <v>5.0000000000000001E-3</v>
      </c>
      <c r="BX19" s="5"/>
      <c r="BY19" s="5"/>
      <c r="BZ19" s="5"/>
      <c r="CA19" s="5"/>
    </row>
    <row r="20" spans="1:79" x14ac:dyDescent="0.3">
      <c r="A20" s="4" t="s">
        <v>42</v>
      </c>
      <c r="B20" s="4">
        <v>0.9</v>
      </c>
      <c r="C20" s="4">
        <v>0.5</v>
      </c>
      <c r="D20" s="4">
        <v>0.6</v>
      </c>
      <c r="E20" s="4">
        <v>0.3</v>
      </c>
      <c r="F20" s="6">
        <v>412.92742900000002</v>
      </c>
      <c r="G20" s="4">
        <v>1E-3</v>
      </c>
      <c r="I20" s="4" t="s">
        <v>42</v>
      </c>
      <c r="J20" s="4">
        <v>0.9</v>
      </c>
      <c r="K20" s="4">
        <v>0.5</v>
      </c>
      <c r="L20" s="4">
        <v>0.6</v>
      </c>
      <c r="M20" s="4">
        <v>0.35</v>
      </c>
      <c r="N20" s="4">
        <v>423.66629</v>
      </c>
      <c r="O20" s="4">
        <v>1E-3</v>
      </c>
      <c r="P20" s="5"/>
      <c r="Q20" s="5"/>
      <c r="R20" s="5"/>
      <c r="S20" s="5"/>
      <c r="U20" s="4" t="s">
        <v>42</v>
      </c>
      <c r="V20" s="4">
        <v>0.9</v>
      </c>
      <c r="W20" s="4">
        <v>0.5</v>
      </c>
      <c r="X20" s="4">
        <v>0.6</v>
      </c>
      <c r="Y20" s="4">
        <v>0.3</v>
      </c>
      <c r="Z20" s="6">
        <v>400.96005200000002</v>
      </c>
      <c r="AA20" s="4">
        <v>1E-3</v>
      </c>
      <c r="AC20" s="4" t="s">
        <v>42</v>
      </c>
      <c r="AD20" s="4">
        <v>0.9</v>
      </c>
      <c r="AE20" s="4">
        <v>0.5</v>
      </c>
      <c r="AF20" s="4">
        <v>0.6</v>
      </c>
      <c r="AG20" s="4">
        <v>0.34</v>
      </c>
      <c r="AH20" s="6">
        <v>400.96005200000002</v>
      </c>
      <c r="AI20" s="4">
        <v>1E-3</v>
      </c>
      <c r="AJ20" s="5"/>
      <c r="AK20" s="5"/>
      <c r="AL20" s="5"/>
      <c r="AM20" s="5"/>
      <c r="AO20" s="4" t="s">
        <v>43</v>
      </c>
      <c r="AP20" s="4">
        <v>0.9</v>
      </c>
      <c r="AQ20" s="4">
        <v>0.5</v>
      </c>
      <c r="AR20" s="4">
        <v>0.6</v>
      </c>
      <c r="AS20" s="4">
        <v>0.3</v>
      </c>
      <c r="AT20" s="6">
        <v>804.58306900000002</v>
      </c>
      <c r="AU20" s="4">
        <v>3.0000000000000001E-3</v>
      </c>
      <c r="AW20" s="4" t="s">
        <v>43</v>
      </c>
      <c r="AX20" s="4">
        <v>0.9</v>
      </c>
      <c r="AY20" s="4">
        <v>0.5</v>
      </c>
      <c r="AZ20" s="4">
        <v>0.6</v>
      </c>
      <c r="BA20" s="4">
        <v>0.33</v>
      </c>
      <c r="BB20" s="4">
        <v>853.77990699999998</v>
      </c>
      <c r="BC20" s="4">
        <v>5.0000000000000001E-3</v>
      </c>
      <c r="BD20" s="5"/>
      <c r="BE20" s="5"/>
      <c r="BF20" s="5"/>
      <c r="BG20" s="5"/>
      <c r="BI20" s="4" t="s">
        <v>43</v>
      </c>
      <c r="BJ20" s="4">
        <v>0.9</v>
      </c>
      <c r="BK20" s="4">
        <v>0.5</v>
      </c>
      <c r="BL20" s="4">
        <v>0.6</v>
      </c>
      <c r="BM20" s="4">
        <v>0.3</v>
      </c>
      <c r="BN20" s="6">
        <v>754.16351299999997</v>
      </c>
      <c r="BO20" s="4">
        <v>3.0000000000000001E-3</v>
      </c>
      <c r="BQ20" s="4" t="s">
        <v>43</v>
      </c>
      <c r="BR20" s="4">
        <v>0.9</v>
      </c>
      <c r="BS20" s="4">
        <v>0.5</v>
      </c>
      <c r="BT20" s="4">
        <v>0.6</v>
      </c>
      <c r="BU20" s="4">
        <v>0.3</v>
      </c>
      <c r="BV20" s="4">
        <v>801.64172399999995</v>
      </c>
      <c r="BW20" s="4">
        <v>7.0000000000000001E-3</v>
      </c>
      <c r="BX20" s="5"/>
      <c r="BY20" s="5"/>
      <c r="BZ20" s="5"/>
      <c r="CA20" s="5"/>
    </row>
    <row r="21" spans="1:79" x14ac:dyDescent="0.3">
      <c r="A21" s="4" t="s">
        <v>44</v>
      </c>
      <c r="B21" s="4">
        <v>0.9</v>
      </c>
      <c r="C21" s="4">
        <v>0.5</v>
      </c>
      <c r="D21" s="4">
        <v>0.6</v>
      </c>
      <c r="E21" s="4">
        <v>0.3</v>
      </c>
      <c r="F21" s="6">
        <v>478.829407</v>
      </c>
      <c r="G21" s="4">
        <v>0</v>
      </c>
      <c r="I21" s="4" t="s">
        <v>44</v>
      </c>
      <c r="J21" s="4">
        <v>0.9</v>
      </c>
      <c r="K21" s="4">
        <v>0.5</v>
      </c>
      <c r="L21" s="4">
        <v>0.6</v>
      </c>
      <c r="M21" s="4">
        <v>0.35</v>
      </c>
      <c r="N21" s="4">
        <v>489.51110799999998</v>
      </c>
      <c r="O21" s="4">
        <v>1E-3</v>
      </c>
      <c r="P21" s="5"/>
      <c r="Q21" s="5"/>
      <c r="R21" s="5"/>
      <c r="S21" s="5"/>
      <c r="U21" s="4" t="s">
        <v>44</v>
      </c>
      <c r="V21" s="4">
        <v>0.9</v>
      </c>
      <c r="W21" s="4">
        <v>0.5</v>
      </c>
      <c r="X21" s="4">
        <v>0.6</v>
      </c>
      <c r="Y21" s="4">
        <v>0.3</v>
      </c>
      <c r="Z21" s="6">
        <v>448.69964599999997</v>
      </c>
      <c r="AA21" s="4">
        <v>0</v>
      </c>
      <c r="AC21" s="4" t="s">
        <v>44</v>
      </c>
      <c r="AD21" s="4">
        <v>0.9</v>
      </c>
      <c r="AE21" s="4">
        <v>0.5</v>
      </c>
      <c r="AF21" s="4">
        <v>0.6</v>
      </c>
      <c r="AG21" s="4">
        <v>0.41</v>
      </c>
      <c r="AH21" s="4">
        <v>467.14679000000001</v>
      </c>
      <c r="AI21" s="4">
        <v>1E-3</v>
      </c>
      <c r="AJ21" s="5"/>
      <c r="AK21" s="5"/>
      <c r="AL21" s="5"/>
      <c r="AM21" s="5"/>
      <c r="AO21" s="4" t="s">
        <v>45</v>
      </c>
      <c r="AP21" s="4">
        <v>0.9</v>
      </c>
      <c r="AQ21" s="4">
        <v>0.5</v>
      </c>
      <c r="AR21" s="4">
        <v>0.6</v>
      </c>
      <c r="AS21" s="4">
        <v>0.3</v>
      </c>
      <c r="AT21" s="6">
        <v>817.59228499999995</v>
      </c>
      <c r="AU21" s="4">
        <v>4.0000000000000001E-3</v>
      </c>
      <c r="AW21" s="4" t="s">
        <v>45</v>
      </c>
      <c r="AX21" s="4">
        <v>0.9</v>
      </c>
      <c r="AY21" s="4">
        <v>0.5</v>
      </c>
      <c r="AZ21" s="4">
        <v>0.6</v>
      </c>
      <c r="BA21" s="4">
        <v>0.3</v>
      </c>
      <c r="BB21" s="4">
        <v>876.840149</v>
      </c>
      <c r="BC21" s="4">
        <v>4.0000000000000001E-3</v>
      </c>
      <c r="BD21" s="5"/>
      <c r="BE21" s="5"/>
      <c r="BF21" s="5"/>
      <c r="BG21" s="5"/>
      <c r="BI21" s="4" t="s">
        <v>45</v>
      </c>
      <c r="BJ21" s="4">
        <v>0.9</v>
      </c>
      <c r="BK21" s="4">
        <v>0.5</v>
      </c>
      <c r="BL21" s="4">
        <v>0.6</v>
      </c>
      <c r="BM21" s="4">
        <v>0.3</v>
      </c>
      <c r="BN21" s="6">
        <v>808.13287400000002</v>
      </c>
      <c r="BO21" s="4">
        <v>4.0000000000000001E-3</v>
      </c>
      <c r="BQ21" s="4" t="s">
        <v>45</v>
      </c>
      <c r="BR21" s="4">
        <v>0.9</v>
      </c>
      <c r="BS21" s="4">
        <v>0.5</v>
      </c>
      <c r="BT21" s="4">
        <v>0.6</v>
      </c>
      <c r="BU21" s="4">
        <v>0.33</v>
      </c>
      <c r="BV21" s="4">
        <v>845.55542000000003</v>
      </c>
      <c r="BW21" s="4">
        <v>5.0000000000000001E-3</v>
      </c>
      <c r="BX21" s="5"/>
      <c r="BY21" s="5"/>
      <c r="BZ21" s="5"/>
      <c r="CA21" s="5"/>
    </row>
    <row r="22" spans="1:79" x14ac:dyDescent="0.3">
      <c r="A22" s="4" t="s">
        <v>46</v>
      </c>
      <c r="B22" s="4">
        <v>0.9</v>
      </c>
      <c r="C22" s="4">
        <v>0.5</v>
      </c>
      <c r="D22" s="4">
        <v>0.6</v>
      </c>
      <c r="E22" s="4">
        <v>0.3</v>
      </c>
      <c r="F22" s="6">
        <v>448.97653200000002</v>
      </c>
      <c r="G22" s="4">
        <v>1E-3</v>
      </c>
      <c r="I22" s="4" t="s">
        <v>46</v>
      </c>
      <c r="J22" s="4">
        <v>0.9</v>
      </c>
      <c r="K22" s="4">
        <v>0.5</v>
      </c>
      <c r="L22" s="4">
        <v>0.6</v>
      </c>
      <c r="M22" s="4">
        <v>0.3</v>
      </c>
      <c r="N22" s="4">
        <v>487.48046900000003</v>
      </c>
      <c r="O22" s="4">
        <v>1E-3</v>
      </c>
      <c r="P22" s="5"/>
      <c r="Q22" s="5"/>
      <c r="R22" s="5"/>
      <c r="S22" s="5"/>
      <c r="U22" s="4" t="s">
        <v>46</v>
      </c>
      <c r="V22" s="4">
        <v>0.9</v>
      </c>
      <c r="W22" s="4">
        <v>0.5</v>
      </c>
      <c r="X22" s="4">
        <v>0.6</v>
      </c>
      <c r="Y22" s="4">
        <v>0.3</v>
      </c>
      <c r="Z22" s="6">
        <v>431.74707000000001</v>
      </c>
      <c r="AA22" s="4">
        <v>0</v>
      </c>
      <c r="AC22" s="4" t="s">
        <v>46</v>
      </c>
      <c r="AD22" s="4">
        <v>0.9</v>
      </c>
      <c r="AE22" s="4">
        <v>0.5</v>
      </c>
      <c r="AF22" s="4">
        <v>0.6</v>
      </c>
      <c r="AG22" s="4">
        <v>0.3</v>
      </c>
      <c r="AH22" s="4">
        <v>465.89205900000002</v>
      </c>
      <c r="AI22" s="4">
        <v>1E-3</v>
      </c>
      <c r="AJ22" s="5"/>
      <c r="AK22" s="5"/>
      <c r="AL22" s="5"/>
      <c r="AM22" s="5"/>
      <c r="AO22" s="4" t="s">
        <v>47</v>
      </c>
      <c r="AP22" s="4">
        <v>0.9</v>
      </c>
      <c r="AQ22" s="4">
        <v>0.5</v>
      </c>
      <c r="AR22" s="4">
        <v>0.6</v>
      </c>
      <c r="AS22" s="4">
        <v>0.3</v>
      </c>
      <c r="AT22" s="6">
        <v>760.18048099999999</v>
      </c>
      <c r="AU22" s="4">
        <v>4.0000000000000001E-3</v>
      </c>
      <c r="AW22" s="4" t="s">
        <v>47</v>
      </c>
      <c r="AX22" s="4">
        <v>0.9</v>
      </c>
      <c r="AY22" s="4">
        <v>0.5</v>
      </c>
      <c r="AZ22" s="4">
        <v>0.6</v>
      </c>
      <c r="BA22" s="4">
        <v>0.3</v>
      </c>
      <c r="BB22" s="4">
        <v>804.56933600000002</v>
      </c>
      <c r="BC22" s="4">
        <v>4.0000000000000001E-3</v>
      </c>
      <c r="BD22" s="5"/>
      <c r="BE22" s="5"/>
      <c r="BF22" s="5"/>
      <c r="BG22" s="5"/>
      <c r="BI22" s="4" t="s">
        <v>47</v>
      </c>
      <c r="BJ22" s="4">
        <v>0.9</v>
      </c>
      <c r="BK22" s="4">
        <v>0.5</v>
      </c>
      <c r="BL22" s="4">
        <v>0.6</v>
      </c>
      <c r="BM22" s="4">
        <v>0.3</v>
      </c>
      <c r="BN22" s="6">
        <v>720.23138400000005</v>
      </c>
      <c r="BO22" s="4">
        <v>4.0000000000000001E-3</v>
      </c>
      <c r="BQ22" s="4" t="s">
        <v>47</v>
      </c>
      <c r="BR22" s="4">
        <v>0.9</v>
      </c>
      <c r="BS22" s="4">
        <v>0.5</v>
      </c>
      <c r="BT22" s="4">
        <v>0.6</v>
      </c>
      <c r="BU22" s="4">
        <v>0.34</v>
      </c>
      <c r="BV22" s="4">
        <v>784.93194600000004</v>
      </c>
      <c r="BW22" s="4">
        <v>5.0000000000000001E-3</v>
      </c>
      <c r="BX22" s="5"/>
      <c r="BY22" s="5"/>
      <c r="BZ22" s="5"/>
      <c r="CA22" s="5"/>
    </row>
    <row r="23" spans="1:79" x14ac:dyDescent="0.3">
      <c r="A23" s="4" t="s">
        <v>48</v>
      </c>
      <c r="B23" s="4">
        <v>0.9</v>
      </c>
      <c r="C23" s="4">
        <v>0.5</v>
      </c>
      <c r="D23" s="4">
        <v>0.6</v>
      </c>
      <c r="E23" s="4">
        <v>0.3</v>
      </c>
      <c r="F23" s="6">
        <v>425.08618200000001</v>
      </c>
      <c r="G23" s="4">
        <v>1E-3</v>
      </c>
      <c r="I23" s="4" t="s">
        <v>48</v>
      </c>
      <c r="J23" s="4">
        <v>0.9</v>
      </c>
      <c r="K23" s="4">
        <v>0.5</v>
      </c>
      <c r="L23" s="4">
        <v>0.6</v>
      </c>
      <c r="M23" s="4">
        <v>0.31</v>
      </c>
      <c r="N23" s="4">
        <v>453.96725500000002</v>
      </c>
      <c r="O23" s="4">
        <v>1E-3</v>
      </c>
      <c r="P23" s="5"/>
      <c r="Q23" s="5"/>
      <c r="R23" s="5"/>
      <c r="S23" s="5"/>
      <c r="U23" s="4" t="s">
        <v>48</v>
      </c>
      <c r="V23" s="4">
        <v>0.9</v>
      </c>
      <c r="W23" s="4">
        <v>0.5</v>
      </c>
      <c r="X23" s="4">
        <v>0.6</v>
      </c>
      <c r="Y23" s="4">
        <v>0.3</v>
      </c>
      <c r="Z23" s="6">
        <v>421.140533</v>
      </c>
      <c r="AA23" s="4">
        <v>1E-3</v>
      </c>
      <c r="AC23" s="4" t="s">
        <v>48</v>
      </c>
      <c r="AD23" s="4">
        <v>0.9</v>
      </c>
      <c r="AE23" s="4">
        <v>0.5</v>
      </c>
      <c r="AF23" s="4">
        <v>0.6</v>
      </c>
      <c r="AG23" s="4">
        <v>0.36</v>
      </c>
      <c r="AH23" s="4">
        <v>423.08251999999999</v>
      </c>
      <c r="AI23" s="4">
        <v>0</v>
      </c>
      <c r="AJ23" s="5"/>
      <c r="AK23" s="5"/>
      <c r="AL23" s="5"/>
      <c r="AM23" s="5"/>
      <c r="AO23" s="4" t="s">
        <v>49</v>
      </c>
      <c r="AP23" s="4">
        <v>0.9</v>
      </c>
      <c r="AQ23" s="4">
        <v>0.5</v>
      </c>
      <c r="AR23" s="4">
        <v>0.6</v>
      </c>
      <c r="AS23" s="4">
        <v>0.3</v>
      </c>
      <c r="AT23" s="6">
        <v>833.87921100000005</v>
      </c>
      <c r="AU23" s="4">
        <v>4.0000000000000001E-3</v>
      </c>
      <c r="AW23" s="4" t="s">
        <v>49</v>
      </c>
      <c r="AX23" s="4">
        <v>0.9</v>
      </c>
      <c r="AY23" s="4">
        <v>0.5</v>
      </c>
      <c r="AZ23" s="4">
        <v>0.6</v>
      </c>
      <c r="BA23" s="4">
        <v>0.31</v>
      </c>
      <c r="BB23" s="4">
        <v>846.37188700000002</v>
      </c>
      <c r="BC23" s="4">
        <v>4.0000000000000001E-3</v>
      </c>
      <c r="BD23" s="5"/>
      <c r="BE23" s="5"/>
      <c r="BF23" s="5"/>
      <c r="BG23" s="5"/>
      <c r="BI23" s="4" t="s">
        <v>49</v>
      </c>
      <c r="BJ23" s="4">
        <v>0.9</v>
      </c>
      <c r="BK23" s="4">
        <v>0.5</v>
      </c>
      <c r="BL23" s="4">
        <v>0.6</v>
      </c>
      <c r="BM23" s="4">
        <v>0.3</v>
      </c>
      <c r="BN23" s="6">
        <v>761.25433299999997</v>
      </c>
      <c r="BO23" s="4">
        <v>4.0000000000000001E-3</v>
      </c>
      <c r="BQ23" s="4" t="s">
        <v>49</v>
      </c>
      <c r="BR23" s="4">
        <v>0.9</v>
      </c>
      <c r="BS23" s="4">
        <v>0.5</v>
      </c>
      <c r="BT23" s="4">
        <v>0.6</v>
      </c>
      <c r="BU23" s="4">
        <v>0.32</v>
      </c>
      <c r="BV23" s="4">
        <v>778.01873799999998</v>
      </c>
      <c r="BW23" s="4">
        <v>5.0000000000000001E-3</v>
      </c>
      <c r="BX23" s="5"/>
      <c r="BY23" s="5"/>
      <c r="BZ23" s="5"/>
      <c r="CA23" s="5"/>
    </row>
    <row r="24" spans="1:79" x14ac:dyDescent="0.3">
      <c r="A24" s="4" t="s">
        <v>50</v>
      </c>
      <c r="B24" s="4">
        <v>0.9</v>
      </c>
      <c r="C24" s="4">
        <v>0.5</v>
      </c>
      <c r="D24" s="4">
        <v>0.6</v>
      </c>
      <c r="E24" s="4">
        <v>0.3</v>
      </c>
      <c r="F24" s="6">
        <v>424.86154199999999</v>
      </c>
      <c r="G24" s="4">
        <v>0</v>
      </c>
      <c r="I24" s="4" t="s">
        <v>50</v>
      </c>
      <c r="J24" s="4">
        <v>0.9</v>
      </c>
      <c r="K24" s="4">
        <v>0.5</v>
      </c>
      <c r="L24" s="4">
        <v>0.6</v>
      </c>
      <c r="M24" s="4">
        <v>0.3</v>
      </c>
      <c r="N24" s="4">
        <v>451.81829800000003</v>
      </c>
      <c r="O24" s="4">
        <v>1E-3</v>
      </c>
      <c r="P24" s="5"/>
      <c r="Q24" s="5"/>
      <c r="R24" s="5"/>
      <c r="S24" s="5"/>
      <c r="U24" s="4" t="s">
        <v>50</v>
      </c>
      <c r="V24" s="4">
        <v>0.9</v>
      </c>
      <c r="W24" s="4">
        <v>0.5</v>
      </c>
      <c r="X24" s="4">
        <v>0.6</v>
      </c>
      <c r="Y24" s="4">
        <v>0.3</v>
      </c>
      <c r="Z24" s="6">
        <v>421.97341899999998</v>
      </c>
      <c r="AA24" s="4">
        <v>1E-3</v>
      </c>
      <c r="AC24" s="4" t="s">
        <v>50</v>
      </c>
      <c r="AD24" s="4">
        <v>0.9</v>
      </c>
      <c r="AE24" s="4">
        <v>0.5</v>
      </c>
      <c r="AF24" s="4">
        <v>0.6</v>
      </c>
      <c r="AG24" s="4">
        <v>0.3</v>
      </c>
      <c r="AH24" s="4">
        <v>424.43267800000001</v>
      </c>
      <c r="AI24" s="4">
        <v>1E-3</v>
      </c>
      <c r="AJ24" s="5"/>
      <c r="AK24" s="5"/>
      <c r="AL24" s="5"/>
      <c r="AM24" s="5"/>
      <c r="AO24" s="4" t="s">
        <v>51</v>
      </c>
      <c r="AP24" s="4">
        <v>0.9</v>
      </c>
      <c r="AQ24" s="4">
        <v>0.5</v>
      </c>
      <c r="AR24" s="4">
        <v>0.6</v>
      </c>
      <c r="AS24" s="4">
        <v>0.3</v>
      </c>
      <c r="AT24" s="6">
        <v>988.85766599999999</v>
      </c>
      <c r="AU24" s="4">
        <v>5.0000000000000001E-3</v>
      </c>
      <c r="AW24" s="4" t="s">
        <v>51</v>
      </c>
      <c r="AX24" s="4">
        <v>0.9</v>
      </c>
      <c r="AY24" s="4">
        <v>0.5</v>
      </c>
      <c r="AZ24" s="4">
        <v>0.6</v>
      </c>
      <c r="BA24" s="4">
        <v>0.34</v>
      </c>
      <c r="BB24" s="4">
        <v>1003.293335</v>
      </c>
      <c r="BC24" s="4">
        <v>5.0000000000000001E-3</v>
      </c>
      <c r="BD24" s="5"/>
      <c r="BE24" s="5"/>
      <c r="BF24" s="5"/>
      <c r="BG24" s="5"/>
      <c r="BI24" s="4" t="s">
        <v>51</v>
      </c>
      <c r="BJ24" s="4">
        <v>0.9</v>
      </c>
      <c r="BK24" s="4">
        <v>0.5</v>
      </c>
      <c r="BL24" s="4">
        <v>0.6</v>
      </c>
      <c r="BM24" s="4">
        <v>0.3</v>
      </c>
      <c r="BN24" s="6">
        <v>974.34124799999995</v>
      </c>
      <c r="BO24" s="4">
        <v>5.0000000000000001E-3</v>
      </c>
      <c r="BQ24" s="4" t="s">
        <v>51</v>
      </c>
      <c r="BR24" s="4">
        <v>0.9</v>
      </c>
      <c r="BS24" s="4">
        <v>0.5</v>
      </c>
      <c r="BT24" s="4">
        <v>0.6</v>
      </c>
      <c r="BU24" s="4">
        <v>0.32</v>
      </c>
      <c r="BV24" s="4">
        <v>1004.403687</v>
      </c>
      <c r="BW24" s="4">
        <v>8.0000000000000002E-3</v>
      </c>
      <c r="BX24" s="5"/>
      <c r="BY24" s="5"/>
      <c r="BZ24" s="5"/>
      <c r="CA24" s="5"/>
    </row>
    <row r="25" spans="1:79" x14ac:dyDescent="0.3">
      <c r="A25" s="4" t="s">
        <v>52</v>
      </c>
      <c r="B25" s="4">
        <v>0.9</v>
      </c>
      <c r="C25" s="4">
        <v>0.5</v>
      </c>
      <c r="D25" s="4">
        <v>0.6</v>
      </c>
      <c r="E25" s="4">
        <v>0.3</v>
      </c>
      <c r="F25" s="6">
        <v>434.88913000000002</v>
      </c>
      <c r="G25" s="4">
        <v>1E-3</v>
      </c>
      <c r="I25" s="4" t="s">
        <v>52</v>
      </c>
      <c r="J25" s="4">
        <v>0.9</v>
      </c>
      <c r="K25" s="4">
        <v>0.5</v>
      </c>
      <c r="L25" s="4">
        <v>0.6</v>
      </c>
      <c r="M25" s="4">
        <v>0.3</v>
      </c>
      <c r="N25" s="4">
        <v>449.00775099999998</v>
      </c>
      <c r="O25" s="4">
        <v>1E-3</v>
      </c>
      <c r="P25" s="5"/>
      <c r="Q25" s="5"/>
      <c r="R25" s="5"/>
      <c r="S25" s="5"/>
      <c r="U25" s="4" t="s">
        <v>52</v>
      </c>
      <c r="V25" s="4">
        <v>0.9</v>
      </c>
      <c r="W25" s="4">
        <v>0.5</v>
      </c>
      <c r="X25" s="4">
        <v>0.6</v>
      </c>
      <c r="Y25" s="4">
        <v>0.3</v>
      </c>
      <c r="Z25" s="6">
        <v>428.03668199999998</v>
      </c>
      <c r="AA25" s="4">
        <v>0</v>
      </c>
      <c r="AC25" s="4" t="s">
        <v>52</v>
      </c>
      <c r="AD25" s="4">
        <v>0.9</v>
      </c>
      <c r="AE25" s="4">
        <v>0.5</v>
      </c>
      <c r="AF25" s="4">
        <v>0.6</v>
      </c>
      <c r="AG25" s="4">
        <v>0.31</v>
      </c>
      <c r="AH25" s="4">
        <v>443.869843</v>
      </c>
      <c r="AI25" s="4">
        <v>0</v>
      </c>
      <c r="AJ25" s="5"/>
      <c r="AK25" s="5"/>
      <c r="AL25" s="5"/>
      <c r="AM25" s="5"/>
      <c r="AO25" s="4" t="s">
        <v>53</v>
      </c>
      <c r="AP25" s="4">
        <v>0.9</v>
      </c>
      <c r="AQ25" s="4">
        <v>0.5</v>
      </c>
      <c r="AR25" s="4">
        <v>0.6</v>
      </c>
      <c r="AS25" s="4">
        <v>0.3</v>
      </c>
      <c r="AT25" s="6">
        <v>929.430969</v>
      </c>
      <c r="AU25" s="4">
        <v>4.0000000000000001E-3</v>
      </c>
      <c r="AW25" s="4" t="s">
        <v>53</v>
      </c>
      <c r="AX25" s="4">
        <v>0.9</v>
      </c>
      <c r="AY25" s="4">
        <v>0.5</v>
      </c>
      <c r="AZ25" s="4">
        <v>0.6</v>
      </c>
      <c r="BA25" s="4">
        <v>0.3</v>
      </c>
      <c r="BB25" s="4">
        <v>961.97540300000003</v>
      </c>
      <c r="BC25" s="4">
        <v>5.0000000000000001E-3</v>
      </c>
      <c r="BD25" s="5"/>
      <c r="BE25" s="5"/>
      <c r="BF25" s="5"/>
      <c r="BG25" s="5"/>
      <c r="BI25" s="4" t="s">
        <v>53</v>
      </c>
      <c r="BJ25" s="4">
        <v>0.9</v>
      </c>
      <c r="BK25" s="4">
        <v>0.5</v>
      </c>
      <c r="BL25" s="4">
        <v>0.6</v>
      </c>
      <c r="BM25" s="4">
        <v>0.3</v>
      </c>
      <c r="BN25" s="6">
        <v>919.803223</v>
      </c>
      <c r="BO25" s="4">
        <v>4.0000000000000001E-3</v>
      </c>
      <c r="BQ25" s="4" t="s">
        <v>53</v>
      </c>
      <c r="BR25" s="4">
        <v>0.9</v>
      </c>
      <c r="BS25" s="4">
        <v>0.5</v>
      </c>
      <c r="BT25" s="4">
        <v>0.6</v>
      </c>
      <c r="BU25" s="4">
        <v>0.32</v>
      </c>
      <c r="BV25" s="4">
        <v>925.33801300000005</v>
      </c>
      <c r="BW25" s="4">
        <v>1.7000000000000001E-2</v>
      </c>
      <c r="BX25" s="5"/>
      <c r="BY25" s="5"/>
      <c r="BZ25" s="5"/>
      <c r="CA25" s="5"/>
    </row>
    <row r="26" spans="1:79" x14ac:dyDescent="0.3">
      <c r="A26" s="4" t="s">
        <v>54</v>
      </c>
      <c r="B26" s="4">
        <v>0.9</v>
      </c>
      <c r="C26" s="4">
        <v>0.5</v>
      </c>
      <c r="D26" s="4">
        <v>0.6</v>
      </c>
      <c r="E26" s="4">
        <v>0.3</v>
      </c>
      <c r="F26" s="6">
        <v>513.51470900000004</v>
      </c>
      <c r="G26" s="4">
        <v>0</v>
      </c>
      <c r="I26" s="4" t="s">
        <v>54</v>
      </c>
      <c r="J26" s="4">
        <v>0.9</v>
      </c>
      <c r="K26" s="4">
        <v>0.5</v>
      </c>
      <c r="L26" s="4">
        <v>0.6</v>
      </c>
      <c r="M26" s="4">
        <v>0.45</v>
      </c>
      <c r="N26" s="4">
        <v>537.61804199999995</v>
      </c>
      <c r="O26" s="4">
        <v>0</v>
      </c>
      <c r="P26" s="5"/>
      <c r="Q26" s="5"/>
      <c r="R26" s="5"/>
      <c r="S26" s="5"/>
      <c r="U26" s="4" t="s">
        <v>54</v>
      </c>
      <c r="V26" s="4">
        <v>0.9</v>
      </c>
      <c r="W26" s="4">
        <v>0.5</v>
      </c>
      <c r="X26" s="4">
        <v>0.6</v>
      </c>
      <c r="Y26" s="4">
        <v>0.3</v>
      </c>
      <c r="Z26" s="6">
        <v>492.53753699999999</v>
      </c>
      <c r="AA26" s="4">
        <v>0</v>
      </c>
      <c r="AC26" s="4" t="s">
        <v>54</v>
      </c>
      <c r="AD26" s="4">
        <v>0.9</v>
      </c>
      <c r="AE26" s="4">
        <v>0.5</v>
      </c>
      <c r="AF26" s="4">
        <v>0.6</v>
      </c>
      <c r="AG26" s="4">
        <v>0.37</v>
      </c>
      <c r="AH26" s="4">
        <v>518.181152</v>
      </c>
      <c r="AI26" s="4">
        <v>1E-3</v>
      </c>
      <c r="AJ26" s="5"/>
      <c r="AK26" s="5"/>
      <c r="AL26" s="5"/>
      <c r="AM26" s="5"/>
      <c r="AO26" s="4" t="s">
        <v>55</v>
      </c>
      <c r="AP26" s="4">
        <v>0.9</v>
      </c>
      <c r="AQ26" s="4">
        <v>0.5</v>
      </c>
      <c r="AR26" s="4">
        <v>0.6</v>
      </c>
      <c r="AS26" s="4">
        <v>0.3</v>
      </c>
      <c r="AT26" s="6">
        <v>939.490906</v>
      </c>
      <c r="AU26" s="4">
        <v>5.0000000000000001E-3</v>
      </c>
      <c r="AW26" s="4" t="s">
        <v>55</v>
      </c>
      <c r="AX26" s="4">
        <v>0.9</v>
      </c>
      <c r="AY26" s="4">
        <v>0.5</v>
      </c>
      <c r="AZ26" s="4">
        <v>0.6</v>
      </c>
      <c r="BA26" s="4">
        <v>0.3</v>
      </c>
      <c r="BB26" s="4">
        <v>962.67724599999997</v>
      </c>
      <c r="BC26" s="4">
        <v>4.0000000000000001E-3</v>
      </c>
      <c r="BD26" s="5"/>
      <c r="BE26" s="5"/>
      <c r="BF26" s="5"/>
      <c r="BG26" s="5"/>
      <c r="BI26" s="4" t="s">
        <v>55</v>
      </c>
      <c r="BJ26" s="4">
        <v>0.9</v>
      </c>
      <c r="BK26" s="4">
        <v>0.5</v>
      </c>
      <c r="BL26" s="4">
        <v>0.6</v>
      </c>
      <c r="BM26" s="4">
        <v>0.3</v>
      </c>
      <c r="BN26" s="6">
        <v>913.51196300000004</v>
      </c>
      <c r="BO26" s="4">
        <v>4.0000000000000001E-3</v>
      </c>
      <c r="BQ26" s="4" t="s">
        <v>55</v>
      </c>
      <c r="BR26" s="4">
        <v>0.9</v>
      </c>
      <c r="BS26" s="4">
        <v>0.5</v>
      </c>
      <c r="BT26" s="4">
        <v>0.6</v>
      </c>
      <c r="BU26" s="4">
        <v>0.33</v>
      </c>
      <c r="BV26" s="4">
        <v>950.68029799999999</v>
      </c>
      <c r="BW26" s="4">
        <v>4.0000000000000001E-3</v>
      </c>
      <c r="BX26" s="5"/>
      <c r="BY26" s="5"/>
      <c r="BZ26" s="5"/>
      <c r="CA26" s="5"/>
    </row>
    <row r="27" spans="1:79" x14ac:dyDescent="0.3">
      <c r="A27" s="4" t="s">
        <v>56</v>
      </c>
      <c r="B27" s="4">
        <v>0.9</v>
      </c>
      <c r="C27" s="4">
        <v>0.5</v>
      </c>
      <c r="D27" s="4">
        <v>0.6</v>
      </c>
      <c r="E27" s="4">
        <v>0.3</v>
      </c>
      <c r="F27" s="6">
        <v>426.96203600000001</v>
      </c>
      <c r="G27" s="4">
        <v>0</v>
      </c>
      <c r="I27" s="4" t="s">
        <v>56</v>
      </c>
      <c r="J27" s="4">
        <v>0.9</v>
      </c>
      <c r="K27" s="4">
        <v>0.5</v>
      </c>
      <c r="L27" s="4">
        <v>0.6</v>
      </c>
      <c r="M27" s="4">
        <v>0.43</v>
      </c>
      <c r="N27" s="4">
        <v>451.229401</v>
      </c>
      <c r="O27" s="4">
        <v>1E-3</v>
      </c>
      <c r="P27" s="5"/>
      <c r="Q27" s="5"/>
      <c r="R27" s="5"/>
      <c r="S27" s="5"/>
      <c r="U27" s="4" t="s">
        <v>56</v>
      </c>
      <c r="V27" s="4">
        <v>0.9</v>
      </c>
      <c r="W27" s="4">
        <v>0.5</v>
      </c>
      <c r="X27" s="4">
        <v>0.6</v>
      </c>
      <c r="Y27" s="4">
        <v>0.3</v>
      </c>
      <c r="Z27" s="6">
        <v>423.43264799999997</v>
      </c>
      <c r="AA27" s="4">
        <v>1E-3</v>
      </c>
      <c r="AC27" s="4" t="s">
        <v>56</v>
      </c>
      <c r="AD27" s="4">
        <v>0.9</v>
      </c>
      <c r="AE27" s="4">
        <v>0.5</v>
      </c>
      <c r="AF27" s="4">
        <v>0.6</v>
      </c>
      <c r="AG27" s="4">
        <v>0.3</v>
      </c>
      <c r="AH27" s="4">
        <v>430.00228900000002</v>
      </c>
      <c r="AI27" s="4">
        <v>0</v>
      </c>
      <c r="AJ27" s="5"/>
      <c r="AK27" s="5"/>
      <c r="AL27" s="5"/>
      <c r="AM27" s="5"/>
      <c r="AO27" s="4" t="s">
        <v>57</v>
      </c>
      <c r="AP27" s="4">
        <v>0.9</v>
      </c>
      <c r="AQ27" s="4">
        <v>0.5</v>
      </c>
      <c r="AR27" s="4">
        <v>0.6</v>
      </c>
      <c r="AS27" s="4">
        <v>0.3</v>
      </c>
      <c r="AT27" s="6">
        <v>918.15527299999997</v>
      </c>
      <c r="AU27" s="4">
        <v>4.0000000000000001E-3</v>
      </c>
      <c r="AW27" s="4" t="s">
        <v>57</v>
      </c>
      <c r="AX27" s="4">
        <v>0.9</v>
      </c>
      <c r="AY27" s="4">
        <v>0.5</v>
      </c>
      <c r="AZ27" s="4">
        <v>0.6</v>
      </c>
      <c r="BA27" s="4">
        <v>0.32</v>
      </c>
      <c r="BB27" s="4">
        <v>941.57556199999999</v>
      </c>
      <c r="BC27" s="4">
        <v>5.0000000000000001E-3</v>
      </c>
      <c r="BD27" s="5"/>
      <c r="BE27" s="5"/>
      <c r="BF27" s="5"/>
      <c r="BG27" s="5"/>
      <c r="BI27" s="4" t="s">
        <v>57</v>
      </c>
      <c r="BJ27" s="4">
        <v>0.9</v>
      </c>
      <c r="BK27" s="4">
        <v>0.5</v>
      </c>
      <c r="BL27" s="4">
        <v>0.6</v>
      </c>
      <c r="BM27" s="4">
        <v>0.3</v>
      </c>
      <c r="BN27" s="6">
        <v>895.49426300000005</v>
      </c>
      <c r="BO27" s="4">
        <v>4.0000000000000001E-3</v>
      </c>
      <c r="BQ27" s="4" t="s">
        <v>57</v>
      </c>
      <c r="BR27" s="4">
        <v>0.9</v>
      </c>
      <c r="BS27" s="4">
        <v>0.5</v>
      </c>
      <c r="BT27" s="4">
        <v>0.6</v>
      </c>
      <c r="BU27" s="4">
        <v>0.3</v>
      </c>
      <c r="BV27" s="4">
        <v>902.93060300000002</v>
      </c>
      <c r="BW27" s="4">
        <v>5.0000000000000001E-3</v>
      </c>
      <c r="BX27" s="5"/>
      <c r="BY27" s="5"/>
      <c r="BZ27" s="5"/>
      <c r="CA27" s="5"/>
    </row>
    <row r="28" spans="1:79" x14ac:dyDescent="0.3">
      <c r="A28" s="4" t="s">
        <v>58</v>
      </c>
      <c r="B28" s="4">
        <v>0.9</v>
      </c>
      <c r="C28" s="4">
        <v>0.5</v>
      </c>
      <c r="D28" s="4">
        <v>0.6</v>
      </c>
      <c r="E28" s="4">
        <v>0.3</v>
      </c>
      <c r="F28" s="6">
        <v>440.15103099999999</v>
      </c>
      <c r="G28" s="4">
        <v>1E-3</v>
      </c>
      <c r="I28" s="4" t="s">
        <v>58</v>
      </c>
      <c r="J28" s="4">
        <v>0.9</v>
      </c>
      <c r="K28" s="4">
        <v>0.5</v>
      </c>
      <c r="L28" s="4">
        <v>0.6</v>
      </c>
      <c r="M28" s="4">
        <v>0.33</v>
      </c>
      <c r="N28" s="4">
        <v>458.30166600000001</v>
      </c>
      <c r="O28" s="4">
        <v>1E-3</v>
      </c>
      <c r="P28" s="5"/>
      <c r="Q28" s="5"/>
      <c r="R28" s="5"/>
      <c r="S28" s="5"/>
      <c r="U28" s="4" t="s">
        <v>58</v>
      </c>
      <c r="V28" s="4">
        <v>0.9</v>
      </c>
      <c r="W28" s="4">
        <v>0.5</v>
      </c>
      <c r="X28" s="4">
        <v>0.6</v>
      </c>
      <c r="Y28" s="4">
        <v>0.3</v>
      </c>
      <c r="Z28" s="6">
        <v>428.45141599999999</v>
      </c>
      <c r="AA28" s="4">
        <v>1E-3</v>
      </c>
      <c r="AC28" s="4" t="s">
        <v>58</v>
      </c>
      <c r="AD28" s="4">
        <v>0.9</v>
      </c>
      <c r="AE28" s="4">
        <v>0.5</v>
      </c>
      <c r="AF28" s="4">
        <v>0.6</v>
      </c>
      <c r="AG28" s="4">
        <v>0.46</v>
      </c>
      <c r="AH28" s="4">
        <v>442.56994600000002</v>
      </c>
      <c r="AI28" s="4">
        <v>0</v>
      </c>
      <c r="AJ28" s="5"/>
      <c r="AK28" s="5"/>
      <c r="AL28" s="5"/>
      <c r="AM28" s="5"/>
      <c r="AO28" s="4" t="s">
        <v>59</v>
      </c>
      <c r="AP28" s="4">
        <v>0.9</v>
      </c>
      <c r="AQ28" s="4">
        <v>0.5</v>
      </c>
      <c r="AR28" s="4">
        <v>0.6</v>
      </c>
      <c r="AS28" s="4">
        <v>0.3</v>
      </c>
      <c r="AT28" s="6">
        <v>848.52801499999998</v>
      </c>
      <c r="AU28" s="4">
        <v>4.0000000000000001E-3</v>
      </c>
      <c r="AW28" s="4" t="s">
        <v>59</v>
      </c>
      <c r="AX28" s="4">
        <v>0.9</v>
      </c>
      <c r="AY28" s="4">
        <v>0.5</v>
      </c>
      <c r="AZ28" s="4">
        <v>0.6</v>
      </c>
      <c r="BA28" s="4">
        <v>0.31</v>
      </c>
      <c r="BB28" s="4">
        <v>871.91888400000005</v>
      </c>
      <c r="BC28" s="4">
        <v>4.0000000000000001E-3</v>
      </c>
      <c r="BD28" s="5"/>
      <c r="BE28" s="5"/>
      <c r="BF28" s="5"/>
      <c r="BG28" s="5"/>
      <c r="BI28" s="4" t="s">
        <v>59</v>
      </c>
      <c r="BJ28" s="4">
        <v>0.9</v>
      </c>
      <c r="BK28" s="4">
        <v>0.5</v>
      </c>
      <c r="BL28" s="4">
        <v>0.6</v>
      </c>
      <c r="BM28" s="4">
        <v>0.3</v>
      </c>
      <c r="BN28" s="6">
        <v>830.67932099999996</v>
      </c>
      <c r="BO28" s="4">
        <v>4.0000000000000001E-3</v>
      </c>
      <c r="BQ28" s="4" t="s">
        <v>59</v>
      </c>
      <c r="BR28" s="4">
        <v>0.9</v>
      </c>
      <c r="BS28" s="4">
        <v>0.5</v>
      </c>
      <c r="BT28" s="4">
        <v>0.6</v>
      </c>
      <c r="BU28" s="4">
        <v>0.36</v>
      </c>
      <c r="BV28" s="4">
        <v>871.132385</v>
      </c>
      <c r="BW28" s="4">
        <v>4.0000000000000001E-3</v>
      </c>
      <c r="BX28" s="5"/>
      <c r="BY28" s="5"/>
      <c r="BZ28" s="5"/>
      <c r="CA28" s="5"/>
    </row>
    <row r="29" spans="1:79" x14ac:dyDescent="0.3">
      <c r="A29" s="4" t="s">
        <v>60</v>
      </c>
      <c r="B29" s="4">
        <v>0.9</v>
      </c>
      <c r="C29" s="4">
        <v>0.5</v>
      </c>
      <c r="D29" s="4">
        <v>0.6</v>
      </c>
      <c r="E29" s="4">
        <v>0.3</v>
      </c>
      <c r="F29" s="6">
        <v>564.98687700000005</v>
      </c>
      <c r="G29" s="4">
        <v>0</v>
      </c>
      <c r="I29" s="4" t="s">
        <v>60</v>
      </c>
      <c r="J29" s="4">
        <v>0.9</v>
      </c>
      <c r="K29" s="4">
        <v>0.5</v>
      </c>
      <c r="L29" s="4">
        <v>0.6</v>
      </c>
      <c r="M29" s="4">
        <v>0.4</v>
      </c>
      <c r="N29" s="4">
        <v>601.09368900000004</v>
      </c>
      <c r="O29" s="4">
        <v>1E-3</v>
      </c>
      <c r="P29" s="5"/>
      <c r="Q29" s="5"/>
      <c r="R29" s="5"/>
      <c r="S29" s="5"/>
      <c r="U29" s="4" t="s">
        <v>60</v>
      </c>
      <c r="V29" s="4">
        <v>0.9</v>
      </c>
      <c r="W29" s="4">
        <v>0.5</v>
      </c>
      <c r="X29" s="4">
        <v>0.6</v>
      </c>
      <c r="Y29" s="4">
        <v>0.3</v>
      </c>
      <c r="Z29" s="6">
        <v>535.61114499999996</v>
      </c>
      <c r="AA29" s="4">
        <v>1E-3</v>
      </c>
      <c r="AC29" s="4" t="s">
        <v>60</v>
      </c>
      <c r="AD29" s="4">
        <v>0.9</v>
      </c>
      <c r="AE29" s="4">
        <v>0.5</v>
      </c>
      <c r="AF29" s="4">
        <v>0.6</v>
      </c>
      <c r="AG29" s="4">
        <v>0.32</v>
      </c>
      <c r="AH29" s="4">
        <v>559.75079300000004</v>
      </c>
      <c r="AI29" s="4">
        <v>0</v>
      </c>
      <c r="AJ29" s="5"/>
      <c r="AK29" s="5"/>
      <c r="AL29" s="5"/>
      <c r="AM29" s="5"/>
      <c r="AO29" s="4" t="s">
        <v>61</v>
      </c>
      <c r="AP29" s="4">
        <v>0.9</v>
      </c>
      <c r="AQ29" s="4">
        <v>0.5</v>
      </c>
      <c r="AR29" s="4">
        <v>0.6</v>
      </c>
      <c r="AS29" s="4">
        <v>0.3</v>
      </c>
      <c r="AT29" s="6">
        <v>966.555969</v>
      </c>
      <c r="AU29" s="4">
        <v>5.0000000000000001E-3</v>
      </c>
      <c r="AW29" s="4" t="s">
        <v>61</v>
      </c>
      <c r="AX29" s="4">
        <v>0.9</v>
      </c>
      <c r="AY29" s="4">
        <v>0.5</v>
      </c>
      <c r="AZ29" s="4">
        <v>0.6</v>
      </c>
      <c r="BA29" s="4">
        <v>0.35</v>
      </c>
      <c r="BB29" s="4">
        <v>1013.297058</v>
      </c>
      <c r="BC29" s="4">
        <v>5.0000000000000001E-3</v>
      </c>
      <c r="BD29" s="5"/>
      <c r="BE29" s="5"/>
      <c r="BF29" s="5"/>
      <c r="BG29" s="5"/>
      <c r="BI29" s="4" t="s">
        <v>61</v>
      </c>
      <c r="BJ29" s="4">
        <v>0.9</v>
      </c>
      <c r="BK29" s="4">
        <v>0.5</v>
      </c>
      <c r="BL29" s="4">
        <v>0.6</v>
      </c>
      <c r="BM29" s="4">
        <v>0.3</v>
      </c>
      <c r="BN29" s="6">
        <v>957.72546399999999</v>
      </c>
      <c r="BO29" s="4">
        <v>4.0000000000000001E-3</v>
      </c>
      <c r="BQ29" s="4" t="s">
        <v>61</v>
      </c>
      <c r="BR29" s="4">
        <v>0.9</v>
      </c>
      <c r="BS29" s="4">
        <v>0.5</v>
      </c>
      <c r="BT29" s="4">
        <v>0.6</v>
      </c>
      <c r="BU29" s="4">
        <v>0.31</v>
      </c>
      <c r="BV29" s="4">
        <v>990.26507600000002</v>
      </c>
      <c r="BW29" s="4">
        <v>6.0000000000000001E-3</v>
      </c>
      <c r="BX29" s="5"/>
      <c r="BY29" s="5"/>
      <c r="BZ29" s="5"/>
      <c r="CA29" s="5"/>
    </row>
    <row r="30" spans="1:79" x14ac:dyDescent="0.3">
      <c r="A30" s="4" t="s">
        <v>62</v>
      </c>
      <c r="B30" s="4">
        <v>0.9</v>
      </c>
      <c r="C30" s="4">
        <v>0.5</v>
      </c>
      <c r="D30" s="4">
        <v>0.6</v>
      </c>
      <c r="E30" s="4">
        <v>0.3</v>
      </c>
      <c r="F30" s="6">
        <v>389.51574699999998</v>
      </c>
      <c r="G30" s="4">
        <v>0</v>
      </c>
      <c r="I30" s="4" t="s">
        <v>62</v>
      </c>
      <c r="J30" s="4">
        <v>0.9</v>
      </c>
      <c r="K30" s="4">
        <v>0.5</v>
      </c>
      <c r="L30" s="4">
        <v>0.6</v>
      </c>
      <c r="M30" s="4">
        <v>0.34</v>
      </c>
      <c r="N30" s="4">
        <v>394.30676299999999</v>
      </c>
      <c r="O30" s="4">
        <v>0</v>
      </c>
      <c r="P30" s="5"/>
      <c r="Q30" s="5"/>
      <c r="R30" s="5"/>
      <c r="S30" s="5"/>
      <c r="U30" s="4" t="s">
        <v>62</v>
      </c>
      <c r="V30" s="4">
        <v>0.9</v>
      </c>
      <c r="W30" s="4">
        <v>0.5</v>
      </c>
      <c r="X30" s="4">
        <v>0.6</v>
      </c>
      <c r="Y30" s="4">
        <v>0.3</v>
      </c>
      <c r="Z30" s="6">
        <v>380.51156600000002</v>
      </c>
      <c r="AA30" s="4">
        <v>1E-3</v>
      </c>
      <c r="AC30" s="4" t="s">
        <v>62</v>
      </c>
      <c r="AD30" s="4">
        <v>0.9</v>
      </c>
      <c r="AE30" s="4">
        <v>0.5</v>
      </c>
      <c r="AF30" s="4">
        <v>0.6</v>
      </c>
      <c r="AG30" s="4">
        <v>0.34</v>
      </c>
      <c r="AH30" s="6">
        <v>380.51156600000002</v>
      </c>
      <c r="AI30" s="4">
        <v>0</v>
      </c>
      <c r="AJ30" s="5"/>
      <c r="AK30" s="5"/>
      <c r="AL30" s="5"/>
      <c r="AM30" s="5"/>
      <c r="AO30" s="4" t="s">
        <v>63</v>
      </c>
      <c r="AP30" s="4">
        <v>0.9</v>
      </c>
      <c r="AQ30" s="4">
        <v>0.5</v>
      </c>
      <c r="AR30" s="4">
        <v>0.6</v>
      </c>
      <c r="AS30" s="4">
        <v>0.3</v>
      </c>
      <c r="AT30" s="6">
        <v>931.76428199999998</v>
      </c>
      <c r="AU30" s="4">
        <v>4.0000000000000001E-3</v>
      </c>
      <c r="AW30" s="4" t="s">
        <v>63</v>
      </c>
      <c r="AX30" s="4">
        <v>0.9</v>
      </c>
      <c r="AY30" s="4">
        <v>0.5</v>
      </c>
      <c r="AZ30" s="4">
        <v>0.6</v>
      </c>
      <c r="BA30" s="4">
        <v>0.32</v>
      </c>
      <c r="BB30" s="4">
        <v>977.73584000000005</v>
      </c>
      <c r="BC30" s="4">
        <v>4.0000000000000001E-3</v>
      </c>
      <c r="BD30" s="5"/>
      <c r="BE30" s="5"/>
      <c r="BF30" s="5"/>
      <c r="BG30" s="5"/>
      <c r="BI30" s="4" t="s">
        <v>63</v>
      </c>
      <c r="BJ30" s="4">
        <v>0.9</v>
      </c>
      <c r="BK30" s="4">
        <v>0.5</v>
      </c>
      <c r="BL30" s="4">
        <v>0.6</v>
      </c>
      <c r="BM30" s="4">
        <v>0.3</v>
      </c>
      <c r="BN30" s="6">
        <v>920.10382100000004</v>
      </c>
      <c r="BO30" s="4">
        <v>4.0000000000000001E-3</v>
      </c>
      <c r="BQ30" s="4" t="s">
        <v>63</v>
      </c>
      <c r="BR30" s="4">
        <v>0.9</v>
      </c>
      <c r="BS30" s="4">
        <v>0.5</v>
      </c>
      <c r="BT30" s="4">
        <v>0.6</v>
      </c>
      <c r="BU30" s="4">
        <v>0.32</v>
      </c>
      <c r="BV30" s="4">
        <v>956.59252900000001</v>
      </c>
      <c r="BW30" s="4">
        <v>5.0000000000000001E-3</v>
      </c>
      <c r="BX30" s="5"/>
      <c r="BY30" s="5"/>
      <c r="BZ30" s="5"/>
      <c r="CA30" s="5"/>
    </row>
    <row r="31" spans="1:79" x14ac:dyDescent="0.3">
      <c r="A31" s="4" t="s">
        <v>64</v>
      </c>
      <c r="B31" s="4">
        <v>0.9</v>
      </c>
      <c r="C31" s="4">
        <v>0.5</v>
      </c>
      <c r="D31" s="4">
        <v>0.6</v>
      </c>
      <c r="E31" s="4">
        <v>0.3</v>
      </c>
      <c r="F31" s="6">
        <v>548.00329599999998</v>
      </c>
      <c r="G31" s="4">
        <v>0</v>
      </c>
      <c r="I31" s="4" t="s">
        <v>64</v>
      </c>
      <c r="J31" s="4">
        <v>0.9</v>
      </c>
      <c r="K31" s="4">
        <v>0.5</v>
      </c>
      <c r="L31" s="4">
        <v>0.6</v>
      </c>
      <c r="M31" s="4">
        <v>0.31</v>
      </c>
      <c r="N31" s="4">
        <v>554.31097399999999</v>
      </c>
      <c r="O31" s="4">
        <v>1E-3</v>
      </c>
      <c r="P31" s="5"/>
      <c r="Q31" s="5"/>
      <c r="R31" s="5"/>
      <c r="S31" s="5"/>
      <c r="U31" s="4" t="s">
        <v>64</v>
      </c>
      <c r="V31" s="4">
        <v>0.9</v>
      </c>
      <c r="W31" s="4">
        <v>0.5</v>
      </c>
      <c r="X31" s="4">
        <v>0.6</v>
      </c>
      <c r="Y31" s="4">
        <v>0.3</v>
      </c>
      <c r="Z31" s="6">
        <v>521.85815400000001</v>
      </c>
      <c r="AA31" s="4">
        <v>0</v>
      </c>
      <c r="AC31" s="4" t="s">
        <v>64</v>
      </c>
      <c r="AD31" s="4">
        <v>0.9</v>
      </c>
      <c r="AE31" s="4">
        <v>0.5</v>
      </c>
      <c r="AF31" s="4">
        <v>0.6</v>
      </c>
      <c r="AG31" s="4">
        <v>0.3</v>
      </c>
      <c r="AH31" s="4">
        <v>548.44744900000001</v>
      </c>
      <c r="AI31" s="4">
        <v>1E-3</v>
      </c>
      <c r="AJ31" s="5"/>
      <c r="AK31" s="5"/>
      <c r="AL31" s="5"/>
      <c r="AM31" s="5"/>
      <c r="AO31" s="4" t="s">
        <v>65</v>
      </c>
      <c r="AP31" s="4">
        <v>0.9</v>
      </c>
      <c r="AQ31" s="4">
        <v>0.5</v>
      </c>
      <c r="AR31" s="4">
        <v>0.6</v>
      </c>
      <c r="AS31" s="4">
        <v>0.3</v>
      </c>
      <c r="AT31" s="6">
        <v>866.62243699999999</v>
      </c>
      <c r="AU31" s="4">
        <v>4.0000000000000001E-3</v>
      </c>
      <c r="AW31" s="4" t="s">
        <v>65</v>
      </c>
      <c r="AX31" s="4">
        <v>0.9</v>
      </c>
      <c r="AY31" s="4">
        <v>0.5</v>
      </c>
      <c r="AZ31" s="4">
        <v>0.6</v>
      </c>
      <c r="BA31" s="4">
        <v>0.41</v>
      </c>
      <c r="BB31" s="4">
        <v>922.66888400000005</v>
      </c>
      <c r="BC31" s="4">
        <v>5.0000000000000001E-3</v>
      </c>
      <c r="BD31" s="5"/>
      <c r="BE31" s="5"/>
      <c r="BF31" s="5"/>
      <c r="BG31" s="5"/>
      <c r="BI31" s="4" t="s">
        <v>65</v>
      </c>
      <c r="BJ31" s="4">
        <v>0.9</v>
      </c>
      <c r="BK31" s="4">
        <v>0.5</v>
      </c>
      <c r="BL31" s="4">
        <v>0.6</v>
      </c>
      <c r="BM31" s="4">
        <v>0.3</v>
      </c>
      <c r="BN31" s="6">
        <v>865.77734399999997</v>
      </c>
      <c r="BO31" s="4">
        <v>5.0000000000000001E-3</v>
      </c>
      <c r="BQ31" s="4" t="s">
        <v>65</v>
      </c>
      <c r="BR31" s="4">
        <v>0.9</v>
      </c>
      <c r="BS31" s="4">
        <v>0.5</v>
      </c>
      <c r="BT31" s="4">
        <v>0.6</v>
      </c>
      <c r="BU31" s="4">
        <v>0.38</v>
      </c>
      <c r="BV31" s="4">
        <v>923.75964399999998</v>
      </c>
      <c r="BW31" s="4">
        <v>5.0000000000000001E-3</v>
      </c>
      <c r="BX31" s="5"/>
      <c r="BY31" s="5"/>
      <c r="BZ31" s="5"/>
      <c r="CA31" s="5"/>
    </row>
    <row r="32" spans="1:79" x14ac:dyDescent="0.3">
      <c r="A32" s="4" t="s">
        <v>66</v>
      </c>
      <c r="B32" s="4">
        <v>0.9</v>
      </c>
      <c r="C32" s="4">
        <v>0.5</v>
      </c>
      <c r="D32" s="4">
        <v>0.6</v>
      </c>
      <c r="E32" s="4">
        <v>0.3</v>
      </c>
      <c r="F32" s="6">
        <v>475.90417500000001</v>
      </c>
      <c r="G32" s="4">
        <v>1E-3</v>
      </c>
      <c r="I32" s="4" t="s">
        <v>66</v>
      </c>
      <c r="J32" s="4">
        <v>0.9</v>
      </c>
      <c r="K32" s="4">
        <v>0.5</v>
      </c>
      <c r="L32" s="4">
        <v>0.6</v>
      </c>
      <c r="M32" s="4">
        <v>0.34</v>
      </c>
      <c r="N32" s="4">
        <v>509.14325000000002</v>
      </c>
      <c r="O32" s="4">
        <v>1E-3</v>
      </c>
      <c r="P32" s="5"/>
      <c r="Q32" s="5"/>
      <c r="R32" s="5"/>
      <c r="S32" s="5"/>
      <c r="U32" s="4" t="s">
        <v>66</v>
      </c>
      <c r="V32" s="4">
        <v>0.9</v>
      </c>
      <c r="W32" s="4">
        <v>0.5</v>
      </c>
      <c r="X32" s="4">
        <v>0.6</v>
      </c>
      <c r="Y32" s="4">
        <v>0.3</v>
      </c>
      <c r="Z32" s="6">
        <v>445.788544</v>
      </c>
      <c r="AA32" s="4">
        <v>1E-3</v>
      </c>
      <c r="AC32" s="4" t="s">
        <v>66</v>
      </c>
      <c r="AD32" s="4">
        <v>0.9</v>
      </c>
      <c r="AE32" s="4">
        <v>0.5</v>
      </c>
      <c r="AF32" s="4">
        <v>0.6</v>
      </c>
      <c r="AG32" s="4">
        <v>0.39</v>
      </c>
      <c r="AH32" s="4">
        <v>474.60919200000001</v>
      </c>
      <c r="AI32" s="4">
        <v>1E-3</v>
      </c>
      <c r="AJ32" s="5"/>
      <c r="AK32" s="5"/>
      <c r="AL32" s="5"/>
      <c r="AM32" s="5"/>
      <c r="AO32" s="4" t="s">
        <v>67</v>
      </c>
      <c r="AP32" s="4">
        <v>0.9</v>
      </c>
      <c r="AQ32" s="4">
        <v>0.5</v>
      </c>
      <c r="AR32" s="4">
        <v>0.6</v>
      </c>
      <c r="AS32" s="4">
        <v>0.3</v>
      </c>
      <c r="AT32" s="6">
        <v>953.27716099999998</v>
      </c>
      <c r="AU32" s="4">
        <v>5.0000000000000001E-3</v>
      </c>
      <c r="AW32" s="4" t="s">
        <v>67</v>
      </c>
      <c r="AX32" s="4">
        <v>0.9</v>
      </c>
      <c r="AY32" s="4">
        <v>0.5</v>
      </c>
      <c r="AZ32" s="4">
        <v>0.6</v>
      </c>
      <c r="BA32" s="4">
        <v>0.32</v>
      </c>
      <c r="BB32" s="4">
        <v>978.05761700000005</v>
      </c>
      <c r="BC32" s="4">
        <v>5.0000000000000001E-3</v>
      </c>
      <c r="BD32" s="5"/>
      <c r="BE32" s="5"/>
      <c r="BF32" s="5"/>
      <c r="BG32" s="5"/>
      <c r="BI32" s="4" t="s">
        <v>67</v>
      </c>
      <c r="BJ32" s="4">
        <v>0.9</v>
      </c>
      <c r="BK32" s="4">
        <v>0.5</v>
      </c>
      <c r="BL32" s="4">
        <v>0.6</v>
      </c>
      <c r="BM32" s="4">
        <v>0.3</v>
      </c>
      <c r="BN32" s="6">
        <v>930.85375999999997</v>
      </c>
      <c r="BO32" s="4">
        <v>5.0000000000000001E-3</v>
      </c>
      <c r="BQ32" s="4" t="s">
        <v>67</v>
      </c>
      <c r="BR32" s="4">
        <v>0.9</v>
      </c>
      <c r="BS32" s="4">
        <v>0.5</v>
      </c>
      <c r="BT32" s="4">
        <v>0.6</v>
      </c>
      <c r="BU32" s="4">
        <v>0.36</v>
      </c>
      <c r="BV32" s="4">
        <v>970.29284700000005</v>
      </c>
      <c r="BW32" s="4">
        <v>5.0000000000000001E-3</v>
      </c>
      <c r="BX32" s="5"/>
      <c r="BY32" s="5"/>
      <c r="BZ32" s="5"/>
      <c r="CA32" s="5"/>
    </row>
    <row r="33" spans="1:79" x14ac:dyDescent="0.3">
      <c r="A33" s="4" t="s">
        <v>68</v>
      </c>
      <c r="B33" s="4">
        <v>0.9</v>
      </c>
      <c r="C33" s="4">
        <v>0.5</v>
      </c>
      <c r="D33" s="4">
        <v>0.6</v>
      </c>
      <c r="E33" s="4">
        <v>0.3</v>
      </c>
      <c r="F33" s="4">
        <v>394.50817899999998</v>
      </c>
      <c r="G33" s="4">
        <v>1E-3</v>
      </c>
      <c r="I33" s="4" t="s">
        <v>68</v>
      </c>
      <c r="J33" s="4">
        <v>0.9</v>
      </c>
      <c r="K33" s="4">
        <v>0.5</v>
      </c>
      <c r="L33" s="4">
        <v>0.6</v>
      </c>
      <c r="M33" s="4">
        <v>0.34</v>
      </c>
      <c r="N33" s="6">
        <v>391.43301400000001</v>
      </c>
      <c r="O33" s="4">
        <v>0</v>
      </c>
      <c r="P33" s="5"/>
      <c r="Q33" s="5"/>
      <c r="R33" s="5"/>
      <c r="S33" s="5"/>
      <c r="U33" s="4" t="s">
        <v>68</v>
      </c>
      <c r="V33" s="4">
        <v>0.9</v>
      </c>
      <c r="W33" s="4">
        <v>0.5</v>
      </c>
      <c r="X33" s="4">
        <v>0.6</v>
      </c>
      <c r="Y33" s="4">
        <v>0.3</v>
      </c>
      <c r="Z33" s="8">
        <v>375.28085299999998</v>
      </c>
      <c r="AA33" s="4">
        <v>3.0000000000000001E-3</v>
      </c>
      <c r="AC33" s="4" t="s">
        <v>68</v>
      </c>
      <c r="AD33" s="4">
        <v>0.9</v>
      </c>
      <c r="AE33" s="4">
        <v>0.5</v>
      </c>
      <c r="AF33" s="4">
        <v>0.6</v>
      </c>
      <c r="AG33" s="4">
        <v>0.48</v>
      </c>
      <c r="AH33" s="6">
        <v>375.23397799999998</v>
      </c>
      <c r="AI33" s="4">
        <v>1E-3</v>
      </c>
      <c r="AJ33" s="5"/>
      <c r="AK33" s="5"/>
      <c r="AL33" s="5"/>
      <c r="AM33" s="5"/>
      <c r="AO33" s="4" t="s">
        <v>69</v>
      </c>
      <c r="AP33" s="4">
        <v>0.9</v>
      </c>
      <c r="AQ33" s="4">
        <v>0.5</v>
      </c>
      <c r="AR33" s="4">
        <v>0.6</v>
      </c>
      <c r="AS33" s="4">
        <v>0.3</v>
      </c>
      <c r="AT33" s="6">
        <v>946.91510000000005</v>
      </c>
      <c r="AU33" s="4">
        <v>5.0000000000000001E-3</v>
      </c>
      <c r="AW33" s="4" t="s">
        <v>69</v>
      </c>
      <c r="AX33" s="4">
        <v>0.9</v>
      </c>
      <c r="AY33" s="4">
        <v>0.5</v>
      </c>
      <c r="AZ33" s="4">
        <v>0.6</v>
      </c>
      <c r="BA33" s="4">
        <v>0.32</v>
      </c>
      <c r="BB33" s="4">
        <v>984.48223900000005</v>
      </c>
      <c r="BC33" s="4">
        <v>4.0000000000000001E-3</v>
      </c>
      <c r="BD33" s="5"/>
      <c r="BE33" s="5"/>
      <c r="BF33" s="5"/>
      <c r="BG33" s="5"/>
      <c r="BI33" s="4" t="s">
        <v>69</v>
      </c>
      <c r="BJ33" s="4">
        <v>0.9</v>
      </c>
      <c r="BK33" s="4">
        <v>0.5</v>
      </c>
      <c r="BL33" s="4">
        <v>0.6</v>
      </c>
      <c r="BM33" s="4">
        <v>0.3</v>
      </c>
      <c r="BN33" s="6">
        <v>926.81298800000002</v>
      </c>
      <c r="BO33" s="4">
        <v>5.0000000000000001E-3</v>
      </c>
      <c r="BQ33" s="4" t="s">
        <v>69</v>
      </c>
      <c r="BR33" s="4">
        <v>0.9</v>
      </c>
      <c r="BS33" s="4">
        <v>0.5</v>
      </c>
      <c r="BT33" s="4">
        <v>0.6</v>
      </c>
      <c r="BU33" s="4">
        <v>0.3</v>
      </c>
      <c r="BV33" s="4">
        <v>954.09082000000001</v>
      </c>
      <c r="BW33" s="4">
        <v>5.0000000000000001E-3</v>
      </c>
      <c r="BX33" s="5"/>
      <c r="BY33" s="5"/>
      <c r="BZ33" s="5"/>
      <c r="CA33" s="5"/>
    </row>
    <row r="34" spans="1:79" x14ac:dyDescent="0.3">
      <c r="A34" s="14" t="s">
        <v>316</v>
      </c>
      <c r="E34" s="14">
        <f>AVERAGE(E4:E33)</f>
        <v>0.3</v>
      </c>
      <c r="I34" s="4" t="s">
        <v>316</v>
      </c>
      <c r="M34" s="4">
        <f>AVERAGE(M4:M33)</f>
        <v>0.34933333333333333</v>
      </c>
      <c r="P34" s="5"/>
      <c r="Q34" s="5"/>
      <c r="R34" s="5"/>
      <c r="S34" s="5"/>
      <c r="U34" s="14" t="s">
        <v>316</v>
      </c>
      <c r="Y34" s="14">
        <f>AVERAGE(Y4:Y33)</f>
        <v>0.3</v>
      </c>
      <c r="AC34" s="4" t="s">
        <v>316</v>
      </c>
      <c r="AG34" s="4">
        <f>AVERAGE(AG4:AG33)</f>
        <v>0.37133333333333346</v>
      </c>
      <c r="AJ34" s="5"/>
      <c r="AK34" s="5"/>
      <c r="AL34" s="5"/>
      <c r="AM34" s="5"/>
      <c r="AO34" s="14" t="s">
        <v>316</v>
      </c>
      <c r="AS34" s="14">
        <f>AVERAGE(AS4:AS33)</f>
        <v>0.3</v>
      </c>
      <c r="AW34" s="14" t="s">
        <v>316</v>
      </c>
      <c r="BA34" s="14">
        <f>AVERAGE(BA4:BA33)</f>
        <v>0.3183333333333333</v>
      </c>
      <c r="BD34" s="5"/>
      <c r="BE34" s="5"/>
      <c r="BF34" s="5"/>
      <c r="BG34" s="5"/>
      <c r="BI34" s="14" t="s">
        <v>316</v>
      </c>
      <c r="BM34" s="14">
        <f>AVERAGE(BM4:BM33)</f>
        <v>0.3</v>
      </c>
      <c r="BQ34" s="14" t="s">
        <v>316</v>
      </c>
      <c r="BU34" s="14">
        <f>AVERAGE(BU4:BU33)</f>
        <v>0.32333333333333336</v>
      </c>
      <c r="BX34" s="5"/>
      <c r="BY34" s="5"/>
      <c r="BZ34" s="5"/>
      <c r="CA34" s="5"/>
    </row>
    <row r="35" spans="1:79" x14ac:dyDescent="0.3">
      <c r="P35" s="5"/>
      <c r="Q35" s="5"/>
      <c r="R35" s="5"/>
      <c r="S35" s="5"/>
      <c r="AJ35" s="5"/>
      <c r="AK35" s="5"/>
      <c r="AL35" s="5"/>
      <c r="AM35" s="5"/>
      <c r="BD35" s="5"/>
      <c r="BE35" s="5"/>
      <c r="BF35" s="5"/>
      <c r="BG35" s="5"/>
      <c r="BX35" s="5"/>
      <c r="BY35" s="5"/>
      <c r="BZ35" s="5"/>
      <c r="CA35" s="5"/>
    </row>
    <row r="36" spans="1:79" x14ac:dyDescent="0.3">
      <c r="P36" s="5"/>
      <c r="Q36" s="5"/>
      <c r="R36" s="5"/>
      <c r="S36" s="5"/>
      <c r="AJ36" s="5"/>
      <c r="AK36" s="5"/>
      <c r="AL36" s="5"/>
      <c r="AM36" s="5"/>
      <c r="BD36" s="5"/>
      <c r="BE36" s="5"/>
      <c r="BF36" s="5"/>
      <c r="BG36" s="5"/>
      <c r="BX36" s="5"/>
      <c r="BY36" s="5"/>
      <c r="BZ36" s="5"/>
      <c r="CA36" s="5"/>
    </row>
    <row r="37" spans="1:79" x14ac:dyDescent="0.3">
      <c r="A37" s="23" t="s">
        <v>314</v>
      </c>
      <c r="B37" s="23"/>
      <c r="C37" s="23"/>
      <c r="D37" s="23"/>
      <c r="E37" s="23"/>
      <c r="F37" s="23"/>
      <c r="G37" s="23"/>
      <c r="I37" s="23" t="s">
        <v>314</v>
      </c>
      <c r="J37" s="23"/>
      <c r="K37" s="23"/>
      <c r="L37" s="23"/>
      <c r="M37" s="23"/>
      <c r="N37" s="23"/>
      <c r="O37" s="23"/>
      <c r="P37" s="11"/>
      <c r="Q37" s="11"/>
      <c r="R37" s="11"/>
      <c r="S37" s="11"/>
      <c r="U37" s="23" t="s">
        <v>314</v>
      </c>
      <c r="V37" s="23"/>
      <c r="W37" s="23"/>
      <c r="X37" s="23"/>
      <c r="Y37" s="23"/>
      <c r="Z37" s="23"/>
      <c r="AA37" s="23"/>
      <c r="AC37" s="23" t="s">
        <v>314</v>
      </c>
      <c r="AD37" s="23"/>
      <c r="AE37" s="23"/>
      <c r="AF37" s="23"/>
      <c r="AG37" s="23"/>
      <c r="AH37" s="23"/>
      <c r="AI37" s="23"/>
      <c r="AJ37" s="11"/>
      <c r="AK37" s="11"/>
      <c r="AL37" s="11"/>
      <c r="AM37" s="11"/>
      <c r="AO37" s="23" t="s">
        <v>314</v>
      </c>
      <c r="AP37" s="23"/>
      <c r="AQ37" s="23"/>
      <c r="AR37" s="23"/>
      <c r="AS37" s="23"/>
      <c r="AT37" s="23"/>
      <c r="AU37" s="23"/>
      <c r="AW37" s="23" t="s">
        <v>314</v>
      </c>
      <c r="AX37" s="23"/>
      <c r="AY37" s="23"/>
      <c r="AZ37" s="23"/>
      <c r="BA37" s="23"/>
      <c r="BB37" s="23"/>
      <c r="BC37" s="23"/>
      <c r="BD37" s="11"/>
      <c r="BE37" s="11"/>
      <c r="BF37" s="11"/>
      <c r="BG37" s="11"/>
      <c r="BI37" s="23" t="s">
        <v>314</v>
      </c>
      <c r="BJ37" s="23"/>
      <c r="BK37" s="23"/>
      <c r="BL37" s="23"/>
      <c r="BM37" s="23"/>
      <c r="BN37" s="23"/>
      <c r="BO37" s="23"/>
      <c r="BQ37" s="23" t="s">
        <v>314</v>
      </c>
      <c r="BR37" s="23"/>
      <c r="BS37" s="23"/>
      <c r="BT37" s="23"/>
      <c r="BU37" s="23"/>
      <c r="BV37" s="23"/>
      <c r="BW37" s="23"/>
      <c r="BX37" s="11"/>
      <c r="BY37" s="11"/>
      <c r="BZ37" s="11"/>
      <c r="CA37" s="11"/>
    </row>
    <row r="38" spans="1:79" x14ac:dyDescent="0.3">
      <c r="A38" s="24" t="s">
        <v>70</v>
      </c>
      <c r="B38" s="25"/>
      <c r="C38" s="25"/>
      <c r="D38" s="25"/>
      <c r="E38" s="25"/>
      <c r="F38" s="25"/>
      <c r="G38" s="26"/>
      <c r="I38" s="23" t="s">
        <v>70</v>
      </c>
      <c r="J38" s="23"/>
      <c r="K38" s="23"/>
      <c r="L38" s="23"/>
      <c r="M38" s="23"/>
      <c r="N38" s="23"/>
      <c r="O38" s="23"/>
      <c r="P38" s="11"/>
      <c r="Q38" s="11"/>
      <c r="R38" s="11"/>
      <c r="S38" s="11"/>
      <c r="U38" s="24" t="s">
        <v>71</v>
      </c>
      <c r="V38" s="25"/>
      <c r="W38" s="25"/>
      <c r="X38" s="25"/>
      <c r="Y38" s="25"/>
      <c r="Z38" s="25"/>
      <c r="AA38" s="26"/>
      <c r="AC38" s="23" t="s">
        <v>71</v>
      </c>
      <c r="AD38" s="23"/>
      <c r="AE38" s="23"/>
      <c r="AF38" s="23"/>
      <c r="AG38" s="23"/>
      <c r="AH38" s="23"/>
      <c r="AI38" s="23"/>
      <c r="AJ38" s="11"/>
      <c r="AK38" s="11"/>
      <c r="AL38" s="11"/>
      <c r="AM38" s="11"/>
      <c r="AO38" s="4" t="s">
        <v>70</v>
      </c>
      <c r="AP38" s="4"/>
      <c r="AQ38" s="4"/>
      <c r="AR38" s="4"/>
      <c r="AS38" s="4"/>
      <c r="AT38" s="4"/>
      <c r="AU38" s="4"/>
      <c r="AW38" s="23" t="s">
        <v>70</v>
      </c>
      <c r="AX38" s="23"/>
      <c r="AY38" s="23"/>
      <c r="AZ38" s="23"/>
      <c r="BA38" s="23"/>
      <c r="BB38" s="23"/>
      <c r="BC38" s="23"/>
      <c r="BD38" s="11"/>
      <c r="BE38" s="11"/>
      <c r="BF38" s="11"/>
      <c r="BG38" s="11"/>
      <c r="BI38" s="4" t="s">
        <v>71</v>
      </c>
      <c r="BJ38" s="4"/>
      <c r="BK38" s="4"/>
      <c r="BL38" s="4"/>
      <c r="BM38" s="4"/>
      <c r="BN38" s="4"/>
      <c r="BO38" s="4"/>
      <c r="BQ38" s="23" t="s">
        <v>71</v>
      </c>
      <c r="BR38" s="23"/>
      <c r="BS38" s="23"/>
      <c r="BT38" s="23"/>
      <c r="BU38" s="23"/>
      <c r="BV38" s="23"/>
      <c r="BW38" s="23"/>
      <c r="BX38" s="11"/>
      <c r="BY38" s="11"/>
      <c r="BZ38" s="11"/>
      <c r="CA38" s="11"/>
    </row>
    <row r="39" spans="1:79" x14ac:dyDescent="0.3">
      <c r="A39" s="4" t="s">
        <v>2</v>
      </c>
      <c r="B39" s="4" t="s">
        <v>3</v>
      </c>
      <c r="C39" s="4" t="s">
        <v>4</v>
      </c>
      <c r="D39" s="4" t="s">
        <v>5</v>
      </c>
      <c r="E39" s="4" t="s">
        <v>6</v>
      </c>
      <c r="F39" s="4" t="s">
        <v>7</v>
      </c>
      <c r="G39" s="4" t="s">
        <v>8</v>
      </c>
      <c r="I39" s="4" t="s">
        <v>2</v>
      </c>
      <c r="J39" s="4" t="s">
        <v>3</v>
      </c>
      <c r="K39" s="4" t="s">
        <v>4</v>
      </c>
      <c r="L39" s="4" t="s">
        <v>5</v>
      </c>
      <c r="M39" s="4" t="s">
        <v>6</v>
      </c>
      <c r="N39" s="4" t="s">
        <v>7</v>
      </c>
      <c r="O39" s="4" t="s">
        <v>8</v>
      </c>
      <c r="P39" s="3" t="s">
        <v>322</v>
      </c>
      <c r="Q39" s="3" t="s">
        <v>323</v>
      </c>
      <c r="R39" s="3" t="s">
        <v>322</v>
      </c>
      <c r="S39" s="3" t="s">
        <v>323</v>
      </c>
      <c r="U39" s="4" t="s">
        <v>2</v>
      </c>
      <c r="V39" s="4" t="s">
        <v>3</v>
      </c>
      <c r="W39" s="4" t="s">
        <v>4</v>
      </c>
      <c r="X39" s="4" t="s">
        <v>5</v>
      </c>
      <c r="Y39" s="4" t="s">
        <v>6</v>
      </c>
      <c r="Z39" s="4" t="s">
        <v>7</v>
      </c>
      <c r="AA39" s="4" t="s">
        <v>8</v>
      </c>
      <c r="AC39" s="4" t="s">
        <v>2</v>
      </c>
      <c r="AD39" s="4" t="s">
        <v>3</v>
      </c>
      <c r="AE39" s="4" t="s">
        <v>4</v>
      </c>
      <c r="AF39" s="4" t="s">
        <v>5</v>
      </c>
      <c r="AG39" s="4" t="s">
        <v>6</v>
      </c>
      <c r="AH39" s="4" t="s">
        <v>7</v>
      </c>
      <c r="AI39" s="4" t="s">
        <v>8</v>
      </c>
      <c r="AJ39" s="3" t="s">
        <v>322</v>
      </c>
      <c r="AK39" s="3" t="s">
        <v>323</v>
      </c>
      <c r="AL39" s="3" t="s">
        <v>322</v>
      </c>
      <c r="AM39" s="3" t="s">
        <v>323</v>
      </c>
      <c r="AO39" s="4" t="s">
        <v>2</v>
      </c>
      <c r="AP39" s="4" t="s">
        <v>3</v>
      </c>
      <c r="AQ39" s="4" t="s">
        <v>4</v>
      </c>
      <c r="AR39" s="4" t="s">
        <v>5</v>
      </c>
      <c r="AS39" s="4" t="s">
        <v>6</v>
      </c>
      <c r="AT39" s="4" t="s">
        <v>7</v>
      </c>
      <c r="AU39" s="4" t="s">
        <v>8</v>
      </c>
      <c r="AW39" s="4" t="s">
        <v>2</v>
      </c>
      <c r="AX39" s="4" t="s">
        <v>3</v>
      </c>
      <c r="AY39" s="4" t="s">
        <v>4</v>
      </c>
      <c r="AZ39" s="4" t="s">
        <v>5</v>
      </c>
      <c r="BA39" s="4" t="s">
        <v>6</v>
      </c>
      <c r="BB39" s="4" t="s">
        <v>7</v>
      </c>
      <c r="BC39" s="4" t="s">
        <v>8</v>
      </c>
      <c r="BD39" s="3" t="s">
        <v>322</v>
      </c>
      <c r="BE39" s="3" t="s">
        <v>323</v>
      </c>
      <c r="BF39" s="3" t="s">
        <v>322</v>
      </c>
      <c r="BG39" s="3" t="s">
        <v>323</v>
      </c>
      <c r="BI39" s="4" t="s">
        <v>2</v>
      </c>
      <c r="BJ39" s="4" t="s">
        <v>3</v>
      </c>
      <c r="BK39" s="4" t="s">
        <v>4</v>
      </c>
      <c r="BL39" s="4" t="s">
        <v>5</v>
      </c>
      <c r="BM39" s="4" t="s">
        <v>6</v>
      </c>
      <c r="BN39" s="4" t="s">
        <v>7</v>
      </c>
      <c r="BO39" s="4" t="s">
        <v>8</v>
      </c>
      <c r="BQ39" s="4" t="s">
        <v>2</v>
      </c>
      <c r="BR39" s="4" t="s">
        <v>3</v>
      </c>
      <c r="BS39" s="4" t="s">
        <v>4</v>
      </c>
      <c r="BT39" s="4" t="s">
        <v>5</v>
      </c>
      <c r="BU39" s="4" t="s">
        <v>6</v>
      </c>
      <c r="BV39" s="4" t="s">
        <v>7</v>
      </c>
      <c r="BW39" s="4" t="s">
        <v>8</v>
      </c>
      <c r="BX39" s="3" t="s">
        <v>322</v>
      </c>
      <c r="BY39" s="3" t="s">
        <v>323</v>
      </c>
      <c r="BZ39" s="3" t="s">
        <v>322</v>
      </c>
      <c r="CA39" s="3" t="s">
        <v>323</v>
      </c>
    </row>
    <row r="40" spans="1:79" x14ac:dyDescent="0.3">
      <c r="A40" s="4" t="s">
        <v>10</v>
      </c>
      <c r="B40" s="4">
        <v>0.9</v>
      </c>
      <c r="C40" s="4">
        <v>0.5</v>
      </c>
      <c r="D40" s="4">
        <v>0.6</v>
      </c>
      <c r="E40" s="4">
        <v>0.3</v>
      </c>
      <c r="F40" s="4">
        <v>389.73577899999998</v>
      </c>
      <c r="G40" s="4">
        <v>0</v>
      </c>
      <c r="I40" s="4" t="s">
        <v>10</v>
      </c>
      <c r="J40" s="4">
        <v>0.9</v>
      </c>
      <c r="K40" s="4">
        <v>0.5</v>
      </c>
      <c r="L40" s="4">
        <v>0.6</v>
      </c>
      <c r="M40" s="4">
        <v>0.39</v>
      </c>
      <c r="N40" s="6">
        <v>388.174103</v>
      </c>
      <c r="O40" s="4">
        <v>0</v>
      </c>
      <c r="P40" s="4" t="s">
        <v>324</v>
      </c>
      <c r="Q40" s="4" t="s">
        <v>324</v>
      </c>
      <c r="R40" s="4" t="s">
        <v>325</v>
      </c>
      <c r="S40" s="4" t="s">
        <v>325</v>
      </c>
      <c r="U40" s="4" t="s">
        <v>10</v>
      </c>
      <c r="V40" s="4">
        <v>0.9</v>
      </c>
      <c r="W40" s="4">
        <v>0.5</v>
      </c>
      <c r="X40" s="4">
        <v>0.6</v>
      </c>
      <c r="Y40" s="4">
        <v>0.3</v>
      </c>
      <c r="Z40" s="6">
        <v>370.99807700000002</v>
      </c>
      <c r="AA40" s="4">
        <v>1E-3</v>
      </c>
      <c r="AC40" s="4" t="s">
        <v>10</v>
      </c>
      <c r="AD40" s="4">
        <v>0.9</v>
      </c>
      <c r="AE40" s="4">
        <v>0.5</v>
      </c>
      <c r="AF40" s="4">
        <v>0.6</v>
      </c>
      <c r="AG40" s="4">
        <v>0.4</v>
      </c>
      <c r="AH40" s="6">
        <v>370.99807700000002</v>
      </c>
      <c r="AI40" s="4">
        <v>0</v>
      </c>
      <c r="AJ40" s="4" t="s">
        <v>324</v>
      </c>
      <c r="AK40" s="4" t="s">
        <v>324</v>
      </c>
      <c r="AL40" s="4" t="s">
        <v>325</v>
      </c>
      <c r="AM40" s="4" t="s">
        <v>325</v>
      </c>
      <c r="AO40" s="4" t="s">
        <v>11</v>
      </c>
      <c r="AP40" s="4">
        <v>0.9</v>
      </c>
      <c r="AQ40" s="4">
        <v>0.5</v>
      </c>
      <c r="AR40" s="4">
        <v>0.6</v>
      </c>
      <c r="AS40" s="4">
        <v>0.3</v>
      </c>
      <c r="AT40" s="6">
        <v>741.26623500000005</v>
      </c>
      <c r="AU40" s="4">
        <v>6.0000000000000001E-3</v>
      </c>
      <c r="AW40" s="4" t="s">
        <v>11</v>
      </c>
      <c r="AX40" s="4">
        <v>0.9</v>
      </c>
      <c r="AY40" s="4">
        <v>0.5</v>
      </c>
      <c r="AZ40" s="4">
        <v>0.6</v>
      </c>
      <c r="BA40" s="4">
        <v>0.31</v>
      </c>
      <c r="BB40" s="4">
        <v>768.95526099999995</v>
      </c>
      <c r="BC40" s="4">
        <v>4.0000000000000001E-3</v>
      </c>
      <c r="BD40" s="4" t="s">
        <v>324</v>
      </c>
      <c r="BE40" s="4" t="s">
        <v>324</v>
      </c>
      <c r="BF40" s="4" t="s">
        <v>325</v>
      </c>
      <c r="BG40" s="4" t="s">
        <v>325</v>
      </c>
      <c r="BI40" s="4" t="s">
        <v>11</v>
      </c>
      <c r="BJ40" s="4">
        <v>0.9</v>
      </c>
      <c r="BK40" s="4">
        <v>0.5</v>
      </c>
      <c r="BL40" s="4">
        <v>0.6</v>
      </c>
      <c r="BM40" s="4">
        <v>0.3</v>
      </c>
      <c r="BN40" s="6">
        <v>716.33593800000006</v>
      </c>
      <c r="BO40" s="4">
        <v>4.0000000000000001E-3</v>
      </c>
      <c r="BQ40" s="4" t="s">
        <v>11</v>
      </c>
      <c r="BR40" s="4">
        <v>0.9</v>
      </c>
      <c r="BS40" s="4">
        <v>0.5</v>
      </c>
      <c r="BT40" s="4">
        <v>0.6</v>
      </c>
      <c r="BU40" s="4">
        <v>0.3</v>
      </c>
      <c r="BV40" s="4">
        <v>730.73803699999996</v>
      </c>
      <c r="BW40" s="4">
        <v>4.0000000000000001E-3</v>
      </c>
      <c r="BX40" s="4" t="s">
        <v>324</v>
      </c>
      <c r="BY40" s="4" t="s">
        <v>324</v>
      </c>
      <c r="BZ40" s="4" t="s">
        <v>325</v>
      </c>
      <c r="CA40" s="4" t="s">
        <v>325</v>
      </c>
    </row>
    <row r="41" spans="1:79" x14ac:dyDescent="0.3">
      <c r="A41" s="4" t="s">
        <v>12</v>
      </c>
      <c r="B41" s="4">
        <v>0.9</v>
      </c>
      <c r="C41" s="4">
        <v>0.5</v>
      </c>
      <c r="D41" s="4">
        <v>0.6</v>
      </c>
      <c r="E41" s="4">
        <v>0.3</v>
      </c>
      <c r="F41" s="6">
        <v>420.49285900000001</v>
      </c>
      <c r="G41" s="4">
        <v>1E-3</v>
      </c>
      <c r="I41" s="4" t="s">
        <v>12</v>
      </c>
      <c r="J41" s="4">
        <v>0.9</v>
      </c>
      <c r="K41" s="4">
        <v>0.5</v>
      </c>
      <c r="L41" s="4">
        <v>0.6</v>
      </c>
      <c r="M41" s="4">
        <v>0.36</v>
      </c>
      <c r="N41" s="4">
        <v>424.23968500000001</v>
      </c>
      <c r="O41" s="4">
        <v>0</v>
      </c>
      <c r="P41" s="3">
        <f>COUNT(F41:F43,F45:F61,F63:F68)</f>
        <v>26</v>
      </c>
      <c r="Q41" s="3">
        <f>30-P41</f>
        <v>4</v>
      </c>
      <c r="R41" s="3">
        <f>COUNT(N40,N44,N49,N52,N55,N62,N66,N69)</f>
        <v>8</v>
      </c>
      <c r="S41" s="3">
        <f>30-R41</f>
        <v>22</v>
      </c>
      <c r="U41" s="4" t="s">
        <v>12</v>
      </c>
      <c r="V41" s="4">
        <v>0.9</v>
      </c>
      <c r="W41" s="4">
        <v>0.5</v>
      </c>
      <c r="X41" s="4">
        <v>0.6</v>
      </c>
      <c r="Y41" s="4">
        <v>0.3</v>
      </c>
      <c r="Z41" s="6">
        <v>407.82238799999999</v>
      </c>
      <c r="AA41" s="4">
        <v>2E-3</v>
      </c>
      <c r="AC41" s="4" t="s">
        <v>12</v>
      </c>
      <c r="AD41" s="4">
        <v>0.9</v>
      </c>
      <c r="AE41" s="4">
        <v>0.5</v>
      </c>
      <c r="AF41" s="4">
        <v>0.6</v>
      </c>
      <c r="AG41" s="4">
        <v>0.3</v>
      </c>
      <c r="AH41" s="6">
        <v>407.82238799999999</v>
      </c>
      <c r="AI41" s="4">
        <v>1E-3</v>
      </c>
      <c r="AJ41" s="3">
        <f>COUNT(AB40:AB47,AB49:AB52,AB54:AB69)</f>
        <v>0</v>
      </c>
      <c r="AK41" s="3">
        <f>30-AJ41</f>
        <v>30</v>
      </c>
      <c r="AL41" s="3">
        <f>COUNT(AG44,AG48:AG49,AG52:AG53)</f>
        <v>5</v>
      </c>
      <c r="AM41" s="3">
        <f>30-AL41</f>
        <v>25</v>
      </c>
      <c r="AO41" s="4" t="s">
        <v>13</v>
      </c>
      <c r="AP41" s="4">
        <v>0.9</v>
      </c>
      <c r="AQ41" s="4">
        <v>0.5</v>
      </c>
      <c r="AR41" s="4">
        <v>0.6</v>
      </c>
      <c r="AS41" s="4">
        <v>0.3</v>
      </c>
      <c r="AT41" s="6">
        <v>672.15130599999998</v>
      </c>
      <c r="AU41" s="4">
        <v>5.0000000000000001E-3</v>
      </c>
      <c r="AW41" s="4" t="s">
        <v>13</v>
      </c>
      <c r="AX41" s="4">
        <v>0.9</v>
      </c>
      <c r="AY41" s="4">
        <v>0.5</v>
      </c>
      <c r="AZ41" s="4">
        <v>0.6</v>
      </c>
      <c r="BA41" s="4">
        <v>0.31</v>
      </c>
      <c r="BB41" s="4">
        <v>690.28393600000004</v>
      </c>
      <c r="BC41" s="4">
        <v>4.0000000000000001E-3</v>
      </c>
      <c r="BD41" s="3">
        <f>COUNT(AV40:AV47,AV49:AV52,AV54:AV69)</f>
        <v>0</v>
      </c>
      <c r="BE41" s="3">
        <f>30-BD41</f>
        <v>30</v>
      </c>
      <c r="BF41" s="3">
        <f>COUNT(BA44,BA48:BA49,BA52:BA53)</f>
        <v>5</v>
      </c>
      <c r="BG41" s="3">
        <f>30-BF41</f>
        <v>25</v>
      </c>
      <c r="BI41" s="4" t="s">
        <v>13</v>
      </c>
      <c r="BJ41" s="4">
        <v>0.9</v>
      </c>
      <c r="BK41" s="4">
        <v>0.5</v>
      </c>
      <c r="BL41" s="4">
        <v>0.6</v>
      </c>
      <c r="BM41" s="4">
        <v>0.3</v>
      </c>
      <c r="BN41" s="6">
        <v>637.76678500000003</v>
      </c>
      <c r="BO41" s="4">
        <v>4.0000000000000001E-3</v>
      </c>
      <c r="BQ41" s="4" t="s">
        <v>13</v>
      </c>
      <c r="BR41" s="4">
        <v>0.9</v>
      </c>
      <c r="BS41" s="4">
        <v>0.5</v>
      </c>
      <c r="BT41" s="4">
        <v>0.6</v>
      </c>
      <c r="BU41" s="4">
        <v>0.3</v>
      </c>
      <c r="BV41" s="4">
        <v>656.598206</v>
      </c>
      <c r="BW41" s="4">
        <v>3.0000000000000001E-3</v>
      </c>
      <c r="BX41" s="3">
        <f>COUNT(BN40:BN64,BN66:BN69)</f>
        <v>29</v>
      </c>
      <c r="BY41" s="3">
        <f>30-BX41</f>
        <v>1</v>
      </c>
      <c r="BZ41" s="3">
        <f>COUNT(BV65)</f>
        <v>1</v>
      </c>
      <c r="CA41" s="3">
        <f>30-BZ41</f>
        <v>29</v>
      </c>
    </row>
    <row r="42" spans="1:79" x14ac:dyDescent="0.3">
      <c r="A42" s="4" t="s">
        <v>14</v>
      </c>
      <c r="B42" s="4">
        <v>0.9</v>
      </c>
      <c r="C42" s="4">
        <v>0.5</v>
      </c>
      <c r="D42" s="4">
        <v>0.6</v>
      </c>
      <c r="E42" s="4">
        <v>0.3</v>
      </c>
      <c r="F42" s="6">
        <v>365.81158399999998</v>
      </c>
      <c r="G42" s="4">
        <v>1E-3</v>
      </c>
      <c r="I42" s="4" t="s">
        <v>14</v>
      </c>
      <c r="J42" s="4">
        <v>0.9</v>
      </c>
      <c r="K42" s="4">
        <v>0.5</v>
      </c>
      <c r="L42" s="4">
        <v>0.6</v>
      </c>
      <c r="M42" s="4">
        <v>0.31</v>
      </c>
      <c r="N42" s="4">
        <v>368.59149200000002</v>
      </c>
      <c r="O42" s="4">
        <v>0</v>
      </c>
      <c r="P42" s="5"/>
      <c r="Q42" s="5"/>
      <c r="R42" s="5"/>
      <c r="S42" s="5"/>
      <c r="U42" s="4" t="s">
        <v>14</v>
      </c>
      <c r="V42" s="4">
        <v>0.9</v>
      </c>
      <c r="W42" s="4">
        <v>0.5</v>
      </c>
      <c r="X42" s="4">
        <v>0.6</v>
      </c>
      <c r="Y42" s="4">
        <v>0.3</v>
      </c>
      <c r="Z42" s="8">
        <v>342.63439899999997</v>
      </c>
      <c r="AA42" s="4">
        <v>1E-3</v>
      </c>
      <c r="AC42" s="4" t="s">
        <v>14</v>
      </c>
      <c r="AD42" s="4">
        <v>0.9</v>
      </c>
      <c r="AE42" s="4">
        <v>0.5</v>
      </c>
      <c r="AF42" s="4">
        <v>0.6</v>
      </c>
      <c r="AG42" s="4">
        <v>0.33</v>
      </c>
      <c r="AH42" s="6">
        <v>342.37698399999999</v>
      </c>
      <c r="AI42" s="4">
        <v>0</v>
      </c>
      <c r="AJ42" s="5"/>
      <c r="AK42" s="5"/>
      <c r="AL42" s="5"/>
      <c r="AM42" s="5"/>
      <c r="AO42" s="4" t="s">
        <v>15</v>
      </c>
      <c r="AP42" s="4">
        <v>0.9</v>
      </c>
      <c r="AQ42" s="4">
        <v>0.5</v>
      </c>
      <c r="AR42" s="4">
        <v>0.6</v>
      </c>
      <c r="AS42" s="4">
        <v>0.3</v>
      </c>
      <c r="AT42" s="6">
        <v>719.05767800000001</v>
      </c>
      <c r="AU42" s="4">
        <v>5.0000000000000001E-3</v>
      </c>
      <c r="AW42" s="4" t="s">
        <v>15</v>
      </c>
      <c r="AX42" s="4">
        <v>0.9</v>
      </c>
      <c r="AY42" s="4">
        <v>0.5</v>
      </c>
      <c r="AZ42" s="4">
        <v>0.6</v>
      </c>
      <c r="BA42" s="4">
        <v>0.3</v>
      </c>
      <c r="BB42" s="4">
        <v>731.03247099999999</v>
      </c>
      <c r="BC42" s="4">
        <v>5.0000000000000001E-3</v>
      </c>
      <c r="BD42" s="5"/>
      <c r="BE42" s="5"/>
      <c r="BF42" s="5"/>
      <c r="BG42" s="5"/>
      <c r="BI42" s="4" t="s">
        <v>15</v>
      </c>
      <c r="BJ42" s="4">
        <v>0.9</v>
      </c>
      <c r="BK42" s="4">
        <v>0.5</v>
      </c>
      <c r="BL42" s="4">
        <v>0.6</v>
      </c>
      <c r="BM42" s="4">
        <v>0.3</v>
      </c>
      <c r="BN42" s="6">
        <v>692.91436799999997</v>
      </c>
      <c r="BO42" s="4">
        <v>7.0000000000000001E-3</v>
      </c>
      <c r="BQ42" s="4" t="s">
        <v>15</v>
      </c>
      <c r="BR42" s="4">
        <v>0.9</v>
      </c>
      <c r="BS42" s="4">
        <v>0.5</v>
      </c>
      <c r="BT42" s="4">
        <v>0.6</v>
      </c>
      <c r="BU42" s="4">
        <v>0.33</v>
      </c>
      <c r="BV42" s="4">
        <v>708.47570800000005</v>
      </c>
      <c r="BW42" s="4">
        <v>3.0000000000000001E-3</v>
      </c>
      <c r="BX42" s="5"/>
      <c r="BY42" s="5"/>
      <c r="BZ42" s="5"/>
      <c r="CA42" s="5"/>
    </row>
    <row r="43" spans="1:79" x14ac:dyDescent="0.3">
      <c r="A43" s="4" t="s">
        <v>16</v>
      </c>
      <c r="B43" s="4">
        <v>0.9</v>
      </c>
      <c r="C43" s="4">
        <v>0.5</v>
      </c>
      <c r="D43" s="4">
        <v>0.6</v>
      </c>
      <c r="E43" s="4">
        <v>0.3</v>
      </c>
      <c r="F43" s="6">
        <v>393.74658199999999</v>
      </c>
      <c r="G43" s="4">
        <v>0</v>
      </c>
      <c r="I43" s="4" t="s">
        <v>16</v>
      </c>
      <c r="J43" s="4">
        <v>0.9</v>
      </c>
      <c r="K43" s="4">
        <v>0.5</v>
      </c>
      <c r="L43" s="4">
        <v>0.6</v>
      </c>
      <c r="M43" s="4">
        <v>0.3</v>
      </c>
      <c r="N43" s="4">
        <v>394.74597199999999</v>
      </c>
      <c r="O43" s="4">
        <v>0</v>
      </c>
      <c r="P43" s="5"/>
      <c r="Q43" s="5"/>
      <c r="R43" s="5"/>
      <c r="S43" s="5"/>
      <c r="U43" s="4" t="s">
        <v>16</v>
      </c>
      <c r="V43" s="4">
        <v>0.9</v>
      </c>
      <c r="W43" s="4">
        <v>0.5</v>
      </c>
      <c r="X43" s="4">
        <v>0.6</v>
      </c>
      <c r="Y43" s="4">
        <v>0.3</v>
      </c>
      <c r="Z43" s="6">
        <v>375.51773100000003</v>
      </c>
      <c r="AA43" s="4">
        <v>0</v>
      </c>
      <c r="AC43" s="4" t="s">
        <v>16</v>
      </c>
      <c r="AD43" s="4">
        <v>0.9</v>
      </c>
      <c r="AE43" s="4">
        <v>0.5</v>
      </c>
      <c r="AF43" s="4">
        <v>0.6</v>
      </c>
      <c r="AG43" s="4">
        <v>0.31</v>
      </c>
      <c r="AH43" s="4">
        <v>376.48089599999997</v>
      </c>
      <c r="AI43" s="4">
        <v>0</v>
      </c>
      <c r="AJ43" s="5"/>
      <c r="AK43" s="5"/>
      <c r="AL43" s="5"/>
      <c r="AM43" s="5"/>
      <c r="AO43" s="4" t="s">
        <v>17</v>
      </c>
      <c r="AP43" s="4">
        <v>0.9</v>
      </c>
      <c r="AQ43" s="4">
        <v>0.5</v>
      </c>
      <c r="AR43" s="4">
        <v>0.6</v>
      </c>
      <c r="AS43" s="4">
        <v>0.3</v>
      </c>
      <c r="AT43" s="6">
        <v>705.48370399999999</v>
      </c>
      <c r="AU43" s="4">
        <v>3.0000000000000001E-3</v>
      </c>
      <c r="AW43" s="4" t="s">
        <v>17</v>
      </c>
      <c r="AX43" s="4">
        <v>0.9</v>
      </c>
      <c r="AY43" s="4">
        <v>0.5</v>
      </c>
      <c r="AZ43" s="4">
        <v>0.6</v>
      </c>
      <c r="BA43" s="4">
        <v>0.31</v>
      </c>
      <c r="BB43" s="4">
        <v>718.66632100000004</v>
      </c>
      <c r="BC43" s="4">
        <v>4.0000000000000001E-3</v>
      </c>
      <c r="BD43" s="5"/>
      <c r="BE43" s="5"/>
      <c r="BF43" s="5"/>
      <c r="BG43" s="5"/>
      <c r="BI43" s="4" t="s">
        <v>17</v>
      </c>
      <c r="BJ43" s="4">
        <v>0.9</v>
      </c>
      <c r="BK43" s="4">
        <v>0.5</v>
      </c>
      <c r="BL43" s="4">
        <v>0.6</v>
      </c>
      <c r="BM43" s="4">
        <v>0.3</v>
      </c>
      <c r="BN43" s="6">
        <v>683.88458300000002</v>
      </c>
      <c r="BO43" s="4">
        <v>1.4E-2</v>
      </c>
      <c r="BQ43" s="4" t="s">
        <v>17</v>
      </c>
      <c r="BR43" s="4">
        <v>0.9</v>
      </c>
      <c r="BS43" s="4">
        <v>0.5</v>
      </c>
      <c r="BT43" s="4">
        <v>0.6</v>
      </c>
      <c r="BU43" s="4">
        <v>0.3</v>
      </c>
      <c r="BV43" s="4">
        <v>699.30798300000004</v>
      </c>
      <c r="BW43" s="4">
        <v>4.0000000000000001E-3</v>
      </c>
      <c r="BX43" s="5"/>
      <c r="BY43" s="5"/>
      <c r="BZ43" s="5"/>
      <c r="CA43" s="5"/>
    </row>
    <row r="44" spans="1:79" x14ac:dyDescent="0.3">
      <c r="A44" s="4" t="s">
        <v>18</v>
      </c>
      <c r="B44" s="4">
        <v>0.9</v>
      </c>
      <c r="C44" s="4">
        <v>0.5</v>
      </c>
      <c r="D44" s="4">
        <v>0.6</v>
      </c>
      <c r="E44" s="4">
        <v>0.3</v>
      </c>
      <c r="F44" s="4">
        <v>343.11834700000003</v>
      </c>
      <c r="G44" s="4">
        <v>1E-3</v>
      </c>
      <c r="I44" s="4" t="s">
        <v>18</v>
      </c>
      <c r="J44" s="4">
        <v>0.9</v>
      </c>
      <c r="K44" s="4">
        <v>0.5</v>
      </c>
      <c r="L44" s="4">
        <v>0.6</v>
      </c>
      <c r="M44" s="4">
        <v>0.37</v>
      </c>
      <c r="N44" s="6">
        <v>342.83099399999998</v>
      </c>
      <c r="O44" s="4">
        <v>1E-3</v>
      </c>
      <c r="P44" s="5"/>
      <c r="Q44" s="5"/>
      <c r="R44" s="5"/>
      <c r="S44" s="5"/>
      <c r="U44" s="4" t="s">
        <v>18</v>
      </c>
      <c r="V44" s="4">
        <v>0.9</v>
      </c>
      <c r="W44" s="4">
        <v>0.5</v>
      </c>
      <c r="X44" s="4">
        <v>0.6</v>
      </c>
      <c r="Y44" s="4">
        <v>0.3</v>
      </c>
      <c r="Z44" s="6">
        <v>326.76788299999998</v>
      </c>
      <c r="AA44" s="4">
        <v>1E-3</v>
      </c>
      <c r="AC44" s="4" t="s">
        <v>18</v>
      </c>
      <c r="AD44" s="4">
        <v>0.9</v>
      </c>
      <c r="AE44" s="4">
        <v>0.5</v>
      </c>
      <c r="AF44" s="4">
        <v>0.6</v>
      </c>
      <c r="AG44" s="4">
        <v>0.3</v>
      </c>
      <c r="AH44" s="6">
        <v>326.76788299999998</v>
      </c>
      <c r="AI44" s="4">
        <v>0</v>
      </c>
      <c r="AJ44" s="5"/>
      <c r="AK44" s="5"/>
      <c r="AL44" s="5"/>
      <c r="AM44" s="5"/>
      <c r="AO44" s="4" t="s">
        <v>19</v>
      </c>
      <c r="AP44" s="4">
        <v>0.9</v>
      </c>
      <c r="AQ44" s="4">
        <v>0.5</v>
      </c>
      <c r="AR44" s="4">
        <v>0.6</v>
      </c>
      <c r="AS44" s="4">
        <v>0.3</v>
      </c>
      <c r="AT44" s="6">
        <v>732.04168700000002</v>
      </c>
      <c r="AU44" s="4">
        <v>3.0000000000000001E-3</v>
      </c>
      <c r="AW44" s="4" t="s">
        <v>19</v>
      </c>
      <c r="AX44" s="4">
        <v>0.9</v>
      </c>
      <c r="AY44" s="4">
        <v>0.5</v>
      </c>
      <c r="AZ44" s="4">
        <v>0.6</v>
      </c>
      <c r="BA44" s="4">
        <v>0.31</v>
      </c>
      <c r="BB44" s="4">
        <v>754.30816700000003</v>
      </c>
      <c r="BC44" s="4">
        <v>4.0000000000000001E-3</v>
      </c>
      <c r="BD44" s="5"/>
      <c r="BE44" s="5"/>
      <c r="BF44" s="5"/>
      <c r="BG44" s="5"/>
      <c r="BI44" s="4" t="s">
        <v>19</v>
      </c>
      <c r="BJ44" s="4">
        <v>0.9</v>
      </c>
      <c r="BK44" s="4">
        <v>0.5</v>
      </c>
      <c r="BL44" s="4">
        <v>0.6</v>
      </c>
      <c r="BM44" s="4">
        <v>0.3</v>
      </c>
      <c r="BN44" s="6">
        <v>706.17315699999995</v>
      </c>
      <c r="BO44" s="4">
        <v>5.0000000000000001E-3</v>
      </c>
      <c r="BQ44" s="4" t="s">
        <v>19</v>
      </c>
      <c r="BR44" s="4">
        <v>0.9</v>
      </c>
      <c r="BS44" s="4">
        <v>0.5</v>
      </c>
      <c r="BT44" s="4">
        <v>0.6</v>
      </c>
      <c r="BU44" s="4">
        <v>0.3</v>
      </c>
      <c r="BV44" s="4">
        <v>725.69781499999999</v>
      </c>
      <c r="BW44" s="4">
        <v>4.0000000000000001E-3</v>
      </c>
      <c r="BX44" s="5"/>
      <c r="BY44" s="5"/>
      <c r="BZ44" s="5"/>
      <c r="CA44" s="5"/>
    </row>
    <row r="45" spans="1:79" x14ac:dyDescent="0.3">
      <c r="A45" s="4" t="s">
        <v>20</v>
      </c>
      <c r="B45" s="4">
        <v>0.9</v>
      </c>
      <c r="C45" s="4">
        <v>0.5</v>
      </c>
      <c r="D45" s="4">
        <v>0.6</v>
      </c>
      <c r="E45" s="4">
        <v>0.3</v>
      </c>
      <c r="F45" s="6">
        <v>408.74941999999999</v>
      </c>
      <c r="G45" s="4">
        <v>0</v>
      </c>
      <c r="I45" s="4" t="s">
        <v>20</v>
      </c>
      <c r="J45" s="4">
        <v>0.9</v>
      </c>
      <c r="K45" s="4">
        <v>0.5</v>
      </c>
      <c r="L45" s="4">
        <v>0.6</v>
      </c>
      <c r="M45" s="4">
        <v>0.32</v>
      </c>
      <c r="N45" s="4">
        <v>410.32156400000002</v>
      </c>
      <c r="O45" s="4">
        <v>1E-3</v>
      </c>
      <c r="P45" s="5"/>
      <c r="Q45" s="5"/>
      <c r="R45" s="5"/>
      <c r="S45" s="5"/>
      <c r="U45" s="4" t="s">
        <v>20</v>
      </c>
      <c r="V45" s="4">
        <v>0.9</v>
      </c>
      <c r="W45" s="4">
        <v>0.5</v>
      </c>
      <c r="X45" s="4">
        <v>0.6</v>
      </c>
      <c r="Y45" s="4">
        <v>0.3</v>
      </c>
      <c r="Z45" s="4">
        <v>395.60012799999998</v>
      </c>
      <c r="AA45" s="4">
        <v>0</v>
      </c>
      <c r="AC45" s="4" t="s">
        <v>20</v>
      </c>
      <c r="AD45" s="4">
        <v>0.9</v>
      </c>
      <c r="AE45" s="4">
        <v>0.5</v>
      </c>
      <c r="AF45" s="4">
        <v>0.6</v>
      </c>
      <c r="AG45" s="4">
        <v>0.42</v>
      </c>
      <c r="AH45" s="6">
        <v>394.72088600000001</v>
      </c>
      <c r="AI45" s="4">
        <v>1E-3</v>
      </c>
      <c r="AJ45" s="5"/>
      <c r="AK45" s="5"/>
      <c r="AL45" s="5"/>
      <c r="AM45" s="5"/>
      <c r="AO45" s="4" t="s">
        <v>21</v>
      </c>
      <c r="AP45" s="4">
        <v>0.9</v>
      </c>
      <c r="AQ45" s="4">
        <v>0.5</v>
      </c>
      <c r="AR45" s="4">
        <v>0.6</v>
      </c>
      <c r="AS45" s="4">
        <v>0.3</v>
      </c>
      <c r="AT45" s="6">
        <v>719.18890399999998</v>
      </c>
      <c r="AU45" s="4">
        <v>5.0000000000000001E-3</v>
      </c>
      <c r="AW45" s="4" t="s">
        <v>21</v>
      </c>
      <c r="AX45" s="4">
        <v>0.9</v>
      </c>
      <c r="AY45" s="4">
        <v>0.5</v>
      </c>
      <c r="AZ45" s="4">
        <v>0.6</v>
      </c>
      <c r="BA45" s="4">
        <v>0.32</v>
      </c>
      <c r="BB45" s="4">
        <v>736.50054899999998</v>
      </c>
      <c r="BC45" s="4">
        <v>4.0000000000000001E-3</v>
      </c>
      <c r="BD45" s="5"/>
      <c r="BE45" s="5"/>
      <c r="BF45" s="5"/>
      <c r="BG45" s="5"/>
      <c r="BI45" s="4" t="s">
        <v>21</v>
      </c>
      <c r="BJ45" s="4">
        <v>0.9</v>
      </c>
      <c r="BK45" s="4">
        <v>0.5</v>
      </c>
      <c r="BL45" s="4">
        <v>0.6</v>
      </c>
      <c r="BM45" s="4">
        <v>0.3</v>
      </c>
      <c r="BN45" s="6">
        <v>709.180115</v>
      </c>
      <c r="BO45" s="4">
        <v>7.0000000000000001E-3</v>
      </c>
      <c r="BQ45" s="4" t="s">
        <v>21</v>
      </c>
      <c r="BR45" s="4">
        <v>0.9</v>
      </c>
      <c r="BS45" s="4">
        <v>0.5</v>
      </c>
      <c r="BT45" s="4">
        <v>0.6</v>
      </c>
      <c r="BU45" s="4">
        <v>0.34</v>
      </c>
      <c r="BV45" s="4">
        <v>725.53253199999995</v>
      </c>
      <c r="BW45" s="4">
        <v>4.0000000000000001E-3</v>
      </c>
      <c r="BX45" s="5"/>
      <c r="BY45" s="5"/>
      <c r="BZ45" s="5"/>
      <c r="CA45" s="5"/>
    </row>
    <row r="46" spans="1:79" x14ac:dyDescent="0.3">
      <c r="A46" s="4" t="s">
        <v>22</v>
      </c>
      <c r="B46" s="4">
        <v>0.9</v>
      </c>
      <c r="C46" s="4">
        <v>0.5</v>
      </c>
      <c r="D46" s="4">
        <v>0.6</v>
      </c>
      <c r="E46" s="4">
        <v>0.3</v>
      </c>
      <c r="F46" s="6">
        <v>384.91159099999999</v>
      </c>
      <c r="G46" s="4">
        <v>0</v>
      </c>
      <c r="I46" s="4" t="s">
        <v>22</v>
      </c>
      <c r="J46" s="4">
        <v>0.9</v>
      </c>
      <c r="K46" s="4">
        <v>0.5</v>
      </c>
      <c r="L46" s="4">
        <v>0.6</v>
      </c>
      <c r="M46" s="4">
        <v>0.3</v>
      </c>
      <c r="N46" s="4">
        <v>386.12152099999997</v>
      </c>
      <c r="O46" s="4">
        <v>0</v>
      </c>
      <c r="P46" s="5"/>
      <c r="Q46" s="5"/>
      <c r="R46" s="5"/>
      <c r="S46" s="5"/>
      <c r="U46" s="4" t="s">
        <v>22</v>
      </c>
      <c r="V46" s="4">
        <v>0.9</v>
      </c>
      <c r="W46" s="4">
        <v>0.5</v>
      </c>
      <c r="X46" s="4">
        <v>0.6</v>
      </c>
      <c r="Y46" s="4">
        <v>0.3</v>
      </c>
      <c r="Z46" s="6">
        <v>366.73147599999999</v>
      </c>
      <c r="AA46" s="4">
        <v>0</v>
      </c>
      <c r="AC46" s="4" t="s">
        <v>22</v>
      </c>
      <c r="AD46" s="4">
        <v>0.9</v>
      </c>
      <c r="AE46" s="4">
        <v>0.5</v>
      </c>
      <c r="AF46" s="4">
        <v>0.6</v>
      </c>
      <c r="AG46" s="4">
        <v>0.31</v>
      </c>
      <c r="AH46" s="4">
        <v>367.874664</v>
      </c>
      <c r="AI46" s="4">
        <v>1E-3</v>
      </c>
      <c r="AJ46" s="5"/>
      <c r="AK46" s="5"/>
      <c r="AL46" s="5"/>
      <c r="AM46" s="5"/>
      <c r="AO46" s="4" t="s">
        <v>23</v>
      </c>
      <c r="AP46" s="4">
        <v>0.9</v>
      </c>
      <c r="AQ46" s="4">
        <v>0.5</v>
      </c>
      <c r="AR46" s="4">
        <v>0.6</v>
      </c>
      <c r="AS46" s="4">
        <v>0.3</v>
      </c>
      <c r="AT46" s="6">
        <v>717.97912599999995</v>
      </c>
      <c r="AU46" s="4">
        <v>3.0000000000000001E-3</v>
      </c>
      <c r="AW46" s="4" t="s">
        <v>23</v>
      </c>
      <c r="AX46" s="4">
        <v>0.9</v>
      </c>
      <c r="AY46" s="4">
        <v>0.5</v>
      </c>
      <c r="AZ46" s="4">
        <v>0.6</v>
      </c>
      <c r="BA46" s="4">
        <v>0.3</v>
      </c>
      <c r="BB46" s="4">
        <v>743.61993399999994</v>
      </c>
      <c r="BC46" s="4">
        <v>6.0000000000000001E-3</v>
      </c>
      <c r="BD46" s="5"/>
      <c r="BE46" s="5"/>
      <c r="BF46" s="5"/>
      <c r="BG46" s="5"/>
      <c r="BI46" s="4" t="s">
        <v>23</v>
      </c>
      <c r="BJ46" s="4">
        <v>0.9</v>
      </c>
      <c r="BK46" s="4">
        <v>0.5</v>
      </c>
      <c r="BL46" s="4">
        <v>0.6</v>
      </c>
      <c r="BM46" s="4">
        <v>0.3</v>
      </c>
      <c r="BN46" s="6">
        <v>709.20135500000004</v>
      </c>
      <c r="BO46" s="4">
        <v>4.0000000000000001E-3</v>
      </c>
      <c r="BQ46" s="4" t="s">
        <v>23</v>
      </c>
      <c r="BR46" s="4">
        <v>0.9</v>
      </c>
      <c r="BS46" s="4">
        <v>0.5</v>
      </c>
      <c r="BT46" s="4">
        <v>0.6</v>
      </c>
      <c r="BU46" s="4">
        <v>0.34</v>
      </c>
      <c r="BV46" s="4">
        <v>724.92687999999998</v>
      </c>
      <c r="BW46" s="4">
        <v>3.0000000000000001E-3</v>
      </c>
      <c r="BX46" s="5"/>
      <c r="BY46" s="5"/>
      <c r="BZ46" s="5"/>
      <c r="CA46" s="5"/>
    </row>
    <row r="47" spans="1:79" x14ac:dyDescent="0.3">
      <c r="A47" s="4" t="s">
        <v>24</v>
      </c>
      <c r="B47" s="4">
        <v>0.9</v>
      </c>
      <c r="C47" s="4">
        <v>0.5</v>
      </c>
      <c r="D47" s="4">
        <v>0.6</v>
      </c>
      <c r="E47" s="4">
        <v>0.3</v>
      </c>
      <c r="F47" s="6">
        <v>461.71353099999999</v>
      </c>
      <c r="G47" s="4">
        <v>1E-3</v>
      </c>
      <c r="I47" s="4" t="s">
        <v>24</v>
      </c>
      <c r="J47" s="4">
        <v>0.9</v>
      </c>
      <c r="K47" s="4">
        <v>0.5</v>
      </c>
      <c r="L47" s="4">
        <v>0.6</v>
      </c>
      <c r="M47" s="4">
        <v>0.3</v>
      </c>
      <c r="N47" s="4">
        <v>462.46105999999997</v>
      </c>
      <c r="O47" s="4">
        <v>1E-3</v>
      </c>
      <c r="P47" s="5"/>
      <c r="Q47" s="5"/>
      <c r="R47" s="5"/>
      <c r="S47" s="5"/>
      <c r="U47" s="4" t="s">
        <v>24</v>
      </c>
      <c r="V47" s="4">
        <v>0.9</v>
      </c>
      <c r="W47" s="4">
        <v>0.5</v>
      </c>
      <c r="X47" s="4">
        <v>0.6</v>
      </c>
      <c r="Y47" s="4">
        <v>0.3</v>
      </c>
      <c r="Z47" s="6">
        <v>427.68786599999999</v>
      </c>
      <c r="AA47" s="4">
        <v>0</v>
      </c>
      <c r="AC47" s="4" t="s">
        <v>24</v>
      </c>
      <c r="AD47" s="4">
        <v>0.9</v>
      </c>
      <c r="AE47" s="4">
        <v>0.5</v>
      </c>
      <c r="AF47" s="4">
        <v>0.6</v>
      </c>
      <c r="AG47" s="4">
        <v>0.32</v>
      </c>
      <c r="AH47" s="6">
        <v>427.68786599999999</v>
      </c>
      <c r="AI47" s="4">
        <v>0</v>
      </c>
      <c r="AJ47" s="5"/>
      <c r="AK47" s="5"/>
      <c r="AL47" s="5"/>
      <c r="AM47" s="5"/>
      <c r="AO47" s="4" t="s">
        <v>25</v>
      </c>
      <c r="AP47" s="4">
        <v>0.9</v>
      </c>
      <c r="AQ47" s="4">
        <v>0.5</v>
      </c>
      <c r="AR47" s="4">
        <v>0.6</v>
      </c>
      <c r="AS47" s="4">
        <v>0.3</v>
      </c>
      <c r="AT47" s="6">
        <v>748.07659899999999</v>
      </c>
      <c r="AU47" s="4">
        <v>6.0000000000000001E-3</v>
      </c>
      <c r="AW47" s="4" t="s">
        <v>25</v>
      </c>
      <c r="AX47" s="4">
        <v>0.9</v>
      </c>
      <c r="AY47" s="4">
        <v>0.5</v>
      </c>
      <c r="AZ47" s="4">
        <v>0.6</v>
      </c>
      <c r="BA47" s="4">
        <v>0.3</v>
      </c>
      <c r="BB47" s="4">
        <v>772.68701199999998</v>
      </c>
      <c r="BC47" s="4">
        <v>6.0000000000000001E-3</v>
      </c>
      <c r="BD47" s="5"/>
      <c r="BE47" s="5"/>
      <c r="BF47" s="5"/>
      <c r="BG47" s="5"/>
      <c r="BI47" s="4" t="s">
        <v>25</v>
      </c>
      <c r="BJ47" s="4">
        <v>0.9</v>
      </c>
      <c r="BK47" s="4">
        <v>0.5</v>
      </c>
      <c r="BL47" s="4">
        <v>0.6</v>
      </c>
      <c r="BM47" s="4">
        <v>0.3</v>
      </c>
      <c r="BN47" s="6">
        <v>727.69781499999999</v>
      </c>
      <c r="BO47" s="4">
        <v>3.0000000000000001E-3</v>
      </c>
      <c r="BQ47" s="4" t="s">
        <v>25</v>
      </c>
      <c r="BR47" s="4">
        <v>0.9</v>
      </c>
      <c r="BS47" s="4">
        <v>0.5</v>
      </c>
      <c r="BT47" s="4">
        <v>0.6</v>
      </c>
      <c r="BU47" s="4">
        <v>0.31</v>
      </c>
      <c r="BV47" s="4">
        <v>742.07250999999997</v>
      </c>
      <c r="BW47" s="4">
        <v>3.0000000000000001E-3</v>
      </c>
      <c r="BX47" s="5"/>
      <c r="BY47" s="5"/>
      <c r="BZ47" s="5"/>
      <c r="CA47" s="5"/>
    </row>
    <row r="48" spans="1:79" x14ac:dyDescent="0.3">
      <c r="A48" s="4" t="s">
        <v>26</v>
      </c>
      <c r="B48" s="4">
        <v>0.9</v>
      </c>
      <c r="C48" s="4">
        <v>0.5</v>
      </c>
      <c r="D48" s="4">
        <v>0.6</v>
      </c>
      <c r="E48" s="4">
        <v>0.3</v>
      </c>
      <c r="F48" s="6">
        <v>414.63421599999998</v>
      </c>
      <c r="G48" s="4">
        <v>1E-3</v>
      </c>
      <c r="I48" s="4" t="s">
        <v>26</v>
      </c>
      <c r="J48" s="4">
        <v>0.9</v>
      </c>
      <c r="K48" s="4">
        <v>0.5</v>
      </c>
      <c r="L48" s="4">
        <v>0.6</v>
      </c>
      <c r="M48" s="4">
        <v>0.32</v>
      </c>
      <c r="N48" s="4">
        <v>415.95513899999997</v>
      </c>
      <c r="O48" s="4">
        <v>1E-3</v>
      </c>
      <c r="P48" s="5"/>
      <c r="Q48" s="5"/>
      <c r="R48" s="5"/>
      <c r="S48" s="5"/>
      <c r="U48" s="4" t="s">
        <v>26</v>
      </c>
      <c r="V48" s="4">
        <v>0.9</v>
      </c>
      <c r="W48" s="4">
        <v>0.5</v>
      </c>
      <c r="X48" s="4">
        <v>0.6</v>
      </c>
      <c r="Y48" s="4">
        <v>0.3</v>
      </c>
      <c r="Z48" s="6">
        <v>399.25683600000002</v>
      </c>
      <c r="AA48" s="4">
        <v>1E-3</v>
      </c>
      <c r="AC48" s="4" t="s">
        <v>26</v>
      </c>
      <c r="AD48" s="4">
        <v>0.9</v>
      </c>
      <c r="AE48" s="4">
        <v>0.5</v>
      </c>
      <c r="AF48" s="4">
        <v>0.6</v>
      </c>
      <c r="AG48" s="4">
        <v>0.39</v>
      </c>
      <c r="AH48" s="4">
        <v>404.13464399999998</v>
      </c>
      <c r="AI48" s="4">
        <v>0</v>
      </c>
      <c r="AJ48" s="5"/>
      <c r="AK48" s="5"/>
      <c r="AL48" s="5"/>
      <c r="AM48" s="5"/>
      <c r="AO48" s="4" t="s">
        <v>27</v>
      </c>
      <c r="AP48" s="4">
        <v>0.9</v>
      </c>
      <c r="AQ48" s="4">
        <v>0.5</v>
      </c>
      <c r="AR48" s="4">
        <v>0.6</v>
      </c>
      <c r="AS48" s="4">
        <v>0.3</v>
      </c>
      <c r="AT48" s="6">
        <v>714.16357400000004</v>
      </c>
      <c r="AU48" s="4">
        <v>4.0000000000000001E-3</v>
      </c>
      <c r="AW48" s="4" t="s">
        <v>27</v>
      </c>
      <c r="AX48" s="4">
        <v>0.9</v>
      </c>
      <c r="AY48" s="4">
        <v>0.5</v>
      </c>
      <c r="AZ48" s="4">
        <v>0.6</v>
      </c>
      <c r="BA48" s="4">
        <v>0.31</v>
      </c>
      <c r="BB48" s="4">
        <v>737.00176999999996</v>
      </c>
      <c r="BC48" s="4">
        <v>0.01</v>
      </c>
      <c r="BD48" s="5"/>
      <c r="BE48" s="5"/>
      <c r="BF48" s="5"/>
      <c r="BG48" s="5"/>
      <c r="BI48" s="4" t="s">
        <v>27</v>
      </c>
      <c r="BJ48" s="4">
        <v>0.9</v>
      </c>
      <c r="BK48" s="4">
        <v>0.5</v>
      </c>
      <c r="BL48" s="4">
        <v>0.6</v>
      </c>
      <c r="BM48" s="4">
        <v>0.3</v>
      </c>
      <c r="BN48" s="6">
        <v>679.18762200000003</v>
      </c>
      <c r="BO48" s="4">
        <v>6.0000000000000001E-3</v>
      </c>
      <c r="BQ48" s="4" t="s">
        <v>27</v>
      </c>
      <c r="BR48" s="4">
        <v>0.9</v>
      </c>
      <c r="BS48" s="4">
        <v>0.5</v>
      </c>
      <c r="BT48" s="4">
        <v>0.6</v>
      </c>
      <c r="BU48" s="4">
        <v>0.3</v>
      </c>
      <c r="BV48" s="4">
        <v>685.56707800000004</v>
      </c>
      <c r="BW48" s="4">
        <v>4.0000000000000001E-3</v>
      </c>
      <c r="BX48" s="5"/>
      <c r="BY48" s="5"/>
      <c r="BZ48" s="5"/>
      <c r="CA48" s="5"/>
    </row>
    <row r="49" spans="1:79" x14ac:dyDescent="0.3">
      <c r="A49" s="4" t="s">
        <v>28</v>
      </c>
      <c r="B49" s="4">
        <v>0.9</v>
      </c>
      <c r="C49" s="4">
        <v>0.5</v>
      </c>
      <c r="D49" s="4">
        <v>0.6</v>
      </c>
      <c r="E49" s="4">
        <v>0.3</v>
      </c>
      <c r="F49" s="6">
        <v>342.79367100000002</v>
      </c>
      <c r="G49" s="4">
        <v>0</v>
      </c>
      <c r="I49" s="4" t="s">
        <v>28</v>
      </c>
      <c r="J49" s="4">
        <v>0.9</v>
      </c>
      <c r="K49" s="4">
        <v>0.5</v>
      </c>
      <c r="L49" s="4">
        <v>0.6</v>
      </c>
      <c r="M49" s="4">
        <v>0.41</v>
      </c>
      <c r="N49" s="6">
        <v>342.79367100000002</v>
      </c>
      <c r="O49" s="4">
        <v>1E-3</v>
      </c>
      <c r="P49" s="5"/>
      <c r="Q49" s="5"/>
      <c r="R49" s="5"/>
      <c r="S49" s="5"/>
      <c r="U49" s="4" t="s">
        <v>28</v>
      </c>
      <c r="V49" s="4">
        <v>0.9</v>
      </c>
      <c r="W49" s="4">
        <v>0.5</v>
      </c>
      <c r="X49" s="4">
        <v>0.6</v>
      </c>
      <c r="Y49" s="4">
        <v>0.3</v>
      </c>
      <c r="Z49" s="8">
        <v>321.518372</v>
      </c>
      <c r="AA49" s="4">
        <v>1E-3</v>
      </c>
      <c r="AC49" s="4" t="s">
        <v>28</v>
      </c>
      <c r="AD49" s="4">
        <v>0.9</v>
      </c>
      <c r="AE49" s="4">
        <v>0.5</v>
      </c>
      <c r="AF49" s="4">
        <v>0.6</v>
      </c>
      <c r="AG49" s="4">
        <v>0.31</v>
      </c>
      <c r="AH49" s="6">
        <v>321.178314</v>
      </c>
      <c r="AI49" s="4">
        <v>0</v>
      </c>
      <c r="AJ49" s="5"/>
      <c r="AK49" s="5"/>
      <c r="AL49" s="5"/>
      <c r="AM49" s="5"/>
      <c r="AO49" s="4" t="s">
        <v>29</v>
      </c>
      <c r="AP49" s="4">
        <v>0.9</v>
      </c>
      <c r="AQ49" s="4">
        <v>0.5</v>
      </c>
      <c r="AR49" s="4">
        <v>0.6</v>
      </c>
      <c r="AS49" s="4">
        <v>0.3</v>
      </c>
      <c r="AT49" s="6">
        <v>729.83819600000004</v>
      </c>
      <c r="AU49" s="4">
        <v>5.0000000000000001E-3</v>
      </c>
      <c r="AW49" s="4" t="s">
        <v>29</v>
      </c>
      <c r="AX49" s="4">
        <v>0.9</v>
      </c>
      <c r="AY49" s="4">
        <v>0.5</v>
      </c>
      <c r="AZ49" s="4">
        <v>0.6</v>
      </c>
      <c r="BA49" s="4">
        <v>0.33</v>
      </c>
      <c r="BB49" s="4">
        <v>764.25109899999995</v>
      </c>
      <c r="BC49" s="4">
        <v>3.0000000000000001E-3</v>
      </c>
      <c r="BD49" s="5"/>
      <c r="BE49" s="5"/>
      <c r="BF49" s="5"/>
      <c r="BG49" s="5"/>
      <c r="BI49" s="4" t="s">
        <v>29</v>
      </c>
      <c r="BJ49" s="4">
        <v>0.9</v>
      </c>
      <c r="BK49" s="4">
        <v>0.5</v>
      </c>
      <c r="BL49" s="4">
        <v>0.6</v>
      </c>
      <c r="BM49" s="4">
        <v>0.3</v>
      </c>
      <c r="BN49" s="6">
        <v>717.11614999999995</v>
      </c>
      <c r="BO49" s="4">
        <v>6.0000000000000001E-3</v>
      </c>
      <c r="BQ49" s="4" t="s">
        <v>29</v>
      </c>
      <c r="BR49" s="4">
        <v>0.9</v>
      </c>
      <c r="BS49" s="4">
        <v>0.5</v>
      </c>
      <c r="BT49" s="4">
        <v>0.6</v>
      </c>
      <c r="BU49" s="4">
        <v>0.3</v>
      </c>
      <c r="BV49" s="4">
        <v>723.33148200000005</v>
      </c>
      <c r="BW49" s="4">
        <v>4.0000000000000001E-3</v>
      </c>
      <c r="BX49" s="5"/>
      <c r="BY49" s="5"/>
      <c r="BZ49" s="5"/>
      <c r="CA49" s="5"/>
    </row>
    <row r="50" spans="1:79" x14ac:dyDescent="0.3">
      <c r="A50" s="4" t="s">
        <v>30</v>
      </c>
      <c r="B50" s="4">
        <v>0.9</v>
      </c>
      <c r="C50" s="4">
        <v>0.5</v>
      </c>
      <c r="D50" s="4">
        <v>0.6</v>
      </c>
      <c r="E50" s="4">
        <v>0.3</v>
      </c>
      <c r="F50" s="6">
        <v>506.13494900000001</v>
      </c>
      <c r="G50" s="4">
        <v>0</v>
      </c>
      <c r="I50" s="4" t="s">
        <v>30</v>
      </c>
      <c r="J50" s="4">
        <v>0.9</v>
      </c>
      <c r="K50" s="4">
        <v>0.5</v>
      </c>
      <c r="L50" s="4">
        <v>0.6</v>
      </c>
      <c r="M50" s="4">
        <v>0.4</v>
      </c>
      <c r="N50" s="4">
        <v>530.35003700000004</v>
      </c>
      <c r="O50" s="4">
        <v>0</v>
      </c>
      <c r="P50" s="5"/>
      <c r="Q50" s="5"/>
      <c r="R50" s="5"/>
      <c r="S50" s="5"/>
      <c r="U50" s="4" t="s">
        <v>30</v>
      </c>
      <c r="V50" s="4">
        <v>0.9</v>
      </c>
      <c r="W50" s="4">
        <v>0.5</v>
      </c>
      <c r="X50" s="4">
        <v>0.6</v>
      </c>
      <c r="Y50" s="4">
        <v>0.3</v>
      </c>
      <c r="Z50" s="6">
        <v>502.02572600000002</v>
      </c>
      <c r="AA50" s="4">
        <v>1E-3</v>
      </c>
      <c r="AC50" s="4" t="s">
        <v>30</v>
      </c>
      <c r="AD50" s="4">
        <v>0.9</v>
      </c>
      <c r="AE50" s="4">
        <v>0.5</v>
      </c>
      <c r="AF50" s="4">
        <v>0.6</v>
      </c>
      <c r="AG50" s="4">
        <v>0.47</v>
      </c>
      <c r="AH50" s="4">
        <v>521.48571800000002</v>
      </c>
      <c r="AI50" s="4">
        <v>1E-3</v>
      </c>
      <c r="AJ50" s="5"/>
      <c r="AK50" s="5"/>
      <c r="AL50" s="5"/>
      <c r="AM50" s="5"/>
      <c r="AO50" s="4" t="s">
        <v>31</v>
      </c>
      <c r="AP50" s="4">
        <v>0.9</v>
      </c>
      <c r="AQ50" s="4">
        <v>0.5</v>
      </c>
      <c r="AR50" s="4">
        <v>0.6</v>
      </c>
      <c r="AS50" s="4">
        <v>0.3</v>
      </c>
      <c r="AT50" s="4">
        <v>834.17846699999996</v>
      </c>
      <c r="AU50" s="4">
        <v>6.0000000000000001E-3</v>
      </c>
      <c r="AW50" s="4" t="s">
        <v>31</v>
      </c>
      <c r="AX50" s="4">
        <v>0.9</v>
      </c>
      <c r="AY50" s="4">
        <v>0.5</v>
      </c>
      <c r="AZ50" s="4">
        <v>0.6</v>
      </c>
      <c r="BA50" s="4">
        <v>0.3</v>
      </c>
      <c r="BB50" s="6">
        <v>828.64166299999999</v>
      </c>
      <c r="BC50" s="4">
        <v>0.01</v>
      </c>
      <c r="BD50" s="5"/>
      <c r="BE50" s="5"/>
      <c r="BF50" s="5"/>
      <c r="BG50" s="5"/>
      <c r="BI50" s="4" t="s">
        <v>31</v>
      </c>
      <c r="BJ50" s="4">
        <v>0.9</v>
      </c>
      <c r="BK50" s="4">
        <v>0.5</v>
      </c>
      <c r="BL50" s="4">
        <v>0.6</v>
      </c>
      <c r="BM50" s="4">
        <v>0.3</v>
      </c>
      <c r="BN50" s="6">
        <v>823.67352300000005</v>
      </c>
      <c r="BO50" s="4">
        <v>6.0000000000000001E-3</v>
      </c>
      <c r="BQ50" s="4" t="s">
        <v>31</v>
      </c>
      <c r="BR50" s="4">
        <v>0.9</v>
      </c>
      <c r="BS50" s="4">
        <v>0.5</v>
      </c>
      <c r="BT50" s="4">
        <v>0.6</v>
      </c>
      <c r="BU50" s="4">
        <v>0.31</v>
      </c>
      <c r="BV50" s="4">
        <v>853.11639400000001</v>
      </c>
      <c r="BW50" s="4">
        <v>5.0000000000000001E-3</v>
      </c>
      <c r="BX50" s="5"/>
      <c r="BY50" s="5"/>
      <c r="BZ50" s="5"/>
      <c r="CA50" s="5"/>
    </row>
    <row r="51" spans="1:79" x14ac:dyDescent="0.3">
      <c r="A51" s="4" t="s">
        <v>32</v>
      </c>
      <c r="B51" s="4">
        <v>0.9</v>
      </c>
      <c r="C51" s="4">
        <v>0.5</v>
      </c>
      <c r="D51" s="4">
        <v>0.6</v>
      </c>
      <c r="E51" s="4">
        <v>0.3</v>
      </c>
      <c r="F51" s="6">
        <v>472.66668700000002</v>
      </c>
      <c r="G51" s="4">
        <v>1E-3</v>
      </c>
      <c r="I51" s="4" t="s">
        <v>32</v>
      </c>
      <c r="J51" s="4">
        <v>0.9</v>
      </c>
      <c r="K51" s="4">
        <v>0.5</v>
      </c>
      <c r="L51" s="4">
        <v>0.6</v>
      </c>
      <c r="M51" s="4">
        <v>0.36</v>
      </c>
      <c r="N51" s="4">
        <v>474.58337399999999</v>
      </c>
      <c r="O51" s="4">
        <v>1E-3</v>
      </c>
      <c r="P51" s="5"/>
      <c r="Q51" s="5"/>
      <c r="R51" s="5"/>
      <c r="S51" s="5"/>
      <c r="U51" s="4" t="s">
        <v>32</v>
      </c>
      <c r="V51" s="4">
        <v>0.9</v>
      </c>
      <c r="W51" s="4">
        <v>0.5</v>
      </c>
      <c r="X51" s="4">
        <v>0.6</v>
      </c>
      <c r="Y51" s="4">
        <v>0.3</v>
      </c>
      <c r="Z51" s="6">
        <v>448.07614100000001</v>
      </c>
      <c r="AA51" s="4">
        <v>1E-3</v>
      </c>
      <c r="AC51" s="4" t="s">
        <v>32</v>
      </c>
      <c r="AD51" s="4">
        <v>0.9</v>
      </c>
      <c r="AE51" s="4">
        <v>0.5</v>
      </c>
      <c r="AF51" s="4">
        <v>0.6</v>
      </c>
      <c r="AG51" s="4">
        <v>0.34</v>
      </c>
      <c r="AH51" s="8">
        <v>448.473206</v>
      </c>
      <c r="AI51" s="4">
        <v>0</v>
      </c>
      <c r="AJ51" s="5"/>
      <c r="AK51" s="5"/>
      <c r="AL51" s="5"/>
      <c r="AM51" s="5"/>
      <c r="AO51" s="4" t="s">
        <v>33</v>
      </c>
      <c r="AP51" s="4">
        <v>0.9</v>
      </c>
      <c r="AQ51" s="4">
        <v>0.5</v>
      </c>
      <c r="AR51" s="4">
        <v>0.6</v>
      </c>
      <c r="AS51" s="4">
        <v>0.3</v>
      </c>
      <c r="AT51" s="6">
        <v>788.60955799999999</v>
      </c>
      <c r="AU51" s="4">
        <v>6.0000000000000001E-3</v>
      </c>
      <c r="AW51" s="4" t="s">
        <v>33</v>
      </c>
      <c r="AX51" s="4">
        <v>0.9</v>
      </c>
      <c r="AY51" s="4">
        <v>0.5</v>
      </c>
      <c r="AZ51" s="4">
        <v>0.6</v>
      </c>
      <c r="BA51" s="4">
        <v>0.32</v>
      </c>
      <c r="BB51" s="4">
        <v>791.49188200000003</v>
      </c>
      <c r="BC51" s="4">
        <v>4.0000000000000001E-3</v>
      </c>
      <c r="BD51" s="5"/>
      <c r="BE51" s="5"/>
      <c r="BF51" s="5"/>
      <c r="BG51" s="5"/>
      <c r="BI51" s="4" t="s">
        <v>33</v>
      </c>
      <c r="BJ51" s="4">
        <v>0.9</v>
      </c>
      <c r="BK51" s="4">
        <v>0.5</v>
      </c>
      <c r="BL51" s="4">
        <v>0.6</v>
      </c>
      <c r="BM51" s="4">
        <v>0.3</v>
      </c>
      <c r="BN51" s="6">
        <v>737.20281999999997</v>
      </c>
      <c r="BO51" s="4">
        <v>7.0000000000000001E-3</v>
      </c>
      <c r="BQ51" s="4" t="s">
        <v>33</v>
      </c>
      <c r="BR51" s="4">
        <v>0.9</v>
      </c>
      <c r="BS51" s="4">
        <v>0.5</v>
      </c>
      <c r="BT51" s="4">
        <v>0.6</v>
      </c>
      <c r="BU51" s="4">
        <v>0.3</v>
      </c>
      <c r="BV51" s="4">
        <v>753.53216599999996</v>
      </c>
      <c r="BW51" s="4">
        <v>6.0000000000000001E-3</v>
      </c>
      <c r="BX51" s="5"/>
      <c r="BY51" s="5"/>
      <c r="BZ51" s="5"/>
      <c r="CA51" s="5"/>
    </row>
    <row r="52" spans="1:79" x14ac:dyDescent="0.3">
      <c r="A52" s="4" t="s">
        <v>34</v>
      </c>
      <c r="B52" s="4">
        <v>0.9</v>
      </c>
      <c r="C52" s="4">
        <v>0.5</v>
      </c>
      <c r="D52" s="4">
        <v>0.6</v>
      </c>
      <c r="E52" s="4">
        <v>0.3</v>
      </c>
      <c r="F52" s="6">
        <v>410.317566</v>
      </c>
      <c r="G52" s="4">
        <v>2E-3</v>
      </c>
      <c r="I52" s="4" t="s">
        <v>34</v>
      </c>
      <c r="J52" s="4">
        <v>0.9</v>
      </c>
      <c r="K52" s="4">
        <v>0.5</v>
      </c>
      <c r="L52" s="4">
        <v>0.6</v>
      </c>
      <c r="M52" s="4">
        <v>0.57999999999999996</v>
      </c>
      <c r="N52" s="8">
        <v>410.641052</v>
      </c>
      <c r="O52" s="4">
        <v>1E-3</v>
      </c>
      <c r="P52" s="5"/>
      <c r="Q52" s="5"/>
      <c r="R52" s="5"/>
      <c r="S52" s="5"/>
      <c r="U52" s="4" t="s">
        <v>34</v>
      </c>
      <c r="V52" s="4">
        <v>0.9</v>
      </c>
      <c r="W52" s="4">
        <v>0.5</v>
      </c>
      <c r="X52" s="4">
        <v>0.6</v>
      </c>
      <c r="Y52" s="4">
        <v>0.3</v>
      </c>
      <c r="Z52" s="6">
        <v>401.89041099999997</v>
      </c>
      <c r="AA52" s="4">
        <v>1E-3</v>
      </c>
      <c r="AC52" s="4" t="s">
        <v>34</v>
      </c>
      <c r="AD52" s="4">
        <v>0.9</v>
      </c>
      <c r="AE52" s="4">
        <v>0.5</v>
      </c>
      <c r="AF52" s="4">
        <v>0.6</v>
      </c>
      <c r="AG52" s="4">
        <v>0.3</v>
      </c>
      <c r="AH52" s="4">
        <v>403.30395499999997</v>
      </c>
      <c r="AI52" s="4">
        <v>1E-3</v>
      </c>
      <c r="AJ52" s="5"/>
      <c r="AK52" s="5"/>
      <c r="AL52" s="5"/>
      <c r="AM52" s="5"/>
      <c r="AO52" s="4" t="s">
        <v>35</v>
      </c>
      <c r="AP52" s="4">
        <v>0.9</v>
      </c>
      <c r="AQ52" s="4">
        <v>0.5</v>
      </c>
      <c r="AR52" s="4">
        <v>0.6</v>
      </c>
      <c r="AS52" s="4">
        <v>0.3</v>
      </c>
      <c r="AT52" s="6">
        <v>771.27685499999995</v>
      </c>
      <c r="AU52" s="4">
        <v>5.0000000000000001E-3</v>
      </c>
      <c r="AW52" s="4" t="s">
        <v>35</v>
      </c>
      <c r="AX52" s="4">
        <v>0.9</v>
      </c>
      <c r="AY52" s="4">
        <v>0.5</v>
      </c>
      <c r="AZ52" s="4">
        <v>0.6</v>
      </c>
      <c r="BA52" s="4">
        <v>0.31</v>
      </c>
      <c r="BB52" s="4">
        <v>823.37982199999999</v>
      </c>
      <c r="BC52" s="4">
        <v>8.0000000000000002E-3</v>
      </c>
      <c r="BD52" s="5"/>
      <c r="BE52" s="5"/>
      <c r="BF52" s="5"/>
      <c r="BG52" s="5"/>
      <c r="BI52" s="4" t="s">
        <v>35</v>
      </c>
      <c r="BJ52" s="4">
        <v>0.9</v>
      </c>
      <c r="BK52" s="4">
        <v>0.5</v>
      </c>
      <c r="BL52" s="4">
        <v>0.6</v>
      </c>
      <c r="BM52" s="4">
        <v>0.3</v>
      </c>
      <c r="BN52" s="6">
        <v>770.25097700000003</v>
      </c>
      <c r="BO52" s="4">
        <v>5.0000000000000001E-3</v>
      </c>
      <c r="BQ52" s="4" t="s">
        <v>35</v>
      </c>
      <c r="BR52" s="4">
        <v>0.9</v>
      </c>
      <c r="BS52" s="4">
        <v>0.5</v>
      </c>
      <c r="BT52" s="4">
        <v>0.6</v>
      </c>
      <c r="BU52" s="4">
        <v>0.36</v>
      </c>
      <c r="BV52" s="4">
        <v>827.339966</v>
      </c>
      <c r="BW52" s="4">
        <v>4.0000000000000001E-3</v>
      </c>
      <c r="BX52" s="5"/>
      <c r="BY52" s="5"/>
      <c r="BZ52" s="5"/>
      <c r="CA52" s="5"/>
    </row>
    <row r="53" spans="1:79" x14ac:dyDescent="0.3">
      <c r="A53" s="4" t="s">
        <v>36</v>
      </c>
      <c r="B53" s="4">
        <v>0.9</v>
      </c>
      <c r="C53" s="4">
        <v>0.5</v>
      </c>
      <c r="D53" s="4">
        <v>0.6</v>
      </c>
      <c r="E53" s="4">
        <v>0.3</v>
      </c>
      <c r="F53" s="6">
        <v>518.33227499999998</v>
      </c>
      <c r="G53" s="4">
        <v>1E-3</v>
      </c>
      <c r="I53" s="4" t="s">
        <v>36</v>
      </c>
      <c r="J53" s="4">
        <v>0.9</v>
      </c>
      <c r="K53" s="4">
        <v>0.5</v>
      </c>
      <c r="L53" s="4">
        <v>0.6</v>
      </c>
      <c r="M53" s="4">
        <v>0.3</v>
      </c>
      <c r="N53" s="4">
        <v>519.61700399999995</v>
      </c>
      <c r="O53" s="4">
        <v>0</v>
      </c>
      <c r="P53" s="5"/>
      <c r="Q53" s="5"/>
      <c r="R53" s="5"/>
      <c r="S53" s="5"/>
      <c r="U53" s="4" t="s">
        <v>36</v>
      </c>
      <c r="V53" s="4">
        <v>0.9</v>
      </c>
      <c r="W53" s="4">
        <v>0.5</v>
      </c>
      <c r="X53" s="4">
        <v>0.6</v>
      </c>
      <c r="Y53" s="4">
        <v>0.3</v>
      </c>
      <c r="Z53" s="4">
        <v>499.63275099999998</v>
      </c>
      <c r="AA53" s="4">
        <v>1E-3</v>
      </c>
      <c r="AC53" s="4" t="s">
        <v>36</v>
      </c>
      <c r="AD53" s="4">
        <v>0.9</v>
      </c>
      <c r="AE53" s="4">
        <v>0.5</v>
      </c>
      <c r="AF53" s="4">
        <v>0.6</v>
      </c>
      <c r="AG53" s="4">
        <v>0.36</v>
      </c>
      <c r="AH53" s="6">
        <v>498.56735200000003</v>
      </c>
      <c r="AI53" s="4">
        <v>1E-3</v>
      </c>
      <c r="AJ53" s="5"/>
      <c r="AK53" s="5"/>
      <c r="AL53" s="5"/>
      <c r="AM53" s="5"/>
      <c r="AO53" s="4" t="s">
        <v>37</v>
      </c>
      <c r="AP53" s="4">
        <v>0.9</v>
      </c>
      <c r="AQ53" s="4">
        <v>0.5</v>
      </c>
      <c r="AR53" s="4">
        <v>0.6</v>
      </c>
      <c r="AS53" s="4">
        <v>0.3</v>
      </c>
      <c r="AT53" s="6">
        <v>773.38836700000002</v>
      </c>
      <c r="AU53" s="4">
        <v>6.0000000000000001E-3</v>
      </c>
      <c r="AW53" s="4" t="s">
        <v>37</v>
      </c>
      <c r="AX53" s="4">
        <v>0.9</v>
      </c>
      <c r="AY53" s="4">
        <v>0.5</v>
      </c>
      <c r="AZ53" s="4">
        <v>0.6</v>
      </c>
      <c r="BA53" s="4">
        <v>0.31</v>
      </c>
      <c r="BB53" s="4">
        <v>831.66473399999995</v>
      </c>
      <c r="BC53" s="4">
        <v>4.0000000000000001E-3</v>
      </c>
      <c r="BD53" s="5"/>
      <c r="BE53" s="5"/>
      <c r="BF53" s="5"/>
      <c r="BG53" s="5"/>
      <c r="BI53" s="4" t="s">
        <v>37</v>
      </c>
      <c r="BJ53" s="4">
        <v>0.9</v>
      </c>
      <c r="BK53" s="4">
        <v>0.5</v>
      </c>
      <c r="BL53" s="4">
        <v>0.6</v>
      </c>
      <c r="BM53" s="4">
        <v>0.3</v>
      </c>
      <c r="BN53" s="6">
        <v>767.92303500000003</v>
      </c>
      <c r="BO53" s="4">
        <v>5.0000000000000001E-3</v>
      </c>
      <c r="BQ53" s="4" t="s">
        <v>37</v>
      </c>
      <c r="BR53" s="4">
        <v>0.9</v>
      </c>
      <c r="BS53" s="4">
        <v>0.5</v>
      </c>
      <c r="BT53" s="4">
        <v>0.6</v>
      </c>
      <c r="BU53" s="4">
        <v>0.32</v>
      </c>
      <c r="BV53" s="4">
        <v>777.042419</v>
      </c>
      <c r="BW53" s="4">
        <v>4.0000000000000001E-3</v>
      </c>
      <c r="BX53" s="5"/>
      <c r="BY53" s="5"/>
      <c r="BZ53" s="5"/>
      <c r="CA53" s="5"/>
    </row>
    <row r="54" spans="1:79" x14ac:dyDescent="0.3">
      <c r="A54" s="4" t="s">
        <v>38</v>
      </c>
      <c r="B54" s="4">
        <v>0.9</v>
      </c>
      <c r="C54" s="4">
        <v>0.5</v>
      </c>
      <c r="D54" s="4">
        <v>0.6</v>
      </c>
      <c r="E54" s="4">
        <v>0.3</v>
      </c>
      <c r="F54" s="6">
        <v>434.67450000000002</v>
      </c>
      <c r="G54" s="4">
        <v>1E-3</v>
      </c>
      <c r="I54" s="4" t="s">
        <v>38</v>
      </c>
      <c r="J54" s="4">
        <v>0.9</v>
      </c>
      <c r="K54" s="4">
        <v>0.5</v>
      </c>
      <c r="L54" s="4">
        <v>0.6</v>
      </c>
      <c r="M54" s="4">
        <v>0.33</v>
      </c>
      <c r="N54" s="4">
        <v>460.70144699999997</v>
      </c>
      <c r="O54" s="4">
        <v>1E-3</v>
      </c>
      <c r="P54" s="5"/>
      <c r="Q54" s="5"/>
      <c r="R54" s="5"/>
      <c r="S54" s="5"/>
      <c r="U54" s="4" t="s">
        <v>38</v>
      </c>
      <c r="V54" s="4">
        <v>0.9</v>
      </c>
      <c r="W54" s="4">
        <v>0.5</v>
      </c>
      <c r="X54" s="4">
        <v>0.6</v>
      </c>
      <c r="Y54" s="4">
        <v>0.3</v>
      </c>
      <c r="Z54" s="6">
        <v>438.17889400000001</v>
      </c>
      <c r="AA54" s="4">
        <v>1E-3</v>
      </c>
      <c r="AC54" s="4" t="s">
        <v>38</v>
      </c>
      <c r="AD54" s="4">
        <v>0.9</v>
      </c>
      <c r="AE54" s="4">
        <v>0.5</v>
      </c>
      <c r="AF54" s="4">
        <v>0.6</v>
      </c>
      <c r="AG54" s="4">
        <v>0.35</v>
      </c>
      <c r="AH54" s="4">
        <v>445.48510700000003</v>
      </c>
      <c r="AI54" s="4">
        <v>1E-3</v>
      </c>
      <c r="AJ54" s="5"/>
      <c r="AK54" s="5"/>
      <c r="AL54" s="5"/>
      <c r="AM54" s="5"/>
      <c r="AO54" s="4" t="s">
        <v>39</v>
      </c>
      <c r="AP54" s="4">
        <v>0.9</v>
      </c>
      <c r="AQ54" s="4">
        <v>0.5</v>
      </c>
      <c r="AR54" s="4">
        <v>0.6</v>
      </c>
      <c r="AS54" s="4">
        <v>0.3</v>
      </c>
      <c r="AT54" s="6">
        <v>775.09356700000001</v>
      </c>
      <c r="AU54" s="4">
        <v>4.0000000000000001E-3</v>
      </c>
      <c r="AW54" s="4" t="s">
        <v>39</v>
      </c>
      <c r="AX54" s="4">
        <v>0.9</v>
      </c>
      <c r="AY54" s="4">
        <v>0.5</v>
      </c>
      <c r="AZ54" s="4">
        <v>0.6</v>
      </c>
      <c r="BA54" s="4">
        <v>0.3</v>
      </c>
      <c r="BB54" s="4">
        <v>813.07049600000005</v>
      </c>
      <c r="BC54" s="4">
        <v>5.0000000000000001E-3</v>
      </c>
      <c r="BD54" s="5"/>
      <c r="BE54" s="5"/>
      <c r="BF54" s="5"/>
      <c r="BG54" s="5"/>
      <c r="BI54" s="4" t="s">
        <v>39</v>
      </c>
      <c r="BJ54" s="4">
        <v>0.9</v>
      </c>
      <c r="BK54" s="4">
        <v>0.5</v>
      </c>
      <c r="BL54" s="4">
        <v>0.6</v>
      </c>
      <c r="BM54" s="4">
        <v>0.3</v>
      </c>
      <c r="BN54" s="6">
        <v>764.49444600000004</v>
      </c>
      <c r="BO54" s="4">
        <v>6.0000000000000001E-3</v>
      </c>
      <c r="BQ54" s="4" t="s">
        <v>39</v>
      </c>
      <c r="BR54" s="4">
        <v>0.9</v>
      </c>
      <c r="BS54" s="4">
        <v>0.5</v>
      </c>
      <c r="BT54" s="4">
        <v>0.6</v>
      </c>
      <c r="BU54" s="4">
        <v>0.3</v>
      </c>
      <c r="BV54" s="4">
        <v>797.18023700000003</v>
      </c>
      <c r="BW54" s="4">
        <v>5.0000000000000001E-3</v>
      </c>
      <c r="BX54" s="5"/>
      <c r="BY54" s="5"/>
      <c r="BZ54" s="5"/>
      <c r="CA54" s="5"/>
    </row>
    <row r="55" spans="1:79" x14ac:dyDescent="0.3">
      <c r="A55" s="4" t="s">
        <v>40</v>
      </c>
      <c r="B55" s="4">
        <v>0.9</v>
      </c>
      <c r="C55" s="4">
        <v>0.5</v>
      </c>
      <c r="D55" s="4">
        <v>0.6</v>
      </c>
      <c r="E55" s="4">
        <v>0.3</v>
      </c>
      <c r="F55" s="6">
        <v>402.25769000000003</v>
      </c>
      <c r="G55" s="4">
        <v>1E-3</v>
      </c>
      <c r="I55" s="4" t="s">
        <v>40</v>
      </c>
      <c r="J55" s="4">
        <v>0.9</v>
      </c>
      <c r="K55" s="4">
        <v>0.5</v>
      </c>
      <c r="L55" s="4">
        <v>0.6</v>
      </c>
      <c r="M55" s="4">
        <v>0.39</v>
      </c>
      <c r="N55" s="6">
        <v>402.25769000000003</v>
      </c>
      <c r="O55" s="4">
        <v>0</v>
      </c>
      <c r="P55" s="5"/>
      <c r="Q55" s="5"/>
      <c r="R55" s="5"/>
      <c r="S55" s="5"/>
      <c r="U55" s="4" t="s">
        <v>40</v>
      </c>
      <c r="V55" s="4">
        <v>0.9</v>
      </c>
      <c r="W55" s="4">
        <v>0.5</v>
      </c>
      <c r="X55" s="4">
        <v>0.6</v>
      </c>
      <c r="Y55" s="4">
        <v>0.3</v>
      </c>
      <c r="Z55" s="6">
        <v>389.52652</v>
      </c>
      <c r="AA55" s="4">
        <v>0</v>
      </c>
      <c r="AC55" s="4" t="s">
        <v>40</v>
      </c>
      <c r="AD55" s="4">
        <v>0.9</v>
      </c>
      <c r="AE55" s="4">
        <v>0.5</v>
      </c>
      <c r="AF55" s="4">
        <v>0.6</v>
      </c>
      <c r="AG55" s="4">
        <v>0.33</v>
      </c>
      <c r="AH55" s="6">
        <v>389.52652</v>
      </c>
      <c r="AI55" s="4">
        <v>1E-3</v>
      </c>
      <c r="AJ55" s="5"/>
      <c r="AK55" s="5"/>
      <c r="AL55" s="5"/>
      <c r="AM55" s="5"/>
      <c r="AO55" s="4" t="s">
        <v>41</v>
      </c>
      <c r="AP55" s="4">
        <v>0.9</v>
      </c>
      <c r="AQ55" s="4">
        <v>0.5</v>
      </c>
      <c r="AR55" s="4">
        <v>0.6</v>
      </c>
      <c r="AS55" s="4">
        <v>0.3</v>
      </c>
      <c r="AT55" s="6">
        <v>874.83953899999995</v>
      </c>
      <c r="AU55" s="4">
        <v>6.0000000000000001E-3</v>
      </c>
      <c r="AW55" s="4" t="s">
        <v>41</v>
      </c>
      <c r="AX55" s="4">
        <v>0.9</v>
      </c>
      <c r="AY55" s="4">
        <v>0.5</v>
      </c>
      <c r="AZ55" s="4">
        <v>0.6</v>
      </c>
      <c r="BA55" s="4">
        <v>0.3</v>
      </c>
      <c r="BB55" s="4">
        <v>933.11230499999999</v>
      </c>
      <c r="BC55" s="4">
        <v>6.0000000000000001E-3</v>
      </c>
      <c r="BD55" s="5"/>
      <c r="BE55" s="5"/>
      <c r="BF55" s="5"/>
      <c r="BG55" s="5"/>
      <c r="BI55" s="4" t="s">
        <v>41</v>
      </c>
      <c r="BJ55" s="4">
        <v>0.9</v>
      </c>
      <c r="BK55" s="4">
        <v>0.5</v>
      </c>
      <c r="BL55" s="4">
        <v>0.6</v>
      </c>
      <c r="BM55" s="4">
        <v>0.3</v>
      </c>
      <c r="BN55" s="6">
        <v>860.56756600000006</v>
      </c>
      <c r="BO55" s="4">
        <v>8.0000000000000002E-3</v>
      </c>
      <c r="BQ55" s="4" t="s">
        <v>41</v>
      </c>
      <c r="BR55" s="4">
        <v>0.9</v>
      </c>
      <c r="BS55" s="4">
        <v>0.5</v>
      </c>
      <c r="BT55" s="4">
        <v>0.6</v>
      </c>
      <c r="BU55" s="4">
        <v>0.33</v>
      </c>
      <c r="BV55" s="4">
        <v>879.11480700000004</v>
      </c>
      <c r="BW55" s="4">
        <v>5.0000000000000001E-3</v>
      </c>
      <c r="BX55" s="5"/>
      <c r="BY55" s="5"/>
      <c r="BZ55" s="5"/>
      <c r="CA55" s="5"/>
    </row>
    <row r="56" spans="1:79" x14ac:dyDescent="0.3">
      <c r="A56" s="4" t="s">
        <v>42</v>
      </c>
      <c r="B56" s="4">
        <v>0.9</v>
      </c>
      <c r="C56" s="4">
        <v>0.5</v>
      </c>
      <c r="D56" s="4">
        <v>0.6</v>
      </c>
      <c r="E56" s="4">
        <v>0.3</v>
      </c>
      <c r="F56" s="6">
        <v>422.730591</v>
      </c>
      <c r="G56" s="4">
        <v>0</v>
      </c>
      <c r="I56" s="4" t="s">
        <v>42</v>
      </c>
      <c r="J56" s="4">
        <v>0.9</v>
      </c>
      <c r="K56" s="4">
        <v>0.5</v>
      </c>
      <c r="L56" s="4">
        <v>0.6</v>
      </c>
      <c r="M56" s="4">
        <v>0.3</v>
      </c>
      <c r="N56" s="4">
        <v>428.95291099999997</v>
      </c>
      <c r="O56" s="4">
        <v>1E-3</v>
      </c>
      <c r="P56" s="5"/>
      <c r="Q56" s="5"/>
      <c r="R56" s="5"/>
      <c r="S56" s="5"/>
      <c r="U56" s="4" t="s">
        <v>42</v>
      </c>
      <c r="V56" s="4">
        <v>0.9</v>
      </c>
      <c r="W56" s="4">
        <v>0.5</v>
      </c>
      <c r="X56" s="4">
        <v>0.6</v>
      </c>
      <c r="Y56" s="4">
        <v>0.3</v>
      </c>
      <c r="Z56" s="6">
        <v>409.86990400000002</v>
      </c>
      <c r="AA56" s="4">
        <v>0</v>
      </c>
      <c r="AC56" s="4" t="s">
        <v>42</v>
      </c>
      <c r="AD56" s="4">
        <v>0.9</v>
      </c>
      <c r="AE56" s="4">
        <v>0.5</v>
      </c>
      <c r="AF56" s="4">
        <v>0.6</v>
      </c>
      <c r="AG56" s="4">
        <v>0.35</v>
      </c>
      <c r="AH56" s="8">
        <v>409.94903599999998</v>
      </c>
      <c r="AI56" s="4">
        <v>0</v>
      </c>
      <c r="AJ56" s="5"/>
      <c r="AK56" s="5"/>
      <c r="AL56" s="5"/>
      <c r="AM56" s="5"/>
      <c r="AO56" s="4" t="s">
        <v>43</v>
      </c>
      <c r="AP56" s="4">
        <v>0.9</v>
      </c>
      <c r="AQ56" s="4">
        <v>0.5</v>
      </c>
      <c r="AR56" s="4">
        <v>0.6</v>
      </c>
      <c r="AS56" s="4">
        <v>0.3</v>
      </c>
      <c r="AT56" s="6">
        <v>816.25408900000002</v>
      </c>
      <c r="AU56" s="4">
        <v>6.0000000000000001E-3</v>
      </c>
      <c r="AW56" s="4" t="s">
        <v>43</v>
      </c>
      <c r="AX56" s="4">
        <v>0.9</v>
      </c>
      <c r="AY56" s="4">
        <v>0.5</v>
      </c>
      <c r="AZ56" s="4">
        <v>0.6</v>
      </c>
      <c r="BA56" s="4">
        <v>0.35</v>
      </c>
      <c r="BB56" s="8">
        <v>816.88177499999995</v>
      </c>
      <c r="BC56" s="4">
        <v>6.0000000000000001E-3</v>
      </c>
      <c r="BD56" s="5"/>
      <c r="BE56" s="5"/>
      <c r="BF56" s="5"/>
      <c r="BG56" s="5"/>
      <c r="BI56" s="4" t="s">
        <v>43</v>
      </c>
      <c r="BJ56" s="4">
        <v>0.9</v>
      </c>
      <c r="BK56" s="4">
        <v>0.5</v>
      </c>
      <c r="BL56" s="4">
        <v>0.6</v>
      </c>
      <c r="BM56" s="4">
        <v>0.3</v>
      </c>
      <c r="BN56" s="6">
        <v>777.67456100000004</v>
      </c>
      <c r="BO56" s="4">
        <v>4.0000000000000001E-3</v>
      </c>
      <c r="BQ56" s="4" t="s">
        <v>43</v>
      </c>
      <c r="BR56" s="4">
        <v>0.9</v>
      </c>
      <c r="BS56" s="4">
        <v>0.5</v>
      </c>
      <c r="BT56" s="4">
        <v>0.6</v>
      </c>
      <c r="BU56" s="4">
        <v>0.36</v>
      </c>
      <c r="BV56" s="4">
        <v>804.87780799999996</v>
      </c>
      <c r="BW56" s="4">
        <v>4.0000000000000001E-3</v>
      </c>
      <c r="BX56" s="5"/>
      <c r="BY56" s="5"/>
      <c r="BZ56" s="5"/>
      <c r="CA56" s="5"/>
    </row>
    <row r="57" spans="1:79" x14ac:dyDescent="0.3">
      <c r="A57" s="4" t="s">
        <v>44</v>
      </c>
      <c r="B57" s="4">
        <v>0.9</v>
      </c>
      <c r="C57" s="4">
        <v>0.5</v>
      </c>
      <c r="D57" s="4">
        <v>0.6</v>
      </c>
      <c r="E57" s="4">
        <v>0.3</v>
      </c>
      <c r="F57" s="6">
        <v>491.69644199999999</v>
      </c>
      <c r="G57" s="4">
        <v>1E-3</v>
      </c>
      <c r="I57" s="4" t="s">
        <v>44</v>
      </c>
      <c r="J57" s="4">
        <v>0.9</v>
      </c>
      <c r="K57" s="4">
        <v>0.5</v>
      </c>
      <c r="L57" s="4">
        <v>0.6</v>
      </c>
      <c r="M57" s="4">
        <v>0.37</v>
      </c>
      <c r="N57" s="4">
        <v>511.68850700000002</v>
      </c>
      <c r="O57" s="4">
        <v>0</v>
      </c>
      <c r="P57" s="5"/>
      <c r="Q57" s="5"/>
      <c r="R57" s="5"/>
      <c r="S57" s="5"/>
      <c r="U57" s="4" t="s">
        <v>44</v>
      </c>
      <c r="V57" s="4">
        <v>0.9</v>
      </c>
      <c r="W57" s="4">
        <v>0.5</v>
      </c>
      <c r="X57" s="4">
        <v>0.6</v>
      </c>
      <c r="Y57" s="4">
        <v>0.3</v>
      </c>
      <c r="Z57" s="6">
        <v>496.55496199999999</v>
      </c>
      <c r="AA57" s="4">
        <v>1E-3</v>
      </c>
      <c r="AC57" s="4" t="s">
        <v>44</v>
      </c>
      <c r="AD57" s="4">
        <v>0.9</v>
      </c>
      <c r="AE57" s="4">
        <v>0.5</v>
      </c>
      <c r="AF57" s="4">
        <v>0.6</v>
      </c>
      <c r="AG57" s="4">
        <v>0.32</v>
      </c>
      <c r="AH57" s="4">
        <v>503.404968</v>
      </c>
      <c r="AI57" s="4">
        <v>1E-3</v>
      </c>
      <c r="AJ57" s="5"/>
      <c r="AK57" s="5"/>
      <c r="AL57" s="5"/>
      <c r="AM57" s="5"/>
      <c r="AO57" s="4" t="s">
        <v>45</v>
      </c>
      <c r="AP57" s="4">
        <v>0.9</v>
      </c>
      <c r="AQ57" s="4">
        <v>0.5</v>
      </c>
      <c r="AR57" s="4">
        <v>0.6</v>
      </c>
      <c r="AS57" s="4">
        <v>0.3</v>
      </c>
      <c r="AT57" s="6">
        <v>842.04296899999997</v>
      </c>
      <c r="AU57" s="4">
        <v>5.0000000000000001E-3</v>
      </c>
      <c r="AW57" s="4" t="s">
        <v>45</v>
      </c>
      <c r="AX57" s="4">
        <v>0.9</v>
      </c>
      <c r="AY57" s="4">
        <v>0.5</v>
      </c>
      <c r="AZ57" s="4">
        <v>0.6</v>
      </c>
      <c r="BA57" s="4">
        <v>0.32</v>
      </c>
      <c r="BB57" s="4">
        <v>874.96545400000002</v>
      </c>
      <c r="BC57" s="4">
        <v>6.0000000000000001E-3</v>
      </c>
      <c r="BD57" s="5"/>
      <c r="BE57" s="5"/>
      <c r="BF57" s="5"/>
      <c r="BG57" s="5"/>
      <c r="BI57" s="4" t="s">
        <v>45</v>
      </c>
      <c r="BJ57" s="4">
        <v>0.9</v>
      </c>
      <c r="BK57" s="4">
        <v>0.5</v>
      </c>
      <c r="BL57" s="4">
        <v>0.6</v>
      </c>
      <c r="BM57" s="4">
        <v>0.3</v>
      </c>
      <c r="BN57" s="6">
        <v>822.73565699999995</v>
      </c>
      <c r="BO57" s="4">
        <v>5.0000000000000001E-3</v>
      </c>
      <c r="BQ57" s="4" t="s">
        <v>45</v>
      </c>
      <c r="BR57" s="4">
        <v>0.9</v>
      </c>
      <c r="BS57" s="4">
        <v>0.5</v>
      </c>
      <c r="BT57" s="4">
        <v>0.6</v>
      </c>
      <c r="BU57" s="4">
        <v>0.32</v>
      </c>
      <c r="BV57" s="4">
        <v>859.44891399999995</v>
      </c>
      <c r="BW57" s="4">
        <v>5.0000000000000001E-3</v>
      </c>
      <c r="BX57" s="5"/>
      <c r="BY57" s="5"/>
      <c r="BZ57" s="5"/>
      <c r="CA57" s="5"/>
    </row>
    <row r="58" spans="1:79" x14ac:dyDescent="0.3">
      <c r="A58" s="4" t="s">
        <v>46</v>
      </c>
      <c r="B58" s="4">
        <v>0.9</v>
      </c>
      <c r="C58" s="4">
        <v>0.5</v>
      </c>
      <c r="D58" s="4">
        <v>0.6</v>
      </c>
      <c r="E58" s="4">
        <v>0.3</v>
      </c>
      <c r="F58" s="6">
        <v>478.23291</v>
      </c>
      <c r="G58" s="4">
        <v>2E-3</v>
      </c>
      <c r="I58" s="4" t="s">
        <v>46</v>
      </c>
      <c r="J58" s="4">
        <v>0.9</v>
      </c>
      <c r="K58" s="4">
        <v>0.5</v>
      </c>
      <c r="L58" s="4">
        <v>0.6</v>
      </c>
      <c r="M58" s="4">
        <v>0.48</v>
      </c>
      <c r="N58" s="4">
        <v>488.44482399999998</v>
      </c>
      <c r="O58" s="4">
        <v>1E-3</v>
      </c>
      <c r="P58" s="5"/>
      <c r="Q58" s="5"/>
      <c r="R58" s="5"/>
      <c r="S58" s="5"/>
      <c r="U58" s="4" t="s">
        <v>46</v>
      </c>
      <c r="V58" s="4">
        <v>0.9</v>
      </c>
      <c r="W58" s="4">
        <v>0.5</v>
      </c>
      <c r="X58" s="4">
        <v>0.6</v>
      </c>
      <c r="Y58" s="4">
        <v>0.3</v>
      </c>
      <c r="Z58" s="6">
        <v>472.42095899999998</v>
      </c>
      <c r="AA58" s="4">
        <v>1E-3</v>
      </c>
      <c r="AC58" s="4" t="s">
        <v>46</v>
      </c>
      <c r="AD58" s="4">
        <v>0.9</v>
      </c>
      <c r="AE58" s="4">
        <v>0.5</v>
      </c>
      <c r="AF58" s="4">
        <v>0.6</v>
      </c>
      <c r="AG58" s="4">
        <v>0.42</v>
      </c>
      <c r="AH58" s="6">
        <v>472.42095899999998</v>
      </c>
      <c r="AI58" s="4">
        <v>0</v>
      </c>
      <c r="AJ58" s="5"/>
      <c r="AK58" s="5"/>
      <c r="AL58" s="5"/>
      <c r="AM58" s="5"/>
      <c r="AO58" s="4" t="s">
        <v>47</v>
      </c>
      <c r="AP58" s="4">
        <v>0.9</v>
      </c>
      <c r="AQ58" s="4">
        <v>0.5</v>
      </c>
      <c r="AR58" s="4">
        <v>0.6</v>
      </c>
      <c r="AS58" s="4">
        <v>0.3</v>
      </c>
      <c r="AT58" s="6">
        <v>786.24267599999996</v>
      </c>
      <c r="AU58" s="4">
        <v>5.0000000000000001E-3</v>
      </c>
      <c r="AW58" s="4" t="s">
        <v>47</v>
      </c>
      <c r="AX58" s="4">
        <v>0.9</v>
      </c>
      <c r="AY58" s="4">
        <v>0.5</v>
      </c>
      <c r="AZ58" s="4">
        <v>0.6</v>
      </c>
      <c r="BA58" s="4">
        <v>0.3</v>
      </c>
      <c r="BB58" s="4">
        <v>803.90490699999998</v>
      </c>
      <c r="BC58" s="4">
        <v>6.0000000000000001E-3</v>
      </c>
      <c r="BD58" s="5"/>
      <c r="BE58" s="5"/>
      <c r="BF58" s="5"/>
      <c r="BG58" s="5"/>
      <c r="BI58" s="4" t="s">
        <v>47</v>
      </c>
      <c r="BJ58" s="4">
        <v>0.9</v>
      </c>
      <c r="BK58" s="4">
        <v>0.5</v>
      </c>
      <c r="BL58" s="4">
        <v>0.6</v>
      </c>
      <c r="BM58" s="4">
        <v>0.3</v>
      </c>
      <c r="BN58" s="6">
        <v>741.52844200000004</v>
      </c>
      <c r="BO58" s="4">
        <v>3.0000000000000001E-3</v>
      </c>
      <c r="BQ58" s="4" t="s">
        <v>47</v>
      </c>
      <c r="BR58" s="4">
        <v>0.9</v>
      </c>
      <c r="BS58" s="4">
        <v>0.5</v>
      </c>
      <c r="BT58" s="4">
        <v>0.6</v>
      </c>
      <c r="BU58" s="4">
        <v>0.33</v>
      </c>
      <c r="BV58" s="4">
        <v>775.75659199999996</v>
      </c>
      <c r="BW58" s="4">
        <v>4.0000000000000001E-3</v>
      </c>
      <c r="BX58" s="5"/>
      <c r="BY58" s="5"/>
      <c r="BZ58" s="5"/>
      <c r="CA58" s="5"/>
    </row>
    <row r="59" spans="1:79" x14ac:dyDescent="0.3">
      <c r="A59" s="4" t="s">
        <v>48</v>
      </c>
      <c r="B59" s="4">
        <v>0.9</v>
      </c>
      <c r="C59" s="4">
        <v>0.5</v>
      </c>
      <c r="D59" s="4">
        <v>0.6</v>
      </c>
      <c r="E59" s="4">
        <v>0.3</v>
      </c>
      <c r="F59" s="6">
        <v>453.16906699999998</v>
      </c>
      <c r="G59" s="4">
        <v>1E-3</v>
      </c>
      <c r="I59" s="4" t="s">
        <v>48</v>
      </c>
      <c r="J59" s="4">
        <v>0.9</v>
      </c>
      <c r="K59" s="4">
        <v>0.5</v>
      </c>
      <c r="L59" s="4">
        <v>0.6</v>
      </c>
      <c r="M59" s="4">
        <v>0.33</v>
      </c>
      <c r="N59" s="4">
        <v>455.84371900000002</v>
      </c>
      <c r="O59" s="4">
        <v>1E-3</v>
      </c>
      <c r="P59" s="5"/>
      <c r="Q59" s="5"/>
      <c r="R59" s="5"/>
      <c r="S59" s="5"/>
      <c r="U59" s="4" t="s">
        <v>48</v>
      </c>
      <c r="V59" s="4">
        <v>0.9</v>
      </c>
      <c r="W59" s="4">
        <v>0.5</v>
      </c>
      <c r="X59" s="4">
        <v>0.6</v>
      </c>
      <c r="Y59" s="4">
        <v>0.3</v>
      </c>
      <c r="Z59" s="6">
        <v>435.15716600000002</v>
      </c>
      <c r="AA59" s="4">
        <v>1E-3</v>
      </c>
      <c r="AC59" s="4" t="s">
        <v>48</v>
      </c>
      <c r="AD59" s="4">
        <v>0.9</v>
      </c>
      <c r="AE59" s="4">
        <v>0.5</v>
      </c>
      <c r="AF59" s="4">
        <v>0.6</v>
      </c>
      <c r="AG59" s="4">
        <v>0.4</v>
      </c>
      <c r="AH59" s="6">
        <v>435.15716600000002</v>
      </c>
      <c r="AI59" s="4">
        <v>1E-3</v>
      </c>
      <c r="AJ59" s="5"/>
      <c r="AK59" s="5"/>
      <c r="AL59" s="5"/>
      <c r="AM59" s="5"/>
      <c r="AO59" s="4" t="s">
        <v>49</v>
      </c>
      <c r="AP59" s="4">
        <v>0.9</v>
      </c>
      <c r="AQ59" s="4">
        <v>0.5</v>
      </c>
      <c r="AR59" s="4">
        <v>0.6</v>
      </c>
      <c r="AS59" s="4">
        <v>0.3</v>
      </c>
      <c r="AT59" s="6">
        <v>790.84118699999999</v>
      </c>
      <c r="AU59" s="4">
        <v>6.0000000000000001E-3</v>
      </c>
      <c r="AW59" s="4" t="s">
        <v>49</v>
      </c>
      <c r="AX59" s="4">
        <v>0.9</v>
      </c>
      <c r="AY59" s="4">
        <v>0.5</v>
      </c>
      <c r="AZ59" s="4">
        <v>0.6</v>
      </c>
      <c r="BA59" s="4">
        <v>0.3</v>
      </c>
      <c r="BB59" s="4">
        <v>860.29156499999999</v>
      </c>
      <c r="BC59" s="4">
        <v>6.0000000000000001E-3</v>
      </c>
      <c r="BD59" s="5"/>
      <c r="BE59" s="5"/>
      <c r="BF59" s="5"/>
      <c r="BG59" s="5"/>
      <c r="BI59" s="4" t="s">
        <v>49</v>
      </c>
      <c r="BJ59" s="4">
        <v>0.9</v>
      </c>
      <c r="BK59" s="4">
        <v>0.5</v>
      </c>
      <c r="BL59" s="4">
        <v>0.6</v>
      </c>
      <c r="BM59" s="4">
        <v>0.3</v>
      </c>
      <c r="BN59" s="6">
        <v>790.58966099999998</v>
      </c>
      <c r="BO59" s="4">
        <v>3.0000000000000001E-3</v>
      </c>
      <c r="BQ59" s="4" t="s">
        <v>49</v>
      </c>
      <c r="BR59" s="4">
        <v>0.9</v>
      </c>
      <c r="BS59" s="4">
        <v>0.5</v>
      </c>
      <c r="BT59" s="4">
        <v>0.6</v>
      </c>
      <c r="BU59" s="4">
        <v>0.3</v>
      </c>
      <c r="BV59" s="4">
        <v>821.84484899999995</v>
      </c>
      <c r="BW59" s="4">
        <v>4.0000000000000001E-3</v>
      </c>
      <c r="BX59" s="5"/>
      <c r="BY59" s="5"/>
      <c r="BZ59" s="5"/>
      <c r="CA59" s="5"/>
    </row>
    <row r="60" spans="1:79" x14ac:dyDescent="0.3">
      <c r="A60" s="4" t="s">
        <v>50</v>
      </c>
      <c r="B60" s="4">
        <v>0.9</v>
      </c>
      <c r="C60" s="4">
        <v>0.5</v>
      </c>
      <c r="D60" s="4">
        <v>0.6</v>
      </c>
      <c r="E60" s="4">
        <v>0.3</v>
      </c>
      <c r="F60" s="6">
        <v>431.25848400000001</v>
      </c>
      <c r="G60" s="4">
        <v>0</v>
      </c>
      <c r="I60" s="4" t="s">
        <v>50</v>
      </c>
      <c r="J60" s="4">
        <v>0.9</v>
      </c>
      <c r="K60" s="4">
        <v>0.5</v>
      </c>
      <c r="L60" s="4">
        <v>0.6</v>
      </c>
      <c r="M60" s="4">
        <v>0.31</v>
      </c>
      <c r="N60" s="4">
        <v>459.18582199999997</v>
      </c>
      <c r="O60" s="4">
        <v>0</v>
      </c>
      <c r="P60" s="5"/>
      <c r="Q60" s="5"/>
      <c r="R60" s="5"/>
      <c r="S60" s="5"/>
      <c r="U60" s="4" t="s">
        <v>50</v>
      </c>
      <c r="V60" s="4">
        <v>0.9</v>
      </c>
      <c r="W60" s="4">
        <v>0.5</v>
      </c>
      <c r="X60" s="4">
        <v>0.6</v>
      </c>
      <c r="Y60" s="4">
        <v>0.3</v>
      </c>
      <c r="Z60" s="4">
        <v>440.176941</v>
      </c>
      <c r="AA60" s="4">
        <v>1E-3</v>
      </c>
      <c r="AC60" s="4" t="s">
        <v>50</v>
      </c>
      <c r="AD60" s="4">
        <v>0.9</v>
      </c>
      <c r="AE60" s="4">
        <v>0.5</v>
      </c>
      <c r="AF60" s="4">
        <v>0.6</v>
      </c>
      <c r="AG60" s="4">
        <v>0.34</v>
      </c>
      <c r="AH60" s="6">
        <v>435.99331699999999</v>
      </c>
      <c r="AI60" s="4">
        <v>1E-3</v>
      </c>
      <c r="AJ60" s="5"/>
      <c r="AK60" s="5"/>
      <c r="AL60" s="5"/>
      <c r="AM60" s="5"/>
      <c r="AO60" s="4" t="s">
        <v>51</v>
      </c>
      <c r="AP60" s="4">
        <v>0.9</v>
      </c>
      <c r="AQ60" s="4">
        <v>0.5</v>
      </c>
      <c r="AR60" s="4">
        <v>0.6</v>
      </c>
      <c r="AS60" s="4">
        <v>0.3</v>
      </c>
      <c r="AT60" s="6">
        <v>948.32336399999997</v>
      </c>
      <c r="AU60" s="4">
        <v>6.0000000000000001E-3</v>
      </c>
      <c r="AW60" s="4" t="s">
        <v>51</v>
      </c>
      <c r="AX60" s="4">
        <v>0.9</v>
      </c>
      <c r="AY60" s="4">
        <v>0.5</v>
      </c>
      <c r="AZ60" s="4">
        <v>0.6</v>
      </c>
      <c r="BA60" s="4">
        <v>0.31</v>
      </c>
      <c r="BB60" s="4">
        <v>1025.1004640000001</v>
      </c>
      <c r="BC60" s="4">
        <v>0.01</v>
      </c>
      <c r="BD60" s="5"/>
      <c r="BE60" s="5"/>
      <c r="BF60" s="5"/>
      <c r="BG60" s="5"/>
      <c r="BI60" s="4" t="s">
        <v>51</v>
      </c>
      <c r="BJ60" s="4">
        <v>0.9</v>
      </c>
      <c r="BK60" s="4">
        <v>0.5</v>
      </c>
      <c r="BL60" s="4">
        <v>0.6</v>
      </c>
      <c r="BM60" s="4">
        <v>0.3</v>
      </c>
      <c r="BN60" s="6">
        <v>992.39739999999995</v>
      </c>
      <c r="BO60" s="4">
        <v>5.0000000000000001E-3</v>
      </c>
      <c r="BQ60" s="4" t="s">
        <v>51</v>
      </c>
      <c r="BR60" s="4">
        <v>0.9</v>
      </c>
      <c r="BS60" s="4">
        <v>0.5</v>
      </c>
      <c r="BT60" s="4">
        <v>0.6</v>
      </c>
      <c r="BU60" s="4">
        <v>0.33</v>
      </c>
      <c r="BV60" s="4">
        <v>994.307861</v>
      </c>
      <c r="BW60" s="4">
        <v>5.0000000000000001E-3</v>
      </c>
      <c r="BX60" s="5"/>
      <c r="BY60" s="5"/>
      <c r="BZ60" s="5"/>
      <c r="CA60" s="5"/>
    </row>
    <row r="61" spans="1:79" x14ac:dyDescent="0.3">
      <c r="A61" s="4" t="s">
        <v>52</v>
      </c>
      <c r="B61" s="4">
        <v>0.9</v>
      </c>
      <c r="C61" s="4">
        <v>0.5</v>
      </c>
      <c r="D61" s="4">
        <v>0.6</v>
      </c>
      <c r="E61" s="4">
        <v>0.3</v>
      </c>
      <c r="F61" s="6">
        <v>434.11999500000002</v>
      </c>
      <c r="G61" s="4">
        <v>0</v>
      </c>
      <c r="I61" s="4" t="s">
        <v>52</v>
      </c>
      <c r="J61" s="4">
        <v>0.9</v>
      </c>
      <c r="K61" s="4">
        <v>0.5</v>
      </c>
      <c r="L61" s="4">
        <v>0.6</v>
      </c>
      <c r="M61" s="4">
        <v>0.31</v>
      </c>
      <c r="N61" s="4">
        <v>463.34295700000001</v>
      </c>
      <c r="O61" s="4">
        <v>1E-3</v>
      </c>
      <c r="P61" s="5"/>
      <c r="Q61" s="5"/>
      <c r="R61" s="5"/>
      <c r="S61" s="5"/>
      <c r="U61" s="4" t="s">
        <v>52</v>
      </c>
      <c r="V61" s="4">
        <v>0.9</v>
      </c>
      <c r="W61" s="4">
        <v>0.5</v>
      </c>
      <c r="X61" s="4">
        <v>0.6</v>
      </c>
      <c r="Y61" s="4">
        <v>0.3</v>
      </c>
      <c r="Z61" s="4">
        <v>459.364014</v>
      </c>
      <c r="AA61" s="4">
        <v>1E-3</v>
      </c>
      <c r="AC61" s="4" t="s">
        <v>52</v>
      </c>
      <c r="AD61" s="4">
        <v>0.9</v>
      </c>
      <c r="AE61" s="4">
        <v>0.5</v>
      </c>
      <c r="AF61" s="4">
        <v>0.6</v>
      </c>
      <c r="AG61" s="4">
        <v>0.34</v>
      </c>
      <c r="AH61" s="6">
        <v>457.10873400000003</v>
      </c>
      <c r="AI61" s="4">
        <v>1E-3</v>
      </c>
      <c r="AJ61" s="5"/>
      <c r="AK61" s="5"/>
      <c r="AL61" s="5"/>
      <c r="AM61" s="5"/>
      <c r="AO61" s="4" t="s">
        <v>53</v>
      </c>
      <c r="AP61" s="4">
        <v>0.9</v>
      </c>
      <c r="AQ61" s="4">
        <v>0.5</v>
      </c>
      <c r="AR61" s="4">
        <v>0.6</v>
      </c>
      <c r="AS61" s="4">
        <v>0.3</v>
      </c>
      <c r="AT61" s="4">
        <v>957.35632299999997</v>
      </c>
      <c r="AU61" s="4">
        <v>6.0000000000000001E-3</v>
      </c>
      <c r="AW61" s="4" t="s">
        <v>53</v>
      </c>
      <c r="AX61" s="4">
        <v>0.9</v>
      </c>
      <c r="AY61" s="4">
        <v>0.5</v>
      </c>
      <c r="AZ61" s="4">
        <v>0.6</v>
      </c>
      <c r="BA61" s="4">
        <v>0.34</v>
      </c>
      <c r="BB61" s="6">
        <v>945.96118200000001</v>
      </c>
      <c r="BC61" s="4">
        <v>5.0000000000000001E-3</v>
      </c>
      <c r="BD61" s="5"/>
      <c r="BE61" s="5"/>
      <c r="BF61" s="5"/>
      <c r="BG61" s="5"/>
      <c r="BI61" s="4" t="s">
        <v>53</v>
      </c>
      <c r="BJ61" s="4">
        <v>0.9</v>
      </c>
      <c r="BK61" s="4">
        <v>0.5</v>
      </c>
      <c r="BL61" s="4">
        <v>0.6</v>
      </c>
      <c r="BM61" s="4">
        <v>0.3</v>
      </c>
      <c r="BN61" s="6">
        <v>942.66168200000004</v>
      </c>
      <c r="BO61" s="4">
        <v>5.0000000000000001E-3</v>
      </c>
      <c r="BQ61" s="4" t="s">
        <v>53</v>
      </c>
      <c r="BR61" s="4">
        <v>0.9</v>
      </c>
      <c r="BS61" s="4">
        <v>0.5</v>
      </c>
      <c r="BT61" s="4">
        <v>0.6</v>
      </c>
      <c r="BU61" s="4">
        <v>0.32</v>
      </c>
      <c r="BV61" s="4">
        <v>947.59252900000001</v>
      </c>
      <c r="BW61" s="4">
        <v>5.0000000000000001E-3</v>
      </c>
      <c r="BX61" s="5"/>
      <c r="BY61" s="5"/>
      <c r="BZ61" s="5"/>
      <c r="CA61" s="5"/>
    </row>
    <row r="62" spans="1:79" x14ac:dyDescent="0.3">
      <c r="A62" s="4" t="s">
        <v>54</v>
      </c>
      <c r="B62" s="4">
        <v>0.9</v>
      </c>
      <c r="C62" s="4">
        <v>0.5</v>
      </c>
      <c r="D62" s="4">
        <v>0.6</v>
      </c>
      <c r="E62" s="4">
        <v>0.3</v>
      </c>
      <c r="F62" s="4">
        <v>542.234375</v>
      </c>
      <c r="G62" s="4">
        <v>0</v>
      </c>
      <c r="I62" s="4" t="s">
        <v>54</v>
      </c>
      <c r="J62" s="4">
        <v>0.9</v>
      </c>
      <c r="K62" s="4">
        <v>0.5</v>
      </c>
      <c r="L62" s="4">
        <v>0.6</v>
      </c>
      <c r="M62" s="4">
        <v>0.35</v>
      </c>
      <c r="N62" s="6">
        <v>541.601135</v>
      </c>
      <c r="O62" s="4">
        <v>0</v>
      </c>
      <c r="P62" s="5"/>
      <c r="Q62" s="5"/>
      <c r="R62" s="5"/>
      <c r="S62" s="5"/>
      <c r="U62" s="4" t="s">
        <v>54</v>
      </c>
      <c r="V62" s="4">
        <v>0.9</v>
      </c>
      <c r="W62" s="4">
        <v>0.5</v>
      </c>
      <c r="X62" s="4">
        <v>0.6</v>
      </c>
      <c r="Y62" s="4">
        <v>0.3</v>
      </c>
      <c r="Z62" s="6">
        <v>545.28924600000005</v>
      </c>
      <c r="AA62" s="4">
        <v>1E-3</v>
      </c>
      <c r="AC62" s="4" t="s">
        <v>54</v>
      </c>
      <c r="AD62" s="4">
        <v>0.9</v>
      </c>
      <c r="AE62" s="4">
        <v>0.5</v>
      </c>
      <c r="AF62" s="4">
        <v>0.6</v>
      </c>
      <c r="AG62" s="4">
        <v>0.36</v>
      </c>
      <c r="AH62" s="4">
        <v>546.47717299999999</v>
      </c>
      <c r="AI62" s="4">
        <v>1E-3</v>
      </c>
      <c r="AJ62" s="5"/>
      <c r="AK62" s="5"/>
      <c r="AL62" s="5"/>
      <c r="AM62" s="5"/>
      <c r="AO62" s="4" t="s">
        <v>55</v>
      </c>
      <c r="AP62" s="4">
        <v>0.9</v>
      </c>
      <c r="AQ62" s="4">
        <v>0.5</v>
      </c>
      <c r="AR62" s="4">
        <v>0.6</v>
      </c>
      <c r="AS62" s="4">
        <v>0.3</v>
      </c>
      <c r="AT62" s="6">
        <v>947.66198699999995</v>
      </c>
      <c r="AU62" s="4">
        <v>4.0000000000000001E-3</v>
      </c>
      <c r="AW62" s="4" t="s">
        <v>55</v>
      </c>
      <c r="AX62" s="4">
        <v>0.9</v>
      </c>
      <c r="AY62" s="4">
        <v>0.5</v>
      </c>
      <c r="AZ62" s="4">
        <v>0.6</v>
      </c>
      <c r="BA62" s="4">
        <v>0.34</v>
      </c>
      <c r="BB62" s="4">
        <v>978.29730199999995</v>
      </c>
      <c r="BC62" s="4">
        <v>7.0000000000000001E-3</v>
      </c>
      <c r="BD62" s="5"/>
      <c r="BE62" s="5"/>
      <c r="BF62" s="5"/>
      <c r="BG62" s="5"/>
      <c r="BI62" s="4" t="s">
        <v>55</v>
      </c>
      <c r="BJ62" s="4">
        <v>0.9</v>
      </c>
      <c r="BK62" s="4">
        <v>0.5</v>
      </c>
      <c r="BL62" s="4">
        <v>0.6</v>
      </c>
      <c r="BM62" s="4">
        <v>0.3</v>
      </c>
      <c r="BN62" s="6">
        <v>914.03625499999998</v>
      </c>
      <c r="BO62" s="4">
        <v>5.0000000000000001E-3</v>
      </c>
      <c r="BQ62" s="4" t="s">
        <v>55</v>
      </c>
      <c r="BR62" s="4">
        <v>0.9</v>
      </c>
      <c r="BS62" s="4">
        <v>0.5</v>
      </c>
      <c r="BT62" s="4">
        <v>0.6</v>
      </c>
      <c r="BU62" s="4">
        <v>0.3</v>
      </c>
      <c r="BV62" s="4">
        <v>984.52392599999996</v>
      </c>
      <c r="BW62" s="4">
        <v>5.0000000000000001E-3</v>
      </c>
      <c r="BX62" s="5"/>
      <c r="BY62" s="5"/>
      <c r="BZ62" s="5"/>
      <c r="CA62" s="5"/>
    </row>
    <row r="63" spans="1:79" x14ac:dyDescent="0.3">
      <c r="A63" s="4" t="s">
        <v>56</v>
      </c>
      <c r="B63" s="4">
        <v>0.9</v>
      </c>
      <c r="C63" s="4">
        <v>0.5</v>
      </c>
      <c r="D63" s="4">
        <v>0.6</v>
      </c>
      <c r="E63" s="4">
        <v>0.3</v>
      </c>
      <c r="F63" s="6">
        <v>434.32699600000001</v>
      </c>
      <c r="G63" s="4">
        <v>0</v>
      </c>
      <c r="I63" s="4" t="s">
        <v>56</v>
      </c>
      <c r="J63" s="4">
        <v>0.9</v>
      </c>
      <c r="K63" s="4">
        <v>0.5</v>
      </c>
      <c r="L63" s="4">
        <v>0.6</v>
      </c>
      <c r="M63" s="4">
        <v>0.3</v>
      </c>
      <c r="N63" s="4">
        <v>455.96814000000001</v>
      </c>
      <c r="O63" s="4">
        <v>1E-3</v>
      </c>
      <c r="P63" s="5"/>
      <c r="Q63" s="5"/>
      <c r="R63" s="5"/>
      <c r="S63" s="5"/>
      <c r="U63" s="4" t="s">
        <v>56</v>
      </c>
      <c r="V63" s="4">
        <v>0.9</v>
      </c>
      <c r="W63" s="4">
        <v>0.5</v>
      </c>
      <c r="X63" s="4">
        <v>0.6</v>
      </c>
      <c r="Y63" s="4">
        <v>0.3</v>
      </c>
      <c r="Z63" s="6">
        <v>447.51660199999998</v>
      </c>
      <c r="AA63" s="4">
        <v>1E-3</v>
      </c>
      <c r="AC63" s="4" t="s">
        <v>56</v>
      </c>
      <c r="AD63" s="4">
        <v>0.9</v>
      </c>
      <c r="AE63" s="4">
        <v>0.5</v>
      </c>
      <c r="AF63" s="4">
        <v>0.6</v>
      </c>
      <c r="AG63" s="4">
        <v>0.35</v>
      </c>
      <c r="AH63" s="4">
        <v>453.643372</v>
      </c>
      <c r="AI63" s="4">
        <v>0</v>
      </c>
      <c r="AJ63" s="5"/>
      <c r="AK63" s="5"/>
      <c r="AL63" s="5"/>
      <c r="AM63" s="5"/>
      <c r="AO63" s="4" t="s">
        <v>57</v>
      </c>
      <c r="AP63" s="4">
        <v>0.9</v>
      </c>
      <c r="AQ63" s="4">
        <v>0.5</v>
      </c>
      <c r="AR63" s="4">
        <v>0.6</v>
      </c>
      <c r="AS63" s="4">
        <v>0.3</v>
      </c>
      <c r="AT63" s="6">
        <v>921.82952899999998</v>
      </c>
      <c r="AU63" s="4">
        <v>5.0000000000000001E-3</v>
      </c>
      <c r="AW63" s="4" t="s">
        <v>57</v>
      </c>
      <c r="AX63" s="4">
        <v>0.9</v>
      </c>
      <c r="AY63" s="4">
        <v>0.5</v>
      </c>
      <c r="AZ63" s="4">
        <v>0.6</v>
      </c>
      <c r="BA63" s="4">
        <v>0.31</v>
      </c>
      <c r="BB63" s="4">
        <v>956.87353499999995</v>
      </c>
      <c r="BC63" s="4">
        <v>6.0000000000000001E-3</v>
      </c>
      <c r="BD63" s="5"/>
      <c r="BE63" s="5"/>
      <c r="BF63" s="5"/>
      <c r="BG63" s="5"/>
      <c r="BI63" s="4" t="s">
        <v>57</v>
      </c>
      <c r="BJ63" s="4">
        <v>0.9</v>
      </c>
      <c r="BK63" s="4">
        <v>0.5</v>
      </c>
      <c r="BL63" s="4">
        <v>0.6</v>
      </c>
      <c r="BM63" s="4">
        <v>0.3</v>
      </c>
      <c r="BN63" s="6">
        <v>923.74011199999995</v>
      </c>
      <c r="BO63" s="4">
        <v>4.0000000000000001E-3</v>
      </c>
      <c r="BQ63" s="4" t="s">
        <v>57</v>
      </c>
      <c r="BR63" s="4">
        <v>0.9</v>
      </c>
      <c r="BS63" s="4">
        <v>0.5</v>
      </c>
      <c r="BT63" s="4">
        <v>0.6</v>
      </c>
      <c r="BU63" s="4">
        <v>0.32</v>
      </c>
      <c r="BV63" s="4">
        <v>954.160889</v>
      </c>
      <c r="BW63" s="4">
        <v>5.0000000000000001E-3</v>
      </c>
      <c r="BX63" s="5"/>
      <c r="BY63" s="5"/>
      <c r="BZ63" s="5"/>
      <c r="CA63" s="5"/>
    </row>
    <row r="64" spans="1:79" x14ac:dyDescent="0.3">
      <c r="A64" s="4" t="s">
        <v>58</v>
      </c>
      <c r="B64" s="4">
        <v>0.9</v>
      </c>
      <c r="C64" s="4">
        <v>0.5</v>
      </c>
      <c r="D64" s="4">
        <v>0.6</v>
      </c>
      <c r="E64" s="4">
        <v>0.3</v>
      </c>
      <c r="F64" s="6">
        <v>447.28234900000001</v>
      </c>
      <c r="G64" s="4">
        <v>1E-3</v>
      </c>
      <c r="I64" s="4" t="s">
        <v>58</v>
      </c>
      <c r="J64" s="4">
        <v>0.9</v>
      </c>
      <c r="K64" s="4">
        <v>0.5</v>
      </c>
      <c r="L64" s="4">
        <v>0.6</v>
      </c>
      <c r="M64" s="4">
        <v>0.32</v>
      </c>
      <c r="N64" s="4">
        <v>469.98245200000002</v>
      </c>
      <c r="O64" s="4">
        <v>1E-3</v>
      </c>
      <c r="P64" s="5"/>
      <c r="Q64" s="5"/>
      <c r="R64" s="5"/>
      <c r="S64" s="5"/>
      <c r="U64" s="4" t="s">
        <v>58</v>
      </c>
      <c r="V64" s="4">
        <v>0.9</v>
      </c>
      <c r="W64" s="4">
        <v>0.5</v>
      </c>
      <c r="X64" s="4">
        <v>0.6</v>
      </c>
      <c r="Y64" s="4">
        <v>0.3</v>
      </c>
      <c r="Z64" s="6">
        <v>461.47448700000001</v>
      </c>
      <c r="AA64" s="4">
        <v>1E-3</v>
      </c>
      <c r="AC64" s="4" t="s">
        <v>58</v>
      </c>
      <c r="AD64" s="4">
        <v>0.9</v>
      </c>
      <c r="AE64" s="4">
        <v>0.5</v>
      </c>
      <c r="AF64" s="4">
        <v>0.6</v>
      </c>
      <c r="AG64" s="4">
        <v>0.31</v>
      </c>
      <c r="AH64" s="6">
        <v>461.47448700000001</v>
      </c>
      <c r="AI64" s="4">
        <v>1E-3</v>
      </c>
      <c r="AJ64" s="5"/>
      <c r="AK64" s="5"/>
      <c r="AL64" s="5"/>
      <c r="AM64" s="5"/>
      <c r="AO64" s="4" t="s">
        <v>59</v>
      </c>
      <c r="AP64" s="4">
        <v>0.9</v>
      </c>
      <c r="AQ64" s="4">
        <v>0.5</v>
      </c>
      <c r="AR64" s="4">
        <v>0.6</v>
      </c>
      <c r="AS64" s="4">
        <v>0.3</v>
      </c>
      <c r="AT64" s="6">
        <v>852.70361300000002</v>
      </c>
      <c r="AU64" s="4">
        <v>7.0000000000000001E-3</v>
      </c>
      <c r="AW64" s="4" t="s">
        <v>59</v>
      </c>
      <c r="AX64" s="4">
        <v>0.9</v>
      </c>
      <c r="AY64" s="4">
        <v>0.5</v>
      </c>
      <c r="AZ64" s="4">
        <v>0.6</v>
      </c>
      <c r="BA64" s="4">
        <v>0.36</v>
      </c>
      <c r="BB64" s="4">
        <v>901.480591</v>
      </c>
      <c r="BC64" s="4">
        <v>5.0000000000000001E-3</v>
      </c>
      <c r="BD64" s="5"/>
      <c r="BE64" s="5"/>
      <c r="BF64" s="5"/>
      <c r="BG64" s="5"/>
      <c r="BI64" s="4" t="s">
        <v>59</v>
      </c>
      <c r="BJ64" s="4">
        <v>0.9</v>
      </c>
      <c r="BK64" s="4">
        <v>0.5</v>
      </c>
      <c r="BL64" s="4">
        <v>0.6</v>
      </c>
      <c r="BM64" s="4">
        <v>0.3</v>
      </c>
      <c r="BN64" s="6">
        <v>838.71032700000001</v>
      </c>
      <c r="BO64" s="4">
        <v>7.0000000000000001E-3</v>
      </c>
      <c r="BQ64" s="4" t="s">
        <v>59</v>
      </c>
      <c r="BR64" s="4">
        <v>0.9</v>
      </c>
      <c r="BS64" s="4">
        <v>0.5</v>
      </c>
      <c r="BT64" s="4">
        <v>0.6</v>
      </c>
      <c r="BU64" s="4">
        <v>0.32</v>
      </c>
      <c r="BV64" s="4">
        <v>873.852844</v>
      </c>
      <c r="BW64" s="4">
        <v>4.0000000000000001E-3</v>
      </c>
      <c r="BX64" s="5"/>
      <c r="BY64" s="5"/>
      <c r="BZ64" s="5"/>
      <c r="CA64" s="5"/>
    </row>
    <row r="65" spans="1:79" x14ac:dyDescent="0.3">
      <c r="A65" s="4" t="s">
        <v>60</v>
      </c>
      <c r="B65" s="4">
        <v>0.9</v>
      </c>
      <c r="C65" s="4">
        <v>0.5</v>
      </c>
      <c r="D65" s="4">
        <v>0.6</v>
      </c>
      <c r="E65" s="4">
        <v>0.3</v>
      </c>
      <c r="F65" s="6">
        <v>569.20593299999996</v>
      </c>
      <c r="G65" s="4">
        <v>1E-3</v>
      </c>
      <c r="I65" s="4" t="s">
        <v>60</v>
      </c>
      <c r="J65" s="4">
        <v>0.9</v>
      </c>
      <c r="K65" s="4">
        <v>0.5</v>
      </c>
      <c r="L65" s="4">
        <v>0.6</v>
      </c>
      <c r="M65" s="4">
        <v>0.38</v>
      </c>
      <c r="N65" s="4">
        <v>586.94378700000004</v>
      </c>
      <c r="O65" s="4">
        <v>0</v>
      </c>
      <c r="P65" s="5"/>
      <c r="Q65" s="5"/>
      <c r="R65" s="5"/>
      <c r="S65" s="5"/>
      <c r="U65" s="4" t="s">
        <v>60</v>
      </c>
      <c r="V65" s="4">
        <v>0.9</v>
      </c>
      <c r="W65" s="4">
        <v>0.5</v>
      </c>
      <c r="X65" s="4">
        <v>0.6</v>
      </c>
      <c r="Y65" s="4">
        <v>0.3</v>
      </c>
      <c r="Z65" s="4">
        <v>569.09258999999997</v>
      </c>
      <c r="AA65" s="4">
        <v>1E-3</v>
      </c>
      <c r="AC65" s="4" t="s">
        <v>60</v>
      </c>
      <c r="AD65" s="4">
        <v>0.9</v>
      </c>
      <c r="AE65" s="4">
        <v>0.5</v>
      </c>
      <c r="AF65" s="4">
        <v>0.6</v>
      </c>
      <c r="AG65" s="4">
        <v>0.33</v>
      </c>
      <c r="AH65" s="6">
        <v>559.60125700000003</v>
      </c>
      <c r="AI65" s="4">
        <v>1E-3</v>
      </c>
      <c r="AJ65" s="5"/>
      <c r="AK65" s="5"/>
      <c r="AL65" s="5"/>
      <c r="AM65" s="5"/>
      <c r="AO65" s="4" t="s">
        <v>61</v>
      </c>
      <c r="AP65" s="4">
        <v>0.9</v>
      </c>
      <c r="AQ65" s="4">
        <v>0.5</v>
      </c>
      <c r="AR65" s="4">
        <v>0.6</v>
      </c>
      <c r="AS65" s="4">
        <v>0.3</v>
      </c>
      <c r="AT65" s="6">
        <v>979.62512200000003</v>
      </c>
      <c r="AU65" s="4">
        <v>7.0000000000000001E-3</v>
      </c>
      <c r="AW65" s="4" t="s">
        <v>61</v>
      </c>
      <c r="AX65" s="4">
        <v>0.9</v>
      </c>
      <c r="AY65" s="4">
        <v>0.5</v>
      </c>
      <c r="AZ65" s="4">
        <v>0.6</v>
      </c>
      <c r="BA65" s="4">
        <v>0.32</v>
      </c>
      <c r="BB65" s="4">
        <v>1007.883362</v>
      </c>
      <c r="BC65" s="4">
        <v>7.0000000000000001E-3</v>
      </c>
      <c r="BD65" s="5"/>
      <c r="BE65" s="5"/>
      <c r="BF65" s="5"/>
      <c r="BG65" s="5"/>
      <c r="BI65" s="4" t="s">
        <v>61</v>
      </c>
      <c r="BJ65" s="4">
        <v>0.9</v>
      </c>
      <c r="BK65" s="4">
        <v>0.5</v>
      </c>
      <c r="BL65" s="4">
        <v>0.6</v>
      </c>
      <c r="BM65" s="4">
        <v>0.3</v>
      </c>
      <c r="BN65" s="4">
        <v>972.04492200000004</v>
      </c>
      <c r="BO65" s="4">
        <v>7.0000000000000001E-3</v>
      </c>
      <c r="BQ65" s="4" t="s">
        <v>61</v>
      </c>
      <c r="BR65" s="4">
        <v>0.9</v>
      </c>
      <c r="BS65" s="4">
        <v>0.5</v>
      </c>
      <c r="BT65" s="4">
        <v>0.6</v>
      </c>
      <c r="BU65" s="4">
        <v>0.3</v>
      </c>
      <c r="BV65" s="6">
        <v>956.61090100000001</v>
      </c>
      <c r="BW65" s="4">
        <v>6.0000000000000001E-3</v>
      </c>
      <c r="BX65" s="5"/>
      <c r="BY65" s="5"/>
      <c r="BZ65" s="5"/>
      <c r="CA65" s="5"/>
    </row>
    <row r="66" spans="1:79" x14ac:dyDescent="0.3">
      <c r="A66" s="4" t="s">
        <v>62</v>
      </c>
      <c r="B66" s="4">
        <v>0.9</v>
      </c>
      <c r="C66" s="4">
        <v>0.5</v>
      </c>
      <c r="D66" s="4">
        <v>0.6</v>
      </c>
      <c r="E66" s="4">
        <v>0.3</v>
      </c>
      <c r="F66" s="6">
        <v>396.86749300000002</v>
      </c>
      <c r="G66" s="4">
        <v>0</v>
      </c>
      <c r="I66" s="4" t="s">
        <v>62</v>
      </c>
      <c r="J66" s="4">
        <v>0.9</v>
      </c>
      <c r="K66" s="4">
        <v>0.5</v>
      </c>
      <c r="L66" s="4">
        <v>0.6</v>
      </c>
      <c r="M66" s="4">
        <v>0.43</v>
      </c>
      <c r="N66" s="6">
        <v>396.86749300000002</v>
      </c>
      <c r="O66" s="4">
        <v>1E-3</v>
      </c>
      <c r="P66" s="5"/>
      <c r="Q66" s="5"/>
      <c r="R66" s="5"/>
      <c r="S66" s="5"/>
      <c r="U66" s="4" t="s">
        <v>62</v>
      </c>
      <c r="V66" s="4">
        <v>0.9</v>
      </c>
      <c r="W66" s="4">
        <v>0.5</v>
      </c>
      <c r="X66" s="4">
        <v>0.6</v>
      </c>
      <c r="Y66" s="4">
        <v>0.3</v>
      </c>
      <c r="Z66" s="4">
        <v>393.36050399999999</v>
      </c>
      <c r="AA66" s="4">
        <v>0</v>
      </c>
      <c r="AC66" s="4" t="s">
        <v>62</v>
      </c>
      <c r="AD66" s="4">
        <v>0.9</v>
      </c>
      <c r="AE66" s="4">
        <v>0.5</v>
      </c>
      <c r="AF66" s="4">
        <v>0.6</v>
      </c>
      <c r="AG66" s="4">
        <v>0.37</v>
      </c>
      <c r="AH66" s="6">
        <v>386.23226899999997</v>
      </c>
      <c r="AI66" s="4">
        <v>1E-3</v>
      </c>
      <c r="AJ66" s="5"/>
      <c r="AK66" s="5"/>
      <c r="AL66" s="5"/>
      <c r="AM66" s="5"/>
      <c r="AO66" s="4" t="s">
        <v>63</v>
      </c>
      <c r="AP66" s="4">
        <v>0.9</v>
      </c>
      <c r="AQ66" s="4">
        <v>0.5</v>
      </c>
      <c r="AR66" s="4">
        <v>0.6</v>
      </c>
      <c r="AS66" s="4">
        <v>0.3</v>
      </c>
      <c r="AT66" s="6">
        <v>948.26293899999996</v>
      </c>
      <c r="AU66" s="4">
        <v>5.0000000000000001E-3</v>
      </c>
      <c r="AW66" s="4" t="s">
        <v>63</v>
      </c>
      <c r="AX66" s="4">
        <v>0.9</v>
      </c>
      <c r="AY66" s="4">
        <v>0.5</v>
      </c>
      <c r="AZ66" s="4">
        <v>0.6</v>
      </c>
      <c r="BA66" s="4">
        <v>0.3</v>
      </c>
      <c r="BB66" s="4">
        <v>987.89642300000003</v>
      </c>
      <c r="BC66" s="4">
        <v>7.0000000000000001E-3</v>
      </c>
      <c r="BD66" s="5"/>
      <c r="BE66" s="5"/>
      <c r="BF66" s="5"/>
      <c r="BG66" s="5"/>
      <c r="BI66" s="4" t="s">
        <v>63</v>
      </c>
      <c r="BJ66" s="4">
        <v>0.9</v>
      </c>
      <c r="BK66" s="4">
        <v>0.5</v>
      </c>
      <c r="BL66" s="4">
        <v>0.6</v>
      </c>
      <c r="BM66" s="4">
        <v>0.3</v>
      </c>
      <c r="BN66" s="6">
        <v>962.67266800000004</v>
      </c>
      <c r="BO66" s="4">
        <v>4.0000000000000001E-3</v>
      </c>
      <c r="BQ66" s="4" t="s">
        <v>63</v>
      </c>
      <c r="BR66" s="4">
        <v>0.9</v>
      </c>
      <c r="BS66" s="4">
        <v>0.5</v>
      </c>
      <c r="BT66" s="4">
        <v>0.6</v>
      </c>
      <c r="BU66" s="4">
        <v>0.31</v>
      </c>
      <c r="BV66" s="4">
        <v>967.34619099999998</v>
      </c>
      <c r="BW66" s="4">
        <v>4.0000000000000001E-3</v>
      </c>
      <c r="BX66" s="5"/>
      <c r="BY66" s="5"/>
      <c r="BZ66" s="5"/>
      <c r="CA66" s="5"/>
    </row>
    <row r="67" spans="1:79" x14ac:dyDescent="0.3">
      <c r="A67" s="4" t="s">
        <v>64</v>
      </c>
      <c r="B67" s="4">
        <v>0.9</v>
      </c>
      <c r="C67" s="4">
        <v>0.5</v>
      </c>
      <c r="D67" s="4">
        <v>0.6</v>
      </c>
      <c r="E67" s="4">
        <v>0.3</v>
      </c>
      <c r="F67" s="6">
        <v>537.66461200000003</v>
      </c>
      <c r="G67" s="4">
        <v>2E-3</v>
      </c>
      <c r="I67" s="4" t="s">
        <v>64</v>
      </c>
      <c r="J67" s="4">
        <v>0.9</v>
      </c>
      <c r="K67" s="4">
        <v>0.5</v>
      </c>
      <c r="L67" s="4">
        <v>0.6</v>
      </c>
      <c r="M67" s="4">
        <v>0.32</v>
      </c>
      <c r="N67" s="4">
        <v>557.57983400000001</v>
      </c>
      <c r="O67" s="4">
        <v>1E-3</v>
      </c>
      <c r="P67" s="5"/>
      <c r="Q67" s="5"/>
      <c r="R67" s="5"/>
      <c r="S67" s="5"/>
      <c r="U67" s="4" t="s">
        <v>64</v>
      </c>
      <c r="V67" s="4">
        <v>0.9</v>
      </c>
      <c r="W67" s="4">
        <v>0.5</v>
      </c>
      <c r="X67" s="4">
        <v>0.6</v>
      </c>
      <c r="Y67" s="4">
        <v>0.3</v>
      </c>
      <c r="Z67" s="6">
        <v>549.18920900000001</v>
      </c>
      <c r="AA67" s="4">
        <v>0</v>
      </c>
      <c r="AC67" s="4" t="s">
        <v>64</v>
      </c>
      <c r="AD67" s="4">
        <v>0.9</v>
      </c>
      <c r="AE67" s="4">
        <v>0.5</v>
      </c>
      <c r="AF67" s="4">
        <v>0.6</v>
      </c>
      <c r="AG67" s="6">
        <v>0.32</v>
      </c>
      <c r="AH67" s="4">
        <v>549.18920900000001</v>
      </c>
      <c r="AI67" s="4">
        <v>1E-3</v>
      </c>
      <c r="AJ67" s="5"/>
      <c r="AK67" s="5"/>
      <c r="AL67" s="5"/>
      <c r="AM67" s="5"/>
      <c r="AO67" s="4" t="s">
        <v>65</v>
      </c>
      <c r="AP67" s="4">
        <v>0.9</v>
      </c>
      <c r="AQ67" s="4">
        <v>0.5</v>
      </c>
      <c r="AR67" s="4">
        <v>0.6</v>
      </c>
      <c r="AS67" s="4">
        <v>0.3</v>
      </c>
      <c r="AT67" s="6">
        <v>896.59136999999998</v>
      </c>
      <c r="AU67" s="4">
        <v>6.0000000000000001E-3</v>
      </c>
      <c r="AW67" s="4" t="s">
        <v>65</v>
      </c>
      <c r="AX67" s="4">
        <v>0.9</v>
      </c>
      <c r="AY67" s="4">
        <v>0.5</v>
      </c>
      <c r="AZ67" s="4">
        <v>0.6</v>
      </c>
      <c r="BA67" s="4">
        <v>0.3</v>
      </c>
      <c r="BB67" s="4">
        <v>935.03942900000004</v>
      </c>
      <c r="BC67" s="4">
        <v>8.0000000000000002E-3</v>
      </c>
      <c r="BD67" s="5"/>
      <c r="BE67" s="5"/>
      <c r="BF67" s="5"/>
      <c r="BG67" s="5"/>
      <c r="BI67" s="4" t="s">
        <v>65</v>
      </c>
      <c r="BJ67" s="4">
        <v>0.9</v>
      </c>
      <c r="BK67" s="4">
        <v>0.5</v>
      </c>
      <c r="BL67" s="4">
        <v>0.6</v>
      </c>
      <c r="BM67" s="4">
        <v>0.3</v>
      </c>
      <c r="BN67" s="6">
        <v>901.38531499999999</v>
      </c>
      <c r="BO67" s="4">
        <v>6.0000000000000001E-3</v>
      </c>
      <c r="BQ67" s="4" t="s">
        <v>65</v>
      </c>
      <c r="BR67" s="4">
        <v>0.9</v>
      </c>
      <c r="BS67" s="4">
        <v>0.5</v>
      </c>
      <c r="BT67" s="4">
        <v>0.6</v>
      </c>
      <c r="BU67" s="4">
        <v>0.3</v>
      </c>
      <c r="BV67" s="4">
        <v>912.40722700000003</v>
      </c>
      <c r="BW67" s="4">
        <v>5.0000000000000001E-3</v>
      </c>
      <c r="BX67" s="5"/>
      <c r="BY67" s="5"/>
      <c r="BZ67" s="5"/>
      <c r="CA67" s="5"/>
    </row>
    <row r="68" spans="1:79" x14ac:dyDescent="0.3">
      <c r="A68" s="4" t="s">
        <v>66</v>
      </c>
      <c r="B68" s="4">
        <v>0.9</v>
      </c>
      <c r="C68" s="4">
        <v>0.5</v>
      </c>
      <c r="D68" s="4">
        <v>0.6</v>
      </c>
      <c r="E68" s="4">
        <v>0.3</v>
      </c>
      <c r="F68" s="6">
        <v>489.73056000000003</v>
      </c>
      <c r="G68" s="4">
        <v>0</v>
      </c>
      <c r="I68" s="4" t="s">
        <v>66</v>
      </c>
      <c r="J68" s="4">
        <v>0.9</v>
      </c>
      <c r="K68" s="4">
        <v>0.5</v>
      </c>
      <c r="L68" s="4">
        <v>0.6</v>
      </c>
      <c r="M68" s="4">
        <v>0.47</v>
      </c>
      <c r="N68" s="4">
        <v>509.56030299999998</v>
      </c>
      <c r="O68" s="4">
        <v>0</v>
      </c>
      <c r="P68" s="5"/>
      <c r="Q68" s="5"/>
      <c r="R68" s="5"/>
      <c r="S68" s="5"/>
      <c r="U68" s="4" t="s">
        <v>66</v>
      </c>
      <c r="V68" s="4">
        <v>0.9</v>
      </c>
      <c r="W68" s="4">
        <v>0.5</v>
      </c>
      <c r="X68" s="4">
        <v>0.6</v>
      </c>
      <c r="Y68" s="4">
        <v>0.3</v>
      </c>
      <c r="Z68" s="6">
        <v>484.88317899999998</v>
      </c>
      <c r="AA68" s="4">
        <v>1E-3</v>
      </c>
      <c r="AC68" s="4" t="s">
        <v>66</v>
      </c>
      <c r="AD68" s="4">
        <v>0.9</v>
      </c>
      <c r="AE68" s="4">
        <v>0.5</v>
      </c>
      <c r="AF68" s="4">
        <v>0.6</v>
      </c>
      <c r="AG68" s="4">
        <v>0.31</v>
      </c>
      <c r="AH68" s="4">
        <v>486.33865400000002</v>
      </c>
      <c r="AI68" s="4">
        <v>0</v>
      </c>
      <c r="AJ68" s="5"/>
      <c r="AK68" s="5"/>
      <c r="AL68" s="5"/>
      <c r="AM68" s="5"/>
      <c r="AO68" s="4" t="s">
        <v>67</v>
      </c>
      <c r="AP68" s="4">
        <v>0.9</v>
      </c>
      <c r="AQ68" s="4">
        <v>0.5</v>
      </c>
      <c r="AR68" s="4">
        <v>0.6</v>
      </c>
      <c r="AS68" s="4">
        <v>0.3</v>
      </c>
      <c r="AT68" s="6">
        <v>931.22277799999995</v>
      </c>
      <c r="AU68" s="4">
        <v>8.9999999999999993E-3</v>
      </c>
      <c r="AW68" s="4" t="s">
        <v>67</v>
      </c>
      <c r="AX68" s="4">
        <v>0.9</v>
      </c>
      <c r="AY68" s="4">
        <v>0.5</v>
      </c>
      <c r="AZ68" s="4">
        <v>0.6</v>
      </c>
      <c r="BA68" s="4">
        <v>0.3</v>
      </c>
      <c r="BB68" s="4">
        <v>971.71270800000002</v>
      </c>
      <c r="BC68" s="4">
        <v>6.0000000000000001E-3</v>
      </c>
      <c r="BD68" s="5"/>
      <c r="BE68" s="5"/>
      <c r="BF68" s="5"/>
      <c r="BG68" s="5"/>
      <c r="BI68" s="4" t="s">
        <v>67</v>
      </c>
      <c r="BJ68" s="4">
        <v>0.9</v>
      </c>
      <c r="BK68" s="4">
        <v>0.5</v>
      </c>
      <c r="BL68" s="4">
        <v>0.6</v>
      </c>
      <c r="BM68" s="4">
        <v>0.3</v>
      </c>
      <c r="BN68" s="6">
        <v>966.22833300000002</v>
      </c>
      <c r="BO68" s="4">
        <v>5.0000000000000001E-3</v>
      </c>
      <c r="BQ68" s="4" t="s">
        <v>67</v>
      </c>
      <c r="BR68" s="4">
        <v>0.9</v>
      </c>
      <c r="BS68" s="4">
        <v>0.5</v>
      </c>
      <c r="BT68" s="4">
        <v>0.6</v>
      </c>
      <c r="BU68" s="4">
        <v>0.39</v>
      </c>
      <c r="BV68" s="4">
        <v>984.52044699999999</v>
      </c>
      <c r="BW68" s="4">
        <v>5.0000000000000001E-3</v>
      </c>
      <c r="BX68" s="5"/>
      <c r="BY68" s="5"/>
      <c r="BZ68" s="5"/>
      <c r="CA68" s="5"/>
    </row>
    <row r="69" spans="1:79" x14ac:dyDescent="0.3">
      <c r="A69" s="4" t="s">
        <v>68</v>
      </c>
      <c r="B69" s="4">
        <v>0.9</v>
      </c>
      <c r="C69" s="4">
        <v>0.5</v>
      </c>
      <c r="D69" s="4">
        <v>0.6</v>
      </c>
      <c r="E69" s="4">
        <v>0.3</v>
      </c>
      <c r="F69" s="4">
        <v>400.026093</v>
      </c>
      <c r="G69" s="4">
        <v>0</v>
      </c>
      <c r="I69" s="4" t="s">
        <v>68</v>
      </c>
      <c r="J69" s="4">
        <v>0.9</v>
      </c>
      <c r="K69" s="4">
        <v>0.5</v>
      </c>
      <c r="L69" s="4">
        <v>0.6</v>
      </c>
      <c r="M69" s="4">
        <v>0.35</v>
      </c>
      <c r="N69" s="6">
        <v>396.642426</v>
      </c>
      <c r="O69" s="4">
        <v>1E-3</v>
      </c>
      <c r="P69" s="5"/>
      <c r="Q69" s="5"/>
      <c r="R69" s="5"/>
      <c r="S69" s="5"/>
      <c r="U69" s="4" t="s">
        <v>68</v>
      </c>
      <c r="V69" s="4">
        <v>0.9</v>
      </c>
      <c r="W69" s="4">
        <v>0.5</v>
      </c>
      <c r="X69" s="4">
        <v>0.6</v>
      </c>
      <c r="Y69" s="4">
        <v>0.3</v>
      </c>
      <c r="Z69" s="6">
        <v>389.56133999999997</v>
      </c>
      <c r="AA69" s="4">
        <v>1E-3</v>
      </c>
      <c r="AC69" s="4" t="s">
        <v>68</v>
      </c>
      <c r="AD69" s="4">
        <v>0.9</v>
      </c>
      <c r="AE69" s="4">
        <v>0.5</v>
      </c>
      <c r="AF69" s="4">
        <v>0.6</v>
      </c>
      <c r="AG69" s="4">
        <v>0.33</v>
      </c>
      <c r="AH69" s="6">
        <v>389.56133999999997</v>
      </c>
      <c r="AI69" s="4">
        <v>0</v>
      </c>
      <c r="AJ69" s="5"/>
      <c r="AK69" s="5"/>
      <c r="AL69" s="5"/>
      <c r="AM69" s="5"/>
      <c r="AO69" s="4" t="s">
        <v>69</v>
      </c>
      <c r="AP69" s="4">
        <v>0.9</v>
      </c>
      <c r="AQ69" s="4">
        <v>0.5</v>
      </c>
      <c r="AR69" s="4">
        <v>0.6</v>
      </c>
      <c r="AS69" s="4">
        <v>0.3</v>
      </c>
      <c r="AT69" s="6">
        <v>968.01171899999997</v>
      </c>
      <c r="AU69" s="4">
        <v>7.0000000000000001E-3</v>
      </c>
      <c r="AW69" s="4" t="s">
        <v>69</v>
      </c>
      <c r="AX69" s="4">
        <v>0.9</v>
      </c>
      <c r="AY69" s="4">
        <v>0.5</v>
      </c>
      <c r="AZ69" s="4">
        <v>0.6</v>
      </c>
      <c r="BA69" s="4">
        <v>0.3</v>
      </c>
      <c r="BB69" s="4">
        <v>995.40362500000003</v>
      </c>
      <c r="BC69" s="4">
        <v>6.0000000000000001E-3</v>
      </c>
      <c r="BD69" s="5"/>
      <c r="BE69" s="5"/>
      <c r="BF69" s="5"/>
      <c r="BG69" s="5"/>
      <c r="BI69" s="4" t="s">
        <v>69</v>
      </c>
      <c r="BJ69" s="4">
        <v>0.9</v>
      </c>
      <c r="BK69" s="4">
        <v>0.5</v>
      </c>
      <c r="BL69" s="4">
        <v>0.6</v>
      </c>
      <c r="BM69" s="4">
        <v>0.3</v>
      </c>
      <c r="BN69" s="6">
        <v>949.48687700000005</v>
      </c>
      <c r="BO69" s="4">
        <v>6.0000000000000001E-3</v>
      </c>
      <c r="BQ69" s="4" t="s">
        <v>69</v>
      </c>
      <c r="BR69" s="4">
        <v>0.9</v>
      </c>
      <c r="BS69" s="4">
        <v>0.5</v>
      </c>
      <c r="BT69" s="4">
        <v>0.6</v>
      </c>
      <c r="BU69" s="4">
        <v>0.31</v>
      </c>
      <c r="BV69" s="4">
        <v>961.64685099999997</v>
      </c>
      <c r="BW69" s="4">
        <v>4.0000000000000001E-3</v>
      </c>
      <c r="BX69" s="5"/>
      <c r="BY69" s="5"/>
      <c r="BZ69" s="5"/>
      <c r="CA69" s="5"/>
    </row>
    <row r="70" spans="1:79" x14ac:dyDescent="0.3">
      <c r="A70" s="14" t="s">
        <v>316</v>
      </c>
      <c r="E70" s="14">
        <f>AVERAGE(E40:E69)</f>
        <v>0.3</v>
      </c>
      <c r="I70" s="4" t="s">
        <v>316</v>
      </c>
      <c r="M70" s="4">
        <f>AVERAGE(M40:M69)</f>
        <v>0.35866666666666663</v>
      </c>
      <c r="P70" s="5"/>
      <c r="Q70" s="5"/>
      <c r="R70" s="5"/>
      <c r="S70" s="5"/>
      <c r="U70" s="14" t="s">
        <v>316</v>
      </c>
      <c r="Y70" s="14">
        <f>AVERAGE(Y40:Y69)</f>
        <v>0.3</v>
      </c>
      <c r="AC70" s="14" t="s">
        <v>316</v>
      </c>
      <c r="AG70" s="14">
        <f>AVERAGE(AG40:AG69)</f>
        <v>0.34633333333333333</v>
      </c>
      <c r="AJ70" s="5"/>
      <c r="AK70" s="5"/>
      <c r="AL70" s="5"/>
      <c r="AM70" s="5"/>
      <c r="AO70" s="14" t="s">
        <v>316</v>
      </c>
      <c r="AS70" s="14">
        <f>AVERAGE(AS40:AS69)</f>
        <v>0.3</v>
      </c>
      <c r="AW70" s="14" t="s">
        <v>316</v>
      </c>
      <c r="BA70" s="14">
        <f>AVERAGE(BA40:BA69)</f>
        <v>0.313</v>
      </c>
      <c r="BD70" s="5"/>
      <c r="BE70" s="5"/>
      <c r="BF70" s="5"/>
      <c r="BG70" s="5"/>
      <c r="BI70" s="14" t="s">
        <v>316</v>
      </c>
      <c r="BM70" s="14">
        <f>AVERAGE(BM40:BM69)</f>
        <v>0.3</v>
      </c>
      <c r="BQ70" s="14" t="s">
        <v>316</v>
      </c>
      <c r="BU70" s="14">
        <f>AVERAGE(BU40:BU69)</f>
        <v>0.31833333333333347</v>
      </c>
      <c r="BX70" s="5"/>
      <c r="BY70" s="5"/>
      <c r="BZ70" s="5"/>
      <c r="CA70" s="5"/>
    </row>
    <row r="71" spans="1:79" x14ac:dyDescent="0.3">
      <c r="P71" s="5"/>
      <c r="Q71" s="5"/>
      <c r="R71" s="5"/>
      <c r="S71" s="5"/>
      <c r="AJ71" s="5"/>
      <c r="AK71" s="5"/>
      <c r="AL71" s="5"/>
      <c r="AM71" s="5"/>
      <c r="BD71" s="5"/>
      <c r="BE71" s="5"/>
      <c r="BF71" s="5"/>
      <c r="BG71" s="5"/>
      <c r="BX71" s="5"/>
      <c r="BY71" s="5"/>
      <c r="BZ71" s="5"/>
      <c r="CA71" s="5"/>
    </row>
    <row r="72" spans="1:79" x14ac:dyDescent="0.3">
      <c r="P72" s="5"/>
      <c r="Q72" s="5"/>
      <c r="R72" s="5"/>
      <c r="S72" s="5"/>
      <c r="AJ72" s="5"/>
      <c r="AK72" s="5"/>
      <c r="AL72" s="5"/>
      <c r="AM72" s="5"/>
      <c r="BD72" s="5"/>
      <c r="BE72" s="5"/>
      <c r="BF72" s="5"/>
      <c r="BG72" s="5"/>
      <c r="BX72" s="5"/>
      <c r="BY72" s="5"/>
      <c r="BZ72" s="5"/>
      <c r="CA72" s="5"/>
    </row>
    <row r="73" spans="1:79" x14ac:dyDescent="0.3">
      <c r="A73" s="23" t="s">
        <v>314</v>
      </c>
      <c r="B73" s="23"/>
      <c r="C73" s="23"/>
      <c r="D73" s="23"/>
      <c r="E73" s="23"/>
      <c r="F73" s="23"/>
      <c r="G73" s="23"/>
      <c r="I73" s="23" t="s">
        <v>314</v>
      </c>
      <c r="J73" s="23"/>
      <c r="K73" s="23"/>
      <c r="L73" s="23"/>
      <c r="M73" s="23"/>
      <c r="N73" s="23"/>
      <c r="O73" s="23"/>
      <c r="P73" s="11"/>
      <c r="Q73" s="11"/>
      <c r="R73" s="11"/>
      <c r="S73" s="11"/>
      <c r="U73" s="23" t="s">
        <v>314</v>
      </c>
      <c r="V73" s="23"/>
      <c r="W73" s="23"/>
      <c r="X73" s="23"/>
      <c r="Y73" s="23"/>
      <c r="Z73" s="23"/>
      <c r="AA73" s="23"/>
      <c r="AC73" s="23" t="s">
        <v>314</v>
      </c>
      <c r="AD73" s="23"/>
      <c r="AE73" s="23"/>
      <c r="AF73" s="23"/>
      <c r="AG73" s="23"/>
      <c r="AH73" s="23"/>
      <c r="AI73" s="23"/>
      <c r="AJ73" s="11"/>
      <c r="AK73" s="11"/>
      <c r="AL73" s="11"/>
      <c r="AM73" s="11"/>
      <c r="AO73" s="23" t="s">
        <v>314</v>
      </c>
      <c r="AP73" s="23"/>
      <c r="AQ73" s="23"/>
      <c r="AR73" s="23"/>
      <c r="AS73" s="23"/>
      <c r="AT73" s="23"/>
      <c r="AU73" s="23"/>
      <c r="AW73" s="23" t="s">
        <v>314</v>
      </c>
      <c r="AX73" s="23"/>
      <c r="AY73" s="23"/>
      <c r="AZ73" s="23"/>
      <c r="BA73" s="23"/>
      <c r="BB73" s="23"/>
      <c r="BC73" s="23"/>
      <c r="BD73" s="11"/>
      <c r="BE73" s="11"/>
      <c r="BF73" s="11"/>
      <c r="BG73" s="11"/>
      <c r="BI73" s="23" t="s">
        <v>314</v>
      </c>
      <c r="BJ73" s="23"/>
      <c r="BK73" s="23"/>
      <c r="BL73" s="23"/>
      <c r="BM73" s="23"/>
      <c r="BN73" s="23"/>
      <c r="BO73" s="23"/>
      <c r="BQ73" s="23" t="s">
        <v>314</v>
      </c>
      <c r="BR73" s="23"/>
      <c r="BS73" s="23"/>
      <c r="BT73" s="23"/>
      <c r="BU73" s="23"/>
      <c r="BV73" s="23"/>
      <c r="BW73" s="23"/>
      <c r="BX73" s="11"/>
      <c r="BY73" s="11"/>
      <c r="BZ73" s="11"/>
      <c r="CA73" s="11"/>
    </row>
    <row r="74" spans="1:79" x14ac:dyDescent="0.3">
      <c r="A74" s="24" t="s">
        <v>72</v>
      </c>
      <c r="B74" s="25"/>
      <c r="C74" s="25"/>
      <c r="D74" s="25"/>
      <c r="E74" s="25"/>
      <c r="F74" s="25"/>
      <c r="G74" s="26"/>
      <c r="I74" s="23" t="s">
        <v>72</v>
      </c>
      <c r="J74" s="23"/>
      <c r="K74" s="23"/>
      <c r="L74" s="23"/>
      <c r="M74" s="23"/>
      <c r="N74" s="23"/>
      <c r="O74" s="23"/>
      <c r="P74" s="11"/>
      <c r="Q74" s="11"/>
      <c r="R74" s="11"/>
      <c r="S74" s="11"/>
      <c r="U74" s="24" t="s">
        <v>73</v>
      </c>
      <c r="V74" s="25"/>
      <c r="W74" s="25"/>
      <c r="X74" s="25"/>
      <c r="Y74" s="25"/>
      <c r="Z74" s="25"/>
      <c r="AA74" s="26"/>
      <c r="AC74" s="23" t="s">
        <v>73</v>
      </c>
      <c r="AD74" s="23"/>
      <c r="AE74" s="23"/>
      <c r="AF74" s="23"/>
      <c r="AG74" s="23"/>
      <c r="AH74" s="23"/>
      <c r="AI74" s="23"/>
      <c r="AJ74" s="11"/>
      <c r="AK74" s="11"/>
      <c r="AL74" s="11"/>
      <c r="AM74" s="11"/>
      <c r="AO74" s="4" t="s">
        <v>72</v>
      </c>
      <c r="AP74" s="4"/>
      <c r="AQ74" s="4"/>
      <c r="AR74" s="4"/>
      <c r="AS74" s="4"/>
      <c r="AT74" s="4"/>
      <c r="AU74" s="4"/>
      <c r="AW74" s="23" t="s">
        <v>72</v>
      </c>
      <c r="AX74" s="23"/>
      <c r="AY74" s="23"/>
      <c r="AZ74" s="23"/>
      <c r="BA74" s="23"/>
      <c r="BB74" s="23"/>
      <c r="BC74" s="23"/>
      <c r="BD74" s="11"/>
      <c r="BE74" s="11"/>
      <c r="BF74" s="11"/>
      <c r="BG74" s="11"/>
      <c r="BI74" s="4" t="s">
        <v>73</v>
      </c>
      <c r="BJ74" s="4"/>
      <c r="BK74" s="4"/>
      <c r="BL74" s="4"/>
      <c r="BM74" s="4"/>
      <c r="BN74" s="4"/>
      <c r="BO74" s="4"/>
      <c r="BQ74" s="23" t="s">
        <v>73</v>
      </c>
      <c r="BR74" s="23"/>
      <c r="BS74" s="23"/>
      <c r="BT74" s="23"/>
      <c r="BU74" s="23"/>
      <c r="BV74" s="23"/>
      <c r="BW74" s="23"/>
      <c r="BX74" s="11"/>
      <c r="BY74" s="11"/>
      <c r="BZ74" s="11"/>
      <c r="CA74" s="11"/>
    </row>
    <row r="75" spans="1:79" x14ac:dyDescent="0.3">
      <c r="A75" s="4" t="s">
        <v>2</v>
      </c>
      <c r="B75" s="4" t="s">
        <v>3</v>
      </c>
      <c r="C75" s="4" t="s">
        <v>4</v>
      </c>
      <c r="D75" s="4" t="s">
        <v>5</v>
      </c>
      <c r="E75" s="4" t="s">
        <v>6</v>
      </c>
      <c r="F75" s="4" t="s">
        <v>7</v>
      </c>
      <c r="G75" s="4" t="s">
        <v>8</v>
      </c>
      <c r="I75" s="4" t="s">
        <v>2</v>
      </c>
      <c r="J75" s="4" t="s">
        <v>3</v>
      </c>
      <c r="K75" s="4" t="s">
        <v>4</v>
      </c>
      <c r="L75" s="4" t="s">
        <v>5</v>
      </c>
      <c r="M75" s="4" t="s">
        <v>6</v>
      </c>
      <c r="N75" s="4" t="s">
        <v>7</v>
      </c>
      <c r="O75" s="4" t="s">
        <v>8</v>
      </c>
      <c r="P75" s="3" t="s">
        <v>322</v>
      </c>
      <c r="Q75" s="3" t="s">
        <v>323</v>
      </c>
      <c r="R75" s="3" t="s">
        <v>322</v>
      </c>
      <c r="S75" s="3" t="s">
        <v>323</v>
      </c>
      <c r="U75" s="4" t="s">
        <v>2</v>
      </c>
      <c r="V75" s="4" t="s">
        <v>3</v>
      </c>
      <c r="W75" s="4" t="s">
        <v>4</v>
      </c>
      <c r="X75" s="4" t="s">
        <v>5</v>
      </c>
      <c r="Y75" s="4" t="s">
        <v>6</v>
      </c>
      <c r="Z75" s="4" t="s">
        <v>7</v>
      </c>
      <c r="AA75" s="4" t="s">
        <v>8</v>
      </c>
      <c r="AC75" s="4" t="s">
        <v>2</v>
      </c>
      <c r="AD75" s="4" t="s">
        <v>3</v>
      </c>
      <c r="AE75" s="4" t="s">
        <v>4</v>
      </c>
      <c r="AF75" s="4" t="s">
        <v>5</v>
      </c>
      <c r="AG75" s="4" t="s">
        <v>6</v>
      </c>
      <c r="AH75" s="4" t="s">
        <v>7</v>
      </c>
      <c r="AI75" s="4" t="s">
        <v>8</v>
      </c>
      <c r="AJ75" s="3" t="s">
        <v>322</v>
      </c>
      <c r="AK75" s="3" t="s">
        <v>323</v>
      </c>
      <c r="AL75" s="3" t="s">
        <v>322</v>
      </c>
      <c r="AM75" s="3" t="s">
        <v>323</v>
      </c>
      <c r="AO75" s="4" t="s">
        <v>2</v>
      </c>
      <c r="AP75" s="4" t="s">
        <v>3</v>
      </c>
      <c r="AQ75" s="4" t="s">
        <v>4</v>
      </c>
      <c r="AR75" s="4" t="s">
        <v>5</v>
      </c>
      <c r="AS75" s="4" t="s">
        <v>6</v>
      </c>
      <c r="AT75" s="4" t="s">
        <v>7</v>
      </c>
      <c r="AU75" s="4" t="s">
        <v>8</v>
      </c>
      <c r="AW75" s="4" t="s">
        <v>2</v>
      </c>
      <c r="AX75" s="4" t="s">
        <v>3</v>
      </c>
      <c r="AY75" s="4" t="s">
        <v>4</v>
      </c>
      <c r="AZ75" s="4" t="s">
        <v>5</v>
      </c>
      <c r="BA75" s="4" t="s">
        <v>6</v>
      </c>
      <c r="BB75" s="4" t="s">
        <v>7</v>
      </c>
      <c r="BC75" s="4" t="s">
        <v>8</v>
      </c>
      <c r="BD75" s="3" t="s">
        <v>322</v>
      </c>
      <c r="BE75" s="3" t="s">
        <v>323</v>
      </c>
      <c r="BF75" s="3" t="s">
        <v>322</v>
      </c>
      <c r="BG75" s="3" t="s">
        <v>323</v>
      </c>
      <c r="BI75" s="4" t="s">
        <v>2</v>
      </c>
      <c r="BJ75" s="4" t="s">
        <v>3</v>
      </c>
      <c r="BK75" s="4" t="s">
        <v>4</v>
      </c>
      <c r="BL75" s="4" t="s">
        <v>5</v>
      </c>
      <c r="BM75" s="4" t="s">
        <v>6</v>
      </c>
      <c r="BN75" s="4" t="s">
        <v>7</v>
      </c>
      <c r="BO75" s="4" t="s">
        <v>8</v>
      </c>
      <c r="BQ75" s="4" t="s">
        <v>2</v>
      </c>
      <c r="BR75" s="4" t="s">
        <v>3</v>
      </c>
      <c r="BS75" s="4" t="s">
        <v>4</v>
      </c>
      <c r="BT75" s="4" t="s">
        <v>5</v>
      </c>
      <c r="BU75" s="4" t="s">
        <v>6</v>
      </c>
      <c r="BV75" s="4" t="s">
        <v>7</v>
      </c>
      <c r="BW75" s="4" t="s">
        <v>8</v>
      </c>
      <c r="BX75" s="3" t="s">
        <v>322</v>
      </c>
      <c r="BY75" s="3" t="s">
        <v>323</v>
      </c>
      <c r="BZ75" s="3" t="s">
        <v>322</v>
      </c>
      <c r="CA75" s="3" t="s">
        <v>323</v>
      </c>
    </row>
    <row r="76" spans="1:79" x14ac:dyDescent="0.3">
      <c r="A76" s="4" t="s">
        <v>10</v>
      </c>
      <c r="B76" s="4">
        <v>0.9</v>
      </c>
      <c r="C76" s="4">
        <v>0.5</v>
      </c>
      <c r="D76" s="4">
        <v>0.6</v>
      </c>
      <c r="E76" s="4">
        <v>0.3</v>
      </c>
      <c r="F76" s="4">
        <v>390.06277499999999</v>
      </c>
      <c r="G76" s="4">
        <v>1E-3</v>
      </c>
      <c r="I76" s="4" t="s">
        <v>10</v>
      </c>
      <c r="J76" s="4">
        <v>0.9</v>
      </c>
      <c r="K76" s="4">
        <v>0.5</v>
      </c>
      <c r="L76" s="4">
        <v>0.6</v>
      </c>
      <c r="M76" s="4">
        <v>0.39</v>
      </c>
      <c r="N76" s="6">
        <v>388.59506199999998</v>
      </c>
      <c r="O76" s="4">
        <v>1E-3</v>
      </c>
      <c r="P76" s="4" t="s">
        <v>324</v>
      </c>
      <c r="Q76" s="4" t="s">
        <v>324</v>
      </c>
      <c r="R76" s="4" t="s">
        <v>325</v>
      </c>
      <c r="S76" s="4" t="s">
        <v>325</v>
      </c>
      <c r="U76" s="4" t="s">
        <v>10</v>
      </c>
      <c r="V76" s="4">
        <v>0.9</v>
      </c>
      <c r="W76" s="4">
        <v>0.5</v>
      </c>
      <c r="X76" s="4">
        <v>0.6</v>
      </c>
      <c r="Y76" s="4">
        <v>0.3</v>
      </c>
      <c r="Z76" s="4">
        <v>380.72869900000001</v>
      </c>
      <c r="AA76" s="4">
        <v>0</v>
      </c>
      <c r="AC76" s="4" t="s">
        <v>10</v>
      </c>
      <c r="AD76" s="4">
        <v>0.9</v>
      </c>
      <c r="AE76" s="4">
        <v>0.5</v>
      </c>
      <c r="AF76" s="4">
        <v>0.6</v>
      </c>
      <c r="AG76" s="4">
        <v>0.43</v>
      </c>
      <c r="AH76" s="6">
        <v>378.34726000000001</v>
      </c>
      <c r="AI76" s="4">
        <v>0</v>
      </c>
      <c r="AJ76" s="4" t="s">
        <v>324</v>
      </c>
      <c r="AK76" s="4" t="s">
        <v>324</v>
      </c>
      <c r="AL76" s="4" t="s">
        <v>325</v>
      </c>
      <c r="AM76" s="4" t="s">
        <v>325</v>
      </c>
      <c r="AO76" s="4" t="s">
        <v>11</v>
      </c>
      <c r="AP76" s="4">
        <v>0.9</v>
      </c>
      <c r="AQ76" s="4">
        <v>0.5</v>
      </c>
      <c r="AR76" s="4">
        <v>0.6</v>
      </c>
      <c r="AS76" s="4">
        <v>0.3</v>
      </c>
      <c r="AT76" s="6">
        <v>746.13397199999997</v>
      </c>
      <c r="AU76" s="4">
        <v>3.0000000000000001E-3</v>
      </c>
      <c r="AW76" s="4" t="s">
        <v>11</v>
      </c>
      <c r="AX76" s="4">
        <v>0.9</v>
      </c>
      <c r="AY76" s="4">
        <v>0.5</v>
      </c>
      <c r="AZ76" s="4">
        <v>0.6</v>
      </c>
      <c r="BA76" s="4">
        <v>0.36</v>
      </c>
      <c r="BB76" s="4">
        <v>754.50354000000004</v>
      </c>
      <c r="BC76" s="4">
        <v>4.0000000000000001E-3</v>
      </c>
      <c r="BD76" s="4" t="s">
        <v>324</v>
      </c>
      <c r="BE76" s="4" t="s">
        <v>324</v>
      </c>
      <c r="BF76" s="4" t="s">
        <v>325</v>
      </c>
      <c r="BG76" s="4" t="s">
        <v>325</v>
      </c>
      <c r="BI76" s="4" t="s">
        <v>11</v>
      </c>
      <c r="BJ76" s="4">
        <v>0.9</v>
      </c>
      <c r="BK76" s="4">
        <v>0.5</v>
      </c>
      <c r="BL76" s="4">
        <v>0.6</v>
      </c>
      <c r="BM76" s="4">
        <v>0.3</v>
      </c>
      <c r="BN76" s="6">
        <v>741.24981700000001</v>
      </c>
      <c r="BO76" s="4">
        <v>3.0000000000000001E-3</v>
      </c>
      <c r="BQ76" s="4" t="s">
        <v>11</v>
      </c>
      <c r="BR76" s="4">
        <v>0.9</v>
      </c>
      <c r="BS76" s="4">
        <v>0.5</v>
      </c>
      <c r="BT76" s="4">
        <v>0.6</v>
      </c>
      <c r="BU76" s="4">
        <v>0.35</v>
      </c>
      <c r="BV76" s="4">
        <v>753.64080799999999</v>
      </c>
      <c r="BW76" s="4">
        <v>5.0000000000000001E-3</v>
      </c>
      <c r="BX76" s="4" t="s">
        <v>324</v>
      </c>
      <c r="BY76" s="4" t="s">
        <v>324</v>
      </c>
      <c r="BZ76" s="4" t="s">
        <v>325</v>
      </c>
      <c r="CA76" s="4" t="s">
        <v>325</v>
      </c>
    </row>
    <row r="77" spans="1:79" x14ac:dyDescent="0.3">
      <c r="A77" s="4" t="s">
        <v>12</v>
      </c>
      <c r="B77" s="4">
        <v>0.9</v>
      </c>
      <c r="C77" s="4">
        <v>0.5</v>
      </c>
      <c r="D77" s="4">
        <v>0.6</v>
      </c>
      <c r="E77" s="4">
        <v>0.3</v>
      </c>
      <c r="F77" s="6">
        <v>421.90920999999997</v>
      </c>
      <c r="G77" s="4">
        <v>0</v>
      </c>
      <c r="I77" s="4" t="s">
        <v>12</v>
      </c>
      <c r="J77" s="4">
        <v>0.9</v>
      </c>
      <c r="K77" s="4">
        <v>0.5</v>
      </c>
      <c r="L77" s="4">
        <v>0.6</v>
      </c>
      <c r="M77" s="4">
        <v>0.35</v>
      </c>
      <c r="N77" s="4">
        <v>428.79330399999998</v>
      </c>
      <c r="O77" s="4">
        <v>1E-3</v>
      </c>
      <c r="P77" s="3">
        <f>COUNT(F77:F95,F97,F100:F105)</f>
        <v>26</v>
      </c>
      <c r="Q77" s="3">
        <f>30-P77</f>
        <v>4</v>
      </c>
      <c r="R77" s="3">
        <f>COUNT(N76,N79,N81,N85,N87,N91,N94,N96:N99,N102:N103,N105)</f>
        <v>14</v>
      </c>
      <c r="S77" s="3">
        <f>30-R77</f>
        <v>16</v>
      </c>
      <c r="U77" s="4" t="s">
        <v>12</v>
      </c>
      <c r="V77" s="4">
        <v>0.9</v>
      </c>
      <c r="W77" s="4">
        <v>0.5</v>
      </c>
      <c r="X77" s="4">
        <v>0.6</v>
      </c>
      <c r="Y77" s="4">
        <v>0.3</v>
      </c>
      <c r="Z77" s="6">
        <v>416.30941799999999</v>
      </c>
      <c r="AA77" s="4">
        <v>1E-3</v>
      </c>
      <c r="AC77" s="4" t="s">
        <v>12</v>
      </c>
      <c r="AD77" s="4">
        <v>0.9</v>
      </c>
      <c r="AE77" s="4">
        <v>0.5</v>
      </c>
      <c r="AF77" s="4">
        <v>0.6</v>
      </c>
      <c r="AG77" s="4">
        <v>0.39</v>
      </c>
      <c r="AH77" s="4">
        <v>417.44442700000002</v>
      </c>
      <c r="AI77" s="4">
        <v>0</v>
      </c>
      <c r="AJ77" s="3">
        <f>COUNT(Z77:Z81,Z83:Z88,Z90:Z97,Z99:Z105)</f>
        <v>26</v>
      </c>
      <c r="AK77" s="3">
        <f>30-AJ77</f>
        <v>4</v>
      </c>
      <c r="AL77" s="3">
        <f>COUNT(AH76,AH81,AH83,AH87:AH92,AH94:AH95,AH97:AH100,AH102:AH105)</f>
        <v>19</v>
      </c>
      <c r="AM77" s="3">
        <f>30-AL77</f>
        <v>11</v>
      </c>
      <c r="AO77" s="4" t="s">
        <v>13</v>
      </c>
      <c r="AP77" s="4">
        <v>0.9</v>
      </c>
      <c r="AQ77" s="4">
        <v>0.5</v>
      </c>
      <c r="AR77" s="4">
        <v>0.6</v>
      </c>
      <c r="AS77" s="4">
        <v>0.3</v>
      </c>
      <c r="AT77" s="6">
        <v>667.12890600000003</v>
      </c>
      <c r="AU77" s="4">
        <v>3.0000000000000001E-3</v>
      </c>
      <c r="AW77" s="4" t="s">
        <v>13</v>
      </c>
      <c r="AX77" s="4">
        <v>0.9</v>
      </c>
      <c r="AY77" s="4">
        <v>0.5</v>
      </c>
      <c r="AZ77" s="4">
        <v>0.6</v>
      </c>
      <c r="BA77" s="4">
        <v>0.35</v>
      </c>
      <c r="BB77" s="4">
        <v>685.78131099999996</v>
      </c>
      <c r="BC77" s="4">
        <v>4.0000000000000001E-3</v>
      </c>
      <c r="BD77" s="3">
        <f>COUNT(AT76:AT105)</f>
        <v>30</v>
      </c>
      <c r="BE77" s="3">
        <f>30-BD77</f>
        <v>0</v>
      </c>
      <c r="BF77" s="3">
        <v>0</v>
      </c>
      <c r="BG77" s="3">
        <f>30-BF77</f>
        <v>30</v>
      </c>
      <c r="BI77" s="4" t="s">
        <v>13</v>
      </c>
      <c r="BJ77" s="4">
        <v>0.9</v>
      </c>
      <c r="BK77" s="4">
        <v>0.5</v>
      </c>
      <c r="BL77" s="4">
        <v>0.6</v>
      </c>
      <c r="BM77" s="4">
        <v>0.3</v>
      </c>
      <c r="BN77" s="6">
        <v>666.33795199999997</v>
      </c>
      <c r="BO77" s="4">
        <v>3.0000000000000001E-3</v>
      </c>
      <c r="BQ77" s="4" t="s">
        <v>13</v>
      </c>
      <c r="BR77" s="4">
        <v>0.9</v>
      </c>
      <c r="BS77" s="4">
        <v>0.5</v>
      </c>
      <c r="BT77" s="4">
        <v>0.6</v>
      </c>
      <c r="BU77" s="4">
        <v>0.32</v>
      </c>
      <c r="BV77" s="4">
        <v>673.08551</v>
      </c>
      <c r="BW77" s="4">
        <v>4.0000000000000001E-3</v>
      </c>
      <c r="BX77" s="3">
        <f>COUNT(BN76:BN80,BN83:BN85,BN87:BN105)</f>
        <v>27</v>
      </c>
      <c r="BY77" s="3">
        <f>30-BX77</f>
        <v>3</v>
      </c>
      <c r="BZ77" s="3">
        <f>COUNT(BV81:BV82,BV86)</f>
        <v>3</v>
      </c>
      <c r="CA77" s="3">
        <f>30-BZ77</f>
        <v>27</v>
      </c>
    </row>
    <row r="78" spans="1:79" x14ac:dyDescent="0.3">
      <c r="A78" s="4" t="s">
        <v>14</v>
      </c>
      <c r="B78" s="4">
        <v>0.9</v>
      </c>
      <c r="C78" s="4">
        <v>0.5</v>
      </c>
      <c r="D78" s="4">
        <v>0.6</v>
      </c>
      <c r="E78" s="4">
        <v>0.3</v>
      </c>
      <c r="F78" s="6">
        <v>365.81158399999998</v>
      </c>
      <c r="G78" s="4">
        <v>0</v>
      </c>
      <c r="I78" s="4" t="s">
        <v>14</v>
      </c>
      <c r="J78" s="4">
        <v>0.9</v>
      </c>
      <c r="K78" s="4">
        <v>0.5</v>
      </c>
      <c r="L78" s="4">
        <v>0.6</v>
      </c>
      <c r="M78" s="4">
        <v>0.33</v>
      </c>
      <c r="N78" s="4">
        <v>367.32510400000001</v>
      </c>
      <c r="O78" s="4">
        <v>0</v>
      </c>
      <c r="P78" s="5"/>
      <c r="Q78" s="5"/>
      <c r="R78" s="5"/>
      <c r="S78" s="5"/>
      <c r="U78" s="4" t="s">
        <v>14</v>
      </c>
      <c r="V78" s="4">
        <v>0.9</v>
      </c>
      <c r="W78" s="4">
        <v>0.5</v>
      </c>
      <c r="X78" s="4">
        <v>0.6</v>
      </c>
      <c r="Y78" s="4">
        <v>0.3</v>
      </c>
      <c r="Z78" s="6">
        <v>355.35159299999998</v>
      </c>
      <c r="AA78" s="4">
        <v>0</v>
      </c>
      <c r="AC78" s="4" t="s">
        <v>14</v>
      </c>
      <c r="AD78" s="4">
        <v>0.9</v>
      </c>
      <c r="AE78" s="4">
        <v>0.5</v>
      </c>
      <c r="AF78" s="4">
        <v>0.6</v>
      </c>
      <c r="AG78" s="4">
        <v>0.31</v>
      </c>
      <c r="AH78" s="4">
        <v>357.08395400000001</v>
      </c>
      <c r="AI78" s="4">
        <v>0</v>
      </c>
      <c r="AJ78" s="5"/>
      <c r="AK78" s="5"/>
      <c r="AL78" s="5"/>
      <c r="AM78" s="5"/>
      <c r="AO78" s="4" t="s">
        <v>15</v>
      </c>
      <c r="AP78" s="4">
        <v>0.9</v>
      </c>
      <c r="AQ78" s="4">
        <v>0.5</v>
      </c>
      <c r="AR78" s="4">
        <v>0.6</v>
      </c>
      <c r="AS78" s="4">
        <v>0.3</v>
      </c>
      <c r="AT78" s="6">
        <v>707.81170699999996</v>
      </c>
      <c r="AU78" s="4">
        <v>3.0000000000000001E-3</v>
      </c>
      <c r="AW78" s="4" t="s">
        <v>15</v>
      </c>
      <c r="AX78" s="4">
        <v>0.9</v>
      </c>
      <c r="AY78" s="4">
        <v>0.5</v>
      </c>
      <c r="AZ78" s="4">
        <v>0.6</v>
      </c>
      <c r="BA78" s="4">
        <v>0.32</v>
      </c>
      <c r="BB78" s="4">
        <v>737.26208499999996</v>
      </c>
      <c r="BC78" s="4">
        <v>3.0000000000000001E-3</v>
      </c>
      <c r="BD78" s="5"/>
      <c r="BE78" s="5"/>
      <c r="BF78" s="5"/>
      <c r="BG78" s="5"/>
      <c r="BI78" s="4" t="s">
        <v>15</v>
      </c>
      <c r="BJ78" s="4">
        <v>0.9</v>
      </c>
      <c r="BK78" s="4">
        <v>0.5</v>
      </c>
      <c r="BL78" s="4">
        <v>0.6</v>
      </c>
      <c r="BM78" s="4">
        <v>0.3</v>
      </c>
      <c r="BN78" s="6">
        <v>704.45812999999998</v>
      </c>
      <c r="BO78" s="4">
        <v>3.0000000000000001E-3</v>
      </c>
      <c r="BQ78" s="4" t="s">
        <v>15</v>
      </c>
      <c r="BR78" s="4">
        <v>0.9</v>
      </c>
      <c r="BS78" s="4">
        <v>0.5</v>
      </c>
      <c r="BT78" s="4">
        <v>0.6</v>
      </c>
      <c r="BU78" s="4">
        <v>0.3</v>
      </c>
      <c r="BV78" s="4">
        <v>735.89562999999998</v>
      </c>
      <c r="BW78" s="4">
        <v>6.0000000000000001E-3</v>
      </c>
      <c r="BX78" s="5"/>
      <c r="BY78" s="5"/>
      <c r="BZ78" s="5"/>
      <c r="CA78" s="5"/>
    </row>
    <row r="79" spans="1:79" x14ac:dyDescent="0.3">
      <c r="A79" s="4" t="s">
        <v>16</v>
      </c>
      <c r="B79" s="4">
        <v>0.9</v>
      </c>
      <c r="C79" s="4">
        <v>0.5</v>
      </c>
      <c r="D79" s="4">
        <v>0.6</v>
      </c>
      <c r="E79" s="4">
        <v>0.3</v>
      </c>
      <c r="F79" s="6">
        <v>394.24047899999999</v>
      </c>
      <c r="G79" s="4">
        <v>1E-3</v>
      </c>
      <c r="I79" s="4" t="s">
        <v>16</v>
      </c>
      <c r="J79" s="4">
        <v>0.9</v>
      </c>
      <c r="K79" s="4">
        <v>0.5</v>
      </c>
      <c r="L79" s="4">
        <v>0.6</v>
      </c>
      <c r="M79" s="4">
        <v>0.37</v>
      </c>
      <c r="N79" s="8">
        <v>394.36831699999999</v>
      </c>
      <c r="O79" s="4">
        <v>1E-3</v>
      </c>
      <c r="P79" s="5"/>
      <c r="Q79" s="5"/>
      <c r="R79" s="5"/>
      <c r="S79" s="5"/>
      <c r="U79" s="4" t="s">
        <v>16</v>
      </c>
      <c r="V79" s="4">
        <v>0.9</v>
      </c>
      <c r="W79" s="4">
        <v>0.5</v>
      </c>
      <c r="X79" s="4">
        <v>0.6</v>
      </c>
      <c r="Y79" s="4">
        <v>0.3</v>
      </c>
      <c r="Z79" s="6">
        <v>385.09951799999999</v>
      </c>
      <c r="AA79" s="4">
        <v>1E-3</v>
      </c>
      <c r="AC79" s="4" t="s">
        <v>16</v>
      </c>
      <c r="AD79" s="4">
        <v>0.9</v>
      </c>
      <c r="AE79" s="4">
        <v>0.5</v>
      </c>
      <c r="AF79" s="4">
        <v>0.6</v>
      </c>
      <c r="AG79" s="4">
        <v>0.3</v>
      </c>
      <c r="AH79" s="4">
        <v>388.27044699999999</v>
      </c>
      <c r="AI79" s="4">
        <v>1E-3</v>
      </c>
      <c r="AJ79" s="5"/>
      <c r="AK79" s="5"/>
      <c r="AL79" s="5"/>
      <c r="AM79" s="5"/>
      <c r="AO79" s="4" t="s">
        <v>17</v>
      </c>
      <c r="AP79" s="4">
        <v>0.9</v>
      </c>
      <c r="AQ79" s="4">
        <v>0.5</v>
      </c>
      <c r="AR79" s="4">
        <v>0.6</v>
      </c>
      <c r="AS79" s="4">
        <v>0.3</v>
      </c>
      <c r="AT79" s="6">
        <v>706.827271</v>
      </c>
      <c r="AU79" s="4">
        <v>3.0000000000000001E-3</v>
      </c>
      <c r="AW79" s="4" t="s">
        <v>17</v>
      </c>
      <c r="AX79" s="4">
        <v>0.9</v>
      </c>
      <c r="AY79" s="4">
        <v>0.5</v>
      </c>
      <c r="AZ79" s="4">
        <v>0.6</v>
      </c>
      <c r="BA79" s="4">
        <v>0.3</v>
      </c>
      <c r="BB79" s="4">
        <v>715.78576699999996</v>
      </c>
      <c r="BC79" s="4">
        <v>3.0000000000000001E-3</v>
      </c>
      <c r="BD79" s="5"/>
      <c r="BE79" s="5"/>
      <c r="BF79" s="5"/>
      <c r="BG79" s="5"/>
      <c r="BI79" s="4" t="s">
        <v>17</v>
      </c>
      <c r="BJ79" s="4">
        <v>0.9</v>
      </c>
      <c r="BK79" s="4">
        <v>0.5</v>
      </c>
      <c r="BL79" s="4">
        <v>0.6</v>
      </c>
      <c r="BM79" s="4">
        <v>0.3</v>
      </c>
      <c r="BN79" s="6">
        <v>699.63574200000005</v>
      </c>
      <c r="BO79" s="4">
        <v>3.0000000000000001E-3</v>
      </c>
      <c r="BQ79" s="4" t="s">
        <v>17</v>
      </c>
      <c r="BR79" s="4">
        <v>0.9</v>
      </c>
      <c r="BS79" s="4">
        <v>0.5</v>
      </c>
      <c r="BT79" s="4">
        <v>0.6</v>
      </c>
      <c r="BU79" s="4">
        <v>0.32</v>
      </c>
      <c r="BV79" s="4">
        <v>714.46227999999996</v>
      </c>
      <c r="BW79" s="4">
        <v>5.0000000000000001E-3</v>
      </c>
      <c r="BX79" s="5"/>
      <c r="BY79" s="5"/>
      <c r="BZ79" s="5"/>
      <c r="CA79" s="5"/>
    </row>
    <row r="80" spans="1:79" x14ac:dyDescent="0.3">
      <c r="A80" s="4" t="s">
        <v>18</v>
      </c>
      <c r="B80" s="4">
        <v>0.9</v>
      </c>
      <c r="C80" s="4">
        <v>0.5</v>
      </c>
      <c r="D80" s="4">
        <v>0.6</v>
      </c>
      <c r="E80" s="4">
        <v>0.3</v>
      </c>
      <c r="F80" s="6">
        <v>346.68826300000001</v>
      </c>
      <c r="G80" s="4">
        <v>0</v>
      </c>
      <c r="I80" s="4" t="s">
        <v>18</v>
      </c>
      <c r="J80" s="4">
        <v>0.9</v>
      </c>
      <c r="K80" s="4">
        <v>0.5</v>
      </c>
      <c r="L80" s="4">
        <v>0.6</v>
      </c>
      <c r="M80" s="4">
        <v>0.32</v>
      </c>
      <c r="N80" s="4">
        <v>347.80276500000002</v>
      </c>
      <c r="O80" s="4">
        <v>1E-3</v>
      </c>
      <c r="P80" s="5"/>
      <c r="Q80" s="5"/>
      <c r="R80" s="5"/>
      <c r="S80" s="5"/>
      <c r="U80" s="4" t="s">
        <v>18</v>
      </c>
      <c r="V80" s="4">
        <v>0.9</v>
      </c>
      <c r="W80" s="4">
        <v>0.5</v>
      </c>
      <c r="X80" s="4">
        <v>0.6</v>
      </c>
      <c r="Y80" s="4">
        <v>0.3</v>
      </c>
      <c r="Z80" s="6">
        <v>335.85687300000001</v>
      </c>
      <c r="AA80" s="4">
        <v>1E-3</v>
      </c>
      <c r="AC80" s="4" t="s">
        <v>18</v>
      </c>
      <c r="AD80" s="4">
        <v>0.9</v>
      </c>
      <c r="AE80" s="4">
        <v>0.5</v>
      </c>
      <c r="AF80" s="4">
        <v>0.6</v>
      </c>
      <c r="AG80" s="4">
        <v>0.32</v>
      </c>
      <c r="AH80" s="4">
        <v>337.70214800000002</v>
      </c>
      <c r="AI80" s="4">
        <v>1E-3</v>
      </c>
      <c r="AJ80" s="5"/>
      <c r="AK80" s="5"/>
      <c r="AL80" s="5"/>
      <c r="AM80" s="5"/>
      <c r="AO80" s="4" t="s">
        <v>19</v>
      </c>
      <c r="AP80" s="4">
        <v>0.9</v>
      </c>
      <c r="AQ80" s="4">
        <v>0.5</v>
      </c>
      <c r="AR80" s="4">
        <v>0.6</v>
      </c>
      <c r="AS80" s="4">
        <v>0.3</v>
      </c>
      <c r="AT80" s="6">
        <v>733.20391800000004</v>
      </c>
      <c r="AU80" s="4">
        <v>4.0000000000000001E-3</v>
      </c>
      <c r="AW80" s="4" t="s">
        <v>19</v>
      </c>
      <c r="AX80" s="4">
        <v>0.9</v>
      </c>
      <c r="AY80" s="4">
        <v>0.5</v>
      </c>
      <c r="AZ80" s="4">
        <v>0.6</v>
      </c>
      <c r="BA80" s="4">
        <v>0.31</v>
      </c>
      <c r="BB80" s="4">
        <v>757.83526600000005</v>
      </c>
      <c r="BC80" s="4">
        <v>4.0000000000000001E-3</v>
      </c>
      <c r="BD80" s="5"/>
      <c r="BE80" s="5"/>
      <c r="BF80" s="5"/>
      <c r="BG80" s="5"/>
      <c r="BI80" s="4" t="s">
        <v>19</v>
      </c>
      <c r="BJ80" s="4">
        <v>0.9</v>
      </c>
      <c r="BK80" s="4">
        <v>0.5</v>
      </c>
      <c r="BL80" s="4">
        <v>0.6</v>
      </c>
      <c r="BM80" s="4">
        <v>0.3</v>
      </c>
      <c r="BN80" s="6">
        <v>721.95147699999995</v>
      </c>
      <c r="BO80" s="4">
        <v>4.0000000000000001E-3</v>
      </c>
      <c r="BQ80" s="4" t="s">
        <v>19</v>
      </c>
      <c r="BR80" s="4">
        <v>0.9</v>
      </c>
      <c r="BS80" s="4">
        <v>0.5</v>
      </c>
      <c r="BT80" s="4">
        <v>0.6</v>
      </c>
      <c r="BU80" s="4">
        <v>0.32</v>
      </c>
      <c r="BV80" s="4">
        <v>741.10516399999995</v>
      </c>
      <c r="BW80" s="4">
        <v>5.0000000000000001E-3</v>
      </c>
      <c r="BX80" s="5"/>
      <c r="BY80" s="5"/>
      <c r="BZ80" s="5"/>
      <c r="CA80" s="5"/>
    </row>
    <row r="81" spans="1:79" x14ac:dyDescent="0.3">
      <c r="A81" s="4" t="s">
        <v>20</v>
      </c>
      <c r="B81" s="4">
        <v>0.9</v>
      </c>
      <c r="C81" s="4">
        <v>0.5</v>
      </c>
      <c r="D81" s="4">
        <v>0.6</v>
      </c>
      <c r="E81" s="4">
        <v>0.3</v>
      </c>
      <c r="F81" s="6">
        <v>412.04544099999998</v>
      </c>
      <c r="G81" s="4">
        <v>0</v>
      </c>
      <c r="I81" s="4" t="s">
        <v>20</v>
      </c>
      <c r="J81" s="4">
        <v>0.9</v>
      </c>
      <c r="K81" s="4">
        <v>0.5</v>
      </c>
      <c r="L81" s="4">
        <v>0.6</v>
      </c>
      <c r="M81" s="4">
        <v>0.33</v>
      </c>
      <c r="N81" s="6">
        <v>412.04544099999998</v>
      </c>
      <c r="O81" s="4">
        <v>0</v>
      </c>
      <c r="P81" s="5"/>
      <c r="Q81" s="5"/>
      <c r="R81" s="5"/>
      <c r="S81" s="5"/>
      <c r="U81" s="4" t="s">
        <v>20</v>
      </c>
      <c r="V81" s="4">
        <v>0.9</v>
      </c>
      <c r="W81" s="4">
        <v>0.5</v>
      </c>
      <c r="X81" s="4">
        <v>0.6</v>
      </c>
      <c r="Y81" s="4">
        <v>0.3</v>
      </c>
      <c r="Z81" s="6">
        <v>404.231964</v>
      </c>
      <c r="AA81" s="4">
        <v>0</v>
      </c>
      <c r="AC81" s="4" t="s">
        <v>20</v>
      </c>
      <c r="AD81" s="4">
        <v>0.9</v>
      </c>
      <c r="AE81" s="4">
        <v>0.5</v>
      </c>
      <c r="AF81" s="4">
        <v>0.6</v>
      </c>
      <c r="AG81" s="4">
        <v>0.34</v>
      </c>
      <c r="AH81" s="8">
        <v>404.81759599999998</v>
      </c>
      <c r="AI81" s="4">
        <v>0</v>
      </c>
      <c r="AJ81" s="5"/>
      <c r="AK81" s="5"/>
      <c r="AL81" s="5"/>
      <c r="AM81" s="5"/>
      <c r="AO81" s="4" t="s">
        <v>21</v>
      </c>
      <c r="AP81" s="4">
        <v>0.9</v>
      </c>
      <c r="AQ81" s="4">
        <v>0.5</v>
      </c>
      <c r="AR81" s="4">
        <v>0.6</v>
      </c>
      <c r="AS81" s="4">
        <v>0.3</v>
      </c>
      <c r="AT81" s="6">
        <v>712.74823000000004</v>
      </c>
      <c r="AU81" s="4">
        <v>4.0000000000000001E-3</v>
      </c>
      <c r="AW81" s="4" t="s">
        <v>21</v>
      </c>
      <c r="AX81" s="4">
        <v>0.9</v>
      </c>
      <c r="AY81" s="4">
        <v>0.5</v>
      </c>
      <c r="AZ81" s="4">
        <v>0.6</v>
      </c>
      <c r="BA81" s="4">
        <v>0.3</v>
      </c>
      <c r="BB81" s="4">
        <v>750.52612299999998</v>
      </c>
      <c r="BC81" s="4">
        <v>3.0000000000000001E-3</v>
      </c>
      <c r="BD81" s="5"/>
      <c r="BE81" s="5"/>
      <c r="BF81" s="5"/>
      <c r="BG81" s="5"/>
      <c r="BI81" s="4" t="s">
        <v>21</v>
      </c>
      <c r="BJ81" s="4">
        <v>0.9</v>
      </c>
      <c r="BK81" s="4">
        <v>0.5</v>
      </c>
      <c r="BL81" s="4">
        <v>0.6</v>
      </c>
      <c r="BM81" s="4">
        <v>0.3</v>
      </c>
      <c r="BN81" s="4">
        <v>725.67681900000002</v>
      </c>
      <c r="BO81" s="4">
        <v>3.0000000000000001E-3</v>
      </c>
      <c r="BQ81" s="4" t="s">
        <v>21</v>
      </c>
      <c r="BR81" s="4">
        <v>0.9</v>
      </c>
      <c r="BS81" s="4">
        <v>0.5</v>
      </c>
      <c r="BT81" s="4">
        <v>0.6</v>
      </c>
      <c r="BU81" s="4">
        <v>0.31</v>
      </c>
      <c r="BV81" s="6">
        <v>724.39593500000001</v>
      </c>
      <c r="BW81" s="4">
        <v>7.0000000000000001E-3</v>
      </c>
      <c r="BX81" s="5"/>
      <c r="BY81" s="5"/>
      <c r="BZ81" s="5"/>
      <c r="CA81" s="5"/>
    </row>
    <row r="82" spans="1:79" x14ac:dyDescent="0.3">
      <c r="A82" s="4" t="s">
        <v>22</v>
      </c>
      <c r="B82" s="4">
        <v>0.9</v>
      </c>
      <c r="C82" s="4">
        <v>0.5</v>
      </c>
      <c r="D82" s="4">
        <v>0.6</v>
      </c>
      <c r="E82" s="4">
        <v>0.3</v>
      </c>
      <c r="F82" s="6">
        <v>386.19570900000002</v>
      </c>
      <c r="G82" s="4">
        <v>0</v>
      </c>
      <c r="I82" s="4" t="s">
        <v>22</v>
      </c>
      <c r="J82" s="4">
        <v>0.9</v>
      </c>
      <c r="K82" s="4">
        <v>0.5</v>
      </c>
      <c r="L82" s="4">
        <v>0.6</v>
      </c>
      <c r="M82" s="4">
        <v>0.42</v>
      </c>
      <c r="N82" s="4">
        <v>390.87133799999998</v>
      </c>
      <c r="O82" s="4">
        <v>1E-3</v>
      </c>
      <c r="P82" s="5"/>
      <c r="Q82" s="5"/>
      <c r="R82" s="5"/>
      <c r="S82" s="5"/>
      <c r="U82" s="4" t="s">
        <v>22</v>
      </c>
      <c r="V82" s="4">
        <v>0.9</v>
      </c>
      <c r="W82" s="4">
        <v>0.5</v>
      </c>
      <c r="X82" s="4">
        <v>0.6</v>
      </c>
      <c r="Y82" s="4">
        <v>0.3</v>
      </c>
      <c r="Z82" s="4">
        <v>377.21435500000001</v>
      </c>
      <c r="AA82" s="4">
        <v>1E-3</v>
      </c>
      <c r="AC82" s="4" t="s">
        <v>22</v>
      </c>
      <c r="AD82" s="4">
        <v>0.9</v>
      </c>
      <c r="AE82" s="4">
        <v>0.5</v>
      </c>
      <c r="AF82" s="4">
        <v>0.6</v>
      </c>
      <c r="AG82" s="4">
        <v>0.32</v>
      </c>
      <c r="AH82" s="4">
        <v>378.59249899999998</v>
      </c>
      <c r="AI82" s="4">
        <v>1E-3</v>
      </c>
      <c r="AJ82" s="5"/>
      <c r="AK82" s="5"/>
      <c r="AL82" s="5"/>
      <c r="AM82" s="5"/>
      <c r="AO82" s="4" t="s">
        <v>23</v>
      </c>
      <c r="AP82" s="4">
        <v>0.9</v>
      </c>
      <c r="AQ82" s="4">
        <v>0.5</v>
      </c>
      <c r="AR82" s="4">
        <v>0.6</v>
      </c>
      <c r="AS82" s="4">
        <v>0.3</v>
      </c>
      <c r="AT82" s="6">
        <v>725.86468500000001</v>
      </c>
      <c r="AU82" s="4">
        <v>3.0000000000000001E-3</v>
      </c>
      <c r="AW82" s="4" t="s">
        <v>23</v>
      </c>
      <c r="AX82" s="4">
        <v>0.9</v>
      </c>
      <c r="AY82" s="4">
        <v>0.5</v>
      </c>
      <c r="AZ82" s="4">
        <v>0.6</v>
      </c>
      <c r="BA82" s="4">
        <v>0.34</v>
      </c>
      <c r="BB82" s="4">
        <v>743.80670199999997</v>
      </c>
      <c r="BC82" s="4">
        <v>3.0000000000000001E-3</v>
      </c>
      <c r="BD82" s="5"/>
      <c r="BE82" s="5"/>
      <c r="BF82" s="5"/>
      <c r="BG82" s="5"/>
      <c r="BI82" s="4" t="s">
        <v>23</v>
      </c>
      <c r="BJ82" s="4">
        <v>0.9</v>
      </c>
      <c r="BK82" s="4">
        <v>0.5</v>
      </c>
      <c r="BL82" s="4">
        <v>0.6</v>
      </c>
      <c r="BM82" s="4">
        <v>0.3</v>
      </c>
      <c r="BN82" s="4">
        <v>724.70806900000002</v>
      </c>
      <c r="BO82" s="4">
        <v>4.0000000000000001E-3</v>
      </c>
      <c r="BQ82" s="4" t="s">
        <v>23</v>
      </c>
      <c r="BR82" s="4">
        <v>0.9</v>
      </c>
      <c r="BS82" s="4">
        <v>0.5</v>
      </c>
      <c r="BT82" s="4">
        <v>0.6</v>
      </c>
      <c r="BU82" s="4">
        <v>0.3</v>
      </c>
      <c r="BV82" s="6">
        <v>717.65777600000001</v>
      </c>
      <c r="BW82" s="4">
        <v>6.0000000000000001E-3</v>
      </c>
      <c r="BX82" s="5"/>
      <c r="BY82" s="5"/>
      <c r="BZ82" s="5"/>
      <c r="CA82" s="5"/>
    </row>
    <row r="83" spans="1:79" x14ac:dyDescent="0.3">
      <c r="A83" s="4" t="s">
        <v>24</v>
      </c>
      <c r="B83" s="4">
        <v>0.9</v>
      </c>
      <c r="C83" s="4">
        <v>0.5</v>
      </c>
      <c r="D83" s="4">
        <v>0.6</v>
      </c>
      <c r="E83" s="4">
        <v>0.3</v>
      </c>
      <c r="F83" s="6">
        <v>465.27917500000001</v>
      </c>
      <c r="G83" s="4">
        <v>1E-3</v>
      </c>
      <c r="I83" s="4" t="s">
        <v>24</v>
      </c>
      <c r="J83" s="4">
        <v>0.9</v>
      </c>
      <c r="K83" s="4">
        <v>0.5</v>
      </c>
      <c r="L83" s="4">
        <v>0.6</v>
      </c>
      <c r="M83" s="4">
        <v>0.49</v>
      </c>
      <c r="N83" s="4">
        <v>466.09802200000001</v>
      </c>
      <c r="O83" s="4">
        <v>0</v>
      </c>
      <c r="P83" s="5"/>
      <c r="Q83" s="5"/>
      <c r="R83" s="5"/>
      <c r="S83" s="5"/>
      <c r="U83" s="4" t="s">
        <v>24</v>
      </c>
      <c r="V83" s="4">
        <v>0.9</v>
      </c>
      <c r="W83" s="4">
        <v>0.5</v>
      </c>
      <c r="X83" s="4">
        <v>0.6</v>
      </c>
      <c r="Y83" s="4">
        <v>0.3</v>
      </c>
      <c r="Z83" s="6">
        <v>451.84316999999999</v>
      </c>
      <c r="AA83" s="4">
        <v>0</v>
      </c>
      <c r="AC83" s="4" t="s">
        <v>24</v>
      </c>
      <c r="AD83" s="4">
        <v>0.9</v>
      </c>
      <c r="AE83" s="4">
        <v>0.5</v>
      </c>
      <c r="AF83" s="4">
        <v>0.6</v>
      </c>
      <c r="AG83" s="4">
        <v>0.32</v>
      </c>
      <c r="AH83" s="6">
        <v>451.84316999999999</v>
      </c>
      <c r="AI83" s="4">
        <v>0</v>
      </c>
      <c r="AJ83" s="5"/>
      <c r="AK83" s="5"/>
      <c r="AL83" s="5"/>
      <c r="AM83" s="5"/>
      <c r="AO83" s="4" t="s">
        <v>25</v>
      </c>
      <c r="AP83" s="4">
        <v>0.9</v>
      </c>
      <c r="AQ83" s="4">
        <v>0.5</v>
      </c>
      <c r="AR83" s="4">
        <v>0.6</v>
      </c>
      <c r="AS83" s="4">
        <v>0.3</v>
      </c>
      <c r="AT83" s="6">
        <v>749.67346199999997</v>
      </c>
      <c r="AU83" s="4">
        <v>3.0000000000000001E-3</v>
      </c>
      <c r="AW83" s="4" t="s">
        <v>25</v>
      </c>
      <c r="AX83" s="4">
        <v>0.9</v>
      </c>
      <c r="AY83" s="4">
        <v>0.5</v>
      </c>
      <c r="AZ83" s="4">
        <v>0.6</v>
      </c>
      <c r="BA83" s="4">
        <v>0.32</v>
      </c>
      <c r="BB83" s="4">
        <v>760.89086899999995</v>
      </c>
      <c r="BC83" s="4">
        <v>5.0000000000000001E-3</v>
      </c>
      <c r="BD83" s="5"/>
      <c r="BE83" s="5"/>
      <c r="BF83" s="5"/>
      <c r="BG83" s="5"/>
      <c r="BI83" s="4" t="s">
        <v>25</v>
      </c>
      <c r="BJ83" s="4">
        <v>0.9</v>
      </c>
      <c r="BK83" s="4">
        <v>0.5</v>
      </c>
      <c r="BL83" s="4">
        <v>0.6</v>
      </c>
      <c r="BM83" s="4">
        <v>0.3</v>
      </c>
      <c r="BN83" s="6">
        <v>723.27075200000002</v>
      </c>
      <c r="BO83" s="4">
        <v>3.0000000000000001E-3</v>
      </c>
      <c r="BQ83" s="4" t="s">
        <v>25</v>
      </c>
      <c r="BR83" s="4">
        <v>0.9</v>
      </c>
      <c r="BS83" s="4">
        <v>0.5</v>
      </c>
      <c r="BT83" s="4">
        <v>0.6</v>
      </c>
      <c r="BU83" s="4">
        <v>0.3</v>
      </c>
      <c r="BV83" s="4">
        <v>760.71978799999999</v>
      </c>
      <c r="BW83" s="4">
        <v>6.0000000000000001E-3</v>
      </c>
      <c r="BX83" s="5"/>
      <c r="BY83" s="5"/>
      <c r="BZ83" s="5"/>
      <c r="CA83" s="5"/>
    </row>
    <row r="84" spans="1:79" x14ac:dyDescent="0.3">
      <c r="A84" s="4" t="s">
        <v>26</v>
      </c>
      <c r="B84" s="4">
        <v>0.9</v>
      </c>
      <c r="C84" s="4">
        <v>0.5</v>
      </c>
      <c r="D84" s="4">
        <v>0.6</v>
      </c>
      <c r="E84" s="4">
        <v>0.3</v>
      </c>
      <c r="F84" s="6">
        <v>417.438782</v>
      </c>
      <c r="G84" s="4">
        <v>0</v>
      </c>
      <c r="I84" s="4" t="s">
        <v>26</v>
      </c>
      <c r="J84" s="4">
        <v>0.9</v>
      </c>
      <c r="K84" s="4">
        <v>0.5</v>
      </c>
      <c r="L84" s="4">
        <v>0.6</v>
      </c>
      <c r="M84" s="4">
        <v>0.35</v>
      </c>
      <c r="N84" s="4">
        <v>418.75277699999998</v>
      </c>
      <c r="O84" s="4">
        <v>0</v>
      </c>
      <c r="P84" s="5"/>
      <c r="Q84" s="5"/>
      <c r="R84" s="5"/>
      <c r="S84" s="5"/>
      <c r="U84" s="4" t="s">
        <v>26</v>
      </c>
      <c r="V84" s="4">
        <v>0.9</v>
      </c>
      <c r="W84" s="4">
        <v>0.5</v>
      </c>
      <c r="X84" s="4">
        <v>0.6</v>
      </c>
      <c r="Y84" s="4">
        <v>0.3</v>
      </c>
      <c r="Z84" s="6">
        <v>407.37115499999999</v>
      </c>
      <c r="AA84" s="4">
        <v>1E-3</v>
      </c>
      <c r="AC84" s="4" t="s">
        <v>26</v>
      </c>
      <c r="AD84" s="4">
        <v>0.9</v>
      </c>
      <c r="AE84" s="4">
        <v>0.5</v>
      </c>
      <c r="AF84" s="4">
        <v>0.6</v>
      </c>
      <c r="AG84" s="4">
        <v>0.33</v>
      </c>
      <c r="AH84" s="4">
        <v>410.80957000000001</v>
      </c>
      <c r="AI84" s="4">
        <v>1E-3</v>
      </c>
      <c r="AJ84" s="5"/>
      <c r="AK84" s="5"/>
      <c r="AL84" s="5"/>
      <c r="AM84" s="5"/>
      <c r="AO84" s="4" t="s">
        <v>27</v>
      </c>
      <c r="AP84" s="4">
        <v>0.9</v>
      </c>
      <c r="AQ84" s="4">
        <v>0.5</v>
      </c>
      <c r="AR84" s="4">
        <v>0.6</v>
      </c>
      <c r="AS84" s="4">
        <v>0.3</v>
      </c>
      <c r="AT84" s="6">
        <v>706.453979</v>
      </c>
      <c r="AU84" s="4">
        <v>3.0000000000000001E-3</v>
      </c>
      <c r="AW84" s="4" t="s">
        <v>27</v>
      </c>
      <c r="AX84" s="4">
        <v>0.9</v>
      </c>
      <c r="AY84" s="4">
        <v>0.5</v>
      </c>
      <c r="AZ84" s="4">
        <v>0.6</v>
      </c>
      <c r="BA84" s="4">
        <v>0.34</v>
      </c>
      <c r="BB84" s="4">
        <v>747.85253899999998</v>
      </c>
      <c r="BC84" s="4">
        <v>4.0000000000000001E-3</v>
      </c>
      <c r="BD84" s="5"/>
      <c r="BE84" s="5"/>
      <c r="BF84" s="5"/>
      <c r="BG84" s="5"/>
      <c r="BI84" s="4" t="s">
        <v>27</v>
      </c>
      <c r="BJ84" s="4">
        <v>0.9</v>
      </c>
      <c r="BK84" s="4">
        <v>0.5</v>
      </c>
      <c r="BL84" s="4">
        <v>0.6</v>
      </c>
      <c r="BM84" s="4">
        <v>0.3</v>
      </c>
      <c r="BN84" s="6">
        <v>705.60711700000002</v>
      </c>
      <c r="BO84" s="4">
        <v>3.0000000000000001E-3</v>
      </c>
      <c r="BQ84" s="4" t="s">
        <v>27</v>
      </c>
      <c r="BR84" s="4">
        <v>0.9</v>
      </c>
      <c r="BS84" s="4">
        <v>0.5</v>
      </c>
      <c r="BT84" s="4">
        <v>0.6</v>
      </c>
      <c r="BU84" s="4">
        <v>0.31</v>
      </c>
      <c r="BV84" s="4">
        <v>733.42687999999998</v>
      </c>
      <c r="BW84" s="4">
        <v>4.0000000000000001E-3</v>
      </c>
      <c r="BX84" s="5"/>
      <c r="BY84" s="5"/>
      <c r="BZ84" s="5"/>
      <c r="CA84" s="5"/>
    </row>
    <row r="85" spans="1:79" x14ac:dyDescent="0.3">
      <c r="A85" s="4" t="s">
        <v>28</v>
      </c>
      <c r="B85" s="4">
        <v>0.9</v>
      </c>
      <c r="C85" s="4">
        <v>0.5</v>
      </c>
      <c r="D85" s="4">
        <v>0.6</v>
      </c>
      <c r="E85" s="4">
        <v>0.3</v>
      </c>
      <c r="F85" s="6">
        <v>342.79367100000002</v>
      </c>
      <c r="G85" s="4">
        <v>1E-3</v>
      </c>
      <c r="I85" s="4" t="s">
        <v>28</v>
      </c>
      <c r="J85" s="4">
        <v>0.9</v>
      </c>
      <c r="K85" s="4">
        <v>0.5</v>
      </c>
      <c r="L85" s="4">
        <v>0.6</v>
      </c>
      <c r="M85" s="4">
        <v>0.33</v>
      </c>
      <c r="N85" s="6">
        <v>342.79367100000002</v>
      </c>
      <c r="O85" s="4">
        <v>0</v>
      </c>
      <c r="P85" s="5"/>
      <c r="Q85" s="5"/>
      <c r="R85" s="5"/>
      <c r="S85" s="5"/>
      <c r="U85" s="4" t="s">
        <v>28</v>
      </c>
      <c r="V85" s="4">
        <v>0.9</v>
      </c>
      <c r="W85" s="4">
        <v>0.5</v>
      </c>
      <c r="X85" s="4">
        <v>0.6</v>
      </c>
      <c r="Y85" s="4">
        <v>0.3</v>
      </c>
      <c r="Z85" s="6">
        <v>332.42855800000001</v>
      </c>
      <c r="AA85" s="4">
        <v>1E-3</v>
      </c>
      <c r="AC85" s="4" t="s">
        <v>28</v>
      </c>
      <c r="AD85" s="4">
        <v>0.9</v>
      </c>
      <c r="AE85" s="4">
        <v>0.5</v>
      </c>
      <c r="AF85" s="4">
        <v>0.6</v>
      </c>
      <c r="AG85" s="4">
        <v>0.4</v>
      </c>
      <c r="AH85" s="4">
        <v>333.32995599999998</v>
      </c>
      <c r="AI85" s="4">
        <v>0</v>
      </c>
      <c r="AJ85" s="5"/>
      <c r="AK85" s="5"/>
      <c r="AL85" s="5"/>
      <c r="AM85" s="5"/>
      <c r="AO85" s="4" t="s">
        <v>29</v>
      </c>
      <c r="AP85" s="4">
        <v>0.9</v>
      </c>
      <c r="AQ85" s="4">
        <v>0.5</v>
      </c>
      <c r="AR85" s="4">
        <v>0.6</v>
      </c>
      <c r="AS85" s="4">
        <v>0.3</v>
      </c>
      <c r="AT85" s="6">
        <v>735.17358400000001</v>
      </c>
      <c r="AU85" s="4">
        <v>4.0000000000000001E-3</v>
      </c>
      <c r="AW85" s="4" t="s">
        <v>29</v>
      </c>
      <c r="AX85" s="4">
        <v>0.9</v>
      </c>
      <c r="AY85" s="4">
        <v>0.5</v>
      </c>
      <c r="AZ85" s="4">
        <v>0.6</v>
      </c>
      <c r="BA85" s="4">
        <v>0.32</v>
      </c>
      <c r="BB85" s="4">
        <v>760.686646</v>
      </c>
      <c r="BC85" s="4">
        <v>3.0000000000000001E-3</v>
      </c>
      <c r="BD85" s="5"/>
      <c r="BE85" s="5"/>
      <c r="BF85" s="5"/>
      <c r="BG85" s="5"/>
      <c r="BI85" s="4" t="s">
        <v>29</v>
      </c>
      <c r="BJ85" s="4">
        <v>0.9</v>
      </c>
      <c r="BK85" s="4">
        <v>0.5</v>
      </c>
      <c r="BL85" s="4">
        <v>0.6</v>
      </c>
      <c r="BM85" s="4">
        <v>0.3</v>
      </c>
      <c r="BN85" s="6">
        <v>727.80651899999998</v>
      </c>
      <c r="BO85" s="4">
        <v>3.0000000000000001E-3</v>
      </c>
      <c r="BQ85" s="4" t="s">
        <v>29</v>
      </c>
      <c r="BR85" s="4">
        <v>0.9</v>
      </c>
      <c r="BS85" s="4">
        <v>0.5</v>
      </c>
      <c r="BT85" s="4">
        <v>0.6</v>
      </c>
      <c r="BU85" s="4">
        <v>0.31</v>
      </c>
      <c r="BV85" s="4">
        <v>749.69970699999999</v>
      </c>
      <c r="BW85" s="4">
        <v>6.0000000000000001E-3</v>
      </c>
      <c r="BX85" s="5"/>
      <c r="BY85" s="5"/>
      <c r="BZ85" s="5"/>
      <c r="CA85" s="5"/>
    </row>
    <row r="86" spans="1:79" x14ac:dyDescent="0.3">
      <c r="A86" s="4" t="s">
        <v>30</v>
      </c>
      <c r="B86" s="4">
        <v>0.9</v>
      </c>
      <c r="C86" s="4">
        <v>0.5</v>
      </c>
      <c r="D86" s="4">
        <v>0.6</v>
      </c>
      <c r="E86" s="4">
        <v>0.3</v>
      </c>
      <c r="F86" s="6">
        <v>518.96655299999998</v>
      </c>
      <c r="G86" s="4">
        <v>0</v>
      </c>
      <c r="I86" s="4" t="s">
        <v>30</v>
      </c>
      <c r="J86" s="4">
        <v>0.9</v>
      </c>
      <c r="K86" s="4">
        <v>0.5</v>
      </c>
      <c r="L86" s="4">
        <v>0.6</v>
      </c>
      <c r="M86" s="4">
        <v>0.35</v>
      </c>
      <c r="N86" s="4">
        <v>549.63574200000005</v>
      </c>
      <c r="O86" s="4">
        <v>0</v>
      </c>
      <c r="P86" s="5"/>
      <c r="Q86" s="5"/>
      <c r="R86" s="5"/>
      <c r="S86" s="5"/>
      <c r="U86" s="4" t="s">
        <v>30</v>
      </c>
      <c r="V86" s="4">
        <v>0.9</v>
      </c>
      <c r="W86" s="4">
        <v>0.5</v>
      </c>
      <c r="X86" s="4">
        <v>0.6</v>
      </c>
      <c r="Y86" s="4">
        <v>0.3</v>
      </c>
      <c r="Z86" s="6">
        <v>531.40106200000002</v>
      </c>
      <c r="AA86" s="4">
        <v>1E-3</v>
      </c>
      <c r="AC86" s="4" t="s">
        <v>30</v>
      </c>
      <c r="AD86" s="4">
        <v>0.9</v>
      </c>
      <c r="AE86" s="4">
        <v>0.5</v>
      </c>
      <c r="AF86" s="4">
        <v>0.6</v>
      </c>
      <c r="AG86" s="4">
        <v>0.48</v>
      </c>
      <c r="AH86" s="4">
        <v>545.56408699999997</v>
      </c>
      <c r="AI86" s="4">
        <v>1E-3</v>
      </c>
      <c r="AJ86" s="5"/>
      <c r="AK86" s="5"/>
      <c r="AL86" s="5"/>
      <c r="AM86" s="5"/>
      <c r="AO86" s="4" t="s">
        <v>31</v>
      </c>
      <c r="AP86" s="4">
        <v>0.9</v>
      </c>
      <c r="AQ86" s="4">
        <v>0.5</v>
      </c>
      <c r="AR86" s="4">
        <v>0.6</v>
      </c>
      <c r="AS86" s="4">
        <v>0.3</v>
      </c>
      <c r="AT86" s="6">
        <v>842.18780500000003</v>
      </c>
      <c r="AU86" s="4">
        <v>4.0000000000000001E-3</v>
      </c>
      <c r="AW86" s="4" t="s">
        <v>31</v>
      </c>
      <c r="AX86" s="4">
        <v>0.9</v>
      </c>
      <c r="AY86" s="4">
        <v>0.5</v>
      </c>
      <c r="AZ86" s="4">
        <v>0.6</v>
      </c>
      <c r="BA86" s="4">
        <v>0.31</v>
      </c>
      <c r="BB86" s="4">
        <v>888.32025099999998</v>
      </c>
      <c r="BC86" s="4">
        <v>4.0000000000000001E-3</v>
      </c>
      <c r="BD86" s="5"/>
      <c r="BE86" s="5"/>
      <c r="BF86" s="5"/>
      <c r="BG86" s="5"/>
      <c r="BI86" s="4" t="s">
        <v>31</v>
      </c>
      <c r="BJ86" s="4">
        <v>0.9</v>
      </c>
      <c r="BK86" s="4">
        <v>0.5</v>
      </c>
      <c r="BL86" s="4">
        <v>0.6</v>
      </c>
      <c r="BM86" s="4">
        <v>0.3</v>
      </c>
      <c r="BN86" s="4">
        <v>845.30828899999995</v>
      </c>
      <c r="BO86" s="4">
        <v>4.0000000000000001E-3</v>
      </c>
      <c r="BQ86" s="4" t="s">
        <v>31</v>
      </c>
      <c r="BR86" s="4">
        <v>0.9</v>
      </c>
      <c r="BS86" s="4">
        <v>0.5</v>
      </c>
      <c r="BT86" s="4">
        <v>0.6</v>
      </c>
      <c r="BU86" s="4">
        <v>0.31</v>
      </c>
      <c r="BV86" s="6">
        <v>842.49694799999997</v>
      </c>
      <c r="BW86" s="4">
        <v>8.0000000000000002E-3</v>
      </c>
      <c r="BX86" s="5"/>
      <c r="BY86" s="5"/>
      <c r="BZ86" s="5"/>
      <c r="CA86" s="5"/>
    </row>
    <row r="87" spans="1:79" x14ac:dyDescent="0.3">
      <c r="A87" s="4" t="s">
        <v>32</v>
      </c>
      <c r="B87" s="4">
        <v>0.9</v>
      </c>
      <c r="C87" s="4">
        <v>0.5</v>
      </c>
      <c r="D87" s="4">
        <v>0.6</v>
      </c>
      <c r="E87" s="4">
        <v>0.3</v>
      </c>
      <c r="F87" s="6">
        <v>474.83212300000002</v>
      </c>
      <c r="G87" s="4">
        <v>0</v>
      </c>
      <c r="I87" s="4" t="s">
        <v>32</v>
      </c>
      <c r="J87" s="4">
        <v>0.9</v>
      </c>
      <c r="K87" s="4">
        <v>0.5</v>
      </c>
      <c r="L87" s="4">
        <v>0.6</v>
      </c>
      <c r="M87" s="4">
        <v>0.34</v>
      </c>
      <c r="N87" s="6">
        <v>474.83212300000002</v>
      </c>
      <c r="O87" s="4">
        <v>0</v>
      </c>
      <c r="P87" s="5"/>
      <c r="Q87" s="5"/>
      <c r="R87" s="5"/>
      <c r="S87" s="5"/>
      <c r="U87" s="4" t="s">
        <v>32</v>
      </c>
      <c r="V87" s="4">
        <v>0.9</v>
      </c>
      <c r="W87" s="4">
        <v>0.5</v>
      </c>
      <c r="X87" s="4">
        <v>0.6</v>
      </c>
      <c r="Y87" s="4">
        <v>0.3</v>
      </c>
      <c r="Z87" s="6">
        <v>464.43417399999998</v>
      </c>
      <c r="AA87" s="4">
        <v>0</v>
      </c>
      <c r="AC87" s="4" t="s">
        <v>32</v>
      </c>
      <c r="AD87" s="4">
        <v>0.9</v>
      </c>
      <c r="AE87" s="4">
        <v>0.5</v>
      </c>
      <c r="AF87" s="4">
        <v>0.6</v>
      </c>
      <c r="AG87" s="4">
        <v>0.36</v>
      </c>
      <c r="AH87" s="8">
        <v>464.45480300000003</v>
      </c>
      <c r="AI87" s="4">
        <v>0</v>
      </c>
      <c r="AJ87" s="5"/>
      <c r="AK87" s="5"/>
      <c r="AL87" s="5"/>
      <c r="AM87" s="5"/>
      <c r="AO87" s="4" t="s">
        <v>33</v>
      </c>
      <c r="AP87" s="4">
        <v>0.9</v>
      </c>
      <c r="AQ87" s="4">
        <v>0.5</v>
      </c>
      <c r="AR87" s="4">
        <v>0.6</v>
      </c>
      <c r="AS87" s="4">
        <v>0.3</v>
      </c>
      <c r="AT87" s="6">
        <v>773.38147000000004</v>
      </c>
      <c r="AU87" s="4">
        <v>4.0000000000000001E-3</v>
      </c>
      <c r="AW87" s="4" t="s">
        <v>33</v>
      </c>
      <c r="AX87" s="4">
        <v>0.9</v>
      </c>
      <c r="AY87" s="4">
        <v>0.5</v>
      </c>
      <c r="AZ87" s="4">
        <v>0.6</v>
      </c>
      <c r="BA87" s="4">
        <v>0.32</v>
      </c>
      <c r="BB87" s="4">
        <v>818.50311299999998</v>
      </c>
      <c r="BC87" s="4">
        <v>5.0000000000000001E-3</v>
      </c>
      <c r="BD87" s="5"/>
      <c r="BE87" s="5"/>
      <c r="BF87" s="5"/>
      <c r="BG87" s="5"/>
      <c r="BI87" s="4" t="s">
        <v>33</v>
      </c>
      <c r="BJ87" s="4">
        <v>0.9</v>
      </c>
      <c r="BK87" s="4">
        <v>0.5</v>
      </c>
      <c r="BL87" s="4">
        <v>0.6</v>
      </c>
      <c r="BM87" s="4">
        <v>0.3</v>
      </c>
      <c r="BN87" s="6">
        <v>773.94464100000005</v>
      </c>
      <c r="BO87" s="4">
        <v>3.0000000000000001E-3</v>
      </c>
      <c r="BQ87" s="4" t="s">
        <v>33</v>
      </c>
      <c r="BR87" s="4">
        <v>0.9</v>
      </c>
      <c r="BS87" s="4">
        <v>0.5</v>
      </c>
      <c r="BT87" s="4">
        <v>0.6</v>
      </c>
      <c r="BU87" s="4">
        <v>0.31</v>
      </c>
      <c r="BV87" s="4">
        <v>821.69158900000002</v>
      </c>
      <c r="BW87" s="4">
        <v>5.0000000000000001E-3</v>
      </c>
      <c r="BX87" s="5"/>
      <c r="BY87" s="5"/>
      <c r="BZ87" s="5"/>
      <c r="CA87" s="5"/>
    </row>
    <row r="88" spans="1:79" x14ac:dyDescent="0.3">
      <c r="A88" s="4" t="s">
        <v>34</v>
      </c>
      <c r="B88" s="4">
        <v>0.9</v>
      </c>
      <c r="C88" s="4">
        <v>0.5</v>
      </c>
      <c r="D88" s="4">
        <v>0.6</v>
      </c>
      <c r="E88" s="4">
        <v>0.3</v>
      </c>
      <c r="F88" s="6">
        <v>412.97958399999999</v>
      </c>
      <c r="G88" s="4">
        <v>0</v>
      </c>
      <c r="I88" s="4" t="s">
        <v>34</v>
      </c>
      <c r="J88" s="4">
        <v>0.9</v>
      </c>
      <c r="K88" s="4">
        <v>0.5</v>
      </c>
      <c r="L88" s="4">
        <v>0.6</v>
      </c>
      <c r="M88" s="4">
        <v>0.35</v>
      </c>
      <c r="N88" s="4">
        <v>414.75891100000001</v>
      </c>
      <c r="O88" s="4">
        <v>1E-3</v>
      </c>
      <c r="P88" s="5"/>
      <c r="Q88" s="5"/>
      <c r="R88" s="5"/>
      <c r="S88" s="5"/>
      <c r="U88" s="4" t="s">
        <v>34</v>
      </c>
      <c r="V88" s="4">
        <v>0.9</v>
      </c>
      <c r="W88" s="4">
        <v>0.5</v>
      </c>
      <c r="X88" s="4">
        <v>0.6</v>
      </c>
      <c r="Y88" s="4">
        <v>0.3</v>
      </c>
      <c r="Z88" s="8">
        <v>409.62481700000001</v>
      </c>
      <c r="AA88" s="4">
        <v>0</v>
      </c>
      <c r="AC88" s="4" t="s">
        <v>34</v>
      </c>
      <c r="AD88" s="4">
        <v>0.9</v>
      </c>
      <c r="AE88" s="4">
        <v>0.5</v>
      </c>
      <c r="AF88" s="4">
        <v>0.6</v>
      </c>
      <c r="AG88" s="4">
        <v>0.3</v>
      </c>
      <c r="AH88" s="6">
        <v>409.961792</v>
      </c>
      <c r="AI88" s="4">
        <v>1E-3</v>
      </c>
      <c r="AJ88" s="5"/>
      <c r="AK88" s="5"/>
      <c r="AL88" s="5"/>
      <c r="AM88" s="5"/>
      <c r="AO88" s="4" t="s">
        <v>35</v>
      </c>
      <c r="AP88" s="4">
        <v>0.9</v>
      </c>
      <c r="AQ88" s="4">
        <v>0.5</v>
      </c>
      <c r="AR88" s="4">
        <v>0.6</v>
      </c>
      <c r="AS88" s="4">
        <v>0.3</v>
      </c>
      <c r="AT88" s="6">
        <v>794.10144000000003</v>
      </c>
      <c r="AU88" s="4">
        <v>4.0000000000000001E-3</v>
      </c>
      <c r="AW88" s="4" t="s">
        <v>35</v>
      </c>
      <c r="AX88" s="4">
        <v>0.9</v>
      </c>
      <c r="AY88" s="4">
        <v>0.5</v>
      </c>
      <c r="AZ88" s="4">
        <v>0.6</v>
      </c>
      <c r="BA88" s="4">
        <v>0.36</v>
      </c>
      <c r="BB88" s="4">
        <v>835.92999299999997</v>
      </c>
      <c r="BC88" s="4">
        <v>4.0000000000000001E-3</v>
      </c>
      <c r="BD88" s="5"/>
      <c r="BE88" s="5"/>
      <c r="BF88" s="5"/>
      <c r="BG88" s="5"/>
      <c r="BI88" s="4" t="s">
        <v>35</v>
      </c>
      <c r="BJ88" s="4">
        <v>0.9</v>
      </c>
      <c r="BK88" s="4">
        <v>0.5</v>
      </c>
      <c r="BL88" s="4">
        <v>0.6</v>
      </c>
      <c r="BM88" s="4">
        <v>0.3</v>
      </c>
      <c r="BN88" s="6">
        <v>782.81744400000002</v>
      </c>
      <c r="BO88" s="4">
        <v>3.0000000000000001E-3</v>
      </c>
      <c r="BQ88" s="4" t="s">
        <v>35</v>
      </c>
      <c r="BR88" s="4">
        <v>0.9</v>
      </c>
      <c r="BS88" s="4">
        <v>0.5</v>
      </c>
      <c r="BT88" s="4">
        <v>0.6</v>
      </c>
      <c r="BU88" s="4">
        <v>0.31</v>
      </c>
      <c r="BV88" s="4">
        <v>820.17059300000005</v>
      </c>
      <c r="BW88" s="4">
        <v>7.0000000000000001E-3</v>
      </c>
      <c r="BX88" s="5"/>
      <c r="BY88" s="5"/>
      <c r="BZ88" s="5"/>
      <c r="CA88" s="5"/>
    </row>
    <row r="89" spans="1:79" x14ac:dyDescent="0.3">
      <c r="A89" s="4" t="s">
        <v>36</v>
      </c>
      <c r="B89" s="4">
        <v>0.9</v>
      </c>
      <c r="C89" s="4">
        <v>0.5</v>
      </c>
      <c r="D89" s="4">
        <v>0.6</v>
      </c>
      <c r="E89" s="4">
        <v>0.3</v>
      </c>
      <c r="F89" s="6">
        <v>523.957581</v>
      </c>
      <c r="G89" s="4">
        <v>1E-3</v>
      </c>
      <c r="I89" s="4" t="s">
        <v>36</v>
      </c>
      <c r="J89" s="4">
        <v>0.9</v>
      </c>
      <c r="K89" s="4">
        <v>0.5</v>
      </c>
      <c r="L89" s="4">
        <v>0.6</v>
      </c>
      <c r="M89" s="4">
        <v>0.55000000000000004</v>
      </c>
      <c r="N89" s="4">
        <v>529.52691700000003</v>
      </c>
      <c r="O89" s="4">
        <v>1E-3</v>
      </c>
      <c r="P89" s="5"/>
      <c r="Q89" s="5"/>
      <c r="R89" s="5"/>
      <c r="S89" s="5"/>
      <c r="U89" s="4" t="s">
        <v>36</v>
      </c>
      <c r="V89" s="4">
        <v>0.9</v>
      </c>
      <c r="W89" s="4">
        <v>0.5</v>
      </c>
      <c r="X89" s="4">
        <v>0.6</v>
      </c>
      <c r="Y89" s="4">
        <v>0.3</v>
      </c>
      <c r="Z89" s="4">
        <v>517.23809800000004</v>
      </c>
      <c r="AA89" s="4">
        <v>1E-3</v>
      </c>
      <c r="AC89" s="4" t="s">
        <v>36</v>
      </c>
      <c r="AD89" s="4">
        <v>0.9</v>
      </c>
      <c r="AE89" s="4">
        <v>0.5</v>
      </c>
      <c r="AF89" s="4">
        <v>0.6</v>
      </c>
      <c r="AG89" s="4">
        <v>0.34</v>
      </c>
      <c r="AH89" s="6">
        <v>512.97534199999996</v>
      </c>
      <c r="AI89" s="4">
        <v>1E-3</v>
      </c>
      <c r="AJ89" s="5"/>
      <c r="AK89" s="5"/>
      <c r="AL89" s="5"/>
      <c r="AM89" s="5"/>
      <c r="AO89" s="4" t="s">
        <v>37</v>
      </c>
      <c r="AP89" s="4">
        <v>0.9</v>
      </c>
      <c r="AQ89" s="4">
        <v>0.5</v>
      </c>
      <c r="AR89" s="4">
        <v>0.6</v>
      </c>
      <c r="AS89" s="4">
        <v>0.3</v>
      </c>
      <c r="AT89" s="6">
        <v>785.38482699999997</v>
      </c>
      <c r="AU89" s="4">
        <v>4.0000000000000001E-3</v>
      </c>
      <c r="AW89" s="4" t="s">
        <v>37</v>
      </c>
      <c r="AX89" s="4">
        <v>0.9</v>
      </c>
      <c r="AY89" s="4">
        <v>0.5</v>
      </c>
      <c r="AZ89" s="4">
        <v>0.6</v>
      </c>
      <c r="BA89" s="4">
        <v>0.33</v>
      </c>
      <c r="BB89" s="4">
        <v>814.42926</v>
      </c>
      <c r="BC89" s="4">
        <v>4.0000000000000001E-3</v>
      </c>
      <c r="BD89" s="5"/>
      <c r="BE89" s="5"/>
      <c r="BF89" s="5"/>
      <c r="BG89" s="5"/>
      <c r="BI89" s="4" t="s">
        <v>37</v>
      </c>
      <c r="BJ89" s="4">
        <v>0.9</v>
      </c>
      <c r="BK89" s="4">
        <v>0.5</v>
      </c>
      <c r="BL89" s="4">
        <v>0.6</v>
      </c>
      <c r="BM89" s="4">
        <v>0.3</v>
      </c>
      <c r="BN89" s="6">
        <v>758.76165800000001</v>
      </c>
      <c r="BO89" s="4">
        <v>4.0000000000000001E-3</v>
      </c>
      <c r="BQ89" s="4" t="s">
        <v>37</v>
      </c>
      <c r="BR89" s="4">
        <v>0.9</v>
      </c>
      <c r="BS89" s="4">
        <v>0.5</v>
      </c>
      <c r="BT89" s="4">
        <v>0.6</v>
      </c>
      <c r="BU89" s="4">
        <v>0.35</v>
      </c>
      <c r="BV89" s="4">
        <v>788.20098900000005</v>
      </c>
      <c r="BW89" s="4">
        <v>5.0000000000000001E-3</v>
      </c>
      <c r="BX89" s="5"/>
      <c r="BY89" s="5"/>
      <c r="BZ89" s="5"/>
      <c r="CA89" s="5"/>
    </row>
    <row r="90" spans="1:79" x14ac:dyDescent="0.3">
      <c r="A90" s="4" t="s">
        <v>38</v>
      </c>
      <c r="B90" s="4">
        <v>0.9</v>
      </c>
      <c r="C90" s="4">
        <v>0.5</v>
      </c>
      <c r="D90" s="4">
        <v>0.6</v>
      </c>
      <c r="E90" s="4">
        <v>0.3</v>
      </c>
      <c r="F90" s="6">
        <v>462.71502700000002</v>
      </c>
      <c r="G90" s="4">
        <v>0</v>
      </c>
      <c r="I90" s="4" t="s">
        <v>38</v>
      </c>
      <c r="J90" s="4">
        <v>0.9</v>
      </c>
      <c r="K90" s="4">
        <v>0.5</v>
      </c>
      <c r="L90" s="4">
        <v>0.6</v>
      </c>
      <c r="M90" s="4">
        <v>0.51</v>
      </c>
      <c r="N90" s="4">
        <v>471.08462500000002</v>
      </c>
      <c r="O90" s="4">
        <v>2E-3</v>
      </c>
      <c r="P90" s="5"/>
      <c r="Q90" s="5"/>
      <c r="R90" s="5"/>
      <c r="S90" s="5"/>
      <c r="U90" s="4" t="s">
        <v>38</v>
      </c>
      <c r="V90" s="4">
        <v>0.9</v>
      </c>
      <c r="W90" s="4">
        <v>0.5</v>
      </c>
      <c r="X90" s="4">
        <v>0.6</v>
      </c>
      <c r="Y90" s="4">
        <v>0.3</v>
      </c>
      <c r="Z90" s="6">
        <v>457.08355699999998</v>
      </c>
      <c r="AA90" s="4">
        <v>1E-3</v>
      </c>
      <c r="AC90" s="4" t="s">
        <v>38</v>
      </c>
      <c r="AD90" s="4">
        <v>0.9</v>
      </c>
      <c r="AE90" s="4">
        <v>0.5</v>
      </c>
      <c r="AF90" s="4">
        <v>0.6</v>
      </c>
      <c r="AG90" s="4">
        <v>0.3</v>
      </c>
      <c r="AH90" s="6">
        <v>457.08355699999998</v>
      </c>
      <c r="AI90" s="4">
        <v>1E-3</v>
      </c>
      <c r="AJ90" s="5"/>
      <c r="AK90" s="5"/>
      <c r="AL90" s="5"/>
      <c r="AM90" s="5"/>
      <c r="AO90" s="4" t="s">
        <v>39</v>
      </c>
      <c r="AP90" s="4">
        <v>0.9</v>
      </c>
      <c r="AQ90" s="4">
        <v>0.5</v>
      </c>
      <c r="AR90" s="4">
        <v>0.6</v>
      </c>
      <c r="AS90" s="4">
        <v>0.3</v>
      </c>
      <c r="AT90" s="6">
        <v>788.53668200000004</v>
      </c>
      <c r="AU90" s="4">
        <v>3.0000000000000001E-3</v>
      </c>
      <c r="AW90" s="4" t="s">
        <v>39</v>
      </c>
      <c r="AX90" s="4">
        <v>0.9</v>
      </c>
      <c r="AY90" s="4">
        <v>0.5</v>
      </c>
      <c r="AZ90" s="4">
        <v>0.6</v>
      </c>
      <c r="BA90" s="4">
        <v>0.3</v>
      </c>
      <c r="BB90" s="4">
        <v>824.86499000000003</v>
      </c>
      <c r="BC90" s="4">
        <v>8.0000000000000002E-3</v>
      </c>
      <c r="BD90" s="5"/>
      <c r="BE90" s="5"/>
      <c r="BF90" s="5"/>
      <c r="BG90" s="5"/>
      <c r="BI90" s="4" t="s">
        <v>39</v>
      </c>
      <c r="BJ90" s="4">
        <v>0.9</v>
      </c>
      <c r="BK90" s="4">
        <v>0.5</v>
      </c>
      <c r="BL90" s="4">
        <v>0.6</v>
      </c>
      <c r="BM90" s="4">
        <v>0.3</v>
      </c>
      <c r="BN90" s="6">
        <v>766.77185099999997</v>
      </c>
      <c r="BO90" s="4">
        <v>4.0000000000000001E-3</v>
      </c>
      <c r="BQ90" s="4" t="s">
        <v>39</v>
      </c>
      <c r="BR90" s="4">
        <v>0.9</v>
      </c>
      <c r="BS90" s="4">
        <v>0.5</v>
      </c>
      <c r="BT90" s="4">
        <v>0.6</v>
      </c>
      <c r="BU90" s="4">
        <v>0.3</v>
      </c>
      <c r="BV90" s="4">
        <v>819.98742700000003</v>
      </c>
      <c r="BW90" s="4">
        <v>5.0000000000000001E-3</v>
      </c>
      <c r="BX90" s="5"/>
      <c r="BY90" s="5"/>
      <c r="BZ90" s="5"/>
      <c r="CA90" s="5"/>
    </row>
    <row r="91" spans="1:79" x14ac:dyDescent="0.3">
      <c r="A91" s="4" t="s">
        <v>40</v>
      </c>
      <c r="B91" s="4">
        <v>0.9</v>
      </c>
      <c r="C91" s="4">
        <v>0.5</v>
      </c>
      <c r="D91" s="4">
        <v>0.6</v>
      </c>
      <c r="E91" s="4">
        <v>0.3</v>
      </c>
      <c r="F91" s="6">
        <v>404.60012799999998</v>
      </c>
      <c r="G91" s="4">
        <v>0</v>
      </c>
      <c r="I91" s="4" t="s">
        <v>40</v>
      </c>
      <c r="J91" s="4">
        <v>0.9</v>
      </c>
      <c r="K91" s="4">
        <v>0.5</v>
      </c>
      <c r="L91" s="4">
        <v>0.6</v>
      </c>
      <c r="M91" s="4">
        <v>0.46</v>
      </c>
      <c r="N91" s="6">
        <v>404.60012799999998</v>
      </c>
      <c r="O91" s="4">
        <v>0</v>
      </c>
      <c r="P91" s="5"/>
      <c r="Q91" s="5"/>
      <c r="R91" s="5"/>
      <c r="S91" s="5"/>
      <c r="U91" s="4" t="s">
        <v>40</v>
      </c>
      <c r="V91" s="4">
        <v>0.9</v>
      </c>
      <c r="W91" s="4">
        <v>0.5</v>
      </c>
      <c r="X91" s="4">
        <v>0.6</v>
      </c>
      <c r="Y91" s="4">
        <v>0.3</v>
      </c>
      <c r="Z91" s="6">
        <v>402.01260400000001</v>
      </c>
      <c r="AA91" s="4">
        <v>0</v>
      </c>
      <c r="AC91" s="4" t="s">
        <v>40</v>
      </c>
      <c r="AD91" s="4">
        <v>0.9</v>
      </c>
      <c r="AE91" s="4">
        <v>0.5</v>
      </c>
      <c r="AF91" s="4">
        <v>0.6</v>
      </c>
      <c r="AG91" s="4">
        <v>0.37</v>
      </c>
      <c r="AH91" s="6">
        <v>402.01260400000001</v>
      </c>
      <c r="AI91" s="4">
        <v>1E-3</v>
      </c>
      <c r="AJ91" s="5"/>
      <c r="AK91" s="5"/>
      <c r="AL91" s="5"/>
      <c r="AM91" s="5"/>
      <c r="AO91" s="4" t="s">
        <v>41</v>
      </c>
      <c r="AP91" s="4">
        <v>0.9</v>
      </c>
      <c r="AQ91" s="4">
        <v>0.5</v>
      </c>
      <c r="AR91" s="4">
        <v>0.6</v>
      </c>
      <c r="AS91" s="4">
        <v>0.3</v>
      </c>
      <c r="AT91" s="6">
        <v>894.89398200000005</v>
      </c>
      <c r="AU91" s="4">
        <v>4.0000000000000001E-3</v>
      </c>
      <c r="AW91" s="4" t="s">
        <v>41</v>
      </c>
      <c r="AX91" s="4">
        <v>0.9</v>
      </c>
      <c r="AY91" s="4">
        <v>0.5</v>
      </c>
      <c r="AZ91" s="4">
        <v>0.6</v>
      </c>
      <c r="BA91" s="4">
        <v>0.31</v>
      </c>
      <c r="BB91" s="4">
        <v>923.90753199999995</v>
      </c>
      <c r="BC91" s="4">
        <v>4.0000000000000001E-3</v>
      </c>
      <c r="BD91" s="5"/>
      <c r="BE91" s="5"/>
      <c r="BF91" s="5"/>
      <c r="BG91" s="5"/>
      <c r="BI91" s="4" t="s">
        <v>41</v>
      </c>
      <c r="BJ91" s="4">
        <v>0.9</v>
      </c>
      <c r="BK91" s="4">
        <v>0.5</v>
      </c>
      <c r="BL91" s="4">
        <v>0.6</v>
      </c>
      <c r="BM91" s="4">
        <v>0.3</v>
      </c>
      <c r="BN91" s="6">
        <v>887.83752400000003</v>
      </c>
      <c r="BO91" s="4">
        <v>5.0000000000000001E-3</v>
      </c>
      <c r="BQ91" s="4" t="s">
        <v>41</v>
      </c>
      <c r="BR91" s="4">
        <v>0.9</v>
      </c>
      <c r="BS91" s="4">
        <v>0.5</v>
      </c>
      <c r="BT91" s="4">
        <v>0.6</v>
      </c>
      <c r="BU91" s="4">
        <v>0.31</v>
      </c>
      <c r="BV91" s="4">
        <v>914.69915800000001</v>
      </c>
      <c r="BW91" s="4">
        <v>6.0000000000000001E-3</v>
      </c>
      <c r="BX91" s="5"/>
      <c r="BY91" s="5"/>
      <c r="BZ91" s="5"/>
      <c r="CA91" s="5"/>
    </row>
    <row r="92" spans="1:79" x14ac:dyDescent="0.3">
      <c r="A92" s="4" t="s">
        <v>42</v>
      </c>
      <c r="B92" s="4">
        <v>0.9</v>
      </c>
      <c r="C92" s="4">
        <v>0.5</v>
      </c>
      <c r="D92" s="4">
        <v>0.6</v>
      </c>
      <c r="E92" s="4">
        <v>0.3</v>
      </c>
      <c r="F92" s="6">
        <v>423.66629</v>
      </c>
      <c r="G92" s="4">
        <v>0</v>
      </c>
      <c r="I92" s="4" t="s">
        <v>42</v>
      </c>
      <c r="J92" s="4">
        <v>0.9</v>
      </c>
      <c r="K92" s="4">
        <v>0.5</v>
      </c>
      <c r="L92" s="4">
        <v>0.6</v>
      </c>
      <c r="M92" s="4">
        <v>0.46</v>
      </c>
      <c r="N92" s="4">
        <v>429.55294800000001</v>
      </c>
      <c r="O92" s="4">
        <v>0</v>
      </c>
      <c r="P92" s="5"/>
      <c r="Q92" s="5"/>
      <c r="R92" s="5"/>
      <c r="S92" s="5"/>
      <c r="U92" s="4" t="s">
        <v>42</v>
      </c>
      <c r="V92" s="4">
        <v>0.9</v>
      </c>
      <c r="W92" s="4">
        <v>0.5</v>
      </c>
      <c r="X92" s="4">
        <v>0.6</v>
      </c>
      <c r="Y92" s="4">
        <v>0.3</v>
      </c>
      <c r="Z92" s="6">
        <v>416.69476300000002</v>
      </c>
      <c r="AA92" s="4">
        <v>0</v>
      </c>
      <c r="AC92" s="4" t="s">
        <v>42</v>
      </c>
      <c r="AD92" s="4">
        <v>0.9</v>
      </c>
      <c r="AE92" s="4">
        <v>0.5</v>
      </c>
      <c r="AF92" s="4">
        <v>0.6</v>
      </c>
      <c r="AG92" s="4">
        <v>0.32</v>
      </c>
      <c r="AH92" s="6">
        <v>416.69476300000002</v>
      </c>
      <c r="AI92" s="4">
        <v>1E-3</v>
      </c>
      <c r="AJ92" s="5"/>
      <c r="AK92" s="5"/>
      <c r="AL92" s="5"/>
      <c r="AM92" s="5"/>
      <c r="AO92" s="4" t="s">
        <v>43</v>
      </c>
      <c r="AP92" s="4">
        <v>0.9</v>
      </c>
      <c r="AQ92" s="4">
        <v>0.5</v>
      </c>
      <c r="AR92" s="4">
        <v>0.6</v>
      </c>
      <c r="AS92" s="4">
        <v>0.3</v>
      </c>
      <c r="AT92" s="6">
        <v>814.71423300000004</v>
      </c>
      <c r="AU92" s="4">
        <v>4.0000000000000001E-3</v>
      </c>
      <c r="AW92" s="4" t="s">
        <v>43</v>
      </c>
      <c r="AX92" s="4">
        <v>0.9</v>
      </c>
      <c r="AY92" s="4">
        <v>0.5</v>
      </c>
      <c r="AZ92" s="4">
        <v>0.6</v>
      </c>
      <c r="BA92" s="4">
        <v>0.34</v>
      </c>
      <c r="BB92" s="4">
        <v>816.24249299999997</v>
      </c>
      <c r="BC92" s="4">
        <v>5.0000000000000001E-3</v>
      </c>
      <c r="BD92" s="5"/>
      <c r="BE92" s="5"/>
      <c r="BF92" s="5"/>
      <c r="BG92" s="5"/>
      <c r="BI92" s="4" t="s">
        <v>43</v>
      </c>
      <c r="BJ92" s="4">
        <v>0.9</v>
      </c>
      <c r="BK92" s="4">
        <v>0.5</v>
      </c>
      <c r="BL92" s="4">
        <v>0.6</v>
      </c>
      <c r="BM92" s="4">
        <v>0.3</v>
      </c>
      <c r="BN92" s="6">
        <v>804.38952600000005</v>
      </c>
      <c r="BO92" s="4">
        <v>4.0000000000000001E-3</v>
      </c>
      <c r="BQ92" s="4" t="s">
        <v>43</v>
      </c>
      <c r="BR92" s="4">
        <v>0.9</v>
      </c>
      <c r="BS92" s="4">
        <v>0.5</v>
      </c>
      <c r="BT92" s="4">
        <v>0.6</v>
      </c>
      <c r="BU92" s="4">
        <v>0.35</v>
      </c>
      <c r="BV92" s="4">
        <v>819.86828600000001</v>
      </c>
      <c r="BW92" s="4">
        <v>7.0000000000000001E-3</v>
      </c>
      <c r="BX92" s="5"/>
      <c r="BY92" s="5"/>
      <c r="BZ92" s="5"/>
      <c r="CA92" s="5"/>
    </row>
    <row r="93" spans="1:79" x14ac:dyDescent="0.3">
      <c r="A93" s="4" t="s">
        <v>44</v>
      </c>
      <c r="B93" s="4">
        <v>0.9</v>
      </c>
      <c r="C93" s="4">
        <v>0.5</v>
      </c>
      <c r="D93" s="4">
        <v>0.6</v>
      </c>
      <c r="E93" s="4">
        <v>0.3</v>
      </c>
      <c r="F93" s="6">
        <v>515.32714799999997</v>
      </c>
      <c r="G93" s="4">
        <v>0</v>
      </c>
      <c r="I93" s="4" t="s">
        <v>44</v>
      </c>
      <c r="J93" s="4">
        <v>0.9</v>
      </c>
      <c r="K93" s="4">
        <v>0.5</v>
      </c>
      <c r="L93" s="4">
        <v>0.6</v>
      </c>
      <c r="M93" s="4">
        <v>0.48</v>
      </c>
      <c r="N93" s="4">
        <v>525.51599099999999</v>
      </c>
      <c r="O93" s="4">
        <v>1E-3</v>
      </c>
      <c r="P93" s="5"/>
      <c r="Q93" s="5"/>
      <c r="R93" s="5"/>
      <c r="S93" s="5"/>
      <c r="U93" s="4" t="s">
        <v>44</v>
      </c>
      <c r="V93" s="4">
        <v>0.9</v>
      </c>
      <c r="W93" s="4">
        <v>0.5</v>
      </c>
      <c r="X93" s="4">
        <v>0.6</v>
      </c>
      <c r="Y93" s="4">
        <v>0.3</v>
      </c>
      <c r="Z93" s="6">
        <v>504.28717</v>
      </c>
      <c r="AA93" s="4">
        <v>1E-3</v>
      </c>
      <c r="AC93" s="4" t="s">
        <v>44</v>
      </c>
      <c r="AD93" s="4">
        <v>0.9</v>
      </c>
      <c r="AE93" s="4">
        <v>0.5</v>
      </c>
      <c r="AF93" s="4">
        <v>0.6</v>
      </c>
      <c r="AG93" s="4">
        <v>0.31</v>
      </c>
      <c r="AH93" s="4">
        <v>518.333618</v>
      </c>
      <c r="AI93" s="4">
        <v>0</v>
      </c>
      <c r="AJ93" s="5"/>
      <c r="AK93" s="5"/>
      <c r="AL93" s="5"/>
      <c r="AM93" s="5"/>
      <c r="AO93" s="4" t="s">
        <v>45</v>
      </c>
      <c r="AP93" s="4">
        <v>0.9</v>
      </c>
      <c r="AQ93" s="4">
        <v>0.5</v>
      </c>
      <c r="AR93" s="4">
        <v>0.6</v>
      </c>
      <c r="AS93" s="4">
        <v>0.3</v>
      </c>
      <c r="AT93" s="6">
        <v>829.79931599999998</v>
      </c>
      <c r="AU93" s="4">
        <v>4.0000000000000001E-3</v>
      </c>
      <c r="AW93" s="4" t="s">
        <v>45</v>
      </c>
      <c r="AX93" s="4">
        <v>0.9</v>
      </c>
      <c r="AY93" s="4">
        <v>0.5</v>
      </c>
      <c r="AZ93" s="4">
        <v>0.6</v>
      </c>
      <c r="BA93" s="4">
        <v>0.3</v>
      </c>
      <c r="BB93" s="4">
        <v>888.57098399999995</v>
      </c>
      <c r="BC93" s="4">
        <v>5.0000000000000001E-3</v>
      </c>
      <c r="BD93" s="5"/>
      <c r="BE93" s="5"/>
      <c r="BF93" s="5"/>
      <c r="BG93" s="5"/>
      <c r="BI93" s="4" t="s">
        <v>45</v>
      </c>
      <c r="BJ93" s="4">
        <v>0.9</v>
      </c>
      <c r="BK93" s="4">
        <v>0.5</v>
      </c>
      <c r="BL93" s="4">
        <v>0.6</v>
      </c>
      <c r="BM93" s="4">
        <v>0.3</v>
      </c>
      <c r="BN93" s="6">
        <v>843.46966599999996</v>
      </c>
      <c r="BO93" s="4">
        <v>4.0000000000000001E-3</v>
      </c>
      <c r="BQ93" s="4" t="s">
        <v>45</v>
      </c>
      <c r="BR93" s="4">
        <v>0.9</v>
      </c>
      <c r="BS93" s="4">
        <v>0.5</v>
      </c>
      <c r="BT93" s="4">
        <v>0.6</v>
      </c>
      <c r="BU93" s="4">
        <v>0.33</v>
      </c>
      <c r="BV93" s="4">
        <v>894.14819299999999</v>
      </c>
      <c r="BW93" s="4">
        <v>5.0000000000000001E-3</v>
      </c>
      <c r="BX93" s="5"/>
      <c r="BY93" s="5"/>
      <c r="BZ93" s="5"/>
      <c r="CA93" s="5"/>
    </row>
    <row r="94" spans="1:79" x14ac:dyDescent="0.3">
      <c r="A94" s="4" t="s">
        <v>46</v>
      </c>
      <c r="B94" s="4">
        <v>0.9</v>
      </c>
      <c r="C94" s="4">
        <v>0.5</v>
      </c>
      <c r="D94" s="4">
        <v>0.6</v>
      </c>
      <c r="E94" s="4">
        <v>0.3</v>
      </c>
      <c r="F94" s="8">
        <v>499.92867999999999</v>
      </c>
      <c r="G94" s="4">
        <v>0</v>
      </c>
      <c r="I94" s="4" t="s">
        <v>46</v>
      </c>
      <c r="J94" s="4">
        <v>0.9</v>
      </c>
      <c r="K94" s="4">
        <v>0.5</v>
      </c>
      <c r="L94" s="4">
        <v>0.6</v>
      </c>
      <c r="M94" s="4">
        <v>0.45</v>
      </c>
      <c r="N94" s="6">
        <v>499.078644</v>
      </c>
      <c r="O94" s="4">
        <v>1E-3</v>
      </c>
      <c r="P94" s="5"/>
      <c r="Q94" s="5"/>
      <c r="R94" s="5"/>
      <c r="S94" s="5"/>
      <c r="U94" s="4" t="s">
        <v>46</v>
      </c>
      <c r="V94" s="4">
        <v>0.9</v>
      </c>
      <c r="W94" s="4">
        <v>0.5</v>
      </c>
      <c r="X94" s="4">
        <v>0.6</v>
      </c>
      <c r="Y94" s="4">
        <v>0.3</v>
      </c>
      <c r="Z94" s="6">
        <v>492.45419299999998</v>
      </c>
      <c r="AA94" s="4">
        <v>1E-3</v>
      </c>
      <c r="AC94" s="4" t="s">
        <v>46</v>
      </c>
      <c r="AD94" s="4">
        <v>0.9</v>
      </c>
      <c r="AE94" s="4">
        <v>0.5</v>
      </c>
      <c r="AF94" s="4">
        <v>0.6</v>
      </c>
      <c r="AG94" s="4">
        <v>0.31</v>
      </c>
      <c r="AH94" s="6">
        <v>492.45419299999998</v>
      </c>
      <c r="AI94" s="4">
        <v>0</v>
      </c>
      <c r="AJ94" s="5"/>
      <c r="AK94" s="5"/>
      <c r="AL94" s="5"/>
      <c r="AM94" s="5"/>
      <c r="AO94" s="4" t="s">
        <v>47</v>
      </c>
      <c r="AP94" s="4">
        <v>0.9</v>
      </c>
      <c r="AQ94" s="4">
        <v>0.5</v>
      </c>
      <c r="AR94" s="4">
        <v>0.6</v>
      </c>
      <c r="AS94" s="4">
        <v>0.3</v>
      </c>
      <c r="AT94" s="6">
        <v>776.95434599999999</v>
      </c>
      <c r="AU94" s="4">
        <v>4.0000000000000001E-3</v>
      </c>
      <c r="AW94" s="4" t="s">
        <v>47</v>
      </c>
      <c r="AX94" s="4">
        <v>0.9</v>
      </c>
      <c r="AY94" s="4">
        <v>0.5</v>
      </c>
      <c r="AZ94" s="4">
        <v>0.6</v>
      </c>
      <c r="BA94" s="4">
        <v>0.31</v>
      </c>
      <c r="BB94" s="4">
        <v>798.12854000000004</v>
      </c>
      <c r="BC94" s="4">
        <v>4.0000000000000001E-3</v>
      </c>
      <c r="BD94" s="5"/>
      <c r="BE94" s="5"/>
      <c r="BF94" s="5"/>
      <c r="BG94" s="5"/>
      <c r="BI94" s="4" t="s">
        <v>47</v>
      </c>
      <c r="BJ94" s="4">
        <v>0.9</v>
      </c>
      <c r="BK94" s="4">
        <v>0.5</v>
      </c>
      <c r="BL94" s="4">
        <v>0.6</v>
      </c>
      <c r="BM94" s="4">
        <v>0.3</v>
      </c>
      <c r="BN94" s="6">
        <v>761.73498500000005</v>
      </c>
      <c r="BO94" s="4">
        <v>4.0000000000000001E-3</v>
      </c>
      <c r="BQ94" s="4" t="s">
        <v>47</v>
      </c>
      <c r="BR94" s="4">
        <v>0.9</v>
      </c>
      <c r="BS94" s="4">
        <v>0.5</v>
      </c>
      <c r="BT94" s="4">
        <v>0.6</v>
      </c>
      <c r="BU94" s="4">
        <v>0.3</v>
      </c>
      <c r="BV94" s="4">
        <v>788.20556599999998</v>
      </c>
      <c r="BW94" s="4">
        <v>5.0000000000000001E-3</v>
      </c>
      <c r="BX94" s="5"/>
      <c r="BY94" s="5"/>
      <c r="BZ94" s="5"/>
      <c r="CA94" s="5"/>
    </row>
    <row r="95" spans="1:79" x14ac:dyDescent="0.3">
      <c r="A95" s="4" t="s">
        <v>48</v>
      </c>
      <c r="B95" s="4">
        <v>0.9</v>
      </c>
      <c r="C95" s="4">
        <v>0.5</v>
      </c>
      <c r="D95" s="4">
        <v>0.6</v>
      </c>
      <c r="E95" s="4">
        <v>0.3</v>
      </c>
      <c r="F95" s="6">
        <v>465.539581</v>
      </c>
      <c r="G95" s="4">
        <v>0</v>
      </c>
      <c r="I95" s="4" t="s">
        <v>48</v>
      </c>
      <c r="J95" s="4">
        <v>0.9</v>
      </c>
      <c r="K95" s="4">
        <v>0.5</v>
      </c>
      <c r="L95" s="4">
        <v>0.6</v>
      </c>
      <c r="M95" s="4">
        <v>0.44</v>
      </c>
      <c r="N95" s="4">
        <v>468.23364299999997</v>
      </c>
      <c r="O95" s="4">
        <v>1E-3</v>
      </c>
      <c r="P95" s="5"/>
      <c r="Q95" s="5"/>
      <c r="R95" s="5"/>
      <c r="S95" s="5"/>
      <c r="U95" s="4" t="s">
        <v>48</v>
      </c>
      <c r="V95" s="4">
        <v>0.9</v>
      </c>
      <c r="W95" s="4">
        <v>0.5</v>
      </c>
      <c r="X95" s="4">
        <v>0.6</v>
      </c>
      <c r="Y95" s="4">
        <v>0.3</v>
      </c>
      <c r="Z95" s="6">
        <v>455.04409800000002</v>
      </c>
      <c r="AA95" s="4">
        <v>0</v>
      </c>
      <c r="AC95" s="4" t="s">
        <v>48</v>
      </c>
      <c r="AD95" s="4">
        <v>0.9</v>
      </c>
      <c r="AE95" s="4">
        <v>0.5</v>
      </c>
      <c r="AF95" s="4">
        <v>0.6</v>
      </c>
      <c r="AG95" s="4">
        <v>0.32</v>
      </c>
      <c r="AH95" s="6">
        <v>455.04409800000002</v>
      </c>
      <c r="AI95" s="4">
        <v>1E-3</v>
      </c>
      <c r="AJ95" s="5"/>
      <c r="AK95" s="5"/>
      <c r="AL95" s="5"/>
      <c r="AM95" s="5"/>
      <c r="AO95" s="4" t="s">
        <v>49</v>
      </c>
      <c r="AP95" s="4">
        <v>0.9</v>
      </c>
      <c r="AQ95" s="4">
        <v>0.5</v>
      </c>
      <c r="AR95" s="4">
        <v>0.6</v>
      </c>
      <c r="AS95" s="4">
        <v>0.3</v>
      </c>
      <c r="AT95" s="6">
        <v>816.69928000000004</v>
      </c>
      <c r="AU95" s="4">
        <v>4.0000000000000001E-3</v>
      </c>
      <c r="AW95" s="4" t="s">
        <v>49</v>
      </c>
      <c r="AX95" s="4">
        <v>0.9</v>
      </c>
      <c r="AY95" s="4">
        <v>0.5</v>
      </c>
      <c r="AZ95" s="4">
        <v>0.6</v>
      </c>
      <c r="BA95" s="4">
        <v>0.33</v>
      </c>
      <c r="BB95" s="4">
        <v>835.72778300000004</v>
      </c>
      <c r="BC95" s="4">
        <v>4.0000000000000001E-3</v>
      </c>
      <c r="BD95" s="5"/>
      <c r="BE95" s="5"/>
      <c r="BF95" s="5"/>
      <c r="BG95" s="5"/>
      <c r="BI95" s="4" t="s">
        <v>49</v>
      </c>
      <c r="BJ95" s="4">
        <v>0.9</v>
      </c>
      <c r="BK95" s="4">
        <v>0.5</v>
      </c>
      <c r="BL95" s="4">
        <v>0.6</v>
      </c>
      <c r="BM95" s="4">
        <v>0.3</v>
      </c>
      <c r="BN95" s="6">
        <v>778.38147000000004</v>
      </c>
      <c r="BO95" s="4">
        <v>3.0000000000000001E-3</v>
      </c>
      <c r="BQ95" s="4" t="s">
        <v>49</v>
      </c>
      <c r="BR95" s="4">
        <v>0.9</v>
      </c>
      <c r="BS95" s="4">
        <v>0.5</v>
      </c>
      <c r="BT95" s="4">
        <v>0.6</v>
      </c>
      <c r="BU95" s="4">
        <v>0.34</v>
      </c>
      <c r="BV95" s="4">
        <v>829.05419900000004</v>
      </c>
      <c r="BW95" s="4">
        <v>5.0000000000000001E-3</v>
      </c>
      <c r="BX95" s="5"/>
      <c r="BY95" s="5"/>
      <c r="BZ95" s="5"/>
      <c r="CA95" s="5"/>
    </row>
    <row r="96" spans="1:79" x14ac:dyDescent="0.3">
      <c r="A96" s="4" t="s">
        <v>50</v>
      </c>
      <c r="B96" s="4">
        <v>0.9</v>
      </c>
      <c r="C96" s="4">
        <v>0.5</v>
      </c>
      <c r="D96" s="4">
        <v>0.6</v>
      </c>
      <c r="E96" s="4">
        <v>0.3</v>
      </c>
      <c r="F96" s="4">
        <v>458.87048299999998</v>
      </c>
      <c r="G96" s="4">
        <v>1E-3</v>
      </c>
      <c r="I96" s="4" t="s">
        <v>50</v>
      </c>
      <c r="J96" s="4">
        <v>0.9</v>
      </c>
      <c r="K96" s="4">
        <v>0.5</v>
      </c>
      <c r="L96" s="4">
        <v>0.6</v>
      </c>
      <c r="M96" s="4">
        <v>0.48</v>
      </c>
      <c r="N96" s="6">
        <v>453.93545499999999</v>
      </c>
      <c r="O96" s="4">
        <v>1E-3</v>
      </c>
      <c r="P96" s="5"/>
      <c r="Q96" s="5"/>
      <c r="R96" s="5"/>
      <c r="S96" s="5"/>
      <c r="U96" s="4" t="s">
        <v>50</v>
      </c>
      <c r="V96" s="4">
        <v>0.9</v>
      </c>
      <c r="W96" s="4">
        <v>0.5</v>
      </c>
      <c r="X96" s="4">
        <v>0.6</v>
      </c>
      <c r="Y96" s="4">
        <v>0.3</v>
      </c>
      <c r="Z96" s="6">
        <v>443.59765599999997</v>
      </c>
      <c r="AA96" s="4">
        <v>0</v>
      </c>
      <c r="AC96" s="4" t="s">
        <v>50</v>
      </c>
      <c r="AD96" s="4">
        <v>0.9</v>
      </c>
      <c r="AE96" s="4">
        <v>0.5</v>
      </c>
      <c r="AF96" s="4">
        <v>0.6</v>
      </c>
      <c r="AG96" s="4">
        <v>0.43</v>
      </c>
      <c r="AH96" s="4">
        <v>453.06878699999999</v>
      </c>
      <c r="AI96" s="4">
        <v>0</v>
      </c>
      <c r="AJ96" s="5"/>
      <c r="AK96" s="5"/>
      <c r="AL96" s="5"/>
      <c r="AM96" s="5"/>
      <c r="AO96" s="4" t="s">
        <v>51</v>
      </c>
      <c r="AP96" s="4">
        <v>0.9</v>
      </c>
      <c r="AQ96" s="4">
        <v>0.5</v>
      </c>
      <c r="AR96" s="4">
        <v>0.6</v>
      </c>
      <c r="AS96" s="4">
        <v>0.3</v>
      </c>
      <c r="AT96" s="6">
        <v>984.64343299999996</v>
      </c>
      <c r="AU96" s="4">
        <v>4.0000000000000001E-3</v>
      </c>
      <c r="AW96" s="4" t="s">
        <v>51</v>
      </c>
      <c r="AX96" s="4">
        <v>0.9</v>
      </c>
      <c r="AY96" s="4">
        <v>0.5</v>
      </c>
      <c r="AZ96" s="4">
        <v>0.6</v>
      </c>
      <c r="BA96" s="4">
        <v>0.3</v>
      </c>
      <c r="BB96" s="4">
        <v>1022.283203</v>
      </c>
      <c r="BC96" s="4">
        <v>5.0000000000000001E-3</v>
      </c>
      <c r="BD96" s="5"/>
      <c r="BE96" s="5"/>
      <c r="BF96" s="5"/>
      <c r="BG96" s="5"/>
      <c r="BI96" s="4" t="s">
        <v>51</v>
      </c>
      <c r="BJ96" s="4">
        <v>0.9</v>
      </c>
      <c r="BK96" s="4">
        <v>0.5</v>
      </c>
      <c r="BL96" s="4">
        <v>0.6</v>
      </c>
      <c r="BM96" s="4">
        <v>0.3</v>
      </c>
      <c r="BN96" s="6">
        <v>989.09832800000004</v>
      </c>
      <c r="BO96" s="4">
        <v>5.0000000000000001E-3</v>
      </c>
      <c r="BQ96" s="4" t="s">
        <v>51</v>
      </c>
      <c r="BR96" s="4">
        <v>0.9</v>
      </c>
      <c r="BS96" s="4">
        <v>0.5</v>
      </c>
      <c r="BT96" s="4">
        <v>0.6</v>
      </c>
      <c r="BU96" s="4">
        <v>0.3</v>
      </c>
      <c r="BV96" s="4">
        <v>1017.177734</v>
      </c>
      <c r="BW96" s="4">
        <v>5.0000000000000001E-3</v>
      </c>
      <c r="BX96" s="5"/>
      <c r="BY96" s="5"/>
      <c r="BZ96" s="5"/>
      <c r="CA96" s="5"/>
    </row>
    <row r="97" spans="1:79" x14ac:dyDescent="0.3">
      <c r="A97" s="4" t="s">
        <v>52</v>
      </c>
      <c r="B97" s="4">
        <v>0.9</v>
      </c>
      <c r="C97" s="4">
        <v>0.5</v>
      </c>
      <c r="D97" s="4">
        <v>0.6</v>
      </c>
      <c r="E97" s="4">
        <v>0.3</v>
      </c>
      <c r="F97" s="6">
        <v>468.975189</v>
      </c>
      <c r="G97" s="4">
        <v>0</v>
      </c>
      <c r="I97" s="4" t="s">
        <v>52</v>
      </c>
      <c r="J97" s="4">
        <v>0.9</v>
      </c>
      <c r="K97" s="4">
        <v>0.5</v>
      </c>
      <c r="L97" s="4">
        <v>0.6</v>
      </c>
      <c r="M97" s="4">
        <v>0.3</v>
      </c>
      <c r="N97" s="6">
        <v>468.975189</v>
      </c>
      <c r="O97" s="4">
        <v>1E-3</v>
      </c>
      <c r="P97" s="5"/>
      <c r="Q97" s="5"/>
      <c r="R97" s="5"/>
      <c r="S97" s="5"/>
      <c r="U97" s="4" t="s">
        <v>52</v>
      </c>
      <c r="V97" s="4">
        <v>0.9</v>
      </c>
      <c r="W97" s="4">
        <v>0.5</v>
      </c>
      <c r="X97" s="4">
        <v>0.6</v>
      </c>
      <c r="Y97" s="4">
        <v>0.3</v>
      </c>
      <c r="Z97" s="6">
        <v>469.24471999999997</v>
      </c>
      <c r="AA97" s="4">
        <v>1E-3</v>
      </c>
      <c r="AC97" s="4" t="s">
        <v>52</v>
      </c>
      <c r="AD97" s="4">
        <v>0.9</v>
      </c>
      <c r="AE97" s="4">
        <v>0.5</v>
      </c>
      <c r="AF97" s="4">
        <v>0.6</v>
      </c>
      <c r="AG97" s="4">
        <v>0.3</v>
      </c>
      <c r="AH97" s="6">
        <v>469.24471999999997</v>
      </c>
      <c r="AI97" s="4">
        <v>0</v>
      </c>
      <c r="AJ97" s="5"/>
      <c r="AK97" s="5"/>
      <c r="AL97" s="5"/>
      <c r="AM97" s="5"/>
      <c r="AO97" s="4" t="s">
        <v>53</v>
      </c>
      <c r="AP97" s="4">
        <v>0.9</v>
      </c>
      <c r="AQ97" s="4">
        <v>0.5</v>
      </c>
      <c r="AR97" s="4">
        <v>0.6</v>
      </c>
      <c r="AS97" s="4">
        <v>0.3</v>
      </c>
      <c r="AT97" s="6">
        <v>949.12280299999998</v>
      </c>
      <c r="AU97" s="4">
        <v>5.0000000000000001E-3</v>
      </c>
      <c r="AW97" s="4" t="s">
        <v>53</v>
      </c>
      <c r="AX97" s="4">
        <v>0.9</v>
      </c>
      <c r="AY97" s="4">
        <v>0.5</v>
      </c>
      <c r="AZ97" s="4">
        <v>0.6</v>
      </c>
      <c r="BA97" s="4">
        <v>0.31</v>
      </c>
      <c r="BB97" s="4">
        <v>970.07037400000002</v>
      </c>
      <c r="BC97" s="4">
        <v>5.0000000000000001E-3</v>
      </c>
      <c r="BD97" s="5"/>
      <c r="BE97" s="5"/>
      <c r="BF97" s="5"/>
      <c r="BG97" s="5"/>
      <c r="BI97" s="4" t="s">
        <v>53</v>
      </c>
      <c r="BJ97" s="4">
        <v>0.9</v>
      </c>
      <c r="BK97" s="4">
        <v>0.5</v>
      </c>
      <c r="BL97" s="4">
        <v>0.6</v>
      </c>
      <c r="BM97" s="4">
        <v>0.3</v>
      </c>
      <c r="BN97" s="6">
        <v>951.06915300000003</v>
      </c>
      <c r="BO97" s="4">
        <v>4.0000000000000001E-3</v>
      </c>
      <c r="BQ97" s="4" t="s">
        <v>53</v>
      </c>
      <c r="BR97" s="4">
        <v>0.9</v>
      </c>
      <c r="BS97" s="4">
        <v>0.5</v>
      </c>
      <c r="BT97" s="4">
        <v>0.6</v>
      </c>
      <c r="BU97" s="4">
        <v>0.3</v>
      </c>
      <c r="BV97" s="4">
        <v>968.25335700000005</v>
      </c>
      <c r="BW97" s="4">
        <v>7.0000000000000001E-3</v>
      </c>
      <c r="BX97" s="5"/>
      <c r="BY97" s="5"/>
      <c r="BZ97" s="5"/>
      <c r="CA97" s="5"/>
    </row>
    <row r="98" spans="1:79" x14ac:dyDescent="0.3">
      <c r="A98" s="4" t="s">
        <v>54</v>
      </c>
      <c r="B98" s="4">
        <v>0.9</v>
      </c>
      <c r="C98" s="4">
        <v>0.5</v>
      </c>
      <c r="D98" s="4">
        <v>0.6</v>
      </c>
      <c r="E98" s="4">
        <v>0.3</v>
      </c>
      <c r="F98" s="4">
        <v>558.04943800000001</v>
      </c>
      <c r="G98" s="4">
        <v>1E-3</v>
      </c>
      <c r="I98" s="4" t="s">
        <v>54</v>
      </c>
      <c r="J98" s="4">
        <v>0.9</v>
      </c>
      <c r="K98" s="4">
        <v>0.5</v>
      </c>
      <c r="L98" s="4">
        <v>0.6</v>
      </c>
      <c r="M98" s="4">
        <v>0.5</v>
      </c>
      <c r="N98" s="6">
        <v>551.785706</v>
      </c>
      <c r="O98" s="4">
        <v>1E-3</v>
      </c>
      <c r="P98" s="5"/>
      <c r="Q98" s="5"/>
      <c r="R98" s="5"/>
      <c r="S98" s="5"/>
      <c r="U98" s="4" t="s">
        <v>54</v>
      </c>
      <c r="V98" s="4">
        <v>0.9</v>
      </c>
      <c r="W98" s="4">
        <v>0.5</v>
      </c>
      <c r="X98" s="4">
        <v>0.6</v>
      </c>
      <c r="Y98" s="4">
        <v>0.3</v>
      </c>
      <c r="Z98" s="4">
        <v>561.625854</v>
      </c>
      <c r="AA98" s="4">
        <v>0</v>
      </c>
      <c r="AC98" s="4" t="s">
        <v>54</v>
      </c>
      <c r="AD98" s="4">
        <v>0.9</v>
      </c>
      <c r="AE98" s="4">
        <v>0.5</v>
      </c>
      <c r="AF98" s="4">
        <v>0.6</v>
      </c>
      <c r="AG98" s="4">
        <v>0.41</v>
      </c>
      <c r="AH98" s="6">
        <v>549.54534899999999</v>
      </c>
      <c r="AI98" s="4">
        <v>1E-3</v>
      </c>
      <c r="AJ98" s="5"/>
      <c r="AK98" s="5"/>
      <c r="AL98" s="5"/>
      <c r="AM98" s="5"/>
      <c r="AO98" s="4" t="s">
        <v>55</v>
      </c>
      <c r="AP98" s="4">
        <v>0.9</v>
      </c>
      <c r="AQ98" s="4">
        <v>0.5</v>
      </c>
      <c r="AR98" s="4">
        <v>0.6</v>
      </c>
      <c r="AS98" s="4">
        <v>0.3</v>
      </c>
      <c r="AT98" s="6">
        <v>957.86041299999999</v>
      </c>
      <c r="AU98" s="4">
        <v>4.0000000000000001E-3</v>
      </c>
      <c r="AW98" s="4" t="s">
        <v>55</v>
      </c>
      <c r="AX98" s="4">
        <v>0.9</v>
      </c>
      <c r="AY98" s="4">
        <v>0.5</v>
      </c>
      <c r="AZ98" s="4">
        <v>0.6</v>
      </c>
      <c r="BA98" s="4">
        <v>0.31</v>
      </c>
      <c r="BB98" s="4">
        <v>989.58746299999996</v>
      </c>
      <c r="BC98" s="4">
        <v>4.0000000000000001E-3</v>
      </c>
      <c r="BD98" s="5"/>
      <c r="BE98" s="5"/>
      <c r="BF98" s="5"/>
      <c r="BG98" s="5"/>
      <c r="BI98" s="4" t="s">
        <v>55</v>
      </c>
      <c r="BJ98" s="4">
        <v>0.9</v>
      </c>
      <c r="BK98" s="4">
        <v>0.5</v>
      </c>
      <c r="BL98" s="4">
        <v>0.6</v>
      </c>
      <c r="BM98" s="4">
        <v>0.3</v>
      </c>
      <c r="BN98" s="6">
        <v>929.21258499999999</v>
      </c>
      <c r="BO98" s="4">
        <v>4.0000000000000001E-3</v>
      </c>
      <c r="BQ98" s="4" t="s">
        <v>55</v>
      </c>
      <c r="BR98" s="4">
        <v>0.9</v>
      </c>
      <c r="BS98" s="4">
        <v>0.5</v>
      </c>
      <c r="BT98" s="4">
        <v>0.6</v>
      </c>
      <c r="BU98" s="4">
        <v>0.31</v>
      </c>
      <c r="BV98" s="4">
        <v>980.73126200000002</v>
      </c>
      <c r="BW98" s="4">
        <v>6.0000000000000001E-3</v>
      </c>
      <c r="BX98" s="5"/>
      <c r="BY98" s="5"/>
      <c r="BZ98" s="5"/>
      <c r="CA98" s="5"/>
    </row>
    <row r="99" spans="1:79" x14ac:dyDescent="0.3">
      <c r="A99" s="4" t="s">
        <v>56</v>
      </c>
      <c r="B99" s="4">
        <v>0.9</v>
      </c>
      <c r="C99" s="4">
        <v>0.5</v>
      </c>
      <c r="D99" s="4">
        <v>0.6</v>
      </c>
      <c r="E99" s="4">
        <v>0.3</v>
      </c>
      <c r="F99" s="4">
        <v>464.18408199999999</v>
      </c>
      <c r="G99" s="4">
        <v>1E-3</v>
      </c>
      <c r="I99" s="4" t="s">
        <v>56</v>
      </c>
      <c r="J99" s="4">
        <v>0.9</v>
      </c>
      <c r="K99" s="4">
        <v>0.5</v>
      </c>
      <c r="L99" s="4">
        <v>0.6</v>
      </c>
      <c r="M99" s="4">
        <v>0.44</v>
      </c>
      <c r="N99" s="6">
        <v>463.83065800000003</v>
      </c>
      <c r="O99" s="4">
        <v>0</v>
      </c>
      <c r="P99" s="5"/>
      <c r="Q99" s="5"/>
      <c r="R99" s="5"/>
      <c r="S99" s="5"/>
      <c r="U99" s="4" t="s">
        <v>56</v>
      </c>
      <c r="V99" s="4">
        <v>0.9</v>
      </c>
      <c r="W99" s="4">
        <v>0.5</v>
      </c>
      <c r="X99" s="4">
        <v>0.6</v>
      </c>
      <c r="Y99" s="4">
        <v>0.3</v>
      </c>
      <c r="Z99" s="6">
        <v>463.59741200000002</v>
      </c>
      <c r="AA99" s="4">
        <v>1E-3</v>
      </c>
      <c r="AC99" s="4" t="s">
        <v>56</v>
      </c>
      <c r="AD99" s="4">
        <v>0.9</v>
      </c>
      <c r="AE99" s="4">
        <v>0.5</v>
      </c>
      <c r="AF99" s="4">
        <v>0.6</v>
      </c>
      <c r="AG99" s="4">
        <v>0.34</v>
      </c>
      <c r="AH99" s="6">
        <v>463.59741200000002</v>
      </c>
      <c r="AI99" s="4">
        <v>1E-3</v>
      </c>
      <c r="AJ99" s="5"/>
      <c r="AK99" s="5"/>
      <c r="AL99" s="5"/>
      <c r="AM99" s="5"/>
      <c r="AO99" s="4" t="s">
        <v>57</v>
      </c>
      <c r="AP99" s="4">
        <v>0.9</v>
      </c>
      <c r="AQ99" s="4">
        <v>0.5</v>
      </c>
      <c r="AR99" s="4">
        <v>0.6</v>
      </c>
      <c r="AS99" s="4">
        <v>0.3</v>
      </c>
      <c r="AT99" s="6">
        <v>931.31292699999995</v>
      </c>
      <c r="AU99" s="4">
        <v>4.0000000000000001E-3</v>
      </c>
      <c r="AW99" s="4" t="s">
        <v>57</v>
      </c>
      <c r="AX99" s="4">
        <v>0.9</v>
      </c>
      <c r="AY99" s="4">
        <v>0.5</v>
      </c>
      <c r="AZ99" s="4">
        <v>0.6</v>
      </c>
      <c r="BA99" s="4">
        <v>0.3</v>
      </c>
      <c r="BB99" s="4">
        <v>965.99139400000001</v>
      </c>
      <c r="BC99" s="4">
        <v>5.0000000000000001E-3</v>
      </c>
      <c r="BD99" s="5"/>
      <c r="BE99" s="5"/>
      <c r="BF99" s="5"/>
      <c r="BG99" s="5"/>
      <c r="BI99" s="4" t="s">
        <v>57</v>
      </c>
      <c r="BJ99" s="4">
        <v>0.9</v>
      </c>
      <c r="BK99" s="4">
        <v>0.5</v>
      </c>
      <c r="BL99" s="4">
        <v>0.6</v>
      </c>
      <c r="BM99" s="4">
        <v>0.3</v>
      </c>
      <c r="BN99" s="6">
        <v>918.58239700000001</v>
      </c>
      <c r="BO99" s="4">
        <v>4.0000000000000001E-3</v>
      </c>
      <c r="BQ99" s="4" t="s">
        <v>57</v>
      </c>
      <c r="BR99" s="4">
        <v>0.9</v>
      </c>
      <c r="BS99" s="4">
        <v>0.5</v>
      </c>
      <c r="BT99" s="4">
        <v>0.6</v>
      </c>
      <c r="BU99" s="4">
        <v>0.31</v>
      </c>
      <c r="BV99" s="4">
        <v>947.33105499999999</v>
      </c>
      <c r="BW99" s="4">
        <v>8.9999999999999993E-3</v>
      </c>
      <c r="BX99" s="5"/>
      <c r="BY99" s="5"/>
      <c r="BZ99" s="5"/>
      <c r="CA99" s="5"/>
    </row>
    <row r="100" spans="1:79" x14ac:dyDescent="0.3">
      <c r="A100" s="4" t="s">
        <v>58</v>
      </c>
      <c r="B100" s="4">
        <v>0.9</v>
      </c>
      <c r="C100" s="4">
        <v>0.5</v>
      </c>
      <c r="D100" s="4">
        <v>0.6</v>
      </c>
      <c r="E100" s="4">
        <v>0.3</v>
      </c>
      <c r="F100" s="6">
        <v>476.776276</v>
      </c>
      <c r="G100" s="4">
        <v>1E-3</v>
      </c>
      <c r="I100" s="4" t="s">
        <v>58</v>
      </c>
      <c r="J100" s="4">
        <v>0.9</v>
      </c>
      <c r="K100" s="4">
        <v>0.5</v>
      </c>
      <c r="L100" s="4">
        <v>0.6</v>
      </c>
      <c r="M100" s="4">
        <v>0.3</v>
      </c>
      <c r="N100" s="4">
        <v>479.978973</v>
      </c>
      <c r="O100" s="4">
        <v>1E-3</v>
      </c>
      <c r="P100" s="5"/>
      <c r="Q100" s="5"/>
      <c r="R100" s="5"/>
      <c r="S100" s="5"/>
      <c r="U100" s="4" t="s">
        <v>58</v>
      </c>
      <c r="V100" s="4">
        <v>0.9</v>
      </c>
      <c r="W100" s="4">
        <v>0.5</v>
      </c>
      <c r="X100" s="4">
        <v>0.6</v>
      </c>
      <c r="Y100" s="4">
        <v>0.3</v>
      </c>
      <c r="Z100" s="8">
        <v>473.84387199999998</v>
      </c>
      <c r="AA100" s="4">
        <v>1E-3</v>
      </c>
      <c r="AC100" s="4" t="s">
        <v>58</v>
      </c>
      <c r="AD100" s="4">
        <v>0.9</v>
      </c>
      <c r="AE100" s="4">
        <v>0.5</v>
      </c>
      <c r="AF100" s="4">
        <v>0.6</v>
      </c>
      <c r="AG100" s="4">
        <v>0.31</v>
      </c>
      <c r="AH100" s="6">
        <v>473.08017000000001</v>
      </c>
      <c r="AI100" s="4">
        <v>0</v>
      </c>
      <c r="AJ100" s="5"/>
      <c r="AK100" s="5"/>
      <c r="AL100" s="5"/>
      <c r="AM100" s="5"/>
      <c r="AO100" s="4" t="s">
        <v>59</v>
      </c>
      <c r="AP100" s="4">
        <v>0.9</v>
      </c>
      <c r="AQ100" s="4">
        <v>0.5</v>
      </c>
      <c r="AR100" s="4">
        <v>0.6</v>
      </c>
      <c r="AS100" s="4">
        <v>0.3</v>
      </c>
      <c r="AT100" s="6">
        <v>864.55249000000003</v>
      </c>
      <c r="AU100" s="4">
        <v>4.0000000000000001E-3</v>
      </c>
      <c r="AW100" s="4" t="s">
        <v>59</v>
      </c>
      <c r="AX100" s="4">
        <v>0.9</v>
      </c>
      <c r="AY100" s="4">
        <v>0.5</v>
      </c>
      <c r="AZ100" s="4">
        <v>0.6</v>
      </c>
      <c r="BA100" s="4">
        <v>0.3</v>
      </c>
      <c r="BB100" s="4">
        <v>876.41345200000001</v>
      </c>
      <c r="BC100" s="4">
        <v>4.0000000000000001E-3</v>
      </c>
      <c r="BD100" s="5"/>
      <c r="BE100" s="5"/>
      <c r="BF100" s="5"/>
      <c r="BG100" s="5"/>
      <c r="BI100" s="4" t="s">
        <v>59</v>
      </c>
      <c r="BJ100" s="4">
        <v>0.9</v>
      </c>
      <c r="BK100" s="4">
        <v>0.5</v>
      </c>
      <c r="BL100" s="4">
        <v>0.6</v>
      </c>
      <c r="BM100" s="4">
        <v>0.3</v>
      </c>
      <c r="BN100" s="6">
        <v>848.355591</v>
      </c>
      <c r="BO100" s="4">
        <v>4.0000000000000001E-3</v>
      </c>
      <c r="BQ100" s="4" t="s">
        <v>59</v>
      </c>
      <c r="BR100" s="4">
        <v>0.9</v>
      </c>
      <c r="BS100" s="4">
        <v>0.5</v>
      </c>
      <c r="BT100" s="4">
        <v>0.6</v>
      </c>
      <c r="BU100" s="4">
        <v>0.32</v>
      </c>
      <c r="BV100" s="4">
        <v>876.904358</v>
      </c>
      <c r="BW100" s="4">
        <v>5.0000000000000001E-3</v>
      </c>
      <c r="BX100" s="5"/>
      <c r="BY100" s="5"/>
      <c r="BZ100" s="5"/>
      <c r="CA100" s="5"/>
    </row>
    <row r="101" spans="1:79" x14ac:dyDescent="0.3">
      <c r="A101" s="4" t="s">
        <v>60</v>
      </c>
      <c r="B101" s="4">
        <v>0.9</v>
      </c>
      <c r="C101" s="4">
        <v>0.5</v>
      </c>
      <c r="D101" s="4">
        <v>0.6</v>
      </c>
      <c r="E101" s="4">
        <v>0.3</v>
      </c>
      <c r="F101" s="6">
        <v>584.81042500000001</v>
      </c>
      <c r="G101" s="4">
        <v>1E-3</v>
      </c>
      <c r="I101" s="4" t="s">
        <v>60</v>
      </c>
      <c r="J101" s="4">
        <v>0.9</v>
      </c>
      <c r="K101" s="4">
        <v>0.5</v>
      </c>
      <c r="L101" s="4">
        <v>0.6</v>
      </c>
      <c r="M101" s="4">
        <v>0.38</v>
      </c>
      <c r="N101" s="4">
        <v>595.24987799999997</v>
      </c>
      <c r="O101" s="4">
        <v>1E-3</v>
      </c>
      <c r="P101" s="5"/>
      <c r="Q101" s="5"/>
      <c r="R101" s="5"/>
      <c r="S101" s="5"/>
      <c r="U101" s="4" t="s">
        <v>60</v>
      </c>
      <c r="V101" s="4">
        <v>0.9</v>
      </c>
      <c r="W101" s="4">
        <v>0.5</v>
      </c>
      <c r="X101" s="4">
        <v>0.6</v>
      </c>
      <c r="Y101" s="4">
        <v>0.3</v>
      </c>
      <c r="Z101" s="6">
        <v>585.15905799999996</v>
      </c>
      <c r="AA101" s="4">
        <v>1E-3</v>
      </c>
      <c r="AC101" s="4" t="s">
        <v>60</v>
      </c>
      <c r="AD101" s="4">
        <v>0.9</v>
      </c>
      <c r="AE101" s="4">
        <v>0.5</v>
      </c>
      <c r="AF101" s="4">
        <v>0.6</v>
      </c>
      <c r="AG101" s="4">
        <v>0.3</v>
      </c>
      <c r="AH101" s="4">
        <v>587.75176999999996</v>
      </c>
      <c r="AI101" s="4">
        <v>1E-3</v>
      </c>
      <c r="AJ101" s="5"/>
      <c r="AK101" s="5"/>
      <c r="AL101" s="5"/>
      <c r="AM101" s="5"/>
      <c r="AO101" s="4" t="s">
        <v>61</v>
      </c>
      <c r="AP101" s="4">
        <v>0.9</v>
      </c>
      <c r="AQ101" s="4">
        <v>0.5</v>
      </c>
      <c r="AR101" s="4">
        <v>0.6</v>
      </c>
      <c r="AS101" s="4">
        <v>0.3</v>
      </c>
      <c r="AT101" s="6">
        <v>991.61114499999996</v>
      </c>
      <c r="AU101" s="4">
        <v>4.0000000000000001E-3</v>
      </c>
      <c r="AW101" s="4" t="s">
        <v>61</v>
      </c>
      <c r="AX101" s="4">
        <v>0.9</v>
      </c>
      <c r="AY101" s="4">
        <v>0.5</v>
      </c>
      <c r="AZ101" s="4">
        <v>0.6</v>
      </c>
      <c r="BA101" s="4">
        <v>0.31</v>
      </c>
      <c r="BB101" s="4">
        <v>1023.433777</v>
      </c>
      <c r="BC101" s="4">
        <v>4.0000000000000001E-3</v>
      </c>
      <c r="BD101" s="5"/>
      <c r="BE101" s="5"/>
      <c r="BF101" s="5"/>
      <c r="BG101" s="5"/>
      <c r="BI101" s="4" t="s">
        <v>61</v>
      </c>
      <c r="BJ101" s="4">
        <v>0.9</v>
      </c>
      <c r="BK101" s="4">
        <v>0.5</v>
      </c>
      <c r="BL101" s="4">
        <v>0.6</v>
      </c>
      <c r="BM101" s="4">
        <v>0.3</v>
      </c>
      <c r="BN101" s="6">
        <v>993.267517</v>
      </c>
      <c r="BO101" s="4">
        <v>5.0000000000000001E-3</v>
      </c>
      <c r="BQ101" s="4" t="s">
        <v>61</v>
      </c>
      <c r="BR101" s="4">
        <v>0.9</v>
      </c>
      <c r="BS101" s="4">
        <v>0.5</v>
      </c>
      <c r="BT101" s="4">
        <v>0.6</v>
      </c>
      <c r="BU101" s="4">
        <v>0.3</v>
      </c>
      <c r="BV101" s="4">
        <v>1019.385681</v>
      </c>
      <c r="BW101" s="4">
        <v>6.0000000000000001E-3</v>
      </c>
      <c r="BX101" s="5"/>
      <c r="BY101" s="5"/>
      <c r="BZ101" s="5"/>
      <c r="CA101" s="5"/>
    </row>
    <row r="102" spans="1:79" x14ac:dyDescent="0.3">
      <c r="A102" s="4" t="s">
        <v>62</v>
      </c>
      <c r="B102" s="4">
        <v>0.9</v>
      </c>
      <c r="C102" s="4">
        <v>0.5</v>
      </c>
      <c r="D102" s="4">
        <v>0.6</v>
      </c>
      <c r="E102" s="4">
        <v>0.3</v>
      </c>
      <c r="F102" s="6">
        <v>399.97909499999997</v>
      </c>
      <c r="G102" s="4">
        <v>0</v>
      </c>
      <c r="I102" s="4" t="s">
        <v>62</v>
      </c>
      <c r="J102" s="4">
        <v>0.9</v>
      </c>
      <c r="K102" s="4">
        <v>0.5</v>
      </c>
      <c r="L102" s="4">
        <v>0.6</v>
      </c>
      <c r="M102" s="4">
        <v>0.34</v>
      </c>
      <c r="N102" s="6">
        <v>399.97909499999997</v>
      </c>
      <c r="O102" s="4">
        <v>0</v>
      </c>
      <c r="P102" s="5"/>
      <c r="Q102" s="5"/>
      <c r="R102" s="5"/>
      <c r="S102" s="5"/>
      <c r="U102" s="4" t="s">
        <v>62</v>
      </c>
      <c r="V102" s="4">
        <v>0.9</v>
      </c>
      <c r="W102" s="4">
        <v>0.5</v>
      </c>
      <c r="X102" s="4">
        <v>0.6</v>
      </c>
      <c r="Y102" s="4">
        <v>0.3</v>
      </c>
      <c r="Z102" s="6">
        <v>396.15759300000002</v>
      </c>
      <c r="AA102" s="4">
        <v>0</v>
      </c>
      <c r="AC102" s="4" t="s">
        <v>62</v>
      </c>
      <c r="AD102" s="4">
        <v>0.9</v>
      </c>
      <c r="AE102" s="4">
        <v>0.5</v>
      </c>
      <c r="AF102" s="4">
        <v>0.6</v>
      </c>
      <c r="AG102" s="4">
        <v>0.32</v>
      </c>
      <c r="AH102" s="6">
        <v>396.15759300000002</v>
      </c>
      <c r="AI102" s="4">
        <v>1E-3</v>
      </c>
      <c r="AJ102" s="5"/>
      <c r="AK102" s="5"/>
      <c r="AL102" s="5"/>
      <c r="AM102" s="5"/>
      <c r="AO102" s="4" t="s">
        <v>63</v>
      </c>
      <c r="AP102" s="4">
        <v>0.9</v>
      </c>
      <c r="AQ102" s="4">
        <v>0.5</v>
      </c>
      <c r="AR102" s="4">
        <v>0.6</v>
      </c>
      <c r="AS102" s="4">
        <v>0.3</v>
      </c>
      <c r="AT102" s="6">
        <v>965.622253</v>
      </c>
      <c r="AU102" s="4">
        <v>5.0000000000000001E-3</v>
      </c>
      <c r="AW102" s="4" t="s">
        <v>63</v>
      </c>
      <c r="AX102" s="4">
        <v>0.9</v>
      </c>
      <c r="AY102" s="4">
        <v>0.5</v>
      </c>
      <c r="AZ102" s="4">
        <v>0.6</v>
      </c>
      <c r="BA102" s="4">
        <v>0.37</v>
      </c>
      <c r="BB102" s="4">
        <v>992.51391599999999</v>
      </c>
      <c r="BC102" s="4">
        <v>4.0000000000000001E-3</v>
      </c>
      <c r="BD102" s="5"/>
      <c r="BE102" s="5"/>
      <c r="BF102" s="5"/>
      <c r="BG102" s="5"/>
      <c r="BI102" s="4" t="s">
        <v>63</v>
      </c>
      <c r="BJ102" s="4">
        <v>0.9</v>
      </c>
      <c r="BK102" s="4">
        <v>0.5</v>
      </c>
      <c r="BL102" s="4">
        <v>0.6</v>
      </c>
      <c r="BM102" s="4">
        <v>0.3</v>
      </c>
      <c r="BN102" s="6">
        <v>967.06951900000001</v>
      </c>
      <c r="BO102" s="4">
        <v>6.0000000000000001E-3</v>
      </c>
      <c r="BQ102" s="4" t="s">
        <v>63</v>
      </c>
      <c r="BR102" s="4">
        <v>0.9</v>
      </c>
      <c r="BS102" s="4">
        <v>0.5</v>
      </c>
      <c r="BT102" s="4">
        <v>0.6</v>
      </c>
      <c r="BU102" s="4">
        <v>0.31</v>
      </c>
      <c r="BV102" s="4">
        <v>978.00402799999995</v>
      </c>
      <c r="BW102" s="4">
        <v>6.0000000000000001E-3</v>
      </c>
      <c r="BX102" s="5"/>
      <c r="BY102" s="5"/>
      <c r="BZ102" s="5"/>
      <c r="CA102" s="5"/>
    </row>
    <row r="103" spans="1:79" x14ac:dyDescent="0.3">
      <c r="A103" s="4" t="s">
        <v>64</v>
      </c>
      <c r="B103" s="4">
        <v>0.9</v>
      </c>
      <c r="C103" s="4">
        <v>0.5</v>
      </c>
      <c r="D103" s="4">
        <v>0.6</v>
      </c>
      <c r="E103" s="4">
        <v>0.3</v>
      </c>
      <c r="F103" s="6">
        <v>559.56286599999999</v>
      </c>
      <c r="G103" s="4">
        <v>1E-3</v>
      </c>
      <c r="I103" s="4" t="s">
        <v>64</v>
      </c>
      <c r="J103" s="4">
        <v>0.9</v>
      </c>
      <c r="K103" s="4">
        <v>0.5</v>
      </c>
      <c r="L103" s="4">
        <v>0.6</v>
      </c>
      <c r="M103" s="4">
        <v>0.3</v>
      </c>
      <c r="N103" s="6">
        <v>559.56286599999999</v>
      </c>
      <c r="O103" s="4">
        <v>1E-3</v>
      </c>
      <c r="P103" s="5"/>
      <c r="Q103" s="5"/>
      <c r="R103" s="5"/>
      <c r="S103" s="5"/>
      <c r="U103" s="4" t="s">
        <v>64</v>
      </c>
      <c r="V103" s="4">
        <v>0.9</v>
      </c>
      <c r="W103" s="4">
        <v>0.5</v>
      </c>
      <c r="X103" s="4">
        <v>0.6</v>
      </c>
      <c r="Y103" s="4">
        <v>0.3</v>
      </c>
      <c r="Z103" s="6">
        <v>558.28326400000003</v>
      </c>
      <c r="AA103" s="4">
        <v>1E-3</v>
      </c>
      <c r="AC103" s="4" t="s">
        <v>64</v>
      </c>
      <c r="AD103" s="4">
        <v>0.9</v>
      </c>
      <c r="AE103" s="4">
        <v>0.5</v>
      </c>
      <c r="AF103" s="4">
        <v>0.6</v>
      </c>
      <c r="AG103" s="4">
        <v>0.3</v>
      </c>
      <c r="AH103" s="6">
        <v>558.28326400000003</v>
      </c>
      <c r="AI103" s="4">
        <v>1E-3</v>
      </c>
      <c r="AJ103" s="5"/>
      <c r="AK103" s="5"/>
      <c r="AL103" s="5"/>
      <c r="AM103" s="5"/>
      <c r="AO103" s="4" t="s">
        <v>65</v>
      </c>
      <c r="AP103" s="4">
        <v>0.9</v>
      </c>
      <c r="AQ103" s="4">
        <v>0.5</v>
      </c>
      <c r="AR103" s="4">
        <v>0.6</v>
      </c>
      <c r="AS103" s="4">
        <v>0.3</v>
      </c>
      <c r="AT103" s="6">
        <v>901.65093999999999</v>
      </c>
      <c r="AU103" s="4">
        <v>5.0000000000000001E-3</v>
      </c>
      <c r="AW103" s="4" t="s">
        <v>65</v>
      </c>
      <c r="AX103" s="4">
        <v>0.9</v>
      </c>
      <c r="AY103" s="4">
        <v>0.5</v>
      </c>
      <c r="AZ103" s="4">
        <v>0.6</v>
      </c>
      <c r="BA103" s="4">
        <v>0.44</v>
      </c>
      <c r="BB103" s="4">
        <v>932.12829599999998</v>
      </c>
      <c r="BC103" s="4">
        <v>5.0000000000000001E-3</v>
      </c>
      <c r="BD103" s="5"/>
      <c r="BE103" s="5"/>
      <c r="BF103" s="5"/>
      <c r="BG103" s="5"/>
      <c r="BI103" s="4" t="s">
        <v>65</v>
      </c>
      <c r="BJ103" s="4">
        <v>0.9</v>
      </c>
      <c r="BK103" s="4">
        <v>0.5</v>
      </c>
      <c r="BL103" s="4">
        <v>0.6</v>
      </c>
      <c r="BM103" s="4">
        <v>0.3</v>
      </c>
      <c r="BN103" s="6">
        <v>895.64355499999999</v>
      </c>
      <c r="BO103" s="4">
        <v>4.0000000000000001E-3</v>
      </c>
      <c r="BQ103" s="4" t="s">
        <v>65</v>
      </c>
      <c r="BR103" s="4">
        <v>0.9</v>
      </c>
      <c r="BS103" s="4">
        <v>0.5</v>
      </c>
      <c r="BT103" s="4">
        <v>0.6</v>
      </c>
      <c r="BU103" s="4">
        <v>0.3</v>
      </c>
      <c r="BV103" s="4">
        <v>937.78692599999999</v>
      </c>
      <c r="BW103" s="4">
        <v>6.0000000000000001E-3</v>
      </c>
      <c r="BX103" s="5"/>
      <c r="BY103" s="5"/>
      <c r="BZ103" s="5"/>
      <c r="CA103" s="5"/>
    </row>
    <row r="104" spans="1:79" x14ac:dyDescent="0.3">
      <c r="A104" s="4" t="s">
        <v>66</v>
      </c>
      <c r="B104" s="4">
        <v>0.9</v>
      </c>
      <c r="C104" s="4">
        <v>0.5</v>
      </c>
      <c r="D104" s="4">
        <v>0.6</v>
      </c>
      <c r="E104" s="4">
        <v>0.3</v>
      </c>
      <c r="F104" s="6">
        <v>510.85406499999999</v>
      </c>
      <c r="G104" s="4">
        <v>1E-3</v>
      </c>
      <c r="I104" s="4" t="s">
        <v>66</v>
      </c>
      <c r="J104" s="4">
        <v>0.9</v>
      </c>
      <c r="K104" s="4">
        <v>0.5</v>
      </c>
      <c r="L104" s="4">
        <v>0.6</v>
      </c>
      <c r="M104" s="4">
        <v>0.33</v>
      </c>
      <c r="N104" s="4">
        <v>513.70263699999998</v>
      </c>
      <c r="O104" s="4">
        <v>1E-3</v>
      </c>
      <c r="P104" s="5"/>
      <c r="Q104" s="5"/>
      <c r="R104" s="5"/>
      <c r="S104" s="5"/>
      <c r="U104" s="4" t="s">
        <v>66</v>
      </c>
      <c r="V104" s="4">
        <v>0.9</v>
      </c>
      <c r="W104" s="4">
        <v>0.5</v>
      </c>
      <c r="X104" s="4">
        <v>0.6</v>
      </c>
      <c r="Y104" s="4">
        <v>0.3</v>
      </c>
      <c r="Z104" s="6">
        <v>505.31863399999997</v>
      </c>
      <c r="AA104" s="4">
        <v>0</v>
      </c>
      <c r="AC104" s="4" t="s">
        <v>66</v>
      </c>
      <c r="AD104" s="4">
        <v>0.9</v>
      </c>
      <c r="AE104" s="4">
        <v>0.5</v>
      </c>
      <c r="AF104" s="4">
        <v>0.6</v>
      </c>
      <c r="AG104" s="4">
        <v>0.33</v>
      </c>
      <c r="AH104" s="6">
        <v>505.31863399999997</v>
      </c>
      <c r="AI104" s="4">
        <v>1E-3</v>
      </c>
      <c r="AJ104" s="5"/>
      <c r="AK104" s="5"/>
      <c r="AL104" s="5"/>
      <c r="AM104" s="5"/>
      <c r="AO104" s="4" t="s">
        <v>67</v>
      </c>
      <c r="AP104" s="4">
        <v>0.9</v>
      </c>
      <c r="AQ104" s="4">
        <v>0.5</v>
      </c>
      <c r="AR104" s="4">
        <v>0.6</v>
      </c>
      <c r="AS104" s="4">
        <v>0.3</v>
      </c>
      <c r="AT104" s="6">
        <v>945.85308799999996</v>
      </c>
      <c r="AU104" s="4">
        <v>4.0000000000000001E-3</v>
      </c>
      <c r="AW104" s="4" t="s">
        <v>67</v>
      </c>
      <c r="AX104" s="4">
        <v>0.9</v>
      </c>
      <c r="AY104" s="4">
        <v>0.5</v>
      </c>
      <c r="AZ104" s="4">
        <v>0.6</v>
      </c>
      <c r="BA104" s="4">
        <v>0.36</v>
      </c>
      <c r="BB104" s="4">
        <v>967.59783900000002</v>
      </c>
      <c r="BC104" s="4">
        <v>5.0000000000000001E-3</v>
      </c>
      <c r="BD104" s="5"/>
      <c r="BE104" s="5"/>
      <c r="BF104" s="5"/>
      <c r="BG104" s="5"/>
      <c r="BI104" s="4" t="s">
        <v>67</v>
      </c>
      <c r="BJ104" s="4">
        <v>0.9</v>
      </c>
      <c r="BK104" s="4">
        <v>0.5</v>
      </c>
      <c r="BL104" s="4">
        <v>0.6</v>
      </c>
      <c r="BM104" s="4">
        <v>0.3</v>
      </c>
      <c r="BN104" s="6">
        <v>954.73718299999996</v>
      </c>
      <c r="BO104" s="4">
        <v>5.0000000000000001E-3</v>
      </c>
      <c r="BQ104" s="4" t="s">
        <v>67</v>
      </c>
      <c r="BR104" s="4">
        <v>0.9</v>
      </c>
      <c r="BS104" s="4">
        <v>0.5</v>
      </c>
      <c r="BT104" s="4">
        <v>0.6</v>
      </c>
      <c r="BU104" s="4">
        <v>0.31</v>
      </c>
      <c r="BV104" s="4">
        <v>995.30102499999998</v>
      </c>
      <c r="BW104" s="4">
        <v>6.0000000000000001E-3</v>
      </c>
      <c r="BX104" s="5"/>
      <c r="BY104" s="5"/>
      <c r="BZ104" s="5"/>
      <c r="CA104" s="5"/>
    </row>
    <row r="105" spans="1:79" x14ac:dyDescent="0.3">
      <c r="A105" s="4" t="s">
        <v>68</v>
      </c>
      <c r="B105" s="4">
        <v>0.9</v>
      </c>
      <c r="C105" s="4">
        <v>0.5</v>
      </c>
      <c r="D105" s="4">
        <v>0.6</v>
      </c>
      <c r="E105" s="4">
        <v>0.3</v>
      </c>
      <c r="F105" s="6">
        <v>400.58245799999997</v>
      </c>
      <c r="G105" s="4">
        <v>1E-3</v>
      </c>
      <c r="I105" s="4" t="s">
        <v>68</v>
      </c>
      <c r="J105" s="4">
        <v>0.9</v>
      </c>
      <c r="K105" s="4">
        <v>0.5</v>
      </c>
      <c r="L105" s="4">
        <v>0.6</v>
      </c>
      <c r="M105" s="4">
        <v>0.37</v>
      </c>
      <c r="N105" s="6">
        <v>400.58245799999997</v>
      </c>
      <c r="O105" s="4">
        <v>1E-3</v>
      </c>
      <c r="P105" s="5"/>
      <c r="Q105" s="5"/>
      <c r="R105" s="5"/>
      <c r="S105" s="5"/>
      <c r="U105" s="4" t="s">
        <v>68</v>
      </c>
      <c r="V105" s="4">
        <v>0.9</v>
      </c>
      <c r="W105" s="4">
        <v>0.5</v>
      </c>
      <c r="X105" s="4">
        <v>0.6</v>
      </c>
      <c r="Y105" s="4">
        <v>0.3</v>
      </c>
      <c r="Z105" s="6">
        <v>397.147064</v>
      </c>
      <c r="AA105" s="4">
        <v>0</v>
      </c>
      <c r="AC105" s="4" t="s">
        <v>68</v>
      </c>
      <c r="AD105" s="4">
        <v>0.9</v>
      </c>
      <c r="AE105" s="4">
        <v>0.5</v>
      </c>
      <c r="AF105" s="4">
        <v>0.6</v>
      </c>
      <c r="AG105" s="4">
        <v>0.34</v>
      </c>
      <c r="AH105" s="8">
        <v>397.21749899999998</v>
      </c>
      <c r="AI105" s="4">
        <v>1E-3</v>
      </c>
      <c r="AJ105" s="5"/>
      <c r="AK105" s="5"/>
      <c r="AL105" s="5"/>
      <c r="AM105" s="5"/>
      <c r="AO105" s="4" t="s">
        <v>69</v>
      </c>
      <c r="AP105" s="4">
        <v>0.9</v>
      </c>
      <c r="AQ105" s="4">
        <v>0.5</v>
      </c>
      <c r="AR105" s="4">
        <v>0.6</v>
      </c>
      <c r="AS105" s="4">
        <v>0.3</v>
      </c>
      <c r="AT105" s="6">
        <v>970.48126200000002</v>
      </c>
      <c r="AU105" s="4">
        <v>4.0000000000000001E-3</v>
      </c>
      <c r="AW105" s="4" t="s">
        <v>69</v>
      </c>
      <c r="AX105" s="4">
        <v>0.9</v>
      </c>
      <c r="AY105" s="4">
        <v>0.5</v>
      </c>
      <c r="AZ105" s="4">
        <v>0.6</v>
      </c>
      <c r="BA105" s="4">
        <v>0.3</v>
      </c>
      <c r="BB105" s="4">
        <v>983.14709500000004</v>
      </c>
      <c r="BC105" s="4">
        <v>5.0000000000000001E-3</v>
      </c>
      <c r="BD105" s="5"/>
      <c r="BE105" s="5"/>
      <c r="BF105" s="5"/>
      <c r="BG105" s="5"/>
      <c r="BI105" s="4" t="s">
        <v>69</v>
      </c>
      <c r="BJ105" s="4">
        <v>0.9</v>
      </c>
      <c r="BK105" s="4">
        <v>0.5</v>
      </c>
      <c r="BL105" s="4">
        <v>0.6</v>
      </c>
      <c r="BM105" s="4">
        <v>0.3</v>
      </c>
      <c r="BN105" s="6">
        <v>968.88391100000001</v>
      </c>
      <c r="BO105" s="4">
        <v>5.0000000000000001E-3</v>
      </c>
      <c r="BQ105" s="4" t="s">
        <v>69</v>
      </c>
      <c r="BR105" s="4">
        <v>0.9</v>
      </c>
      <c r="BS105" s="4">
        <v>0.5</v>
      </c>
      <c r="BT105" s="4">
        <v>0.6</v>
      </c>
      <c r="BU105" s="4">
        <v>0.3</v>
      </c>
      <c r="BV105" s="4">
        <v>995.79925500000002</v>
      </c>
      <c r="BW105" s="4">
        <v>8.0000000000000002E-3</v>
      </c>
      <c r="BX105" s="5"/>
      <c r="BY105" s="5"/>
      <c r="BZ105" s="5"/>
      <c r="CA105" s="5"/>
    </row>
    <row r="106" spans="1:79" x14ac:dyDescent="0.3">
      <c r="A106" s="14" t="s">
        <v>316</v>
      </c>
      <c r="E106" s="14">
        <f>AVERAGE(E76:E105)</f>
        <v>0.3</v>
      </c>
      <c r="I106" s="4" t="s">
        <v>316</v>
      </c>
      <c r="M106" s="4">
        <f>AVERAGE(M76:M105)</f>
        <v>0.39366666666666672</v>
      </c>
      <c r="U106" s="14" t="s">
        <v>316</v>
      </c>
      <c r="Y106" s="14">
        <f>AVERAGE(Y76:Y105)</f>
        <v>0.3</v>
      </c>
      <c r="AC106" s="4" t="s">
        <v>316</v>
      </c>
      <c r="AG106" s="4">
        <f>AVERAGE(AG76:AG105)</f>
        <v>0.34166666666666667</v>
      </c>
      <c r="AO106" s="14" t="s">
        <v>316</v>
      </c>
      <c r="AS106" s="14">
        <f>AVERAGE(AS76:AS105)</f>
        <v>0.3</v>
      </c>
      <c r="AW106" s="14" t="s">
        <v>316</v>
      </c>
      <c r="BA106" s="14">
        <f>AVERAGE(BA76:BA105)</f>
        <v>0.32566666666666655</v>
      </c>
      <c r="BI106" s="14" t="s">
        <v>316</v>
      </c>
      <c r="BM106" s="14">
        <f>AVERAGE(BM76:BM105)</f>
        <v>0.3</v>
      </c>
      <c r="BQ106" s="14" t="s">
        <v>316</v>
      </c>
      <c r="BU106" s="14">
        <f>AVERAGE(BU76:BU105)</f>
        <v>0.31366666666666665</v>
      </c>
    </row>
    <row r="107" spans="1:79" s="1" customFormat="1" x14ac:dyDescent="0.3"/>
    <row r="108" spans="1:79" x14ac:dyDescent="0.3">
      <c r="A108" s="23" t="s">
        <v>314</v>
      </c>
      <c r="B108" s="23"/>
      <c r="C108" s="23"/>
      <c r="D108" s="23"/>
      <c r="E108" s="23"/>
      <c r="F108" s="23"/>
      <c r="G108" s="23"/>
      <c r="I108" s="23" t="s">
        <v>314</v>
      </c>
      <c r="J108" s="23"/>
      <c r="K108" s="23"/>
      <c r="L108" s="23"/>
      <c r="M108" s="23"/>
      <c r="N108" s="23"/>
      <c r="O108" s="23"/>
      <c r="P108" s="11"/>
      <c r="Q108" s="11"/>
      <c r="R108" s="11"/>
      <c r="S108" s="11"/>
      <c r="U108" s="23" t="s">
        <v>314</v>
      </c>
      <c r="V108" s="23"/>
      <c r="W108" s="23"/>
      <c r="X108" s="23"/>
      <c r="Y108" s="23"/>
      <c r="Z108" s="23"/>
      <c r="AA108" s="23"/>
      <c r="AC108" s="23" t="s">
        <v>314</v>
      </c>
      <c r="AD108" s="23"/>
      <c r="AE108" s="23"/>
      <c r="AF108" s="23"/>
      <c r="AG108" s="23"/>
      <c r="AH108" s="23"/>
      <c r="AI108" s="23"/>
      <c r="AJ108" s="11"/>
      <c r="AK108" s="11"/>
      <c r="AL108" s="11"/>
      <c r="AM108" s="11"/>
      <c r="AO108" s="23" t="s">
        <v>314</v>
      </c>
      <c r="AP108" s="23"/>
      <c r="AQ108" s="23"/>
      <c r="AR108" s="23"/>
      <c r="AS108" s="23"/>
      <c r="AT108" s="23"/>
      <c r="AU108" s="23"/>
      <c r="AW108" s="23" t="s">
        <v>314</v>
      </c>
      <c r="AX108" s="23"/>
      <c r="AY108" s="23"/>
      <c r="AZ108" s="23"/>
      <c r="BA108" s="23"/>
      <c r="BB108" s="23"/>
      <c r="BC108" s="23"/>
      <c r="BD108" s="11"/>
      <c r="BE108" s="11"/>
      <c r="BF108" s="11"/>
      <c r="BG108" s="11"/>
      <c r="BI108" s="23" t="s">
        <v>314</v>
      </c>
      <c r="BJ108" s="23"/>
      <c r="BK108" s="23"/>
      <c r="BL108" s="23"/>
      <c r="BM108" s="23"/>
      <c r="BN108" s="23"/>
      <c r="BO108" s="23"/>
      <c r="BQ108" s="23" t="s">
        <v>314</v>
      </c>
      <c r="BR108" s="23"/>
      <c r="BS108" s="23"/>
      <c r="BT108" s="23"/>
      <c r="BU108" s="23"/>
      <c r="BV108" s="23"/>
      <c r="BW108" s="23"/>
      <c r="BX108" s="11"/>
      <c r="BY108" s="11"/>
      <c r="BZ108" s="11"/>
      <c r="CA108" s="11"/>
    </row>
    <row r="109" spans="1:79" x14ac:dyDescent="0.3">
      <c r="A109" s="24" t="s">
        <v>0</v>
      </c>
      <c r="B109" s="25"/>
      <c r="C109" s="25"/>
      <c r="D109" s="25"/>
      <c r="E109" s="25"/>
      <c r="F109" s="25"/>
      <c r="G109" s="26"/>
      <c r="I109" s="23" t="s">
        <v>0</v>
      </c>
      <c r="J109" s="23"/>
      <c r="K109" s="23"/>
      <c r="L109" s="23"/>
      <c r="M109" s="23"/>
      <c r="N109" s="23"/>
      <c r="O109" s="23"/>
      <c r="P109" s="11"/>
      <c r="Q109" s="11"/>
      <c r="R109" s="11"/>
      <c r="S109" s="11"/>
      <c r="U109" s="4" t="s">
        <v>1</v>
      </c>
      <c r="V109" s="4"/>
      <c r="W109" s="4"/>
      <c r="X109" s="4"/>
      <c r="Y109" s="4"/>
      <c r="Z109" s="4"/>
      <c r="AA109" s="4"/>
      <c r="AC109" s="23" t="s">
        <v>1</v>
      </c>
      <c r="AD109" s="23"/>
      <c r="AE109" s="23"/>
      <c r="AF109" s="23"/>
      <c r="AG109" s="23"/>
      <c r="AH109" s="23"/>
      <c r="AI109" s="23"/>
      <c r="AJ109" s="11"/>
      <c r="AK109" s="11"/>
      <c r="AL109" s="11"/>
      <c r="AM109" s="11"/>
      <c r="AO109" s="4" t="s">
        <v>0</v>
      </c>
      <c r="AP109" s="4"/>
      <c r="AQ109" s="4"/>
      <c r="AR109" s="4"/>
      <c r="AS109" s="4"/>
      <c r="AT109" s="4"/>
      <c r="AU109" s="4"/>
      <c r="AW109" s="23" t="s">
        <v>0</v>
      </c>
      <c r="AX109" s="23"/>
      <c r="AY109" s="23"/>
      <c r="AZ109" s="23"/>
      <c r="BA109" s="23"/>
      <c r="BB109" s="23"/>
      <c r="BC109" s="23"/>
      <c r="BD109" s="11"/>
      <c r="BE109" s="11"/>
      <c r="BF109" s="11"/>
      <c r="BG109" s="11"/>
      <c r="BI109" s="4" t="s">
        <v>1</v>
      </c>
      <c r="BJ109" s="4"/>
      <c r="BK109" s="4"/>
      <c r="BL109" s="4"/>
      <c r="BM109" s="4"/>
      <c r="BN109" s="4"/>
      <c r="BO109" s="4"/>
      <c r="BQ109" s="23" t="s">
        <v>1</v>
      </c>
      <c r="BR109" s="23"/>
      <c r="BS109" s="23"/>
      <c r="BT109" s="23"/>
      <c r="BU109" s="23"/>
      <c r="BV109" s="23"/>
      <c r="BW109" s="23"/>
      <c r="BX109" s="11"/>
      <c r="BY109" s="11"/>
      <c r="BZ109" s="11"/>
      <c r="CA109" s="11"/>
    </row>
    <row r="110" spans="1:79" x14ac:dyDescent="0.3">
      <c r="A110" s="4" t="s">
        <v>2</v>
      </c>
      <c r="B110" s="4" t="s">
        <v>3</v>
      </c>
      <c r="C110" s="4" t="s">
        <v>4</v>
      </c>
      <c r="D110" s="4" t="s">
        <v>5</v>
      </c>
      <c r="E110" s="4" t="s">
        <v>6</v>
      </c>
      <c r="F110" s="4" t="s">
        <v>7</v>
      </c>
      <c r="G110" s="4" t="s">
        <v>8</v>
      </c>
      <c r="I110" s="4" t="s">
        <v>2</v>
      </c>
      <c r="J110" s="4" t="s">
        <v>3</v>
      </c>
      <c r="K110" s="4" t="s">
        <v>4</v>
      </c>
      <c r="L110" s="4" t="s">
        <v>5</v>
      </c>
      <c r="M110" s="4" t="s">
        <v>6</v>
      </c>
      <c r="N110" s="4" t="s">
        <v>7</v>
      </c>
      <c r="O110" s="4" t="s">
        <v>8</v>
      </c>
      <c r="P110" s="3" t="s">
        <v>322</v>
      </c>
      <c r="Q110" s="3" t="s">
        <v>323</v>
      </c>
      <c r="R110" s="3" t="s">
        <v>322</v>
      </c>
      <c r="S110" s="3" t="s">
        <v>323</v>
      </c>
      <c r="U110" s="4" t="s">
        <v>2</v>
      </c>
      <c r="V110" s="4" t="s">
        <v>3</v>
      </c>
      <c r="W110" s="4" t="s">
        <v>4</v>
      </c>
      <c r="X110" s="4" t="s">
        <v>5</v>
      </c>
      <c r="Y110" s="4" t="s">
        <v>6</v>
      </c>
      <c r="Z110" s="4" t="s">
        <v>7</v>
      </c>
      <c r="AA110" s="4" t="s">
        <v>8</v>
      </c>
      <c r="AC110" s="4" t="s">
        <v>2</v>
      </c>
      <c r="AD110" s="4" t="s">
        <v>3</v>
      </c>
      <c r="AE110" s="4" t="s">
        <v>4</v>
      </c>
      <c r="AF110" s="4" t="s">
        <v>5</v>
      </c>
      <c r="AG110" s="4" t="s">
        <v>6</v>
      </c>
      <c r="AH110" s="4" t="s">
        <v>7</v>
      </c>
      <c r="AI110" s="4" t="s">
        <v>8</v>
      </c>
      <c r="AJ110" s="3" t="s">
        <v>322</v>
      </c>
      <c r="AK110" s="3" t="s">
        <v>323</v>
      </c>
      <c r="AL110" s="3" t="s">
        <v>322</v>
      </c>
      <c r="AM110" s="3" t="s">
        <v>323</v>
      </c>
      <c r="AO110" s="4" t="s">
        <v>2</v>
      </c>
      <c r="AP110" s="4" t="s">
        <v>3</v>
      </c>
      <c r="AQ110" s="4" t="s">
        <v>4</v>
      </c>
      <c r="AR110" s="4" t="s">
        <v>5</v>
      </c>
      <c r="AS110" s="4" t="s">
        <v>6</v>
      </c>
      <c r="AT110" s="4" t="s">
        <v>7</v>
      </c>
      <c r="AU110" s="4" t="s">
        <v>8</v>
      </c>
      <c r="AW110" s="4" t="s">
        <v>2</v>
      </c>
      <c r="AX110" s="4" t="s">
        <v>3</v>
      </c>
      <c r="AY110" s="4" t="s">
        <v>4</v>
      </c>
      <c r="AZ110" s="4" t="s">
        <v>5</v>
      </c>
      <c r="BA110" s="4" t="s">
        <v>6</v>
      </c>
      <c r="BB110" s="4" t="s">
        <v>7</v>
      </c>
      <c r="BC110" s="4" t="s">
        <v>8</v>
      </c>
      <c r="BD110" s="3" t="s">
        <v>322</v>
      </c>
      <c r="BE110" s="3" t="s">
        <v>323</v>
      </c>
      <c r="BF110" s="3" t="s">
        <v>322</v>
      </c>
      <c r="BG110" s="3" t="s">
        <v>323</v>
      </c>
      <c r="BI110" s="4" t="s">
        <v>2</v>
      </c>
      <c r="BJ110" s="4" t="s">
        <v>3</v>
      </c>
      <c r="BK110" s="4" t="s">
        <v>4</v>
      </c>
      <c r="BL110" s="4" t="s">
        <v>5</v>
      </c>
      <c r="BM110" s="4" t="s">
        <v>6</v>
      </c>
      <c r="BN110" s="4" t="s">
        <v>7</v>
      </c>
      <c r="BO110" s="4" t="s">
        <v>8</v>
      </c>
      <c r="BQ110" s="4" t="s">
        <v>2</v>
      </c>
      <c r="BR110" s="4" t="s">
        <v>3</v>
      </c>
      <c r="BS110" s="4" t="s">
        <v>4</v>
      </c>
      <c r="BT110" s="4" t="s">
        <v>5</v>
      </c>
      <c r="BU110" s="4" t="s">
        <v>6</v>
      </c>
      <c r="BV110" s="4" t="s">
        <v>7</v>
      </c>
      <c r="BW110" s="4" t="s">
        <v>8</v>
      </c>
      <c r="BX110" s="3" t="s">
        <v>322</v>
      </c>
      <c r="BY110" s="3" t="s">
        <v>323</v>
      </c>
      <c r="BZ110" s="3" t="s">
        <v>322</v>
      </c>
      <c r="CA110" s="3" t="s">
        <v>323</v>
      </c>
    </row>
    <row r="111" spans="1:79" x14ac:dyDescent="0.3">
      <c r="A111" s="4" t="s">
        <v>74</v>
      </c>
      <c r="B111" s="4">
        <v>0.9</v>
      </c>
      <c r="C111" s="4">
        <v>0.5</v>
      </c>
      <c r="D111" s="4">
        <v>0.6</v>
      </c>
      <c r="E111" s="4">
        <v>0.3</v>
      </c>
      <c r="F111" s="6">
        <v>401.67568999999997</v>
      </c>
      <c r="G111" s="4">
        <v>1E-3</v>
      </c>
      <c r="I111" s="4" t="s">
        <v>74</v>
      </c>
      <c r="J111" s="4">
        <v>0.9</v>
      </c>
      <c r="K111" s="4">
        <v>0.5</v>
      </c>
      <c r="L111" s="4">
        <v>0.6</v>
      </c>
      <c r="M111" s="4">
        <v>0.3</v>
      </c>
      <c r="N111" s="4">
        <v>404.11584499999998</v>
      </c>
      <c r="O111" s="4">
        <v>2E-3</v>
      </c>
      <c r="P111" s="4" t="s">
        <v>324</v>
      </c>
      <c r="Q111" s="4" t="s">
        <v>324</v>
      </c>
      <c r="R111" s="4" t="s">
        <v>325</v>
      </c>
      <c r="S111" s="4" t="s">
        <v>325</v>
      </c>
      <c r="U111" s="4" t="s">
        <v>74</v>
      </c>
      <c r="V111" s="4">
        <v>0.9</v>
      </c>
      <c r="W111" s="4">
        <v>0.5</v>
      </c>
      <c r="X111" s="4">
        <v>0.6</v>
      </c>
      <c r="Y111" s="4">
        <v>0.3</v>
      </c>
      <c r="Z111" s="6">
        <v>368.78576700000002</v>
      </c>
      <c r="AA111" s="4">
        <v>1E-3</v>
      </c>
      <c r="AC111" s="4" t="s">
        <v>74</v>
      </c>
      <c r="AD111" s="4">
        <v>0.9</v>
      </c>
      <c r="AE111" s="4">
        <v>0.5</v>
      </c>
      <c r="AF111" s="4">
        <v>0.6</v>
      </c>
      <c r="AG111" s="4">
        <v>0.33</v>
      </c>
      <c r="AH111" s="4">
        <v>369.545074</v>
      </c>
      <c r="AI111" s="4">
        <v>1E-3</v>
      </c>
      <c r="AJ111" s="4" t="s">
        <v>324</v>
      </c>
      <c r="AK111" s="4" t="s">
        <v>324</v>
      </c>
      <c r="AL111" s="4" t="s">
        <v>325</v>
      </c>
      <c r="AM111" s="4" t="s">
        <v>325</v>
      </c>
      <c r="AO111" s="4" t="s">
        <v>75</v>
      </c>
      <c r="AP111" s="4">
        <v>0.9</v>
      </c>
      <c r="AQ111" s="4">
        <v>0.5</v>
      </c>
      <c r="AR111" s="4">
        <v>0.6</v>
      </c>
      <c r="AS111" s="4">
        <v>0.3</v>
      </c>
      <c r="AT111" s="6">
        <v>728.09893799999998</v>
      </c>
      <c r="AU111" s="4">
        <v>8.9999999999999993E-3</v>
      </c>
      <c r="AW111" s="4" t="s">
        <v>75</v>
      </c>
      <c r="AX111" s="4">
        <v>0.9</v>
      </c>
      <c r="AY111" s="4">
        <v>0.5</v>
      </c>
      <c r="AZ111" s="4">
        <v>0.6</v>
      </c>
      <c r="BA111" s="4">
        <v>0.3</v>
      </c>
      <c r="BB111" s="4">
        <v>740.00640899999996</v>
      </c>
      <c r="BC111" s="4">
        <v>4.0000000000000001E-3</v>
      </c>
      <c r="BD111" s="4" t="s">
        <v>324</v>
      </c>
      <c r="BE111" s="4" t="s">
        <v>324</v>
      </c>
      <c r="BF111" s="4" t="s">
        <v>325</v>
      </c>
      <c r="BG111" s="4" t="s">
        <v>325</v>
      </c>
      <c r="BI111" s="4" t="s">
        <v>75</v>
      </c>
      <c r="BJ111" s="4">
        <v>0.9</v>
      </c>
      <c r="BK111" s="4">
        <v>0.5</v>
      </c>
      <c r="BL111" s="4">
        <v>0.6</v>
      </c>
      <c r="BM111" s="4">
        <v>0.3</v>
      </c>
      <c r="BN111" s="6">
        <v>689.98767099999998</v>
      </c>
      <c r="BO111" s="4">
        <v>5.0000000000000001E-3</v>
      </c>
      <c r="BQ111" s="4" t="s">
        <v>75</v>
      </c>
      <c r="BR111" s="4">
        <v>0.9</v>
      </c>
      <c r="BS111" s="4">
        <v>0.5</v>
      </c>
      <c r="BT111" s="4">
        <v>0.6</v>
      </c>
      <c r="BU111" s="4">
        <v>0.31</v>
      </c>
      <c r="BV111" s="4">
        <v>708.80426</v>
      </c>
      <c r="BW111" s="4">
        <v>6.0000000000000001E-3</v>
      </c>
      <c r="BX111" s="4" t="s">
        <v>324</v>
      </c>
      <c r="BY111" s="4" t="s">
        <v>324</v>
      </c>
      <c r="BZ111" s="4" t="s">
        <v>325</v>
      </c>
      <c r="CA111" s="4" t="s">
        <v>325</v>
      </c>
    </row>
    <row r="112" spans="1:79" x14ac:dyDescent="0.3">
      <c r="A112" s="4" t="s">
        <v>76</v>
      </c>
      <c r="B112" s="4">
        <v>0.9</v>
      </c>
      <c r="C112" s="4">
        <v>0.5</v>
      </c>
      <c r="D112" s="4">
        <v>0.6</v>
      </c>
      <c r="E112" s="4">
        <v>0.3</v>
      </c>
      <c r="F112" s="6">
        <v>434.25775099999998</v>
      </c>
      <c r="G112" s="4">
        <v>1E-3</v>
      </c>
      <c r="I112" s="4" t="s">
        <v>76</v>
      </c>
      <c r="J112" s="4">
        <v>0.9</v>
      </c>
      <c r="K112" s="4">
        <v>0.5</v>
      </c>
      <c r="L112" s="4">
        <v>0.6</v>
      </c>
      <c r="M112" s="4">
        <v>0.3</v>
      </c>
      <c r="N112" s="4">
        <v>444.69982900000002</v>
      </c>
      <c r="O112" s="4">
        <v>1E-3</v>
      </c>
      <c r="P112" s="3">
        <f>COUNT(F111:F121,F123:F137,F139:F140)</f>
        <v>28</v>
      </c>
      <c r="Q112" s="3">
        <f>30-P112</f>
        <v>2</v>
      </c>
      <c r="R112" s="3">
        <f>COUNT(N122,N128,N138)</f>
        <v>3</v>
      </c>
      <c r="S112" s="3">
        <f>30-R112</f>
        <v>27</v>
      </c>
      <c r="U112" s="4" t="s">
        <v>76</v>
      </c>
      <c r="V112" s="4">
        <v>0.9</v>
      </c>
      <c r="W112" s="4">
        <v>0.5</v>
      </c>
      <c r="X112" s="4">
        <v>0.6</v>
      </c>
      <c r="Y112" s="4">
        <v>0.3</v>
      </c>
      <c r="Z112" s="6">
        <v>397.466522</v>
      </c>
      <c r="AA112" s="4">
        <v>1E-3</v>
      </c>
      <c r="AC112" s="4" t="s">
        <v>76</v>
      </c>
      <c r="AD112" s="4">
        <v>0.9</v>
      </c>
      <c r="AE112" s="4">
        <v>0.5</v>
      </c>
      <c r="AF112" s="4">
        <v>0.6</v>
      </c>
      <c r="AG112" s="4">
        <v>0.34</v>
      </c>
      <c r="AH112" s="4">
        <v>406.33590700000002</v>
      </c>
      <c r="AI112" s="4">
        <v>1E-3</v>
      </c>
      <c r="AJ112" s="3">
        <f>COUNT(Z111:Z112,Z114:Z119,Z121:Z124,Z126:Z130,Z133:Z140)</f>
        <v>25</v>
      </c>
      <c r="AK112" s="3">
        <f>30-AJ112</f>
        <v>5</v>
      </c>
      <c r="AL112" s="3">
        <f>COUNT(AH113,AH120,AH125,AH130:AH133)</f>
        <v>7</v>
      </c>
      <c r="AM112" s="3">
        <f>30-AL112</f>
        <v>23</v>
      </c>
      <c r="AO112" s="4" t="s">
        <v>77</v>
      </c>
      <c r="AP112" s="4">
        <v>0.9</v>
      </c>
      <c r="AQ112" s="4">
        <v>0.5</v>
      </c>
      <c r="AR112" s="4">
        <v>0.6</v>
      </c>
      <c r="AS112" s="4">
        <v>0.3</v>
      </c>
      <c r="AT112" s="6">
        <v>793.56445299999996</v>
      </c>
      <c r="AU112" s="4">
        <v>8.0000000000000002E-3</v>
      </c>
      <c r="AW112" s="4" t="s">
        <v>77</v>
      </c>
      <c r="AX112" s="4">
        <v>0.9</v>
      </c>
      <c r="AY112" s="4">
        <v>0.5</v>
      </c>
      <c r="AZ112" s="4">
        <v>0.6</v>
      </c>
      <c r="BA112" s="4">
        <v>0.3</v>
      </c>
      <c r="BB112" s="4">
        <v>847.78204300000004</v>
      </c>
      <c r="BC112" s="4">
        <v>4.0000000000000001E-3</v>
      </c>
      <c r="BD112" s="3">
        <f>COUNT(AT111:AT139)</f>
        <v>29</v>
      </c>
      <c r="BE112" s="3">
        <f>30-BD112</f>
        <v>1</v>
      </c>
      <c r="BF112" s="3">
        <f>COUNT(BB140)</f>
        <v>1</v>
      </c>
      <c r="BG112" s="3">
        <f>30-BF112</f>
        <v>29</v>
      </c>
      <c r="BI112" s="4" t="s">
        <v>77</v>
      </c>
      <c r="BJ112" s="4">
        <v>0.9</v>
      </c>
      <c r="BK112" s="4">
        <v>0.5</v>
      </c>
      <c r="BL112" s="4">
        <v>0.6</v>
      </c>
      <c r="BM112" s="4">
        <v>0.3</v>
      </c>
      <c r="BN112" s="6">
        <v>748.72119099999998</v>
      </c>
      <c r="BO112" s="4">
        <v>4.0000000000000001E-3</v>
      </c>
      <c r="BQ112" s="4" t="s">
        <v>77</v>
      </c>
      <c r="BR112" s="4">
        <v>0.9</v>
      </c>
      <c r="BS112" s="4">
        <v>0.5</v>
      </c>
      <c r="BT112" s="4">
        <v>0.6</v>
      </c>
      <c r="BU112" s="4">
        <v>0.33</v>
      </c>
      <c r="BV112" s="4">
        <v>792.84680200000003</v>
      </c>
      <c r="BW112" s="4">
        <v>4.0000000000000001E-3</v>
      </c>
      <c r="BX112" s="3">
        <f>COUNT(BN111:BN140)</f>
        <v>30</v>
      </c>
      <c r="BY112" s="3">
        <f>30-BX112</f>
        <v>0</v>
      </c>
      <c r="BZ112" s="3">
        <v>0</v>
      </c>
      <c r="CA112" s="3">
        <f>30-BZ112</f>
        <v>30</v>
      </c>
    </row>
    <row r="113" spans="1:79" x14ac:dyDescent="0.3">
      <c r="A113" s="4" t="s">
        <v>78</v>
      </c>
      <c r="B113" s="4">
        <v>0.9</v>
      </c>
      <c r="C113" s="4">
        <v>0.5</v>
      </c>
      <c r="D113" s="4">
        <v>0.6</v>
      </c>
      <c r="E113" s="4">
        <v>0.3</v>
      </c>
      <c r="F113" s="6">
        <v>426.38287400000002</v>
      </c>
      <c r="G113" s="4">
        <v>2E-3</v>
      </c>
      <c r="I113" s="4" t="s">
        <v>78</v>
      </c>
      <c r="J113" s="4">
        <v>0.9</v>
      </c>
      <c r="K113" s="4">
        <v>0.5</v>
      </c>
      <c r="L113" s="4">
        <v>0.6</v>
      </c>
      <c r="M113" s="4">
        <v>0.3</v>
      </c>
      <c r="N113" s="4">
        <v>430.92837500000002</v>
      </c>
      <c r="O113" s="4">
        <v>1E-3</v>
      </c>
      <c r="P113" s="5"/>
      <c r="Q113" s="5"/>
      <c r="R113" s="5"/>
      <c r="S113" s="5"/>
      <c r="U113" s="4" t="s">
        <v>78</v>
      </c>
      <c r="V113" s="4">
        <v>0.9</v>
      </c>
      <c r="W113" s="4">
        <v>0.5</v>
      </c>
      <c r="X113" s="4">
        <v>0.6</v>
      </c>
      <c r="Y113" s="4">
        <v>0.3</v>
      </c>
      <c r="Z113" s="4">
        <v>390.376373</v>
      </c>
      <c r="AA113" s="4">
        <v>1E-3</v>
      </c>
      <c r="AC113" s="4" t="s">
        <v>78</v>
      </c>
      <c r="AD113" s="4">
        <v>0.9</v>
      </c>
      <c r="AE113" s="4">
        <v>0.5</v>
      </c>
      <c r="AF113" s="4">
        <v>0.6</v>
      </c>
      <c r="AG113" s="4">
        <v>0.3</v>
      </c>
      <c r="AH113" s="6">
        <v>389.59921300000002</v>
      </c>
      <c r="AI113" s="4">
        <v>1E-3</v>
      </c>
      <c r="AJ113" s="5"/>
      <c r="AK113" s="5"/>
      <c r="AL113" s="5"/>
      <c r="AM113" s="5"/>
      <c r="AO113" s="4" t="s">
        <v>79</v>
      </c>
      <c r="AP113" s="4">
        <v>0.9</v>
      </c>
      <c r="AQ113" s="4">
        <v>0.5</v>
      </c>
      <c r="AR113" s="4">
        <v>0.6</v>
      </c>
      <c r="AS113" s="4">
        <v>0.3</v>
      </c>
      <c r="AT113" s="6">
        <v>775.41589399999998</v>
      </c>
      <c r="AU113" s="4">
        <v>4.0000000000000001E-3</v>
      </c>
      <c r="AW113" s="4" t="s">
        <v>79</v>
      </c>
      <c r="AX113" s="4">
        <v>0.9</v>
      </c>
      <c r="AY113" s="4">
        <v>0.5</v>
      </c>
      <c r="AZ113" s="4">
        <v>0.6</v>
      </c>
      <c r="BA113" s="4">
        <v>0.3</v>
      </c>
      <c r="BB113" s="4">
        <v>797.51934800000004</v>
      </c>
      <c r="BC113" s="4">
        <v>5.0000000000000001E-3</v>
      </c>
      <c r="BD113" s="5"/>
      <c r="BE113" s="5"/>
      <c r="BF113" s="5"/>
      <c r="BG113" s="5"/>
      <c r="BI113" s="4" t="s">
        <v>79</v>
      </c>
      <c r="BJ113" s="4">
        <v>0.9</v>
      </c>
      <c r="BK113" s="4">
        <v>0.5</v>
      </c>
      <c r="BL113" s="4">
        <v>0.6</v>
      </c>
      <c r="BM113" s="4">
        <v>0.3</v>
      </c>
      <c r="BN113" s="6">
        <v>727.59167500000001</v>
      </c>
      <c r="BO113" s="4">
        <v>4.0000000000000001E-3</v>
      </c>
      <c r="BQ113" s="4" t="s">
        <v>79</v>
      </c>
      <c r="BR113" s="4">
        <v>0.9</v>
      </c>
      <c r="BS113" s="4">
        <v>0.5</v>
      </c>
      <c r="BT113" s="4">
        <v>0.6</v>
      </c>
      <c r="BU113" s="4">
        <v>0.32</v>
      </c>
      <c r="BV113" s="4">
        <v>734.31726100000003</v>
      </c>
      <c r="BW113" s="4">
        <v>4.0000000000000001E-3</v>
      </c>
      <c r="BX113" s="5"/>
      <c r="BY113" s="5"/>
      <c r="BZ113" s="5"/>
      <c r="CA113" s="5"/>
    </row>
    <row r="114" spans="1:79" x14ac:dyDescent="0.3">
      <c r="A114" s="4" t="s">
        <v>80</v>
      </c>
      <c r="B114" s="4">
        <v>0.9</v>
      </c>
      <c r="C114" s="4">
        <v>0.5</v>
      </c>
      <c r="D114" s="4">
        <v>0.6</v>
      </c>
      <c r="E114" s="4">
        <v>0.3</v>
      </c>
      <c r="F114" s="6">
        <v>451.28558299999997</v>
      </c>
      <c r="G114" s="4">
        <v>1E-3</v>
      </c>
      <c r="I114" s="4" t="s">
        <v>80</v>
      </c>
      <c r="J114" s="4">
        <v>0.9</v>
      </c>
      <c r="K114" s="4">
        <v>0.5</v>
      </c>
      <c r="L114" s="4">
        <v>0.6</v>
      </c>
      <c r="M114" s="4">
        <v>0.37</v>
      </c>
      <c r="N114" s="4">
        <v>464.92394999999999</v>
      </c>
      <c r="O114" s="4">
        <v>1E-3</v>
      </c>
      <c r="P114" s="5"/>
      <c r="Q114" s="5"/>
      <c r="R114" s="5"/>
      <c r="S114" s="5"/>
      <c r="U114" s="4" t="s">
        <v>80</v>
      </c>
      <c r="V114" s="4">
        <v>0.9</v>
      </c>
      <c r="W114" s="4">
        <v>0.5</v>
      </c>
      <c r="X114" s="4">
        <v>0.6</v>
      </c>
      <c r="Y114" s="4">
        <v>0.3</v>
      </c>
      <c r="Z114" s="6">
        <v>409.03671300000002</v>
      </c>
      <c r="AA114" s="4">
        <v>1E-3</v>
      </c>
      <c r="AC114" s="4" t="s">
        <v>80</v>
      </c>
      <c r="AD114" s="4">
        <v>0.9</v>
      </c>
      <c r="AE114" s="4">
        <v>0.5</v>
      </c>
      <c r="AF114" s="4">
        <v>0.6</v>
      </c>
      <c r="AG114" s="4">
        <v>0.3</v>
      </c>
      <c r="AH114" s="4">
        <v>413.60144000000003</v>
      </c>
      <c r="AI114" s="4">
        <v>1E-3</v>
      </c>
      <c r="AJ114" s="5"/>
      <c r="AK114" s="5"/>
      <c r="AL114" s="5"/>
      <c r="AM114" s="5"/>
      <c r="AO114" s="4" t="s">
        <v>81</v>
      </c>
      <c r="AP114" s="4">
        <v>0.9</v>
      </c>
      <c r="AQ114" s="4">
        <v>0.5</v>
      </c>
      <c r="AR114" s="4">
        <v>0.6</v>
      </c>
      <c r="AS114" s="4">
        <v>0.3</v>
      </c>
      <c r="AT114" s="6">
        <v>737.57080099999996</v>
      </c>
      <c r="AU114" s="4">
        <v>6.0000000000000001E-3</v>
      </c>
      <c r="AW114" s="4" t="s">
        <v>81</v>
      </c>
      <c r="AX114" s="4">
        <v>0.9</v>
      </c>
      <c r="AY114" s="4">
        <v>0.5</v>
      </c>
      <c r="AZ114" s="4">
        <v>0.6</v>
      </c>
      <c r="BA114" s="4">
        <v>0.32</v>
      </c>
      <c r="BB114" s="4">
        <v>750.23406999999997</v>
      </c>
      <c r="BC114" s="4">
        <v>4.0000000000000001E-3</v>
      </c>
      <c r="BD114" s="5"/>
      <c r="BE114" s="5"/>
      <c r="BF114" s="5"/>
      <c r="BG114" s="5"/>
      <c r="BI114" s="4" t="s">
        <v>81</v>
      </c>
      <c r="BJ114" s="4">
        <v>0.9</v>
      </c>
      <c r="BK114" s="4">
        <v>0.5</v>
      </c>
      <c r="BL114" s="4">
        <v>0.6</v>
      </c>
      <c r="BM114" s="4">
        <v>0.3</v>
      </c>
      <c r="BN114" s="6">
        <v>696.82580600000006</v>
      </c>
      <c r="BO114" s="4">
        <v>4.0000000000000001E-3</v>
      </c>
      <c r="BQ114" s="4" t="s">
        <v>81</v>
      </c>
      <c r="BR114" s="4">
        <v>0.9</v>
      </c>
      <c r="BS114" s="4">
        <v>0.5</v>
      </c>
      <c r="BT114" s="4">
        <v>0.6</v>
      </c>
      <c r="BU114" s="4">
        <v>0.31</v>
      </c>
      <c r="BV114" s="4">
        <v>712.08752400000003</v>
      </c>
      <c r="BW114" s="4">
        <v>4.0000000000000001E-3</v>
      </c>
      <c r="BX114" s="5"/>
      <c r="BY114" s="5"/>
      <c r="BZ114" s="5"/>
      <c r="CA114" s="5"/>
    </row>
    <row r="115" spans="1:79" x14ac:dyDescent="0.3">
      <c r="A115" s="4" t="s">
        <v>82</v>
      </c>
      <c r="B115" s="4">
        <v>0.9</v>
      </c>
      <c r="C115" s="4">
        <v>0.5</v>
      </c>
      <c r="D115" s="4">
        <v>0.6</v>
      </c>
      <c r="E115" s="4">
        <v>0.3</v>
      </c>
      <c r="F115" s="6">
        <v>417.13317899999998</v>
      </c>
      <c r="G115" s="4">
        <v>1E-3</v>
      </c>
      <c r="I115" s="4" t="s">
        <v>82</v>
      </c>
      <c r="J115" s="4">
        <v>0.9</v>
      </c>
      <c r="K115" s="4">
        <v>0.5</v>
      </c>
      <c r="L115" s="4">
        <v>0.6</v>
      </c>
      <c r="M115" s="4">
        <v>0.37</v>
      </c>
      <c r="N115" s="4">
        <v>423.14672899999999</v>
      </c>
      <c r="O115" s="4">
        <v>1E-3</v>
      </c>
      <c r="P115" s="5"/>
      <c r="Q115" s="5"/>
      <c r="R115" s="5"/>
      <c r="S115" s="5"/>
      <c r="U115" s="4" t="s">
        <v>82</v>
      </c>
      <c r="V115" s="4">
        <v>0.9</v>
      </c>
      <c r="W115" s="4">
        <v>0.5</v>
      </c>
      <c r="X115" s="4">
        <v>0.6</v>
      </c>
      <c r="Y115" s="4">
        <v>0.3</v>
      </c>
      <c r="Z115" s="6">
        <v>389.21209700000003</v>
      </c>
      <c r="AA115" s="4">
        <v>1E-3</v>
      </c>
      <c r="AC115" s="4" t="s">
        <v>82</v>
      </c>
      <c r="AD115" s="4">
        <v>0.9</v>
      </c>
      <c r="AE115" s="4">
        <v>0.5</v>
      </c>
      <c r="AF115" s="4">
        <v>0.6</v>
      </c>
      <c r="AG115" s="4">
        <v>0.34</v>
      </c>
      <c r="AH115" s="4">
        <v>390.92746</v>
      </c>
      <c r="AI115" s="4">
        <v>1E-3</v>
      </c>
      <c r="AJ115" s="5"/>
      <c r="AK115" s="5"/>
      <c r="AL115" s="5"/>
      <c r="AM115" s="5"/>
      <c r="AO115" s="4" t="s">
        <v>83</v>
      </c>
      <c r="AP115" s="4">
        <v>0.9</v>
      </c>
      <c r="AQ115" s="4">
        <v>0.5</v>
      </c>
      <c r="AR115" s="4">
        <v>0.6</v>
      </c>
      <c r="AS115" s="4">
        <v>0.3</v>
      </c>
      <c r="AT115" s="6">
        <v>756.04290800000001</v>
      </c>
      <c r="AU115" s="4">
        <v>5.0000000000000001E-3</v>
      </c>
      <c r="AW115" s="4" t="s">
        <v>83</v>
      </c>
      <c r="AX115" s="4">
        <v>0.9</v>
      </c>
      <c r="AY115" s="4">
        <v>0.5</v>
      </c>
      <c r="AZ115" s="4">
        <v>0.6</v>
      </c>
      <c r="BA115" s="4">
        <v>0.33</v>
      </c>
      <c r="BB115" s="4">
        <v>764.42687999999998</v>
      </c>
      <c r="BC115" s="4">
        <v>4.0000000000000001E-3</v>
      </c>
      <c r="BD115" s="5"/>
      <c r="BE115" s="5"/>
      <c r="BF115" s="5"/>
      <c r="BG115" s="5"/>
      <c r="BI115" s="4" t="s">
        <v>83</v>
      </c>
      <c r="BJ115" s="4">
        <v>0.9</v>
      </c>
      <c r="BK115" s="4">
        <v>0.5</v>
      </c>
      <c r="BL115" s="4">
        <v>0.6</v>
      </c>
      <c r="BM115" s="4">
        <v>0.3</v>
      </c>
      <c r="BN115" s="6">
        <v>705.35290499999996</v>
      </c>
      <c r="BO115" s="4">
        <v>7.0000000000000001E-3</v>
      </c>
      <c r="BQ115" s="4" t="s">
        <v>83</v>
      </c>
      <c r="BR115" s="4">
        <v>0.9</v>
      </c>
      <c r="BS115" s="4">
        <v>0.5</v>
      </c>
      <c r="BT115" s="4">
        <v>0.6</v>
      </c>
      <c r="BU115" s="4">
        <v>0.3</v>
      </c>
      <c r="BV115" s="4">
        <v>726.19879200000003</v>
      </c>
      <c r="BW115" s="4">
        <v>4.0000000000000001E-3</v>
      </c>
      <c r="BX115" s="5"/>
      <c r="BY115" s="5"/>
      <c r="BZ115" s="5"/>
      <c r="CA115" s="5"/>
    </row>
    <row r="116" spans="1:79" x14ac:dyDescent="0.3">
      <c r="A116" s="4" t="s">
        <v>84</v>
      </c>
      <c r="B116" s="4">
        <v>0.9</v>
      </c>
      <c r="C116" s="4">
        <v>0.5</v>
      </c>
      <c r="D116" s="4">
        <v>0.6</v>
      </c>
      <c r="E116" s="4">
        <v>0.3</v>
      </c>
      <c r="F116" s="6">
        <v>523.14532499999996</v>
      </c>
      <c r="G116" s="4">
        <v>1E-3</v>
      </c>
      <c r="I116" s="4" t="s">
        <v>84</v>
      </c>
      <c r="J116" s="4">
        <v>0.9</v>
      </c>
      <c r="K116" s="4">
        <v>0.5</v>
      </c>
      <c r="L116" s="4">
        <v>0.6</v>
      </c>
      <c r="M116" s="4">
        <v>0.32</v>
      </c>
      <c r="N116" s="4">
        <v>546.52374299999997</v>
      </c>
      <c r="O116" s="4">
        <v>1E-3</v>
      </c>
      <c r="P116" s="5"/>
      <c r="Q116" s="5"/>
      <c r="R116" s="5"/>
      <c r="S116" s="5"/>
      <c r="U116" s="4" t="s">
        <v>84</v>
      </c>
      <c r="V116" s="4">
        <v>0.9</v>
      </c>
      <c r="W116" s="4">
        <v>0.5</v>
      </c>
      <c r="X116" s="4">
        <v>0.6</v>
      </c>
      <c r="Y116" s="4">
        <v>0.3</v>
      </c>
      <c r="Z116" s="6">
        <v>473.73468000000003</v>
      </c>
      <c r="AA116" s="4">
        <v>2E-3</v>
      </c>
      <c r="AC116" s="4" t="s">
        <v>84</v>
      </c>
      <c r="AD116" s="4">
        <v>0.9</v>
      </c>
      <c r="AE116" s="4">
        <v>0.5</v>
      </c>
      <c r="AF116" s="4">
        <v>0.6</v>
      </c>
      <c r="AG116" s="4">
        <v>0.34</v>
      </c>
      <c r="AH116" s="4">
        <v>478.70352200000002</v>
      </c>
      <c r="AI116" s="4">
        <v>1E-3</v>
      </c>
      <c r="AJ116" s="5"/>
      <c r="AK116" s="5"/>
      <c r="AL116" s="5"/>
      <c r="AM116" s="5"/>
      <c r="AO116" s="4" t="s">
        <v>85</v>
      </c>
      <c r="AP116" s="4">
        <v>0.9</v>
      </c>
      <c r="AQ116" s="4">
        <v>0.5</v>
      </c>
      <c r="AR116" s="4">
        <v>0.6</v>
      </c>
      <c r="AS116" s="4">
        <v>0.3</v>
      </c>
      <c r="AT116" s="6">
        <v>859.24054000000001</v>
      </c>
      <c r="AU116" s="4">
        <v>1.2E-2</v>
      </c>
      <c r="AW116" s="4" t="s">
        <v>85</v>
      </c>
      <c r="AX116" s="4">
        <v>0.9</v>
      </c>
      <c r="AY116" s="4">
        <v>0.5</v>
      </c>
      <c r="AZ116" s="4">
        <v>0.6</v>
      </c>
      <c r="BA116" s="4">
        <v>0.31</v>
      </c>
      <c r="BB116" s="4">
        <v>896.339294</v>
      </c>
      <c r="BC116" s="4">
        <v>4.0000000000000001E-3</v>
      </c>
      <c r="BD116" s="5"/>
      <c r="BE116" s="5"/>
      <c r="BF116" s="5"/>
      <c r="BG116" s="5"/>
      <c r="BI116" s="4" t="s">
        <v>85</v>
      </c>
      <c r="BJ116" s="4">
        <v>0.9</v>
      </c>
      <c r="BK116" s="4">
        <v>0.5</v>
      </c>
      <c r="BL116" s="4">
        <v>0.6</v>
      </c>
      <c r="BM116" s="4">
        <v>0.3</v>
      </c>
      <c r="BN116" s="6">
        <v>833.49041699999998</v>
      </c>
      <c r="BO116" s="4">
        <v>5.0000000000000001E-3</v>
      </c>
      <c r="BQ116" s="4" t="s">
        <v>85</v>
      </c>
      <c r="BR116" s="4">
        <v>0.9</v>
      </c>
      <c r="BS116" s="4">
        <v>0.5</v>
      </c>
      <c r="BT116" s="4">
        <v>0.6</v>
      </c>
      <c r="BU116" s="4">
        <v>0.32</v>
      </c>
      <c r="BV116" s="4">
        <v>859.64386000000002</v>
      </c>
      <c r="BW116" s="4">
        <v>5.0000000000000001E-3</v>
      </c>
      <c r="BX116" s="5"/>
      <c r="BY116" s="5"/>
      <c r="BZ116" s="5"/>
      <c r="CA116" s="5"/>
    </row>
    <row r="117" spans="1:79" x14ac:dyDescent="0.3">
      <c r="A117" s="4" t="s">
        <v>86</v>
      </c>
      <c r="B117" s="4">
        <v>0.9</v>
      </c>
      <c r="C117" s="4">
        <v>0.5</v>
      </c>
      <c r="D117" s="4">
        <v>0.6</v>
      </c>
      <c r="E117" s="4">
        <v>0.3</v>
      </c>
      <c r="F117" s="6">
        <v>572.10864300000003</v>
      </c>
      <c r="G117" s="4">
        <v>2E-3</v>
      </c>
      <c r="I117" s="4" t="s">
        <v>86</v>
      </c>
      <c r="J117" s="4">
        <v>0.9</v>
      </c>
      <c r="K117" s="4">
        <v>0.5</v>
      </c>
      <c r="L117" s="4">
        <v>0.6</v>
      </c>
      <c r="M117" s="4">
        <v>0.31</v>
      </c>
      <c r="N117" s="4">
        <v>576.66253700000004</v>
      </c>
      <c r="O117" s="4">
        <v>1E-3</v>
      </c>
      <c r="P117" s="5"/>
      <c r="Q117" s="5"/>
      <c r="R117" s="5"/>
      <c r="S117" s="5"/>
      <c r="U117" s="4" t="s">
        <v>86</v>
      </c>
      <c r="V117" s="4" t="s">
        <v>319</v>
      </c>
      <c r="W117" s="4">
        <v>0.5</v>
      </c>
      <c r="X117" s="4">
        <v>0.6</v>
      </c>
      <c r="Y117" s="4">
        <v>0.3</v>
      </c>
      <c r="Z117" s="6">
        <v>515.123108</v>
      </c>
      <c r="AA117" s="4">
        <v>1E-3</v>
      </c>
      <c r="AC117" s="4" t="s">
        <v>86</v>
      </c>
      <c r="AD117" s="4">
        <v>0.9</v>
      </c>
      <c r="AE117" s="4">
        <v>0.5</v>
      </c>
      <c r="AF117" s="4">
        <v>0.6</v>
      </c>
      <c r="AG117" s="4">
        <v>0.35</v>
      </c>
      <c r="AH117" s="4">
        <v>518.72546399999999</v>
      </c>
      <c r="AI117" s="4">
        <v>1E-3</v>
      </c>
      <c r="AJ117" s="5"/>
      <c r="AK117" s="5"/>
      <c r="AL117" s="5"/>
      <c r="AM117" s="5"/>
      <c r="AO117" s="4" t="s">
        <v>87</v>
      </c>
      <c r="AP117" s="4">
        <v>0.9</v>
      </c>
      <c r="AQ117" s="4">
        <v>0.5</v>
      </c>
      <c r="AR117" s="4">
        <v>0.6</v>
      </c>
      <c r="AS117" s="4">
        <v>0.3</v>
      </c>
      <c r="AT117" s="6">
        <v>801.49798599999997</v>
      </c>
      <c r="AU117" s="4">
        <v>5.0000000000000001E-3</v>
      </c>
      <c r="AW117" s="4" t="s">
        <v>87</v>
      </c>
      <c r="AX117" s="4">
        <v>0.9</v>
      </c>
      <c r="AY117" s="4">
        <v>0.5</v>
      </c>
      <c r="AZ117" s="4">
        <v>0.6</v>
      </c>
      <c r="BA117" s="4">
        <v>0.3</v>
      </c>
      <c r="BB117" s="4">
        <v>827.04736300000002</v>
      </c>
      <c r="BC117" s="4">
        <v>5.0000000000000001E-3</v>
      </c>
      <c r="BD117" s="5"/>
      <c r="BE117" s="5"/>
      <c r="BF117" s="5"/>
      <c r="BG117" s="5"/>
      <c r="BI117" s="4" t="s">
        <v>87</v>
      </c>
      <c r="BJ117" s="4">
        <v>0.9</v>
      </c>
      <c r="BK117" s="4">
        <v>0.5</v>
      </c>
      <c r="BL117" s="4">
        <v>0.6</v>
      </c>
      <c r="BM117" s="4">
        <v>0.3</v>
      </c>
      <c r="BN117" s="6">
        <v>745.94787599999995</v>
      </c>
      <c r="BO117" s="4">
        <v>7.0000000000000001E-3</v>
      </c>
      <c r="BQ117" s="4" t="s">
        <v>87</v>
      </c>
      <c r="BR117" s="4">
        <v>0.9</v>
      </c>
      <c r="BS117" s="4">
        <v>0.5</v>
      </c>
      <c r="BT117" s="4">
        <v>0.6</v>
      </c>
      <c r="BU117" s="4">
        <v>0.31</v>
      </c>
      <c r="BV117" s="4">
        <v>755.50299099999995</v>
      </c>
      <c r="BW117" s="4">
        <v>5.0000000000000001E-3</v>
      </c>
      <c r="BX117" s="5"/>
      <c r="BY117" s="5"/>
      <c r="BZ117" s="5"/>
      <c r="CA117" s="5"/>
    </row>
    <row r="118" spans="1:79" x14ac:dyDescent="0.3">
      <c r="A118" s="4" t="s">
        <v>88</v>
      </c>
      <c r="B118" s="4">
        <v>0.9</v>
      </c>
      <c r="C118" s="4">
        <v>0.5</v>
      </c>
      <c r="D118" s="4">
        <v>0.6</v>
      </c>
      <c r="E118" s="4">
        <v>0.3</v>
      </c>
      <c r="F118" s="6">
        <v>486.26937900000001</v>
      </c>
      <c r="G118" s="4">
        <v>1E-3</v>
      </c>
      <c r="I118" s="4" t="s">
        <v>88</v>
      </c>
      <c r="J118" s="4">
        <v>0.9</v>
      </c>
      <c r="K118" s="4">
        <v>0.5</v>
      </c>
      <c r="L118" s="4">
        <v>0.6</v>
      </c>
      <c r="M118" s="4">
        <v>0.31</v>
      </c>
      <c r="N118" s="4">
        <v>498.79675300000002</v>
      </c>
      <c r="O118" s="4">
        <v>0</v>
      </c>
      <c r="P118" s="5"/>
      <c r="Q118" s="5"/>
      <c r="R118" s="5"/>
      <c r="S118" s="5"/>
      <c r="U118" s="4" t="s">
        <v>88</v>
      </c>
      <c r="V118" s="4">
        <v>0.9</v>
      </c>
      <c r="W118" s="4">
        <v>0.5</v>
      </c>
      <c r="X118" s="4">
        <v>0.6</v>
      </c>
      <c r="Y118" s="4">
        <v>0.3</v>
      </c>
      <c r="Z118" s="6">
        <v>423.61642499999999</v>
      </c>
      <c r="AA118" s="4">
        <v>1E-3</v>
      </c>
      <c r="AC118" s="4" t="s">
        <v>88</v>
      </c>
      <c r="AD118" s="4">
        <v>0.9</v>
      </c>
      <c r="AE118" s="4">
        <v>0.5</v>
      </c>
      <c r="AF118" s="4">
        <v>0.6</v>
      </c>
      <c r="AG118" s="4">
        <v>0.31</v>
      </c>
      <c r="AH118" s="4">
        <v>443.48443600000002</v>
      </c>
      <c r="AI118" s="4">
        <v>0</v>
      </c>
      <c r="AJ118" s="5"/>
      <c r="AK118" s="5"/>
      <c r="AL118" s="5"/>
      <c r="AM118" s="5"/>
      <c r="AO118" s="4" t="s">
        <v>89</v>
      </c>
      <c r="AP118" s="4">
        <v>0.9</v>
      </c>
      <c r="AQ118" s="4">
        <v>0.5</v>
      </c>
      <c r="AR118" s="4">
        <v>0.6</v>
      </c>
      <c r="AS118" s="4">
        <v>0.3</v>
      </c>
      <c r="AT118" s="6">
        <v>776.49542199999996</v>
      </c>
      <c r="AU118" s="4">
        <v>4.0000000000000001E-3</v>
      </c>
      <c r="AW118" s="4" t="s">
        <v>89</v>
      </c>
      <c r="AX118" s="4">
        <v>0.9</v>
      </c>
      <c r="AY118" s="4">
        <v>0.5</v>
      </c>
      <c r="AZ118" s="4">
        <v>0.6</v>
      </c>
      <c r="BA118" s="4">
        <v>0.3</v>
      </c>
      <c r="BB118" s="4">
        <v>818.80304000000001</v>
      </c>
      <c r="BC118" s="4">
        <v>5.0000000000000001E-3</v>
      </c>
      <c r="BD118" s="5"/>
      <c r="BE118" s="5"/>
      <c r="BF118" s="5"/>
      <c r="BG118" s="5"/>
      <c r="BI118" s="4" t="s">
        <v>89</v>
      </c>
      <c r="BJ118" s="4">
        <v>0.9</v>
      </c>
      <c r="BK118" s="4">
        <v>0.5</v>
      </c>
      <c r="BL118" s="4">
        <v>0.6</v>
      </c>
      <c r="BM118" s="4">
        <v>0.3</v>
      </c>
      <c r="BN118" s="6">
        <v>742.25097700000003</v>
      </c>
      <c r="BO118" s="4">
        <v>4.0000000000000001E-3</v>
      </c>
      <c r="BQ118" s="4" t="s">
        <v>89</v>
      </c>
      <c r="BR118" s="4">
        <v>0.9</v>
      </c>
      <c r="BS118" s="4">
        <v>0.5</v>
      </c>
      <c r="BT118" s="4">
        <v>0.6</v>
      </c>
      <c r="BU118" s="4">
        <v>0.3</v>
      </c>
      <c r="BV118" s="4">
        <v>784.81518600000004</v>
      </c>
      <c r="BW118" s="4">
        <v>4.0000000000000001E-3</v>
      </c>
      <c r="BX118" s="5"/>
      <c r="BY118" s="5"/>
      <c r="BZ118" s="5"/>
      <c r="CA118" s="5"/>
    </row>
    <row r="119" spans="1:79" x14ac:dyDescent="0.3">
      <c r="A119" s="4" t="s">
        <v>90</v>
      </c>
      <c r="B119" s="4">
        <v>0.9</v>
      </c>
      <c r="C119" s="4">
        <v>0.5</v>
      </c>
      <c r="D119" s="4">
        <v>0.6</v>
      </c>
      <c r="E119" s="4">
        <v>0.3</v>
      </c>
      <c r="F119" s="6">
        <v>433.58477800000003</v>
      </c>
      <c r="G119" s="4">
        <v>1E-3</v>
      </c>
      <c r="I119" s="4" t="s">
        <v>90</v>
      </c>
      <c r="J119" s="4">
        <v>0.9</v>
      </c>
      <c r="K119" s="4">
        <v>0.5</v>
      </c>
      <c r="L119" s="4">
        <v>0.6</v>
      </c>
      <c r="M119" s="4">
        <v>0.34</v>
      </c>
      <c r="N119" s="4">
        <v>444.79968300000002</v>
      </c>
      <c r="O119" s="4">
        <v>1E-3</v>
      </c>
      <c r="P119" s="5"/>
      <c r="Q119" s="5"/>
      <c r="R119" s="5"/>
      <c r="S119" s="5"/>
      <c r="U119" s="4" t="s">
        <v>90</v>
      </c>
      <c r="V119" s="4">
        <v>0.9</v>
      </c>
      <c r="W119" s="4">
        <v>0.5</v>
      </c>
      <c r="X119" s="4">
        <v>0.6</v>
      </c>
      <c r="Y119" s="4">
        <v>0.3</v>
      </c>
      <c r="Z119" s="6">
        <v>402.05816700000003</v>
      </c>
      <c r="AA119" s="4">
        <v>1E-3</v>
      </c>
      <c r="AC119" s="4" t="s">
        <v>90</v>
      </c>
      <c r="AD119" s="4">
        <v>0.9</v>
      </c>
      <c r="AE119" s="4">
        <v>0.5</v>
      </c>
      <c r="AF119" s="4">
        <v>0.6</v>
      </c>
      <c r="AG119" s="4">
        <v>0.31</v>
      </c>
      <c r="AH119" s="4">
        <v>408.78964200000001</v>
      </c>
      <c r="AI119" s="4">
        <v>1E-3</v>
      </c>
      <c r="AJ119" s="5"/>
      <c r="AK119" s="5"/>
      <c r="AL119" s="5"/>
      <c r="AM119" s="5"/>
      <c r="AO119" s="4" t="s">
        <v>91</v>
      </c>
      <c r="AP119" s="4">
        <v>0.9</v>
      </c>
      <c r="AQ119" s="4">
        <v>0.5</v>
      </c>
      <c r="AR119" s="4">
        <v>0.6</v>
      </c>
      <c r="AS119" s="4">
        <v>0.3</v>
      </c>
      <c r="AT119" s="6">
        <v>785.48406999999997</v>
      </c>
      <c r="AU119" s="4">
        <v>7.0000000000000001E-3</v>
      </c>
      <c r="AW119" s="4" t="s">
        <v>91</v>
      </c>
      <c r="AX119" s="4">
        <v>0.9</v>
      </c>
      <c r="AY119" s="4">
        <v>0.5</v>
      </c>
      <c r="AZ119" s="4">
        <v>0.6</v>
      </c>
      <c r="BA119" s="4">
        <v>0.3</v>
      </c>
      <c r="BB119" s="4">
        <v>827.49511700000005</v>
      </c>
      <c r="BC119" s="4">
        <v>6.0000000000000001E-3</v>
      </c>
      <c r="BD119" s="5"/>
      <c r="BE119" s="5"/>
      <c r="BF119" s="5"/>
      <c r="BG119" s="5"/>
      <c r="BI119" s="4" t="s">
        <v>91</v>
      </c>
      <c r="BJ119" s="4">
        <v>0.9</v>
      </c>
      <c r="BK119" s="4">
        <v>0.5</v>
      </c>
      <c r="BL119" s="4">
        <v>0.6</v>
      </c>
      <c r="BM119" s="4">
        <v>0.3</v>
      </c>
      <c r="BN119" s="6">
        <v>746.04382299999997</v>
      </c>
      <c r="BO119" s="4">
        <v>4.0000000000000001E-3</v>
      </c>
      <c r="BQ119" s="4" t="s">
        <v>91</v>
      </c>
      <c r="BR119" s="4">
        <v>0.9</v>
      </c>
      <c r="BS119" s="4">
        <v>0.5</v>
      </c>
      <c r="BT119" s="4">
        <v>0.6</v>
      </c>
      <c r="BU119" s="4">
        <v>0.3</v>
      </c>
      <c r="BV119" s="4">
        <v>762.36230499999999</v>
      </c>
      <c r="BW119" s="4">
        <v>4.0000000000000001E-3</v>
      </c>
      <c r="BX119" s="5"/>
      <c r="BY119" s="5"/>
      <c r="BZ119" s="5"/>
      <c r="CA119" s="5"/>
    </row>
    <row r="120" spans="1:79" x14ac:dyDescent="0.3">
      <c r="A120" s="4" t="s">
        <v>92</v>
      </c>
      <c r="B120" s="4">
        <v>0.9</v>
      </c>
      <c r="C120" s="4">
        <v>0.5</v>
      </c>
      <c r="D120" s="4">
        <v>0.6</v>
      </c>
      <c r="E120" s="4">
        <v>0.3</v>
      </c>
      <c r="F120" s="6">
        <v>560.24304199999995</v>
      </c>
      <c r="G120" s="4">
        <v>1E-3</v>
      </c>
      <c r="I120" s="4" t="s">
        <v>92</v>
      </c>
      <c r="J120" s="4">
        <v>0.9</v>
      </c>
      <c r="K120" s="4">
        <v>0.5</v>
      </c>
      <c r="L120" s="4">
        <v>0.6</v>
      </c>
      <c r="M120" s="4">
        <v>0.31</v>
      </c>
      <c r="N120" s="4">
        <v>563.186646</v>
      </c>
      <c r="O120" s="4">
        <v>1E-3</v>
      </c>
      <c r="P120" s="5"/>
      <c r="Q120" s="5"/>
      <c r="R120" s="5"/>
      <c r="S120" s="5"/>
      <c r="U120" s="4" t="s">
        <v>92</v>
      </c>
      <c r="V120" s="4">
        <v>0.9</v>
      </c>
      <c r="W120" s="4">
        <v>0.5</v>
      </c>
      <c r="X120" s="4">
        <v>0.6</v>
      </c>
      <c r="Y120" s="4">
        <v>0.3</v>
      </c>
      <c r="Z120" s="4">
        <v>496.61914100000001</v>
      </c>
      <c r="AA120" s="4">
        <v>1E-3</v>
      </c>
      <c r="AC120" s="4" t="s">
        <v>92</v>
      </c>
      <c r="AD120" s="4">
        <v>0.9</v>
      </c>
      <c r="AE120" s="4">
        <v>0.5</v>
      </c>
      <c r="AF120" s="4">
        <v>0.6</v>
      </c>
      <c r="AG120" s="4">
        <v>0.33</v>
      </c>
      <c r="AH120" s="6">
        <v>490.313782</v>
      </c>
      <c r="AI120" s="4">
        <v>1E-3</v>
      </c>
      <c r="AJ120" s="5"/>
      <c r="AK120" s="5"/>
      <c r="AL120" s="5"/>
      <c r="AM120" s="5"/>
      <c r="AO120" s="4" t="s">
        <v>93</v>
      </c>
      <c r="AP120" s="4">
        <v>0.9</v>
      </c>
      <c r="AQ120" s="4">
        <v>0.5</v>
      </c>
      <c r="AR120" s="4">
        <v>0.6</v>
      </c>
      <c r="AS120" s="4">
        <v>0.3</v>
      </c>
      <c r="AT120" s="6">
        <v>741.36206100000004</v>
      </c>
      <c r="AU120" s="4">
        <v>8.0000000000000002E-3</v>
      </c>
      <c r="AW120" s="4" t="s">
        <v>93</v>
      </c>
      <c r="AX120" s="4">
        <v>0.9</v>
      </c>
      <c r="AY120" s="4">
        <v>0.5</v>
      </c>
      <c r="AZ120" s="4">
        <v>0.6</v>
      </c>
      <c r="BA120" s="4">
        <v>0.31</v>
      </c>
      <c r="BB120" s="4">
        <v>758.79504399999996</v>
      </c>
      <c r="BC120" s="4">
        <v>4.0000000000000001E-3</v>
      </c>
      <c r="BD120" s="5"/>
      <c r="BE120" s="5"/>
      <c r="BF120" s="5"/>
      <c r="BG120" s="5"/>
      <c r="BI120" s="4" t="s">
        <v>93</v>
      </c>
      <c r="BJ120" s="4">
        <v>0.9</v>
      </c>
      <c r="BK120" s="4">
        <v>0.5</v>
      </c>
      <c r="BL120" s="4">
        <v>0.6</v>
      </c>
      <c r="BM120" s="4">
        <v>0.3</v>
      </c>
      <c r="BN120" s="6">
        <v>706.64318800000001</v>
      </c>
      <c r="BO120" s="4">
        <v>5.0000000000000001E-3</v>
      </c>
      <c r="BQ120" s="4" t="s">
        <v>93</v>
      </c>
      <c r="BR120" s="4">
        <v>0.9</v>
      </c>
      <c r="BS120" s="4">
        <v>0.5</v>
      </c>
      <c r="BT120" s="4">
        <v>0.6</v>
      </c>
      <c r="BU120" s="4">
        <v>0.3</v>
      </c>
      <c r="BV120" s="4">
        <v>719.65856900000006</v>
      </c>
      <c r="BW120" s="4">
        <v>4.0000000000000001E-3</v>
      </c>
      <c r="BX120" s="5"/>
      <c r="BY120" s="5"/>
      <c r="BZ120" s="5"/>
      <c r="CA120" s="5"/>
    </row>
    <row r="121" spans="1:79" x14ac:dyDescent="0.3">
      <c r="A121" s="4" t="s">
        <v>94</v>
      </c>
      <c r="B121" s="4">
        <v>0.9</v>
      </c>
      <c r="C121" s="4">
        <v>0.5</v>
      </c>
      <c r="D121" s="4">
        <v>0.6</v>
      </c>
      <c r="E121" s="4">
        <v>0.3</v>
      </c>
      <c r="F121" s="6">
        <v>441.745544</v>
      </c>
      <c r="G121" s="4">
        <v>2E-3</v>
      </c>
      <c r="I121" s="4" t="s">
        <v>94</v>
      </c>
      <c r="J121" s="4">
        <v>0.9</v>
      </c>
      <c r="K121" s="4">
        <v>0.5</v>
      </c>
      <c r="L121" s="4">
        <v>0.6</v>
      </c>
      <c r="M121" s="4">
        <v>0.32</v>
      </c>
      <c r="N121" s="4">
        <v>462.340057</v>
      </c>
      <c r="O121" s="4">
        <v>1E-3</v>
      </c>
      <c r="P121" s="5"/>
      <c r="Q121" s="5"/>
      <c r="R121" s="5"/>
      <c r="S121" s="5"/>
      <c r="U121" s="4" t="s">
        <v>94</v>
      </c>
      <c r="V121" s="4">
        <v>0.9</v>
      </c>
      <c r="W121" s="4">
        <v>0.5</v>
      </c>
      <c r="X121" s="4">
        <v>0.6</v>
      </c>
      <c r="Y121" s="4">
        <v>0.3</v>
      </c>
      <c r="Z121" s="6">
        <v>420.32147200000003</v>
      </c>
      <c r="AA121" s="4">
        <v>1E-3</v>
      </c>
      <c r="AC121" s="4" t="s">
        <v>94</v>
      </c>
      <c r="AD121" s="4">
        <v>0.9</v>
      </c>
      <c r="AE121" s="4">
        <v>0.5</v>
      </c>
      <c r="AF121" s="4">
        <v>0.6</v>
      </c>
      <c r="AG121" s="4">
        <v>0.31</v>
      </c>
      <c r="AH121" s="4">
        <v>441.841339</v>
      </c>
      <c r="AI121" s="4">
        <v>1E-3</v>
      </c>
      <c r="AJ121" s="5"/>
      <c r="AK121" s="5"/>
      <c r="AL121" s="5"/>
      <c r="AM121" s="5"/>
      <c r="AO121" s="4" t="s">
        <v>95</v>
      </c>
      <c r="AP121" s="4">
        <v>0.9</v>
      </c>
      <c r="AQ121" s="4">
        <v>0.5</v>
      </c>
      <c r="AR121" s="4">
        <v>0.6</v>
      </c>
      <c r="AS121" s="4">
        <v>0.3</v>
      </c>
      <c r="AT121" s="6">
        <v>814.53161599999999</v>
      </c>
      <c r="AU121" s="4">
        <v>8.9999999999999993E-3</v>
      </c>
      <c r="AW121" s="4" t="s">
        <v>95</v>
      </c>
      <c r="AX121" s="4">
        <v>0.9</v>
      </c>
      <c r="AY121" s="4">
        <v>0.5</v>
      </c>
      <c r="AZ121" s="4">
        <v>0.6</v>
      </c>
      <c r="BA121" s="4">
        <v>0.32</v>
      </c>
      <c r="BB121" s="4">
        <v>846.48864700000001</v>
      </c>
      <c r="BC121" s="4">
        <v>5.0000000000000001E-3</v>
      </c>
      <c r="BD121" s="5"/>
      <c r="BE121" s="5"/>
      <c r="BF121" s="5"/>
      <c r="BG121" s="5"/>
      <c r="BI121" s="4" t="s">
        <v>95</v>
      </c>
      <c r="BJ121" s="4">
        <v>0.9</v>
      </c>
      <c r="BK121" s="4">
        <v>0.5</v>
      </c>
      <c r="BL121" s="4">
        <v>0.6</v>
      </c>
      <c r="BM121" s="4">
        <v>0.3</v>
      </c>
      <c r="BN121" s="6">
        <v>771.59594700000002</v>
      </c>
      <c r="BO121" s="4">
        <v>7.0000000000000001E-3</v>
      </c>
      <c r="BQ121" s="4" t="s">
        <v>95</v>
      </c>
      <c r="BR121" s="4">
        <v>0.9</v>
      </c>
      <c r="BS121" s="4">
        <v>0.5</v>
      </c>
      <c r="BT121" s="4">
        <v>0.6</v>
      </c>
      <c r="BU121" s="4">
        <v>0.3</v>
      </c>
      <c r="BV121" s="4">
        <v>820.42718500000001</v>
      </c>
      <c r="BW121" s="4">
        <v>5.0000000000000001E-3</v>
      </c>
      <c r="BX121" s="5"/>
      <c r="BY121" s="5"/>
      <c r="BZ121" s="5"/>
      <c r="CA121" s="5"/>
    </row>
    <row r="122" spans="1:79" x14ac:dyDescent="0.3">
      <c r="A122" s="4" t="s">
        <v>96</v>
      </c>
      <c r="B122" s="4">
        <v>0.9</v>
      </c>
      <c r="C122" s="4">
        <v>0.5</v>
      </c>
      <c r="D122" s="4">
        <v>0.6</v>
      </c>
      <c r="E122" s="4">
        <v>0.3</v>
      </c>
      <c r="F122" s="4">
        <v>585.30450399999995</v>
      </c>
      <c r="G122" s="4">
        <v>2E-3</v>
      </c>
      <c r="I122" s="4" t="s">
        <v>96</v>
      </c>
      <c r="J122" s="4">
        <v>0.9</v>
      </c>
      <c r="K122" s="4">
        <v>0.5</v>
      </c>
      <c r="L122" s="4">
        <v>0.6</v>
      </c>
      <c r="M122" s="4">
        <v>0.33</v>
      </c>
      <c r="N122" s="6">
        <v>583.15667699999995</v>
      </c>
      <c r="O122" s="4">
        <v>1E-3</v>
      </c>
      <c r="P122" s="5"/>
      <c r="Q122" s="5"/>
      <c r="R122" s="5"/>
      <c r="S122" s="5"/>
      <c r="U122" s="4" t="s">
        <v>96</v>
      </c>
      <c r="V122" s="4">
        <v>0.9</v>
      </c>
      <c r="W122" s="4">
        <v>0.5</v>
      </c>
      <c r="X122" s="4">
        <v>0.6</v>
      </c>
      <c r="Y122" s="4">
        <v>0.3</v>
      </c>
      <c r="Z122" s="6">
        <v>558.20214799999997</v>
      </c>
      <c r="AA122" s="4">
        <v>1E-3</v>
      </c>
      <c r="AC122" s="4" t="s">
        <v>96</v>
      </c>
      <c r="AD122" s="4">
        <v>0.9</v>
      </c>
      <c r="AE122" s="4">
        <v>0.5</v>
      </c>
      <c r="AF122" s="4">
        <v>0.6</v>
      </c>
      <c r="AG122" s="4">
        <v>0.3</v>
      </c>
      <c r="AH122" s="4">
        <v>559.05523700000003</v>
      </c>
      <c r="AI122" s="4">
        <v>1E-3</v>
      </c>
      <c r="AJ122" s="5"/>
      <c r="AK122" s="5"/>
      <c r="AL122" s="5"/>
      <c r="AM122" s="5"/>
      <c r="AO122" s="4" t="s">
        <v>97</v>
      </c>
      <c r="AP122" s="4">
        <v>0.9</v>
      </c>
      <c r="AQ122" s="4">
        <v>0.5</v>
      </c>
      <c r="AR122" s="4">
        <v>0.6</v>
      </c>
      <c r="AS122" s="4">
        <v>0.3</v>
      </c>
      <c r="AT122" s="6">
        <v>955.05542000000003</v>
      </c>
      <c r="AU122" s="4">
        <v>7.0000000000000001E-3</v>
      </c>
      <c r="AW122" s="4" t="s">
        <v>97</v>
      </c>
      <c r="AX122" s="4">
        <v>0.9</v>
      </c>
      <c r="AY122" s="4">
        <v>0.5</v>
      </c>
      <c r="AZ122" s="4">
        <v>0.6</v>
      </c>
      <c r="BA122" s="4">
        <v>0.3</v>
      </c>
      <c r="BB122" s="4">
        <v>966.325378</v>
      </c>
      <c r="BC122" s="4">
        <v>5.0000000000000001E-3</v>
      </c>
      <c r="BD122" s="5"/>
      <c r="BE122" s="5"/>
      <c r="BF122" s="5"/>
      <c r="BG122" s="5"/>
      <c r="BI122" s="4" t="s">
        <v>97</v>
      </c>
      <c r="BJ122" s="4">
        <v>0.9</v>
      </c>
      <c r="BK122" s="4">
        <v>0.5</v>
      </c>
      <c r="BL122" s="4">
        <v>0.6</v>
      </c>
      <c r="BM122" s="4">
        <v>0.3</v>
      </c>
      <c r="BN122" s="6">
        <v>907.13232400000004</v>
      </c>
      <c r="BO122" s="4">
        <v>8.9999999999999993E-3</v>
      </c>
      <c r="BQ122" s="4" t="s">
        <v>97</v>
      </c>
      <c r="BR122" s="4">
        <v>0.9</v>
      </c>
      <c r="BS122" s="4">
        <v>0.5</v>
      </c>
      <c r="BT122" s="4">
        <v>0.6</v>
      </c>
      <c r="BU122" s="4">
        <v>0.3</v>
      </c>
      <c r="BV122" s="4">
        <v>946.75286900000003</v>
      </c>
      <c r="BW122" s="4">
        <v>5.0000000000000001E-3</v>
      </c>
      <c r="BX122" s="5"/>
      <c r="BY122" s="5"/>
      <c r="BZ122" s="5"/>
      <c r="CA122" s="5"/>
    </row>
    <row r="123" spans="1:79" x14ac:dyDescent="0.3">
      <c r="A123" s="4" t="s">
        <v>98</v>
      </c>
      <c r="B123" s="4">
        <v>0.9</v>
      </c>
      <c r="C123" s="4">
        <v>0.5</v>
      </c>
      <c r="D123" s="4">
        <v>0.6</v>
      </c>
      <c r="E123" s="4">
        <v>0.3</v>
      </c>
      <c r="F123" s="6">
        <v>455.38677999999999</v>
      </c>
      <c r="G123" s="4">
        <v>1E-3</v>
      </c>
      <c r="I123" s="4" t="s">
        <v>98</v>
      </c>
      <c r="J123" s="4">
        <v>0.9</v>
      </c>
      <c r="K123" s="4">
        <v>0.5</v>
      </c>
      <c r="L123" s="4">
        <v>0.6</v>
      </c>
      <c r="M123" s="4">
        <v>0.35</v>
      </c>
      <c r="N123" s="4">
        <v>474.41699199999999</v>
      </c>
      <c r="O123" s="4">
        <v>1E-3</v>
      </c>
      <c r="P123" s="5"/>
      <c r="Q123" s="5"/>
      <c r="R123" s="5"/>
      <c r="S123" s="5"/>
      <c r="U123" s="4" t="s">
        <v>98</v>
      </c>
      <c r="V123" s="4">
        <v>0.9</v>
      </c>
      <c r="W123" s="4">
        <v>0.5</v>
      </c>
      <c r="X123" s="4">
        <v>0.6</v>
      </c>
      <c r="Y123" s="4">
        <v>0.3</v>
      </c>
      <c r="Z123" s="6">
        <v>428.31997699999999</v>
      </c>
      <c r="AA123" s="4">
        <v>2E-3</v>
      </c>
      <c r="AC123" s="4" t="s">
        <v>98</v>
      </c>
      <c r="AD123" s="4">
        <v>0.9</v>
      </c>
      <c r="AE123" s="4">
        <v>0.5</v>
      </c>
      <c r="AF123" s="4">
        <v>0.6</v>
      </c>
      <c r="AG123" s="4">
        <v>0.35</v>
      </c>
      <c r="AH123" s="4">
        <v>440.73159800000002</v>
      </c>
      <c r="AI123" s="4">
        <v>1E-3</v>
      </c>
      <c r="AJ123" s="5"/>
      <c r="AK123" s="5"/>
      <c r="AL123" s="5"/>
      <c r="AM123" s="5"/>
      <c r="AO123" s="4" t="s">
        <v>99</v>
      </c>
      <c r="AP123" s="4">
        <v>0.9</v>
      </c>
      <c r="AQ123" s="4">
        <v>0.5</v>
      </c>
      <c r="AR123" s="4">
        <v>0.6</v>
      </c>
      <c r="AS123" s="4">
        <v>0.3</v>
      </c>
      <c r="AT123" s="6">
        <v>889.88458300000002</v>
      </c>
      <c r="AU123" s="4">
        <v>5.0000000000000001E-3</v>
      </c>
      <c r="AW123" s="4" t="s">
        <v>99</v>
      </c>
      <c r="AX123" s="4">
        <v>0.9</v>
      </c>
      <c r="AY123" s="4">
        <v>0.5</v>
      </c>
      <c r="AZ123" s="4">
        <v>0.6</v>
      </c>
      <c r="BA123" s="4">
        <v>0.36</v>
      </c>
      <c r="BB123" s="4">
        <v>951.66296399999999</v>
      </c>
      <c r="BC123" s="4">
        <v>5.0000000000000001E-3</v>
      </c>
      <c r="BD123" s="5"/>
      <c r="BE123" s="5"/>
      <c r="BF123" s="5"/>
      <c r="BG123" s="5"/>
      <c r="BI123" s="4" t="s">
        <v>99</v>
      </c>
      <c r="BJ123" s="4">
        <v>0.9</v>
      </c>
      <c r="BK123" s="4">
        <v>0.5</v>
      </c>
      <c r="BL123" s="4">
        <v>0.6</v>
      </c>
      <c r="BM123" s="4">
        <v>0.3</v>
      </c>
      <c r="BN123" s="6">
        <v>866.41607699999997</v>
      </c>
      <c r="BO123" s="4">
        <v>8.0000000000000002E-3</v>
      </c>
      <c r="BQ123" s="4" t="s">
        <v>99</v>
      </c>
      <c r="BR123" s="4">
        <v>0.9</v>
      </c>
      <c r="BS123" s="4">
        <v>0.5</v>
      </c>
      <c r="BT123" s="4">
        <v>0.6</v>
      </c>
      <c r="BU123" s="4">
        <v>0.33</v>
      </c>
      <c r="BV123" s="4">
        <v>884.21148700000003</v>
      </c>
      <c r="BW123" s="4">
        <v>5.0000000000000001E-3</v>
      </c>
      <c r="BX123" s="5"/>
      <c r="BY123" s="5"/>
      <c r="BZ123" s="5"/>
      <c r="CA123" s="5"/>
    </row>
    <row r="124" spans="1:79" x14ac:dyDescent="0.3">
      <c r="A124" s="4" t="s">
        <v>100</v>
      </c>
      <c r="B124" s="4">
        <v>0.9</v>
      </c>
      <c r="C124" s="4">
        <v>0.5</v>
      </c>
      <c r="D124" s="4">
        <v>0.6</v>
      </c>
      <c r="E124" s="4">
        <v>0.3</v>
      </c>
      <c r="F124" s="6">
        <v>602.13256799999999</v>
      </c>
      <c r="G124" s="4">
        <v>2E-3</v>
      </c>
      <c r="I124" s="4" t="s">
        <v>100</v>
      </c>
      <c r="J124" s="4">
        <v>0.9</v>
      </c>
      <c r="K124" s="4">
        <v>0.5</v>
      </c>
      <c r="L124" s="4">
        <v>0.6</v>
      </c>
      <c r="M124" s="4">
        <v>0.3</v>
      </c>
      <c r="N124" s="4">
        <v>610.109375</v>
      </c>
      <c r="O124" s="4">
        <v>2E-3</v>
      </c>
      <c r="P124" s="5"/>
      <c r="Q124" s="5"/>
      <c r="R124" s="5"/>
      <c r="S124" s="5"/>
      <c r="U124" s="4" t="s">
        <v>100</v>
      </c>
      <c r="V124" s="4">
        <v>0.9</v>
      </c>
      <c r="W124" s="4">
        <v>0.5</v>
      </c>
      <c r="X124" s="4">
        <v>0.6</v>
      </c>
      <c r="Y124" s="4">
        <v>0.3</v>
      </c>
      <c r="Z124" s="6">
        <v>599.50665300000003</v>
      </c>
      <c r="AA124" s="4">
        <v>1E-3</v>
      </c>
      <c r="AC124" s="4" t="s">
        <v>100</v>
      </c>
      <c r="AD124" s="4">
        <v>0.9</v>
      </c>
      <c r="AE124" s="4">
        <v>0.5</v>
      </c>
      <c r="AF124" s="4">
        <v>0.6</v>
      </c>
      <c r="AG124" s="4">
        <v>0.31</v>
      </c>
      <c r="AH124" s="4">
        <v>611.44476299999997</v>
      </c>
      <c r="AI124" s="4">
        <v>1E-3</v>
      </c>
      <c r="AJ124" s="5"/>
      <c r="AK124" s="5"/>
      <c r="AL124" s="5"/>
      <c r="AM124" s="5"/>
      <c r="AO124" s="4" t="s">
        <v>101</v>
      </c>
      <c r="AP124" s="4">
        <v>0.9</v>
      </c>
      <c r="AQ124" s="4">
        <v>0.5</v>
      </c>
      <c r="AR124" s="4">
        <v>0.6</v>
      </c>
      <c r="AS124" s="4">
        <v>0.3</v>
      </c>
      <c r="AT124" s="6">
        <v>787.32458499999996</v>
      </c>
      <c r="AU124" s="4">
        <v>5.0000000000000001E-3</v>
      </c>
      <c r="AW124" s="4" t="s">
        <v>101</v>
      </c>
      <c r="AX124" s="4">
        <v>0.9</v>
      </c>
      <c r="AY124" s="4">
        <v>0.5</v>
      </c>
      <c r="AZ124" s="4">
        <v>0.6</v>
      </c>
      <c r="BA124" s="4">
        <v>0.34</v>
      </c>
      <c r="BB124" s="4">
        <v>847.98498500000005</v>
      </c>
      <c r="BC124" s="4">
        <v>5.0000000000000001E-3</v>
      </c>
      <c r="BD124" s="5"/>
      <c r="BE124" s="5"/>
      <c r="BF124" s="5"/>
      <c r="BG124" s="5"/>
      <c r="BI124" s="4" t="s">
        <v>101</v>
      </c>
      <c r="BJ124" s="4">
        <v>0.9</v>
      </c>
      <c r="BK124" s="4">
        <v>0.5</v>
      </c>
      <c r="BL124" s="4">
        <v>0.6</v>
      </c>
      <c r="BM124" s="4">
        <v>0.3</v>
      </c>
      <c r="BN124" s="6">
        <v>788.72729500000003</v>
      </c>
      <c r="BO124" s="4">
        <v>5.0000000000000001E-3</v>
      </c>
      <c r="BQ124" s="4" t="s">
        <v>101</v>
      </c>
      <c r="BR124" s="4">
        <v>0.9</v>
      </c>
      <c r="BS124" s="4">
        <v>0.5</v>
      </c>
      <c r="BT124" s="4">
        <v>0.6</v>
      </c>
      <c r="BU124" s="4">
        <v>0.31</v>
      </c>
      <c r="BV124" s="4">
        <v>798.69805899999994</v>
      </c>
      <c r="BW124" s="4">
        <v>4.0000000000000001E-3</v>
      </c>
      <c r="BX124" s="5"/>
      <c r="BY124" s="5"/>
      <c r="BZ124" s="5"/>
      <c r="CA124" s="5"/>
    </row>
    <row r="125" spans="1:79" x14ac:dyDescent="0.3">
      <c r="A125" s="4" t="s">
        <v>102</v>
      </c>
      <c r="B125" s="4">
        <v>0.9</v>
      </c>
      <c r="C125" s="4">
        <v>0.5</v>
      </c>
      <c r="D125" s="4">
        <v>0.6</v>
      </c>
      <c r="E125" s="4">
        <v>0.3</v>
      </c>
      <c r="F125" s="6">
        <v>599.83892800000001</v>
      </c>
      <c r="G125" s="4">
        <v>1E-3</v>
      </c>
      <c r="I125" s="4" t="s">
        <v>102</v>
      </c>
      <c r="J125" s="4">
        <v>0.9</v>
      </c>
      <c r="K125" s="4">
        <v>0.5</v>
      </c>
      <c r="L125" s="4">
        <v>0.6</v>
      </c>
      <c r="M125" s="4">
        <v>0.32</v>
      </c>
      <c r="N125" s="4">
        <v>612.33050500000002</v>
      </c>
      <c r="O125" s="4">
        <v>1E-3</v>
      </c>
      <c r="P125" s="5"/>
      <c r="Q125" s="5"/>
      <c r="R125" s="5"/>
      <c r="S125" s="5"/>
      <c r="U125" s="4" t="s">
        <v>102</v>
      </c>
      <c r="V125" s="4">
        <v>0.9</v>
      </c>
      <c r="W125" s="4">
        <v>0.5</v>
      </c>
      <c r="X125" s="4">
        <v>0.6</v>
      </c>
      <c r="Y125" s="4">
        <v>0.3</v>
      </c>
      <c r="Z125" s="4">
        <v>595.14544699999999</v>
      </c>
      <c r="AA125" s="4">
        <v>1E-3</v>
      </c>
      <c r="AC125" s="4" t="s">
        <v>102</v>
      </c>
      <c r="AD125" s="4">
        <v>0.9</v>
      </c>
      <c r="AE125" s="4">
        <v>0.5</v>
      </c>
      <c r="AF125" s="4">
        <v>0.6</v>
      </c>
      <c r="AG125" s="4">
        <v>0.34</v>
      </c>
      <c r="AH125" s="6">
        <v>593.92486599999995</v>
      </c>
      <c r="AI125" s="4">
        <v>1E-3</v>
      </c>
      <c r="AJ125" s="5"/>
      <c r="AK125" s="5"/>
      <c r="AL125" s="5"/>
      <c r="AM125" s="5"/>
      <c r="AO125" s="4" t="s">
        <v>103</v>
      </c>
      <c r="AP125" s="4">
        <v>0.9</v>
      </c>
      <c r="AQ125" s="4">
        <v>0.5</v>
      </c>
      <c r="AR125" s="4">
        <v>0.6</v>
      </c>
      <c r="AS125" s="4">
        <v>0.3</v>
      </c>
      <c r="AT125" s="6">
        <v>859.97186299999998</v>
      </c>
      <c r="AU125" s="4">
        <v>1.0999999999999999E-2</v>
      </c>
      <c r="AW125" s="4" t="s">
        <v>103</v>
      </c>
      <c r="AX125" s="4">
        <v>0.9</v>
      </c>
      <c r="AY125" s="4">
        <v>0.5</v>
      </c>
      <c r="AZ125" s="4">
        <v>0.6</v>
      </c>
      <c r="BA125" s="4">
        <v>0.32</v>
      </c>
      <c r="BB125" s="4">
        <v>883.11364700000001</v>
      </c>
      <c r="BC125" s="4">
        <v>5.0000000000000001E-3</v>
      </c>
      <c r="BD125" s="5"/>
      <c r="BE125" s="5"/>
      <c r="BF125" s="5"/>
      <c r="BG125" s="5"/>
      <c r="BI125" s="4" t="s">
        <v>103</v>
      </c>
      <c r="BJ125" s="4">
        <v>0.9</v>
      </c>
      <c r="BK125" s="4">
        <v>0.5</v>
      </c>
      <c r="BL125" s="4">
        <v>0.6</v>
      </c>
      <c r="BM125" s="4">
        <v>0.3</v>
      </c>
      <c r="BN125" s="6">
        <v>808.46502699999996</v>
      </c>
      <c r="BO125" s="4">
        <v>8.0000000000000002E-3</v>
      </c>
      <c r="BQ125" s="4" t="s">
        <v>103</v>
      </c>
      <c r="BR125" s="4">
        <v>0.9</v>
      </c>
      <c r="BS125" s="4">
        <v>0.5</v>
      </c>
      <c r="BT125" s="4">
        <v>0.6</v>
      </c>
      <c r="BU125" s="4">
        <v>0.3</v>
      </c>
      <c r="BV125" s="4">
        <v>830.97644000000003</v>
      </c>
      <c r="BW125" s="4">
        <v>4.0000000000000001E-3</v>
      </c>
      <c r="BX125" s="5"/>
      <c r="BY125" s="5"/>
      <c r="BZ125" s="5"/>
      <c r="CA125" s="5"/>
    </row>
    <row r="126" spans="1:79" x14ac:dyDescent="0.3">
      <c r="A126" s="4" t="s">
        <v>104</v>
      </c>
      <c r="B126" s="4">
        <v>0.9</v>
      </c>
      <c r="C126" s="4">
        <v>0.5</v>
      </c>
      <c r="D126" s="4">
        <v>0.6</v>
      </c>
      <c r="E126" s="4">
        <v>0.3</v>
      </c>
      <c r="F126" s="6">
        <v>580.26434300000005</v>
      </c>
      <c r="G126" s="4">
        <v>1E-3</v>
      </c>
      <c r="I126" s="4" t="s">
        <v>104</v>
      </c>
      <c r="J126" s="4">
        <v>0.9</v>
      </c>
      <c r="K126" s="4">
        <v>0.5</v>
      </c>
      <c r="L126" s="4">
        <v>0.6</v>
      </c>
      <c r="M126" s="4">
        <v>0.34</v>
      </c>
      <c r="N126" s="4">
        <v>601.25073199999997</v>
      </c>
      <c r="O126" s="4">
        <v>1E-3</v>
      </c>
      <c r="P126" s="5"/>
      <c r="Q126" s="5"/>
      <c r="R126" s="5"/>
      <c r="S126" s="5"/>
      <c r="U126" s="4" t="s">
        <v>104</v>
      </c>
      <c r="V126" s="4">
        <v>0.9</v>
      </c>
      <c r="W126" s="4">
        <v>0.5</v>
      </c>
      <c r="X126" s="4">
        <v>0.6</v>
      </c>
      <c r="Y126" s="4">
        <v>0.3</v>
      </c>
      <c r="Z126" s="6">
        <v>572.114014</v>
      </c>
      <c r="AA126" s="4">
        <v>1E-3</v>
      </c>
      <c r="AC126" s="4" t="s">
        <v>104</v>
      </c>
      <c r="AD126" s="4">
        <v>0.9</v>
      </c>
      <c r="AE126" s="4">
        <v>0.5</v>
      </c>
      <c r="AF126" s="4">
        <v>0.6</v>
      </c>
      <c r="AG126" s="4">
        <v>0.52</v>
      </c>
      <c r="AH126" s="4">
        <v>593.38348399999995</v>
      </c>
      <c r="AI126" s="4">
        <v>1E-3</v>
      </c>
      <c r="AJ126" s="5"/>
      <c r="AK126" s="5"/>
      <c r="AL126" s="5"/>
      <c r="AM126" s="5"/>
      <c r="AO126" s="4" t="s">
        <v>105</v>
      </c>
      <c r="AP126" s="4">
        <v>0.9</v>
      </c>
      <c r="AQ126" s="4">
        <v>0.5</v>
      </c>
      <c r="AR126" s="4">
        <v>0.6</v>
      </c>
      <c r="AS126" s="4">
        <v>0.3</v>
      </c>
      <c r="AT126" s="6">
        <v>984.21691899999996</v>
      </c>
      <c r="AU126" s="4">
        <v>1.2E-2</v>
      </c>
      <c r="AW126" s="4" t="s">
        <v>105</v>
      </c>
      <c r="AX126" s="4">
        <v>0.9</v>
      </c>
      <c r="AY126" s="4">
        <v>0.5</v>
      </c>
      <c r="AZ126" s="4">
        <v>0.6</v>
      </c>
      <c r="BA126" s="4">
        <v>0.31</v>
      </c>
      <c r="BB126" s="4">
        <v>995.50012200000003</v>
      </c>
      <c r="BC126" s="4">
        <v>6.0000000000000001E-3</v>
      </c>
      <c r="BD126" s="5"/>
      <c r="BE126" s="5"/>
      <c r="BF126" s="5"/>
      <c r="BG126" s="5"/>
      <c r="BI126" s="4" t="s">
        <v>105</v>
      </c>
      <c r="BJ126" s="4">
        <v>0.9</v>
      </c>
      <c r="BK126" s="4">
        <v>0.5</v>
      </c>
      <c r="BL126" s="4">
        <v>0.6</v>
      </c>
      <c r="BM126" s="4">
        <v>0.3</v>
      </c>
      <c r="BN126" s="6">
        <v>941.87219200000004</v>
      </c>
      <c r="BO126" s="4">
        <v>6.0000000000000001E-3</v>
      </c>
      <c r="BQ126" s="4" t="s">
        <v>105</v>
      </c>
      <c r="BR126" s="4">
        <v>0.9</v>
      </c>
      <c r="BS126" s="4">
        <v>0.5</v>
      </c>
      <c r="BT126" s="4">
        <v>0.6</v>
      </c>
      <c r="BU126" s="4">
        <v>0.33</v>
      </c>
      <c r="BV126" s="4">
        <v>951.48577899999998</v>
      </c>
      <c r="BW126" s="4">
        <v>5.0000000000000001E-3</v>
      </c>
      <c r="BX126" s="5"/>
      <c r="BY126" s="5"/>
      <c r="BZ126" s="5"/>
      <c r="CA126" s="5"/>
    </row>
    <row r="127" spans="1:79" x14ac:dyDescent="0.3">
      <c r="A127" s="4" t="s">
        <v>106</v>
      </c>
      <c r="B127" s="4">
        <v>0.9</v>
      </c>
      <c r="C127" s="4">
        <v>0.5</v>
      </c>
      <c r="D127" s="4">
        <v>0.6</v>
      </c>
      <c r="E127" s="4">
        <v>0.3</v>
      </c>
      <c r="F127" s="6">
        <v>535.00170900000001</v>
      </c>
      <c r="G127" s="4">
        <v>2E-3</v>
      </c>
      <c r="I127" s="4" t="s">
        <v>106</v>
      </c>
      <c r="J127" s="4">
        <v>0.9</v>
      </c>
      <c r="K127" s="4">
        <v>0.5</v>
      </c>
      <c r="L127" s="4">
        <v>0.6</v>
      </c>
      <c r="M127" s="4">
        <v>0.34</v>
      </c>
      <c r="N127" s="4">
        <v>563.65118399999994</v>
      </c>
      <c r="O127" s="4">
        <v>1E-3</v>
      </c>
      <c r="P127" s="5"/>
      <c r="Q127" s="5"/>
      <c r="R127" s="5"/>
      <c r="S127" s="5"/>
      <c r="U127" s="4" t="s">
        <v>106</v>
      </c>
      <c r="V127" s="4">
        <v>0.9</v>
      </c>
      <c r="W127" s="4">
        <v>0.5</v>
      </c>
      <c r="X127" s="4">
        <v>0.6</v>
      </c>
      <c r="Y127" s="4">
        <v>0.3</v>
      </c>
      <c r="Z127" s="6">
        <v>519.22289999999998</v>
      </c>
      <c r="AA127" s="4">
        <v>1E-3</v>
      </c>
      <c r="AC127" s="4" t="s">
        <v>106</v>
      </c>
      <c r="AD127" s="4">
        <v>0.9</v>
      </c>
      <c r="AE127" s="4">
        <v>0.5</v>
      </c>
      <c r="AF127" s="4">
        <v>0.6</v>
      </c>
      <c r="AG127" s="4">
        <v>0.31</v>
      </c>
      <c r="AH127" s="4">
        <v>534.15765399999998</v>
      </c>
      <c r="AI127" s="4">
        <v>1E-3</v>
      </c>
      <c r="AJ127" s="5"/>
      <c r="AK127" s="5"/>
      <c r="AL127" s="5"/>
      <c r="AM127" s="5"/>
      <c r="AO127" s="4" t="s">
        <v>107</v>
      </c>
      <c r="AP127" s="4">
        <v>0.9</v>
      </c>
      <c r="AQ127" s="4">
        <v>0.5</v>
      </c>
      <c r="AR127" s="4">
        <v>0.6</v>
      </c>
      <c r="AS127" s="4">
        <v>0.3</v>
      </c>
      <c r="AT127" s="6">
        <v>1047.9748540000001</v>
      </c>
      <c r="AU127" s="4">
        <v>7.0000000000000001E-3</v>
      </c>
      <c r="AW127" s="4" t="s">
        <v>107</v>
      </c>
      <c r="AX127" s="4">
        <v>0.9</v>
      </c>
      <c r="AY127" s="4">
        <v>0.5</v>
      </c>
      <c r="AZ127" s="4">
        <v>0.6</v>
      </c>
      <c r="BA127" s="4">
        <v>0.33</v>
      </c>
      <c r="BB127" s="4">
        <v>1071.7769780000001</v>
      </c>
      <c r="BC127" s="4">
        <v>6.0000000000000001E-3</v>
      </c>
      <c r="BD127" s="5"/>
      <c r="BE127" s="5"/>
      <c r="BF127" s="5"/>
      <c r="BG127" s="5"/>
      <c r="BI127" s="4" t="s">
        <v>107</v>
      </c>
      <c r="BJ127" s="4">
        <v>0.9</v>
      </c>
      <c r="BK127" s="4">
        <v>0.5</v>
      </c>
      <c r="BL127" s="4">
        <v>0.6</v>
      </c>
      <c r="BM127" s="4">
        <v>0.3</v>
      </c>
      <c r="BN127" s="6">
        <v>1023.3912350000001</v>
      </c>
      <c r="BO127" s="4">
        <v>8.9999999999999993E-3</v>
      </c>
      <c r="BQ127" s="4" t="s">
        <v>107</v>
      </c>
      <c r="BR127" s="4">
        <v>0.9</v>
      </c>
      <c r="BS127" s="4">
        <v>0.5</v>
      </c>
      <c r="BT127" s="4">
        <v>0.6</v>
      </c>
      <c r="BU127" s="4">
        <v>0.3</v>
      </c>
      <c r="BV127" s="4">
        <v>1035.7303469999999</v>
      </c>
      <c r="BW127" s="4">
        <v>5.0000000000000001E-3</v>
      </c>
      <c r="BX127" s="5"/>
      <c r="BY127" s="5"/>
      <c r="BZ127" s="5"/>
      <c r="CA127" s="5"/>
    </row>
    <row r="128" spans="1:79" x14ac:dyDescent="0.3">
      <c r="A128" s="4" t="s">
        <v>108</v>
      </c>
      <c r="B128" s="4">
        <v>0.9</v>
      </c>
      <c r="C128" s="4">
        <v>0.5</v>
      </c>
      <c r="D128" s="4">
        <v>0.6</v>
      </c>
      <c r="E128" s="4">
        <v>0.3</v>
      </c>
      <c r="F128" s="8">
        <v>601.55273399999999</v>
      </c>
      <c r="G128" s="4">
        <v>2E-3</v>
      </c>
      <c r="I128" s="4" t="s">
        <v>108</v>
      </c>
      <c r="J128" s="4">
        <v>0.9</v>
      </c>
      <c r="K128" s="4">
        <v>0.5</v>
      </c>
      <c r="L128" s="4">
        <v>0.6</v>
      </c>
      <c r="M128" s="4">
        <v>0.32</v>
      </c>
      <c r="N128" s="6">
        <v>601.30621299999996</v>
      </c>
      <c r="O128" s="4">
        <v>1E-3</v>
      </c>
      <c r="P128" s="5"/>
      <c r="Q128" s="5"/>
      <c r="R128" s="5"/>
      <c r="S128" s="5"/>
      <c r="U128" s="4" t="s">
        <v>108</v>
      </c>
      <c r="V128" s="4">
        <v>0.9</v>
      </c>
      <c r="W128" s="4">
        <v>0.5</v>
      </c>
      <c r="X128" s="4">
        <v>0.6</v>
      </c>
      <c r="Y128" s="4">
        <v>0.3</v>
      </c>
      <c r="Z128" s="6">
        <v>559.64392099999998</v>
      </c>
      <c r="AA128" s="4">
        <v>2E-3</v>
      </c>
      <c r="AC128" s="4" t="s">
        <v>108</v>
      </c>
      <c r="AD128" s="4">
        <v>0.9</v>
      </c>
      <c r="AE128" s="4">
        <v>0.5</v>
      </c>
      <c r="AF128" s="4">
        <v>0.6</v>
      </c>
      <c r="AG128" s="4">
        <v>0.33</v>
      </c>
      <c r="AH128" s="4">
        <v>572.92175299999997</v>
      </c>
      <c r="AI128" s="4">
        <v>1E-3</v>
      </c>
      <c r="AJ128" s="5"/>
      <c r="AK128" s="5"/>
      <c r="AL128" s="5"/>
      <c r="AM128" s="5"/>
      <c r="AO128" s="4" t="s">
        <v>109</v>
      </c>
      <c r="AP128" s="4">
        <v>0.9</v>
      </c>
      <c r="AQ128" s="4">
        <v>0.5</v>
      </c>
      <c r="AR128" s="4">
        <v>0.6</v>
      </c>
      <c r="AS128" s="4">
        <v>0.3</v>
      </c>
      <c r="AT128" s="6">
        <v>889.67242399999998</v>
      </c>
      <c r="AU128" s="4">
        <v>5.0000000000000001E-3</v>
      </c>
      <c r="AW128" s="4" t="s">
        <v>109</v>
      </c>
      <c r="AX128" s="4">
        <v>0.9</v>
      </c>
      <c r="AY128" s="4">
        <v>0.5</v>
      </c>
      <c r="AZ128" s="4">
        <v>0.6</v>
      </c>
      <c r="BA128" s="4">
        <v>0.36</v>
      </c>
      <c r="BB128" s="4">
        <v>914.65228300000001</v>
      </c>
      <c r="BC128" s="4">
        <v>5.0000000000000001E-3</v>
      </c>
      <c r="BD128" s="5"/>
      <c r="BE128" s="5"/>
      <c r="BF128" s="5"/>
      <c r="BG128" s="5"/>
      <c r="BI128" s="4" t="s">
        <v>109</v>
      </c>
      <c r="BJ128" s="4">
        <v>0.9</v>
      </c>
      <c r="BK128" s="4">
        <v>0.5</v>
      </c>
      <c r="BL128" s="4">
        <v>0.6</v>
      </c>
      <c r="BM128" s="4">
        <v>0.3</v>
      </c>
      <c r="BN128" s="6">
        <v>864.14624000000003</v>
      </c>
      <c r="BO128" s="4">
        <v>7.0000000000000001E-3</v>
      </c>
      <c r="BQ128" s="4" t="s">
        <v>109</v>
      </c>
      <c r="BR128" s="4">
        <v>0.9</v>
      </c>
      <c r="BS128" s="4">
        <v>0.5</v>
      </c>
      <c r="BT128" s="4">
        <v>0.6</v>
      </c>
      <c r="BU128" s="4">
        <v>0.38</v>
      </c>
      <c r="BV128" s="4">
        <v>909.95892300000003</v>
      </c>
      <c r="BW128" s="4">
        <v>6.0000000000000001E-3</v>
      </c>
      <c r="BX128" s="5"/>
      <c r="BY128" s="5"/>
      <c r="BZ128" s="5"/>
      <c r="CA128" s="5"/>
    </row>
    <row r="129" spans="1:79" x14ac:dyDescent="0.3">
      <c r="A129" s="4" t="s">
        <v>110</v>
      </c>
      <c r="B129" s="4">
        <v>0.9</v>
      </c>
      <c r="C129" s="4">
        <v>0.5</v>
      </c>
      <c r="D129" s="4">
        <v>0.6</v>
      </c>
      <c r="E129" s="4">
        <v>0.3</v>
      </c>
      <c r="F129" s="6">
        <v>575.77954099999999</v>
      </c>
      <c r="G129" s="4">
        <v>1E-3</v>
      </c>
      <c r="I129" s="4" t="s">
        <v>110</v>
      </c>
      <c r="J129" s="4">
        <v>0.9</v>
      </c>
      <c r="K129" s="4">
        <v>0.5</v>
      </c>
      <c r="L129" s="4">
        <v>0.6</v>
      </c>
      <c r="M129" s="4">
        <v>0.3</v>
      </c>
      <c r="N129" s="4">
        <v>608.27484100000004</v>
      </c>
      <c r="O129" s="4">
        <v>2E-3</v>
      </c>
      <c r="P129" s="5"/>
      <c r="Q129" s="5"/>
      <c r="R129" s="5"/>
      <c r="S129" s="5"/>
      <c r="U129" s="4" t="s">
        <v>110</v>
      </c>
      <c r="V129" s="4">
        <v>0.9</v>
      </c>
      <c r="W129" s="4">
        <v>0.5</v>
      </c>
      <c r="X129" s="4">
        <v>0.6</v>
      </c>
      <c r="Y129" s="4">
        <v>0.3</v>
      </c>
      <c r="Z129" s="6">
        <v>557.52557400000001</v>
      </c>
      <c r="AA129" s="4">
        <v>2E-3</v>
      </c>
      <c r="AC129" s="4" t="s">
        <v>110</v>
      </c>
      <c r="AD129" s="4">
        <v>0.9</v>
      </c>
      <c r="AE129" s="4">
        <v>0.5</v>
      </c>
      <c r="AF129" s="4">
        <v>0.6</v>
      </c>
      <c r="AG129" s="4">
        <v>0.35</v>
      </c>
      <c r="AH129" s="4">
        <v>561.89392099999998</v>
      </c>
      <c r="AI129" s="4">
        <v>1E-3</v>
      </c>
      <c r="AJ129" s="5"/>
      <c r="AK129" s="5"/>
      <c r="AL129" s="5"/>
      <c r="AM129" s="5"/>
      <c r="AO129" s="4" t="s">
        <v>111</v>
      </c>
      <c r="AP129" s="4">
        <v>0.9</v>
      </c>
      <c r="AQ129" s="4">
        <v>0.5</v>
      </c>
      <c r="AR129" s="4">
        <v>0.6</v>
      </c>
      <c r="AS129" s="4">
        <v>0.3</v>
      </c>
      <c r="AT129" s="6">
        <v>1003.557068</v>
      </c>
      <c r="AU129" s="4">
        <v>1.0999999999999999E-2</v>
      </c>
      <c r="AW129" s="4" t="s">
        <v>111</v>
      </c>
      <c r="AX129" s="4">
        <v>0.9</v>
      </c>
      <c r="AY129" s="4">
        <v>0.5</v>
      </c>
      <c r="AZ129" s="4">
        <v>0.6</v>
      </c>
      <c r="BA129" s="4">
        <v>0.3</v>
      </c>
      <c r="BB129" s="4">
        <v>1024.6417240000001</v>
      </c>
      <c r="BC129" s="4">
        <v>7.0000000000000001E-3</v>
      </c>
      <c r="BD129" s="5"/>
      <c r="BE129" s="5"/>
      <c r="BF129" s="5"/>
      <c r="BG129" s="5"/>
      <c r="BI129" s="4" t="s">
        <v>111</v>
      </c>
      <c r="BJ129" s="4">
        <v>0.9</v>
      </c>
      <c r="BK129" s="4">
        <v>0.5</v>
      </c>
      <c r="BL129" s="4">
        <v>0.6</v>
      </c>
      <c r="BM129" s="4">
        <v>0.3</v>
      </c>
      <c r="BN129" s="6">
        <v>961.74133300000005</v>
      </c>
      <c r="BO129" s="4">
        <v>6.0000000000000001E-3</v>
      </c>
      <c r="BQ129" s="4" t="s">
        <v>111</v>
      </c>
      <c r="BR129" s="4">
        <v>0.9</v>
      </c>
      <c r="BS129" s="4">
        <v>0.5</v>
      </c>
      <c r="BT129" s="4">
        <v>0.6</v>
      </c>
      <c r="BU129" s="4">
        <v>0.33</v>
      </c>
      <c r="BV129" s="4">
        <v>992.40087900000003</v>
      </c>
      <c r="BW129" s="4">
        <v>6.0000000000000001E-3</v>
      </c>
      <c r="BX129" s="5"/>
      <c r="BY129" s="5"/>
      <c r="BZ129" s="5"/>
      <c r="CA129" s="5"/>
    </row>
    <row r="130" spans="1:79" x14ac:dyDescent="0.3">
      <c r="A130" s="4" t="s">
        <v>112</v>
      </c>
      <c r="B130" s="4">
        <v>0.9</v>
      </c>
      <c r="C130" s="4">
        <v>0.5</v>
      </c>
      <c r="D130" s="4">
        <v>0.6</v>
      </c>
      <c r="E130" s="4">
        <v>0.3</v>
      </c>
      <c r="F130" s="6">
        <v>467.391479</v>
      </c>
      <c r="G130" s="4">
        <v>1E-3</v>
      </c>
      <c r="I130" s="4" t="s">
        <v>112</v>
      </c>
      <c r="J130" s="4">
        <v>0.9</v>
      </c>
      <c r="K130" s="4">
        <v>0.5</v>
      </c>
      <c r="L130" s="4">
        <v>0.6</v>
      </c>
      <c r="M130" s="4">
        <v>0.3</v>
      </c>
      <c r="N130" s="4">
        <v>474.47961400000003</v>
      </c>
      <c r="O130" s="4">
        <v>1E-3</v>
      </c>
      <c r="P130" s="5"/>
      <c r="Q130" s="5"/>
      <c r="R130" s="5"/>
      <c r="S130" s="5"/>
      <c r="U130" s="4" t="s">
        <v>112</v>
      </c>
      <c r="V130" s="4">
        <v>0.9</v>
      </c>
      <c r="W130" s="4">
        <v>0.5</v>
      </c>
      <c r="X130" s="4">
        <v>0.6</v>
      </c>
      <c r="Y130" s="4">
        <v>0.3</v>
      </c>
      <c r="Z130" s="8">
        <v>420.16146900000001</v>
      </c>
      <c r="AA130" s="4">
        <v>1E-3</v>
      </c>
      <c r="AC130" s="4" t="s">
        <v>112</v>
      </c>
      <c r="AD130" s="4">
        <v>0.9</v>
      </c>
      <c r="AE130" s="4">
        <v>0.5</v>
      </c>
      <c r="AF130" s="4">
        <v>0.6</v>
      </c>
      <c r="AG130" s="4">
        <v>0.35</v>
      </c>
      <c r="AH130" s="6">
        <v>420.12194799999997</v>
      </c>
      <c r="AI130" s="4">
        <v>0</v>
      </c>
      <c r="AJ130" s="5"/>
      <c r="AK130" s="5"/>
      <c r="AL130" s="5"/>
      <c r="AM130" s="5"/>
      <c r="AO130" s="4" t="s">
        <v>113</v>
      </c>
      <c r="AP130" s="4">
        <v>0.9</v>
      </c>
      <c r="AQ130" s="4">
        <v>0.5</v>
      </c>
      <c r="AR130" s="4">
        <v>0.6</v>
      </c>
      <c r="AS130" s="4">
        <v>0.3</v>
      </c>
      <c r="AT130" s="6">
        <v>925.93548599999997</v>
      </c>
      <c r="AU130" s="4">
        <v>0.01</v>
      </c>
      <c r="AW130" s="4" t="s">
        <v>113</v>
      </c>
      <c r="AX130" s="4">
        <v>0.9</v>
      </c>
      <c r="AY130" s="4">
        <v>0.5</v>
      </c>
      <c r="AZ130" s="4">
        <v>0.6</v>
      </c>
      <c r="BA130" s="4">
        <v>0.3</v>
      </c>
      <c r="BB130" s="4">
        <v>934.56555200000003</v>
      </c>
      <c r="BC130" s="4">
        <v>5.0000000000000001E-3</v>
      </c>
      <c r="BD130" s="5"/>
      <c r="BE130" s="5"/>
      <c r="BF130" s="5"/>
      <c r="BG130" s="5"/>
      <c r="BI130" s="4" t="s">
        <v>113</v>
      </c>
      <c r="BJ130" s="4">
        <v>0.9</v>
      </c>
      <c r="BK130" s="4">
        <v>0.5</v>
      </c>
      <c r="BL130" s="4">
        <v>0.6</v>
      </c>
      <c r="BM130" s="4">
        <v>0.3</v>
      </c>
      <c r="BN130" s="6">
        <v>876.55194100000006</v>
      </c>
      <c r="BO130" s="4">
        <v>7.0000000000000001E-3</v>
      </c>
      <c r="BQ130" s="4" t="s">
        <v>113</v>
      </c>
      <c r="BR130" s="4">
        <v>0.9</v>
      </c>
      <c r="BS130" s="4">
        <v>0.5</v>
      </c>
      <c r="BT130" s="4">
        <v>0.6</v>
      </c>
      <c r="BU130" s="4">
        <v>0.35</v>
      </c>
      <c r="BV130" s="4">
        <v>883.25469999999996</v>
      </c>
      <c r="BW130" s="4">
        <v>5.0000000000000001E-3</v>
      </c>
      <c r="BX130" s="5"/>
      <c r="BY130" s="5"/>
      <c r="BZ130" s="5"/>
      <c r="CA130" s="5"/>
    </row>
    <row r="131" spans="1:79" x14ac:dyDescent="0.3">
      <c r="A131" s="4" t="s">
        <v>114</v>
      </c>
      <c r="B131" s="4">
        <v>0.9</v>
      </c>
      <c r="C131" s="4">
        <v>0.5</v>
      </c>
      <c r="D131" s="4">
        <v>0.6</v>
      </c>
      <c r="E131" s="4">
        <v>0.3</v>
      </c>
      <c r="F131" s="6">
        <v>589.70929000000001</v>
      </c>
      <c r="G131" s="4">
        <v>2E-3</v>
      </c>
      <c r="I131" s="4" t="s">
        <v>114</v>
      </c>
      <c r="J131" s="4">
        <v>0.9</v>
      </c>
      <c r="K131" s="4">
        <v>0.5</v>
      </c>
      <c r="L131" s="4">
        <v>0.6</v>
      </c>
      <c r="M131" s="4">
        <v>0.32</v>
      </c>
      <c r="N131" s="4">
        <v>605.30358899999999</v>
      </c>
      <c r="O131" s="4">
        <v>2E-3</v>
      </c>
      <c r="P131" s="5"/>
      <c r="Q131" s="5"/>
      <c r="R131" s="5"/>
      <c r="S131" s="5"/>
      <c r="U131" s="4" t="s">
        <v>114</v>
      </c>
      <c r="V131" s="4">
        <v>0.9</v>
      </c>
      <c r="W131" s="4">
        <v>0.5</v>
      </c>
      <c r="X131" s="4">
        <v>0.6</v>
      </c>
      <c r="Y131" s="4">
        <v>0.3</v>
      </c>
      <c r="Z131" s="4">
        <v>583.28363000000002</v>
      </c>
      <c r="AA131" s="4">
        <v>2E-3</v>
      </c>
      <c r="AC131" s="4" t="s">
        <v>114</v>
      </c>
      <c r="AD131" s="4">
        <v>0.9</v>
      </c>
      <c r="AE131" s="4">
        <v>0.5</v>
      </c>
      <c r="AF131" s="4">
        <v>0.6</v>
      </c>
      <c r="AG131" s="4">
        <v>0.36</v>
      </c>
      <c r="AH131" s="6">
        <v>581.57067900000004</v>
      </c>
      <c r="AI131" s="4">
        <v>1E-3</v>
      </c>
      <c r="AJ131" s="5"/>
      <c r="AK131" s="5"/>
      <c r="AL131" s="5"/>
      <c r="AM131" s="5"/>
      <c r="AO131" s="4" t="s">
        <v>115</v>
      </c>
      <c r="AP131" s="4">
        <v>0.9</v>
      </c>
      <c r="AQ131" s="4">
        <v>0.5</v>
      </c>
      <c r="AR131" s="4">
        <v>0.6</v>
      </c>
      <c r="AS131" s="4">
        <v>0.3</v>
      </c>
      <c r="AT131" s="6">
        <v>1019.836914</v>
      </c>
      <c r="AU131" s="4">
        <v>8.9999999999999993E-3</v>
      </c>
      <c r="AW131" s="4" t="s">
        <v>115</v>
      </c>
      <c r="AX131" s="4">
        <v>0.9</v>
      </c>
      <c r="AY131" s="4">
        <v>0.5</v>
      </c>
      <c r="AZ131" s="4">
        <v>0.6</v>
      </c>
      <c r="BA131" s="4">
        <v>0.34</v>
      </c>
      <c r="BB131" s="4">
        <v>1033.6420900000001</v>
      </c>
      <c r="BC131" s="4">
        <v>1.2999999999999999E-2</v>
      </c>
      <c r="BD131" s="5"/>
      <c r="BE131" s="5"/>
      <c r="BF131" s="5"/>
      <c r="BG131" s="5"/>
      <c r="BI131" s="4" t="s">
        <v>115</v>
      </c>
      <c r="BJ131" s="4">
        <v>0.9</v>
      </c>
      <c r="BK131" s="4">
        <v>0.5</v>
      </c>
      <c r="BL131" s="4">
        <v>0.6</v>
      </c>
      <c r="BM131" s="4">
        <v>0.3</v>
      </c>
      <c r="BN131" s="6">
        <v>1011.037598</v>
      </c>
      <c r="BO131" s="4">
        <v>7.0000000000000001E-3</v>
      </c>
      <c r="BQ131" s="4" t="s">
        <v>115</v>
      </c>
      <c r="BR131" s="4">
        <v>0.9</v>
      </c>
      <c r="BS131" s="4">
        <v>0.5</v>
      </c>
      <c r="BT131" s="4">
        <v>0.6</v>
      </c>
      <c r="BU131" s="4">
        <v>0.3</v>
      </c>
      <c r="BV131" s="4">
        <v>1021.9140619999999</v>
      </c>
      <c r="BW131" s="4">
        <v>8.0000000000000002E-3</v>
      </c>
      <c r="BX131" s="5"/>
      <c r="BY131" s="5"/>
      <c r="BZ131" s="5"/>
      <c r="CA131" s="5"/>
    </row>
    <row r="132" spans="1:79" x14ac:dyDescent="0.3">
      <c r="A132" s="4" t="s">
        <v>116</v>
      </c>
      <c r="B132" s="4">
        <v>0.9</v>
      </c>
      <c r="C132" s="4">
        <v>0.5</v>
      </c>
      <c r="D132" s="4">
        <v>0.6</v>
      </c>
      <c r="E132" s="4">
        <v>0.3</v>
      </c>
      <c r="F132" s="6">
        <v>648.70770300000004</v>
      </c>
      <c r="G132" s="4">
        <v>2E-3</v>
      </c>
      <c r="I132" s="4" t="s">
        <v>116</v>
      </c>
      <c r="J132" s="4">
        <v>0.9</v>
      </c>
      <c r="K132" s="4">
        <v>0.5</v>
      </c>
      <c r="L132" s="4">
        <v>0.6</v>
      </c>
      <c r="M132" s="4">
        <v>0.31</v>
      </c>
      <c r="N132" s="4">
        <v>656.59576400000003</v>
      </c>
      <c r="O132" s="4">
        <v>1E-3</v>
      </c>
      <c r="P132" s="5"/>
      <c r="Q132" s="5"/>
      <c r="R132" s="5"/>
      <c r="S132" s="5"/>
      <c r="U132" s="4" t="s">
        <v>116</v>
      </c>
      <c r="V132" s="4">
        <v>0.9</v>
      </c>
      <c r="W132" s="4">
        <v>0.5</v>
      </c>
      <c r="X132" s="4">
        <v>0.6</v>
      </c>
      <c r="Y132" s="4">
        <v>0.3</v>
      </c>
      <c r="Z132" s="4">
        <v>629.21881099999996</v>
      </c>
      <c r="AA132" s="4">
        <v>1E-3</v>
      </c>
      <c r="AC132" s="4" t="s">
        <v>116</v>
      </c>
      <c r="AD132" s="4">
        <v>0.9</v>
      </c>
      <c r="AE132" s="4">
        <v>0.5</v>
      </c>
      <c r="AF132" s="4">
        <v>0.6</v>
      </c>
      <c r="AG132" s="4">
        <v>0.3</v>
      </c>
      <c r="AH132" s="6">
        <v>627.42004399999996</v>
      </c>
      <c r="AI132" s="4">
        <v>1E-3</v>
      </c>
      <c r="AJ132" s="5"/>
      <c r="AK132" s="5"/>
      <c r="AL132" s="5"/>
      <c r="AM132" s="5"/>
      <c r="AO132" s="4" t="s">
        <v>117</v>
      </c>
      <c r="AP132" s="4">
        <v>0.9</v>
      </c>
      <c r="AQ132" s="4">
        <v>0.5</v>
      </c>
      <c r="AR132" s="4">
        <v>0.6</v>
      </c>
      <c r="AS132" s="4">
        <v>0.3</v>
      </c>
      <c r="AT132" s="6">
        <v>943.66583300000002</v>
      </c>
      <c r="AU132" s="4">
        <v>0.01</v>
      </c>
      <c r="AW132" s="4" t="s">
        <v>117</v>
      </c>
      <c r="AX132" s="4">
        <v>0.9</v>
      </c>
      <c r="AY132" s="4">
        <v>0.5</v>
      </c>
      <c r="AZ132" s="4">
        <v>0.6</v>
      </c>
      <c r="BA132" s="4">
        <v>0.34</v>
      </c>
      <c r="BB132" s="4">
        <v>991.94964600000003</v>
      </c>
      <c r="BC132" s="4">
        <v>5.0000000000000001E-3</v>
      </c>
      <c r="BD132" s="5"/>
      <c r="BE132" s="5"/>
      <c r="BF132" s="5"/>
      <c r="BG132" s="5"/>
      <c r="BI132" s="4" t="s">
        <v>117</v>
      </c>
      <c r="BJ132" s="4">
        <v>0.9</v>
      </c>
      <c r="BK132" s="4">
        <v>0.5</v>
      </c>
      <c r="BL132" s="4">
        <v>0.6</v>
      </c>
      <c r="BM132" s="4">
        <v>0.3</v>
      </c>
      <c r="BN132" s="6">
        <v>897.83862299999998</v>
      </c>
      <c r="BO132" s="4">
        <v>7.0000000000000001E-3</v>
      </c>
      <c r="BQ132" s="4" t="s">
        <v>117</v>
      </c>
      <c r="BR132" s="4">
        <v>0.9</v>
      </c>
      <c r="BS132" s="4">
        <v>0.5</v>
      </c>
      <c r="BT132" s="4">
        <v>0.6</v>
      </c>
      <c r="BU132" s="4">
        <v>0.31</v>
      </c>
      <c r="BV132" s="4">
        <v>951.56506300000001</v>
      </c>
      <c r="BW132" s="4">
        <v>6.0000000000000001E-3</v>
      </c>
      <c r="BX132" s="5"/>
      <c r="BY132" s="5"/>
      <c r="BZ132" s="5"/>
      <c r="CA132" s="5"/>
    </row>
    <row r="133" spans="1:79" x14ac:dyDescent="0.3">
      <c r="A133" s="4" t="s">
        <v>118</v>
      </c>
      <c r="B133" s="4">
        <v>0.9</v>
      </c>
      <c r="C133" s="4">
        <v>0.5</v>
      </c>
      <c r="D133" s="4">
        <v>0.6</v>
      </c>
      <c r="E133" s="4">
        <v>0.3</v>
      </c>
      <c r="F133" s="6">
        <v>563.38079800000003</v>
      </c>
      <c r="G133" s="4">
        <v>1E-3</v>
      </c>
      <c r="I133" s="4" t="s">
        <v>118</v>
      </c>
      <c r="J133" s="4">
        <v>0.9</v>
      </c>
      <c r="K133" s="4">
        <v>0.5</v>
      </c>
      <c r="L133" s="4">
        <v>0.6</v>
      </c>
      <c r="M133" s="4">
        <v>0.31</v>
      </c>
      <c r="N133" s="4">
        <v>576.58062700000005</v>
      </c>
      <c r="O133" s="4">
        <v>1E-3</v>
      </c>
      <c r="P133" s="5"/>
      <c r="Q133" s="5"/>
      <c r="R133" s="5"/>
      <c r="S133" s="5"/>
      <c r="U133" s="4" t="s">
        <v>118</v>
      </c>
      <c r="V133" s="4">
        <v>0.9</v>
      </c>
      <c r="W133" s="4">
        <v>0.5</v>
      </c>
      <c r="X133" s="4">
        <v>0.6</v>
      </c>
      <c r="Y133" s="4">
        <v>0.3</v>
      </c>
      <c r="Z133" s="6">
        <v>542.12377900000001</v>
      </c>
      <c r="AA133" s="4">
        <v>2E-3</v>
      </c>
      <c r="AC133" s="4" t="s">
        <v>118</v>
      </c>
      <c r="AD133" s="4">
        <v>0.9</v>
      </c>
      <c r="AE133" s="4">
        <v>0.5</v>
      </c>
      <c r="AF133" s="4">
        <v>0.6</v>
      </c>
      <c r="AG133" s="4">
        <v>0.32</v>
      </c>
      <c r="AH133" s="8">
        <v>542.29913299999998</v>
      </c>
      <c r="AI133" s="4">
        <v>1E-3</v>
      </c>
      <c r="AJ133" s="5"/>
      <c r="AK133" s="5"/>
      <c r="AL133" s="5"/>
      <c r="AM133" s="5"/>
      <c r="AO133" s="4" t="s">
        <v>119</v>
      </c>
      <c r="AP133" s="4">
        <v>0.9</v>
      </c>
      <c r="AQ133" s="4">
        <v>0.5</v>
      </c>
      <c r="AR133" s="4">
        <v>0.6</v>
      </c>
      <c r="AS133" s="4">
        <v>0.3</v>
      </c>
      <c r="AT133" s="6">
        <v>977.73541299999999</v>
      </c>
      <c r="AU133" s="4">
        <v>6.0000000000000001E-3</v>
      </c>
      <c r="AW133" s="4" t="s">
        <v>119</v>
      </c>
      <c r="AX133" s="4">
        <v>0.9</v>
      </c>
      <c r="AY133" s="4">
        <v>0.5</v>
      </c>
      <c r="AZ133" s="4">
        <v>0.6</v>
      </c>
      <c r="BA133" s="4">
        <v>0.32</v>
      </c>
      <c r="BB133" s="4">
        <v>1013.20752</v>
      </c>
      <c r="BC133" s="4">
        <v>6.0000000000000001E-3</v>
      </c>
      <c r="BD133" s="5"/>
      <c r="BE133" s="5"/>
      <c r="BF133" s="5"/>
      <c r="BG133" s="5"/>
      <c r="BI133" s="4" t="s">
        <v>119</v>
      </c>
      <c r="BJ133" s="4">
        <v>0.9</v>
      </c>
      <c r="BK133" s="4">
        <v>0.5</v>
      </c>
      <c r="BL133" s="4">
        <v>0.6</v>
      </c>
      <c r="BM133" s="4">
        <v>0.3</v>
      </c>
      <c r="BN133" s="6">
        <v>982.831726</v>
      </c>
      <c r="BO133" s="4">
        <v>8.9999999999999993E-3</v>
      </c>
      <c r="BQ133" s="4" t="s">
        <v>119</v>
      </c>
      <c r="BR133" s="4">
        <v>0.9</v>
      </c>
      <c r="BS133" s="4">
        <v>0.5</v>
      </c>
      <c r="BT133" s="4">
        <v>0.6</v>
      </c>
      <c r="BU133" s="4">
        <v>0.32</v>
      </c>
      <c r="BV133" s="4">
        <v>991.27618399999994</v>
      </c>
      <c r="BW133" s="4">
        <v>6.0000000000000001E-3</v>
      </c>
      <c r="BX133" s="5"/>
      <c r="BY133" s="5"/>
      <c r="BZ133" s="5"/>
      <c r="CA133" s="5"/>
    </row>
    <row r="134" spans="1:79" x14ac:dyDescent="0.3">
      <c r="A134" s="4" t="s">
        <v>120</v>
      </c>
      <c r="B134" s="4">
        <v>0.9</v>
      </c>
      <c r="C134" s="4">
        <v>0.5</v>
      </c>
      <c r="D134" s="4">
        <v>0.6</v>
      </c>
      <c r="E134" s="4">
        <v>0.3</v>
      </c>
      <c r="F134" s="6">
        <v>706.35607900000002</v>
      </c>
      <c r="G134" s="4">
        <v>2E-3</v>
      </c>
      <c r="I134" s="4" t="s">
        <v>120</v>
      </c>
      <c r="J134" s="4">
        <v>0.9</v>
      </c>
      <c r="K134" s="4">
        <v>0.5</v>
      </c>
      <c r="L134" s="4">
        <v>0.6</v>
      </c>
      <c r="M134" s="4">
        <v>0.33</v>
      </c>
      <c r="N134" s="4">
        <v>709.82324200000005</v>
      </c>
      <c r="O134" s="4">
        <v>2E-3</v>
      </c>
      <c r="P134" s="5"/>
      <c r="Q134" s="5"/>
      <c r="R134" s="5"/>
      <c r="S134" s="5"/>
      <c r="U134" s="4" t="s">
        <v>120</v>
      </c>
      <c r="V134" s="4">
        <v>0.9</v>
      </c>
      <c r="W134" s="4">
        <v>0.5</v>
      </c>
      <c r="X134" s="4">
        <v>0.6</v>
      </c>
      <c r="Y134" s="4">
        <v>0.3</v>
      </c>
      <c r="Z134" s="6">
        <v>703.61004600000001</v>
      </c>
      <c r="AA134" s="4">
        <v>3.0000000000000001E-3</v>
      </c>
      <c r="AC134" s="4" t="s">
        <v>120</v>
      </c>
      <c r="AD134" s="4">
        <v>0.9</v>
      </c>
      <c r="AE134" s="4">
        <v>0.5</v>
      </c>
      <c r="AF134" s="4">
        <v>0.6</v>
      </c>
      <c r="AG134" s="4">
        <v>0.3</v>
      </c>
      <c r="AH134" s="4">
        <v>715.97485400000005</v>
      </c>
      <c r="AI134" s="4">
        <v>1E-3</v>
      </c>
      <c r="AJ134" s="5"/>
      <c r="AK134" s="5"/>
      <c r="AL134" s="5"/>
      <c r="AM134" s="5"/>
      <c r="AO134" s="4" t="s">
        <v>121</v>
      </c>
      <c r="AP134" s="4">
        <v>0.9</v>
      </c>
      <c r="AQ134" s="4">
        <v>0.5</v>
      </c>
      <c r="AR134" s="4">
        <v>0.6</v>
      </c>
      <c r="AS134" s="4">
        <v>0.3</v>
      </c>
      <c r="AT134" s="6">
        <v>1022.211426</v>
      </c>
      <c r="AU134" s="4">
        <v>6.0000000000000001E-3</v>
      </c>
      <c r="AW134" s="4" t="s">
        <v>121</v>
      </c>
      <c r="AX134" s="4">
        <v>0.9</v>
      </c>
      <c r="AY134" s="4">
        <v>0.5</v>
      </c>
      <c r="AZ134" s="4">
        <v>0.6</v>
      </c>
      <c r="BA134" s="4">
        <v>0.37</v>
      </c>
      <c r="BB134" s="4">
        <v>1058.6573490000001</v>
      </c>
      <c r="BC134" s="4">
        <v>5.0000000000000001E-3</v>
      </c>
      <c r="BD134" s="5"/>
      <c r="BE134" s="5"/>
      <c r="BF134" s="5"/>
      <c r="BG134" s="5"/>
      <c r="BI134" s="4" t="s">
        <v>121</v>
      </c>
      <c r="BJ134" s="4">
        <v>0.9</v>
      </c>
      <c r="BK134" s="4">
        <v>0.5</v>
      </c>
      <c r="BL134" s="4">
        <v>0.6</v>
      </c>
      <c r="BM134" s="4">
        <v>0.3</v>
      </c>
      <c r="BN134" s="6">
        <v>1014.615051</v>
      </c>
      <c r="BO134" s="4">
        <v>0.01</v>
      </c>
      <c r="BQ134" s="4" t="s">
        <v>121</v>
      </c>
      <c r="BR134" s="4">
        <v>0.9</v>
      </c>
      <c r="BS134" s="4">
        <v>0.5</v>
      </c>
      <c r="BT134" s="4">
        <v>0.6</v>
      </c>
      <c r="BU134" s="4">
        <v>0.3</v>
      </c>
      <c r="BV134" s="4">
        <v>1028.45874</v>
      </c>
      <c r="BW134" s="4">
        <v>8.0000000000000002E-3</v>
      </c>
      <c r="BX134" s="5"/>
      <c r="BY134" s="5"/>
      <c r="BZ134" s="5"/>
      <c r="CA134" s="5"/>
    </row>
    <row r="135" spans="1:79" x14ac:dyDescent="0.3">
      <c r="A135" s="4" t="s">
        <v>122</v>
      </c>
      <c r="B135" s="4">
        <v>0.9</v>
      </c>
      <c r="C135" s="4">
        <v>0.5</v>
      </c>
      <c r="D135" s="4">
        <v>0.6</v>
      </c>
      <c r="E135" s="4">
        <v>0.3</v>
      </c>
      <c r="F135" s="6">
        <v>646.662781</v>
      </c>
      <c r="G135" s="4">
        <v>2E-3</v>
      </c>
      <c r="I135" s="4" t="s">
        <v>122</v>
      </c>
      <c r="J135" s="4">
        <v>0.9</v>
      </c>
      <c r="K135" s="4">
        <v>0.5</v>
      </c>
      <c r="L135" s="4">
        <v>0.6</v>
      </c>
      <c r="M135" s="4">
        <v>0.35</v>
      </c>
      <c r="N135" s="4">
        <v>657.38525400000003</v>
      </c>
      <c r="O135" s="4">
        <v>2E-3</v>
      </c>
      <c r="P135" s="5"/>
      <c r="Q135" s="5"/>
      <c r="R135" s="5"/>
      <c r="S135" s="5"/>
      <c r="U135" s="4" t="s">
        <v>122</v>
      </c>
      <c r="V135" s="4">
        <v>0.9</v>
      </c>
      <c r="W135" s="4">
        <v>0.5</v>
      </c>
      <c r="X135" s="4">
        <v>0.6</v>
      </c>
      <c r="Y135" s="4">
        <v>0.3</v>
      </c>
      <c r="Z135" s="6">
        <v>637.89685099999997</v>
      </c>
      <c r="AA135" s="4">
        <v>1E-3</v>
      </c>
      <c r="AC135" s="4" t="s">
        <v>122</v>
      </c>
      <c r="AD135" s="4">
        <v>0.9</v>
      </c>
      <c r="AE135" s="4">
        <v>0.5</v>
      </c>
      <c r="AF135" s="4">
        <v>0.6</v>
      </c>
      <c r="AG135" s="4">
        <v>0.39</v>
      </c>
      <c r="AH135" s="4">
        <v>640.44140600000003</v>
      </c>
      <c r="AI135" s="4">
        <v>1E-3</v>
      </c>
      <c r="AJ135" s="5"/>
      <c r="AK135" s="5"/>
      <c r="AL135" s="5"/>
      <c r="AM135" s="5"/>
      <c r="AO135" s="4" t="s">
        <v>123</v>
      </c>
      <c r="AP135" s="4">
        <v>0.9</v>
      </c>
      <c r="AQ135" s="4">
        <v>0.5</v>
      </c>
      <c r="AR135" s="4">
        <v>0.6</v>
      </c>
      <c r="AS135" s="4">
        <v>0.3</v>
      </c>
      <c r="AT135" s="6">
        <v>984.41790800000001</v>
      </c>
      <c r="AU135" s="4">
        <v>6.0000000000000001E-3</v>
      </c>
      <c r="AW135" s="4" t="s">
        <v>123</v>
      </c>
      <c r="AX135" s="4">
        <v>0.9</v>
      </c>
      <c r="AY135" s="4">
        <v>0.5</v>
      </c>
      <c r="AZ135" s="4">
        <v>0.6</v>
      </c>
      <c r="BA135" s="4">
        <v>0.35</v>
      </c>
      <c r="BB135" s="4">
        <v>1003.645386</v>
      </c>
      <c r="BC135" s="4">
        <v>6.0000000000000001E-3</v>
      </c>
      <c r="BD135" s="5"/>
      <c r="BE135" s="5"/>
      <c r="BF135" s="5"/>
      <c r="BG135" s="5"/>
      <c r="BI135" s="4" t="s">
        <v>123</v>
      </c>
      <c r="BJ135" s="4">
        <v>0.9</v>
      </c>
      <c r="BK135" s="4">
        <v>0.5</v>
      </c>
      <c r="BL135" s="4">
        <v>0.6</v>
      </c>
      <c r="BM135" s="4">
        <v>0.3</v>
      </c>
      <c r="BN135" s="6">
        <v>973.338257</v>
      </c>
      <c r="BO135" s="4">
        <v>7.0000000000000001E-3</v>
      </c>
      <c r="BQ135" s="4" t="s">
        <v>123</v>
      </c>
      <c r="BR135" s="4">
        <v>0.9</v>
      </c>
      <c r="BS135" s="4">
        <v>0.5</v>
      </c>
      <c r="BT135" s="4">
        <v>0.6</v>
      </c>
      <c r="BU135" s="4">
        <v>0.3</v>
      </c>
      <c r="BV135" s="4">
        <v>996.879639</v>
      </c>
      <c r="BW135" s="4">
        <v>8.0000000000000002E-3</v>
      </c>
      <c r="BX135" s="5"/>
      <c r="BY135" s="5"/>
      <c r="BZ135" s="5"/>
      <c r="CA135" s="5"/>
    </row>
    <row r="136" spans="1:79" x14ac:dyDescent="0.3">
      <c r="A136" s="4" t="s">
        <v>124</v>
      </c>
      <c r="B136" s="4">
        <v>0.9</v>
      </c>
      <c r="C136" s="4">
        <v>0.5</v>
      </c>
      <c r="D136" s="4">
        <v>0.6</v>
      </c>
      <c r="E136" s="4">
        <v>0.3</v>
      </c>
      <c r="F136" s="6">
        <v>549.49816899999996</v>
      </c>
      <c r="G136" s="4">
        <v>2E-3</v>
      </c>
      <c r="I136" s="4" t="s">
        <v>124</v>
      </c>
      <c r="J136" s="4">
        <v>0.9</v>
      </c>
      <c r="K136" s="4">
        <v>0.5</v>
      </c>
      <c r="L136" s="4">
        <v>0.6</v>
      </c>
      <c r="M136" s="4">
        <v>0.32</v>
      </c>
      <c r="N136" s="4">
        <v>553.33111599999995</v>
      </c>
      <c r="O136" s="4">
        <v>1E-3</v>
      </c>
      <c r="P136" s="5"/>
      <c r="Q136" s="5"/>
      <c r="R136" s="5"/>
      <c r="S136" s="5"/>
      <c r="U136" s="4" t="s">
        <v>124</v>
      </c>
      <c r="V136" s="4">
        <v>0.9</v>
      </c>
      <c r="W136" s="4">
        <v>0.5</v>
      </c>
      <c r="X136" s="4">
        <v>0.6</v>
      </c>
      <c r="Y136" s="4">
        <v>0.3</v>
      </c>
      <c r="Z136" s="6">
        <v>529.65496800000005</v>
      </c>
      <c r="AA136" s="4">
        <v>1E-3</v>
      </c>
      <c r="AC136" s="4" t="s">
        <v>124</v>
      </c>
      <c r="AD136" s="4">
        <v>0.9</v>
      </c>
      <c r="AE136" s="4">
        <v>0.5</v>
      </c>
      <c r="AF136" s="4">
        <v>0.6</v>
      </c>
      <c r="AG136" s="4">
        <v>0.39</v>
      </c>
      <c r="AH136" s="4">
        <v>546.83569299999999</v>
      </c>
      <c r="AI136" s="4">
        <v>1E-3</v>
      </c>
      <c r="AJ136" s="5"/>
      <c r="AK136" s="5"/>
      <c r="AL136" s="5"/>
      <c r="AM136" s="5"/>
      <c r="AO136" s="4" t="s">
        <v>125</v>
      </c>
      <c r="AP136" s="4">
        <v>0.9</v>
      </c>
      <c r="AQ136" s="4">
        <v>0.5</v>
      </c>
      <c r="AR136" s="4">
        <v>0.6</v>
      </c>
      <c r="AS136" s="4">
        <v>0.3</v>
      </c>
      <c r="AT136" s="6">
        <v>1036.1103519999999</v>
      </c>
      <c r="AU136" s="4">
        <v>6.0000000000000001E-3</v>
      </c>
      <c r="AW136" s="4" t="s">
        <v>125</v>
      </c>
      <c r="AX136" s="4">
        <v>0.9</v>
      </c>
      <c r="AY136" s="4">
        <v>0.5</v>
      </c>
      <c r="AZ136" s="4">
        <v>0.6</v>
      </c>
      <c r="BA136" s="4">
        <v>0.33</v>
      </c>
      <c r="BB136" s="4">
        <v>1057.5261230000001</v>
      </c>
      <c r="BC136" s="4">
        <v>6.0000000000000001E-3</v>
      </c>
      <c r="BD136" s="5"/>
      <c r="BE136" s="5"/>
      <c r="BF136" s="5"/>
      <c r="BG136" s="5"/>
      <c r="BI136" s="4" t="s">
        <v>125</v>
      </c>
      <c r="BJ136" s="4">
        <v>0.9</v>
      </c>
      <c r="BK136" s="4">
        <v>0.5</v>
      </c>
      <c r="BL136" s="4">
        <v>0.6</v>
      </c>
      <c r="BM136" s="4">
        <v>0.3</v>
      </c>
      <c r="BN136" s="6">
        <v>1027.3551030000001</v>
      </c>
      <c r="BO136" s="4">
        <v>8.0000000000000002E-3</v>
      </c>
      <c r="BQ136" s="4" t="s">
        <v>125</v>
      </c>
      <c r="BR136" s="4">
        <v>0.9</v>
      </c>
      <c r="BS136" s="4">
        <v>0.5</v>
      </c>
      <c r="BT136" s="4">
        <v>0.6</v>
      </c>
      <c r="BU136" s="4">
        <v>0.3</v>
      </c>
      <c r="BV136" s="4">
        <v>1042.001953</v>
      </c>
      <c r="BW136" s="4">
        <v>0.01</v>
      </c>
      <c r="BX136" s="5"/>
      <c r="BY136" s="5"/>
      <c r="BZ136" s="5"/>
      <c r="CA136" s="5"/>
    </row>
    <row r="137" spans="1:79" x14ac:dyDescent="0.3">
      <c r="A137" s="4" t="s">
        <v>126</v>
      </c>
      <c r="B137" s="4">
        <v>0.9</v>
      </c>
      <c r="C137" s="4">
        <v>0.5</v>
      </c>
      <c r="D137" s="4">
        <v>0.6</v>
      </c>
      <c r="E137" s="4">
        <v>0.3</v>
      </c>
      <c r="F137" s="6">
        <v>627.19055200000003</v>
      </c>
      <c r="G137" s="4">
        <v>1E-3</v>
      </c>
      <c r="I137" s="4" t="s">
        <v>126</v>
      </c>
      <c r="J137" s="4">
        <v>0.9</v>
      </c>
      <c r="K137" s="4">
        <v>0.5</v>
      </c>
      <c r="L137" s="4">
        <v>0.6</v>
      </c>
      <c r="M137" s="4">
        <v>0.3</v>
      </c>
      <c r="N137" s="4">
        <v>630.25396699999999</v>
      </c>
      <c r="O137" s="4">
        <v>1E-3</v>
      </c>
      <c r="P137" s="5"/>
      <c r="Q137" s="5"/>
      <c r="R137" s="5"/>
      <c r="S137" s="5"/>
      <c r="U137" s="4" t="s">
        <v>126</v>
      </c>
      <c r="V137" s="4">
        <v>0.9</v>
      </c>
      <c r="W137" s="4">
        <v>0.5</v>
      </c>
      <c r="X137" s="4">
        <v>0.6</v>
      </c>
      <c r="Y137" s="4">
        <v>0.3</v>
      </c>
      <c r="Z137" s="6">
        <v>613.71520999999996</v>
      </c>
      <c r="AA137" s="4">
        <v>1E-3</v>
      </c>
      <c r="AC137" s="4" t="s">
        <v>126</v>
      </c>
      <c r="AD137" s="4">
        <v>0.9</v>
      </c>
      <c r="AE137" s="4">
        <v>0.5</v>
      </c>
      <c r="AF137" s="4">
        <v>0.6</v>
      </c>
      <c r="AG137" s="4">
        <v>0.36</v>
      </c>
      <c r="AH137" s="4">
        <v>628.83703600000001</v>
      </c>
      <c r="AI137" s="4">
        <v>2E-3</v>
      </c>
      <c r="AJ137" s="5"/>
      <c r="AK137" s="5"/>
      <c r="AL137" s="5"/>
      <c r="AM137" s="5"/>
      <c r="AO137" s="4" t="s">
        <v>127</v>
      </c>
      <c r="AP137" s="4">
        <v>0.9</v>
      </c>
      <c r="AQ137" s="4">
        <v>0.5</v>
      </c>
      <c r="AR137" s="4">
        <v>0.6</v>
      </c>
      <c r="AS137" s="4">
        <v>0.3</v>
      </c>
      <c r="AT137" s="6">
        <v>1047.8081050000001</v>
      </c>
      <c r="AU137" s="4">
        <v>7.0000000000000001E-3</v>
      </c>
      <c r="AW137" s="4" t="s">
        <v>127</v>
      </c>
      <c r="AX137" s="4">
        <v>0.9</v>
      </c>
      <c r="AY137" s="4">
        <v>0.5</v>
      </c>
      <c r="AZ137" s="4">
        <v>0.6</v>
      </c>
      <c r="BA137" s="4">
        <v>0.3</v>
      </c>
      <c r="BB137" s="4">
        <v>1062.272217</v>
      </c>
      <c r="BC137" s="4">
        <v>7.0000000000000001E-3</v>
      </c>
      <c r="BD137" s="5"/>
      <c r="BE137" s="5"/>
      <c r="BF137" s="5"/>
      <c r="BG137" s="5"/>
      <c r="BI137" s="4" t="s">
        <v>127</v>
      </c>
      <c r="BJ137" s="4">
        <v>0.9</v>
      </c>
      <c r="BK137" s="4">
        <v>0.5</v>
      </c>
      <c r="BL137" s="4">
        <v>0.6</v>
      </c>
      <c r="BM137" s="4">
        <v>0.3</v>
      </c>
      <c r="BN137" s="6">
        <v>1018.929321</v>
      </c>
      <c r="BO137" s="4">
        <v>8.0000000000000002E-3</v>
      </c>
      <c r="BQ137" s="4" t="s">
        <v>127</v>
      </c>
      <c r="BR137" s="4">
        <v>0.9</v>
      </c>
      <c r="BS137" s="4">
        <v>0.5</v>
      </c>
      <c r="BT137" s="4">
        <v>0.6</v>
      </c>
      <c r="BU137" s="4">
        <v>0.36</v>
      </c>
      <c r="BV137" s="4">
        <v>1045.3675539999999</v>
      </c>
      <c r="BW137" s="4">
        <v>5.0000000000000001E-3</v>
      </c>
      <c r="BX137" s="5"/>
      <c r="BY137" s="5"/>
      <c r="BZ137" s="5"/>
      <c r="CA137" s="5"/>
    </row>
    <row r="138" spans="1:79" x14ac:dyDescent="0.3">
      <c r="A138" s="4" t="s">
        <v>128</v>
      </c>
      <c r="B138" s="4">
        <v>0.9</v>
      </c>
      <c r="C138" s="4">
        <v>0.5</v>
      </c>
      <c r="D138" s="4">
        <v>0.6</v>
      </c>
      <c r="E138" s="4">
        <v>0.3</v>
      </c>
      <c r="F138" s="4">
        <v>595.46801800000003</v>
      </c>
      <c r="G138" s="4">
        <v>1E-3</v>
      </c>
      <c r="I138" s="4" t="s">
        <v>128</v>
      </c>
      <c r="J138" s="4">
        <v>0.9</v>
      </c>
      <c r="K138" s="4">
        <v>0.5</v>
      </c>
      <c r="L138" s="4">
        <v>0.6</v>
      </c>
      <c r="M138" s="4">
        <v>0.32</v>
      </c>
      <c r="N138" s="6">
        <v>587.75598100000002</v>
      </c>
      <c r="O138" s="4">
        <v>2E-3</v>
      </c>
      <c r="P138" s="5"/>
      <c r="Q138" s="5"/>
      <c r="R138" s="5"/>
      <c r="S138" s="5"/>
      <c r="U138" s="4" t="s">
        <v>128</v>
      </c>
      <c r="V138" s="4">
        <v>0.9</v>
      </c>
      <c r="W138" s="4">
        <v>0.5</v>
      </c>
      <c r="X138" s="4">
        <v>0.6</v>
      </c>
      <c r="Y138" s="4">
        <v>0.3</v>
      </c>
      <c r="Z138" s="6">
        <v>570.23364300000003</v>
      </c>
      <c r="AA138" s="4">
        <v>1E-3</v>
      </c>
      <c r="AC138" s="4" t="s">
        <v>128</v>
      </c>
      <c r="AD138" s="4">
        <v>0.9</v>
      </c>
      <c r="AE138" s="4">
        <v>0.5</v>
      </c>
      <c r="AF138" s="4">
        <v>0.6</v>
      </c>
      <c r="AG138" s="4">
        <v>0.32</v>
      </c>
      <c r="AH138" s="4">
        <v>598.39324999999997</v>
      </c>
      <c r="AI138" s="4">
        <v>1E-3</v>
      </c>
      <c r="AJ138" s="5"/>
      <c r="AK138" s="5"/>
      <c r="AL138" s="5"/>
      <c r="AM138" s="5"/>
      <c r="AO138" s="4" t="s">
        <v>129</v>
      </c>
      <c r="AP138" s="4">
        <v>0.9</v>
      </c>
      <c r="AQ138" s="4">
        <v>0.5</v>
      </c>
      <c r="AR138" s="4">
        <v>0.6</v>
      </c>
      <c r="AS138" s="4">
        <v>0.3</v>
      </c>
      <c r="AT138" s="6">
        <v>997.13855000000001</v>
      </c>
      <c r="AU138" s="4">
        <v>8.0000000000000002E-3</v>
      </c>
      <c r="AW138" s="4" t="s">
        <v>129</v>
      </c>
      <c r="AX138" s="4">
        <v>0.9</v>
      </c>
      <c r="AY138" s="4">
        <v>0.5</v>
      </c>
      <c r="AZ138" s="4">
        <v>0.6</v>
      </c>
      <c r="BA138" s="4">
        <v>0.3</v>
      </c>
      <c r="BB138" s="4">
        <v>1025.6298830000001</v>
      </c>
      <c r="BC138" s="4">
        <v>6.0000000000000001E-3</v>
      </c>
      <c r="BD138" s="5"/>
      <c r="BE138" s="5"/>
      <c r="BF138" s="5"/>
      <c r="BG138" s="5"/>
      <c r="BI138" s="4" t="s">
        <v>129</v>
      </c>
      <c r="BJ138" s="4">
        <v>0.9</v>
      </c>
      <c r="BK138" s="4">
        <v>0.5</v>
      </c>
      <c r="BL138" s="4">
        <v>0.6</v>
      </c>
      <c r="BM138" s="4">
        <v>0.3</v>
      </c>
      <c r="BN138" s="6">
        <v>983.57135000000005</v>
      </c>
      <c r="BO138" s="4">
        <v>8.9999999999999993E-3</v>
      </c>
      <c r="BQ138" s="4" t="s">
        <v>129</v>
      </c>
      <c r="BR138" s="4">
        <v>0.9</v>
      </c>
      <c r="BS138" s="4">
        <v>0.5</v>
      </c>
      <c r="BT138" s="4">
        <v>0.6</v>
      </c>
      <c r="BU138" s="4">
        <v>0.3</v>
      </c>
      <c r="BV138" s="4">
        <v>1021.59906</v>
      </c>
      <c r="BW138" s="4">
        <v>6.0000000000000001E-3</v>
      </c>
      <c r="BX138" s="5"/>
      <c r="BY138" s="5"/>
      <c r="BZ138" s="5"/>
      <c r="CA138" s="5"/>
    </row>
    <row r="139" spans="1:79" x14ac:dyDescent="0.3">
      <c r="A139" s="4" t="s">
        <v>130</v>
      </c>
      <c r="B139" s="4">
        <v>0.9</v>
      </c>
      <c r="C139" s="4">
        <v>0.5</v>
      </c>
      <c r="D139" s="4">
        <v>0.6</v>
      </c>
      <c r="E139" s="4">
        <v>0.3</v>
      </c>
      <c r="F139" s="6">
        <v>636.48242200000004</v>
      </c>
      <c r="G139" s="4">
        <v>2E-3</v>
      </c>
      <c r="I139" s="4" t="s">
        <v>130</v>
      </c>
      <c r="J139" s="4">
        <v>0.9</v>
      </c>
      <c r="K139" s="4">
        <v>0.5</v>
      </c>
      <c r="L139" s="4">
        <v>0.6</v>
      </c>
      <c r="M139" s="4">
        <v>0.3</v>
      </c>
      <c r="N139" s="4">
        <v>656.67535399999997</v>
      </c>
      <c r="O139" s="4">
        <v>3.0000000000000001E-3</v>
      </c>
      <c r="P139" s="5"/>
      <c r="Q139" s="5"/>
      <c r="R139" s="5"/>
      <c r="S139" s="5"/>
      <c r="U139" s="4" t="s">
        <v>130</v>
      </c>
      <c r="V139" s="4">
        <v>0.9</v>
      </c>
      <c r="W139" s="4">
        <v>0.5</v>
      </c>
      <c r="X139" s="4">
        <v>0.6</v>
      </c>
      <c r="Y139" s="4">
        <v>0.3</v>
      </c>
      <c r="Z139" s="6">
        <v>629.25567599999999</v>
      </c>
      <c r="AA139" s="4">
        <v>1E-3</v>
      </c>
      <c r="AC139" s="4" t="s">
        <v>130</v>
      </c>
      <c r="AD139" s="4">
        <v>0.9</v>
      </c>
      <c r="AE139" s="4">
        <v>0.5</v>
      </c>
      <c r="AF139" s="4">
        <v>0.6</v>
      </c>
      <c r="AG139" s="4">
        <v>0.34</v>
      </c>
      <c r="AH139" s="4">
        <v>648.15527299999997</v>
      </c>
      <c r="AI139" s="4">
        <v>1E-3</v>
      </c>
      <c r="AJ139" s="5"/>
      <c r="AK139" s="5"/>
      <c r="AL139" s="5"/>
      <c r="AM139" s="5"/>
      <c r="AO139" s="4" t="s">
        <v>131</v>
      </c>
      <c r="AP139" s="4">
        <v>0.9</v>
      </c>
      <c r="AQ139" s="4">
        <v>0.5</v>
      </c>
      <c r="AR139" s="4">
        <v>0.6</v>
      </c>
      <c r="AS139" s="4">
        <v>0.3</v>
      </c>
      <c r="AT139" s="6">
        <v>1016.065308</v>
      </c>
      <c r="AU139" s="4">
        <v>6.0000000000000001E-3</v>
      </c>
      <c r="AW139" s="4" t="s">
        <v>131</v>
      </c>
      <c r="AX139" s="4">
        <v>0.9</v>
      </c>
      <c r="AY139" s="4">
        <v>0.5</v>
      </c>
      <c r="AZ139" s="4">
        <v>0.6</v>
      </c>
      <c r="BA139" s="4">
        <v>0.3</v>
      </c>
      <c r="BB139" s="4">
        <v>1029.2089840000001</v>
      </c>
      <c r="BC139" s="4">
        <v>7.0000000000000001E-3</v>
      </c>
      <c r="BD139" s="5"/>
      <c r="BE139" s="5"/>
      <c r="BF139" s="5"/>
      <c r="BG139" s="5"/>
      <c r="BI139" s="4" t="s">
        <v>131</v>
      </c>
      <c r="BJ139" s="4">
        <v>0.9</v>
      </c>
      <c r="BK139" s="4">
        <v>0.5</v>
      </c>
      <c r="BL139" s="4">
        <v>0.6</v>
      </c>
      <c r="BM139" s="4">
        <v>0.3</v>
      </c>
      <c r="BN139" s="6">
        <v>1003.791565</v>
      </c>
      <c r="BO139" s="4">
        <v>8.0000000000000002E-3</v>
      </c>
      <c r="BQ139" s="4" t="s">
        <v>131</v>
      </c>
      <c r="BR139" s="4">
        <v>0.9</v>
      </c>
      <c r="BS139" s="4">
        <v>0.5</v>
      </c>
      <c r="BT139" s="4">
        <v>0.6</v>
      </c>
      <c r="BU139" s="4">
        <v>0.3</v>
      </c>
      <c r="BV139" s="4">
        <v>1045.5421140000001</v>
      </c>
      <c r="BW139" s="4">
        <v>8.0000000000000002E-3</v>
      </c>
      <c r="BX139" s="5"/>
      <c r="BY139" s="5"/>
      <c r="BZ139" s="5"/>
      <c r="CA139" s="5"/>
    </row>
    <row r="140" spans="1:79" x14ac:dyDescent="0.3">
      <c r="A140" s="4" t="s">
        <v>132</v>
      </c>
      <c r="B140" s="4">
        <v>0.9</v>
      </c>
      <c r="C140" s="4">
        <v>0.5</v>
      </c>
      <c r="D140" s="4">
        <v>0.6</v>
      </c>
      <c r="E140" s="4">
        <v>0.3</v>
      </c>
      <c r="F140" s="6">
        <v>559.28137200000003</v>
      </c>
      <c r="G140" s="4">
        <v>2E-3</v>
      </c>
      <c r="I140" s="4" t="s">
        <v>132</v>
      </c>
      <c r="J140" s="4">
        <v>0.9</v>
      </c>
      <c r="K140" s="4">
        <v>0.5</v>
      </c>
      <c r="L140" s="4">
        <v>0.6</v>
      </c>
      <c r="M140" s="4">
        <v>0.3</v>
      </c>
      <c r="N140" s="4">
        <v>568.16583300000002</v>
      </c>
      <c r="O140" s="4">
        <v>1E-3</v>
      </c>
      <c r="P140" s="5"/>
      <c r="Q140" s="5"/>
      <c r="R140" s="5"/>
      <c r="S140" s="5"/>
      <c r="U140" s="4" t="s">
        <v>132</v>
      </c>
      <c r="V140" s="4">
        <v>0.9</v>
      </c>
      <c r="W140" s="4">
        <v>0.5</v>
      </c>
      <c r="X140" s="4">
        <v>0.6</v>
      </c>
      <c r="Y140" s="4">
        <v>0.3</v>
      </c>
      <c r="Z140" s="6">
        <v>512.65637200000003</v>
      </c>
      <c r="AA140" s="4">
        <v>1E-3</v>
      </c>
      <c r="AC140" s="4" t="s">
        <v>132</v>
      </c>
      <c r="AD140" s="4">
        <v>0.9</v>
      </c>
      <c r="AE140" s="4">
        <v>0.5</v>
      </c>
      <c r="AF140" s="4">
        <v>0.6</v>
      </c>
      <c r="AG140" s="4">
        <v>0.35</v>
      </c>
      <c r="AH140" s="4">
        <v>560.28118900000004</v>
      </c>
      <c r="AI140" s="4">
        <v>1E-3</v>
      </c>
      <c r="AJ140" s="5"/>
      <c r="AK140" s="5"/>
      <c r="AL140" s="5"/>
      <c r="AM140" s="5"/>
      <c r="AO140" s="4" t="s">
        <v>133</v>
      </c>
      <c r="AP140" s="4">
        <v>0.9</v>
      </c>
      <c r="AQ140" s="4">
        <v>0.5</v>
      </c>
      <c r="AR140" s="4">
        <v>0.6</v>
      </c>
      <c r="AS140" s="4">
        <v>0.3</v>
      </c>
      <c r="AT140" s="4">
        <v>1067.1683350000001</v>
      </c>
      <c r="AU140" s="4">
        <v>6.0000000000000001E-3</v>
      </c>
      <c r="AW140" s="4" t="s">
        <v>133</v>
      </c>
      <c r="AX140" s="4">
        <v>0.9</v>
      </c>
      <c r="AY140" s="4">
        <v>0.5</v>
      </c>
      <c r="AZ140" s="4">
        <v>0.6</v>
      </c>
      <c r="BA140" s="4">
        <v>0.3</v>
      </c>
      <c r="BB140" s="6">
        <v>1058.2346190000001</v>
      </c>
      <c r="BC140" s="4">
        <v>6.0000000000000001E-3</v>
      </c>
      <c r="BD140" s="5"/>
      <c r="BE140" s="5"/>
      <c r="BF140" s="5"/>
      <c r="BG140" s="5"/>
      <c r="BI140" s="4" t="s">
        <v>133</v>
      </c>
      <c r="BJ140" s="4">
        <v>0.9</v>
      </c>
      <c r="BK140" s="4">
        <v>0.5</v>
      </c>
      <c r="BL140" s="4">
        <v>0.6</v>
      </c>
      <c r="BM140" s="4">
        <v>0.3</v>
      </c>
      <c r="BN140" s="6">
        <v>1031.7454829999999</v>
      </c>
      <c r="BO140" s="4">
        <v>8.0000000000000002E-3</v>
      </c>
      <c r="BQ140" s="4" t="s">
        <v>133</v>
      </c>
      <c r="BR140" s="4">
        <v>0.9</v>
      </c>
      <c r="BS140" s="4">
        <v>0.5</v>
      </c>
      <c r="BT140" s="4">
        <v>0.6</v>
      </c>
      <c r="BU140" s="4">
        <v>0.32</v>
      </c>
      <c r="BV140" s="4">
        <v>1044.474121</v>
      </c>
      <c r="BW140" s="4">
        <v>0.01</v>
      </c>
      <c r="BX140" s="5"/>
      <c r="BY140" s="5"/>
      <c r="BZ140" s="5"/>
      <c r="CA140" s="5"/>
    </row>
    <row r="141" spans="1:79" x14ac:dyDescent="0.3">
      <c r="A141" s="14" t="s">
        <v>316</v>
      </c>
      <c r="E141" s="14">
        <f>AVERAGE(E111:E140)</f>
        <v>0.3</v>
      </c>
      <c r="I141" s="14" t="s">
        <v>316</v>
      </c>
      <c r="M141" s="14">
        <f>AVERAGE(M111:M140)</f>
        <v>0.32033333333333336</v>
      </c>
      <c r="P141" s="5"/>
      <c r="Q141" s="5"/>
      <c r="R141" s="5"/>
      <c r="S141" s="5"/>
      <c r="U141" s="14" t="s">
        <v>316</v>
      </c>
      <c r="Y141" s="14">
        <f>AVERAGE(Y111:Y140)</f>
        <v>0.3</v>
      </c>
      <c r="AC141" s="14" t="s">
        <v>316</v>
      </c>
      <c r="AG141" s="14">
        <f>AVERAGE(AG111:AG140)</f>
        <v>0.33833333333333326</v>
      </c>
      <c r="AJ141" s="5"/>
      <c r="AK141" s="5"/>
      <c r="AL141" s="5"/>
      <c r="AM141" s="5"/>
      <c r="AO141" s="14" t="s">
        <v>316</v>
      </c>
      <c r="AS141" s="14">
        <f>AVERAGE(AS111:AS140)</f>
        <v>0.3</v>
      </c>
      <c r="AW141" s="14" t="s">
        <v>316</v>
      </c>
      <c r="BA141" s="14">
        <f>AVERAGE(BA111:BA140)</f>
        <v>0.31866666666666676</v>
      </c>
      <c r="BD141" s="5"/>
      <c r="BE141" s="5"/>
      <c r="BF141" s="5"/>
      <c r="BG141" s="5"/>
      <c r="BI141" s="14" t="s">
        <v>316</v>
      </c>
      <c r="BM141" s="14">
        <f>AVERAGE(BM111:BM140)</f>
        <v>0.3</v>
      </c>
      <c r="BQ141" s="14" t="s">
        <v>316</v>
      </c>
      <c r="BU141" s="14">
        <f>AVERAGE(BU111:BU140)</f>
        <v>0.31466666666666665</v>
      </c>
      <c r="BX141" s="5"/>
      <c r="BY141" s="5"/>
      <c r="BZ141" s="5"/>
      <c r="CA141" s="5"/>
    </row>
    <row r="142" spans="1:79" x14ac:dyDescent="0.3">
      <c r="P142" s="5"/>
      <c r="Q142" s="5"/>
      <c r="R142" s="5"/>
      <c r="S142" s="5"/>
      <c r="AJ142" s="5"/>
      <c r="AK142" s="5"/>
      <c r="AL142" s="5"/>
      <c r="AM142" s="5"/>
      <c r="BD142" s="5"/>
      <c r="BE142" s="5"/>
      <c r="BF142" s="5"/>
      <c r="BG142" s="5"/>
      <c r="BX142" s="5"/>
      <c r="BY142" s="5"/>
      <c r="BZ142" s="5"/>
      <c r="CA142" s="5"/>
    </row>
    <row r="143" spans="1:79" x14ac:dyDescent="0.3">
      <c r="P143" s="5"/>
      <c r="Q143" s="5"/>
      <c r="R143" s="5"/>
      <c r="S143" s="5"/>
      <c r="AJ143" s="5"/>
      <c r="AK143" s="5"/>
      <c r="AL143" s="5"/>
      <c r="AM143" s="5"/>
      <c r="AU143" s="12"/>
      <c r="BD143" s="5"/>
      <c r="BE143" s="5"/>
      <c r="BF143" s="5"/>
      <c r="BG143" s="5"/>
      <c r="BX143" s="5"/>
      <c r="BY143" s="5"/>
      <c r="BZ143" s="5"/>
      <c r="CA143" s="5"/>
    </row>
    <row r="144" spans="1:79" x14ac:dyDescent="0.3">
      <c r="A144" s="23" t="s">
        <v>314</v>
      </c>
      <c r="B144" s="23"/>
      <c r="C144" s="23"/>
      <c r="D144" s="23"/>
      <c r="E144" s="23"/>
      <c r="F144" s="23"/>
      <c r="G144" s="23"/>
      <c r="I144" s="23" t="s">
        <v>314</v>
      </c>
      <c r="J144" s="23"/>
      <c r="K144" s="23"/>
      <c r="L144" s="23"/>
      <c r="M144" s="23"/>
      <c r="N144" s="23"/>
      <c r="O144" s="23"/>
      <c r="P144" s="11"/>
      <c r="Q144" s="11"/>
      <c r="R144" s="11"/>
      <c r="S144" s="11"/>
      <c r="U144" s="23" t="s">
        <v>314</v>
      </c>
      <c r="V144" s="23"/>
      <c r="W144" s="23"/>
      <c r="X144" s="23"/>
      <c r="Y144" s="23"/>
      <c r="Z144" s="23"/>
      <c r="AA144" s="23"/>
      <c r="AC144" s="23" t="s">
        <v>314</v>
      </c>
      <c r="AD144" s="23"/>
      <c r="AE144" s="23"/>
      <c r="AF144" s="23"/>
      <c r="AG144" s="23"/>
      <c r="AH144" s="23"/>
      <c r="AI144" s="23"/>
      <c r="AJ144" s="11"/>
      <c r="AK144" s="11"/>
      <c r="AL144" s="11"/>
      <c r="AM144" s="11"/>
      <c r="AO144" s="23" t="s">
        <v>314</v>
      </c>
      <c r="AP144" s="23"/>
      <c r="AQ144" s="23"/>
      <c r="AR144" s="23"/>
      <c r="AS144" s="23"/>
      <c r="AT144" s="23"/>
      <c r="AU144" s="23"/>
      <c r="AW144" s="23" t="s">
        <v>314</v>
      </c>
      <c r="AX144" s="23"/>
      <c r="AY144" s="23"/>
      <c r="AZ144" s="23"/>
      <c r="BA144" s="23"/>
      <c r="BB144" s="23"/>
      <c r="BC144" s="23"/>
      <c r="BD144" s="11"/>
      <c r="BE144" s="11"/>
      <c r="BF144" s="11"/>
      <c r="BG144" s="11"/>
      <c r="BI144" s="23" t="s">
        <v>314</v>
      </c>
      <c r="BJ144" s="23"/>
      <c r="BK144" s="23"/>
      <c r="BL144" s="23"/>
      <c r="BM144" s="23"/>
      <c r="BN144" s="23"/>
      <c r="BO144" s="23"/>
      <c r="BQ144" s="23" t="s">
        <v>314</v>
      </c>
      <c r="BR144" s="23"/>
      <c r="BS144" s="23"/>
      <c r="BT144" s="23"/>
      <c r="BU144" s="23"/>
      <c r="BV144" s="23"/>
      <c r="BW144" s="23"/>
      <c r="BX144" s="11"/>
      <c r="BY144" s="11"/>
      <c r="BZ144" s="11"/>
      <c r="CA144" s="11"/>
    </row>
    <row r="145" spans="1:79" x14ac:dyDescent="0.3">
      <c r="A145" s="24" t="s">
        <v>70</v>
      </c>
      <c r="B145" s="25"/>
      <c r="C145" s="25"/>
      <c r="D145" s="25"/>
      <c r="E145" s="25"/>
      <c r="F145" s="25"/>
      <c r="G145" s="26"/>
      <c r="I145" s="23" t="s">
        <v>70</v>
      </c>
      <c r="J145" s="23"/>
      <c r="K145" s="23"/>
      <c r="L145" s="23"/>
      <c r="M145" s="23"/>
      <c r="N145" s="23"/>
      <c r="O145" s="23"/>
      <c r="P145" s="11"/>
      <c r="Q145" s="11"/>
      <c r="R145" s="11"/>
      <c r="S145" s="11"/>
      <c r="U145" s="4" t="s">
        <v>71</v>
      </c>
      <c r="V145" s="4"/>
      <c r="W145" s="4"/>
      <c r="X145" s="4"/>
      <c r="Y145" s="4"/>
      <c r="Z145" s="4"/>
      <c r="AA145" s="4"/>
      <c r="AC145" s="23" t="s">
        <v>71</v>
      </c>
      <c r="AD145" s="23"/>
      <c r="AE145" s="23"/>
      <c r="AF145" s="23"/>
      <c r="AG145" s="23"/>
      <c r="AH145" s="23"/>
      <c r="AI145" s="23"/>
      <c r="AJ145" s="11"/>
      <c r="AK145" s="11"/>
      <c r="AL145" s="11"/>
      <c r="AM145" s="11"/>
      <c r="AO145" s="4" t="s">
        <v>70</v>
      </c>
      <c r="AP145" s="4"/>
      <c r="AQ145" s="4"/>
      <c r="AR145" s="4"/>
      <c r="AS145" s="4"/>
      <c r="AT145" s="4"/>
      <c r="AU145" s="4"/>
      <c r="AW145" s="23" t="s">
        <v>70</v>
      </c>
      <c r="AX145" s="23"/>
      <c r="AY145" s="23"/>
      <c r="AZ145" s="23"/>
      <c r="BA145" s="23"/>
      <c r="BB145" s="23"/>
      <c r="BC145" s="23"/>
      <c r="BD145" s="11"/>
      <c r="BE145" s="11"/>
      <c r="BF145" s="11"/>
      <c r="BG145" s="11"/>
      <c r="BI145" s="4" t="s">
        <v>71</v>
      </c>
      <c r="BJ145" s="4"/>
      <c r="BK145" s="4"/>
      <c r="BL145" s="4"/>
      <c r="BM145" s="4"/>
      <c r="BN145" s="4"/>
      <c r="BO145" s="4"/>
      <c r="BQ145" s="23" t="s">
        <v>71</v>
      </c>
      <c r="BR145" s="23"/>
      <c r="BS145" s="23"/>
      <c r="BT145" s="23"/>
      <c r="BU145" s="23"/>
      <c r="BV145" s="23"/>
      <c r="BW145" s="23"/>
      <c r="BX145" s="11"/>
      <c r="BY145" s="11"/>
      <c r="BZ145" s="11"/>
      <c r="CA145" s="11"/>
    </row>
    <row r="146" spans="1:79" x14ac:dyDescent="0.3">
      <c r="A146" s="4" t="s">
        <v>2</v>
      </c>
      <c r="B146" s="4" t="s">
        <v>3</v>
      </c>
      <c r="C146" s="4" t="s">
        <v>4</v>
      </c>
      <c r="D146" s="4" t="s">
        <v>5</v>
      </c>
      <c r="E146" s="4" t="s">
        <v>6</v>
      </c>
      <c r="F146" s="4" t="s">
        <v>7</v>
      </c>
      <c r="G146" s="4" t="s">
        <v>8</v>
      </c>
      <c r="I146" s="4" t="s">
        <v>2</v>
      </c>
      <c r="J146" s="4" t="s">
        <v>3</v>
      </c>
      <c r="K146" s="4" t="s">
        <v>4</v>
      </c>
      <c r="L146" s="4" t="s">
        <v>5</v>
      </c>
      <c r="M146" s="4" t="s">
        <v>6</v>
      </c>
      <c r="N146" s="4" t="s">
        <v>7</v>
      </c>
      <c r="O146" s="4" t="s">
        <v>8</v>
      </c>
      <c r="P146" s="3" t="s">
        <v>322</v>
      </c>
      <c r="Q146" s="3" t="s">
        <v>323</v>
      </c>
      <c r="R146" s="3" t="s">
        <v>322</v>
      </c>
      <c r="S146" s="3" t="s">
        <v>323</v>
      </c>
      <c r="U146" s="4" t="s">
        <v>2</v>
      </c>
      <c r="V146" s="4" t="s">
        <v>3</v>
      </c>
      <c r="W146" s="4" t="s">
        <v>4</v>
      </c>
      <c r="X146" s="4" t="s">
        <v>5</v>
      </c>
      <c r="Y146" s="4" t="s">
        <v>6</v>
      </c>
      <c r="Z146" s="4" t="s">
        <v>7</v>
      </c>
      <c r="AA146" s="4" t="s">
        <v>8</v>
      </c>
      <c r="AC146" s="4" t="s">
        <v>2</v>
      </c>
      <c r="AD146" s="4" t="s">
        <v>3</v>
      </c>
      <c r="AE146" s="4" t="s">
        <v>4</v>
      </c>
      <c r="AF146" s="4" t="s">
        <v>5</v>
      </c>
      <c r="AG146" s="4" t="s">
        <v>6</v>
      </c>
      <c r="AH146" s="4" t="s">
        <v>7</v>
      </c>
      <c r="AI146" s="4" t="s">
        <v>8</v>
      </c>
      <c r="AJ146" s="3" t="s">
        <v>322</v>
      </c>
      <c r="AK146" s="3" t="s">
        <v>323</v>
      </c>
      <c r="AL146" s="3" t="s">
        <v>322</v>
      </c>
      <c r="AM146" s="3" t="s">
        <v>323</v>
      </c>
      <c r="AO146" s="4" t="s">
        <v>2</v>
      </c>
      <c r="AP146" s="4" t="s">
        <v>3</v>
      </c>
      <c r="AQ146" s="4" t="s">
        <v>4</v>
      </c>
      <c r="AR146" s="4" t="s">
        <v>5</v>
      </c>
      <c r="AS146" s="4" t="s">
        <v>6</v>
      </c>
      <c r="AT146" s="4" t="s">
        <v>7</v>
      </c>
      <c r="AU146" s="4" t="s">
        <v>8</v>
      </c>
      <c r="AW146" s="4" t="s">
        <v>2</v>
      </c>
      <c r="AX146" s="4" t="s">
        <v>3</v>
      </c>
      <c r="AY146" s="4" t="s">
        <v>4</v>
      </c>
      <c r="AZ146" s="4" t="s">
        <v>5</v>
      </c>
      <c r="BA146" s="4" t="s">
        <v>6</v>
      </c>
      <c r="BB146" s="4" t="s">
        <v>7</v>
      </c>
      <c r="BC146" s="4" t="s">
        <v>8</v>
      </c>
      <c r="BD146" s="3" t="s">
        <v>322</v>
      </c>
      <c r="BE146" s="3" t="s">
        <v>323</v>
      </c>
      <c r="BF146" s="3" t="s">
        <v>322</v>
      </c>
      <c r="BG146" s="3" t="s">
        <v>323</v>
      </c>
      <c r="BI146" s="4" t="s">
        <v>2</v>
      </c>
      <c r="BJ146" s="4" t="s">
        <v>3</v>
      </c>
      <c r="BK146" s="4" t="s">
        <v>4</v>
      </c>
      <c r="BL146" s="4" t="s">
        <v>5</v>
      </c>
      <c r="BM146" s="4" t="s">
        <v>6</v>
      </c>
      <c r="BN146" s="4" t="s">
        <v>7</v>
      </c>
      <c r="BO146" s="4" t="s">
        <v>8</v>
      </c>
      <c r="BQ146" s="4" t="s">
        <v>2</v>
      </c>
      <c r="BR146" s="4" t="s">
        <v>3</v>
      </c>
      <c r="BS146" s="4" t="s">
        <v>4</v>
      </c>
      <c r="BT146" s="4" t="s">
        <v>5</v>
      </c>
      <c r="BU146" s="4" t="s">
        <v>6</v>
      </c>
      <c r="BV146" s="4" t="s">
        <v>7</v>
      </c>
      <c r="BW146" s="4" t="s">
        <v>8</v>
      </c>
      <c r="BX146" s="3" t="s">
        <v>322</v>
      </c>
      <c r="BY146" s="3" t="s">
        <v>323</v>
      </c>
      <c r="BZ146" s="3" t="s">
        <v>322</v>
      </c>
      <c r="CA146" s="3" t="s">
        <v>323</v>
      </c>
    </row>
    <row r="147" spans="1:79" x14ac:dyDescent="0.3">
      <c r="A147" s="4" t="s">
        <v>74</v>
      </c>
      <c r="B147" s="4">
        <v>0.9</v>
      </c>
      <c r="C147" s="4">
        <v>0.5</v>
      </c>
      <c r="D147" s="4">
        <v>0.6</v>
      </c>
      <c r="E147" s="4">
        <v>0.3</v>
      </c>
      <c r="F147" s="6">
        <v>401.67568999999997</v>
      </c>
      <c r="G147" s="4">
        <v>0</v>
      </c>
      <c r="I147" s="4" t="s">
        <v>74</v>
      </c>
      <c r="J147" s="4">
        <v>0.9</v>
      </c>
      <c r="K147" s="4">
        <v>0.5</v>
      </c>
      <c r="L147" s="4">
        <v>0.6</v>
      </c>
      <c r="M147" s="4">
        <v>0.3</v>
      </c>
      <c r="N147" s="4">
        <v>404.11584499999998</v>
      </c>
      <c r="O147" s="4">
        <v>1E-3</v>
      </c>
      <c r="P147" s="4" t="s">
        <v>324</v>
      </c>
      <c r="Q147" s="4" t="s">
        <v>324</v>
      </c>
      <c r="R147" s="4" t="s">
        <v>325</v>
      </c>
      <c r="S147" s="4" t="s">
        <v>325</v>
      </c>
      <c r="U147" s="4" t="s">
        <v>74</v>
      </c>
      <c r="V147" s="4">
        <v>0.9</v>
      </c>
      <c r="W147" s="4">
        <v>0.5</v>
      </c>
      <c r="X147" s="4">
        <v>0.6</v>
      </c>
      <c r="Y147" s="4">
        <v>0.3</v>
      </c>
      <c r="Z147" s="6">
        <v>378.85406499999999</v>
      </c>
      <c r="AA147" s="4">
        <v>0</v>
      </c>
      <c r="AC147" s="4" t="s">
        <v>74</v>
      </c>
      <c r="AD147" s="4">
        <v>0.9</v>
      </c>
      <c r="AE147" s="4">
        <v>0.5</v>
      </c>
      <c r="AF147" s="4">
        <v>0.6</v>
      </c>
      <c r="AG147" s="4">
        <v>0.36</v>
      </c>
      <c r="AH147" s="4">
        <v>379.26654100000002</v>
      </c>
      <c r="AI147" s="4">
        <v>0</v>
      </c>
      <c r="AJ147" s="4" t="s">
        <v>324</v>
      </c>
      <c r="AK147" s="4" t="s">
        <v>324</v>
      </c>
      <c r="AL147" s="4" t="s">
        <v>325</v>
      </c>
      <c r="AM147" s="4" t="s">
        <v>325</v>
      </c>
      <c r="AO147" s="4" t="s">
        <v>75</v>
      </c>
      <c r="AP147" s="4">
        <v>0.9</v>
      </c>
      <c r="AQ147" s="4">
        <v>0.5</v>
      </c>
      <c r="AR147" s="4">
        <v>0.6</v>
      </c>
      <c r="AS147" s="4">
        <v>0.3</v>
      </c>
      <c r="AT147" s="6">
        <v>728.88641399999995</v>
      </c>
      <c r="AU147" s="4">
        <v>4.0000000000000001E-3</v>
      </c>
      <c r="AW147" s="4" t="s">
        <v>75</v>
      </c>
      <c r="AX147" s="4">
        <v>0.9</v>
      </c>
      <c r="AY147" s="4">
        <v>0.5</v>
      </c>
      <c r="AZ147" s="4">
        <v>0.6</v>
      </c>
      <c r="BA147" s="4">
        <v>0.3</v>
      </c>
      <c r="BB147" s="4">
        <v>740.92761199999995</v>
      </c>
      <c r="BC147" s="4">
        <v>6.0000000000000001E-3</v>
      </c>
      <c r="BD147" s="4" t="s">
        <v>324</v>
      </c>
      <c r="BE147" s="4" t="s">
        <v>324</v>
      </c>
      <c r="BF147" s="4" t="s">
        <v>325</v>
      </c>
      <c r="BG147" s="4" t="s">
        <v>325</v>
      </c>
      <c r="BI147" s="4" t="s">
        <v>75</v>
      </c>
      <c r="BJ147" s="4">
        <v>0.9</v>
      </c>
      <c r="BK147" s="4">
        <v>0.5</v>
      </c>
      <c r="BL147" s="4">
        <v>0.6</v>
      </c>
      <c r="BM147" s="4">
        <v>0.3</v>
      </c>
      <c r="BN147" s="6">
        <v>693.86785899999995</v>
      </c>
      <c r="BO147" s="4">
        <v>4.0000000000000001E-3</v>
      </c>
      <c r="BQ147" s="4" t="s">
        <v>75</v>
      </c>
      <c r="BR147" s="4">
        <v>0.9</v>
      </c>
      <c r="BS147" s="4">
        <v>0.5</v>
      </c>
      <c r="BT147" s="4">
        <v>0.6</v>
      </c>
      <c r="BU147" s="4">
        <v>0.31</v>
      </c>
      <c r="BV147" s="4">
        <v>707.48303199999998</v>
      </c>
      <c r="BW147" s="4">
        <v>4.0000000000000001E-3</v>
      </c>
      <c r="BX147" s="4" t="s">
        <v>324</v>
      </c>
      <c r="BY147" s="4" t="s">
        <v>324</v>
      </c>
      <c r="BZ147" s="4" t="s">
        <v>325</v>
      </c>
      <c r="CA147" s="4" t="s">
        <v>325</v>
      </c>
    </row>
    <row r="148" spans="1:79" x14ac:dyDescent="0.3">
      <c r="A148" s="4" t="s">
        <v>76</v>
      </c>
      <c r="B148" s="4">
        <v>0.9</v>
      </c>
      <c r="C148" s="4">
        <v>0.5</v>
      </c>
      <c r="D148" s="4">
        <v>0.6</v>
      </c>
      <c r="E148" s="4">
        <v>0.3</v>
      </c>
      <c r="F148" s="6">
        <v>438.98226899999997</v>
      </c>
      <c r="G148" s="4">
        <v>1E-3</v>
      </c>
      <c r="I148" s="4" t="s">
        <v>76</v>
      </c>
      <c r="J148" s="4">
        <v>0.9</v>
      </c>
      <c r="K148" s="4">
        <v>0.5</v>
      </c>
      <c r="L148" s="4">
        <v>0.6</v>
      </c>
      <c r="M148" s="4">
        <v>0.31</v>
      </c>
      <c r="N148" s="4">
        <v>442.72726399999999</v>
      </c>
      <c r="O148" s="4">
        <v>1E-3</v>
      </c>
      <c r="P148" s="3">
        <f>COUNT(F147:F165,F167:F176)</f>
        <v>29</v>
      </c>
      <c r="Q148" s="3">
        <f>30-P148</f>
        <v>1</v>
      </c>
      <c r="R148" s="3">
        <f>COUNT(N166)</f>
        <v>1</v>
      </c>
      <c r="S148" s="3">
        <f>30-R148</f>
        <v>29</v>
      </c>
      <c r="U148" s="4" t="s">
        <v>76</v>
      </c>
      <c r="V148" s="4">
        <v>0.9</v>
      </c>
      <c r="W148" s="4">
        <v>0.5</v>
      </c>
      <c r="X148" s="4">
        <v>0.6</v>
      </c>
      <c r="Y148" s="4">
        <v>0.3</v>
      </c>
      <c r="Z148" s="6">
        <v>412.682861</v>
      </c>
      <c r="AA148" s="4">
        <v>1E-3</v>
      </c>
      <c r="AC148" s="4" t="s">
        <v>76</v>
      </c>
      <c r="AD148" s="4">
        <v>0.9</v>
      </c>
      <c r="AE148" s="4">
        <v>0.5</v>
      </c>
      <c r="AF148" s="4">
        <v>0.6</v>
      </c>
      <c r="AG148" s="4">
        <v>0.3</v>
      </c>
      <c r="AH148" s="4">
        <v>413.67385899999999</v>
      </c>
      <c r="AI148" s="4">
        <v>1E-3</v>
      </c>
      <c r="AJ148" s="3">
        <f>COUNT(Z147:Z176)</f>
        <v>30</v>
      </c>
      <c r="AK148" s="3">
        <f>30-AJ148</f>
        <v>0</v>
      </c>
      <c r="AL148" s="3">
        <v>0</v>
      </c>
      <c r="AM148" s="3">
        <f>30-AL148</f>
        <v>30</v>
      </c>
      <c r="AO148" s="4" t="s">
        <v>77</v>
      </c>
      <c r="AP148" s="4">
        <v>0.9</v>
      </c>
      <c r="AQ148" s="4">
        <v>0.5</v>
      </c>
      <c r="AR148" s="4">
        <v>0.6</v>
      </c>
      <c r="AS148" s="4">
        <v>0.3</v>
      </c>
      <c r="AT148" s="8">
        <v>820.81585700000005</v>
      </c>
      <c r="AU148" s="4">
        <v>7.0000000000000001E-3</v>
      </c>
      <c r="AW148" s="4" t="s">
        <v>77</v>
      </c>
      <c r="AX148" s="4">
        <v>0.9</v>
      </c>
      <c r="AY148" s="4">
        <v>0.5</v>
      </c>
      <c r="AZ148" s="4">
        <v>0.6</v>
      </c>
      <c r="BA148" s="4">
        <v>0.34</v>
      </c>
      <c r="BB148" s="6">
        <v>820.79418899999996</v>
      </c>
      <c r="BC148" s="4">
        <v>6.0000000000000001E-3</v>
      </c>
      <c r="BD148" s="3">
        <f>COUNT(AT147:AT164,AT166:AT176)</f>
        <v>29</v>
      </c>
      <c r="BE148" s="3">
        <f>30-BD148</f>
        <v>1</v>
      </c>
      <c r="BF148" s="3">
        <f>COUNT(BB148,BB165)</f>
        <v>2</v>
      </c>
      <c r="BG148" s="3">
        <f>30-BF148</f>
        <v>28</v>
      </c>
      <c r="BI148" s="4" t="s">
        <v>77</v>
      </c>
      <c r="BJ148" s="4">
        <v>0.9</v>
      </c>
      <c r="BK148" s="4">
        <v>0.5</v>
      </c>
      <c r="BL148" s="4">
        <v>0.6</v>
      </c>
      <c r="BM148" s="4">
        <v>0.3</v>
      </c>
      <c r="BN148" s="6">
        <v>756.72125200000005</v>
      </c>
      <c r="BO148" s="4">
        <v>4.0000000000000001E-3</v>
      </c>
      <c r="BQ148" s="4" t="s">
        <v>77</v>
      </c>
      <c r="BR148" s="4">
        <v>0.9</v>
      </c>
      <c r="BS148" s="4">
        <v>0.5</v>
      </c>
      <c r="BT148" s="4">
        <v>0.6</v>
      </c>
      <c r="BU148" s="4">
        <v>0.32</v>
      </c>
      <c r="BV148" s="4">
        <v>778.41570999999999</v>
      </c>
      <c r="BW148" s="4">
        <v>5.0000000000000001E-3</v>
      </c>
      <c r="BX148" s="3">
        <f>COUNT(BN147:BN156,BN158:BN162,BN164:BN176)</f>
        <v>28</v>
      </c>
      <c r="BY148" s="3">
        <f>30-BX148</f>
        <v>2</v>
      </c>
      <c r="BZ148" s="3">
        <f>COUNT(BV157,BV163)</f>
        <v>2</v>
      </c>
      <c r="CA148" s="3">
        <f>30-BZ148</f>
        <v>28</v>
      </c>
    </row>
    <row r="149" spans="1:79" x14ac:dyDescent="0.3">
      <c r="A149" s="4" t="s">
        <v>78</v>
      </c>
      <c r="B149" s="4">
        <v>0.9</v>
      </c>
      <c r="C149" s="4">
        <v>0.5</v>
      </c>
      <c r="D149" s="4">
        <v>0.6</v>
      </c>
      <c r="E149" s="4">
        <v>0.3</v>
      </c>
      <c r="F149" s="6">
        <v>423.86352499999998</v>
      </c>
      <c r="G149" s="4">
        <v>1E-3</v>
      </c>
      <c r="I149" s="4" t="s">
        <v>78</v>
      </c>
      <c r="J149" s="4">
        <v>0.9</v>
      </c>
      <c r="K149" s="4">
        <v>0.5</v>
      </c>
      <c r="L149" s="4">
        <v>0.6</v>
      </c>
      <c r="M149" s="4">
        <v>0.3</v>
      </c>
      <c r="N149" s="4">
        <v>430.92837500000002</v>
      </c>
      <c r="O149" s="4">
        <v>1E-3</v>
      </c>
      <c r="P149" s="5"/>
      <c r="Q149" s="5"/>
      <c r="R149" s="5"/>
      <c r="S149" s="5"/>
      <c r="U149" s="4" t="s">
        <v>78</v>
      </c>
      <c r="V149" s="4">
        <v>0.9</v>
      </c>
      <c r="W149" s="4">
        <v>0.5</v>
      </c>
      <c r="X149" s="4">
        <v>0.6</v>
      </c>
      <c r="Y149" s="4">
        <v>0.3</v>
      </c>
      <c r="Z149" s="6">
        <v>403.34835800000002</v>
      </c>
      <c r="AA149" s="4">
        <v>0</v>
      </c>
      <c r="AC149" s="4" t="s">
        <v>78</v>
      </c>
      <c r="AD149" s="4">
        <v>0.9</v>
      </c>
      <c r="AE149" s="4">
        <v>0.5</v>
      </c>
      <c r="AF149" s="4">
        <v>0.6</v>
      </c>
      <c r="AG149" s="4">
        <v>0.33</v>
      </c>
      <c r="AH149" s="4">
        <v>405.70871</v>
      </c>
      <c r="AI149" s="4">
        <v>1E-3</v>
      </c>
      <c r="AJ149" s="5"/>
      <c r="AK149" s="5"/>
      <c r="AL149" s="5"/>
      <c r="AM149" s="5"/>
      <c r="AO149" s="4" t="s">
        <v>79</v>
      </c>
      <c r="AP149" s="4">
        <v>0.9</v>
      </c>
      <c r="AQ149" s="4">
        <v>0.5</v>
      </c>
      <c r="AR149" s="4">
        <v>0.6</v>
      </c>
      <c r="AS149" s="4">
        <v>0.3</v>
      </c>
      <c r="AT149" s="6">
        <v>770.65991199999996</v>
      </c>
      <c r="AU149" s="4">
        <v>4.0000000000000001E-3</v>
      </c>
      <c r="AW149" s="4" t="s">
        <v>79</v>
      </c>
      <c r="AX149" s="4">
        <v>0.9</v>
      </c>
      <c r="AY149" s="4">
        <v>0.5</v>
      </c>
      <c r="AZ149" s="4">
        <v>0.6</v>
      </c>
      <c r="BA149" s="4">
        <v>0.3</v>
      </c>
      <c r="BB149" s="4">
        <v>809.052368</v>
      </c>
      <c r="BC149" s="4">
        <v>7.0000000000000001E-3</v>
      </c>
      <c r="BD149" s="5"/>
      <c r="BE149" s="5"/>
      <c r="BF149" s="5"/>
      <c r="BG149" s="5"/>
      <c r="BI149" s="4" t="s">
        <v>79</v>
      </c>
      <c r="BJ149" s="4">
        <v>0.9</v>
      </c>
      <c r="BK149" s="4">
        <v>0.5</v>
      </c>
      <c r="BL149" s="4">
        <v>0.6</v>
      </c>
      <c r="BM149" s="4">
        <v>0.3</v>
      </c>
      <c r="BN149" s="6">
        <v>743.65966800000001</v>
      </c>
      <c r="BO149" s="4">
        <v>4.0000000000000001E-3</v>
      </c>
      <c r="BQ149" s="4" t="s">
        <v>79</v>
      </c>
      <c r="BR149" s="4">
        <v>0.9</v>
      </c>
      <c r="BS149" s="4">
        <v>0.5</v>
      </c>
      <c r="BT149" s="4">
        <v>0.6</v>
      </c>
      <c r="BU149" s="4">
        <v>0.31</v>
      </c>
      <c r="BV149" s="4">
        <v>768.84368900000004</v>
      </c>
      <c r="BW149" s="4">
        <v>4.0000000000000001E-3</v>
      </c>
      <c r="BX149" s="5"/>
      <c r="BY149" s="5"/>
      <c r="BZ149" s="5"/>
      <c r="CA149" s="5"/>
    </row>
    <row r="150" spans="1:79" x14ac:dyDescent="0.3">
      <c r="A150" s="4" t="s">
        <v>80</v>
      </c>
      <c r="B150" s="4">
        <v>0.9</v>
      </c>
      <c r="C150" s="4">
        <v>0.5</v>
      </c>
      <c r="D150" s="4">
        <v>0.6</v>
      </c>
      <c r="E150" s="4">
        <v>0.3</v>
      </c>
      <c r="F150" s="6">
        <v>457.40896600000002</v>
      </c>
      <c r="G150" s="4">
        <v>1E-3</v>
      </c>
      <c r="I150" s="4" t="s">
        <v>80</v>
      </c>
      <c r="J150" s="4">
        <v>0.9</v>
      </c>
      <c r="K150" s="4">
        <v>0.5</v>
      </c>
      <c r="L150" s="4">
        <v>0.6</v>
      </c>
      <c r="M150" s="4">
        <v>0.36</v>
      </c>
      <c r="N150" s="4">
        <v>469.467804</v>
      </c>
      <c r="O150" s="4">
        <v>1E-3</v>
      </c>
      <c r="P150" s="5"/>
      <c r="Q150" s="5"/>
      <c r="R150" s="5"/>
      <c r="S150" s="5"/>
      <c r="U150" s="4" t="s">
        <v>80</v>
      </c>
      <c r="V150" s="4">
        <v>0.9</v>
      </c>
      <c r="W150" s="4">
        <v>0.5</v>
      </c>
      <c r="X150" s="4">
        <v>0.6</v>
      </c>
      <c r="Y150" s="4">
        <v>0.3</v>
      </c>
      <c r="Z150" s="6">
        <v>418.89267000000001</v>
      </c>
      <c r="AA150" s="4">
        <v>0</v>
      </c>
      <c r="AC150" s="4" t="s">
        <v>80</v>
      </c>
      <c r="AD150" s="4">
        <v>0.9</v>
      </c>
      <c r="AE150" s="4">
        <v>0.5</v>
      </c>
      <c r="AF150" s="4">
        <v>0.6</v>
      </c>
      <c r="AG150" s="4">
        <v>0.34</v>
      </c>
      <c r="AH150" s="4">
        <v>424.53918499999997</v>
      </c>
      <c r="AI150" s="4">
        <v>1E-3</v>
      </c>
      <c r="AJ150" s="5"/>
      <c r="AK150" s="5"/>
      <c r="AL150" s="5"/>
      <c r="AM150" s="5"/>
      <c r="AO150" s="4" t="s">
        <v>81</v>
      </c>
      <c r="AP150" s="4">
        <v>0.9</v>
      </c>
      <c r="AQ150" s="4">
        <v>0.5</v>
      </c>
      <c r="AR150" s="4">
        <v>0.6</v>
      </c>
      <c r="AS150" s="4">
        <v>0.3</v>
      </c>
      <c r="AT150" s="6">
        <v>723.85003700000004</v>
      </c>
      <c r="AU150" s="4">
        <v>4.0000000000000001E-3</v>
      </c>
      <c r="AW150" s="4" t="s">
        <v>81</v>
      </c>
      <c r="AX150" s="4">
        <v>0.9</v>
      </c>
      <c r="AY150" s="4">
        <v>0.5</v>
      </c>
      <c r="AZ150" s="4">
        <v>0.6</v>
      </c>
      <c r="BA150" s="4">
        <v>0.32</v>
      </c>
      <c r="BB150" s="4">
        <v>754.72351100000003</v>
      </c>
      <c r="BC150" s="4">
        <v>5.0000000000000001E-3</v>
      </c>
      <c r="BD150" s="5"/>
      <c r="BE150" s="5"/>
      <c r="BF150" s="5"/>
      <c r="BG150" s="5"/>
      <c r="BI150" s="4" t="s">
        <v>81</v>
      </c>
      <c r="BJ150" s="4">
        <v>0.9</v>
      </c>
      <c r="BK150" s="4">
        <v>0.5</v>
      </c>
      <c r="BL150" s="4">
        <v>0.6</v>
      </c>
      <c r="BM150" s="4">
        <v>0.3</v>
      </c>
      <c r="BN150" s="6">
        <v>699.88256799999999</v>
      </c>
      <c r="BO150" s="4">
        <v>4.0000000000000001E-3</v>
      </c>
      <c r="BQ150" s="4" t="s">
        <v>81</v>
      </c>
      <c r="BR150" s="4">
        <v>0.9</v>
      </c>
      <c r="BS150" s="4">
        <v>0.5</v>
      </c>
      <c r="BT150" s="4">
        <v>0.6</v>
      </c>
      <c r="BU150" s="4">
        <v>0.31</v>
      </c>
      <c r="BV150" s="4">
        <v>717.15136700000005</v>
      </c>
      <c r="BW150" s="4">
        <v>4.0000000000000001E-3</v>
      </c>
      <c r="BX150" s="5"/>
      <c r="BY150" s="5"/>
      <c r="BZ150" s="5"/>
      <c r="CA150" s="5"/>
    </row>
    <row r="151" spans="1:79" x14ac:dyDescent="0.3">
      <c r="A151" s="4" t="s">
        <v>82</v>
      </c>
      <c r="B151" s="4">
        <v>0.9</v>
      </c>
      <c r="C151" s="4">
        <v>0.5</v>
      </c>
      <c r="D151" s="4">
        <v>0.6</v>
      </c>
      <c r="E151" s="4">
        <v>0.3</v>
      </c>
      <c r="F151" s="6">
        <v>417.89263899999997</v>
      </c>
      <c r="G151" s="4">
        <v>1E-3</v>
      </c>
      <c r="I151" s="4" t="s">
        <v>82</v>
      </c>
      <c r="J151" s="4">
        <v>0.9</v>
      </c>
      <c r="K151" s="4">
        <v>0.5</v>
      </c>
      <c r="L151" s="4">
        <v>0.6</v>
      </c>
      <c r="M151" s="4">
        <v>0.37</v>
      </c>
      <c r="N151" s="4">
        <v>429.70715300000001</v>
      </c>
      <c r="O151" s="4">
        <v>2E-3</v>
      </c>
      <c r="P151" s="5"/>
      <c r="Q151" s="5"/>
      <c r="R151" s="5"/>
      <c r="S151" s="5"/>
      <c r="U151" s="4" t="s">
        <v>82</v>
      </c>
      <c r="V151" s="4">
        <v>0.9</v>
      </c>
      <c r="W151" s="4">
        <v>0.5</v>
      </c>
      <c r="X151" s="4">
        <v>0.6</v>
      </c>
      <c r="Y151" s="4">
        <v>0.3</v>
      </c>
      <c r="Z151" s="6">
        <v>401.66940299999999</v>
      </c>
      <c r="AA151" s="4">
        <v>1E-3</v>
      </c>
      <c r="AC151" s="4" t="s">
        <v>82</v>
      </c>
      <c r="AD151" s="4">
        <v>0.9</v>
      </c>
      <c r="AE151" s="4">
        <v>0.5</v>
      </c>
      <c r="AF151" s="4">
        <v>0.6</v>
      </c>
      <c r="AG151" s="4">
        <v>0.36</v>
      </c>
      <c r="AH151" s="4">
        <v>407.24176</v>
      </c>
      <c r="AI151" s="4">
        <v>2E-3</v>
      </c>
      <c r="AJ151" s="5"/>
      <c r="AK151" s="5"/>
      <c r="AL151" s="5"/>
      <c r="AM151" s="5"/>
      <c r="AO151" s="4" t="s">
        <v>83</v>
      </c>
      <c r="AP151" s="4">
        <v>0.9</v>
      </c>
      <c r="AQ151" s="4">
        <v>0.5</v>
      </c>
      <c r="AR151" s="4">
        <v>0.6</v>
      </c>
      <c r="AS151" s="4">
        <v>0.3</v>
      </c>
      <c r="AT151" s="6">
        <v>752.17504899999994</v>
      </c>
      <c r="AU151" s="4">
        <v>4.0000000000000001E-3</v>
      </c>
      <c r="AW151" s="4" t="s">
        <v>83</v>
      </c>
      <c r="AX151" s="4">
        <v>0.9</v>
      </c>
      <c r="AY151" s="4">
        <v>0.5</v>
      </c>
      <c r="AZ151" s="4">
        <v>0.6</v>
      </c>
      <c r="BA151" s="4">
        <v>0.35</v>
      </c>
      <c r="BB151" s="4">
        <v>775.46264599999995</v>
      </c>
      <c r="BC151" s="4">
        <v>6.0000000000000001E-3</v>
      </c>
      <c r="BD151" s="5"/>
      <c r="BE151" s="5"/>
      <c r="BF151" s="5"/>
      <c r="BG151" s="5"/>
      <c r="BI151" s="4" t="s">
        <v>83</v>
      </c>
      <c r="BJ151" s="4">
        <v>0.9</v>
      </c>
      <c r="BK151" s="4">
        <v>0.5</v>
      </c>
      <c r="BL151" s="4">
        <v>0.6</v>
      </c>
      <c r="BM151" s="4">
        <v>0.3</v>
      </c>
      <c r="BN151" s="6">
        <v>720.67309599999999</v>
      </c>
      <c r="BO151" s="4">
        <v>5.0000000000000001E-3</v>
      </c>
      <c r="BQ151" s="4" t="s">
        <v>83</v>
      </c>
      <c r="BR151" s="4">
        <v>0.9</v>
      </c>
      <c r="BS151" s="4">
        <v>0.5</v>
      </c>
      <c r="BT151" s="4">
        <v>0.6</v>
      </c>
      <c r="BU151" s="4">
        <v>0.33</v>
      </c>
      <c r="BV151" s="4">
        <v>744.37591599999996</v>
      </c>
      <c r="BW151" s="4">
        <v>4.0000000000000001E-3</v>
      </c>
      <c r="BX151" s="5"/>
      <c r="BY151" s="5"/>
      <c r="BZ151" s="5"/>
      <c r="CA151" s="5"/>
    </row>
    <row r="152" spans="1:79" x14ac:dyDescent="0.3">
      <c r="A152" s="4" t="s">
        <v>84</v>
      </c>
      <c r="B152" s="4">
        <v>0.9</v>
      </c>
      <c r="C152" s="4">
        <v>0.5</v>
      </c>
      <c r="D152" s="4">
        <v>0.6</v>
      </c>
      <c r="E152" s="4">
        <v>0.3</v>
      </c>
      <c r="F152" s="6">
        <v>528.08221400000002</v>
      </c>
      <c r="G152" s="4">
        <v>1E-3</v>
      </c>
      <c r="I152" s="4" t="s">
        <v>84</v>
      </c>
      <c r="J152" s="4">
        <v>0.9</v>
      </c>
      <c r="K152" s="4">
        <v>0.5</v>
      </c>
      <c r="L152" s="4">
        <v>0.6</v>
      </c>
      <c r="M152" s="4">
        <v>0.35</v>
      </c>
      <c r="N152" s="4">
        <v>537.17108199999996</v>
      </c>
      <c r="O152" s="4">
        <v>1E-3</v>
      </c>
      <c r="P152" s="5"/>
      <c r="Q152" s="5"/>
      <c r="R152" s="5"/>
      <c r="S152" s="5"/>
      <c r="U152" s="4" t="s">
        <v>84</v>
      </c>
      <c r="V152" s="4">
        <v>0.9</v>
      </c>
      <c r="W152" s="4">
        <v>0.5</v>
      </c>
      <c r="X152" s="4">
        <v>0.6</v>
      </c>
      <c r="Y152" s="4">
        <v>0.3</v>
      </c>
      <c r="Z152" s="6">
        <v>494.85012799999998</v>
      </c>
      <c r="AA152" s="4">
        <v>1E-3</v>
      </c>
      <c r="AC152" s="4" t="s">
        <v>84</v>
      </c>
      <c r="AD152" s="4">
        <v>0.9</v>
      </c>
      <c r="AE152" s="4">
        <v>0.5</v>
      </c>
      <c r="AF152" s="4">
        <v>0.6</v>
      </c>
      <c r="AG152" s="4">
        <v>0.31</v>
      </c>
      <c r="AH152" s="4">
        <v>506.08660900000001</v>
      </c>
      <c r="AI152" s="4">
        <v>1E-3</v>
      </c>
      <c r="AJ152" s="5"/>
      <c r="AK152" s="5"/>
      <c r="AL152" s="5"/>
      <c r="AM152" s="5"/>
      <c r="AO152" s="4" t="s">
        <v>85</v>
      </c>
      <c r="AP152" s="4">
        <v>0.9</v>
      </c>
      <c r="AQ152" s="4">
        <v>0.5</v>
      </c>
      <c r="AR152" s="4">
        <v>0.6</v>
      </c>
      <c r="AS152" s="4">
        <v>0.3</v>
      </c>
      <c r="AT152" s="6">
        <v>871.18438700000002</v>
      </c>
      <c r="AU152" s="4">
        <v>5.0000000000000001E-3</v>
      </c>
      <c r="AW152" s="4" t="s">
        <v>85</v>
      </c>
      <c r="AX152" s="4">
        <v>0.9</v>
      </c>
      <c r="AY152" s="4">
        <v>0.5</v>
      </c>
      <c r="AZ152" s="4">
        <v>0.6</v>
      </c>
      <c r="BA152" s="4">
        <v>0.31</v>
      </c>
      <c r="BB152" s="4">
        <v>914.57281499999999</v>
      </c>
      <c r="BC152" s="4">
        <v>1.2E-2</v>
      </c>
      <c r="BD152" s="5"/>
      <c r="BE152" s="5"/>
      <c r="BF152" s="5"/>
      <c r="BG152" s="5"/>
      <c r="BI152" s="4" t="s">
        <v>85</v>
      </c>
      <c r="BJ152" s="4">
        <v>0.9</v>
      </c>
      <c r="BK152" s="4">
        <v>0.5</v>
      </c>
      <c r="BL152" s="4">
        <v>0.6</v>
      </c>
      <c r="BM152" s="4">
        <v>0.3</v>
      </c>
      <c r="BN152" s="6">
        <v>847.12524399999995</v>
      </c>
      <c r="BO152" s="4">
        <v>4.0000000000000001E-3</v>
      </c>
      <c r="BQ152" s="4" t="s">
        <v>85</v>
      </c>
      <c r="BR152" s="4">
        <v>0.9</v>
      </c>
      <c r="BS152" s="4">
        <v>0.5</v>
      </c>
      <c r="BT152" s="4">
        <v>0.6</v>
      </c>
      <c r="BU152" s="4">
        <v>0.33</v>
      </c>
      <c r="BV152" s="4">
        <v>875.89587400000005</v>
      </c>
      <c r="BW152" s="4">
        <v>6.0000000000000001E-3</v>
      </c>
      <c r="BX152" s="5"/>
      <c r="BY152" s="5"/>
      <c r="BZ152" s="5"/>
      <c r="CA152" s="5"/>
    </row>
    <row r="153" spans="1:79" x14ac:dyDescent="0.3">
      <c r="A153" s="4" t="s">
        <v>86</v>
      </c>
      <c r="B153" s="4">
        <v>0.9</v>
      </c>
      <c r="C153" s="4">
        <v>0.5</v>
      </c>
      <c r="D153" s="4">
        <v>0.6</v>
      </c>
      <c r="E153" s="4">
        <v>0.3</v>
      </c>
      <c r="F153" s="6">
        <v>568.23950200000002</v>
      </c>
      <c r="G153" s="4">
        <v>1E-3</v>
      </c>
      <c r="I153" s="4" t="s">
        <v>86</v>
      </c>
      <c r="J153" s="4">
        <v>0.9</v>
      </c>
      <c r="K153" s="4">
        <v>0.5</v>
      </c>
      <c r="L153" s="4">
        <v>0.6</v>
      </c>
      <c r="M153" s="4">
        <v>0.32</v>
      </c>
      <c r="N153" s="4">
        <v>575.388733</v>
      </c>
      <c r="O153" s="4">
        <v>1E-3</v>
      </c>
      <c r="P153" s="5"/>
      <c r="Q153" s="5"/>
      <c r="R153" s="5"/>
      <c r="S153" s="5"/>
      <c r="U153" s="4" t="s">
        <v>86</v>
      </c>
      <c r="V153" s="4">
        <v>0.9</v>
      </c>
      <c r="W153" s="4">
        <v>0.5</v>
      </c>
      <c r="X153" s="4">
        <v>0.6</v>
      </c>
      <c r="Y153" s="4">
        <v>0.3</v>
      </c>
      <c r="Z153" s="6">
        <v>532.722534</v>
      </c>
      <c r="AA153" s="4">
        <v>0</v>
      </c>
      <c r="AC153" s="4" t="s">
        <v>86</v>
      </c>
      <c r="AD153" s="4">
        <v>0.9</v>
      </c>
      <c r="AE153" s="4">
        <v>0.5</v>
      </c>
      <c r="AF153" s="4">
        <v>0.6</v>
      </c>
      <c r="AG153" s="4">
        <v>0.3</v>
      </c>
      <c r="AH153" s="4">
        <v>553.70422399999995</v>
      </c>
      <c r="AI153" s="4">
        <v>1E-3</v>
      </c>
      <c r="AJ153" s="5"/>
      <c r="AK153" s="5"/>
      <c r="AL153" s="5"/>
      <c r="AM153" s="5"/>
      <c r="AO153" s="4" t="s">
        <v>87</v>
      </c>
      <c r="AP153" s="4">
        <v>0.9</v>
      </c>
      <c r="AQ153" s="4">
        <v>0.5</v>
      </c>
      <c r="AR153" s="4">
        <v>0.6</v>
      </c>
      <c r="AS153" s="4">
        <v>0.3</v>
      </c>
      <c r="AT153" s="6">
        <v>772.47711200000003</v>
      </c>
      <c r="AU153" s="4">
        <v>5.0000000000000001E-3</v>
      </c>
      <c r="AW153" s="4" t="s">
        <v>87</v>
      </c>
      <c r="AX153" s="4">
        <v>0.9</v>
      </c>
      <c r="AY153" s="4">
        <v>0.5</v>
      </c>
      <c r="AZ153" s="4">
        <v>0.6</v>
      </c>
      <c r="BA153" s="4">
        <v>0.3</v>
      </c>
      <c r="BB153" s="4">
        <v>807.087402</v>
      </c>
      <c r="BC153" s="4">
        <v>8.9999999999999993E-3</v>
      </c>
      <c r="BD153" s="5"/>
      <c r="BE153" s="5"/>
      <c r="BF153" s="5"/>
      <c r="BG153" s="5"/>
      <c r="BI153" s="4" t="s">
        <v>87</v>
      </c>
      <c r="BJ153" s="4">
        <v>0.9</v>
      </c>
      <c r="BK153" s="4">
        <v>0.5</v>
      </c>
      <c r="BL153" s="4">
        <v>0.6</v>
      </c>
      <c r="BM153" s="4">
        <v>0.3</v>
      </c>
      <c r="BN153" s="6">
        <v>749.05432099999996</v>
      </c>
      <c r="BO153" s="4">
        <v>4.0000000000000001E-3</v>
      </c>
      <c r="BQ153" s="4" t="s">
        <v>87</v>
      </c>
      <c r="BR153" s="4">
        <v>0.9</v>
      </c>
      <c r="BS153" s="4">
        <v>0.5</v>
      </c>
      <c r="BT153" s="4">
        <v>0.6</v>
      </c>
      <c r="BU153" s="4">
        <v>0.3</v>
      </c>
      <c r="BV153" s="4">
        <v>776.323669</v>
      </c>
      <c r="BW153" s="4">
        <v>4.0000000000000001E-3</v>
      </c>
      <c r="BX153" s="5"/>
      <c r="BY153" s="5"/>
      <c r="BZ153" s="5"/>
      <c r="CA153" s="5"/>
    </row>
    <row r="154" spans="1:79" x14ac:dyDescent="0.3">
      <c r="A154" s="4" t="s">
        <v>88</v>
      </c>
      <c r="B154" s="4">
        <v>0.9</v>
      </c>
      <c r="C154" s="4">
        <v>0.5</v>
      </c>
      <c r="D154" s="4">
        <v>0.6</v>
      </c>
      <c r="E154" s="4">
        <v>0.3</v>
      </c>
      <c r="F154" s="6">
        <v>493.693848</v>
      </c>
      <c r="G154" s="4">
        <v>1E-3</v>
      </c>
      <c r="I154" s="4" t="s">
        <v>88</v>
      </c>
      <c r="J154" s="4">
        <v>0.9</v>
      </c>
      <c r="K154" s="4">
        <v>0.5</v>
      </c>
      <c r="L154" s="4">
        <v>0.6</v>
      </c>
      <c r="M154" s="4">
        <v>0.3</v>
      </c>
      <c r="N154" s="4">
        <v>506.49737499999998</v>
      </c>
      <c r="O154" s="4">
        <v>1E-3</v>
      </c>
      <c r="P154" s="5"/>
      <c r="Q154" s="5"/>
      <c r="R154" s="5"/>
      <c r="S154" s="5"/>
      <c r="U154" s="4" t="s">
        <v>88</v>
      </c>
      <c r="V154" s="4">
        <v>0.9</v>
      </c>
      <c r="W154" s="4">
        <v>0.5</v>
      </c>
      <c r="X154" s="4">
        <v>0.6</v>
      </c>
      <c r="Y154" s="4">
        <v>0.3</v>
      </c>
      <c r="Z154" s="6">
        <v>457.71310399999999</v>
      </c>
      <c r="AA154" s="4">
        <v>1E-3</v>
      </c>
      <c r="AC154" s="4" t="s">
        <v>88</v>
      </c>
      <c r="AD154" s="4">
        <v>0.9</v>
      </c>
      <c r="AE154" s="4">
        <v>0.5</v>
      </c>
      <c r="AF154" s="4">
        <v>0.6</v>
      </c>
      <c r="AG154" s="4">
        <v>0.41</v>
      </c>
      <c r="AH154" s="4">
        <v>469.24456800000002</v>
      </c>
      <c r="AI154" s="4">
        <v>2E-3</v>
      </c>
      <c r="AJ154" s="5"/>
      <c r="AK154" s="5"/>
      <c r="AL154" s="5"/>
      <c r="AM154" s="5"/>
      <c r="AO154" s="4" t="s">
        <v>89</v>
      </c>
      <c r="AP154" s="4">
        <v>0.9</v>
      </c>
      <c r="AQ154" s="4">
        <v>0.5</v>
      </c>
      <c r="AR154" s="4">
        <v>0.6</v>
      </c>
      <c r="AS154" s="4">
        <v>0.3</v>
      </c>
      <c r="AT154" s="6">
        <v>787.21826199999998</v>
      </c>
      <c r="AU154" s="4">
        <v>5.0000000000000001E-3</v>
      </c>
      <c r="AW154" s="4" t="s">
        <v>89</v>
      </c>
      <c r="AX154" s="4">
        <v>0.9</v>
      </c>
      <c r="AY154" s="4">
        <v>0.5</v>
      </c>
      <c r="AZ154" s="4">
        <v>0.6</v>
      </c>
      <c r="BA154" s="4">
        <v>0.32</v>
      </c>
      <c r="BB154" s="4">
        <v>818.59716800000001</v>
      </c>
      <c r="BC154" s="4">
        <v>7.0000000000000001E-3</v>
      </c>
      <c r="BD154" s="5"/>
      <c r="BE154" s="5"/>
      <c r="BF154" s="5"/>
      <c r="BG154" s="5"/>
      <c r="BI154" s="4" t="s">
        <v>89</v>
      </c>
      <c r="BJ154" s="4">
        <v>0.9</v>
      </c>
      <c r="BK154" s="4">
        <v>0.5</v>
      </c>
      <c r="BL154" s="4">
        <v>0.6</v>
      </c>
      <c r="BM154" s="4">
        <v>0.3</v>
      </c>
      <c r="BN154" s="6">
        <v>767.93249500000002</v>
      </c>
      <c r="BO154" s="4">
        <v>4.0000000000000001E-3</v>
      </c>
      <c r="BQ154" s="4" t="s">
        <v>89</v>
      </c>
      <c r="BR154" s="4">
        <v>0.9</v>
      </c>
      <c r="BS154" s="4">
        <v>0.5</v>
      </c>
      <c r="BT154" s="4">
        <v>0.6</v>
      </c>
      <c r="BU154" s="4">
        <v>0.31</v>
      </c>
      <c r="BV154" s="4">
        <v>811.46765100000005</v>
      </c>
      <c r="BW154" s="4">
        <v>5.0000000000000001E-3</v>
      </c>
      <c r="BX154" s="5"/>
      <c r="BY154" s="5"/>
      <c r="BZ154" s="5"/>
      <c r="CA154" s="5"/>
    </row>
    <row r="155" spans="1:79" x14ac:dyDescent="0.3">
      <c r="A155" s="4" t="s">
        <v>90</v>
      </c>
      <c r="B155" s="4">
        <v>0.9</v>
      </c>
      <c r="C155" s="4">
        <v>0.5</v>
      </c>
      <c r="D155" s="4">
        <v>0.6</v>
      </c>
      <c r="E155" s="4">
        <v>0.3</v>
      </c>
      <c r="F155" s="6">
        <v>427.23998999999998</v>
      </c>
      <c r="G155" s="4">
        <v>1E-3</v>
      </c>
      <c r="I155" s="4" t="s">
        <v>90</v>
      </c>
      <c r="J155" s="4">
        <v>0.9</v>
      </c>
      <c r="K155" s="4">
        <v>0.5</v>
      </c>
      <c r="L155" s="4">
        <v>0.6</v>
      </c>
      <c r="M155" s="4">
        <v>0.32</v>
      </c>
      <c r="N155" s="4">
        <v>434.68905599999999</v>
      </c>
      <c r="O155" s="4">
        <v>0</v>
      </c>
      <c r="P155" s="5"/>
      <c r="Q155" s="5"/>
      <c r="R155" s="5"/>
      <c r="S155" s="5"/>
      <c r="U155" s="4" t="s">
        <v>90</v>
      </c>
      <c r="V155" s="4">
        <v>0.9</v>
      </c>
      <c r="W155" s="4">
        <v>0.5</v>
      </c>
      <c r="X155" s="4">
        <v>0.6</v>
      </c>
      <c r="Y155" s="4">
        <v>0.3</v>
      </c>
      <c r="Z155" s="6">
        <v>408.11267099999998</v>
      </c>
      <c r="AA155" s="4">
        <v>1E-3</v>
      </c>
      <c r="AC155" s="4" t="s">
        <v>90</v>
      </c>
      <c r="AD155" s="4">
        <v>0.9</v>
      </c>
      <c r="AE155" s="4">
        <v>0.5</v>
      </c>
      <c r="AF155" s="4">
        <v>0.6</v>
      </c>
      <c r="AG155" s="4">
        <v>0.3</v>
      </c>
      <c r="AH155" s="4">
        <v>425.32205199999999</v>
      </c>
      <c r="AI155" s="4">
        <v>1E-3</v>
      </c>
      <c r="AJ155" s="5"/>
      <c r="AK155" s="5"/>
      <c r="AL155" s="5"/>
      <c r="AM155" s="5"/>
      <c r="AO155" s="4" t="s">
        <v>91</v>
      </c>
      <c r="AP155" s="4">
        <v>0.9</v>
      </c>
      <c r="AQ155" s="4">
        <v>0.5</v>
      </c>
      <c r="AR155" s="4">
        <v>0.6</v>
      </c>
      <c r="AS155" s="4">
        <v>0.3</v>
      </c>
      <c r="AT155" s="6">
        <v>771.07080099999996</v>
      </c>
      <c r="AU155" s="4">
        <v>6.0000000000000001E-3</v>
      </c>
      <c r="AW155" s="4" t="s">
        <v>91</v>
      </c>
      <c r="AX155" s="4">
        <v>0.9</v>
      </c>
      <c r="AY155" s="4">
        <v>0.5</v>
      </c>
      <c r="AZ155" s="4">
        <v>0.6</v>
      </c>
      <c r="BA155" s="4">
        <v>0.3</v>
      </c>
      <c r="BB155" s="4">
        <v>817.78961200000003</v>
      </c>
      <c r="BC155" s="4">
        <v>5.0000000000000001E-3</v>
      </c>
      <c r="BD155" s="5"/>
      <c r="BE155" s="5"/>
      <c r="BF155" s="5"/>
      <c r="BG155" s="5"/>
      <c r="BI155" s="4" t="s">
        <v>91</v>
      </c>
      <c r="BJ155" s="4">
        <v>0.9</v>
      </c>
      <c r="BK155" s="4">
        <v>0.5</v>
      </c>
      <c r="BL155" s="4">
        <v>0.6</v>
      </c>
      <c r="BM155" s="4">
        <v>0.3</v>
      </c>
      <c r="BN155" s="6">
        <v>760.53985599999999</v>
      </c>
      <c r="BO155" s="4">
        <v>4.0000000000000001E-3</v>
      </c>
      <c r="BQ155" s="4" t="s">
        <v>91</v>
      </c>
      <c r="BR155" s="4">
        <v>0.9</v>
      </c>
      <c r="BS155" s="4">
        <v>0.5</v>
      </c>
      <c r="BT155" s="4">
        <v>0.6</v>
      </c>
      <c r="BU155" s="4">
        <v>0.34</v>
      </c>
      <c r="BV155" s="4">
        <v>779.92028800000003</v>
      </c>
      <c r="BW155" s="4">
        <v>5.0000000000000001E-3</v>
      </c>
      <c r="BX155" s="5"/>
      <c r="BY155" s="5"/>
      <c r="BZ155" s="5"/>
      <c r="CA155" s="5"/>
    </row>
    <row r="156" spans="1:79" x14ac:dyDescent="0.3">
      <c r="A156" s="4" t="s">
        <v>92</v>
      </c>
      <c r="B156" s="4">
        <v>0.9</v>
      </c>
      <c r="C156" s="4">
        <v>0.5</v>
      </c>
      <c r="D156" s="4">
        <v>0.6</v>
      </c>
      <c r="E156" s="4">
        <v>0.3</v>
      </c>
      <c r="F156" s="6">
        <v>562.34045400000002</v>
      </c>
      <c r="G156" s="4">
        <v>1E-3</v>
      </c>
      <c r="I156" s="4" t="s">
        <v>92</v>
      </c>
      <c r="J156" s="4">
        <v>0.9</v>
      </c>
      <c r="K156" s="4">
        <v>0.5</v>
      </c>
      <c r="L156" s="4">
        <v>0.6</v>
      </c>
      <c r="M156" s="4">
        <v>0.3</v>
      </c>
      <c r="N156" s="4">
        <v>568.74169900000004</v>
      </c>
      <c r="O156" s="4">
        <v>1E-3</v>
      </c>
      <c r="P156" s="5"/>
      <c r="Q156" s="5"/>
      <c r="R156" s="5"/>
      <c r="S156" s="5"/>
      <c r="U156" s="4" t="s">
        <v>92</v>
      </c>
      <c r="V156" s="4">
        <v>0.9</v>
      </c>
      <c r="W156" s="4">
        <v>0.5</v>
      </c>
      <c r="X156" s="4">
        <v>0.6</v>
      </c>
      <c r="Y156" s="4">
        <v>0.3</v>
      </c>
      <c r="Z156" s="6">
        <v>530.81097399999999</v>
      </c>
      <c r="AA156" s="4">
        <v>1E-3</v>
      </c>
      <c r="AC156" s="4" t="s">
        <v>92</v>
      </c>
      <c r="AD156" s="4">
        <v>0.9</v>
      </c>
      <c r="AE156" s="4">
        <v>0.5</v>
      </c>
      <c r="AF156" s="4">
        <v>0.6</v>
      </c>
      <c r="AG156" s="4">
        <v>0.31</v>
      </c>
      <c r="AH156" s="4">
        <v>538.08831799999996</v>
      </c>
      <c r="AI156" s="4">
        <v>1E-3</v>
      </c>
      <c r="AJ156" s="5"/>
      <c r="AK156" s="5"/>
      <c r="AL156" s="5"/>
      <c r="AM156" s="5"/>
      <c r="AO156" s="4" t="s">
        <v>93</v>
      </c>
      <c r="AP156" s="4">
        <v>0.9</v>
      </c>
      <c r="AQ156" s="4">
        <v>0.5</v>
      </c>
      <c r="AR156" s="4">
        <v>0.6</v>
      </c>
      <c r="AS156" s="4">
        <v>0.3</v>
      </c>
      <c r="AT156" s="6">
        <v>724.506531</v>
      </c>
      <c r="AU156" s="4">
        <v>6.0000000000000001E-3</v>
      </c>
      <c r="AW156" s="4" t="s">
        <v>93</v>
      </c>
      <c r="AX156" s="4">
        <v>0.9</v>
      </c>
      <c r="AY156" s="4">
        <v>0.5</v>
      </c>
      <c r="AZ156" s="4">
        <v>0.6</v>
      </c>
      <c r="BA156" s="4">
        <v>0.32</v>
      </c>
      <c r="BB156" s="4">
        <v>763.55212400000005</v>
      </c>
      <c r="BC156" s="4">
        <v>6.0000000000000001E-3</v>
      </c>
      <c r="BD156" s="5"/>
      <c r="BE156" s="5"/>
      <c r="BF156" s="5"/>
      <c r="BG156" s="5"/>
      <c r="BI156" s="4" t="s">
        <v>93</v>
      </c>
      <c r="BJ156" s="4">
        <v>0.9</v>
      </c>
      <c r="BK156" s="4">
        <v>0.5</v>
      </c>
      <c r="BL156" s="4">
        <v>0.6</v>
      </c>
      <c r="BM156" s="4">
        <v>0.3</v>
      </c>
      <c r="BN156" s="6">
        <v>711.49468999999999</v>
      </c>
      <c r="BO156" s="4">
        <v>5.0000000000000001E-3</v>
      </c>
      <c r="BQ156" s="4" t="s">
        <v>93</v>
      </c>
      <c r="BR156" s="4">
        <v>0.9</v>
      </c>
      <c r="BS156" s="4">
        <v>0.5</v>
      </c>
      <c r="BT156" s="4">
        <v>0.6</v>
      </c>
      <c r="BU156" s="4">
        <v>0.3</v>
      </c>
      <c r="BV156" s="4">
        <v>734.26715100000001</v>
      </c>
      <c r="BW156" s="4">
        <v>4.0000000000000001E-3</v>
      </c>
      <c r="BX156" s="5"/>
      <c r="BY156" s="5"/>
      <c r="BZ156" s="5"/>
      <c r="CA156" s="5"/>
    </row>
    <row r="157" spans="1:79" x14ac:dyDescent="0.3">
      <c r="A157" s="4" t="s">
        <v>94</v>
      </c>
      <c r="B157" s="4">
        <v>0.9</v>
      </c>
      <c r="C157" s="4">
        <v>0.5</v>
      </c>
      <c r="D157" s="4">
        <v>0.6</v>
      </c>
      <c r="E157" s="4">
        <v>0.3</v>
      </c>
      <c r="F157" s="6">
        <v>432.19461100000001</v>
      </c>
      <c r="G157" s="4">
        <v>1E-3</v>
      </c>
      <c r="I157" s="4" t="s">
        <v>94</v>
      </c>
      <c r="J157" s="4">
        <v>0.9</v>
      </c>
      <c r="K157" s="4">
        <v>0.5</v>
      </c>
      <c r="L157" s="4">
        <v>0.6</v>
      </c>
      <c r="M157" s="4">
        <v>0.3</v>
      </c>
      <c r="N157" s="4">
        <v>491.68090799999999</v>
      </c>
      <c r="O157" s="4">
        <v>1E-3</v>
      </c>
      <c r="P157" s="5"/>
      <c r="Q157" s="5"/>
      <c r="R157" s="5"/>
      <c r="S157" s="5"/>
      <c r="U157" s="4" t="s">
        <v>94</v>
      </c>
      <c r="V157" s="4">
        <v>0.9</v>
      </c>
      <c r="W157" s="4">
        <v>0.5</v>
      </c>
      <c r="X157" s="4">
        <v>0.6</v>
      </c>
      <c r="Y157" s="4">
        <v>0.3</v>
      </c>
      <c r="Z157" s="6">
        <v>443.27810699999998</v>
      </c>
      <c r="AA157" s="4">
        <v>1E-3</v>
      </c>
      <c r="AC157" s="4" t="s">
        <v>94</v>
      </c>
      <c r="AD157" s="4">
        <v>0.9</v>
      </c>
      <c r="AE157" s="4">
        <v>0.5</v>
      </c>
      <c r="AF157" s="4">
        <v>0.6</v>
      </c>
      <c r="AG157" s="4">
        <v>0.31</v>
      </c>
      <c r="AH157" s="4">
        <v>447.151093</v>
      </c>
      <c r="AI157" s="4">
        <v>2E-3</v>
      </c>
      <c r="AJ157" s="5"/>
      <c r="AK157" s="5"/>
      <c r="AL157" s="5"/>
      <c r="AM157" s="5"/>
      <c r="AO157" s="4" t="s">
        <v>95</v>
      </c>
      <c r="AP157" s="4">
        <v>0.9</v>
      </c>
      <c r="AQ157" s="4">
        <v>0.5</v>
      </c>
      <c r="AR157" s="4">
        <v>0.6</v>
      </c>
      <c r="AS157" s="4">
        <v>0.3</v>
      </c>
      <c r="AT157" s="6">
        <v>828.41332999999997</v>
      </c>
      <c r="AU157" s="4">
        <v>8.9999999999999993E-3</v>
      </c>
      <c r="AW157" s="4" t="s">
        <v>95</v>
      </c>
      <c r="AX157" s="4">
        <v>0.9</v>
      </c>
      <c r="AY157" s="4">
        <v>0.5</v>
      </c>
      <c r="AZ157" s="4">
        <v>0.6</v>
      </c>
      <c r="BA157" s="4">
        <v>0.3</v>
      </c>
      <c r="BB157" s="4">
        <v>860.31951900000001</v>
      </c>
      <c r="BC157" s="4">
        <v>6.0000000000000001E-3</v>
      </c>
      <c r="BD157" s="5"/>
      <c r="BE157" s="5"/>
      <c r="BF157" s="5"/>
      <c r="BG157" s="5"/>
      <c r="BI157" s="4" t="s">
        <v>95</v>
      </c>
      <c r="BJ157" s="4">
        <v>0.9</v>
      </c>
      <c r="BK157" s="4">
        <v>0.5</v>
      </c>
      <c r="BL157" s="4">
        <v>0.6</v>
      </c>
      <c r="BM157" s="4">
        <v>0.3</v>
      </c>
      <c r="BN157" s="4">
        <v>820.24603300000001</v>
      </c>
      <c r="BO157" s="4">
        <v>5.0000000000000001E-3</v>
      </c>
      <c r="BQ157" s="4" t="s">
        <v>95</v>
      </c>
      <c r="BR157" s="4">
        <v>0.9</v>
      </c>
      <c r="BS157" s="4">
        <v>0.5</v>
      </c>
      <c r="BT157" s="4">
        <v>0.6</v>
      </c>
      <c r="BU157" s="4">
        <v>0.31</v>
      </c>
      <c r="BV157" s="6">
        <v>818.88415499999996</v>
      </c>
      <c r="BW157" s="4">
        <v>5.0000000000000001E-3</v>
      </c>
      <c r="BX157" s="5"/>
      <c r="BY157" s="5"/>
      <c r="BZ157" s="5"/>
      <c r="CA157" s="5"/>
    </row>
    <row r="158" spans="1:79" x14ac:dyDescent="0.3">
      <c r="A158" s="4" t="s">
        <v>96</v>
      </c>
      <c r="B158" s="4">
        <v>0.9</v>
      </c>
      <c r="C158" s="4">
        <v>0.5</v>
      </c>
      <c r="D158" s="4">
        <v>0.6</v>
      </c>
      <c r="E158" s="4">
        <v>0.3</v>
      </c>
      <c r="F158" s="6">
        <v>591.61621100000002</v>
      </c>
      <c r="G158" s="4">
        <v>1E-3</v>
      </c>
      <c r="I158" s="4" t="s">
        <v>96</v>
      </c>
      <c r="J158" s="4">
        <v>0.9</v>
      </c>
      <c r="K158" s="4">
        <v>0.5</v>
      </c>
      <c r="L158" s="4">
        <v>0.6</v>
      </c>
      <c r="M158" s="4">
        <v>0.3</v>
      </c>
      <c r="N158" s="4">
        <v>598.90344200000004</v>
      </c>
      <c r="O158" s="4">
        <v>1E-3</v>
      </c>
      <c r="P158" s="5"/>
      <c r="Q158" s="5"/>
      <c r="R158" s="5"/>
      <c r="S158" s="5"/>
      <c r="U158" s="4" t="s">
        <v>96</v>
      </c>
      <c r="V158" s="4">
        <v>0.9</v>
      </c>
      <c r="W158" s="4">
        <v>0.5</v>
      </c>
      <c r="X158" s="4">
        <v>0.6</v>
      </c>
      <c r="Y158" s="4">
        <v>0.3</v>
      </c>
      <c r="Z158" s="6">
        <v>560.47766100000001</v>
      </c>
      <c r="AA158" s="4">
        <v>1E-3</v>
      </c>
      <c r="AC158" s="4" t="s">
        <v>96</v>
      </c>
      <c r="AD158" s="4">
        <v>0.9</v>
      </c>
      <c r="AE158" s="4">
        <v>0.5</v>
      </c>
      <c r="AF158" s="4">
        <v>0.6</v>
      </c>
      <c r="AG158" s="4">
        <v>0.32</v>
      </c>
      <c r="AH158" s="4">
        <v>595.24273700000003</v>
      </c>
      <c r="AI158" s="4">
        <v>2E-3</v>
      </c>
      <c r="AJ158" s="5"/>
      <c r="AK158" s="5"/>
      <c r="AL158" s="5"/>
      <c r="AM158" s="5"/>
      <c r="AO158" s="4" t="s">
        <v>97</v>
      </c>
      <c r="AP158" s="4">
        <v>0.9</v>
      </c>
      <c r="AQ158" s="4">
        <v>0.5</v>
      </c>
      <c r="AR158" s="4">
        <v>0.6</v>
      </c>
      <c r="AS158" s="4">
        <v>0.3</v>
      </c>
      <c r="AT158" s="6">
        <v>957.70343000000003</v>
      </c>
      <c r="AU158" s="4">
        <v>6.0000000000000001E-3</v>
      </c>
      <c r="AW158" s="4" t="s">
        <v>97</v>
      </c>
      <c r="AX158" s="4">
        <v>0.9</v>
      </c>
      <c r="AY158" s="4">
        <v>0.5</v>
      </c>
      <c r="AZ158" s="4">
        <v>0.6</v>
      </c>
      <c r="BA158" s="4">
        <v>0.34</v>
      </c>
      <c r="BB158" s="4">
        <v>987.600281</v>
      </c>
      <c r="BC158" s="4">
        <v>5.0000000000000001E-3</v>
      </c>
      <c r="BD158" s="5"/>
      <c r="BE158" s="5"/>
      <c r="BF158" s="5"/>
      <c r="BG158" s="5"/>
      <c r="BI158" s="4" t="s">
        <v>97</v>
      </c>
      <c r="BJ158" s="4">
        <v>0.9</v>
      </c>
      <c r="BK158" s="4">
        <v>0.5</v>
      </c>
      <c r="BL158" s="4">
        <v>0.6</v>
      </c>
      <c r="BM158" s="4">
        <v>0.3</v>
      </c>
      <c r="BN158" s="6">
        <v>927.93701199999998</v>
      </c>
      <c r="BO158" s="4">
        <v>6.0000000000000001E-3</v>
      </c>
      <c r="BQ158" s="4" t="s">
        <v>97</v>
      </c>
      <c r="BR158" s="4">
        <v>0.9</v>
      </c>
      <c r="BS158" s="4">
        <v>0.5</v>
      </c>
      <c r="BT158" s="4">
        <v>0.6</v>
      </c>
      <c r="BU158" s="4">
        <v>0.31</v>
      </c>
      <c r="BV158" s="4">
        <v>976.24780299999998</v>
      </c>
      <c r="BW158" s="4">
        <v>7.0000000000000001E-3</v>
      </c>
      <c r="BX158" s="5"/>
      <c r="BY158" s="5"/>
      <c r="BZ158" s="5"/>
      <c r="CA158" s="5"/>
    </row>
    <row r="159" spans="1:79" x14ac:dyDescent="0.3">
      <c r="A159" s="4" t="s">
        <v>98</v>
      </c>
      <c r="B159" s="4">
        <v>0.9</v>
      </c>
      <c r="C159" s="4">
        <v>0.5</v>
      </c>
      <c r="D159" s="4">
        <v>0.6</v>
      </c>
      <c r="E159" s="4">
        <v>0.3</v>
      </c>
      <c r="F159" s="6">
        <v>482.62603799999999</v>
      </c>
      <c r="G159" s="4">
        <v>1E-3</v>
      </c>
      <c r="I159" s="4" t="s">
        <v>98</v>
      </c>
      <c r="J159" s="4">
        <v>0.9</v>
      </c>
      <c r="K159" s="4">
        <v>0.5</v>
      </c>
      <c r="L159" s="4">
        <v>0.6</v>
      </c>
      <c r="M159" s="4">
        <v>0.3</v>
      </c>
      <c r="N159" s="4">
        <v>495.15078699999998</v>
      </c>
      <c r="O159" s="4">
        <v>1E-3</v>
      </c>
      <c r="P159" s="5"/>
      <c r="Q159" s="5"/>
      <c r="R159" s="5"/>
      <c r="S159" s="5"/>
      <c r="U159" s="4" t="s">
        <v>98</v>
      </c>
      <c r="V159" s="4">
        <v>0.9</v>
      </c>
      <c r="W159" s="4">
        <v>0.5</v>
      </c>
      <c r="X159" s="4">
        <v>0.6</v>
      </c>
      <c r="Y159" s="4">
        <v>0.3</v>
      </c>
      <c r="Z159" s="6">
        <v>455.25457799999998</v>
      </c>
      <c r="AA159" s="4">
        <v>1E-3</v>
      </c>
      <c r="AC159" s="4" t="s">
        <v>98</v>
      </c>
      <c r="AD159" s="4">
        <v>0.9</v>
      </c>
      <c r="AE159" s="4">
        <v>0.5</v>
      </c>
      <c r="AF159" s="4">
        <v>0.6</v>
      </c>
      <c r="AG159" s="4">
        <v>0.43</v>
      </c>
      <c r="AH159" s="4">
        <v>472.13714599999997</v>
      </c>
      <c r="AI159" s="4">
        <v>2E-3</v>
      </c>
      <c r="AJ159" s="5"/>
      <c r="AK159" s="5"/>
      <c r="AL159" s="5"/>
      <c r="AM159" s="5"/>
      <c r="AO159" s="4" t="s">
        <v>99</v>
      </c>
      <c r="AP159" s="4">
        <v>0.9</v>
      </c>
      <c r="AQ159" s="4">
        <v>0.5</v>
      </c>
      <c r="AR159" s="4">
        <v>0.6</v>
      </c>
      <c r="AS159" s="4">
        <v>0.3</v>
      </c>
      <c r="AT159" s="6">
        <v>923.57482900000002</v>
      </c>
      <c r="AU159" s="4">
        <v>7.0000000000000001E-3</v>
      </c>
      <c r="AW159" s="4" t="s">
        <v>99</v>
      </c>
      <c r="AX159" s="4">
        <v>0.9</v>
      </c>
      <c r="AY159" s="4">
        <v>0.5</v>
      </c>
      <c r="AZ159" s="4">
        <v>0.6</v>
      </c>
      <c r="BA159" s="4">
        <v>0.35</v>
      </c>
      <c r="BB159" s="4">
        <v>948.69232199999999</v>
      </c>
      <c r="BC159" s="4">
        <v>6.0000000000000001E-3</v>
      </c>
      <c r="BD159" s="5"/>
      <c r="BE159" s="5"/>
      <c r="BF159" s="5"/>
      <c r="BG159" s="5"/>
      <c r="BI159" s="4" t="s">
        <v>99</v>
      </c>
      <c r="BJ159" s="4">
        <v>0.9</v>
      </c>
      <c r="BK159" s="4">
        <v>0.5</v>
      </c>
      <c r="BL159" s="4">
        <v>0.6</v>
      </c>
      <c r="BM159" s="4">
        <v>0.3</v>
      </c>
      <c r="BN159" s="6">
        <v>891.87237500000003</v>
      </c>
      <c r="BO159" s="4">
        <v>4.0000000000000001E-3</v>
      </c>
      <c r="BQ159" s="4" t="s">
        <v>99</v>
      </c>
      <c r="BR159" s="4">
        <v>0.9</v>
      </c>
      <c r="BS159" s="4">
        <v>0.5</v>
      </c>
      <c r="BT159" s="4">
        <v>0.6</v>
      </c>
      <c r="BU159" s="4">
        <v>0.31</v>
      </c>
      <c r="BV159" s="4">
        <v>939.76654099999996</v>
      </c>
      <c r="BW159" s="4">
        <v>5.0000000000000001E-3</v>
      </c>
      <c r="BX159" s="5"/>
      <c r="BY159" s="5"/>
      <c r="BZ159" s="5"/>
      <c r="CA159" s="5"/>
    </row>
    <row r="160" spans="1:79" x14ac:dyDescent="0.3">
      <c r="A160" s="4" t="s">
        <v>100</v>
      </c>
      <c r="B160" s="4">
        <v>0.9</v>
      </c>
      <c r="C160" s="4">
        <v>0.5</v>
      </c>
      <c r="D160" s="4">
        <v>0.6</v>
      </c>
      <c r="E160" s="4">
        <v>0.3</v>
      </c>
      <c r="F160" s="6">
        <v>609.87329099999999</v>
      </c>
      <c r="G160" s="4">
        <v>1E-3</v>
      </c>
      <c r="I160" s="4" t="s">
        <v>100</v>
      </c>
      <c r="J160" s="4">
        <v>0.9</v>
      </c>
      <c r="K160" s="4">
        <v>0.5</v>
      </c>
      <c r="L160" s="4">
        <v>0.6</v>
      </c>
      <c r="M160" s="4">
        <v>0.34</v>
      </c>
      <c r="N160" s="4">
        <v>623.48120100000006</v>
      </c>
      <c r="O160" s="4">
        <v>1E-3</v>
      </c>
      <c r="P160" s="5"/>
      <c r="Q160" s="5"/>
      <c r="R160" s="5"/>
      <c r="S160" s="5"/>
      <c r="U160" s="4" t="s">
        <v>100</v>
      </c>
      <c r="V160" s="4">
        <v>0.9</v>
      </c>
      <c r="W160" s="4">
        <v>0.5</v>
      </c>
      <c r="X160" s="4">
        <v>0.6</v>
      </c>
      <c r="Y160" s="4">
        <v>0.3</v>
      </c>
      <c r="Z160" s="6">
        <v>608.22778300000004</v>
      </c>
      <c r="AA160" s="4">
        <v>1E-3</v>
      </c>
      <c r="AC160" s="4" t="s">
        <v>100</v>
      </c>
      <c r="AD160" s="4">
        <v>0.9</v>
      </c>
      <c r="AE160" s="4">
        <v>0.5</v>
      </c>
      <c r="AF160" s="4">
        <v>0.6</v>
      </c>
      <c r="AG160" s="4">
        <v>0.33</v>
      </c>
      <c r="AH160" s="4">
        <v>617.18414299999995</v>
      </c>
      <c r="AI160" s="4">
        <v>2E-3</v>
      </c>
      <c r="AJ160" s="5"/>
      <c r="AK160" s="5"/>
      <c r="AL160" s="5"/>
      <c r="AM160" s="5"/>
      <c r="AO160" s="4" t="s">
        <v>101</v>
      </c>
      <c r="AP160" s="4">
        <v>0.9</v>
      </c>
      <c r="AQ160" s="4">
        <v>0.5</v>
      </c>
      <c r="AR160" s="4">
        <v>0.6</v>
      </c>
      <c r="AS160" s="4">
        <v>0.3</v>
      </c>
      <c r="AT160" s="6">
        <v>830.20220900000004</v>
      </c>
      <c r="AU160" s="4">
        <v>5.0000000000000001E-3</v>
      </c>
      <c r="AW160" s="4" t="s">
        <v>101</v>
      </c>
      <c r="AX160" s="4">
        <v>0.9</v>
      </c>
      <c r="AY160" s="4">
        <v>0.5</v>
      </c>
      <c r="AZ160" s="4">
        <v>0.6</v>
      </c>
      <c r="BA160" s="4">
        <v>0.31</v>
      </c>
      <c r="BB160" s="4">
        <v>851.28832999999997</v>
      </c>
      <c r="BC160" s="4">
        <v>5.0000000000000001E-3</v>
      </c>
      <c r="BD160" s="5"/>
      <c r="BE160" s="5"/>
      <c r="BF160" s="5"/>
      <c r="BG160" s="5"/>
      <c r="BI160" s="4" t="s">
        <v>101</v>
      </c>
      <c r="BJ160" s="4">
        <v>0.9</v>
      </c>
      <c r="BK160" s="4">
        <v>0.5</v>
      </c>
      <c r="BL160" s="4">
        <v>0.6</v>
      </c>
      <c r="BM160" s="4">
        <v>0.3</v>
      </c>
      <c r="BN160" s="6">
        <v>775.39843800000006</v>
      </c>
      <c r="BO160" s="4">
        <v>4.0000000000000001E-3</v>
      </c>
      <c r="BQ160" s="4" t="s">
        <v>101</v>
      </c>
      <c r="BR160" s="4">
        <v>0.9</v>
      </c>
      <c r="BS160" s="4">
        <v>0.5</v>
      </c>
      <c r="BT160" s="4">
        <v>0.6</v>
      </c>
      <c r="BU160" s="4">
        <v>0.3</v>
      </c>
      <c r="BV160" s="4">
        <v>843.42797900000005</v>
      </c>
      <c r="BW160" s="4">
        <v>4.0000000000000001E-3</v>
      </c>
      <c r="BX160" s="5"/>
      <c r="BY160" s="5"/>
      <c r="BZ160" s="5"/>
      <c r="CA160" s="5"/>
    </row>
    <row r="161" spans="1:79" x14ac:dyDescent="0.3">
      <c r="A161" s="4" t="s">
        <v>102</v>
      </c>
      <c r="B161" s="4">
        <v>0.9</v>
      </c>
      <c r="C161" s="4">
        <v>0.5</v>
      </c>
      <c r="D161" s="4">
        <v>0.6</v>
      </c>
      <c r="E161" s="4">
        <v>0.3</v>
      </c>
      <c r="F161" s="6">
        <v>611.81549099999995</v>
      </c>
      <c r="G161" s="4">
        <v>1E-3</v>
      </c>
      <c r="I161" s="4" t="s">
        <v>102</v>
      </c>
      <c r="J161" s="4">
        <v>0.9</v>
      </c>
      <c r="K161" s="4">
        <v>0.5</v>
      </c>
      <c r="L161" s="4">
        <v>0.6</v>
      </c>
      <c r="M161" s="4">
        <v>0.31</v>
      </c>
      <c r="N161" s="4">
        <v>609.95062299999995</v>
      </c>
      <c r="O161" s="4">
        <v>1E-3</v>
      </c>
      <c r="P161" s="5"/>
      <c r="Q161" s="5"/>
      <c r="R161" s="5"/>
      <c r="S161" s="5"/>
      <c r="U161" s="4" t="s">
        <v>102</v>
      </c>
      <c r="V161" s="4">
        <v>0.9</v>
      </c>
      <c r="W161" s="4">
        <v>0.5</v>
      </c>
      <c r="X161" s="4">
        <v>0.6</v>
      </c>
      <c r="Y161" s="4">
        <v>0.3</v>
      </c>
      <c r="Z161" s="6">
        <v>604.49047900000005</v>
      </c>
      <c r="AA161" s="4">
        <v>1E-3</v>
      </c>
      <c r="AC161" s="4" t="s">
        <v>102</v>
      </c>
      <c r="AD161" s="4">
        <v>0.9</v>
      </c>
      <c r="AE161" s="4">
        <v>0.5</v>
      </c>
      <c r="AF161" s="4">
        <v>0.6</v>
      </c>
      <c r="AG161" s="4">
        <v>0.34</v>
      </c>
      <c r="AH161" s="4">
        <v>607.58245799999997</v>
      </c>
      <c r="AI161" s="4">
        <v>1E-3</v>
      </c>
      <c r="AJ161" s="5"/>
      <c r="AK161" s="5"/>
      <c r="AL161" s="5"/>
      <c r="AM161" s="5"/>
      <c r="AO161" s="4" t="s">
        <v>103</v>
      </c>
      <c r="AP161" s="4">
        <v>0.9</v>
      </c>
      <c r="AQ161" s="4">
        <v>0.5</v>
      </c>
      <c r="AR161" s="4">
        <v>0.6</v>
      </c>
      <c r="AS161" s="4">
        <v>0.3</v>
      </c>
      <c r="AT161" s="6">
        <v>854.17260699999997</v>
      </c>
      <c r="AU161" s="4">
        <v>5.0000000000000001E-3</v>
      </c>
      <c r="AW161" s="4" t="s">
        <v>103</v>
      </c>
      <c r="AX161" s="4">
        <v>0.9</v>
      </c>
      <c r="AY161" s="4">
        <v>0.5</v>
      </c>
      <c r="AZ161" s="4">
        <v>0.6</v>
      </c>
      <c r="BA161" s="4">
        <v>0.3</v>
      </c>
      <c r="BB161" s="4">
        <v>914.24310300000002</v>
      </c>
      <c r="BC161" s="4">
        <v>6.0000000000000001E-3</v>
      </c>
      <c r="BD161" s="5"/>
      <c r="BE161" s="5"/>
      <c r="BF161" s="5"/>
      <c r="BG161" s="5"/>
      <c r="BI161" s="4" t="s">
        <v>103</v>
      </c>
      <c r="BJ161" s="4">
        <v>0.9</v>
      </c>
      <c r="BK161" s="4">
        <v>0.5</v>
      </c>
      <c r="BL161" s="4">
        <v>0.6</v>
      </c>
      <c r="BM161" s="4">
        <v>0.3</v>
      </c>
      <c r="BN161" s="6">
        <v>844.53704800000003</v>
      </c>
      <c r="BO161" s="4">
        <v>4.0000000000000001E-3</v>
      </c>
      <c r="BQ161" s="4" t="s">
        <v>103</v>
      </c>
      <c r="BR161" s="4">
        <v>0.9</v>
      </c>
      <c r="BS161" s="4">
        <v>0.5</v>
      </c>
      <c r="BT161" s="4">
        <v>0.6</v>
      </c>
      <c r="BU161" s="4">
        <v>0.33</v>
      </c>
      <c r="BV161" s="4">
        <v>881.25317399999994</v>
      </c>
      <c r="BW161" s="4">
        <v>5.0000000000000001E-3</v>
      </c>
      <c r="BX161" s="5"/>
      <c r="BY161" s="5"/>
      <c r="BZ161" s="5"/>
      <c r="CA161" s="5"/>
    </row>
    <row r="162" spans="1:79" x14ac:dyDescent="0.3">
      <c r="A162" s="4" t="s">
        <v>104</v>
      </c>
      <c r="B162" s="4">
        <v>0.9</v>
      </c>
      <c r="C162" s="4">
        <v>0.5</v>
      </c>
      <c r="D162" s="4">
        <v>0.6</v>
      </c>
      <c r="E162" s="4">
        <v>0.3</v>
      </c>
      <c r="F162" s="6">
        <v>582.24731399999996</v>
      </c>
      <c r="G162" s="4">
        <v>1E-3</v>
      </c>
      <c r="I162" s="4" t="s">
        <v>104</v>
      </c>
      <c r="J162" s="4">
        <v>0.9</v>
      </c>
      <c r="K162" s="4">
        <v>0.5</v>
      </c>
      <c r="L162" s="4">
        <v>0.6</v>
      </c>
      <c r="M162" s="4">
        <v>0.31</v>
      </c>
      <c r="N162" s="4">
        <v>614.06683299999997</v>
      </c>
      <c r="O162" s="4">
        <v>1E-3</v>
      </c>
      <c r="P162" s="5"/>
      <c r="Q162" s="5"/>
      <c r="R162" s="5"/>
      <c r="S162" s="5"/>
      <c r="U162" s="4" t="s">
        <v>104</v>
      </c>
      <c r="V162" s="4">
        <v>0.9</v>
      </c>
      <c r="W162" s="4">
        <v>0.5</v>
      </c>
      <c r="X162" s="4">
        <v>0.6</v>
      </c>
      <c r="Y162" s="4">
        <v>0.3</v>
      </c>
      <c r="Z162" s="6">
        <v>584.26721199999997</v>
      </c>
      <c r="AA162" s="4">
        <v>1E-3</v>
      </c>
      <c r="AC162" s="4" t="s">
        <v>104</v>
      </c>
      <c r="AD162" s="4">
        <v>0.9</v>
      </c>
      <c r="AE162" s="4">
        <v>0.5</v>
      </c>
      <c r="AF162" s="4">
        <v>0.6</v>
      </c>
      <c r="AG162" s="4">
        <v>0.34</v>
      </c>
      <c r="AH162" s="4">
        <v>603.28198199999997</v>
      </c>
      <c r="AI162" s="4">
        <v>1E-3</v>
      </c>
      <c r="AJ162" s="5"/>
      <c r="AK162" s="5"/>
      <c r="AL162" s="5"/>
      <c r="AM162" s="5"/>
      <c r="AO162" s="4" t="s">
        <v>105</v>
      </c>
      <c r="AP162" s="4">
        <v>0.9</v>
      </c>
      <c r="AQ162" s="4">
        <v>0.5</v>
      </c>
      <c r="AR162" s="4">
        <v>0.6</v>
      </c>
      <c r="AS162" s="4">
        <v>0.3</v>
      </c>
      <c r="AT162" s="6">
        <v>983.48474099999999</v>
      </c>
      <c r="AU162" s="4">
        <v>5.0000000000000001E-3</v>
      </c>
      <c r="AW162" s="4" t="s">
        <v>105</v>
      </c>
      <c r="AX162" s="4">
        <v>0.9</v>
      </c>
      <c r="AY162" s="4">
        <v>0.5</v>
      </c>
      <c r="AZ162" s="4">
        <v>0.6</v>
      </c>
      <c r="BA162" s="4">
        <v>0.32</v>
      </c>
      <c r="BB162" s="4">
        <v>1015.423584</v>
      </c>
      <c r="BC162" s="4">
        <v>8.0000000000000002E-3</v>
      </c>
      <c r="BD162" s="5"/>
      <c r="BE162" s="5"/>
      <c r="BF162" s="5"/>
      <c r="BG162" s="5"/>
      <c r="BI162" s="4" t="s">
        <v>105</v>
      </c>
      <c r="BJ162" s="4">
        <v>0.9</v>
      </c>
      <c r="BK162" s="4">
        <v>0.5</v>
      </c>
      <c r="BL162" s="4">
        <v>0.6</v>
      </c>
      <c r="BM162" s="4">
        <v>0.3</v>
      </c>
      <c r="BN162" s="6">
        <v>957.981628</v>
      </c>
      <c r="BO162" s="4">
        <v>5.0000000000000001E-3</v>
      </c>
      <c r="BQ162" s="4" t="s">
        <v>105</v>
      </c>
      <c r="BR162" s="4">
        <v>0.9</v>
      </c>
      <c r="BS162" s="4">
        <v>0.5</v>
      </c>
      <c r="BT162" s="4">
        <v>0.6</v>
      </c>
      <c r="BU162" s="4">
        <v>0.31</v>
      </c>
      <c r="BV162" s="4">
        <v>1004.921082</v>
      </c>
      <c r="BW162" s="4">
        <v>5.0000000000000001E-3</v>
      </c>
      <c r="BX162" s="5"/>
      <c r="BY162" s="5"/>
      <c r="BZ162" s="5"/>
      <c r="CA162" s="5"/>
    </row>
    <row r="163" spans="1:79" x14ac:dyDescent="0.3">
      <c r="A163" s="4" t="s">
        <v>106</v>
      </c>
      <c r="B163" s="4">
        <v>0.9</v>
      </c>
      <c r="C163" s="4">
        <v>0.5</v>
      </c>
      <c r="D163" s="4">
        <v>0.6</v>
      </c>
      <c r="E163" s="4">
        <v>0.3</v>
      </c>
      <c r="F163" s="6">
        <v>534.07696499999997</v>
      </c>
      <c r="G163" s="4">
        <v>1E-3</v>
      </c>
      <c r="I163" s="4" t="s">
        <v>106</v>
      </c>
      <c r="J163" s="4">
        <v>0.9</v>
      </c>
      <c r="K163" s="4">
        <v>0.5</v>
      </c>
      <c r="L163" s="4">
        <v>0.6</v>
      </c>
      <c r="M163" s="4">
        <v>0.31</v>
      </c>
      <c r="N163" s="4">
        <v>564.21716300000003</v>
      </c>
      <c r="O163" s="4">
        <v>1E-3</v>
      </c>
      <c r="P163" s="5"/>
      <c r="Q163" s="5"/>
      <c r="R163" s="5"/>
      <c r="S163" s="5"/>
      <c r="U163" s="4" t="s">
        <v>106</v>
      </c>
      <c r="V163" s="4">
        <v>0.9</v>
      </c>
      <c r="W163" s="4">
        <v>0.5</v>
      </c>
      <c r="X163" s="4">
        <v>0.6</v>
      </c>
      <c r="Y163" s="4">
        <v>0.3</v>
      </c>
      <c r="Z163" s="6">
        <v>554.75073199999997</v>
      </c>
      <c r="AA163" s="4">
        <v>1E-3</v>
      </c>
      <c r="AC163" s="4" t="s">
        <v>106</v>
      </c>
      <c r="AD163" s="4">
        <v>0.9</v>
      </c>
      <c r="AE163" s="4">
        <v>0.5</v>
      </c>
      <c r="AF163" s="4">
        <v>0.6</v>
      </c>
      <c r="AG163" s="4">
        <v>0.31</v>
      </c>
      <c r="AH163" s="4">
        <v>572.47955300000001</v>
      </c>
      <c r="AI163" s="4">
        <v>1E-3</v>
      </c>
      <c r="AJ163" s="5"/>
      <c r="AK163" s="5"/>
      <c r="AL163" s="5"/>
      <c r="AM163" s="5"/>
      <c r="AO163" s="4" t="s">
        <v>107</v>
      </c>
      <c r="AP163" s="4">
        <v>0.9</v>
      </c>
      <c r="AQ163" s="4">
        <v>0.5</v>
      </c>
      <c r="AR163" s="4">
        <v>0.6</v>
      </c>
      <c r="AS163" s="4">
        <v>0.3</v>
      </c>
      <c r="AT163" s="6">
        <v>1033.886841</v>
      </c>
      <c r="AU163" s="4">
        <v>5.0000000000000001E-3</v>
      </c>
      <c r="AW163" s="4" t="s">
        <v>107</v>
      </c>
      <c r="AX163" s="4">
        <v>0.9</v>
      </c>
      <c r="AY163" s="4">
        <v>0.5</v>
      </c>
      <c r="AZ163" s="4">
        <v>0.6</v>
      </c>
      <c r="BA163" s="4">
        <v>0.34</v>
      </c>
      <c r="BB163" s="4">
        <v>1062.802612</v>
      </c>
      <c r="BC163" s="4">
        <v>6.0000000000000001E-3</v>
      </c>
      <c r="BD163" s="5"/>
      <c r="BE163" s="5"/>
      <c r="BF163" s="5"/>
      <c r="BG163" s="5"/>
      <c r="BI163" s="4" t="s">
        <v>107</v>
      </c>
      <c r="BJ163" s="4">
        <v>0.9</v>
      </c>
      <c r="BK163" s="4">
        <v>0.5</v>
      </c>
      <c r="BL163" s="4">
        <v>0.6</v>
      </c>
      <c r="BM163" s="4">
        <v>0.3</v>
      </c>
      <c r="BN163" s="4">
        <v>1038.3111570000001</v>
      </c>
      <c r="BO163" s="4">
        <v>5.0000000000000001E-3</v>
      </c>
      <c r="BQ163" s="4" t="s">
        <v>107</v>
      </c>
      <c r="BR163" s="4">
        <v>0.9</v>
      </c>
      <c r="BS163" s="4">
        <v>0.5</v>
      </c>
      <c r="BT163" s="4">
        <v>0.6</v>
      </c>
      <c r="BU163" s="4">
        <v>0.3</v>
      </c>
      <c r="BV163" s="6">
        <v>1027.905029</v>
      </c>
      <c r="BW163" s="4">
        <v>6.0000000000000001E-3</v>
      </c>
      <c r="BX163" s="5"/>
      <c r="BY163" s="5"/>
      <c r="BZ163" s="5"/>
      <c r="CA163" s="5"/>
    </row>
    <row r="164" spans="1:79" x14ac:dyDescent="0.3">
      <c r="A164" s="4" t="s">
        <v>108</v>
      </c>
      <c r="B164" s="4">
        <v>0.9</v>
      </c>
      <c r="C164" s="4">
        <v>0.5</v>
      </c>
      <c r="D164" s="4">
        <v>0.6</v>
      </c>
      <c r="E164" s="4">
        <v>0.3</v>
      </c>
      <c r="F164" s="6">
        <v>605.71917699999995</v>
      </c>
      <c r="G164" s="4">
        <v>1E-3</v>
      </c>
      <c r="I164" s="4" t="s">
        <v>108</v>
      </c>
      <c r="J164" s="4">
        <v>0.9</v>
      </c>
      <c r="K164" s="4">
        <v>0.5</v>
      </c>
      <c r="L164" s="4">
        <v>0.6</v>
      </c>
      <c r="M164" s="4">
        <v>0.31</v>
      </c>
      <c r="N164" s="4">
        <v>609.84387200000003</v>
      </c>
      <c r="O164" s="4">
        <v>1E-3</v>
      </c>
      <c r="P164" s="5"/>
      <c r="Q164" s="5"/>
      <c r="R164" s="5"/>
      <c r="S164" s="5"/>
      <c r="U164" s="4" t="s">
        <v>108</v>
      </c>
      <c r="V164" s="4">
        <v>0.9</v>
      </c>
      <c r="W164" s="4">
        <v>0.5</v>
      </c>
      <c r="X164" s="4">
        <v>0.6</v>
      </c>
      <c r="Y164" s="4">
        <v>0.3</v>
      </c>
      <c r="Z164" s="6">
        <v>584.26458700000001</v>
      </c>
      <c r="AA164" s="4">
        <v>1E-3</v>
      </c>
      <c r="AC164" s="4" t="s">
        <v>108</v>
      </c>
      <c r="AD164" s="4">
        <v>0.9</v>
      </c>
      <c r="AE164" s="4">
        <v>0.5</v>
      </c>
      <c r="AF164" s="4">
        <v>0.6</v>
      </c>
      <c r="AG164" s="4">
        <v>0.32</v>
      </c>
      <c r="AH164" s="4">
        <v>598.33752400000003</v>
      </c>
      <c r="AI164" s="4">
        <v>2E-3</v>
      </c>
      <c r="AJ164" s="5"/>
      <c r="AK164" s="5"/>
      <c r="AL164" s="5"/>
      <c r="AM164" s="5"/>
      <c r="AO164" s="4" t="s">
        <v>109</v>
      </c>
      <c r="AP164" s="4">
        <v>0.9</v>
      </c>
      <c r="AQ164" s="4">
        <v>0.5</v>
      </c>
      <c r="AR164" s="4">
        <v>0.6</v>
      </c>
      <c r="AS164" s="4">
        <v>0.3</v>
      </c>
      <c r="AT164" s="6">
        <v>906.29266399999995</v>
      </c>
      <c r="AU164" s="4">
        <v>5.0000000000000001E-3</v>
      </c>
      <c r="AW164" s="4" t="s">
        <v>109</v>
      </c>
      <c r="AX164" s="4">
        <v>0.9</v>
      </c>
      <c r="AY164" s="4">
        <v>0.5</v>
      </c>
      <c r="AZ164" s="4">
        <v>0.6</v>
      </c>
      <c r="BA164" s="4">
        <v>0.31</v>
      </c>
      <c r="BB164" s="4">
        <v>924.37371800000005</v>
      </c>
      <c r="BC164" s="4">
        <v>5.0000000000000001E-3</v>
      </c>
      <c r="BD164" s="5"/>
      <c r="BE164" s="5"/>
      <c r="BF164" s="5"/>
      <c r="BG164" s="5"/>
      <c r="BI164" s="4" t="s">
        <v>109</v>
      </c>
      <c r="BJ164" s="4">
        <v>0.9</v>
      </c>
      <c r="BK164" s="4">
        <v>0.5</v>
      </c>
      <c r="BL164" s="4">
        <v>0.6</v>
      </c>
      <c r="BM164" s="4">
        <v>0.3</v>
      </c>
      <c r="BN164" s="6">
        <v>891.42706299999998</v>
      </c>
      <c r="BO164" s="4">
        <v>5.0000000000000001E-3</v>
      </c>
      <c r="BQ164" s="4" t="s">
        <v>109</v>
      </c>
      <c r="BR164" s="4">
        <v>0.9</v>
      </c>
      <c r="BS164" s="4">
        <v>0.5</v>
      </c>
      <c r="BT164" s="4">
        <v>0.6</v>
      </c>
      <c r="BU164" s="4">
        <v>0.3</v>
      </c>
      <c r="BV164" s="4">
        <v>914.49548300000004</v>
      </c>
      <c r="BW164" s="4">
        <v>5.0000000000000001E-3</v>
      </c>
      <c r="BX164" s="5"/>
      <c r="BY164" s="5"/>
      <c r="BZ164" s="5"/>
      <c r="CA164" s="5"/>
    </row>
    <row r="165" spans="1:79" x14ac:dyDescent="0.3">
      <c r="A165" s="4" t="s">
        <v>110</v>
      </c>
      <c r="B165" s="4">
        <v>0.9</v>
      </c>
      <c r="C165" s="4">
        <v>0.5</v>
      </c>
      <c r="D165" s="4">
        <v>0.6</v>
      </c>
      <c r="E165" s="4">
        <v>0.3</v>
      </c>
      <c r="F165" s="6">
        <v>582.90521200000001</v>
      </c>
      <c r="G165" s="4">
        <v>1E-3</v>
      </c>
      <c r="I165" s="4" t="s">
        <v>110</v>
      </c>
      <c r="J165" s="4">
        <v>0.9</v>
      </c>
      <c r="K165" s="4">
        <v>0.5</v>
      </c>
      <c r="L165" s="4">
        <v>0.6</v>
      </c>
      <c r="M165" s="4">
        <v>0.46</v>
      </c>
      <c r="N165" s="4">
        <v>585.01507600000002</v>
      </c>
      <c r="O165" s="4">
        <v>1E-3</v>
      </c>
      <c r="P165" s="5"/>
      <c r="Q165" s="5"/>
      <c r="R165" s="5"/>
      <c r="S165" s="5"/>
      <c r="U165" s="4" t="s">
        <v>110</v>
      </c>
      <c r="V165" s="4">
        <v>0.9</v>
      </c>
      <c r="W165" s="4">
        <v>0.5</v>
      </c>
      <c r="X165" s="4">
        <v>0.6</v>
      </c>
      <c r="Y165" s="4">
        <v>0.3</v>
      </c>
      <c r="Z165" s="6">
        <v>587.03259300000002</v>
      </c>
      <c r="AA165" s="4">
        <v>1E-3</v>
      </c>
      <c r="AC165" s="4" t="s">
        <v>110</v>
      </c>
      <c r="AD165" s="4">
        <v>0.9</v>
      </c>
      <c r="AE165" s="4">
        <v>0.5</v>
      </c>
      <c r="AF165" s="4">
        <v>0.6</v>
      </c>
      <c r="AG165" s="4">
        <v>0.3</v>
      </c>
      <c r="AH165" s="4">
        <v>594.47930899999994</v>
      </c>
      <c r="AI165" s="4">
        <v>1E-3</v>
      </c>
      <c r="AJ165" s="5"/>
      <c r="AK165" s="5"/>
      <c r="AL165" s="5"/>
      <c r="AM165" s="5"/>
      <c r="AO165" s="4" t="s">
        <v>111</v>
      </c>
      <c r="AP165" s="4">
        <v>0.9</v>
      </c>
      <c r="AQ165" s="4">
        <v>0.5</v>
      </c>
      <c r="AR165" s="4">
        <v>0.6</v>
      </c>
      <c r="AS165" s="4">
        <v>0.3</v>
      </c>
      <c r="AT165" s="4">
        <v>1002.737366</v>
      </c>
      <c r="AU165" s="4">
        <v>5.0000000000000001E-3</v>
      </c>
      <c r="AW165" s="4" t="s">
        <v>111</v>
      </c>
      <c r="AX165" s="4">
        <v>0.9</v>
      </c>
      <c r="AY165" s="4">
        <v>0.5</v>
      </c>
      <c r="AZ165" s="4">
        <v>0.6</v>
      </c>
      <c r="BA165" s="4">
        <v>0.31</v>
      </c>
      <c r="BB165" s="6">
        <v>999.56781000000001</v>
      </c>
      <c r="BC165" s="4">
        <v>0.01</v>
      </c>
      <c r="BD165" s="5"/>
      <c r="BE165" s="5"/>
      <c r="BF165" s="5"/>
      <c r="BG165" s="5"/>
      <c r="BI165" s="4" t="s">
        <v>111</v>
      </c>
      <c r="BJ165" s="4">
        <v>0.9</v>
      </c>
      <c r="BK165" s="4">
        <v>0.5</v>
      </c>
      <c r="BL165" s="4">
        <v>0.6</v>
      </c>
      <c r="BM165" s="4">
        <v>0.3</v>
      </c>
      <c r="BN165" s="6">
        <v>991.43688999999995</v>
      </c>
      <c r="BO165" s="4">
        <v>6.0000000000000001E-3</v>
      </c>
      <c r="BQ165" s="4" t="s">
        <v>111</v>
      </c>
      <c r="BR165" s="4">
        <v>0.9</v>
      </c>
      <c r="BS165" s="4">
        <v>0.5</v>
      </c>
      <c r="BT165" s="4">
        <v>0.6</v>
      </c>
      <c r="BU165" s="4">
        <v>0.31</v>
      </c>
      <c r="BV165" s="4">
        <v>1017.0591429999999</v>
      </c>
      <c r="BW165" s="4">
        <v>6.0000000000000001E-3</v>
      </c>
      <c r="BX165" s="5"/>
      <c r="BY165" s="5"/>
      <c r="BZ165" s="5"/>
      <c r="CA165" s="5"/>
    </row>
    <row r="166" spans="1:79" x14ac:dyDescent="0.3">
      <c r="A166" s="4" t="s">
        <v>112</v>
      </c>
      <c r="B166" s="4">
        <v>0.9</v>
      </c>
      <c r="C166" s="4">
        <v>0.5</v>
      </c>
      <c r="D166" s="4">
        <v>0.6</v>
      </c>
      <c r="E166" s="4">
        <v>0.3</v>
      </c>
      <c r="F166" s="4">
        <v>465.50125100000002</v>
      </c>
      <c r="G166" s="4">
        <v>0</v>
      </c>
      <c r="I166" s="4" t="s">
        <v>112</v>
      </c>
      <c r="J166" s="4">
        <v>0.9</v>
      </c>
      <c r="K166" s="4">
        <v>0.5</v>
      </c>
      <c r="L166" s="4">
        <v>0.6</v>
      </c>
      <c r="M166" s="4">
        <v>0.36</v>
      </c>
      <c r="N166" s="6">
        <v>472.01461799999998</v>
      </c>
      <c r="O166" s="4">
        <v>1E-3</v>
      </c>
      <c r="P166" s="5"/>
      <c r="Q166" s="5"/>
      <c r="R166" s="5"/>
      <c r="S166" s="5"/>
      <c r="U166" s="4" t="s">
        <v>112</v>
      </c>
      <c r="V166" s="4">
        <v>0.9</v>
      </c>
      <c r="W166" s="4">
        <v>0.5</v>
      </c>
      <c r="X166" s="4">
        <v>0.6</v>
      </c>
      <c r="Y166" s="4">
        <v>0.3</v>
      </c>
      <c r="Z166" s="6">
        <v>435.23095699999999</v>
      </c>
      <c r="AA166" s="4">
        <v>0</v>
      </c>
      <c r="AC166" s="4" t="s">
        <v>112</v>
      </c>
      <c r="AD166" s="4">
        <v>0.9</v>
      </c>
      <c r="AE166" s="4">
        <v>0.5</v>
      </c>
      <c r="AF166" s="4">
        <v>0.6</v>
      </c>
      <c r="AG166" s="4">
        <v>0.3</v>
      </c>
      <c r="AH166" s="4">
        <v>446.33166499999999</v>
      </c>
      <c r="AI166" s="4">
        <v>2E-3</v>
      </c>
      <c r="AJ166" s="5"/>
      <c r="AK166" s="5"/>
      <c r="AL166" s="5"/>
      <c r="AM166" s="5"/>
      <c r="AO166" s="4" t="s">
        <v>113</v>
      </c>
      <c r="AP166" s="4">
        <v>0.9</v>
      </c>
      <c r="AQ166" s="4">
        <v>0.5</v>
      </c>
      <c r="AR166" s="4">
        <v>0.6</v>
      </c>
      <c r="AS166" s="4">
        <v>0.3</v>
      </c>
      <c r="AT166" s="6">
        <v>908.07312000000002</v>
      </c>
      <c r="AU166" s="4">
        <v>4.0000000000000001E-3</v>
      </c>
      <c r="AW166" s="4" t="s">
        <v>113</v>
      </c>
      <c r="AX166" s="4">
        <v>0.9</v>
      </c>
      <c r="AY166" s="4">
        <v>0.5</v>
      </c>
      <c r="AZ166" s="4">
        <v>0.6</v>
      </c>
      <c r="BA166" s="4">
        <v>0.3</v>
      </c>
      <c r="BB166" s="4">
        <v>920.98638900000003</v>
      </c>
      <c r="BC166" s="4">
        <v>5.0000000000000001E-3</v>
      </c>
      <c r="BD166" s="5"/>
      <c r="BE166" s="5"/>
      <c r="BF166" s="5"/>
      <c r="BG166" s="5"/>
      <c r="BI166" s="4" t="s">
        <v>113</v>
      </c>
      <c r="BJ166" s="4">
        <v>0.9</v>
      </c>
      <c r="BK166" s="4">
        <v>0.5</v>
      </c>
      <c r="BL166" s="4">
        <v>0.6</v>
      </c>
      <c r="BM166" s="4">
        <v>0.3</v>
      </c>
      <c r="BN166" s="6">
        <v>884.57336399999997</v>
      </c>
      <c r="BO166" s="4">
        <v>5.0000000000000001E-3</v>
      </c>
      <c r="BQ166" s="4" t="s">
        <v>113</v>
      </c>
      <c r="BR166" s="4">
        <v>0.9</v>
      </c>
      <c r="BS166" s="4">
        <v>0.5</v>
      </c>
      <c r="BT166" s="4">
        <v>0.6</v>
      </c>
      <c r="BU166" s="4">
        <v>0.31</v>
      </c>
      <c r="BV166" s="4">
        <v>928.340149</v>
      </c>
      <c r="BW166" s="4">
        <v>5.0000000000000001E-3</v>
      </c>
      <c r="BX166" s="5"/>
      <c r="BY166" s="5"/>
      <c r="BZ166" s="5"/>
      <c r="CA166" s="5"/>
    </row>
    <row r="167" spans="1:79" x14ac:dyDescent="0.3">
      <c r="A167" s="4" t="s">
        <v>114</v>
      </c>
      <c r="B167" s="4">
        <v>0.9</v>
      </c>
      <c r="C167" s="4">
        <v>0.5</v>
      </c>
      <c r="D167" s="4">
        <v>0.6</v>
      </c>
      <c r="E167" s="4">
        <v>0.3</v>
      </c>
      <c r="F167" s="6">
        <v>598.52142300000003</v>
      </c>
      <c r="G167" s="4">
        <v>1E-3</v>
      </c>
      <c r="I167" s="4" t="s">
        <v>114</v>
      </c>
      <c r="J167" s="4">
        <v>0.9</v>
      </c>
      <c r="K167" s="4">
        <v>0.5</v>
      </c>
      <c r="L167" s="4">
        <v>0.6</v>
      </c>
      <c r="M167" s="4">
        <v>0.3</v>
      </c>
      <c r="N167" s="4">
        <v>602.620544</v>
      </c>
      <c r="O167" s="4">
        <v>1E-3</v>
      </c>
      <c r="P167" s="5"/>
      <c r="Q167" s="5"/>
      <c r="R167" s="5"/>
      <c r="S167" s="5"/>
      <c r="U167" s="4" t="s">
        <v>114</v>
      </c>
      <c r="V167" s="4">
        <v>0.9</v>
      </c>
      <c r="W167" s="4">
        <v>0.5</v>
      </c>
      <c r="X167" s="4">
        <v>0.6</v>
      </c>
      <c r="Y167" s="4">
        <v>0.3</v>
      </c>
      <c r="Z167" s="6">
        <v>579.05517599999996</v>
      </c>
      <c r="AA167" s="4">
        <v>1E-3</v>
      </c>
      <c r="AC167" s="4" t="s">
        <v>114</v>
      </c>
      <c r="AD167" s="4">
        <v>0.9</v>
      </c>
      <c r="AE167" s="4">
        <v>0.5</v>
      </c>
      <c r="AF167" s="4">
        <v>0.6</v>
      </c>
      <c r="AG167" s="4">
        <v>0.33</v>
      </c>
      <c r="AH167" s="4">
        <v>597.57690400000001</v>
      </c>
      <c r="AI167" s="4">
        <v>1E-3</v>
      </c>
      <c r="AJ167" s="5"/>
      <c r="AK167" s="5"/>
      <c r="AL167" s="5"/>
      <c r="AM167" s="5"/>
      <c r="AO167" s="4" t="s">
        <v>115</v>
      </c>
      <c r="AP167" s="4">
        <v>0.9</v>
      </c>
      <c r="AQ167" s="4">
        <v>0.5</v>
      </c>
      <c r="AR167" s="4">
        <v>0.6</v>
      </c>
      <c r="AS167" s="4">
        <v>0.3</v>
      </c>
      <c r="AT167" s="6">
        <v>1003.537598</v>
      </c>
      <c r="AU167" s="4">
        <v>6.0000000000000001E-3</v>
      </c>
      <c r="AW167" s="4" t="s">
        <v>115</v>
      </c>
      <c r="AX167" s="4">
        <v>0.9</v>
      </c>
      <c r="AY167" s="4">
        <v>0.5</v>
      </c>
      <c r="AZ167" s="4">
        <v>0.6</v>
      </c>
      <c r="BA167" s="4">
        <v>0.34</v>
      </c>
      <c r="BB167" s="4">
        <v>1029.0471190000001</v>
      </c>
      <c r="BC167" s="4">
        <v>6.0000000000000001E-3</v>
      </c>
      <c r="BD167" s="5"/>
      <c r="BE167" s="5"/>
      <c r="BF167" s="5"/>
      <c r="BG167" s="5"/>
      <c r="BI167" s="4" t="s">
        <v>115</v>
      </c>
      <c r="BJ167" s="4">
        <v>0.9</v>
      </c>
      <c r="BK167" s="4">
        <v>0.5</v>
      </c>
      <c r="BL167" s="4">
        <v>0.6</v>
      </c>
      <c r="BM167" s="4">
        <v>0.3</v>
      </c>
      <c r="BN167" s="6">
        <v>1021.4169920000001</v>
      </c>
      <c r="BO167" s="4">
        <v>5.0000000000000001E-3</v>
      </c>
      <c r="BQ167" s="4" t="s">
        <v>115</v>
      </c>
      <c r="BR167" s="4">
        <v>0.9</v>
      </c>
      <c r="BS167" s="4">
        <v>0.5</v>
      </c>
      <c r="BT167" s="4">
        <v>0.6</v>
      </c>
      <c r="BU167" s="4">
        <v>0.3</v>
      </c>
      <c r="BV167" s="4">
        <v>1022.843628</v>
      </c>
      <c r="BW167" s="4">
        <v>6.0000000000000001E-3</v>
      </c>
      <c r="BX167" s="5"/>
      <c r="BY167" s="5"/>
      <c r="BZ167" s="5"/>
      <c r="CA167" s="5"/>
    </row>
    <row r="168" spans="1:79" x14ac:dyDescent="0.3">
      <c r="A168" s="4" t="s">
        <v>116</v>
      </c>
      <c r="B168" s="4">
        <v>0.9</v>
      </c>
      <c r="C168" s="4">
        <v>0.5</v>
      </c>
      <c r="D168" s="4">
        <v>0.6</v>
      </c>
      <c r="E168" s="4">
        <v>0.3</v>
      </c>
      <c r="F168" s="6">
        <v>649.63269000000003</v>
      </c>
      <c r="G168" s="4">
        <v>1E-3</v>
      </c>
      <c r="I168" s="4" t="s">
        <v>116</v>
      </c>
      <c r="J168" s="4">
        <v>0.9</v>
      </c>
      <c r="K168" s="4">
        <v>0.5</v>
      </c>
      <c r="L168" s="4">
        <v>0.6</v>
      </c>
      <c r="M168" s="4">
        <v>0.38</v>
      </c>
      <c r="N168" s="4">
        <v>664.10217299999999</v>
      </c>
      <c r="O168" s="4">
        <v>1E-3</v>
      </c>
      <c r="P168" s="5"/>
      <c r="Q168" s="5"/>
      <c r="R168" s="5"/>
      <c r="S168" s="5"/>
      <c r="U168" s="4" t="s">
        <v>116</v>
      </c>
      <c r="V168" s="4">
        <v>0.9</v>
      </c>
      <c r="W168" s="4">
        <v>0.5</v>
      </c>
      <c r="X168" s="4">
        <v>0.6</v>
      </c>
      <c r="Y168" s="4">
        <v>0.3</v>
      </c>
      <c r="Z168" s="6">
        <v>624.42932099999996</v>
      </c>
      <c r="AA168" s="4">
        <v>1E-3</v>
      </c>
      <c r="AC168" s="4" t="s">
        <v>116</v>
      </c>
      <c r="AD168" s="4">
        <v>0.9</v>
      </c>
      <c r="AE168" s="4">
        <v>0.5</v>
      </c>
      <c r="AF168" s="4">
        <v>0.6</v>
      </c>
      <c r="AG168" s="4">
        <v>0.3</v>
      </c>
      <c r="AH168" s="4">
        <v>642.09844999999996</v>
      </c>
      <c r="AI168" s="4">
        <v>1E-3</v>
      </c>
      <c r="AJ168" s="5"/>
      <c r="AK168" s="5"/>
      <c r="AL168" s="5"/>
      <c r="AM168" s="5"/>
      <c r="AO168" s="4" t="s">
        <v>117</v>
      </c>
      <c r="AP168" s="4">
        <v>0.9</v>
      </c>
      <c r="AQ168" s="4">
        <v>0.5</v>
      </c>
      <c r="AR168" s="4">
        <v>0.6</v>
      </c>
      <c r="AS168" s="4">
        <v>0.3</v>
      </c>
      <c r="AT168" s="6">
        <v>953.83923300000004</v>
      </c>
      <c r="AU168" s="4">
        <v>5.0000000000000001E-3</v>
      </c>
      <c r="AW168" s="4" t="s">
        <v>117</v>
      </c>
      <c r="AX168" s="4">
        <v>0.9</v>
      </c>
      <c r="AY168" s="4">
        <v>0.5</v>
      </c>
      <c r="AZ168" s="4">
        <v>0.6</v>
      </c>
      <c r="BA168" s="4">
        <v>0.37</v>
      </c>
      <c r="BB168" s="4">
        <v>1009.486755</v>
      </c>
      <c r="BC168" s="4">
        <v>6.0000000000000001E-3</v>
      </c>
      <c r="BD168" s="5"/>
      <c r="BE168" s="5"/>
      <c r="BF168" s="5"/>
      <c r="BG168" s="5"/>
      <c r="BI168" s="4" t="s">
        <v>117</v>
      </c>
      <c r="BJ168" s="4">
        <v>0.9</v>
      </c>
      <c r="BK168" s="4">
        <v>0.5</v>
      </c>
      <c r="BL168" s="4">
        <v>0.6</v>
      </c>
      <c r="BM168" s="4">
        <v>0.3</v>
      </c>
      <c r="BN168" s="6">
        <v>939.84814500000005</v>
      </c>
      <c r="BO168" s="4">
        <v>5.0000000000000001E-3</v>
      </c>
      <c r="BQ168" s="4" t="s">
        <v>117</v>
      </c>
      <c r="BR168" s="4">
        <v>0.9</v>
      </c>
      <c r="BS168" s="4">
        <v>0.5</v>
      </c>
      <c r="BT168" s="4">
        <v>0.6</v>
      </c>
      <c r="BU168" s="4">
        <v>0.3</v>
      </c>
      <c r="BV168" s="4">
        <v>979.59704599999998</v>
      </c>
      <c r="BW168" s="4">
        <v>6.0000000000000001E-3</v>
      </c>
      <c r="BX168" s="5"/>
      <c r="BY168" s="5"/>
      <c r="BZ168" s="5"/>
      <c r="CA168" s="5"/>
    </row>
    <row r="169" spans="1:79" x14ac:dyDescent="0.3">
      <c r="A169" s="4" t="s">
        <v>118</v>
      </c>
      <c r="B169" s="4">
        <v>0.9</v>
      </c>
      <c r="C169" s="4">
        <v>0.5</v>
      </c>
      <c r="D169" s="4">
        <v>0.6</v>
      </c>
      <c r="E169" s="4">
        <v>0.3</v>
      </c>
      <c r="F169" s="6">
        <v>565.503601</v>
      </c>
      <c r="G169" s="4">
        <v>1E-3</v>
      </c>
      <c r="I169" s="4" t="s">
        <v>118</v>
      </c>
      <c r="J169" s="4">
        <v>0.9</v>
      </c>
      <c r="K169" s="4">
        <v>0.5</v>
      </c>
      <c r="L169" s="4">
        <v>0.6</v>
      </c>
      <c r="M169" s="4">
        <v>0.41</v>
      </c>
      <c r="N169" s="4">
        <v>581.69366500000001</v>
      </c>
      <c r="O169" s="4">
        <v>1E-3</v>
      </c>
      <c r="P169" s="5"/>
      <c r="Q169" s="5"/>
      <c r="R169" s="5"/>
      <c r="S169" s="5"/>
      <c r="U169" s="4" t="s">
        <v>118</v>
      </c>
      <c r="V169" s="4">
        <v>0.9</v>
      </c>
      <c r="W169" s="4">
        <v>0.5</v>
      </c>
      <c r="X169" s="4">
        <v>0.6</v>
      </c>
      <c r="Y169" s="4">
        <v>0.3</v>
      </c>
      <c r="Z169" s="6">
        <v>551.69708300000002</v>
      </c>
      <c r="AA169" s="4">
        <v>1E-3</v>
      </c>
      <c r="AC169" s="4" t="s">
        <v>118</v>
      </c>
      <c r="AD169" s="4">
        <v>0.9</v>
      </c>
      <c r="AE169" s="4">
        <v>0.5</v>
      </c>
      <c r="AF169" s="4">
        <v>0.6</v>
      </c>
      <c r="AG169" s="4">
        <v>0.33</v>
      </c>
      <c r="AH169" s="4">
        <v>574.32305899999994</v>
      </c>
      <c r="AI169" s="4">
        <v>1E-3</v>
      </c>
      <c r="AJ169" s="5"/>
      <c r="AK169" s="5"/>
      <c r="AL169" s="5"/>
      <c r="AM169" s="5"/>
      <c r="AO169" s="4" t="s">
        <v>119</v>
      </c>
      <c r="AP169" s="4">
        <v>0.9</v>
      </c>
      <c r="AQ169" s="4">
        <v>0.5</v>
      </c>
      <c r="AR169" s="4">
        <v>0.6</v>
      </c>
      <c r="AS169" s="4">
        <v>0.3</v>
      </c>
      <c r="AT169" s="6">
        <v>987.17193599999996</v>
      </c>
      <c r="AU169" s="4">
        <v>5.0000000000000001E-3</v>
      </c>
      <c r="AW169" s="4" t="s">
        <v>119</v>
      </c>
      <c r="AX169" s="4">
        <v>0.9</v>
      </c>
      <c r="AY169" s="4">
        <v>0.5</v>
      </c>
      <c r="AZ169" s="4">
        <v>0.6</v>
      </c>
      <c r="BA169" s="4">
        <v>0.3</v>
      </c>
      <c r="BB169" s="4">
        <v>1023.5859380000001</v>
      </c>
      <c r="BC169" s="4">
        <v>8.9999999999999993E-3</v>
      </c>
      <c r="BD169" s="5"/>
      <c r="BE169" s="5"/>
      <c r="BF169" s="5"/>
      <c r="BG169" s="5"/>
      <c r="BI169" s="4" t="s">
        <v>119</v>
      </c>
      <c r="BJ169" s="4">
        <v>0.9</v>
      </c>
      <c r="BK169" s="4">
        <v>0.5</v>
      </c>
      <c r="BL169" s="4">
        <v>0.6</v>
      </c>
      <c r="BM169" s="4">
        <v>0.3</v>
      </c>
      <c r="BN169" s="6">
        <v>973.45745799999997</v>
      </c>
      <c r="BO169" s="4">
        <v>5.0000000000000001E-3</v>
      </c>
      <c r="BQ169" s="4" t="s">
        <v>119</v>
      </c>
      <c r="BR169" s="4">
        <v>0.9</v>
      </c>
      <c r="BS169" s="4">
        <v>0.5</v>
      </c>
      <c r="BT169" s="4">
        <v>0.6</v>
      </c>
      <c r="BU169" s="4">
        <v>0.4</v>
      </c>
      <c r="BV169" s="4">
        <v>1019.048401</v>
      </c>
      <c r="BW169" s="4">
        <v>6.0000000000000001E-3</v>
      </c>
      <c r="BX169" s="5"/>
      <c r="BY169" s="5"/>
      <c r="BZ169" s="5"/>
      <c r="CA169" s="5"/>
    </row>
    <row r="170" spans="1:79" x14ac:dyDescent="0.3">
      <c r="A170" s="4" t="s">
        <v>120</v>
      </c>
      <c r="B170" s="4">
        <v>0.9</v>
      </c>
      <c r="C170" s="4">
        <v>0.5</v>
      </c>
      <c r="D170" s="4">
        <v>0.6</v>
      </c>
      <c r="E170" s="4">
        <v>0.3</v>
      </c>
      <c r="F170" s="6">
        <v>705.42980999999997</v>
      </c>
      <c r="G170" s="4">
        <v>1E-3</v>
      </c>
      <c r="I170" s="4" t="s">
        <v>120</v>
      </c>
      <c r="J170" s="4">
        <v>0.9</v>
      </c>
      <c r="K170" s="4">
        <v>0.5</v>
      </c>
      <c r="L170" s="4">
        <v>0.6</v>
      </c>
      <c r="M170" s="4">
        <v>0.33</v>
      </c>
      <c r="N170" s="4">
        <v>718.14733899999999</v>
      </c>
      <c r="O170" s="4">
        <v>2E-3</v>
      </c>
      <c r="P170" s="5"/>
      <c r="Q170" s="5"/>
      <c r="R170" s="5"/>
      <c r="S170" s="5"/>
      <c r="U170" s="4" t="s">
        <v>120</v>
      </c>
      <c r="V170" s="4">
        <v>0.9</v>
      </c>
      <c r="W170" s="4">
        <v>0.5</v>
      </c>
      <c r="X170" s="4">
        <v>0.6</v>
      </c>
      <c r="Y170" s="4">
        <v>0.3</v>
      </c>
      <c r="Z170" s="6">
        <v>705.56579599999998</v>
      </c>
      <c r="AA170" s="4">
        <v>2E-3</v>
      </c>
      <c r="AC170" s="4" t="s">
        <v>120</v>
      </c>
      <c r="AD170" s="4">
        <v>0.9</v>
      </c>
      <c r="AE170" s="4">
        <v>0.5</v>
      </c>
      <c r="AF170" s="4">
        <v>0.6</v>
      </c>
      <c r="AG170" s="4">
        <v>0.3</v>
      </c>
      <c r="AH170" s="4">
        <v>713.49054000000001</v>
      </c>
      <c r="AI170" s="4">
        <v>1E-3</v>
      </c>
      <c r="AJ170" s="5"/>
      <c r="AK170" s="5"/>
      <c r="AL170" s="5"/>
      <c r="AM170" s="5"/>
      <c r="AO170" s="4" t="s">
        <v>121</v>
      </c>
      <c r="AP170" s="4">
        <v>0.9</v>
      </c>
      <c r="AQ170" s="4">
        <v>0.5</v>
      </c>
      <c r="AR170" s="4">
        <v>0.6</v>
      </c>
      <c r="AS170" s="4">
        <v>0.3</v>
      </c>
      <c r="AT170" s="6">
        <v>1019.899658</v>
      </c>
      <c r="AU170" s="4">
        <v>6.0000000000000001E-3</v>
      </c>
      <c r="AW170" s="4" t="s">
        <v>121</v>
      </c>
      <c r="AX170" s="4">
        <v>0.9</v>
      </c>
      <c r="AY170" s="4">
        <v>0.5</v>
      </c>
      <c r="AZ170" s="4">
        <v>0.6</v>
      </c>
      <c r="BA170" s="4">
        <v>0.3</v>
      </c>
      <c r="BB170" s="4">
        <v>1068.928345</v>
      </c>
      <c r="BC170" s="4">
        <v>8.0000000000000002E-3</v>
      </c>
      <c r="BD170" s="5"/>
      <c r="BE170" s="5"/>
      <c r="BF170" s="5"/>
      <c r="BG170" s="5"/>
      <c r="BI170" s="4" t="s">
        <v>121</v>
      </c>
      <c r="BJ170" s="4">
        <v>0.9</v>
      </c>
      <c r="BK170" s="4">
        <v>0.5</v>
      </c>
      <c r="BL170" s="4">
        <v>0.6</v>
      </c>
      <c r="BM170" s="4">
        <v>0.3</v>
      </c>
      <c r="BN170" s="6">
        <v>1010.680054</v>
      </c>
      <c r="BO170" s="4">
        <v>5.0000000000000001E-3</v>
      </c>
      <c r="BQ170" s="4" t="s">
        <v>121</v>
      </c>
      <c r="BR170" s="4">
        <v>0.9</v>
      </c>
      <c r="BS170" s="4">
        <v>0.5</v>
      </c>
      <c r="BT170" s="4">
        <v>0.6</v>
      </c>
      <c r="BU170" s="4">
        <v>0.31</v>
      </c>
      <c r="BV170" s="4">
        <v>1056.6529539999999</v>
      </c>
      <c r="BW170" s="4">
        <v>7.0000000000000001E-3</v>
      </c>
      <c r="BX170" s="5"/>
      <c r="BY170" s="5"/>
      <c r="BZ170" s="5"/>
      <c r="CA170" s="5"/>
    </row>
    <row r="171" spans="1:79" x14ac:dyDescent="0.3">
      <c r="A171" s="4" t="s">
        <v>122</v>
      </c>
      <c r="B171" s="4">
        <v>0.9</v>
      </c>
      <c r="C171" s="4">
        <v>0.5</v>
      </c>
      <c r="D171" s="4">
        <v>0.6</v>
      </c>
      <c r="E171" s="4">
        <v>0.3</v>
      </c>
      <c r="F171" s="6">
        <v>648.54559300000005</v>
      </c>
      <c r="G171" s="4">
        <v>1E-3</v>
      </c>
      <c r="I171" s="4" t="s">
        <v>122</v>
      </c>
      <c r="J171" s="4">
        <v>0.9</v>
      </c>
      <c r="K171" s="4">
        <v>0.5</v>
      </c>
      <c r="L171" s="4">
        <v>0.6</v>
      </c>
      <c r="M171" s="4">
        <v>0.32</v>
      </c>
      <c r="N171" s="4">
        <v>661.61749299999997</v>
      </c>
      <c r="O171" s="4">
        <v>1E-3</v>
      </c>
      <c r="P171" s="5"/>
      <c r="Q171" s="5"/>
      <c r="R171" s="5"/>
      <c r="S171" s="5"/>
      <c r="U171" s="4" t="s">
        <v>122</v>
      </c>
      <c r="V171" s="4">
        <v>0.9</v>
      </c>
      <c r="W171" s="4">
        <v>0.5</v>
      </c>
      <c r="X171" s="4">
        <v>0.6</v>
      </c>
      <c r="Y171" s="4">
        <v>0.3</v>
      </c>
      <c r="Z171" s="6">
        <v>644.14880400000004</v>
      </c>
      <c r="AA171" s="4">
        <v>1E-3</v>
      </c>
      <c r="AC171" s="4" t="s">
        <v>122</v>
      </c>
      <c r="AD171" s="4">
        <v>0.9</v>
      </c>
      <c r="AE171" s="4">
        <v>0.5</v>
      </c>
      <c r="AF171" s="4">
        <v>0.6</v>
      </c>
      <c r="AG171" s="4">
        <v>0.52</v>
      </c>
      <c r="AH171" s="4">
        <v>650.76336700000002</v>
      </c>
      <c r="AI171" s="4">
        <v>1E-3</v>
      </c>
      <c r="AJ171" s="5"/>
      <c r="AK171" s="5"/>
      <c r="AL171" s="5"/>
      <c r="AM171" s="5"/>
      <c r="AO171" s="4" t="s">
        <v>123</v>
      </c>
      <c r="AP171" s="4">
        <v>0.9</v>
      </c>
      <c r="AQ171" s="4">
        <v>0.5</v>
      </c>
      <c r="AR171" s="4">
        <v>0.6</v>
      </c>
      <c r="AS171" s="4">
        <v>0.3</v>
      </c>
      <c r="AT171" s="6">
        <v>1001.315979</v>
      </c>
      <c r="AU171" s="4">
        <v>5.0000000000000001E-3</v>
      </c>
      <c r="AW171" s="4" t="s">
        <v>123</v>
      </c>
      <c r="AX171" s="4">
        <v>0.9</v>
      </c>
      <c r="AY171" s="4">
        <v>0.5</v>
      </c>
      <c r="AZ171" s="4">
        <v>0.6</v>
      </c>
      <c r="BA171" s="4">
        <v>0.31</v>
      </c>
      <c r="BB171" s="4">
        <v>1016.541138</v>
      </c>
      <c r="BC171" s="4">
        <v>6.0000000000000001E-3</v>
      </c>
      <c r="BD171" s="5"/>
      <c r="BE171" s="5"/>
      <c r="BF171" s="5"/>
      <c r="BG171" s="5"/>
      <c r="BI171" s="4" t="s">
        <v>123</v>
      </c>
      <c r="BJ171" s="4">
        <v>0.9</v>
      </c>
      <c r="BK171" s="4">
        <v>0.5</v>
      </c>
      <c r="BL171" s="4">
        <v>0.6</v>
      </c>
      <c r="BM171" s="4">
        <v>0.3</v>
      </c>
      <c r="BN171" s="6">
        <v>975.62261999999998</v>
      </c>
      <c r="BO171" s="4">
        <v>6.0000000000000001E-3</v>
      </c>
      <c r="BQ171" s="4" t="s">
        <v>123</v>
      </c>
      <c r="BR171" s="4">
        <v>0.9</v>
      </c>
      <c r="BS171" s="4">
        <v>0.5</v>
      </c>
      <c r="BT171" s="4">
        <v>0.6</v>
      </c>
      <c r="BU171" s="4">
        <v>0.3</v>
      </c>
      <c r="BV171" s="4">
        <v>1016.4537350000001</v>
      </c>
      <c r="BW171" s="4">
        <v>6.0000000000000001E-3</v>
      </c>
      <c r="BX171" s="5"/>
      <c r="BY171" s="5"/>
      <c r="BZ171" s="5"/>
      <c r="CA171" s="5"/>
    </row>
    <row r="172" spans="1:79" x14ac:dyDescent="0.3">
      <c r="A172" s="4" t="s">
        <v>124</v>
      </c>
      <c r="B172" s="4">
        <v>0.9</v>
      </c>
      <c r="C172" s="4">
        <v>0.5</v>
      </c>
      <c r="D172" s="4">
        <v>0.6</v>
      </c>
      <c r="E172" s="4">
        <v>0.3</v>
      </c>
      <c r="F172" s="6">
        <v>562.11566200000004</v>
      </c>
      <c r="G172" s="4">
        <v>1E-3</v>
      </c>
      <c r="I172" s="4" t="s">
        <v>124</v>
      </c>
      <c r="J172" s="4">
        <v>0.9</v>
      </c>
      <c r="K172" s="4">
        <v>0.5</v>
      </c>
      <c r="L172" s="4">
        <v>0.6</v>
      </c>
      <c r="M172" s="4">
        <v>0.32</v>
      </c>
      <c r="N172" s="4">
        <v>576.68908699999997</v>
      </c>
      <c r="O172" s="4">
        <v>1E-3</v>
      </c>
      <c r="P172" s="5"/>
      <c r="Q172" s="5"/>
      <c r="R172" s="5"/>
      <c r="S172" s="5"/>
      <c r="U172" s="4" t="s">
        <v>124</v>
      </c>
      <c r="V172" s="4">
        <v>0.9</v>
      </c>
      <c r="W172" s="4">
        <v>0.5</v>
      </c>
      <c r="X172" s="4">
        <v>0.6</v>
      </c>
      <c r="Y172" s="4">
        <v>0.3</v>
      </c>
      <c r="Z172" s="6">
        <v>552.25561500000003</v>
      </c>
      <c r="AA172" s="4">
        <v>1E-3</v>
      </c>
      <c r="AC172" s="4" t="s">
        <v>124</v>
      </c>
      <c r="AD172" s="4">
        <v>0.9</v>
      </c>
      <c r="AE172" s="4">
        <v>0.5</v>
      </c>
      <c r="AF172" s="4">
        <v>0.6</v>
      </c>
      <c r="AG172" s="4">
        <v>0.32</v>
      </c>
      <c r="AH172" s="4">
        <v>574.85742200000004</v>
      </c>
      <c r="AI172" s="4">
        <v>2E-3</v>
      </c>
      <c r="AJ172" s="5"/>
      <c r="AK172" s="5"/>
      <c r="AL172" s="5"/>
      <c r="AM172" s="5"/>
      <c r="AO172" s="4" t="s">
        <v>125</v>
      </c>
      <c r="AP172" s="4">
        <v>0.9</v>
      </c>
      <c r="AQ172" s="4">
        <v>0.5</v>
      </c>
      <c r="AR172" s="4">
        <v>0.6</v>
      </c>
      <c r="AS172" s="4">
        <v>0.3</v>
      </c>
      <c r="AT172" s="6">
        <v>1045.275269</v>
      </c>
      <c r="AU172" s="4">
        <v>6.0000000000000001E-3</v>
      </c>
      <c r="AW172" s="4" t="s">
        <v>125</v>
      </c>
      <c r="AX172" s="4">
        <v>0.9</v>
      </c>
      <c r="AY172" s="4">
        <v>0.5</v>
      </c>
      <c r="AZ172" s="4">
        <v>0.6</v>
      </c>
      <c r="BA172" s="4">
        <v>0.3</v>
      </c>
      <c r="BB172" s="4">
        <v>1067.5063479999999</v>
      </c>
      <c r="BC172" s="4">
        <v>6.0000000000000001E-3</v>
      </c>
      <c r="BD172" s="5"/>
      <c r="BE172" s="5"/>
      <c r="BF172" s="5"/>
      <c r="BG172" s="5"/>
      <c r="BI172" s="4" t="s">
        <v>125</v>
      </c>
      <c r="BJ172" s="4">
        <v>0.9</v>
      </c>
      <c r="BK172" s="4">
        <v>0.5</v>
      </c>
      <c r="BL172" s="4">
        <v>0.6</v>
      </c>
      <c r="BM172" s="4">
        <v>0.3</v>
      </c>
      <c r="BN172" s="6">
        <v>1035.6282960000001</v>
      </c>
      <c r="BO172" s="4">
        <v>5.0000000000000001E-3</v>
      </c>
      <c r="BQ172" s="4" t="s">
        <v>125</v>
      </c>
      <c r="BR172" s="4">
        <v>0.9</v>
      </c>
      <c r="BS172" s="4">
        <v>0.5</v>
      </c>
      <c r="BT172" s="4">
        <v>0.6</v>
      </c>
      <c r="BU172" s="4">
        <v>0.33</v>
      </c>
      <c r="BV172" s="4">
        <v>1071.3294679999999</v>
      </c>
      <c r="BW172" s="4">
        <v>6.0000000000000001E-3</v>
      </c>
      <c r="BX172" s="5"/>
      <c r="BY172" s="5"/>
      <c r="BZ172" s="5"/>
      <c r="CA172" s="5"/>
    </row>
    <row r="173" spans="1:79" x14ac:dyDescent="0.3">
      <c r="A173" s="4" t="s">
        <v>126</v>
      </c>
      <c r="B173" s="4">
        <v>0.9</v>
      </c>
      <c r="C173" s="4">
        <v>0.5</v>
      </c>
      <c r="D173" s="4">
        <v>0.6</v>
      </c>
      <c r="E173" s="4">
        <v>0.3</v>
      </c>
      <c r="F173" s="6">
        <v>613.02551300000005</v>
      </c>
      <c r="G173" s="4">
        <v>1E-3</v>
      </c>
      <c r="I173" s="4" t="s">
        <v>126</v>
      </c>
      <c r="J173" s="4">
        <v>0.9</v>
      </c>
      <c r="K173" s="4">
        <v>0.5</v>
      </c>
      <c r="L173" s="4">
        <v>0.6</v>
      </c>
      <c r="M173" s="4">
        <v>0.32</v>
      </c>
      <c r="N173" s="4">
        <v>629.24627699999996</v>
      </c>
      <c r="O173" s="4">
        <v>2E-3</v>
      </c>
      <c r="P173" s="5"/>
      <c r="Q173" s="5"/>
      <c r="R173" s="5"/>
      <c r="S173" s="5"/>
      <c r="U173" s="4" t="s">
        <v>126</v>
      </c>
      <c r="V173" s="4">
        <v>0.9</v>
      </c>
      <c r="W173" s="4">
        <v>0.5</v>
      </c>
      <c r="X173" s="4">
        <v>0.6</v>
      </c>
      <c r="Y173" s="4">
        <v>0.3</v>
      </c>
      <c r="Z173" s="6">
        <v>602.16906700000004</v>
      </c>
      <c r="AA173" s="4">
        <v>1E-3</v>
      </c>
      <c r="AC173" s="4" t="s">
        <v>126</v>
      </c>
      <c r="AD173" s="4">
        <v>0.9</v>
      </c>
      <c r="AE173" s="4">
        <v>0.5</v>
      </c>
      <c r="AF173" s="4">
        <v>0.6</v>
      </c>
      <c r="AG173" s="4">
        <v>0.3</v>
      </c>
      <c r="AH173" s="4">
        <v>627.94281000000001</v>
      </c>
      <c r="AI173" s="4">
        <v>1E-3</v>
      </c>
      <c r="AJ173" s="5"/>
      <c r="AK173" s="5"/>
      <c r="AL173" s="5"/>
      <c r="AM173" s="5"/>
      <c r="AO173" s="4" t="s">
        <v>127</v>
      </c>
      <c r="AP173" s="4">
        <v>0.9</v>
      </c>
      <c r="AQ173" s="4">
        <v>0.5</v>
      </c>
      <c r="AR173" s="4">
        <v>0.6</v>
      </c>
      <c r="AS173" s="4">
        <v>0.3</v>
      </c>
      <c r="AT173" s="6">
        <v>1024.533203</v>
      </c>
      <c r="AU173" s="4">
        <v>6.0000000000000001E-3</v>
      </c>
      <c r="AW173" s="4" t="s">
        <v>127</v>
      </c>
      <c r="AX173" s="4">
        <v>0.9</v>
      </c>
      <c r="AY173" s="4">
        <v>0.5</v>
      </c>
      <c r="AZ173" s="4">
        <v>0.6</v>
      </c>
      <c r="BA173" s="4">
        <v>0.3</v>
      </c>
      <c r="BB173" s="4">
        <v>1082.9754640000001</v>
      </c>
      <c r="BC173" s="4">
        <v>7.0000000000000001E-3</v>
      </c>
      <c r="BD173" s="5"/>
      <c r="BE173" s="5"/>
      <c r="BF173" s="5"/>
      <c r="BG173" s="5"/>
      <c r="BI173" s="4" t="s">
        <v>127</v>
      </c>
      <c r="BJ173" s="4">
        <v>0.9</v>
      </c>
      <c r="BK173" s="4">
        <v>0.5</v>
      </c>
      <c r="BL173" s="4">
        <v>0.6</v>
      </c>
      <c r="BM173" s="4">
        <v>0.3</v>
      </c>
      <c r="BN173" s="6">
        <v>1028.378052</v>
      </c>
      <c r="BO173" s="4">
        <v>6.0000000000000001E-3</v>
      </c>
      <c r="BQ173" s="4" t="s">
        <v>127</v>
      </c>
      <c r="BR173" s="4">
        <v>0.9</v>
      </c>
      <c r="BS173" s="4">
        <v>0.5</v>
      </c>
      <c r="BT173" s="4">
        <v>0.6</v>
      </c>
      <c r="BU173" s="4">
        <v>0.3</v>
      </c>
      <c r="BV173" s="4">
        <v>1042.0086670000001</v>
      </c>
      <c r="BW173" s="4">
        <v>8.9999999999999993E-3</v>
      </c>
      <c r="BX173" s="5"/>
      <c r="BY173" s="5"/>
      <c r="BZ173" s="5"/>
      <c r="CA173" s="5"/>
    </row>
    <row r="174" spans="1:79" x14ac:dyDescent="0.3">
      <c r="A174" s="4" t="s">
        <v>128</v>
      </c>
      <c r="B174" s="4">
        <v>0.9</v>
      </c>
      <c r="C174" s="4">
        <v>0.5</v>
      </c>
      <c r="D174" s="4">
        <v>0.6</v>
      </c>
      <c r="E174" s="4">
        <v>0.3</v>
      </c>
      <c r="F174" s="6">
        <v>584.61010699999997</v>
      </c>
      <c r="G174" s="4">
        <v>1E-3</v>
      </c>
      <c r="I174" s="4" t="s">
        <v>128</v>
      </c>
      <c r="J174" s="4">
        <v>0.9</v>
      </c>
      <c r="K174" s="4">
        <v>0.5</v>
      </c>
      <c r="L174" s="4">
        <v>0.6</v>
      </c>
      <c r="M174" s="4">
        <v>0.35</v>
      </c>
      <c r="N174" s="4">
        <v>605.24377400000003</v>
      </c>
      <c r="O174" s="4">
        <v>1E-3</v>
      </c>
      <c r="P174" s="5"/>
      <c r="Q174" s="5"/>
      <c r="R174" s="5"/>
      <c r="S174" s="5"/>
      <c r="U174" s="4" t="s">
        <v>128</v>
      </c>
      <c r="V174" s="4">
        <v>0.9</v>
      </c>
      <c r="W174" s="4">
        <v>0.5</v>
      </c>
      <c r="X174" s="4">
        <v>0.6</v>
      </c>
      <c r="Y174" s="4">
        <v>0.3</v>
      </c>
      <c r="Z174" s="6">
        <v>581.58160399999997</v>
      </c>
      <c r="AA174" s="4">
        <v>1E-3</v>
      </c>
      <c r="AC174" s="4" t="s">
        <v>128</v>
      </c>
      <c r="AD174" s="4">
        <v>0.9</v>
      </c>
      <c r="AE174" s="4">
        <v>0.5</v>
      </c>
      <c r="AF174" s="4">
        <v>0.6</v>
      </c>
      <c r="AG174" s="4">
        <v>0.34</v>
      </c>
      <c r="AH174" s="4">
        <v>601.95727499999998</v>
      </c>
      <c r="AI174" s="4">
        <v>1E-3</v>
      </c>
      <c r="AJ174" s="5"/>
      <c r="AK174" s="5"/>
      <c r="AL174" s="5"/>
      <c r="AM174" s="5"/>
      <c r="AO174" s="4" t="s">
        <v>129</v>
      </c>
      <c r="AP174" s="4">
        <v>0.9</v>
      </c>
      <c r="AQ174" s="4">
        <v>0.5</v>
      </c>
      <c r="AR174" s="4">
        <v>0.6</v>
      </c>
      <c r="AS174" s="4">
        <v>0.3</v>
      </c>
      <c r="AT174" s="6">
        <v>999.51074200000005</v>
      </c>
      <c r="AU174" s="4">
        <v>6.0000000000000001E-3</v>
      </c>
      <c r="AW174" s="4" t="s">
        <v>129</v>
      </c>
      <c r="AX174" s="4">
        <v>0.9</v>
      </c>
      <c r="AY174" s="4">
        <v>0.5</v>
      </c>
      <c r="AZ174" s="4">
        <v>0.6</v>
      </c>
      <c r="BA174" s="4">
        <v>0.3</v>
      </c>
      <c r="BB174" s="4">
        <v>1031.5447999999999</v>
      </c>
      <c r="BC174" s="4">
        <v>5.0000000000000001E-3</v>
      </c>
      <c r="BD174" s="5"/>
      <c r="BE174" s="5"/>
      <c r="BF174" s="5"/>
      <c r="BG174" s="5"/>
      <c r="BI174" s="4" t="s">
        <v>129</v>
      </c>
      <c r="BJ174" s="4">
        <v>0.9</v>
      </c>
      <c r="BK174" s="4">
        <v>0.5</v>
      </c>
      <c r="BL174" s="4">
        <v>0.6</v>
      </c>
      <c r="BM174" s="4">
        <v>0.3</v>
      </c>
      <c r="BN174" s="6">
        <v>984.82006799999999</v>
      </c>
      <c r="BO174" s="4">
        <v>5.0000000000000001E-3</v>
      </c>
      <c r="BQ174" s="4" t="s">
        <v>129</v>
      </c>
      <c r="BR174" s="4">
        <v>0.9</v>
      </c>
      <c r="BS174" s="4">
        <v>0.5</v>
      </c>
      <c r="BT174" s="4">
        <v>0.6</v>
      </c>
      <c r="BU174" s="4">
        <v>0.31</v>
      </c>
      <c r="BV174" s="4">
        <v>1011.360596</v>
      </c>
      <c r="BW174" s="4">
        <v>6.0000000000000001E-3</v>
      </c>
      <c r="BX174" s="5"/>
      <c r="BY174" s="5"/>
      <c r="BZ174" s="5"/>
      <c r="CA174" s="5"/>
    </row>
    <row r="175" spans="1:79" x14ac:dyDescent="0.3">
      <c r="A175" s="4" t="s">
        <v>130</v>
      </c>
      <c r="B175" s="4">
        <v>0.9</v>
      </c>
      <c r="C175" s="4">
        <v>0.5</v>
      </c>
      <c r="D175" s="4">
        <v>0.6</v>
      </c>
      <c r="E175" s="4">
        <v>0.3</v>
      </c>
      <c r="F175" s="6">
        <v>632.51995799999997</v>
      </c>
      <c r="G175" s="4">
        <v>1E-3</v>
      </c>
      <c r="I175" s="4" t="s">
        <v>130</v>
      </c>
      <c r="J175" s="4">
        <v>0.9</v>
      </c>
      <c r="K175" s="4">
        <v>0.5</v>
      </c>
      <c r="L175" s="4">
        <v>0.6</v>
      </c>
      <c r="M175" s="4">
        <v>0.31</v>
      </c>
      <c r="N175" s="4">
        <v>637.45678699999996</v>
      </c>
      <c r="O175" s="4">
        <v>1E-3</v>
      </c>
      <c r="P175" s="5"/>
      <c r="Q175" s="5"/>
      <c r="R175" s="5"/>
      <c r="S175" s="5"/>
      <c r="U175" s="4" t="s">
        <v>130</v>
      </c>
      <c r="V175" s="4">
        <v>0.9</v>
      </c>
      <c r="W175" s="4">
        <v>0.5</v>
      </c>
      <c r="X175" s="4">
        <v>0.6</v>
      </c>
      <c r="Y175" s="4">
        <v>0.3</v>
      </c>
      <c r="Z175" s="6">
        <v>624.111267</v>
      </c>
      <c r="AA175" s="4">
        <v>1E-3</v>
      </c>
      <c r="AC175" s="4" t="s">
        <v>130</v>
      </c>
      <c r="AD175" s="4">
        <v>0.9</v>
      </c>
      <c r="AE175" s="4">
        <v>0.5</v>
      </c>
      <c r="AF175" s="4">
        <v>0.6</v>
      </c>
      <c r="AG175" s="4">
        <v>0.32</v>
      </c>
      <c r="AH175" s="4">
        <v>633.169128</v>
      </c>
      <c r="AI175" s="4">
        <v>2E-3</v>
      </c>
      <c r="AJ175" s="5"/>
      <c r="AK175" s="5"/>
      <c r="AL175" s="5"/>
      <c r="AM175" s="5"/>
      <c r="AO175" s="4" t="s">
        <v>131</v>
      </c>
      <c r="AP175" s="4">
        <v>0.9</v>
      </c>
      <c r="AQ175" s="4">
        <v>0.5</v>
      </c>
      <c r="AR175" s="4">
        <v>0.6</v>
      </c>
      <c r="AS175" s="4">
        <v>0.3</v>
      </c>
      <c r="AT175" s="6">
        <v>1012.640808</v>
      </c>
      <c r="AU175" s="4">
        <v>6.0000000000000001E-3</v>
      </c>
      <c r="AW175" s="4" t="s">
        <v>131</v>
      </c>
      <c r="AX175" s="4">
        <v>0.9</v>
      </c>
      <c r="AY175" s="4">
        <v>0.5</v>
      </c>
      <c r="AZ175" s="4">
        <v>0.6</v>
      </c>
      <c r="BA175" s="4">
        <v>0.3</v>
      </c>
      <c r="BB175" s="4">
        <v>1058.80188</v>
      </c>
      <c r="BC175" s="4">
        <v>6.0000000000000001E-3</v>
      </c>
      <c r="BD175" s="5"/>
      <c r="BE175" s="5"/>
      <c r="BF175" s="5"/>
      <c r="BG175" s="5"/>
      <c r="BI175" s="4" t="s">
        <v>131</v>
      </c>
      <c r="BJ175" s="4">
        <v>0.9</v>
      </c>
      <c r="BK175" s="4">
        <v>0.5</v>
      </c>
      <c r="BL175" s="4">
        <v>0.6</v>
      </c>
      <c r="BM175" s="4">
        <v>0.3</v>
      </c>
      <c r="BN175" s="6">
        <v>1011.275879</v>
      </c>
      <c r="BO175" s="4">
        <v>6.0000000000000001E-3</v>
      </c>
      <c r="BQ175" s="4" t="s">
        <v>131</v>
      </c>
      <c r="BR175" s="4">
        <v>0.9</v>
      </c>
      <c r="BS175" s="4">
        <v>0.5</v>
      </c>
      <c r="BT175" s="4">
        <v>0.6</v>
      </c>
      <c r="BU175" s="4">
        <v>0.32</v>
      </c>
      <c r="BV175" s="4">
        <v>1036.397095</v>
      </c>
      <c r="BW175" s="4">
        <v>7.0000000000000001E-3</v>
      </c>
      <c r="BX175" s="5"/>
      <c r="BY175" s="5"/>
      <c r="BZ175" s="5"/>
      <c r="CA175" s="5"/>
    </row>
    <row r="176" spans="1:79" x14ac:dyDescent="0.3">
      <c r="A176" s="4" t="s">
        <v>132</v>
      </c>
      <c r="B176" s="4">
        <v>0.9</v>
      </c>
      <c r="C176" s="4">
        <v>0.5</v>
      </c>
      <c r="D176" s="4">
        <v>0.6</v>
      </c>
      <c r="E176" s="4">
        <v>0.3</v>
      </c>
      <c r="F176" s="6">
        <v>539.13708499999996</v>
      </c>
      <c r="G176" s="4">
        <v>1E-3</v>
      </c>
      <c r="I176" s="4" t="s">
        <v>132</v>
      </c>
      <c r="J176" s="4">
        <v>0.9</v>
      </c>
      <c r="K176" s="4">
        <v>0.5</v>
      </c>
      <c r="L176" s="4">
        <v>0.6</v>
      </c>
      <c r="M176" s="4">
        <v>0.32</v>
      </c>
      <c r="N176" s="4">
        <v>574.47839399999998</v>
      </c>
      <c r="O176" s="4">
        <v>1E-3</v>
      </c>
      <c r="P176" s="5"/>
      <c r="Q176" s="5"/>
      <c r="R176" s="5"/>
      <c r="S176" s="5"/>
      <c r="U176" s="4" t="s">
        <v>132</v>
      </c>
      <c r="V176" s="4">
        <v>0.9</v>
      </c>
      <c r="W176" s="4">
        <v>0.5</v>
      </c>
      <c r="X176" s="4">
        <v>0.6</v>
      </c>
      <c r="Y176" s="4">
        <v>0.3</v>
      </c>
      <c r="Z176" s="6">
        <v>542.95752000000005</v>
      </c>
      <c r="AA176" s="4">
        <v>2E-3</v>
      </c>
      <c r="AC176" s="4" t="s">
        <v>132</v>
      </c>
      <c r="AD176" s="4">
        <v>0.9</v>
      </c>
      <c r="AE176" s="4">
        <v>0.5</v>
      </c>
      <c r="AF176" s="4">
        <v>0.6</v>
      </c>
      <c r="AG176" s="4">
        <v>0.31</v>
      </c>
      <c r="AH176" s="4">
        <v>577.66937299999995</v>
      </c>
      <c r="AI176" s="4">
        <v>2E-3</v>
      </c>
      <c r="AJ176" s="5"/>
      <c r="AK176" s="5"/>
      <c r="AL176" s="5"/>
      <c r="AM176" s="5"/>
      <c r="AO176" s="4" t="s">
        <v>133</v>
      </c>
      <c r="AP176" s="4">
        <v>0.9</v>
      </c>
      <c r="AQ176" s="4">
        <v>0.5</v>
      </c>
      <c r="AR176" s="4">
        <v>0.6</v>
      </c>
      <c r="AS176" s="4">
        <v>0.3</v>
      </c>
      <c r="AT176" s="6">
        <v>1048.7595209999999</v>
      </c>
      <c r="AU176" s="4">
        <v>6.0000000000000001E-3</v>
      </c>
      <c r="AW176" s="4" t="s">
        <v>133</v>
      </c>
      <c r="AX176" s="4">
        <v>0.9</v>
      </c>
      <c r="AY176" s="4">
        <v>0.5</v>
      </c>
      <c r="AZ176" s="4">
        <v>0.6</v>
      </c>
      <c r="BA176" s="4">
        <v>0.3</v>
      </c>
      <c r="BB176" s="4">
        <v>1066.7554929999999</v>
      </c>
      <c r="BC176" s="4">
        <v>6.0000000000000001E-3</v>
      </c>
      <c r="BD176" s="5"/>
      <c r="BE176" s="5"/>
      <c r="BF176" s="5"/>
      <c r="BG176" s="5"/>
      <c r="BI176" s="4" t="s">
        <v>133</v>
      </c>
      <c r="BJ176" s="4">
        <v>0.9</v>
      </c>
      <c r="BK176" s="4">
        <v>0.5</v>
      </c>
      <c r="BL176" s="4">
        <v>0.6</v>
      </c>
      <c r="BM176" s="4">
        <v>0.3</v>
      </c>
      <c r="BN176" s="6">
        <v>1039.1492920000001</v>
      </c>
      <c r="BO176" s="4">
        <v>6.0000000000000001E-3</v>
      </c>
      <c r="BQ176" s="4" t="s">
        <v>133</v>
      </c>
      <c r="BR176" s="4">
        <v>0.9</v>
      </c>
      <c r="BS176" s="4">
        <v>0.5</v>
      </c>
      <c r="BT176" s="4">
        <v>0.6</v>
      </c>
      <c r="BU176" s="4">
        <v>0.35</v>
      </c>
      <c r="BV176" s="4">
        <v>1063.3481449999999</v>
      </c>
      <c r="BW176" s="4">
        <v>6.0000000000000001E-3</v>
      </c>
      <c r="BX176" s="5"/>
      <c r="BY176" s="5"/>
      <c r="BZ176" s="5"/>
      <c r="CA176" s="5"/>
    </row>
    <row r="177" spans="1:79" x14ac:dyDescent="0.3">
      <c r="A177" s="14" t="s">
        <v>316</v>
      </c>
      <c r="E177" s="14">
        <f>AVERAGE(E147:E176)</f>
        <v>0.3</v>
      </c>
      <c r="I177" s="14" t="s">
        <v>316</v>
      </c>
      <c r="M177" s="14">
        <f>AVERAGE(M147:M176)</f>
        <v>0.32966666666666661</v>
      </c>
      <c r="P177" s="5"/>
      <c r="Q177" s="5"/>
      <c r="R177" s="5"/>
      <c r="S177" s="5"/>
      <c r="U177" s="14" t="s">
        <v>316</v>
      </c>
      <c r="Y177" s="14">
        <f>AVERAGE(Y147:Y176)</f>
        <v>0.3</v>
      </c>
      <c r="AC177" s="14" t="s">
        <v>316</v>
      </c>
      <c r="AG177" s="14">
        <f>AVERAGE(AG147:AG176)</f>
        <v>0.33300000000000002</v>
      </c>
      <c r="AJ177" s="5"/>
      <c r="AK177" s="5"/>
      <c r="AL177" s="5"/>
      <c r="AM177" s="5"/>
      <c r="AO177" s="14" t="s">
        <v>316</v>
      </c>
      <c r="AS177" s="14">
        <f>AVERAGE(AS147:AS176)</f>
        <v>0.3</v>
      </c>
      <c r="AW177" s="14" t="s">
        <v>316</v>
      </c>
      <c r="BA177" s="14">
        <f>AVERAGE(BA147:BA176)</f>
        <v>0.3153333333333333</v>
      </c>
      <c r="BD177" s="5"/>
      <c r="BE177" s="5"/>
      <c r="BF177" s="5"/>
      <c r="BG177" s="5"/>
      <c r="BI177" s="14" t="s">
        <v>316</v>
      </c>
      <c r="BM177" s="14">
        <f>AVERAGE(BM147:BM176)</f>
        <v>0.3</v>
      </c>
      <c r="BQ177" s="14" t="s">
        <v>316</v>
      </c>
      <c r="BU177" s="14">
        <f>AVERAGE(BU147:BU176)</f>
        <v>0.31566666666666665</v>
      </c>
      <c r="BX177" s="5"/>
      <c r="BY177" s="5"/>
      <c r="BZ177" s="5"/>
      <c r="CA177" s="5"/>
    </row>
    <row r="178" spans="1:79" x14ac:dyDescent="0.3">
      <c r="I178" s="12"/>
      <c r="M178" s="12"/>
      <c r="P178" s="5"/>
      <c r="Q178" s="5"/>
      <c r="R178" s="5"/>
      <c r="S178" s="5"/>
      <c r="AC178" s="12"/>
      <c r="AG178" s="12"/>
      <c r="AJ178" s="5"/>
      <c r="AK178" s="5"/>
      <c r="AL178" s="5"/>
      <c r="AM178" s="5"/>
      <c r="BD178" s="5"/>
      <c r="BE178" s="5"/>
      <c r="BF178" s="5"/>
      <c r="BG178" s="5"/>
      <c r="BX178" s="5"/>
      <c r="BY178" s="5"/>
      <c r="BZ178" s="5"/>
      <c r="CA178" s="5"/>
    </row>
    <row r="179" spans="1:79" x14ac:dyDescent="0.3">
      <c r="I179" s="12"/>
      <c r="M179" s="12"/>
      <c r="P179" s="5"/>
      <c r="Q179" s="5"/>
      <c r="R179" s="5"/>
      <c r="S179" s="5"/>
      <c r="AC179" s="12"/>
      <c r="AG179" s="12"/>
      <c r="AJ179" s="5"/>
      <c r="AK179" s="5"/>
      <c r="AL179" s="5"/>
      <c r="AM179" s="5"/>
      <c r="BD179" s="5"/>
      <c r="BE179" s="5"/>
      <c r="BF179" s="5"/>
      <c r="BG179" s="5"/>
      <c r="BX179" s="5"/>
      <c r="BY179" s="5"/>
      <c r="BZ179" s="5"/>
      <c r="CA179" s="5"/>
    </row>
    <row r="180" spans="1:79" x14ac:dyDescent="0.3">
      <c r="A180" s="23" t="s">
        <v>314</v>
      </c>
      <c r="B180" s="23"/>
      <c r="C180" s="23"/>
      <c r="D180" s="23"/>
      <c r="E180" s="23"/>
      <c r="F180" s="23"/>
      <c r="G180" s="23"/>
      <c r="I180" s="23" t="s">
        <v>314</v>
      </c>
      <c r="J180" s="23"/>
      <c r="K180" s="23"/>
      <c r="L180" s="23"/>
      <c r="M180" s="23"/>
      <c r="N180" s="23"/>
      <c r="O180" s="23"/>
      <c r="P180" s="11"/>
      <c r="Q180" s="11"/>
      <c r="R180" s="11"/>
      <c r="S180" s="11"/>
      <c r="U180" s="23" t="s">
        <v>314</v>
      </c>
      <c r="V180" s="23"/>
      <c r="W180" s="23"/>
      <c r="X180" s="23"/>
      <c r="Y180" s="23"/>
      <c r="Z180" s="23"/>
      <c r="AA180" s="23"/>
      <c r="AC180" s="23" t="s">
        <v>314</v>
      </c>
      <c r="AD180" s="23"/>
      <c r="AE180" s="23"/>
      <c r="AF180" s="23"/>
      <c r="AG180" s="23"/>
      <c r="AH180" s="23"/>
      <c r="AI180" s="23"/>
      <c r="AJ180" s="11"/>
      <c r="AK180" s="11"/>
      <c r="AL180" s="11"/>
      <c r="AM180" s="11"/>
      <c r="AO180" s="23" t="s">
        <v>314</v>
      </c>
      <c r="AP180" s="23"/>
      <c r="AQ180" s="23"/>
      <c r="AR180" s="23"/>
      <c r="AS180" s="23"/>
      <c r="AT180" s="23"/>
      <c r="AU180" s="23"/>
      <c r="AW180" s="23" t="s">
        <v>314</v>
      </c>
      <c r="AX180" s="23"/>
      <c r="AY180" s="23"/>
      <c r="AZ180" s="23"/>
      <c r="BA180" s="23"/>
      <c r="BB180" s="23"/>
      <c r="BC180" s="23"/>
      <c r="BD180" s="11"/>
      <c r="BE180" s="11"/>
      <c r="BF180" s="11"/>
      <c r="BG180" s="11"/>
      <c r="BI180" s="23" t="s">
        <v>314</v>
      </c>
      <c r="BJ180" s="23"/>
      <c r="BK180" s="23"/>
      <c r="BL180" s="23"/>
      <c r="BM180" s="23"/>
      <c r="BN180" s="23"/>
      <c r="BO180" s="23"/>
      <c r="BQ180" s="23" t="s">
        <v>314</v>
      </c>
      <c r="BR180" s="23"/>
      <c r="BS180" s="23"/>
      <c r="BT180" s="23"/>
      <c r="BU180" s="23"/>
      <c r="BV180" s="23"/>
      <c r="BW180" s="23"/>
      <c r="BX180" s="11"/>
      <c r="BY180" s="11"/>
      <c r="BZ180" s="11"/>
      <c r="CA180" s="11"/>
    </row>
    <row r="181" spans="1:79" x14ac:dyDescent="0.3">
      <c r="A181" s="24" t="s">
        <v>72</v>
      </c>
      <c r="B181" s="25"/>
      <c r="C181" s="25"/>
      <c r="D181" s="25"/>
      <c r="E181" s="25"/>
      <c r="F181" s="25"/>
      <c r="G181" s="26"/>
      <c r="I181" s="23" t="s">
        <v>72</v>
      </c>
      <c r="J181" s="23"/>
      <c r="K181" s="23"/>
      <c r="L181" s="23"/>
      <c r="M181" s="23"/>
      <c r="N181" s="23"/>
      <c r="O181" s="23"/>
      <c r="P181" s="11"/>
      <c r="Q181" s="11"/>
      <c r="R181" s="11"/>
      <c r="S181" s="11"/>
      <c r="U181" s="4" t="s">
        <v>73</v>
      </c>
      <c r="V181" s="4"/>
      <c r="W181" s="4"/>
      <c r="X181" s="4"/>
      <c r="Y181" s="4"/>
      <c r="Z181" s="4"/>
      <c r="AA181" s="4"/>
      <c r="AC181" s="23" t="s">
        <v>73</v>
      </c>
      <c r="AD181" s="23"/>
      <c r="AE181" s="23"/>
      <c r="AF181" s="23"/>
      <c r="AG181" s="23"/>
      <c r="AH181" s="23"/>
      <c r="AI181" s="23"/>
      <c r="AJ181" s="11"/>
      <c r="AK181" s="11"/>
      <c r="AL181" s="11"/>
      <c r="AM181" s="11"/>
      <c r="AO181" s="4" t="s">
        <v>72</v>
      </c>
      <c r="AP181" s="4"/>
      <c r="AQ181" s="4"/>
      <c r="AR181" s="4"/>
      <c r="AS181" s="4"/>
      <c r="AT181" s="4"/>
      <c r="AU181" s="4"/>
      <c r="AW181" s="23" t="s">
        <v>72</v>
      </c>
      <c r="AX181" s="23"/>
      <c r="AY181" s="23"/>
      <c r="AZ181" s="23"/>
      <c r="BA181" s="23"/>
      <c r="BB181" s="23"/>
      <c r="BC181" s="23"/>
      <c r="BD181" s="11"/>
      <c r="BE181" s="11"/>
      <c r="BF181" s="11"/>
      <c r="BG181" s="11"/>
      <c r="BI181" s="4" t="s">
        <v>73</v>
      </c>
      <c r="BJ181" s="4"/>
      <c r="BK181" s="4"/>
      <c r="BL181" s="4"/>
      <c r="BM181" s="4"/>
      <c r="BN181" s="4"/>
      <c r="BO181" s="4"/>
      <c r="BQ181" s="23" t="s">
        <v>73</v>
      </c>
      <c r="BR181" s="23"/>
      <c r="BS181" s="23"/>
      <c r="BT181" s="23"/>
      <c r="BU181" s="23"/>
      <c r="BV181" s="23"/>
      <c r="BW181" s="23"/>
      <c r="BX181" s="11"/>
      <c r="BY181" s="11"/>
      <c r="BZ181" s="11"/>
      <c r="CA181" s="11"/>
    </row>
    <row r="182" spans="1:79" x14ac:dyDescent="0.3">
      <c r="A182" s="4" t="s">
        <v>2</v>
      </c>
      <c r="B182" s="4" t="s">
        <v>3</v>
      </c>
      <c r="C182" s="4" t="s">
        <v>4</v>
      </c>
      <c r="D182" s="4" t="s">
        <v>5</v>
      </c>
      <c r="E182" s="4" t="s">
        <v>6</v>
      </c>
      <c r="F182" s="4" t="s">
        <v>7</v>
      </c>
      <c r="G182" s="4" t="s">
        <v>8</v>
      </c>
      <c r="I182" s="4" t="s">
        <v>2</v>
      </c>
      <c r="J182" s="4" t="s">
        <v>3</v>
      </c>
      <c r="K182" s="4" t="s">
        <v>4</v>
      </c>
      <c r="L182" s="4" t="s">
        <v>5</v>
      </c>
      <c r="M182" s="4" t="s">
        <v>6</v>
      </c>
      <c r="N182" s="4" t="s">
        <v>7</v>
      </c>
      <c r="O182" s="4" t="s">
        <v>8</v>
      </c>
      <c r="P182" s="3" t="s">
        <v>322</v>
      </c>
      <c r="Q182" s="3" t="s">
        <v>323</v>
      </c>
      <c r="R182" s="3" t="s">
        <v>322</v>
      </c>
      <c r="S182" s="3" t="s">
        <v>323</v>
      </c>
      <c r="U182" s="4" t="s">
        <v>2</v>
      </c>
      <c r="V182" s="4" t="s">
        <v>3</v>
      </c>
      <c r="W182" s="4" t="s">
        <v>4</v>
      </c>
      <c r="X182" s="4" t="s">
        <v>5</v>
      </c>
      <c r="Y182" s="4" t="s">
        <v>6</v>
      </c>
      <c r="Z182" s="4" t="s">
        <v>7</v>
      </c>
      <c r="AA182" s="4" t="s">
        <v>8</v>
      </c>
      <c r="AC182" s="4" t="s">
        <v>2</v>
      </c>
      <c r="AD182" s="4" t="s">
        <v>3</v>
      </c>
      <c r="AE182" s="4" t="s">
        <v>4</v>
      </c>
      <c r="AF182" s="4" t="s">
        <v>5</v>
      </c>
      <c r="AG182" s="4" t="s">
        <v>6</v>
      </c>
      <c r="AH182" s="4" t="s">
        <v>7</v>
      </c>
      <c r="AI182" s="4" t="s">
        <v>8</v>
      </c>
      <c r="AJ182" s="3" t="s">
        <v>322</v>
      </c>
      <c r="AK182" s="3" t="s">
        <v>323</v>
      </c>
      <c r="AL182" s="3" t="s">
        <v>322</v>
      </c>
      <c r="AM182" s="3" t="s">
        <v>323</v>
      </c>
      <c r="AO182" s="4" t="s">
        <v>2</v>
      </c>
      <c r="AP182" s="4" t="s">
        <v>3</v>
      </c>
      <c r="AQ182" s="4" t="s">
        <v>4</v>
      </c>
      <c r="AR182" s="4" t="s">
        <v>5</v>
      </c>
      <c r="AS182" s="4" t="s">
        <v>6</v>
      </c>
      <c r="AT182" s="4" t="s">
        <v>7</v>
      </c>
      <c r="AU182" s="4" t="s">
        <v>8</v>
      </c>
      <c r="AW182" s="4" t="s">
        <v>2</v>
      </c>
      <c r="AX182" s="4" t="s">
        <v>3</v>
      </c>
      <c r="AY182" s="4" t="s">
        <v>4</v>
      </c>
      <c r="AZ182" s="4" t="s">
        <v>5</v>
      </c>
      <c r="BA182" s="4" t="s">
        <v>6</v>
      </c>
      <c r="BB182" s="4" t="s">
        <v>7</v>
      </c>
      <c r="BC182" s="4" t="s">
        <v>8</v>
      </c>
      <c r="BD182" s="3" t="s">
        <v>322</v>
      </c>
      <c r="BE182" s="3" t="s">
        <v>323</v>
      </c>
      <c r="BF182" s="3" t="s">
        <v>322</v>
      </c>
      <c r="BG182" s="3" t="s">
        <v>323</v>
      </c>
      <c r="BI182" s="4" t="s">
        <v>2</v>
      </c>
      <c r="BJ182" s="4" t="s">
        <v>3</v>
      </c>
      <c r="BK182" s="4" t="s">
        <v>4</v>
      </c>
      <c r="BL182" s="4" t="s">
        <v>5</v>
      </c>
      <c r="BM182" s="4" t="s">
        <v>6</v>
      </c>
      <c r="BN182" s="4" t="s">
        <v>7</v>
      </c>
      <c r="BO182" s="4" t="s">
        <v>8</v>
      </c>
      <c r="BQ182" s="4" t="s">
        <v>2</v>
      </c>
      <c r="BR182" s="4" t="s">
        <v>3</v>
      </c>
      <c r="BS182" s="4" t="s">
        <v>4</v>
      </c>
      <c r="BT182" s="4" t="s">
        <v>5</v>
      </c>
      <c r="BU182" s="4" t="s">
        <v>6</v>
      </c>
      <c r="BV182" s="4" t="s">
        <v>7</v>
      </c>
      <c r="BW182" s="4" t="s">
        <v>8</v>
      </c>
      <c r="BX182" s="3" t="s">
        <v>322</v>
      </c>
      <c r="BY182" s="3" t="s">
        <v>323</v>
      </c>
      <c r="BZ182" s="3" t="s">
        <v>322</v>
      </c>
      <c r="CA182" s="3" t="s">
        <v>323</v>
      </c>
    </row>
    <row r="183" spans="1:79" x14ac:dyDescent="0.3">
      <c r="A183" s="4" t="s">
        <v>74</v>
      </c>
      <c r="B183" s="4">
        <v>0.9</v>
      </c>
      <c r="C183" s="4">
        <v>0.5</v>
      </c>
      <c r="D183" s="4">
        <v>0.6</v>
      </c>
      <c r="E183" s="4">
        <v>0.3</v>
      </c>
      <c r="F183" s="6">
        <v>401.67568999999997</v>
      </c>
      <c r="G183" s="4">
        <v>1E-3</v>
      </c>
      <c r="I183" s="4" t="s">
        <v>74</v>
      </c>
      <c r="J183" s="4">
        <v>0.9</v>
      </c>
      <c r="K183" s="4">
        <v>0.5</v>
      </c>
      <c r="L183" s="4">
        <v>0.6</v>
      </c>
      <c r="M183" s="4">
        <v>0.3</v>
      </c>
      <c r="N183" s="4">
        <v>404.11584499999998</v>
      </c>
      <c r="O183" s="4">
        <v>0</v>
      </c>
      <c r="P183" s="4" t="s">
        <v>324</v>
      </c>
      <c r="Q183" s="4" t="s">
        <v>324</v>
      </c>
      <c r="R183" s="4" t="s">
        <v>325</v>
      </c>
      <c r="S183" s="4" t="s">
        <v>325</v>
      </c>
      <c r="U183" s="4" t="s">
        <v>74</v>
      </c>
      <c r="V183" s="4">
        <v>0.9</v>
      </c>
      <c r="W183" s="4">
        <v>0.5</v>
      </c>
      <c r="X183" s="4">
        <v>0.6</v>
      </c>
      <c r="Y183" s="4">
        <v>0.3</v>
      </c>
      <c r="Z183" s="8">
        <v>393.59326199999998</v>
      </c>
      <c r="AA183" s="4">
        <v>1E-3</v>
      </c>
      <c r="AC183" s="4" t="s">
        <v>74</v>
      </c>
      <c r="AD183" s="4">
        <v>0.9</v>
      </c>
      <c r="AE183" s="4">
        <v>0.5</v>
      </c>
      <c r="AF183" s="4">
        <v>0.6</v>
      </c>
      <c r="AG183" s="4">
        <v>0.35</v>
      </c>
      <c r="AH183" s="6">
        <v>393.37597699999998</v>
      </c>
      <c r="AI183" s="4">
        <v>1E-3</v>
      </c>
      <c r="AJ183" s="4" t="s">
        <v>324</v>
      </c>
      <c r="AK183" s="4" t="s">
        <v>324</v>
      </c>
      <c r="AL183" s="4" t="s">
        <v>325</v>
      </c>
      <c r="AM183" s="4" t="s">
        <v>325</v>
      </c>
      <c r="AO183" s="4" t="s">
        <v>75</v>
      </c>
      <c r="AP183" s="4">
        <v>0.9</v>
      </c>
      <c r="AQ183" s="4">
        <v>0.5</v>
      </c>
      <c r="AR183" s="4">
        <v>0.6</v>
      </c>
      <c r="AS183" s="4">
        <v>0.3</v>
      </c>
      <c r="AT183" s="6">
        <v>730.92443800000001</v>
      </c>
      <c r="AU183" s="4">
        <v>3.0000000000000001E-3</v>
      </c>
      <c r="AW183" s="4" t="s">
        <v>75</v>
      </c>
      <c r="AX183" s="4">
        <v>0.9</v>
      </c>
      <c r="AY183" s="4">
        <v>0.5</v>
      </c>
      <c r="AZ183" s="4">
        <v>0.6</v>
      </c>
      <c r="BA183" s="4">
        <v>0.31</v>
      </c>
      <c r="BB183" s="4">
        <v>752.83947799999999</v>
      </c>
      <c r="BC183" s="4">
        <v>4.0000000000000001E-3</v>
      </c>
      <c r="BD183" s="4" t="s">
        <v>324</v>
      </c>
      <c r="BE183" s="4" t="s">
        <v>324</v>
      </c>
      <c r="BF183" s="4" t="s">
        <v>325</v>
      </c>
      <c r="BG183" s="4" t="s">
        <v>325</v>
      </c>
      <c r="BI183" s="4" t="s">
        <v>75</v>
      </c>
      <c r="BJ183" s="4">
        <v>0.9</v>
      </c>
      <c r="BK183" s="4">
        <v>0.5</v>
      </c>
      <c r="BL183" s="4">
        <v>0.6</v>
      </c>
      <c r="BM183" s="4">
        <v>0.3</v>
      </c>
      <c r="BN183" s="6">
        <v>714.30542000000003</v>
      </c>
      <c r="BO183" s="4">
        <v>5.0000000000000001E-3</v>
      </c>
      <c r="BQ183" s="4" t="s">
        <v>75</v>
      </c>
      <c r="BR183" s="4">
        <v>0.9</v>
      </c>
      <c r="BS183" s="4">
        <v>0.5</v>
      </c>
      <c r="BT183" s="4">
        <v>0.6</v>
      </c>
      <c r="BU183" s="4">
        <v>0.3</v>
      </c>
      <c r="BV183" s="4">
        <v>728.62469499999997</v>
      </c>
      <c r="BW183" s="4">
        <v>5.0000000000000001E-3</v>
      </c>
      <c r="BX183" s="4" t="s">
        <v>324</v>
      </c>
      <c r="BY183" s="4" t="s">
        <v>324</v>
      </c>
      <c r="BZ183" s="4" t="s">
        <v>325</v>
      </c>
      <c r="CA183" s="4" t="s">
        <v>325</v>
      </c>
    </row>
    <row r="184" spans="1:79" x14ac:dyDescent="0.3">
      <c r="A184" s="4" t="s">
        <v>76</v>
      </c>
      <c r="B184" s="4">
        <v>0.9</v>
      </c>
      <c r="C184" s="4">
        <v>0.5</v>
      </c>
      <c r="D184" s="4">
        <v>0.6</v>
      </c>
      <c r="E184" s="4">
        <v>0.3</v>
      </c>
      <c r="F184" s="6">
        <v>441.18945300000001</v>
      </c>
      <c r="G184" s="4">
        <v>1E-3</v>
      </c>
      <c r="I184" s="4" t="s">
        <v>76</v>
      </c>
      <c r="J184" s="4">
        <v>0.9</v>
      </c>
      <c r="K184" s="4">
        <v>0.5</v>
      </c>
      <c r="L184" s="4">
        <v>0.6</v>
      </c>
      <c r="M184" s="4">
        <v>0.34</v>
      </c>
      <c r="N184" s="4">
        <v>442.65103099999999</v>
      </c>
      <c r="O184" s="4">
        <v>1E-3</v>
      </c>
      <c r="P184" s="3">
        <f>COUNT(F183:F212)</f>
        <v>30</v>
      </c>
      <c r="Q184" s="3">
        <f>30-P184</f>
        <v>0</v>
      </c>
      <c r="R184" s="3">
        <f>COUNT(N186)</f>
        <v>1</v>
      </c>
      <c r="S184" s="3">
        <f>30-R184</f>
        <v>29</v>
      </c>
      <c r="U184" s="4" t="s">
        <v>76</v>
      </c>
      <c r="V184" s="4">
        <v>0.9</v>
      </c>
      <c r="W184" s="4">
        <v>0.5</v>
      </c>
      <c r="X184" s="4">
        <v>0.6</v>
      </c>
      <c r="Y184" s="4">
        <v>0.3</v>
      </c>
      <c r="Z184" s="6">
        <v>418.120544</v>
      </c>
      <c r="AA184" s="4">
        <v>1E-3</v>
      </c>
      <c r="AC184" s="4" t="s">
        <v>76</v>
      </c>
      <c r="AD184" s="4">
        <v>0.9</v>
      </c>
      <c r="AE184" s="4">
        <v>0.5</v>
      </c>
      <c r="AF184" s="4">
        <v>0.6</v>
      </c>
      <c r="AG184" s="4">
        <v>0.32</v>
      </c>
      <c r="AH184" s="4">
        <v>428.43444799999997</v>
      </c>
      <c r="AI184" s="4">
        <v>1E-3</v>
      </c>
      <c r="AJ184" s="3">
        <f>COUNT(Z183:Z199,Z201,Z203:Z212)</f>
        <v>28</v>
      </c>
      <c r="AK184" s="3">
        <f>30-AJ184</f>
        <v>2</v>
      </c>
      <c r="AL184" s="3">
        <f>COUNT(AH183,AH187,AH194,AH200)</f>
        <v>4</v>
      </c>
      <c r="AM184" s="3">
        <f>30-AL184</f>
        <v>26</v>
      </c>
      <c r="AO184" s="4" t="s">
        <v>77</v>
      </c>
      <c r="AP184" s="4">
        <v>0.9</v>
      </c>
      <c r="AQ184" s="4">
        <v>0.5</v>
      </c>
      <c r="AR184" s="4">
        <v>0.6</v>
      </c>
      <c r="AS184" s="4">
        <v>0.3</v>
      </c>
      <c r="AT184" s="6">
        <v>805.61724900000002</v>
      </c>
      <c r="AU184" s="4">
        <v>4.0000000000000001E-3</v>
      </c>
      <c r="AW184" s="4" t="s">
        <v>77</v>
      </c>
      <c r="AX184" s="4">
        <v>0.9</v>
      </c>
      <c r="AY184" s="4">
        <v>0.5</v>
      </c>
      <c r="AZ184" s="4">
        <v>0.6</v>
      </c>
      <c r="BA184" s="4">
        <v>0.32</v>
      </c>
      <c r="BB184" s="4">
        <v>852.20782499999996</v>
      </c>
      <c r="BC184" s="4">
        <v>4.0000000000000001E-3</v>
      </c>
      <c r="BD184" s="3">
        <f>COUNT(AT183:AT212)</f>
        <v>30</v>
      </c>
      <c r="BE184" s="3">
        <f>30-BD184</f>
        <v>0</v>
      </c>
      <c r="BF184" s="3">
        <v>0</v>
      </c>
      <c r="BG184" s="3">
        <f>30-BF184</f>
        <v>30</v>
      </c>
      <c r="BI184" s="4" t="s">
        <v>77</v>
      </c>
      <c r="BJ184" s="4">
        <v>0.9</v>
      </c>
      <c r="BK184" s="4">
        <v>0.5</v>
      </c>
      <c r="BL184" s="4">
        <v>0.6</v>
      </c>
      <c r="BM184" s="4">
        <v>0.3</v>
      </c>
      <c r="BN184" s="6">
        <v>796.45288100000005</v>
      </c>
      <c r="BO184" s="4">
        <v>8.9999999999999993E-3</v>
      </c>
      <c r="BQ184" s="4" t="s">
        <v>77</v>
      </c>
      <c r="BR184" s="4">
        <v>0.9</v>
      </c>
      <c r="BS184" s="4">
        <v>0.5</v>
      </c>
      <c r="BT184" s="4">
        <v>0.6</v>
      </c>
      <c r="BU184" s="4">
        <v>0.31</v>
      </c>
      <c r="BV184" s="4">
        <v>819.70898399999999</v>
      </c>
      <c r="BW184" s="4">
        <v>8.9999999999999993E-3</v>
      </c>
      <c r="BX184" s="3">
        <f>COUNT(BN183:BN212)</f>
        <v>30</v>
      </c>
      <c r="BY184" s="3">
        <f>30-BX184</f>
        <v>0</v>
      </c>
      <c r="BZ184" s="3">
        <v>0</v>
      </c>
      <c r="CA184" s="3">
        <f>30-BZ184</f>
        <v>30</v>
      </c>
    </row>
    <row r="185" spans="1:79" x14ac:dyDescent="0.3">
      <c r="A185" s="4" t="s">
        <v>78</v>
      </c>
      <c r="B185" s="4">
        <v>0.9</v>
      </c>
      <c r="C185" s="4">
        <v>0.5</v>
      </c>
      <c r="D185" s="4">
        <v>0.6</v>
      </c>
      <c r="E185" s="4">
        <v>0.3</v>
      </c>
      <c r="F185" s="6">
        <v>429.31347699999998</v>
      </c>
      <c r="G185" s="4">
        <v>1E-3</v>
      </c>
      <c r="I185" s="4" t="s">
        <v>78</v>
      </c>
      <c r="J185" s="4">
        <v>0.9</v>
      </c>
      <c r="K185" s="4">
        <v>0.5</v>
      </c>
      <c r="L185" s="4">
        <v>0.6</v>
      </c>
      <c r="M185" s="4">
        <v>0.31</v>
      </c>
      <c r="N185" s="4">
        <v>430.96078499999999</v>
      </c>
      <c r="O185" s="4">
        <v>1E-3</v>
      </c>
      <c r="P185" s="5"/>
      <c r="Q185" s="5"/>
      <c r="R185" s="5"/>
      <c r="S185" s="5"/>
      <c r="U185" s="4" t="s">
        <v>78</v>
      </c>
      <c r="V185" s="4">
        <v>0.9</v>
      </c>
      <c r="W185" s="4">
        <v>0.5</v>
      </c>
      <c r="X185" s="4">
        <v>0.6</v>
      </c>
      <c r="Y185" s="4">
        <v>0.3</v>
      </c>
      <c r="Z185" s="6">
        <v>412.85815400000001</v>
      </c>
      <c r="AA185" s="4">
        <v>1E-3</v>
      </c>
      <c r="AC185" s="4" t="s">
        <v>78</v>
      </c>
      <c r="AD185" s="4">
        <v>0.9</v>
      </c>
      <c r="AE185" s="4">
        <v>0.5</v>
      </c>
      <c r="AF185" s="4">
        <v>0.6</v>
      </c>
      <c r="AG185" s="4">
        <v>0.34</v>
      </c>
      <c r="AH185" s="4">
        <v>416.37710600000003</v>
      </c>
      <c r="AI185" s="4">
        <v>1E-3</v>
      </c>
      <c r="AJ185" s="5"/>
      <c r="AK185" s="5"/>
      <c r="AL185" s="5"/>
      <c r="AM185" s="5"/>
      <c r="AO185" s="4" t="s">
        <v>79</v>
      </c>
      <c r="AP185" s="4">
        <v>0.9</v>
      </c>
      <c r="AQ185" s="4">
        <v>0.5</v>
      </c>
      <c r="AR185" s="4">
        <v>0.6</v>
      </c>
      <c r="AS185" s="4">
        <v>0.3</v>
      </c>
      <c r="AT185" s="6">
        <v>761.51464799999997</v>
      </c>
      <c r="AU185" s="4">
        <v>4.0000000000000001E-3</v>
      </c>
      <c r="AW185" s="4" t="s">
        <v>79</v>
      </c>
      <c r="AX185" s="4">
        <v>0.9</v>
      </c>
      <c r="AY185" s="4">
        <v>0.5</v>
      </c>
      <c r="AZ185" s="4">
        <v>0.6</v>
      </c>
      <c r="BA185" s="4">
        <v>0.31</v>
      </c>
      <c r="BB185" s="4">
        <v>798.03832999999997</v>
      </c>
      <c r="BC185" s="4">
        <v>6.0000000000000001E-3</v>
      </c>
      <c r="BD185" s="5"/>
      <c r="BE185" s="5"/>
      <c r="BF185" s="5"/>
      <c r="BG185" s="5"/>
      <c r="BI185" s="4" t="s">
        <v>79</v>
      </c>
      <c r="BJ185" s="4">
        <v>0.9</v>
      </c>
      <c r="BK185" s="4">
        <v>0.5</v>
      </c>
      <c r="BL185" s="4">
        <v>0.6</v>
      </c>
      <c r="BM185" s="4">
        <v>0.3</v>
      </c>
      <c r="BN185" s="6">
        <v>729.90734899999995</v>
      </c>
      <c r="BO185" s="4">
        <v>8.0000000000000002E-3</v>
      </c>
      <c r="BQ185" s="4" t="s">
        <v>79</v>
      </c>
      <c r="BR185" s="4">
        <v>0.9</v>
      </c>
      <c r="BS185" s="4">
        <v>0.5</v>
      </c>
      <c r="BT185" s="4">
        <v>0.6</v>
      </c>
      <c r="BU185" s="4">
        <v>0.32</v>
      </c>
      <c r="BV185" s="4">
        <v>784.17297399999995</v>
      </c>
      <c r="BW185" s="4">
        <v>8.9999999999999993E-3</v>
      </c>
      <c r="BX185" s="5"/>
      <c r="BY185" s="5"/>
      <c r="BZ185" s="5"/>
      <c r="CA185" s="5"/>
    </row>
    <row r="186" spans="1:79" x14ac:dyDescent="0.3">
      <c r="A186" s="4" t="s">
        <v>80</v>
      </c>
      <c r="B186" s="4">
        <v>0.9</v>
      </c>
      <c r="C186" s="4">
        <v>0.5</v>
      </c>
      <c r="D186" s="4">
        <v>0.6</v>
      </c>
      <c r="E186" s="4">
        <v>0.3</v>
      </c>
      <c r="F186" s="8">
        <v>462.20266700000002</v>
      </c>
      <c r="G186" s="4">
        <v>1E-3</v>
      </c>
      <c r="I186" s="4" t="s">
        <v>80</v>
      </c>
      <c r="J186" s="4">
        <v>0.9</v>
      </c>
      <c r="K186" s="4">
        <v>0.5</v>
      </c>
      <c r="L186" s="4">
        <v>0.6</v>
      </c>
      <c r="M186" s="4">
        <v>0.31</v>
      </c>
      <c r="N186" s="6">
        <v>462.183289</v>
      </c>
      <c r="O186" s="4">
        <v>1E-3</v>
      </c>
      <c r="P186" s="5"/>
      <c r="Q186" s="5"/>
      <c r="R186" s="5"/>
      <c r="S186" s="5"/>
      <c r="U186" s="4" t="s">
        <v>80</v>
      </c>
      <c r="V186" s="4">
        <v>0.9</v>
      </c>
      <c r="W186" s="4">
        <v>0.5</v>
      </c>
      <c r="X186" s="4">
        <v>0.6</v>
      </c>
      <c r="Y186" s="4">
        <v>0.3</v>
      </c>
      <c r="Z186" s="6">
        <v>435.63125600000001</v>
      </c>
      <c r="AA186" s="4">
        <v>1E-3</v>
      </c>
      <c r="AC186" s="4" t="s">
        <v>80</v>
      </c>
      <c r="AD186" s="4">
        <v>0.9</v>
      </c>
      <c r="AE186" s="4">
        <v>0.5</v>
      </c>
      <c r="AF186" s="4">
        <v>0.6</v>
      </c>
      <c r="AG186" s="4">
        <v>0.32</v>
      </c>
      <c r="AH186" s="4">
        <v>448.30267300000003</v>
      </c>
      <c r="AI186" s="4">
        <v>0</v>
      </c>
      <c r="AJ186" s="5"/>
      <c r="AK186" s="5"/>
      <c r="AL186" s="5"/>
      <c r="AM186" s="5"/>
      <c r="AO186" s="4" t="s">
        <v>81</v>
      </c>
      <c r="AP186" s="4">
        <v>0.9</v>
      </c>
      <c r="AQ186" s="4">
        <v>0.5</v>
      </c>
      <c r="AR186" s="4">
        <v>0.6</v>
      </c>
      <c r="AS186" s="4">
        <v>0.3</v>
      </c>
      <c r="AT186" s="6">
        <v>735.40643299999999</v>
      </c>
      <c r="AU186" s="4">
        <v>4.0000000000000001E-3</v>
      </c>
      <c r="AW186" s="4" t="s">
        <v>81</v>
      </c>
      <c r="AX186" s="4">
        <v>0.9</v>
      </c>
      <c r="AY186" s="4">
        <v>0.5</v>
      </c>
      <c r="AZ186" s="4">
        <v>0.6</v>
      </c>
      <c r="BA186" s="4">
        <v>0.3</v>
      </c>
      <c r="BB186" s="4">
        <v>752.66625999999997</v>
      </c>
      <c r="BC186" s="4">
        <v>4.0000000000000001E-3</v>
      </c>
      <c r="BD186" s="5"/>
      <c r="BE186" s="5"/>
      <c r="BF186" s="5"/>
      <c r="BG186" s="5"/>
      <c r="BI186" s="4" t="s">
        <v>81</v>
      </c>
      <c r="BJ186" s="4">
        <v>0.9</v>
      </c>
      <c r="BK186" s="4">
        <v>0.5</v>
      </c>
      <c r="BL186" s="4">
        <v>0.6</v>
      </c>
      <c r="BM186" s="4">
        <v>0.3</v>
      </c>
      <c r="BN186" s="6">
        <v>713.78222700000003</v>
      </c>
      <c r="BO186" s="4">
        <v>8.0000000000000002E-3</v>
      </c>
      <c r="BQ186" s="4" t="s">
        <v>81</v>
      </c>
      <c r="BR186" s="4">
        <v>0.9</v>
      </c>
      <c r="BS186" s="4">
        <v>0.5</v>
      </c>
      <c r="BT186" s="4">
        <v>0.6</v>
      </c>
      <c r="BU186" s="4">
        <v>0.31</v>
      </c>
      <c r="BV186" s="4">
        <v>739.42877199999998</v>
      </c>
      <c r="BW186" s="4">
        <v>0.01</v>
      </c>
      <c r="BX186" s="5"/>
      <c r="BY186" s="5"/>
      <c r="BZ186" s="5"/>
      <c r="CA186" s="5"/>
    </row>
    <row r="187" spans="1:79" x14ac:dyDescent="0.3">
      <c r="A187" s="4" t="s">
        <v>82</v>
      </c>
      <c r="B187" s="4">
        <v>0.9</v>
      </c>
      <c r="C187" s="4">
        <v>0.5</v>
      </c>
      <c r="D187" s="4">
        <v>0.6</v>
      </c>
      <c r="E187" s="4">
        <v>0.3</v>
      </c>
      <c r="F187" s="6">
        <v>425.22131300000001</v>
      </c>
      <c r="G187" s="4">
        <v>0</v>
      </c>
      <c r="I187" s="4" t="s">
        <v>82</v>
      </c>
      <c r="J187" s="4">
        <v>0.9</v>
      </c>
      <c r="K187" s="4">
        <v>0.5</v>
      </c>
      <c r="L187" s="4">
        <v>0.6</v>
      </c>
      <c r="M187" s="4">
        <v>0.39</v>
      </c>
      <c r="N187" s="4">
        <v>431.33407599999998</v>
      </c>
      <c r="O187" s="4">
        <v>1E-3</v>
      </c>
      <c r="P187" s="5"/>
      <c r="Q187" s="5"/>
      <c r="R187" s="5"/>
      <c r="S187" s="5"/>
      <c r="U187" s="4" t="s">
        <v>82</v>
      </c>
      <c r="V187" s="4">
        <v>0.9</v>
      </c>
      <c r="W187" s="4">
        <v>0.5</v>
      </c>
      <c r="X187" s="4">
        <v>0.6</v>
      </c>
      <c r="Y187" s="4">
        <v>0.3</v>
      </c>
      <c r="Z187" s="6">
        <v>416.028076</v>
      </c>
      <c r="AA187" s="4">
        <v>1E-3</v>
      </c>
      <c r="AC187" s="4" t="s">
        <v>82</v>
      </c>
      <c r="AD187" s="4">
        <v>0.9</v>
      </c>
      <c r="AE187" s="4">
        <v>0.5</v>
      </c>
      <c r="AF187" s="4">
        <v>0.6</v>
      </c>
      <c r="AG187" s="4">
        <v>0.33</v>
      </c>
      <c r="AH187" s="8">
        <v>416.52825899999999</v>
      </c>
      <c r="AI187" s="4">
        <v>1E-3</v>
      </c>
      <c r="AJ187" s="5"/>
      <c r="AK187" s="5"/>
      <c r="AL187" s="5"/>
      <c r="AM187" s="5"/>
      <c r="AO187" s="4" t="s">
        <v>83</v>
      </c>
      <c r="AP187" s="4">
        <v>0.9</v>
      </c>
      <c r="AQ187" s="4">
        <v>0.5</v>
      </c>
      <c r="AR187" s="4">
        <v>0.6</v>
      </c>
      <c r="AS187" s="4">
        <v>0.3</v>
      </c>
      <c r="AT187" s="6">
        <v>758.09643600000004</v>
      </c>
      <c r="AU187" s="4">
        <v>5.0000000000000001E-3</v>
      </c>
      <c r="AW187" s="4" t="s">
        <v>83</v>
      </c>
      <c r="AX187" s="4">
        <v>0.9</v>
      </c>
      <c r="AY187" s="4">
        <v>0.5</v>
      </c>
      <c r="AZ187" s="4">
        <v>0.6</v>
      </c>
      <c r="BA187" s="4">
        <v>0.37</v>
      </c>
      <c r="BB187" s="4">
        <v>771.85949700000003</v>
      </c>
      <c r="BC187" s="4">
        <v>4.0000000000000001E-3</v>
      </c>
      <c r="BD187" s="5"/>
      <c r="BE187" s="5"/>
      <c r="BF187" s="5"/>
      <c r="BG187" s="5"/>
      <c r="BI187" s="4" t="s">
        <v>83</v>
      </c>
      <c r="BJ187" s="4">
        <v>0.9</v>
      </c>
      <c r="BK187" s="4">
        <v>0.5</v>
      </c>
      <c r="BL187" s="4">
        <v>0.6</v>
      </c>
      <c r="BM187" s="4">
        <v>0.3</v>
      </c>
      <c r="BN187" s="6">
        <v>746.24322500000005</v>
      </c>
      <c r="BO187" s="4">
        <v>4.0000000000000001E-3</v>
      </c>
      <c r="BQ187" s="4" t="s">
        <v>83</v>
      </c>
      <c r="BR187" s="4">
        <v>0.9</v>
      </c>
      <c r="BS187" s="4">
        <v>0.5</v>
      </c>
      <c r="BT187" s="4">
        <v>0.6</v>
      </c>
      <c r="BU187" s="4">
        <v>0.3</v>
      </c>
      <c r="BV187" s="4">
        <v>759.23754899999994</v>
      </c>
      <c r="BW187" s="4">
        <v>5.0000000000000001E-3</v>
      </c>
      <c r="BX187" s="5"/>
      <c r="BY187" s="5"/>
      <c r="BZ187" s="5"/>
      <c r="CA187" s="5"/>
    </row>
    <row r="188" spans="1:79" x14ac:dyDescent="0.3">
      <c r="A188" s="4" t="s">
        <v>84</v>
      </c>
      <c r="B188" s="4">
        <v>0.9</v>
      </c>
      <c r="C188" s="4">
        <v>0.5</v>
      </c>
      <c r="D188" s="4">
        <v>0.6</v>
      </c>
      <c r="E188" s="4">
        <v>0.3</v>
      </c>
      <c r="F188" s="6">
        <v>540.70977800000003</v>
      </c>
      <c r="G188" s="4">
        <v>1E-3</v>
      </c>
      <c r="I188" s="4" t="s">
        <v>84</v>
      </c>
      <c r="J188" s="4">
        <v>0.9</v>
      </c>
      <c r="K188" s="4">
        <v>0.5</v>
      </c>
      <c r="L188" s="4">
        <v>0.6</v>
      </c>
      <c r="M188" s="4">
        <v>0.35</v>
      </c>
      <c r="N188" s="4">
        <v>542.32739300000003</v>
      </c>
      <c r="O188" s="4">
        <v>1E-3</v>
      </c>
      <c r="P188" s="5"/>
      <c r="Q188" s="5"/>
      <c r="R188" s="5"/>
      <c r="S188" s="5"/>
      <c r="U188" s="4" t="s">
        <v>84</v>
      </c>
      <c r="V188" s="4">
        <v>0.9</v>
      </c>
      <c r="W188" s="4">
        <v>0.5</v>
      </c>
      <c r="X188" s="4">
        <v>0.6</v>
      </c>
      <c r="Y188" s="4">
        <v>0.3</v>
      </c>
      <c r="Z188" s="6">
        <v>525.18969700000002</v>
      </c>
      <c r="AA188" s="4">
        <v>1E-3</v>
      </c>
      <c r="AC188" s="4" t="s">
        <v>84</v>
      </c>
      <c r="AD188" s="4">
        <v>0.9</v>
      </c>
      <c r="AE188" s="4">
        <v>0.5</v>
      </c>
      <c r="AF188" s="4">
        <v>0.6</v>
      </c>
      <c r="AG188" s="4">
        <v>0.32</v>
      </c>
      <c r="AH188" s="4">
        <v>533.54058799999996</v>
      </c>
      <c r="AI188" s="4">
        <v>1E-3</v>
      </c>
      <c r="AJ188" s="5"/>
      <c r="AK188" s="5"/>
      <c r="AL188" s="5"/>
      <c r="AM188" s="5"/>
      <c r="AO188" s="4" t="s">
        <v>85</v>
      </c>
      <c r="AP188" s="4">
        <v>0.9</v>
      </c>
      <c r="AQ188" s="4">
        <v>0.5</v>
      </c>
      <c r="AR188" s="4">
        <v>0.6</v>
      </c>
      <c r="AS188" s="4">
        <v>0.3</v>
      </c>
      <c r="AT188" s="6">
        <v>871.78558299999997</v>
      </c>
      <c r="AU188" s="4">
        <v>1.9E-2</v>
      </c>
      <c r="AW188" s="4" t="s">
        <v>85</v>
      </c>
      <c r="AX188" s="4">
        <v>0.9</v>
      </c>
      <c r="AY188" s="4">
        <v>0.5</v>
      </c>
      <c r="AZ188" s="4">
        <v>0.6</v>
      </c>
      <c r="BA188" s="4">
        <v>0.44</v>
      </c>
      <c r="BB188" s="4">
        <v>904.44348100000002</v>
      </c>
      <c r="BC188" s="4">
        <v>5.0000000000000001E-3</v>
      </c>
      <c r="BD188" s="5"/>
      <c r="BE188" s="5"/>
      <c r="BF188" s="5"/>
      <c r="BG188" s="5"/>
      <c r="BI188" s="4" t="s">
        <v>85</v>
      </c>
      <c r="BJ188" s="4">
        <v>0.9</v>
      </c>
      <c r="BK188" s="4">
        <v>0.5</v>
      </c>
      <c r="BL188" s="4">
        <v>0.6</v>
      </c>
      <c r="BM188" s="4">
        <v>0.3</v>
      </c>
      <c r="BN188" s="6">
        <v>856.53167699999995</v>
      </c>
      <c r="BO188" s="4">
        <v>6.0000000000000001E-3</v>
      </c>
      <c r="BQ188" s="4" t="s">
        <v>85</v>
      </c>
      <c r="BR188" s="4">
        <v>0.9</v>
      </c>
      <c r="BS188" s="4">
        <v>0.5</v>
      </c>
      <c r="BT188" s="4">
        <v>0.6</v>
      </c>
      <c r="BU188" s="4">
        <v>0.3</v>
      </c>
      <c r="BV188" s="4">
        <v>884.730591</v>
      </c>
      <c r="BW188" s="4">
        <v>5.0000000000000001E-3</v>
      </c>
      <c r="BX188" s="5"/>
      <c r="BY188" s="5"/>
      <c r="BZ188" s="5"/>
      <c r="CA188" s="5"/>
    </row>
    <row r="189" spans="1:79" x14ac:dyDescent="0.3">
      <c r="A189" s="4" t="s">
        <v>86</v>
      </c>
      <c r="B189" s="4">
        <v>0.9</v>
      </c>
      <c r="C189" s="4">
        <v>0.5</v>
      </c>
      <c r="D189" s="4">
        <v>0.6</v>
      </c>
      <c r="E189" s="4">
        <v>0.3</v>
      </c>
      <c r="F189" s="6">
        <v>569.16980000000001</v>
      </c>
      <c r="G189" s="4">
        <v>1E-3</v>
      </c>
      <c r="I189" s="4" t="s">
        <v>86</v>
      </c>
      <c r="J189" s="4">
        <v>0.9</v>
      </c>
      <c r="K189" s="4">
        <v>0.5</v>
      </c>
      <c r="L189" s="4">
        <v>0.6</v>
      </c>
      <c r="M189" s="4">
        <v>0.32</v>
      </c>
      <c r="N189" s="4">
        <v>578.99816899999996</v>
      </c>
      <c r="O189" s="4">
        <v>1E-3</v>
      </c>
      <c r="P189" s="5"/>
      <c r="Q189" s="5"/>
      <c r="R189" s="5"/>
      <c r="S189" s="5"/>
      <c r="U189" s="4" t="s">
        <v>86</v>
      </c>
      <c r="V189" s="4">
        <v>0.9</v>
      </c>
      <c r="W189" s="4">
        <v>0.5</v>
      </c>
      <c r="X189" s="4">
        <v>0.6</v>
      </c>
      <c r="Y189" s="4">
        <v>0.3</v>
      </c>
      <c r="Z189" s="6">
        <v>558.04724099999999</v>
      </c>
      <c r="AA189" s="4">
        <v>1E-3</v>
      </c>
      <c r="AC189" s="4" t="s">
        <v>86</v>
      </c>
      <c r="AD189" s="4">
        <v>0.9</v>
      </c>
      <c r="AE189" s="4">
        <v>0.5</v>
      </c>
      <c r="AF189" s="4">
        <v>0.6</v>
      </c>
      <c r="AG189" s="4">
        <v>0.32</v>
      </c>
      <c r="AH189" s="4">
        <v>564.99883999999997</v>
      </c>
      <c r="AI189" s="4">
        <v>1E-3</v>
      </c>
      <c r="AJ189" s="5"/>
      <c r="AK189" s="5"/>
      <c r="AL189" s="5"/>
      <c r="AM189" s="5"/>
      <c r="AO189" s="4" t="s">
        <v>87</v>
      </c>
      <c r="AP189" s="4">
        <v>0.9</v>
      </c>
      <c r="AQ189" s="4">
        <v>0.5</v>
      </c>
      <c r="AR189" s="4">
        <v>0.6</v>
      </c>
      <c r="AS189" s="4">
        <v>0.3</v>
      </c>
      <c r="AT189" s="6">
        <v>796.96881099999996</v>
      </c>
      <c r="AU189" s="4">
        <v>8.0000000000000002E-3</v>
      </c>
      <c r="AW189" s="4" t="s">
        <v>87</v>
      </c>
      <c r="AX189" s="4">
        <v>0.9</v>
      </c>
      <c r="AY189" s="4">
        <v>0.5</v>
      </c>
      <c r="AZ189" s="4">
        <v>0.6</v>
      </c>
      <c r="BA189" s="4">
        <v>0.32</v>
      </c>
      <c r="BB189" s="4">
        <v>822.16558799999996</v>
      </c>
      <c r="BC189" s="4">
        <v>5.0000000000000001E-3</v>
      </c>
      <c r="BD189" s="5"/>
      <c r="BE189" s="5"/>
      <c r="BF189" s="5"/>
      <c r="BG189" s="5"/>
      <c r="BI189" s="4" t="s">
        <v>87</v>
      </c>
      <c r="BJ189" s="4">
        <v>0.9</v>
      </c>
      <c r="BK189" s="4">
        <v>0.5</v>
      </c>
      <c r="BL189" s="4">
        <v>0.6</v>
      </c>
      <c r="BM189" s="4">
        <v>0.3</v>
      </c>
      <c r="BN189" s="6">
        <v>793.237976</v>
      </c>
      <c r="BO189" s="4">
        <v>5.0000000000000001E-3</v>
      </c>
      <c r="BQ189" s="4" t="s">
        <v>87</v>
      </c>
      <c r="BR189" s="4">
        <v>0.9</v>
      </c>
      <c r="BS189" s="4">
        <v>0.5</v>
      </c>
      <c r="BT189" s="4">
        <v>0.6</v>
      </c>
      <c r="BU189" s="4">
        <v>0.3</v>
      </c>
      <c r="BV189" s="4">
        <v>796.83819600000004</v>
      </c>
      <c r="BW189" s="4">
        <v>8.9999999999999993E-3</v>
      </c>
      <c r="BX189" s="5"/>
      <c r="BY189" s="5"/>
      <c r="BZ189" s="5"/>
      <c r="CA189" s="5"/>
    </row>
    <row r="190" spans="1:79" x14ac:dyDescent="0.3">
      <c r="A190" s="4" t="s">
        <v>88</v>
      </c>
      <c r="B190" s="4">
        <v>0.9</v>
      </c>
      <c r="C190" s="4">
        <v>0.5</v>
      </c>
      <c r="D190" s="4">
        <v>0.6</v>
      </c>
      <c r="E190" s="4">
        <v>0.3</v>
      </c>
      <c r="F190" s="6">
        <v>494.33279399999998</v>
      </c>
      <c r="G190" s="4">
        <v>1E-3</v>
      </c>
      <c r="I190" s="4" t="s">
        <v>88</v>
      </c>
      <c r="J190" s="4">
        <v>0.9</v>
      </c>
      <c r="K190" s="4">
        <v>0.5</v>
      </c>
      <c r="L190" s="4">
        <v>0.6</v>
      </c>
      <c r="M190" s="4">
        <v>0.38</v>
      </c>
      <c r="N190" s="4">
        <v>505.50060999999999</v>
      </c>
      <c r="O190" s="4">
        <v>1E-3</v>
      </c>
      <c r="P190" s="5"/>
      <c r="Q190" s="5"/>
      <c r="R190" s="5"/>
      <c r="S190" s="5"/>
      <c r="U190" s="4" t="s">
        <v>88</v>
      </c>
      <c r="V190" s="4">
        <v>0.9</v>
      </c>
      <c r="W190" s="4">
        <v>0.5</v>
      </c>
      <c r="X190" s="4">
        <v>0.6</v>
      </c>
      <c r="Y190" s="4">
        <v>0.3</v>
      </c>
      <c r="Z190" s="6">
        <v>475.04605099999998</v>
      </c>
      <c r="AA190" s="4">
        <v>1E-3</v>
      </c>
      <c r="AC190" s="4" t="s">
        <v>88</v>
      </c>
      <c r="AD190" s="4">
        <v>0.9</v>
      </c>
      <c r="AE190" s="4">
        <v>0.5</v>
      </c>
      <c r="AF190" s="4">
        <v>0.6</v>
      </c>
      <c r="AG190" s="4">
        <v>0.31</v>
      </c>
      <c r="AH190" s="4">
        <v>491.07955900000002</v>
      </c>
      <c r="AI190" s="4">
        <v>1E-3</v>
      </c>
      <c r="AJ190" s="5"/>
      <c r="AK190" s="5"/>
      <c r="AL190" s="5"/>
      <c r="AM190" s="5"/>
      <c r="AO190" s="4" t="s">
        <v>89</v>
      </c>
      <c r="AP190" s="4">
        <v>0.9</v>
      </c>
      <c r="AQ190" s="4">
        <v>0.5</v>
      </c>
      <c r="AR190" s="4">
        <v>0.6</v>
      </c>
      <c r="AS190" s="4">
        <v>0.3</v>
      </c>
      <c r="AT190" s="6">
        <v>797.86944600000004</v>
      </c>
      <c r="AU190" s="4">
        <v>8.0000000000000002E-3</v>
      </c>
      <c r="AW190" s="4" t="s">
        <v>89</v>
      </c>
      <c r="AX190" s="4">
        <v>0.9</v>
      </c>
      <c r="AY190" s="4">
        <v>0.5</v>
      </c>
      <c r="AZ190" s="4">
        <v>0.6</v>
      </c>
      <c r="BA190" s="4">
        <v>0.3</v>
      </c>
      <c r="BB190" s="4">
        <v>823.79486099999997</v>
      </c>
      <c r="BC190" s="4">
        <v>5.0000000000000001E-3</v>
      </c>
      <c r="BD190" s="5"/>
      <c r="BE190" s="5"/>
      <c r="BF190" s="5"/>
      <c r="BG190" s="5"/>
      <c r="BI190" s="4" t="s">
        <v>89</v>
      </c>
      <c r="BJ190" s="4">
        <v>0.9</v>
      </c>
      <c r="BK190" s="4">
        <v>0.5</v>
      </c>
      <c r="BL190" s="4">
        <v>0.6</v>
      </c>
      <c r="BM190" s="4">
        <v>0.3</v>
      </c>
      <c r="BN190" s="6">
        <v>800.80291699999998</v>
      </c>
      <c r="BO190" s="4">
        <v>5.0000000000000001E-3</v>
      </c>
      <c r="BQ190" s="4" t="s">
        <v>89</v>
      </c>
      <c r="BR190" s="4">
        <v>0.9</v>
      </c>
      <c r="BS190" s="4">
        <v>0.5</v>
      </c>
      <c r="BT190" s="4">
        <v>0.6</v>
      </c>
      <c r="BU190" s="4">
        <v>0.31</v>
      </c>
      <c r="BV190" s="4">
        <v>816.67156999999997</v>
      </c>
      <c r="BW190" s="4">
        <v>6.0000000000000001E-3</v>
      </c>
      <c r="BX190" s="5"/>
      <c r="BY190" s="5"/>
      <c r="BZ190" s="5"/>
      <c r="CA190" s="5"/>
    </row>
    <row r="191" spans="1:79" x14ac:dyDescent="0.3">
      <c r="A191" s="4" t="s">
        <v>90</v>
      </c>
      <c r="B191" s="4">
        <v>0.9</v>
      </c>
      <c r="C191" s="4">
        <v>0.5</v>
      </c>
      <c r="D191" s="4">
        <v>0.6</v>
      </c>
      <c r="E191" s="4">
        <v>0.3</v>
      </c>
      <c r="F191" s="6">
        <v>436.71691900000002</v>
      </c>
      <c r="G191" s="4">
        <v>1E-3</v>
      </c>
      <c r="I191" s="4" t="s">
        <v>90</v>
      </c>
      <c r="J191" s="4">
        <v>0.9</v>
      </c>
      <c r="K191" s="4">
        <v>0.5</v>
      </c>
      <c r="L191" s="4">
        <v>0.6</v>
      </c>
      <c r="M191" s="4">
        <v>0.35</v>
      </c>
      <c r="N191" s="4">
        <v>449.83169600000002</v>
      </c>
      <c r="O191" s="4">
        <v>1E-3</v>
      </c>
      <c r="P191" s="5"/>
      <c r="Q191" s="5"/>
      <c r="R191" s="5"/>
      <c r="S191" s="5"/>
      <c r="U191" s="4" t="s">
        <v>90</v>
      </c>
      <c r="V191" s="4">
        <v>0.9</v>
      </c>
      <c r="W191" s="4">
        <v>0.5</v>
      </c>
      <c r="X191" s="4">
        <v>0.6</v>
      </c>
      <c r="Y191" s="4">
        <v>0.3</v>
      </c>
      <c r="Z191" s="6">
        <v>418.68591300000003</v>
      </c>
      <c r="AA191" s="4">
        <v>1E-3</v>
      </c>
      <c r="AC191" s="4" t="s">
        <v>90</v>
      </c>
      <c r="AD191" s="4">
        <v>0.9</v>
      </c>
      <c r="AE191" s="4">
        <v>0.5</v>
      </c>
      <c r="AF191" s="4">
        <v>0.6</v>
      </c>
      <c r="AG191" s="4">
        <v>0.31</v>
      </c>
      <c r="AH191" s="4">
        <v>430.15756199999998</v>
      </c>
      <c r="AI191" s="4">
        <v>0</v>
      </c>
      <c r="AJ191" s="5"/>
      <c r="AK191" s="5"/>
      <c r="AL191" s="5"/>
      <c r="AM191" s="5"/>
      <c r="AO191" s="4" t="s">
        <v>91</v>
      </c>
      <c r="AP191" s="4">
        <v>0.9</v>
      </c>
      <c r="AQ191" s="4">
        <v>0.5</v>
      </c>
      <c r="AR191" s="4">
        <v>0.6</v>
      </c>
      <c r="AS191" s="4">
        <v>0.3</v>
      </c>
      <c r="AT191" s="6">
        <v>800.90295400000002</v>
      </c>
      <c r="AU191" s="4">
        <v>5.0000000000000001E-3</v>
      </c>
      <c r="AW191" s="4" t="s">
        <v>91</v>
      </c>
      <c r="AX191" s="4">
        <v>0.9</v>
      </c>
      <c r="AY191" s="4">
        <v>0.5</v>
      </c>
      <c r="AZ191" s="4">
        <v>0.6</v>
      </c>
      <c r="BA191" s="4">
        <v>0.32</v>
      </c>
      <c r="BB191" s="4">
        <v>805.19232199999999</v>
      </c>
      <c r="BC191" s="4">
        <v>8.0000000000000002E-3</v>
      </c>
      <c r="BD191" s="5"/>
      <c r="BE191" s="5"/>
      <c r="BF191" s="5"/>
      <c r="BG191" s="5"/>
      <c r="BI191" s="4" t="s">
        <v>91</v>
      </c>
      <c r="BJ191" s="4">
        <v>0.9</v>
      </c>
      <c r="BK191" s="4">
        <v>0.5</v>
      </c>
      <c r="BL191" s="4">
        <v>0.6</v>
      </c>
      <c r="BM191" s="4">
        <v>0.3</v>
      </c>
      <c r="BN191" s="6">
        <v>767.66961700000002</v>
      </c>
      <c r="BO191" s="4">
        <v>5.0000000000000001E-3</v>
      </c>
      <c r="BQ191" s="4" t="s">
        <v>91</v>
      </c>
      <c r="BR191" s="4">
        <v>0.9</v>
      </c>
      <c r="BS191" s="4">
        <v>0.5</v>
      </c>
      <c r="BT191" s="4">
        <v>0.6</v>
      </c>
      <c r="BU191" s="4">
        <v>0.3</v>
      </c>
      <c r="BV191" s="4">
        <v>815.38928199999998</v>
      </c>
      <c r="BW191" s="4">
        <v>5.0000000000000001E-3</v>
      </c>
      <c r="BX191" s="5"/>
      <c r="BY191" s="5"/>
      <c r="BZ191" s="5"/>
      <c r="CA191" s="5"/>
    </row>
    <row r="192" spans="1:79" x14ac:dyDescent="0.3">
      <c r="A192" s="4" t="s">
        <v>92</v>
      </c>
      <c r="B192" s="4">
        <v>0.9</v>
      </c>
      <c r="C192" s="4">
        <v>0.5</v>
      </c>
      <c r="D192" s="4">
        <v>0.6</v>
      </c>
      <c r="E192" s="4">
        <v>0.3</v>
      </c>
      <c r="F192" s="6">
        <v>568.98913600000003</v>
      </c>
      <c r="G192" s="4">
        <v>1E-3</v>
      </c>
      <c r="I192" s="4" t="s">
        <v>92</v>
      </c>
      <c r="J192" s="4">
        <v>0.9</v>
      </c>
      <c r="K192" s="4">
        <v>0.5</v>
      </c>
      <c r="L192" s="4">
        <v>0.6</v>
      </c>
      <c r="M192" s="4">
        <v>0.32</v>
      </c>
      <c r="N192" s="4">
        <v>570.75750700000003</v>
      </c>
      <c r="O192" s="4">
        <v>1E-3</v>
      </c>
      <c r="P192" s="5"/>
      <c r="Q192" s="5"/>
      <c r="R192" s="5"/>
      <c r="S192" s="5"/>
      <c r="U192" s="4" t="s">
        <v>92</v>
      </c>
      <c r="V192" s="4">
        <v>0.9</v>
      </c>
      <c r="W192" s="4">
        <v>0.5</v>
      </c>
      <c r="X192" s="4">
        <v>0.6</v>
      </c>
      <c r="Y192" s="4">
        <v>0.3</v>
      </c>
      <c r="Z192" s="6">
        <v>549.44232199999999</v>
      </c>
      <c r="AA192" s="4">
        <v>1E-3</v>
      </c>
      <c r="AC192" s="4" t="s">
        <v>92</v>
      </c>
      <c r="AD192" s="4">
        <v>0.9</v>
      </c>
      <c r="AE192" s="4">
        <v>0.5</v>
      </c>
      <c r="AF192" s="4">
        <v>0.6</v>
      </c>
      <c r="AG192" s="4">
        <v>0.42</v>
      </c>
      <c r="AH192" s="4">
        <v>557.35961899999995</v>
      </c>
      <c r="AI192" s="4">
        <v>1E-3</v>
      </c>
      <c r="AJ192" s="5"/>
      <c r="AK192" s="5"/>
      <c r="AL192" s="5"/>
      <c r="AM192" s="5"/>
      <c r="AO192" s="4" t="s">
        <v>93</v>
      </c>
      <c r="AP192" s="4">
        <v>0.9</v>
      </c>
      <c r="AQ192" s="4">
        <v>0.5</v>
      </c>
      <c r="AR192" s="4">
        <v>0.6</v>
      </c>
      <c r="AS192" s="4">
        <v>0.3</v>
      </c>
      <c r="AT192" s="6">
        <v>746.30920400000002</v>
      </c>
      <c r="AU192" s="4">
        <v>5.0000000000000001E-3</v>
      </c>
      <c r="AW192" s="4" t="s">
        <v>93</v>
      </c>
      <c r="AX192" s="4">
        <v>0.9</v>
      </c>
      <c r="AY192" s="4">
        <v>0.5</v>
      </c>
      <c r="AZ192" s="4">
        <v>0.6</v>
      </c>
      <c r="BA192" s="4">
        <v>0.32</v>
      </c>
      <c r="BB192" s="4">
        <v>753.79382299999997</v>
      </c>
      <c r="BC192" s="4">
        <v>4.0000000000000001E-3</v>
      </c>
      <c r="BD192" s="5"/>
      <c r="BE192" s="5"/>
      <c r="BF192" s="5"/>
      <c r="BG192" s="5"/>
      <c r="BI192" s="4" t="s">
        <v>93</v>
      </c>
      <c r="BJ192" s="4">
        <v>0.9</v>
      </c>
      <c r="BK192" s="4">
        <v>0.5</v>
      </c>
      <c r="BL192" s="4">
        <v>0.6</v>
      </c>
      <c r="BM192" s="4">
        <v>0.3</v>
      </c>
      <c r="BN192" s="6">
        <v>725.90850799999998</v>
      </c>
      <c r="BO192" s="4">
        <v>5.0000000000000001E-3</v>
      </c>
      <c r="BQ192" s="4" t="s">
        <v>93</v>
      </c>
      <c r="BR192" s="4">
        <v>0.9</v>
      </c>
      <c r="BS192" s="4">
        <v>0.5</v>
      </c>
      <c r="BT192" s="4">
        <v>0.6</v>
      </c>
      <c r="BU192" s="4">
        <v>0.3</v>
      </c>
      <c r="BV192" s="4">
        <v>753.69787599999995</v>
      </c>
      <c r="BW192" s="4">
        <v>4.0000000000000001E-3</v>
      </c>
      <c r="BX192" s="5"/>
      <c r="BY192" s="5"/>
      <c r="BZ192" s="5"/>
      <c r="CA192" s="5"/>
    </row>
    <row r="193" spans="1:79" x14ac:dyDescent="0.3">
      <c r="A193" s="4" t="s">
        <v>94</v>
      </c>
      <c r="B193" s="4">
        <v>0.9</v>
      </c>
      <c r="C193" s="4">
        <v>0.5</v>
      </c>
      <c r="D193" s="4">
        <v>0.6</v>
      </c>
      <c r="E193" s="4">
        <v>0.3</v>
      </c>
      <c r="F193" s="6">
        <v>465.49774200000002</v>
      </c>
      <c r="G193" s="4">
        <v>1E-3</v>
      </c>
      <c r="I193" s="4" t="s">
        <v>94</v>
      </c>
      <c r="J193" s="4">
        <v>0.9</v>
      </c>
      <c r="K193" s="4">
        <v>0.5</v>
      </c>
      <c r="L193" s="4">
        <v>0.6</v>
      </c>
      <c r="M193" s="4">
        <v>0.32</v>
      </c>
      <c r="N193" s="4">
        <v>492.85751299999998</v>
      </c>
      <c r="O193" s="4">
        <v>1E-3</v>
      </c>
      <c r="P193" s="5"/>
      <c r="Q193" s="5"/>
      <c r="R193" s="5"/>
      <c r="S193" s="5"/>
      <c r="U193" s="4" t="s">
        <v>94</v>
      </c>
      <c r="V193" s="4">
        <v>0.9</v>
      </c>
      <c r="W193" s="4">
        <v>0.5</v>
      </c>
      <c r="X193" s="4">
        <v>0.6</v>
      </c>
      <c r="Y193" s="4">
        <v>0.3</v>
      </c>
      <c r="Z193" s="6">
        <v>448.44101000000001</v>
      </c>
      <c r="AA193" s="4">
        <v>0</v>
      </c>
      <c r="AC193" s="4" t="s">
        <v>94</v>
      </c>
      <c r="AD193" s="4">
        <v>0.9</v>
      </c>
      <c r="AE193" s="4">
        <v>0.5</v>
      </c>
      <c r="AF193" s="4">
        <v>0.6</v>
      </c>
      <c r="AG193" s="4">
        <v>0.39</v>
      </c>
      <c r="AH193" s="4">
        <v>461.24389600000001</v>
      </c>
      <c r="AI193" s="4">
        <v>1E-3</v>
      </c>
      <c r="AJ193" s="5"/>
      <c r="AK193" s="5"/>
      <c r="AL193" s="5"/>
      <c r="AM193" s="5"/>
      <c r="AO193" s="4" t="s">
        <v>95</v>
      </c>
      <c r="AP193" s="4">
        <v>0.9</v>
      </c>
      <c r="AQ193" s="4">
        <v>0.5</v>
      </c>
      <c r="AR193" s="4">
        <v>0.6</v>
      </c>
      <c r="AS193" s="4">
        <v>0.3</v>
      </c>
      <c r="AT193" s="6">
        <v>838.95019500000001</v>
      </c>
      <c r="AU193" s="4">
        <v>5.0000000000000001E-3</v>
      </c>
      <c r="AW193" s="4" t="s">
        <v>95</v>
      </c>
      <c r="AX193" s="4">
        <v>0.9</v>
      </c>
      <c r="AY193" s="4">
        <v>0.5</v>
      </c>
      <c r="AZ193" s="4">
        <v>0.6</v>
      </c>
      <c r="BA193" s="4">
        <v>0.31</v>
      </c>
      <c r="BB193" s="4">
        <v>858.38269000000003</v>
      </c>
      <c r="BC193" s="4">
        <v>5.0000000000000001E-3</v>
      </c>
      <c r="BD193" s="5"/>
      <c r="BE193" s="5"/>
      <c r="BF193" s="5"/>
      <c r="BG193" s="5"/>
      <c r="BI193" s="4" t="s">
        <v>95</v>
      </c>
      <c r="BJ193" s="4">
        <v>0.9</v>
      </c>
      <c r="BK193" s="4">
        <v>0.5</v>
      </c>
      <c r="BL193" s="4">
        <v>0.6</v>
      </c>
      <c r="BM193" s="4">
        <v>0.3</v>
      </c>
      <c r="BN193" s="6">
        <v>822.831909</v>
      </c>
      <c r="BO193" s="4">
        <v>4.0000000000000001E-3</v>
      </c>
      <c r="BQ193" s="4" t="s">
        <v>95</v>
      </c>
      <c r="BR193" s="4">
        <v>0.9</v>
      </c>
      <c r="BS193" s="4">
        <v>0.5</v>
      </c>
      <c r="BT193" s="4">
        <v>0.6</v>
      </c>
      <c r="BU193" s="4">
        <v>0.32</v>
      </c>
      <c r="BV193" s="4">
        <v>846.85339399999998</v>
      </c>
      <c r="BW193" s="4">
        <v>8.0000000000000002E-3</v>
      </c>
      <c r="BX193" s="5"/>
      <c r="BY193" s="5"/>
      <c r="BZ193" s="5"/>
      <c r="CA193" s="5"/>
    </row>
    <row r="194" spans="1:79" x14ac:dyDescent="0.3">
      <c r="A194" s="4" t="s">
        <v>96</v>
      </c>
      <c r="B194" s="4">
        <v>0.9</v>
      </c>
      <c r="C194" s="4">
        <v>0.5</v>
      </c>
      <c r="D194" s="4">
        <v>0.6</v>
      </c>
      <c r="E194" s="4">
        <v>0.3</v>
      </c>
      <c r="F194" s="6">
        <v>593.11859100000004</v>
      </c>
      <c r="G194" s="4">
        <v>1E-3</v>
      </c>
      <c r="I194" s="4" t="s">
        <v>96</v>
      </c>
      <c r="J194" s="4">
        <v>0.9</v>
      </c>
      <c r="K194" s="4">
        <v>0.5</v>
      </c>
      <c r="L194" s="4">
        <v>0.6</v>
      </c>
      <c r="M194" s="4">
        <v>0.33</v>
      </c>
      <c r="N194" s="4">
        <v>612.248108</v>
      </c>
      <c r="O194" s="4">
        <v>1E-3</v>
      </c>
      <c r="P194" s="5"/>
      <c r="Q194" s="5"/>
      <c r="R194" s="5"/>
      <c r="S194" s="5"/>
      <c r="U194" s="4" t="s">
        <v>96</v>
      </c>
      <c r="V194" s="4">
        <v>0.9</v>
      </c>
      <c r="W194" s="4">
        <v>0.5</v>
      </c>
      <c r="X194" s="4">
        <v>0.6</v>
      </c>
      <c r="Y194" s="4">
        <v>0.3</v>
      </c>
      <c r="Z194" s="6">
        <v>597.16168200000004</v>
      </c>
      <c r="AA194" s="4">
        <v>1E-3</v>
      </c>
      <c r="AC194" s="4" t="s">
        <v>96</v>
      </c>
      <c r="AD194" s="4">
        <v>0.9</v>
      </c>
      <c r="AE194" s="4">
        <v>0.5</v>
      </c>
      <c r="AF194" s="4">
        <v>0.6</v>
      </c>
      <c r="AG194" s="4">
        <v>0.3</v>
      </c>
      <c r="AH194" s="8">
        <v>597.36407499999996</v>
      </c>
      <c r="AI194" s="4">
        <v>1E-3</v>
      </c>
      <c r="AJ194" s="5"/>
      <c r="AK194" s="5"/>
      <c r="AL194" s="5"/>
      <c r="AM194" s="5"/>
      <c r="AO194" s="4" t="s">
        <v>97</v>
      </c>
      <c r="AP194" s="4">
        <v>0.9</v>
      </c>
      <c r="AQ194" s="4">
        <v>0.5</v>
      </c>
      <c r="AR194" s="4">
        <v>0.6</v>
      </c>
      <c r="AS194" s="4">
        <v>0.3</v>
      </c>
      <c r="AT194" s="6">
        <v>953.15374799999995</v>
      </c>
      <c r="AU194" s="4">
        <v>8.0000000000000002E-3</v>
      </c>
      <c r="AW194" s="4" t="s">
        <v>97</v>
      </c>
      <c r="AX194" s="4">
        <v>0.9</v>
      </c>
      <c r="AY194" s="4">
        <v>0.5</v>
      </c>
      <c r="AZ194" s="4">
        <v>0.6</v>
      </c>
      <c r="BA194" s="4">
        <v>0.31</v>
      </c>
      <c r="BB194" s="4">
        <v>995.67285200000003</v>
      </c>
      <c r="BC194" s="4">
        <v>5.0000000000000001E-3</v>
      </c>
      <c r="BD194" s="5"/>
      <c r="BE194" s="5"/>
      <c r="BF194" s="5"/>
      <c r="BG194" s="5"/>
      <c r="BI194" s="4" t="s">
        <v>97</v>
      </c>
      <c r="BJ194" s="4">
        <v>0.9</v>
      </c>
      <c r="BK194" s="4">
        <v>0.5</v>
      </c>
      <c r="BL194" s="4">
        <v>0.6</v>
      </c>
      <c r="BM194" s="4">
        <v>0.3</v>
      </c>
      <c r="BN194" s="6">
        <v>948.83935499999995</v>
      </c>
      <c r="BO194" s="4">
        <v>5.0000000000000001E-3</v>
      </c>
      <c r="BQ194" s="4" t="s">
        <v>97</v>
      </c>
      <c r="BR194" s="4">
        <v>0.9</v>
      </c>
      <c r="BS194" s="4">
        <v>0.5</v>
      </c>
      <c r="BT194" s="4">
        <v>0.6</v>
      </c>
      <c r="BU194" s="4">
        <v>0.32</v>
      </c>
      <c r="BV194" s="4">
        <v>990.84936500000003</v>
      </c>
      <c r="BW194" s="4">
        <v>8.0000000000000002E-3</v>
      </c>
      <c r="BX194" s="5"/>
      <c r="BY194" s="5"/>
      <c r="BZ194" s="5"/>
      <c r="CA194" s="5"/>
    </row>
    <row r="195" spans="1:79" x14ac:dyDescent="0.3">
      <c r="A195" s="4" t="s">
        <v>98</v>
      </c>
      <c r="B195" s="4">
        <v>0.9</v>
      </c>
      <c r="C195" s="4">
        <v>0.5</v>
      </c>
      <c r="D195" s="4">
        <v>0.6</v>
      </c>
      <c r="E195" s="4">
        <v>0.3</v>
      </c>
      <c r="F195" s="6">
        <v>488.36288500000001</v>
      </c>
      <c r="G195" s="4">
        <v>1E-3</v>
      </c>
      <c r="I195" s="4" t="s">
        <v>98</v>
      </c>
      <c r="J195" s="4">
        <v>0.9</v>
      </c>
      <c r="K195" s="4">
        <v>0.5</v>
      </c>
      <c r="L195" s="4">
        <v>0.6</v>
      </c>
      <c r="M195" s="4">
        <v>0.32</v>
      </c>
      <c r="N195" s="4">
        <v>501.096588</v>
      </c>
      <c r="O195" s="4">
        <v>1E-3</v>
      </c>
      <c r="P195" s="5"/>
      <c r="Q195" s="5"/>
      <c r="R195" s="5"/>
      <c r="S195" s="5"/>
      <c r="U195" s="4" t="s">
        <v>98</v>
      </c>
      <c r="V195" s="4">
        <v>0.9</v>
      </c>
      <c r="W195" s="4">
        <v>0.5</v>
      </c>
      <c r="X195" s="4">
        <v>0.6</v>
      </c>
      <c r="Y195" s="4">
        <v>0.3</v>
      </c>
      <c r="Z195" s="6">
        <v>479.87179600000002</v>
      </c>
      <c r="AA195" s="4">
        <v>1E-3</v>
      </c>
      <c r="AC195" s="4" t="s">
        <v>98</v>
      </c>
      <c r="AD195" s="4">
        <v>0.9</v>
      </c>
      <c r="AE195" s="4">
        <v>0.5</v>
      </c>
      <c r="AF195" s="4">
        <v>0.6</v>
      </c>
      <c r="AG195" s="4">
        <v>0.36</v>
      </c>
      <c r="AH195" s="4">
        <v>490.02441399999998</v>
      </c>
      <c r="AI195" s="4">
        <v>1E-3</v>
      </c>
      <c r="AJ195" s="5"/>
      <c r="AK195" s="5"/>
      <c r="AL195" s="5"/>
      <c r="AM195" s="5"/>
      <c r="AO195" s="4" t="s">
        <v>99</v>
      </c>
      <c r="AP195" s="4">
        <v>0.9</v>
      </c>
      <c r="AQ195" s="4">
        <v>0.5</v>
      </c>
      <c r="AR195" s="4">
        <v>0.6</v>
      </c>
      <c r="AS195" s="4">
        <v>0.3</v>
      </c>
      <c r="AT195" s="6">
        <v>925.23718299999996</v>
      </c>
      <c r="AU195" s="4">
        <v>6.0000000000000001E-3</v>
      </c>
      <c r="AW195" s="4" t="s">
        <v>99</v>
      </c>
      <c r="AX195" s="4">
        <v>0.9</v>
      </c>
      <c r="AY195" s="4">
        <v>0.5</v>
      </c>
      <c r="AZ195" s="4">
        <v>0.6</v>
      </c>
      <c r="BA195" s="4">
        <v>0.31</v>
      </c>
      <c r="BB195" s="4">
        <v>948.37786900000003</v>
      </c>
      <c r="BC195" s="4">
        <v>7.0000000000000001E-3</v>
      </c>
      <c r="BD195" s="5"/>
      <c r="BE195" s="5"/>
      <c r="BF195" s="5"/>
      <c r="BG195" s="5"/>
      <c r="BI195" s="4" t="s">
        <v>99</v>
      </c>
      <c r="BJ195" s="4">
        <v>0.9</v>
      </c>
      <c r="BK195" s="4">
        <v>0.5</v>
      </c>
      <c r="BL195" s="4">
        <v>0.6</v>
      </c>
      <c r="BM195" s="4">
        <v>0.3</v>
      </c>
      <c r="BN195" s="6">
        <v>927.92285200000003</v>
      </c>
      <c r="BO195" s="4">
        <v>5.0000000000000001E-3</v>
      </c>
      <c r="BQ195" s="4" t="s">
        <v>99</v>
      </c>
      <c r="BR195" s="4">
        <v>0.9</v>
      </c>
      <c r="BS195" s="4">
        <v>0.5</v>
      </c>
      <c r="BT195" s="4">
        <v>0.6</v>
      </c>
      <c r="BU195" s="4">
        <v>0.3</v>
      </c>
      <c r="BV195" s="4">
        <v>944.84509300000002</v>
      </c>
      <c r="BW195" s="4">
        <v>8.9999999999999993E-3</v>
      </c>
      <c r="BX195" s="5"/>
      <c r="BY195" s="5"/>
      <c r="BZ195" s="5"/>
      <c r="CA195" s="5"/>
    </row>
    <row r="196" spans="1:79" x14ac:dyDescent="0.3">
      <c r="A196" s="4" t="s">
        <v>100</v>
      </c>
      <c r="B196" s="4">
        <v>0.9</v>
      </c>
      <c r="C196" s="4">
        <v>0.5</v>
      </c>
      <c r="D196" s="4">
        <v>0.6</v>
      </c>
      <c r="E196" s="4">
        <v>0.3</v>
      </c>
      <c r="F196" s="6">
        <v>617.54785200000003</v>
      </c>
      <c r="G196" s="4">
        <v>2E-3</v>
      </c>
      <c r="I196" s="4" t="s">
        <v>100</v>
      </c>
      <c r="J196" s="4">
        <v>0.9</v>
      </c>
      <c r="K196" s="4">
        <v>0.5</v>
      </c>
      <c r="L196" s="4">
        <v>0.6</v>
      </c>
      <c r="M196" s="4">
        <v>0.3</v>
      </c>
      <c r="N196" s="4">
        <v>621.19030799999996</v>
      </c>
      <c r="O196" s="4">
        <v>1E-3</v>
      </c>
      <c r="P196" s="5"/>
      <c r="Q196" s="5"/>
      <c r="R196" s="5"/>
      <c r="S196" s="5"/>
      <c r="U196" s="4" t="s">
        <v>100</v>
      </c>
      <c r="V196" s="4">
        <v>0.9</v>
      </c>
      <c r="W196" s="4">
        <v>0.5</v>
      </c>
      <c r="X196" s="4">
        <v>0.6</v>
      </c>
      <c r="Y196" s="4">
        <v>0.3</v>
      </c>
      <c r="Z196" s="6">
        <v>617.07287599999995</v>
      </c>
      <c r="AA196" s="4">
        <v>2E-3</v>
      </c>
      <c r="AC196" s="4" t="s">
        <v>100</v>
      </c>
      <c r="AD196" s="4">
        <v>0.9</v>
      </c>
      <c r="AE196" s="4">
        <v>0.5</v>
      </c>
      <c r="AF196" s="4">
        <v>0.6</v>
      </c>
      <c r="AG196" s="4">
        <v>0.3</v>
      </c>
      <c r="AH196" s="4">
        <v>624.34954800000003</v>
      </c>
      <c r="AI196" s="4">
        <v>1E-3</v>
      </c>
      <c r="AJ196" s="5"/>
      <c r="AK196" s="5"/>
      <c r="AL196" s="5"/>
      <c r="AM196" s="5"/>
      <c r="AO196" s="4" t="s">
        <v>101</v>
      </c>
      <c r="AP196" s="4">
        <v>0.9</v>
      </c>
      <c r="AQ196" s="4">
        <v>0.5</v>
      </c>
      <c r="AR196" s="4">
        <v>0.6</v>
      </c>
      <c r="AS196" s="4">
        <v>0.3</v>
      </c>
      <c r="AT196" s="6">
        <v>818.27435300000002</v>
      </c>
      <c r="AU196" s="4">
        <v>8.9999999999999993E-3</v>
      </c>
      <c r="AW196" s="4" t="s">
        <v>101</v>
      </c>
      <c r="AX196" s="4">
        <v>0.9</v>
      </c>
      <c r="AY196" s="4">
        <v>0.5</v>
      </c>
      <c r="AZ196" s="4">
        <v>0.6</v>
      </c>
      <c r="BA196" s="4">
        <v>0.32</v>
      </c>
      <c r="BB196" s="4">
        <v>865.01776099999995</v>
      </c>
      <c r="BC196" s="4">
        <v>4.0000000000000001E-3</v>
      </c>
      <c r="BD196" s="5"/>
      <c r="BE196" s="5"/>
      <c r="BF196" s="5"/>
      <c r="BG196" s="5"/>
      <c r="BI196" s="4" t="s">
        <v>101</v>
      </c>
      <c r="BJ196" s="4">
        <v>0.9</v>
      </c>
      <c r="BK196" s="4">
        <v>0.5</v>
      </c>
      <c r="BL196" s="4">
        <v>0.6</v>
      </c>
      <c r="BM196" s="4">
        <v>0.3</v>
      </c>
      <c r="BN196" s="6">
        <v>823.20129399999996</v>
      </c>
      <c r="BO196" s="4">
        <v>5.0000000000000001E-3</v>
      </c>
      <c r="BQ196" s="4" t="s">
        <v>101</v>
      </c>
      <c r="BR196" s="4">
        <v>0.9</v>
      </c>
      <c r="BS196" s="4">
        <v>0.5</v>
      </c>
      <c r="BT196" s="4">
        <v>0.6</v>
      </c>
      <c r="BU196" s="4">
        <v>0.3</v>
      </c>
      <c r="BV196" s="4">
        <v>857.73065199999996</v>
      </c>
      <c r="BW196" s="4">
        <v>8.9999999999999993E-3</v>
      </c>
      <c r="BX196" s="5"/>
      <c r="BY196" s="5"/>
      <c r="BZ196" s="5"/>
      <c r="CA196" s="5"/>
    </row>
    <row r="197" spans="1:79" x14ac:dyDescent="0.3">
      <c r="A197" s="4" t="s">
        <v>102</v>
      </c>
      <c r="B197" s="4">
        <v>0.9</v>
      </c>
      <c r="C197" s="4">
        <v>0.5</v>
      </c>
      <c r="D197" s="4">
        <v>0.6</v>
      </c>
      <c r="E197" s="4">
        <v>0.3</v>
      </c>
      <c r="F197" s="6">
        <v>609.63830600000006</v>
      </c>
      <c r="G197" s="4">
        <v>1E-3</v>
      </c>
      <c r="I197" s="4" t="s">
        <v>102</v>
      </c>
      <c r="J197" s="4">
        <v>0.9</v>
      </c>
      <c r="K197" s="4">
        <v>0.5</v>
      </c>
      <c r="L197" s="4">
        <v>0.6</v>
      </c>
      <c r="M197" s="4">
        <v>0.42</v>
      </c>
      <c r="N197" s="4">
        <v>621.00225799999998</v>
      </c>
      <c r="O197" s="4">
        <v>1E-3</v>
      </c>
      <c r="P197" s="5"/>
      <c r="Q197" s="5"/>
      <c r="R197" s="5"/>
      <c r="S197" s="5"/>
      <c r="U197" s="4" t="s">
        <v>102</v>
      </c>
      <c r="V197" s="4">
        <v>0.9</v>
      </c>
      <c r="W197" s="4">
        <v>0.5</v>
      </c>
      <c r="X197" s="4">
        <v>0.6</v>
      </c>
      <c r="Y197" s="4">
        <v>0.3</v>
      </c>
      <c r="Z197" s="6">
        <v>615.96038799999997</v>
      </c>
      <c r="AA197" s="4">
        <v>1E-3</v>
      </c>
      <c r="AC197" s="4" t="s">
        <v>102</v>
      </c>
      <c r="AD197" s="4">
        <v>0.9</v>
      </c>
      <c r="AE197" s="4">
        <v>0.5</v>
      </c>
      <c r="AF197" s="4">
        <v>0.6</v>
      </c>
      <c r="AG197" s="4">
        <v>0.35</v>
      </c>
      <c r="AH197" s="4">
        <v>625.17913799999997</v>
      </c>
      <c r="AI197" s="4">
        <v>1E-3</v>
      </c>
      <c r="AJ197" s="5"/>
      <c r="AK197" s="5"/>
      <c r="AL197" s="5"/>
      <c r="AM197" s="5"/>
      <c r="AO197" s="4" t="s">
        <v>103</v>
      </c>
      <c r="AP197" s="4">
        <v>0.9</v>
      </c>
      <c r="AQ197" s="4">
        <v>0.5</v>
      </c>
      <c r="AR197" s="4">
        <v>0.6</v>
      </c>
      <c r="AS197" s="4">
        <v>0.3</v>
      </c>
      <c r="AT197" s="6">
        <v>871.10418700000002</v>
      </c>
      <c r="AU197" s="4">
        <v>6.0000000000000001E-3</v>
      </c>
      <c r="AW197" s="4" t="s">
        <v>103</v>
      </c>
      <c r="AX197" s="4">
        <v>0.9</v>
      </c>
      <c r="AY197" s="4">
        <v>0.5</v>
      </c>
      <c r="AZ197" s="4">
        <v>0.6</v>
      </c>
      <c r="BA197" s="4">
        <v>0.3</v>
      </c>
      <c r="BB197" s="4">
        <v>890.98584000000005</v>
      </c>
      <c r="BC197" s="4">
        <v>5.0000000000000001E-3</v>
      </c>
      <c r="BD197" s="5"/>
      <c r="BE197" s="5"/>
      <c r="BF197" s="5"/>
      <c r="BG197" s="5"/>
      <c r="BI197" s="4" t="s">
        <v>103</v>
      </c>
      <c r="BJ197" s="4">
        <v>0.9</v>
      </c>
      <c r="BK197" s="4">
        <v>0.5</v>
      </c>
      <c r="BL197" s="4">
        <v>0.6</v>
      </c>
      <c r="BM197" s="4">
        <v>0.3</v>
      </c>
      <c r="BN197" s="6">
        <v>873.35632299999997</v>
      </c>
      <c r="BO197" s="4">
        <v>4.0000000000000001E-3</v>
      </c>
      <c r="BQ197" s="4" t="s">
        <v>103</v>
      </c>
      <c r="BR197" s="4">
        <v>0.9</v>
      </c>
      <c r="BS197" s="4">
        <v>0.5</v>
      </c>
      <c r="BT197" s="4">
        <v>0.6</v>
      </c>
      <c r="BU197" s="4">
        <v>0.33</v>
      </c>
      <c r="BV197" s="4">
        <v>878.36749299999997</v>
      </c>
      <c r="BW197" s="4">
        <v>7.0000000000000001E-3</v>
      </c>
      <c r="BX197" s="5"/>
      <c r="BY197" s="5"/>
      <c r="BZ197" s="5"/>
      <c r="CA197" s="5"/>
    </row>
    <row r="198" spans="1:79" x14ac:dyDescent="0.3">
      <c r="A198" s="4" t="s">
        <v>104</v>
      </c>
      <c r="B198" s="4">
        <v>0.9</v>
      </c>
      <c r="C198" s="4">
        <v>0.5</v>
      </c>
      <c r="D198" s="4">
        <v>0.6</v>
      </c>
      <c r="E198" s="4">
        <v>0.3</v>
      </c>
      <c r="F198" s="6">
        <v>602.97442599999999</v>
      </c>
      <c r="G198" s="4">
        <v>2E-3</v>
      </c>
      <c r="I198" s="4" t="s">
        <v>104</v>
      </c>
      <c r="J198" s="4">
        <v>0.9</v>
      </c>
      <c r="K198" s="4">
        <v>0.5</v>
      </c>
      <c r="L198" s="4">
        <v>0.6</v>
      </c>
      <c r="M198" s="4">
        <v>0.36</v>
      </c>
      <c r="N198" s="4">
        <v>611.07507299999997</v>
      </c>
      <c r="O198" s="4">
        <v>1E-3</v>
      </c>
      <c r="P198" s="5"/>
      <c r="Q198" s="5"/>
      <c r="R198" s="5"/>
      <c r="S198" s="5"/>
      <c r="U198" s="4" t="s">
        <v>104</v>
      </c>
      <c r="V198" s="4">
        <v>0.9</v>
      </c>
      <c r="W198" s="4">
        <v>0.5</v>
      </c>
      <c r="X198" s="4">
        <v>0.6</v>
      </c>
      <c r="Y198" s="4">
        <v>0.3</v>
      </c>
      <c r="Z198" s="6">
        <v>593.96154799999999</v>
      </c>
      <c r="AA198" s="4">
        <v>1E-3</v>
      </c>
      <c r="AC198" s="4" t="s">
        <v>104</v>
      </c>
      <c r="AD198" s="4">
        <v>0.9</v>
      </c>
      <c r="AE198" s="4">
        <v>0.5</v>
      </c>
      <c r="AF198" s="4">
        <v>0.6</v>
      </c>
      <c r="AG198" s="4">
        <v>0.32</v>
      </c>
      <c r="AH198" s="4">
        <v>618.05316200000004</v>
      </c>
      <c r="AI198" s="4">
        <v>1E-3</v>
      </c>
      <c r="AJ198" s="5"/>
      <c r="AK198" s="5"/>
      <c r="AL198" s="5"/>
      <c r="AM198" s="5"/>
      <c r="AO198" s="4" t="s">
        <v>105</v>
      </c>
      <c r="AP198" s="4">
        <v>0.9</v>
      </c>
      <c r="AQ198" s="4">
        <v>0.5</v>
      </c>
      <c r="AR198" s="4">
        <v>0.6</v>
      </c>
      <c r="AS198" s="4">
        <v>0.3</v>
      </c>
      <c r="AT198" s="6">
        <v>955.95324700000003</v>
      </c>
      <c r="AU198" s="4">
        <v>8.9999999999999993E-3</v>
      </c>
      <c r="AW198" s="4" t="s">
        <v>105</v>
      </c>
      <c r="AX198" s="4">
        <v>0.9</v>
      </c>
      <c r="AY198" s="4">
        <v>0.5</v>
      </c>
      <c r="AZ198" s="4">
        <v>0.6</v>
      </c>
      <c r="BA198" s="4">
        <v>0.33</v>
      </c>
      <c r="BB198" s="4">
        <v>1001.615112</v>
      </c>
      <c r="BC198" s="4">
        <v>5.0000000000000001E-3</v>
      </c>
      <c r="BD198" s="5"/>
      <c r="BE198" s="5"/>
      <c r="BF198" s="5"/>
      <c r="BG198" s="5"/>
      <c r="BI198" s="4" t="s">
        <v>105</v>
      </c>
      <c r="BJ198" s="4">
        <v>0.9</v>
      </c>
      <c r="BK198" s="4">
        <v>0.5</v>
      </c>
      <c r="BL198" s="4">
        <v>0.6</v>
      </c>
      <c r="BM198" s="4">
        <v>0.3</v>
      </c>
      <c r="BN198" s="6">
        <v>970.43884300000002</v>
      </c>
      <c r="BO198" s="4">
        <v>8.0000000000000002E-3</v>
      </c>
      <c r="BQ198" s="4" t="s">
        <v>105</v>
      </c>
      <c r="BR198" s="4">
        <v>0.9</v>
      </c>
      <c r="BS198" s="4">
        <v>0.5</v>
      </c>
      <c r="BT198" s="4">
        <v>0.6</v>
      </c>
      <c r="BU198" s="4">
        <v>0.32</v>
      </c>
      <c r="BV198" s="4">
        <v>1013.7323</v>
      </c>
      <c r="BW198" s="4">
        <v>8.0000000000000002E-3</v>
      </c>
      <c r="BX198" s="5"/>
      <c r="BY198" s="5"/>
      <c r="BZ198" s="5"/>
      <c r="CA198" s="5"/>
    </row>
    <row r="199" spans="1:79" x14ac:dyDescent="0.3">
      <c r="A199" s="4" t="s">
        <v>106</v>
      </c>
      <c r="B199" s="4">
        <v>0.9</v>
      </c>
      <c r="C199" s="4">
        <v>0.5</v>
      </c>
      <c r="D199" s="4">
        <v>0.6</v>
      </c>
      <c r="E199" s="4">
        <v>0.3</v>
      </c>
      <c r="F199" s="6">
        <v>558.839966</v>
      </c>
      <c r="G199" s="4">
        <v>1E-3</v>
      </c>
      <c r="I199" s="4" t="s">
        <v>106</v>
      </c>
      <c r="J199" s="4">
        <v>0.9</v>
      </c>
      <c r="K199" s="4">
        <v>0.5</v>
      </c>
      <c r="L199" s="4">
        <v>0.6</v>
      </c>
      <c r="M199" s="4">
        <v>0.36</v>
      </c>
      <c r="N199" s="4">
        <v>569.10693400000002</v>
      </c>
      <c r="O199" s="4">
        <v>1E-3</v>
      </c>
      <c r="P199" s="5"/>
      <c r="Q199" s="5"/>
      <c r="R199" s="5"/>
      <c r="S199" s="5"/>
      <c r="U199" s="4" t="s">
        <v>106</v>
      </c>
      <c r="V199" s="4">
        <v>0.9</v>
      </c>
      <c r="W199" s="4">
        <v>0.5</v>
      </c>
      <c r="X199" s="4">
        <v>0.6</v>
      </c>
      <c r="Y199" s="4">
        <v>0.3</v>
      </c>
      <c r="Z199" s="6">
        <v>557.47955300000001</v>
      </c>
      <c r="AA199" s="4">
        <v>1E-3</v>
      </c>
      <c r="AC199" s="4" t="s">
        <v>106</v>
      </c>
      <c r="AD199" s="4">
        <v>0.9</v>
      </c>
      <c r="AE199" s="4">
        <v>0.5</v>
      </c>
      <c r="AF199" s="4">
        <v>0.6</v>
      </c>
      <c r="AG199" s="4">
        <v>0.31</v>
      </c>
      <c r="AH199" s="4">
        <v>565.73449700000003</v>
      </c>
      <c r="AI199" s="4">
        <v>1E-3</v>
      </c>
      <c r="AJ199" s="5"/>
      <c r="AK199" s="5"/>
      <c r="AL199" s="5"/>
      <c r="AM199" s="5"/>
      <c r="AO199" s="4" t="s">
        <v>107</v>
      </c>
      <c r="AP199" s="4">
        <v>0.9</v>
      </c>
      <c r="AQ199" s="4">
        <v>0.5</v>
      </c>
      <c r="AR199" s="4">
        <v>0.6</v>
      </c>
      <c r="AS199" s="4">
        <v>0.3</v>
      </c>
      <c r="AT199" s="6">
        <v>1041.149658</v>
      </c>
      <c r="AU199" s="4">
        <v>8.0000000000000002E-3</v>
      </c>
      <c r="AW199" s="4" t="s">
        <v>107</v>
      </c>
      <c r="AX199" s="4">
        <v>0.9</v>
      </c>
      <c r="AY199" s="4">
        <v>0.5</v>
      </c>
      <c r="AZ199" s="4">
        <v>0.6</v>
      </c>
      <c r="BA199" s="4">
        <v>0.31</v>
      </c>
      <c r="BB199" s="4">
        <v>1055.0595699999999</v>
      </c>
      <c r="BC199" s="4">
        <v>7.0000000000000001E-3</v>
      </c>
      <c r="BD199" s="5"/>
      <c r="BE199" s="5"/>
      <c r="BF199" s="5"/>
      <c r="BG199" s="5"/>
      <c r="BI199" s="4" t="s">
        <v>107</v>
      </c>
      <c r="BJ199" s="4">
        <v>0.9</v>
      </c>
      <c r="BK199" s="4">
        <v>0.5</v>
      </c>
      <c r="BL199" s="4">
        <v>0.6</v>
      </c>
      <c r="BM199" s="4">
        <v>0.3</v>
      </c>
      <c r="BN199" s="6">
        <v>1027.6942140000001</v>
      </c>
      <c r="BO199" s="4">
        <v>5.0000000000000001E-3</v>
      </c>
      <c r="BQ199" s="4" t="s">
        <v>107</v>
      </c>
      <c r="BR199" s="4">
        <v>0.9</v>
      </c>
      <c r="BS199" s="4">
        <v>0.5</v>
      </c>
      <c r="BT199" s="4">
        <v>0.6</v>
      </c>
      <c r="BU199" s="4">
        <v>0.31</v>
      </c>
      <c r="BV199" s="4">
        <v>1069.0131839999999</v>
      </c>
      <c r="BW199" s="4">
        <v>7.0000000000000001E-3</v>
      </c>
      <c r="BX199" s="5"/>
      <c r="BY199" s="5"/>
      <c r="BZ199" s="5"/>
      <c r="CA199" s="5"/>
    </row>
    <row r="200" spans="1:79" x14ac:dyDescent="0.3">
      <c r="A200" s="4" t="s">
        <v>108</v>
      </c>
      <c r="B200" s="4">
        <v>0.9</v>
      </c>
      <c r="C200" s="4">
        <v>0.5</v>
      </c>
      <c r="D200" s="4">
        <v>0.6</v>
      </c>
      <c r="E200" s="4">
        <v>0.3</v>
      </c>
      <c r="F200" s="6">
        <v>605.77020300000004</v>
      </c>
      <c r="G200" s="4">
        <v>1E-3</v>
      </c>
      <c r="I200" s="4" t="s">
        <v>108</v>
      </c>
      <c r="J200" s="4">
        <v>0.9</v>
      </c>
      <c r="K200" s="4">
        <v>0.5</v>
      </c>
      <c r="L200" s="4">
        <v>0.6</v>
      </c>
      <c r="M200" s="4">
        <v>0.45</v>
      </c>
      <c r="N200" s="4">
        <v>616.53454599999998</v>
      </c>
      <c r="O200" s="4">
        <v>1E-3</v>
      </c>
      <c r="P200" s="5"/>
      <c r="Q200" s="5"/>
      <c r="R200" s="5"/>
      <c r="S200" s="5"/>
      <c r="U200" s="4" t="s">
        <v>108</v>
      </c>
      <c r="V200" s="4">
        <v>0.9</v>
      </c>
      <c r="W200" s="4">
        <v>0.5</v>
      </c>
      <c r="X200" s="4">
        <v>0.6</v>
      </c>
      <c r="Y200" s="4">
        <v>0.3</v>
      </c>
      <c r="Z200" s="4">
        <v>595.51824999999997</v>
      </c>
      <c r="AA200" s="4">
        <v>1E-3</v>
      </c>
      <c r="AC200" s="4" t="s">
        <v>108</v>
      </c>
      <c r="AD200" s="4">
        <v>0.9</v>
      </c>
      <c r="AE200" s="4">
        <v>0.5</v>
      </c>
      <c r="AF200" s="4">
        <v>0.6</v>
      </c>
      <c r="AG200" s="4">
        <v>0.44</v>
      </c>
      <c r="AH200" s="6">
        <v>590.64221199999997</v>
      </c>
      <c r="AI200" s="4">
        <v>1E-3</v>
      </c>
      <c r="AJ200" s="5"/>
      <c r="AK200" s="5"/>
      <c r="AL200" s="5"/>
      <c r="AM200" s="5"/>
      <c r="AO200" s="4" t="s">
        <v>109</v>
      </c>
      <c r="AP200" s="4">
        <v>0.9</v>
      </c>
      <c r="AQ200" s="4">
        <v>0.5</v>
      </c>
      <c r="AR200" s="4">
        <v>0.6</v>
      </c>
      <c r="AS200" s="4">
        <v>0.3</v>
      </c>
      <c r="AT200" s="6">
        <v>887.81640600000003</v>
      </c>
      <c r="AU200" s="4">
        <v>6.0000000000000001E-3</v>
      </c>
      <c r="AW200" s="4" t="s">
        <v>109</v>
      </c>
      <c r="AX200" s="4">
        <v>0.9</v>
      </c>
      <c r="AY200" s="4">
        <v>0.5</v>
      </c>
      <c r="AZ200" s="4">
        <v>0.6</v>
      </c>
      <c r="BA200" s="4">
        <v>0.3</v>
      </c>
      <c r="BB200" s="4">
        <v>899.44390899999996</v>
      </c>
      <c r="BC200" s="4">
        <v>6.7000000000000004E-2</v>
      </c>
      <c r="BD200" s="5"/>
      <c r="BE200" s="5"/>
      <c r="BF200" s="5"/>
      <c r="BG200" s="5"/>
      <c r="BI200" s="4" t="s">
        <v>109</v>
      </c>
      <c r="BJ200" s="4">
        <v>0.9</v>
      </c>
      <c r="BK200" s="4">
        <v>0.5</v>
      </c>
      <c r="BL200" s="4">
        <v>0.6</v>
      </c>
      <c r="BM200" s="4">
        <v>0.3</v>
      </c>
      <c r="BN200" s="6">
        <v>903.18322799999999</v>
      </c>
      <c r="BO200" s="4">
        <v>5.0000000000000001E-3</v>
      </c>
      <c r="BQ200" s="4" t="s">
        <v>109</v>
      </c>
      <c r="BR200" s="4">
        <v>0.9</v>
      </c>
      <c r="BS200" s="4">
        <v>0.5</v>
      </c>
      <c r="BT200" s="4">
        <v>0.6</v>
      </c>
      <c r="BU200" s="4">
        <v>0.32</v>
      </c>
      <c r="BV200" s="4">
        <v>932.87847899999997</v>
      </c>
      <c r="BW200" s="4">
        <v>7.0000000000000001E-3</v>
      </c>
      <c r="BX200" s="5"/>
      <c r="BY200" s="5"/>
      <c r="BZ200" s="5"/>
      <c r="CA200" s="5"/>
    </row>
    <row r="201" spans="1:79" x14ac:dyDescent="0.3">
      <c r="A201" s="4" t="s">
        <v>110</v>
      </c>
      <c r="B201" s="4">
        <v>0.9</v>
      </c>
      <c r="C201" s="4">
        <v>0.5</v>
      </c>
      <c r="D201" s="4">
        <v>0.6</v>
      </c>
      <c r="E201" s="4">
        <v>0.3</v>
      </c>
      <c r="F201" s="6">
        <v>603.15508999999997</v>
      </c>
      <c r="G201" s="4">
        <v>1E-3</v>
      </c>
      <c r="I201" s="4" t="s">
        <v>110</v>
      </c>
      <c r="J201" s="4">
        <v>0.9</v>
      </c>
      <c r="K201" s="4">
        <v>0.5</v>
      </c>
      <c r="L201" s="4">
        <v>0.6</v>
      </c>
      <c r="M201" s="4">
        <v>0.39</v>
      </c>
      <c r="N201" s="4">
        <v>608.02533000000005</v>
      </c>
      <c r="O201" s="4">
        <v>1E-3</v>
      </c>
      <c r="P201" s="5"/>
      <c r="Q201" s="5"/>
      <c r="R201" s="5"/>
      <c r="S201" s="5"/>
      <c r="U201" s="4" t="s">
        <v>110</v>
      </c>
      <c r="V201" s="4">
        <v>0.9</v>
      </c>
      <c r="W201" s="4">
        <v>0.5</v>
      </c>
      <c r="X201" s="4">
        <v>0.6</v>
      </c>
      <c r="Y201" s="4">
        <v>0.3</v>
      </c>
      <c r="Z201" s="6">
        <v>592.05535899999995</v>
      </c>
      <c r="AA201" s="4">
        <v>1E-3</v>
      </c>
      <c r="AC201" s="4" t="s">
        <v>110</v>
      </c>
      <c r="AD201" s="4">
        <v>0.9</v>
      </c>
      <c r="AE201" s="4">
        <v>0.5</v>
      </c>
      <c r="AF201" s="4">
        <v>0.6</v>
      </c>
      <c r="AG201" s="4">
        <v>0.3</v>
      </c>
      <c r="AH201" s="4">
        <v>608.77398700000003</v>
      </c>
      <c r="AI201" s="4">
        <v>1E-3</v>
      </c>
      <c r="AJ201" s="5"/>
      <c r="AK201" s="5"/>
      <c r="AL201" s="5"/>
      <c r="AM201" s="5"/>
      <c r="AO201" s="4" t="s">
        <v>111</v>
      </c>
      <c r="AP201" s="4">
        <v>0.9</v>
      </c>
      <c r="AQ201" s="4">
        <v>0.5</v>
      </c>
      <c r="AR201" s="4">
        <v>0.6</v>
      </c>
      <c r="AS201" s="4">
        <v>0.3</v>
      </c>
      <c r="AT201" s="6">
        <v>995.270081</v>
      </c>
      <c r="AU201" s="4">
        <v>8.9999999999999993E-3</v>
      </c>
      <c r="AW201" s="4" t="s">
        <v>111</v>
      </c>
      <c r="AX201" s="4">
        <v>0.9</v>
      </c>
      <c r="AY201" s="4">
        <v>0.5</v>
      </c>
      <c r="AZ201" s="4">
        <v>0.6</v>
      </c>
      <c r="BA201" s="4">
        <v>0.32</v>
      </c>
      <c r="BB201" s="4">
        <v>1034.003418</v>
      </c>
      <c r="BC201" s="4">
        <v>5.0000000000000001E-3</v>
      </c>
      <c r="BD201" s="5"/>
      <c r="BE201" s="5"/>
      <c r="BF201" s="5"/>
      <c r="BG201" s="5"/>
      <c r="BI201" s="4" t="s">
        <v>111</v>
      </c>
      <c r="BJ201" s="4">
        <v>0.9</v>
      </c>
      <c r="BK201" s="4">
        <v>0.5</v>
      </c>
      <c r="BL201" s="4">
        <v>0.6</v>
      </c>
      <c r="BM201" s="4">
        <v>0.3</v>
      </c>
      <c r="BN201" s="6">
        <v>996.55578600000001</v>
      </c>
      <c r="BO201" s="4">
        <v>5.0000000000000001E-3</v>
      </c>
      <c r="BQ201" s="4" t="s">
        <v>111</v>
      </c>
      <c r="BR201" s="4">
        <v>0.9</v>
      </c>
      <c r="BS201" s="4">
        <v>0.5</v>
      </c>
      <c r="BT201" s="4">
        <v>0.6</v>
      </c>
      <c r="BU201" s="4">
        <v>0.31</v>
      </c>
      <c r="BV201" s="4">
        <v>1025.9023440000001</v>
      </c>
      <c r="BW201" s="4">
        <v>8.0000000000000002E-3</v>
      </c>
      <c r="BX201" s="5"/>
      <c r="BY201" s="5"/>
      <c r="BZ201" s="5"/>
      <c r="CA201" s="5"/>
    </row>
    <row r="202" spans="1:79" x14ac:dyDescent="0.3">
      <c r="A202" s="4" t="s">
        <v>112</v>
      </c>
      <c r="B202" s="4">
        <v>0.9</v>
      </c>
      <c r="C202" s="4">
        <v>0.5</v>
      </c>
      <c r="D202" s="4">
        <v>0.6</v>
      </c>
      <c r="E202" s="4">
        <v>0.3</v>
      </c>
      <c r="F202" s="6">
        <v>473.782532</v>
      </c>
      <c r="G202" s="4">
        <v>1E-3</v>
      </c>
      <c r="I202" s="4" t="s">
        <v>112</v>
      </c>
      <c r="J202" s="4">
        <v>0.9</v>
      </c>
      <c r="K202" s="4">
        <v>0.5</v>
      </c>
      <c r="L202" s="4">
        <v>0.6</v>
      </c>
      <c r="M202" s="4">
        <v>0.33</v>
      </c>
      <c r="N202" s="4">
        <v>485.53790300000003</v>
      </c>
      <c r="O202" s="4">
        <v>1E-3</v>
      </c>
      <c r="P202" s="5"/>
      <c r="Q202" s="5"/>
      <c r="R202" s="5"/>
      <c r="S202" s="5"/>
      <c r="U202" s="4" t="s">
        <v>112</v>
      </c>
      <c r="V202" s="4">
        <v>0.9</v>
      </c>
      <c r="W202" s="4">
        <v>0.5</v>
      </c>
      <c r="X202" s="4">
        <v>0.6</v>
      </c>
      <c r="Y202" s="4">
        <v>0.3</v>
      </c>
      <c r="Z202" s="4">
        <v>462.56518599999998</v>
      </c>
      <c r="AA202" s="4">
        <v>0</v>
      </c>
      <c r="AC202" s="4" t="s">
        <v>112</v>
      </c>
      <c r="AD202" s="4">
        <v>0.9</v>
      </c>
      <c r="AE202" s="4">
        <v>0.5</v>
      </c>
      <c r="AF202" s="4">
        <v>0.6</v>
      </c>
      <c r="AG202" s="4">
        <v>0.46</v>
      </c>
      <c r="AH202" s="4">
        <v>465.01599099999999</v>
      </c>
      <c r="AI202" s="4">
        <v>0</v>
      </c>
      <c r="AJ202" s="5"/>
      <c r="AK202" s="5"/>
      <c r="AL202" s="5"/>
      <c r="AM202" s="5"/>
      <c r="AO202" s="4" t="s">
        <v>113</v>
      </c>
      <c r="AP202" s="4">
        <v>0.9</v>
      </c>
      <c r="AQ202" s="4">
        <v>0.5</v>
      </c>
      <c r="AR202" s="4">
        <v>0.6</v>
      </c>
      <c r="AS202" s="4">
        <v>0.3</v>
      </c>
      <c r="AT202" s="6">
        <v>897.05621299999996</v>
      </c>
      <c r="AU202" s="4">
        <v>5.0000000000000001E-3</v>
      </c>
      <c r="AW202" s="4" t="s">
        <v>113</v>
      </c>
      <c r="AX202" s="4">
        <v>0.9</v>
      </c>
      <c r="AY202" s="4">
        <v>0.5</v>
      </c>
      <c r="AZ202" s="4">
        <v>0.6</v>
      </c>
      <c r="BA202" s="4">
        <v>0.3</v>
      </c>
      <c r="BB202" s="4">
        <v>935.31433100000004</v>
      </c>
      <c r="BC202" s="4">
        <v>8.0000000000000002E-3</v>
      </c>
      <c r="BD202" s="5"/>
      <c r="BE202" s="5"/>
      <c r="BF202" s="5"/>
      <c r="BG202" s="5"/>
      <c r="BI202" s="4" t="s">
        <v>113</v>
      </c>
      <c r="BJ202" s="4">
        <v>0.9</v>
      </c>
      <c r="BK202" s="4">
        <v>0.5</v>
      </c>
      <c r="BL202" s="4">
        <v>0.6</v>
      </c>
      <c r="BM202" s="4">
        <v>0.3</v>
      </c>
      <c r="BN202" s="6">
        <v>921.22875999999997</v>
      </c>
      <c r="BO202" s="4">
        <v>4.0000000000000001E-3</v>
      </c>
      <c r="BQ202" s="4" t="s">
        <v>113</v>
      </c>
      <c r="BR202" s="4">
        <v>0.9</v>
      </c>
      <c r="BS202" s="4">
        <v>0.5</v>
      </c>
      <c r="BT202" s="4">
        <v>0.6</v>
      </c>
      <c r="BU202" s="4">
        <v>0.31</v>
      </c>
      <c r="BV202" s="4">
        <v>936.152649</v>
      </c>
      <c r="BW202" s="4">
        <v>8.0000000000000002E-3</v>
      </c>
      <c r="BX202" s="5"/>
      <c r="BY202" s="5"/>
      <c r="BZ202" s="5"/>
      <c r="CA202" s="5"/>
    </row>
    <row r="203" spans="1:79" x14ac:dyDescent="0.3">
      <c r="A203" s="4" t="s">
        <v>114</v>
      </c>
      <c r="B203" s="4">
        <v>0.9</v>
      </c>
      <c r="C203" s="4">
        <v>0.5</v>
      </c>
      <c r="D203" s="4">
        <v>0.6</v>
      </c>
      <c r="E203" s="4">
        <v>0.3</v>
      </c>
      <c r="F203" s="6">
        <v>602.31042500000001</v>
      </c>
      <c r="G203" s="4">
        <v>1E-3</v>
      </c>
      <c r="I203" s="4" t="s">
        <v>114</v>
      </c>
      <c r="J203" s="4">
        <v>0.9</v>
      </c>
      <c r="K203" s="4">
        <v>0.5</v>
      </c>
      <c r="L203" s="4">
        <v>0.6</v>
      </c>
      <c r="M203" s="4">
        <v>0.31</v>
      </c>
      <c r="N203" s="4">
        <v>604.51617399999998</v>
      </c>
      <c r="O203" s="4">
        <v>1E-3</v>
      </c>
      <c r="P203" s="5"/>
      <c r="Q203" s="5"/>
      <c r="R203" s="5"/>
      <c r="S203" s="5"/>
      <c r="U203" s="4" t="s">
        <v>114</v>
      </c>
      <c r="V203" s="4">
        <v>0.9</v>
      </c>
      <c r="W203" s="4">
        <v>0.5</v>
      </c>
      <c r="X203" s="4">
        <v>0.6</v>
      </c>
      <c r="Y203" s="4">
        <v>0.3</v>
      </c>
      <c r="Z203" s="6">
        <v>590.68158000000005</v>
      </c>
      <c r="AA203" s="4">
        <v>2E-3</v>
      </c>
      <c r="AC203" s="4" t="s">
        <v>114</v>
      </c>
      <c r="AD203" s="4">
        <v>0.9</v>
      </c>
      <c r="AE203" s="4">
        <v>0.5</v>
      </c>
      <c r="AF203" s="4">
        <v>0.6</v>
      </c>
      <c r="AG203" s="4">
        <v>0.3</v>
      </c>
      <c r="AH203" s="4">
        <v>603.61676</v>
      </c>
      <c r="AI203" s="4">
        <v>1E-3</v>
      </c>
      <c r="AJ203" s="5"/>
      <c r="AK203" s="5"/>
      <c r="AL203" s="5"/>
      <c r="AM203" s="5"/>
      <c r="AO203" s="4" t="s">
        <v>115</v>
      </c>
      <c r="AP203" s="4">
        <v>0.9</v>
      </c>
      <c r="AQ203" s="4">
        <v>0.5</v>
      </c>
      <c r="AR203" s="4">
        <v>0.6</v>
      </c>
      <c r="AS203" s="4">
        <v>0.3</v>
      </c>
      <c r="AT203" s="6">
        <v>1016.844543</v>
      </c>
      <c r="AU203" s="4">
        <v>1.4E-2</v>
      </c>
      <c r="AW203" s="4" t="s">
        <v>115</v>
      </c>
      <c r="AX203" s="4">
        <v>0.9</v>
      </c>
      <c r="AY203" s="4">
        <v>0.5</v>
      </c>
      <c r="AZ203" s="4">
        <v>0.6</v>
      </c>
      <c r="BA203" s="4">
        <v>0.31</v>
      </c>
      <c r="BB203" s="4">
        <v>1055.8446039999999</v>
      </c>
      <c r="BC203" s="4">
        <v>8.0000000000000002E-3</v>
      </c>
      <c r="BD203" s="5"/>
      <c r="BE203" s="5"/>
      <c r="BF203" s="5"/>
      <c r="BG203" s="5"/>
      <c r="BI203" s="4" t="s">
        <v>115</v>
      </c>
      <c r="BJ203" s="4">
        <v>0.9</v>
      </c>
      <c r="BK203" s="4">
        <v>0.5</v>
      </c>
      <c r="BL203" s="4">
        <v>0.6</v>
      </c>
      <c r="BM203" s="4">
        <v>0.3</v>
      </c>
      <c r="BN203" s="6">
        <v>1031.8939210000001</v>
      </c>
      <c r="BO203" s="4">
        <v>7.0000000000000001E-3</v>
      </c>
      <c r="BQ203" s="4" t="s">
        <v>115</v>
      </c>
      <c r="BR203" s="4">
        <v>0.9</v>
      </c>
      <c r="BS203" s="4">
        <v>0.5</v>
      </c>
      <c r="BT203" s="4">
        <v>0.6</v>
      </c>
      <c r="BU203" s="4">
        <v>0.33</v>
      </c>
      <c r="BV203" s="4">
        <v>1064.889038</v>
      </c>
      <c r="BW203" s="4">
        <v>8.0000000000000002E-3</v>
      </c>
      <c r="BX203" s="5"/>
      <c r="BY203" s="5"/>
      <c r="BZ203" s="5"/>
      <c r="CA203" s="5"/>
    </row>
    <row r="204" spans="1:79" x14ac:dyDescent="0.3">
      <c r="A204" s="4" t="s">
        <v>116</v>
      </c>
      <c r="B204" s="4">
        <v>0.9</v>
      </c>
      <c r="C204" s="4">
        <v>0.5</v>
      </c>
      <c r="D204" s="4">
        <v>0.6</v>
      </c>
      <c r="E204" s="4">
        <v>0.3</v>
      </c>
      <c r="F204" s="6">
        <v>644.91931199999999</v>
      </c>
      <c r="G204" s="4">
        <v>1E-3</v>
      </c>
      <c r="I204" s="4" t="s">
        <v>116</v>
      </c>
      <c r="J204" s="4">
        <v>0.9</v>
      </c>
      <c r="K204" s="4">
        <v>0.5</v>
      </c>
      <c r="L204" s="4">
        <v>0.6</v>
      </c>
      <c r="M204" s="4">
        <v>0.3</v>
      </c>
      <c r="N204" s="4">
        <v>649.48010299999999</v>
      </c>
      <c r="O204" s="4">
        <v>1E-3</v>
      </c>
      <c r="P204" s="5"/>
      <c r="Q204" s="5"/>
      <c r="R204" s="5"/>
      <c r="S204" s="5"/>
      <c r="U204" s="4" t="s">
        <v>116</v>
      </c>
      <c r="V204" s="4">
        <v>0.9</v>
      </c>
      <c r="W204" s="4">
        <v>0.5</v>
      </c>
      <c r="X204" s="4">
        <v>0.6</v>
      </c>
      <c r="Y204" s="4">
        <v>0.3</v>
      </c>
      <c r="Z204" s="6">
        <v>643.04742399999998</v>
      </c>
      <c r="AA204" s="4">
        <v>1E-3</v>
      </c>
      <c r="AC204" s="4" t="s">
        <v>116</v>
      </c>
      <c r="AD204" s="4">
        <v>0.9</v>
      </c>
      <c r="AE204" s="4">
        <v>0.5</v>
      </c>
      <c r="AF204" s="4">
        <v>0.6</v>
      </c>
      <c r="AG204" s="4">
        <v>0.3</v>
      </c>
      <c r="AH204" s="4">
        <v>650.02648899999997</v>
      </c>
      <c r="AI204" s="4">
        <v>1E-3</v>
      </c>
      <c r="AJ204" s="5"/>
      <c r="AK204" s="5"/>
      <c r="AL204" s="5"/>
      <c r="AM204" s="5"/>
      <c r="AO204" s="4" t="s">
        <v>117</v>
      </c>
      <c r="AP204" s="4">
        <v>0.9</v>
      </c>
      <c r="AQ204" s="4">
        <v>0.5</v>
      </c>
      <c r="AR204" s="4">
        <v>0.6</v>
      </c>
      <c r="AS204" s="4">
        <v>0.3</v>
      </c>
      <c r="AT204" s="6">
        <v>972.33142099999998</v>
      </c>
      <c r="AU204" s="4">
        <v>5.0000000000000001E-3</v>
      </c>
      <c r="AW204" s="4" t="s">
        <v>117</v>
      </c>
      <c r="AX204" s="4">
        <v>0.9</v>
      </c>
      <c r="AY204" s="4">
        <v>0.5</v>
      </c>
      <c r="AZ204" s="4">
        <v>0.6</v>
      </c>
      <c r="BA204" s="4">
        <v>0.3</v>
      </c>
      <c r="BB204" s="4">
        <v>1008.569885</v>
      </c>
      <c r="BC204" s="4">
        <v>8.9999999999999993E-3</v>
      </c>
      <c r="BD204" s="5"/>
      <c r="BE204" s="5"/>
      <c r="BF204" s="5"/>
      <c r="BG204" s="5"/>
      <c r="BI204" s="4" t="s">
        <v>117</v>
      </c>
      <c r="BJ204" s="4">
        <v>0.9</v>
      </c>
      <c r="BK204" s="4">
        <v>0.5</v>
      </c>
      <c r="BL204" s="4">
        <v>0.6</v>
      </c>
      <c r="BM204" s="4">
        <v>0.3</v>
      </c>
      <c r="BN204" s="6">
        <v>969.48944100000006</v>
      </c>
      <c r="BO204" s="4">
        <v>5.0000000000000001E-3</v>
      </c>
      <c r="BQ204" s="4" t="s">
        <v>117</v>
      </c>
      <c r="BR204" s="4">
        <v>0.9</v>
      </c>
      <c r="BS204" s="4">
        <v>0.5</v>
      </c>
      <c r="BT204" s="4">
        <v>0.6</v>
      </c>
      <c r="BU204" s="4">
        <v>0.31</v>
      </c>
      <c r="BV204" s="4">
        <v>1010.422791</v>
      </c>
      <c r="BW204" s="4">
        <v>8.0000000000000002E-3</v>
      </c>
      <c r="BX204" s="5"/>
      <c r="BY204" s="5"/>
      <c r="BZ204" s="5"/>
      <c r="CA204" s="5"/>
    </row>
    <row r="205" spans="1:79" x14ac:dyDescent="0.3">
      <c r="A205" s="4" t="s">
        <v>118</v>
      </c>
      <c r="B205" s="4">
        <v>0.9</v>
      </c>
      <c r="C205" s="4">
        <v>0.5</v>
      </c>
      <c r="D205" s="4">
        <v>0.6</v>
      </c>
      <c r="E205" s="4">
        <v>0.3</v>
      </c>
      <c r="F205" s="6">
        <v>571.61261000000002</v>
      </c>
      <c r="G205" s="4">
        <v>2E-3</v>
      </c>
      <c r="I205" s="4" t="s">
        <v>118</v>
      </c>
      <c r="J205" s="4">
        <v>0.9</v>
      </c>
      <c r="K205" s="4">
        <v>0.5</v>
      </c>
      <c r="L205" s="4">
        <v>0.6</v>
      </c>
      <c r="M205" s="4">
        <v>0.32</v>
      </c>
      <c r="N205" s="4">
        <v>590.42388900000003</v>
      </c>
      <c r="O205" s="4">
        <v>1E-3</v>
      </c>
      <c r="P205" s="5"/>
      <c r="Q205" s="5"/>
      <c r="R205" s="5"/>
      <c r="S205" s="5"/>
      <c r="U205" s="4" t="s">
        <v>118</v>
      </c>
      <c r="V205" s="4">
        <v>0.9</v>
      </c>
      <c r="W205" s="4">
        <v>0.5</v>
      </c>
      <c r="X205" s="4">
        <v>0.6</v>
      </c>
      <c r="Y205" s="4">
        <v>0.3</v>
      </c>
      <c r="Z205" s="6">
        <v>579.28356900000006</v>
      </c>
      <c r="AA205" s="4">
        <v>1E-3</v>
      </c>
      <c r="AC205" s="4" t="s">
        <v>118</v>
      </c>
      <c r="AD205" s="4">
        <v>0.9</v>
      </c>
      <c r="AE205" s="4">
        <v>0.5</v>
      </c>
      <c r="AF205" s="4">
        <v>0.6</v>
      </c>
      <c r="AG205" s="4">
        <v>0.34</v>
      </c>
      <c r="AH205" s="4">
        <v>583.39367700000003</v>
      </c>
      <c r="AI205" s="4">
        <v>1E-3</v>
      </c>
      <c r="AJ205" s="5"/>
      <c r="AK205" s="5"/>
      <c r="AL205" s="5"/>
      <c r="AM205" s="5"/>
      <c r="AO205" s="4" t="s">
        <v>119</v>
      </c>
      <c r="AP205" s="4">
        <v>0.9</v>
      </c>
      <c r="AQ205" s="4">
        <v>0.5</v>
      </c>
      <c r="AR205" s="4">
        <v>0.6</v>
      </c>
      <c r="AS205" s="4">
        <v>0.3</v>
      </c>
      <c r="AT205" s="6">
        <v>994.38909899999999</v>
      </c>
      <c r="AU205" s="4">
        <v>5.0000000000000001E-3</v>
      </c>
      <c r="AW205" s="4" t="s">
        <v>119</v>
      </c>
      <c r="AX205" s="4">
        <v>0.9</v>
      </c>
      <c r="AY205" s="4">
        <v>0.5</v>
      </c>
      <c r="AZ205" s="4">
        <v>0.6</v>
      </c>
      <c r="BA205" s="4">
        <v>0.32</v>
      </c>
      <c r="BB205" s="4">
        <v>1037.4406739999999</v>
      </c>
      <c r="BC205" s="4">
        <v>7.0000000000000001E-3</v>
      </c>
      <c r="BD205" s="5"/>
      <c r="BE205" s="5"/>
      <c r="BF205" s="5"/>
      <c r="BG205" s="5"/>
      <c r="BI205" s="4" t="s">
        <v>119</v>
      </c>
      <c r="BJ205" s="4">
        <v>0.9</v>
      </c>
      <c r="BK205" s="4">
        <v>0.5</v>
      </c>
      <c r="BL205" s="4">
        <v>0.6</v>
      </c>
      <c r="BM205" s="4">
        <v>0.3</v>
      </c>
      <c r="BN205" s="6">
        <v>1012.809875</v>
      </c>
      <c r="BO205" s="4">
        <v>8.0000000000000002E-3</v>
      </c>
      <c r="BQ205" s="4" t="s">
        <v>119</v>
      </c>
      <c r="BR205" s="4">
        <v>0.9</v>
      </c>
      <c r="BS205" s="4">
        <v>0.5</v>
      </c>
      <c r="BT205" s="4">
        <v>0.6</v>
      </c>
      <c r="BU205" s="4">
        <v>0.33</v>
      </c>
      <c r="BV205" s="4">
        <v>1045.7803960000001</v>
      </c>
      <c r="BW205" s="4">
        <v>7.0000000000000001E-3</v>
      </c>
      <c r="BX205" s="5"/>
      <c r="BY205" s="5"/>
      <c r="BZ205" s="5"/>
      <c r="CA205" s="5"/>
    </row>
    <row r="206" spans="1:79" x14ac:dyDescent="0.3">
      <c r="A206" s="4" t="s">
        <v>120</v>
      </c>
      <c r="B206" s="4">
        <v>0.9</v>
      </c>
      <c r="C206" s="4">
        <v>0.5</v>
      </c>
      <c r="D206" s="4">
        <v>0.6</v>
      </c>
      <c r="E206" s="4">
        <v>0.3</v>
      </c>
      <c r="F206" s="6">
        <v>709.50439500000005</v>
      </c>
      <c r="G206" s="4">
        <v>2E-3</v>
      </c>
      <c r="I206" s="4" t="s">
        <v>120</v>
      </c>
      <c r="J206" s="4">
        <v>0.9</v>
      </c>
      <c r="K206" s="4">
        <v>0.5</v>
      </c>
      <c r="L206" s="4">
        <v>0.6</v>
      </c>
      <c r="M206" s="4">
        <v>0.34</v>
      </c>
      <c r="N206" s="4">
        <v>716.17553699999996</v>
      </c>
      <c r="O206" s="4">
        <v>2E-3</v>
      </c>
      <c r="P206" s="5"/>
      <c r="Q206" s="5"/>
      <c r="R206" s="5"/>
      <c r="S206" s="5"/>
      <c r="U206" s="4" t="s">
        <v>120</v>
      </c>
      <c r="V206" s="4">
        <v>0.9</v>
      </c>
      <c r="W206" s="4">
        <v>0.5</v>
      </c>
      <c r="X206" s="4">
        <v>0.6</v>
      </c>
      <c r="Y206" s="4">
        <v>0.3</v>
      </c>
      <c r="Z206" s="6">
        <v>712.93017599999996</v>
      </c>
      <c r="AA206" s="4">
        <v>1E-3</v>
      </c>
      <c r="AC206" s="4" t="s">
        <v>120</v>
      </c>
      <c r="AD206" s="4">
        <v>0.9</v>
      </c>
      <c r="AE206" s="4">
        <v>0.5</v>
      </c>
      <c r="AF206" s="4">
        <v>0.6</v>
      </c>
      <c r="AG206" s="4">
        <v>0.35</v>
      </c>
      <c r="AH206" s="4">
        <v>723.703125</v>
      </c>
      <c r="AI206" s="4">
        <v>2E-3</v>
      </c>
      <c r="AJ206" s="5"/>
      <c r="AK206" s="5"/>
      <c r="AL206" s="5"/>
      <c r="AM206" s="5"/>
      <c r="AO206" s="4" t="s">
        <v>121</v>
      </c>
      <c r="AP206" s="4">
        <v>0.9</v>
      </c>
      <c r="AQ206" s="4">
        <v>0.5</v>
      </c>
      <c r="AR206" s="4">
        <v>0.6</v>
      </c>
      <c r="AS206" s="4">
        <v>0.3</v>
      </c>
      <c r="AT206" s="6">
        <v>1024.392822</v>
      </c>
      <c r="AU206" s="4">
        <v>8.0000000000000002E-3</v>
      </c>
      <c r="AW206" s="4" t="s">
        <v>121</v>
      </c>
      <c r="AX206" s="4">
        <v>0.9</v>
      </c>
      <c r="AY206" s="4">
        <v>0.5</v>
      </c>
      <c r="AZ206" s="4">
        <v>0.6</v>
      </c>
      <c r="BA206" s="4">
        <v>0.3</v>
      </c>
      <c r="BB206" s="4">
        <v>1062.094116</v>
      </c>
      <c r="BC206" s="4">
        <v>8.0000000000000002E-3</v>
      </c>
      <c r="BD206" s="5"/>
      <c r="BE206" s="5"/>
      <c r="BF206" s="5"/>
      <c r="BG206" s="5"/>
      <c r="BI206" s="4" t="s">
        <v>121</v>
      </c>
      <c r="BJ206" s="4">
        <v>0.9</v>
      </c>
      <c r="BK206" s="4">
        <v>0.5</v>
      </c>
      <c r="BL206" s="4">
        <v>0.6</v>
      </c>
      <c r="BM206" s="4">
        <v>0.3</v>
      </c>
      <c r="BN206" s="6">
        <v>1036.9761960000001</v>
      </c>
      <c r="BO206" s="4">
        <v>6.0000000000000001E-3</v>
      </c>
      <c r="BQ206" s="4" t="s">
        <v>121</v>
      </c>
      <c r="BR206" s="4">
        <v>0.9</v>
      </c>
      <c r="BS206" s="4">
        <v>0.5</v>
      </c>
      <c r="BT206" s="4">
        <v>0.6</v>
      </c>
      <c r="BU206" s="4">
        <v>0.31</v>
      </c>
      <c r="BV206" s="4">
        <v>1024.606567</v>
      </c>
      <c r="BW206" s="4">
        <v>0.01</v>
      </c>
      <c r="BX206" s="5"/>
      <c r="BY206" s="5"/>
      <c r="BZ206" s="5"/>
      <c r="CA206" s="5"/>
    </row>
    <row r="207" spans="1:79" x14ac:dyDescent="0.3">
      <c r="A207" s="4" t="s">
        <v>122</v>
      </c>
      <c r="B207" s="4">
        <v>0.9</v>
      </c>
      <c r="C207" s="4">
        <v>0.5</v>
      </c>
      <c r="D207" s="4">
        <v>0.6</v>
      </c>
      <c r="E207" s="4">
        <v>0.3</v>
      </c>
      <c r="F207" s="6">
        <v>658.18322799999999</v>
      </c>
      <c r="G207" s="4">
        <v>3.0000000000000001E-3</v>
      </c>
      <c r="I207" s="4" t="s">
        <v>122</v>
      </c>
      <c r="J207" s="4">
        <v>0.9</v>
      </c>
      <c r="K207" s="4">
        <v>0.5</v>
      </c>
      <c r="L207" s="4">
        <v>0.6</v>
      </c>
      <c r="M207" s="4">
        <v>0.3</v>
      </c>
      <c r="N207" s="4">
        <v>663.31213400000001</v>
      </c>
      <c r="O207" s="4">
        <v>1E-3</v>
      </c>
      <c r="P207" s="5"/>
      <c r="Q207" s="5"/>
      <c r="R207" s="5"/>
      <c r="S207" s="5"/>
      <c r="U207" s="4" t="s">
        <v>122</v>
      </c>
      <c r="V207" s="4">
        <v>0.9</v>
      </c>
      <c r="W207" s="4">
        <v>0.5</v>
      </c>
      <c r="X207" s="4">
        <v>0.6</v>
      </c>
      <c r="Y207" s="4">
        <v>0.3</v>
      </c>
      <c r="Z207" s="6">
        <v>650.97729500000003</v>
      </c>
      <c r="AA207" s="4">
        <v>1E-3</v>
      </c>
      <c r="AC207" s="4" t="s">
        <v>122</v>
      </c>
      <c r="AD207" s="4">
        <v>0.9</v>
      </c>
      <c r="AE207" s="4">
        <v>0.5</v>
      </c>
      <c r="AF207" s="4">
        <v>0.6</v>
      </c>
      <c r="AG207" s="4">
        <v>0.3</v>
      </c>
      <c r="AH207" s="4">
        <v>659.36822500000005</v>
      </c>
      <c r="AI207" s="4">
        <v>1E-3</v>
      </c>
      <c r="AJ207" s="5"/>
      <c r="AK207" s="5"/>
      <c r="AL207" s="5"/>
      <c r="AM207" s="5"/>
      <c r="AO207" s="4" t="s">
        <v>123</v>
      </c>
      <c r="AP207" s="4">
        <v>0.9</v>
      </c>
      <c r="AQ207" s="4">
        <v>0.5</v>
      </c>
      <c r="AR207" s="4">
        <v>0.6</v>
      </c>
      <c r="AS207" s="4">
        <v>0.3</v>
      </c>
      <c r="AT207" s="6">
        <v>998.46057099999996</v>
      </c>
      <c r="AU207" s="4">
        <v>5.0000000000000001E-3</v>
      </c>
      <c r="AW207" s="4" t="s">
        <v>123</v>
      </c>
      <c r="AX207" s="4">
        <v>0.9</v>
      </c>
      <c r="AY207" s="4">
        <v>0.5</v>
      </c>
      <c r="AZ207" s="4">
        <v>0.6</v>
      </c>
      <c r="BA207" s="4">
        <v>0.3</v>
      </c>
      <c r="BB207" s="4">
        <v>1041.674927</v>
      </c>
      <c r="BC207" s="4">
        <v>6.0000000000000001E-3</v>
      </c>
      <c r="BD207" s="5"/>
      <c r="BE207" s="5"/>
      <c r="BF207" s="5"/>
      <c r="BG207" s="5"/>
      <c r="BI207" s="4" t="s">
        <v>123</v>
      </c>
      <c r="BJ207" s="4">
        <v>0.9</v>
      </c>
      <c r="BK207" s="4">
        <v>0.5</v>
      </c>
      <c r="BL207" s="4">
        <v>0.6</v>
      </c>
      <c r="BM207" s="4">
        <v>0.3</v>
      </c>
      <c r="BN207" s="6">
        <v>1010.304077</v>
      </c>
      <c r="BO207" s="4">
        <v>6.0000000000000001E-3</v>
      </c>
      <c r="BQ207" s="4" t="s">
        <v>123</v>
      </c>
      <c r="BR207" s="4">
        <v>0.9</v>
      </c>
      <c r="BS207" s="4">
        <v>0.5</v>
      </c>
      <c r="BT207" s="4">
        <v>0.6</v>
      </c>
      <c r="BU207" s="4">
        <v>0.3</v>
      </c>
      <c r="BV207" s="4">
        <v>1043.7647710000001</v>
      </c>
      <c r="BW207" s="4">
        <v>0.01</v>
      </c>
      <c r="BX207" s="5"/>
      <c r="BY207" s="5"/>
      <c r="BZ207" s="5"/>
      <c r="CA207" s="5"/>
    </row>
    <row r="208" spans="1:79" x14ac:dyDescent="0.3">
      <c r="A208" s="4" t="s">
        <v>124</v>
      </c>
      <c r="B208" s="4">
        <v>0.9</v>
      </c>
      <c r="C208" s="4">
        <v>0.5</v>
      </c>
      <c r="D208" s="4">
        <v>0.6</v>
      </c>
      <c r="E208" s="4">
        <v>0.3</v>
      </c>
      <c r="F208" s="6">
        <v>561.05938700000002</v>
      </c>
      <c r="G208" s="4">
        <v>2E-3</v>
      </c>
      <c r="I208" s="4" t="s">
        <v>124</v>
      </c>
      <c r="J208" s="4">
        <v>0.9</v>
      </c>
      <c r="K208" s="4">
        <v>0.5</v>
      </c>
      <c r="L208" s="4">
        <v>0.6</v>
      </c>
      <c r="M208" s="4">
        <v>0.37</v>
      </c>
      <c r="N208" s="4">
        <v>570.58508300000005</v>
      </c>
      <c r="O208" s="4">
        <v>1E-3</v>
      </c>
      <c r="P208" s="5"/>
      <c r="Q208" s="5"/>
      <c r="R208" s="5"/>
      <c r="S208" s="5"/>
      <c r="U208" s="4" t="s">
        <v>124</v>
      </c>
      <c r="V208" s="4">
        <v>0.9</v>
      </c>
      <c r="W208" s="4">
        <v>0.5</v>
      </c>
      <c r="X208" s="4">
        <v>0.6</v>
      </c>
      <c r="Y208" s="4">
        <v>0.3</v>
      </c>
      <c r="Z208" s="6">
        <v>567.65368699999999</v>
      </c>
      <c r="AA208" s="4">
        <v>1E-3</v>
      </c>
      <c r="AC208" s="4" t="s">
        <v>124</v>
      </c>
      <c r="AD208" s="4">
        <v>0.9</v>
      </c>
      <c r="AE208" s="4">
        <v>0.5</v>
      </c>
      <c r="AF208" s="4">
        <v>0.6</v>
      </c>
      <c r="AG208" s="4">
        <v>0.31</v>
      </c>
      <c r="AH208" s="4">
        <v>579.44378700000004</v>
      </c>
      <c r="AI208" s="4">
        <v>1E-3</v>
      </c>
      <c r="AJ208" s="5"/>
      <c r="AK208" s="5"/>
      <c r="AL208" s="5"/>
      <c r="AM208" s="5"/>
      <c r="AO208" s="4" t="s">
        <v>125</v>
      </c>
      <c r="AP208" s="4">
        <v>0.9</v>
      </c>
      <c r="AQ208" s="4">
        <v>0.5</v>
      </c>
      <c r="AR208" s="4">
        <v>0.6</v>
      </c>
      <c r="AS208" s="4">
        <v>0.3</v>
      </c>
      <c r="AT208" s="6">
        <v>1052.783447</v>
      </c>
      <c r="AU208" s="4">
        <v>7.0000000000000001E-3</v>
      </c>
      <c r="AW208" s="4" t="s">
        <v>125</v>
      </c>
      <c r="AX208" s="4">
        <v>0.9</v>
      </c>
      <c r="AY208" s="4">
        <v>0.5</v>
      </c>
      <c r="AZ208" s="4">
        <v>0.6</v>
      </c>
      <c r="BA208" s="4">
        <v>0.3</v>
      </c>
      <c r="BB208" s="4">
        <v>1079.1647949999999</v>
      </c>
      <c r="BC208" s="4">
        <v>7.0000000000000001E-3</v>
      </c>
      <c r="BD208" s="5"/>
      <c r="BE208" s="5"/>
      <c r="BF208" s="5"/>
      <c r="BG208" s="5"/>
      <c r="BI208" s="4" t="s">
        <v>125</v>
      </c>
      <c r="BJ208" s="4">
        <v>0.9</v>
      </c>
      <c r="BK208" s="4">
        <v>0.5</v>
      </c>
      <c r="BL208" s="4">
        <v>0.6</v>
      </c>
      <c r="BM208" s="4">
        <v>0.3</v>
      </c>
      <c r="BN208" s="6">
        <v>1060.5048830000001</v>
      </c>
      <c r="BO208" s="4">
        <v>6.0000000000000001E-3</v>
      </c>
      <c r="BQ208" s="4" t="s">
        <v>125</v>
      </c>
      <c r="BR208" s="4">
        <v>0.9</v>
      </c>
      <c r="BS208" s="4">
        <v>0.5</v>
      </c>
      <c r="BT208" s="4">
        <v>0.6</v>
      </c>
      <c r="BU208" s="4">
        <v>0.3</v>
      </c>
      <c r="BV208" s="4">
        <v>1086.602783</v>
      </c>
      <c r="BW208" s="4">
        <v>7.0000000000000001E-3</v>
      </c>
      <c r="BX208" s="5"/>
      <c r="BY208" s="5"/>
      <c r="BZ208" s="5"/>
      <c r="CA208" s="5"/>
    </row>
    <row r="209" spans="1:79" x14ac:dyDescent="0.3">
      <c r="A209" s="4" t="s">
        <v>126</v>
      </c>
      <c r="B209" s="4">
        <v>0.9</v>
      </c>
      <c r="C209" s="4">
        <v>0.5</v>
      </c>
      <c r="D209" s="4">
        <v>0.6</v>
      </c>
      <c r="E209" s="4">
        <v>0.3</v>
      </c>
      <c r="F209" s="6">
        <v>627.63568099999998</v>
      </c>
      <c r="G209" s="4">
        <v>1E-3</v>
      </c>
      <c r="I209" s="4" t="s">
        <v>126</v>
      </c>
      <c r="J209" s="4">
        <v>0.9</v>
      </c>
      <c r="K209" s="4">
        <v>0.5</v>
      </c>
      <c r="L209" s="4">
        <v>0.6</v>
      </c>
      <c r="M209" s="4">
        <v>0.32</v>
      </c>
      <c r="N209" s="4">
        <v>628.33019999999999</v>
      </c>
      <c r="O209" s="4">
        <v>1E-3</v>
      </c>
      <c r="P209" s="5"/>
      <c r="Q209" s="5"/>
      <c r="R209" s="5"/>
      <c r="S209" s="5"/>
      <c r="U209" s="4" t="s">
        <v>126</v>
      </c>
      <c r="V209" s="4">
        <v>0.9</v>
      </c>
      <c r="W209" s="4">
        <v>0.5</v>
      </c>
      <c r="X209" s="4">
        <v>0.6</v>
      </c>
      <c r="Y209" s="4">
        <v>0.3</v>
      </c>
      <c r="Z209" s="6">
        <v>614.95318599999996</v>
      </c>
      <c r="AA209" s="4">
        <v>1E-3</v>
      </c>
      <c r="AC209" s="4" t="s">
        <v>126</v>
      </c>
      <c r="AD209" s="4">
        <v>0.9</v>
      </c>
      <c r="AE209" s="4">
        <v>0.5</v>
      </c>
      <c r="AF209" s="4">
        <v>0.6</v>
      </c>
      <c r="AG209" s="4">
        <v>0.31</v>
      </c>
      <c r="AH209" s="4">
        <v>631.71112100000005</v>
      </c>
      <c r="AI209" s="4">
        <v>1E-3</v>
      </c>
      <c r="AJ209" s="5"/>
      <c r="AK209" s="5"/>
      <c r="AL209" s="5"/>
      <c r="AM209" s="5"/>
      <c r="AO209" s="4" t="s">
        <v>127</v>
      </c>
      <c r="AP209" s="4">
        <v>0.9</v>
      </c>
      <c r="AQ209" s="4">
        <v>0.5</v>
      </c>
      <c r="AR209" s="4">
        <v>0.6</v>
      </c>
      <c r="AS209" s="4">
        <v>0.3</v>
      </c>
      <c r="AT209" s="6">
        <v>1045.5164789999999</v>
      </c>
      <c r="AU209" s="4">
        <v>1.0999999999999999E-2</v>
      </c>
      <c r="AW209" s="4" t="s">
        <v>127</v>
      </c>
      <c r="AX209" s="4">
        <v>0.9</v>
      </c>
      <c r="AY209" s="4">
        <v>0.5</v>
      </c>
      <c r="AZ209" s="4">
        <v>0.6</v>
      </c>
      <c r="BA209" s="4">
        <v>0.3</v>
      </c>
      <c r="BB209" s="4">
        <v>1062.2045900000001</v>
      </c>
      <c r="BC209" s="4">
        <v>6.0000000000000001E-3</v>
      </c>
      <c r="BD209" s="5"/>
      <c r="BE209" s="5"/>
      <c r="BF209" s="5"/>
      <c r="BG209" s="5"/>
      <c r="BI209" s="4" t="s">
        <v>127</v>
      </c>
      <c r="BJ209" s="4">
        <v>0.9</v>
      </c>
      <c r="BK209" s="4">
        <v>0.5</v>
      </c>
      <c r="BL209" s="4">
        <v>0.6</v>
      </c>
      <c r="BM209" s="4">
        <v>0.3</v>
      </c>
      <c r="BN209" s="6">
        <v>1033.7132570000001</v>
      </c>
      <c r="BO209" s="4">
        <v>6.0000000000000001E-3</v>
      </c>
      <c r="BQ209" s="4" t="s">
        <v>127</v>
      </c>
      <c r="BR209" s="4">
        <v>0.9</v>
      </c>
      <c r="BS209" s="4">
        <v>0.5</v>
      </c>
      <c r="BT209" s="4">
        <v>0.6</v>
      </c>
      <c r="BU209" s="4">
        <v>0.3</v>
      </c>
      <c r="BV209" s="4">
        <v>1070.4510499999999</v>
      </c>
      <c r="BW209" s="4">
        <v>6.0000000000000001E-3</v>
      </c>
      <c r="BX209" s="5"/>
      <c r="BY209" s="5"/>
      <c r="BZ209" s="5"/>
      <c r="CA209" s="5"/>
    </row>
    <row r="210" spans="1:79" x14ac:dyDescent="0.3">
      <c r="A210" s="4" t="s">
        <v>128</v>
      </c>
      <c r="B210" s="4">
        <v>0.9</v>
      </c>
      <c r="C210" s="4">
        <v>0.5</v>
      </c>
      <c r="D210" s="4">
        <v>0.6</v>
      </c>
      <c r="E210" s="4">
        <v>0.3</v>
      </c>
      <c r="F210" s="6">
        <v>594.78631600000006</v>
      </c>
      <c r="G210" s="4">
        <v>1E-3</v>
      </c>
      <c r="I210" s="4" t="s">
        <v>128</v>
      </c>
      <c r="J210" s="4">
        <v>0.9</v>
      </c>
      <c r="K210" s="4">
        <v>0.5</v>
      </c>
      <c r="L210" s="4">
        <v>0.6</v>
      </c>
      <c r="M210" s="4">
        <v>0.3</v>
      </c>
      <c r="N210" s="4">
        <v>610.79852300000005</v>
      </c>
      <c r="O210" s="4">
        <v>1E-3</v>
      </c>
      <c r="P210" s="5"/>
      <c r="Q210" s="5"/>
      <c r="R210" s="5"/>
      <c r="S210" s="5"/>
      <c r="U210" s="4" t="s">
        <v>128</v>
      </c>
      <c r="V210" s="4">
        <v>0.9</v>
      </c>
      <c r="W210" s="4">
        <v>0.5</v>
      </c>
      <c r="X210" s="4">
        <v>0.6</v>
      </c>
      <c r="Y210" s="4">
        <v>0.3</v>
      </c>
      <c r="Z210" s="6">
        <v>601.212402</v>
      </c>
      <c r="AA210" s="4">
        <v>1E-3</v>
      </c>
      <c r="AC210" s="4" t="s">
        <v>128</v>
      </c>
      <c r="AD210" s="4">
        <v>0.9</v>
      </c>
      <c r="AE210" s="4">
        <v>0.5</v>
      </c>
      <c r="AF210" s="4">
        <v>0.6</v>
      </c>
      <c r="AG210" s="4">
        <v>0.38</v>
      </c>
      <c r="AH210" s="4">
        <v>603.79528800000003</v>
      </c>
      <c r="AI210" s="4">
        <v>1E-3</v>
      </c>
      <c r="AJ210" s="5"/>
      <c r="AK210" s="5"/>
      <c r="AL210" s="5"/>
      <c r="AM210" s="5"/>
      <c r="AO210" s="4" t="s">
        <v>129</v>
      </c>
      <c r="AP210" s="4">
        <v>0.9</v>
      </c>
      <c r="AQ210" s="4">
        <v>0.5</v>
      </c>
      <c r="AR210" s="4">
        <v>0.6</v>
      </c>
      <c r="AS210" s="4">
        <v>0.3</v>
      </c>
      <c r="AT210" s="6">
        <v>1024.1453859999999</v>
      </c>
      <c r="AU210" s="4">
        <v>8.9999999999999993E-3</v>
      </c>
      <c r="AW210" s="4" t="s">
        <v>129</v>
      </c>
      <c r="AX210" s="4">
        <v>0.9</v>
      </c>
      <c r="AY210" s="4">
        <v>0.5</v>
      </c>
      <c r="AZ210" s="4">
        <v>0.6</v>
      </c>
      <c r="BA210" s="4">
        <v>0.32</v>
      </c>
      <c r="BB210" s="4">
        <v>1061.0407709999999</v>
      </c>
      <c r="BC210" s="4">
        <v>0.01</v>
      </c>
      <c r="BD210" s="5"/>
      <c r="BE210" s="5"/>
      <c r="BF210" s="5"/>
      <c r="BG210" s="5"/>
      <c r="BI210" s="4" t="s">
        <v>129</v>
      </c>
      <c r="BJ210" s="4">
        <v>0.9</v>
      </c>
      <c r="BK210" s="4">
        <v>0.5</v>
      </c>
      <c r="BL210" s="4">
        <v>0.6</v>
      </c>
      <c r="BM210" s="4">
        <v>0.3</v>
      </c>
      <c r="BN210" s="6">
        <v>1007.266296</v>
      </c>
      <c r="BO210" s="4">
        <v>8.0000000000000002E-3</v>
      </c>
      <c r="BQ210" s="4" t="s">
        <v>129</v>
      </c>
      <c r="BR210" s="4">
        <v>0.9</v>
      </c>
      <c r="BS210" s="4">
        <v>0.5</v>
      </c>
      <c r="BT210" s="4">
        <v>0.6</v>
      </c>
      <c r="BU210" s="4">
        <v>0.32</v>
      </c>
      <c r="BV210" s="4">
        <v>1022.855713</v>
      </c>
      <c r="BW210" s="4">
        <v>8.9999999999999993E-3</v>
      </c>
      <c r="BX210" s="5"/>
      <c r="BY210" s="5"/>
      <c r="BZ210" s="5"/>
      <c r="CA210" s="5"/>
    </row>
    <row r="211" spans="1:79" x14ac:dyDescent="0.3">
      <c r="A211" s="4" t="s">
        <v>130</v>
      </c>
      <c r="B211" s="4">
        <v>0.9</v>
      </c>
      <c r="C211" s="4">
        <v>0.5</v>
      </c>
      <c r="D211" s="4">
        <v>0.6</v>
      </c>
      <c r="E211" s="4">
        <v>0.3</v>
      </c>
      <c r="F211" s="6">
        <v>627.75500499999998</v>
      </c>
      <c r="G211" s="4">
        <v>1E-3</v>
      </c>
      <c r="I211" s="4" t="s">
        <v>130</v>
      </c>
      <c r="J211" s="4">
        <v>0.9</v>
      </c>
      <c r="K211" s="4">
        <v>0.5</v>
      </c>
      <c r="L211" s="4">
        <v>0.6</v>
      </c>
      <c r="M211" s="4">
        <v>0.37</v>
      </c>
      <c r="N211" s="4">
        <v>653.62506099999996</v>
      </c>
      <c r="O211" s="4">
        <v>1E-3</v>
      </c>
      <c r="P211" s="5"/>
      <c r="Q211" s="5"/>
      <c r="R211" s="5"/>
      <c r="S211" s="5"/>
      <c r="U211" s="4" t="s">
        <v>130</v>
      </c>
      <c r="V211" s="4">
        <v>0.9</v>
      </c>
      <c r="W211" s="4">
        <v>0.5</v>
      </c>
      <c r="X211" s="4">
        <v>0.6</v>
      </c>
      <c r="Y211" s="4">
        <v>0.3</v>
      </c>
      <c r="Z211" s="6">
        <v>644.73529099999996</v>
      </c>
      <c r="AA211" s="4">
        <v>2E-3</v>
      </c>
      <c r="AC211" s="4" t="s">
        <v>130</v>
      </c>
      <c r="AD211" s="4">
        <v>0.9</v>
      </c>
      <c r="AE211" s="4">
        <v>0.5</v>
      </c>
      <c r="AF211" s="4">
        <v>0.6</v>
      </c>
      <c r="AG211" s="4">
        <v>0.32</v>
      </c>
      <c r="AH211" s="4">
        <v>649.43957499999999</v>
      </c>
      <c r="AI211" s="4">
        <v>1E-3</v>
      </c>
      <c r="AJ211" s="5"/>
      <c r="AK211" s="5"/>
      <c r="AL211" s="5"/>
      <c r="AM211" s="5"/>
      <c r="AO211" s="4" t="s">
        <v>131</v>
      </c>
      <c r="AP211" s="4">
        <v>0.9</v>
      </c>
      <c r="AQ211" s="4">
        <v>0.5</v>
      </c>
      <c r="AR211" s="4">
        <v>0.6</v>
      </c>
      <c r="AS211" s="4">
        <v>0.3</v>
      </c>
      <c r="AT211" s="6">
        <v>1024.695068</v>
      </c>
      <c r="AU211" s="4">
        <v>8.0000000000000002E-3</v>
      </c>
      <c r="AW211" s="4" t="s">
        <v>131</v>
      </c>
      <c r="AX211" s="4">
        <v>0.9</v>
      </c>
      <c r="AY211" s="4">
        <v>0.5</v>
      </c>
      <c r="AZ211" s="4">
        <v>0.6</v>
      </c>
      <c r="BA211" s="4">
        <v>0.3</v>
      </c>
      <c r="BB211" s="4">
        <v>1059.180664</v>
      </c>
      <c r="BC211" s="4">
        <v>1.0999999999999999E-2</v>
      </c>
      <c r="BD211" s="5"/>
      <c r="BE211" s="5"/>
      <c r="BF211" s="5"/>
      <c r="BG211" s="5"/>
      <c r="BI211" s="4" t="s">
        <v>131</v>
      </c>
      <c r="BJ211" s="4">
        <v>0.9</v>
      </c>
      <c r="BK211" s="4">
        <v>0.5</v>
      </c>
      <c r="BL211" s="4">
        <v>0.6</v>
      </c>
      <c r="BM211" s="4">
        <v>0.3</v>
      </c>
      <c r="BN211" s="6">
        <v>1024.642578</v>
      </c>
      <c r="BO211" s="4">
        <v>8.9999999999999993E-3</v>
      </c>
      <c r="BQ211" s="4" t="s">
        <v>131</v>
      </c>
      <c r="BR211" s="4">
        <v>0.9</v>
      </c>
      <c r="BS211" s="4">
        <v>0.5</v>
      </c>
      <c r="BT211" s="4">
        <v>0.6</v>
      </c>
      <c r="BU211" s="4">
        <v>0.31</v>
      </c>
      <c r="BV211" s="4">
        <v>1060.7937010000001</v>
      </c>
      <c r="BW211" s="4">
        <v>0.01</v>
      </c>
      <c r="BX211" s="5"/>
      <c r="BY211" s="5"/>
      <c r="BZ211" s="5"/>
      <c r="CA211" s="5"/>
    </row>
    <row r="212" spans="1:79" x14ac:dyDescent="0.3">
      <c r="A212" s="4" t="s">
        <v>132</v>
      </c>
      <c r="B212" s="4">
        <v>0.9</v>
      </c>
      <c r="C212" s="4">
        <v>0.5</v>
      </c>
      <c r="D212" s="4">
        <v>0.6</v>
      </c>
      <c r="E212" s="4">
        <v>0.3</v>
      </c>
      <c r="F212" s="6">
        <v>551.62072799999999</v>
      </c>
      <c r="G212" s="4">
        <v>1E-3</v>
      </c>
      <c r="I212" s="4" t="s">
        <v>132</v>
      </c>
      <c r="J212" s="4">
        <v>0.9</v>
      </c>
      <c r="K212" s="4">
        <v>0.5</v>
      </c>
      <c r="L212" s="4">
        <v>0.6</v>
      </c>
      <c r="M212" s="4">
        <v>0.3</v>
      </c>
      <c r="N212" s="4">
        <v>566.98541299999999</v>
      </c>
      <c r="O212" s="4">
        <v>2E-3</v>
      </c>
      <c r="P212" s="5"/>
      <c r="Q212" s="5"/>
      <c r="R212" s="5"/>
      <c r="S212" s="5"/>
      <c r="U212" s="4" t="s">
        <v>132</v>
      </c>
      <c r="V212" s="4">
        <v>0.9</v>
      </c>
      <c r="W212" s="4">
        <v>0.5</v>
      </c>
      <c r="X212" s="4">
        <v>0.6</v>
      </c>
      <c r="Y212" s="4">
        <v>0.3</v>
      </c>
      <c r="Z212" s="6">
        <v>561.93652299999997</v>
      </c>
      <c r="AA212" s="4">
        <v>1E-3</v>
      </c>
      <c r="AC212" s="4" t="s">
        <v>132</v>
      </c>
      <c r="AD212" s="4">
        <v>0.9</v>
      </c>
      <c r="AE212" s="4">
        <v>0.5</v>
      </c>
      <c r="AF212" s="4">
        <v>0.6</v>
      </c>
      <c r="AG212" s="4">
        <v>0.33</v>
      </c>
      <c r="AH212" s="4">
        <v>573.10961899999995</v>
      </c>
      <c r="AI212" s="4">
        <v>1E-3</v>
      </c>
      <c r="AJ212" s="5"/>
      <c r="AK212" s="5"/>
      <c r="AL212" s="5"/>
      <c r="AM212" s="5"/>
      <c r="AO212" s="4" t="s">
        <v>133</v>
      </c>
      <c r="AP212" s="4">
        <v>0.9</v>
      </c>
      <c r="AQ212" s="4">
        <v>0.5</v>
      </c>
      <c r="AR212" s="4">
        <v>0.6</v>
      </c>
      <c r="AS212" s="4">
        <v>0.3</v>
      </c>
      <c r="AT212" s="6">
        <v>1074.7506100000001</v>
      </c>
      <c r="AU212" s="4">
        <v>0.01</v>
      </c>
      <c r="AW212" s="4" t="s">
        <v>133</v>
      </c>
      <c r="AX212" s="4">
        <v>0.9</v>
      </c>
      <c r="AY212" s="4">
        <v>0.5</v>
      </c>
      <c r="AZ212" s="4">
        <v>0.6</v>
      </c>
      <c r="BA212" s="4">
        <v>0.37</v>
      </c>
      <c r="BB212" s="4">
        <v>1087.109741</v>
      </c>
      <c r="BC212" s="4">
        <v>1.2E-2</v>
      </c>
      <c r="BD212" s="5"/>
      <c r="BE212" s="5"/>
      <c r="BF212" s="5"/>
      <c r="BG212" s="5"/>
      <c r="BI212" s="4" t="s">
        <v>133</v>
      </c>
      <c r="BJ212" s="4">
        <v>0.9</v>
      </c>
      <c r="BK212" s="4">
        <v>0.5</v>
      </c>
      <c r="BL212" s="4">
        <v>0.6</v>
      </c>
      <c r="BM212" s="4">
        <v>0.3</v>
      </c>
      <c r="BN212" s="6">
        <v>1054.787231</v>
      </c>
      <c r="BO212" s="4">
        <v>8.9999999999999993E-3</v>
      </c>
      <c r="BQ212" s="4" t="s">
        <v>133</v>
      </c>
      <c r="BR212" s="4">
        <v>0.9</v>
      </c>
      <c r="BS212" s="4">
        <v>0.5</v>
      </c>
      <c r="BT212" s="4">
        <v>0.6</v>
      </c>
      <c r="BU212" s="4">
        <v>0.3</v>
      </c>
      <c r="BV212" s="4">
        <v>1089.430908</v>
      </c>
      <c r="BW212" s="4">
        <v>8.9999999999999993E-3</v>
      </c>
      <c r="BX212" s="5"/>
      <c r="BY212" s="5"/>
      <c r="BZ212" s="5"/>
      <c r="CA212" s="5"/>
    </row>
    <row r="213" spans="1:79" x14ac:dyDescent="0.3">
      <c r="A213" s="14" t="s">
        <v>316</v>
      </c>
      <c r="E213" s="14">
        <f>AVERAGE(E183:E212)</f>
        <v>0.3</v>
      </c>
      <c r="I213" s="14" t="s">
        <v>316</v>
      </c>
      <c r="M213" s="14">
        <f>AVERAGE(M183:M212)</f>
        <v>0.33933333333333338</v>
      </c>
      <c r="U213" s="14" t="s">
        <v>316</v>
      </c>
      <c r="Y213" s="14">
        <f>AVERAGE(Y183:Y212)</f>
        <v>0.3</v>
      </c>
      <c r="AC213" s="14" t="s">
        <v>316</v>
      </c>
      <c r="AG213" s="14">
        <f>AVERAGE(AG183:AG212)</f>
        <v>0.33700000000000008</v>
      </c>
      <c r="AO213" s="14" t="s">
        <v>316</v>
      </c>
      <c r="AS213" s="14">
        <f>AVERAGE(AS183:AS212)</f>
        <v>0.3</v>
      </c>
      <c r="AW213" s="14" t="s">
        <v>316</v>
      </c>
      <c r="BA213" s="14">
        <f>AVERAGE(BA183:BA212)</f>
        <v>0.31799999999999995</v>
      </c>
      <c r="BI213" s="14" t="s">
        <v>316</v>
      </c>
      <c r="BM213" s="14">
        <f>AVERAGE(BM183:BM212)</f>
        <v>0.3</v>
      </c>
      <c r="BQ213" s="14" t="s">
        <v>316</v>
      </c>
      <c r="BU213" s="14">
        <f>AVERAGE(BU183:BU212)</f>
        <v>0.31</v>
      </c>
    </row>
    <row r="214" spans="1:79" s="1" customFormat="1" x14ac:dyDescent="0.3"/>
    <row r="215" spans="1:79" x14ac:dyDescent="0.3">
      <c r="A215" s="23" t="s">
        <v>314</v>
      </c>
      <c r="B215" s="23"/>
      <c r="C215" s="23"/>
      <c r="D215" s="23"/>
      <c r="E215" s="23"/>
      <c r="F215" s="23"/>
      <c r="G215" s="23"/>
      <c r="I215" s="23" t="s">
        <v>314</v>
      </c>
      <c r="J215" s="23"/>
      <c r="K215" s="23"/>
      <c r="L215" s="23"/>
      <c r="M215" s="23"/>
      <c r="N215" s="23"/>
      <c r="O215" s="23"/>
      <c r="P215" s="11"/>
      <c r="Q215" s="11"/>
      <c r="R215" s="11"/>
      <c r="S215" s="11"/>
      <c r="U215" s="23" t="s">
        <v>314</v>
      </c>
      <c r="V215" s="23"/>
      <c r="W215" s="23"/>
      <c r="X215" s="23"/>
      <c r="Y215" s="23"/>
      <c r="Z215" s="23"/>
      <c r="AA215" s="23"/>
      <c r="AC215" s="23" t="s">
        <v>314</v>
      </c>
      <c r="AD215" s="23"/>
      <c r="AE215" s="23"/>
      <c r="AF215" s="23"/>
      <c r="AG215" s="23"/>
      <c r="AH215" s="23"/>
      <c r="AI215" s="23"/>
      <c r="AJ215" s="11"/>
      <c r="AK215" s="11"/>
      <c r="AL215" s="11"/>
      <c r="AM215" s="11"/>
      <c r="AO215" s="23" t="s">
        <v>314</v>
      </c>
      <c r="AP215" s="23"/>
      <c r="AQ215" s="23"/>
      <c r="AR215" s="23"/>
      <c r="AS215" s="23"/>
      <c r="AT215" s="23"/>
      <c r="AU215" s="23"/>
      <c r="AW215" s="23" t="s">
        <v>314</v>
      </c>
      <c r="AX215" s="23"/>
      <c r="AY215" s="23"/>
      <c r="AZ215" s="23"/>
      <c r="BA215" s="23"/>
      <c r="BB215" s="23"/>
      <c r="BC215" s="23"/>
      <c r="BD215" s="11"/>
      <c r="BE215" s="11"/>
      <c r="BF215" s="11"/>
      <c r="BG215" s="11"/>
      <c r="BI215" s="23" t="s">
        <v>314</v>
      </c>
      <c r="BJ215" s="23"/>
      <c r="BK215" s="23"/>
      <c r="BL215" s="23"/>
      <c r="BM215" s="23"/>
      <c r="BN215" s="23"/>
      <c r="BO215" s="23"/>
      <c r="BQ215" s="23" t="s">
        <v>314</v>
      </c>
      <c r="BR215" s="23"/>
      <c r="BS215" s="23"/>
      <c r="BT215" s="23"/>
      <c r="BU215" s="23"/>
      <c r="BV215" s="23"/>
      <c r="BW215" s="23"/>
      <c r="BX215" s="11"/>
      <c r="BY215" s="11"/>
      <c r="BZ215" s="11"/>
      <c r="CA215" s="11"/>
    </row>
    <row r="216" spans="1:79" x14ac:dyDescent="0.3">
      <c r="A216" s="24" t="s">
        <v>0</v>
      </c>
      <c r="B216" s="25"/>
      <c r="C216" s="25"/>
      <c r="D216" s="25"/>
      <c r="E216" s="25"/>
      <c r="F216" s="25"/>
      <c r="G216" s="26"/>
      <c r="I216" s="23" t="s">
        <v>0</v>
      </c>
      <c r="J216" s="23"/>
      <c r="K216" s="23"/>
      <c r="L216" s="23"/>
      <c r="M216" s="23"/>
      <c r="N216" s="23"/>
      <c r="O216" s="23"/>
      <c r="P216" s="11"/>
      <c r="Q216" s="11"/>
      <c r="R216" s="11"/>
      <c r="S216" s="11"/>
      <c r="U216" s="4" t="s">
        <v>1</v>
      </c>
      <c r="V216" s="4"/>
      <c r="W216" s="4"/>
      <c r="X216" s="4"/>
      <c r="Y216" s="4"/>
      <c r="Z216" s="4"/>
      <c r="AA216" s="4"/>
      <c r="AC216" s="23" t="s">
        <v>1</v>
      </c>
      <c r="AD216" s="23"/>
      <c r="AE216" s="23"/>
      <c r="AF216" s="23"/>
      <c r="AG216" s="23"/>
      <c r="AH216" s="23"/>
      <c r="AI216" s="23"/>
      <c r="AJ216" s="11"/>
      <c r="AK216" s="11"/>
      <c r="AL216" s="11"/>
      <c r="AM216" s="11"/>
      <c r="AO216" s="4" t="s">
        <v>0</v>
      </c>
      <c r="AP216" s="4"/>
      <c r="AQ216" s="4"/>
      <c r="AR216" s="4"/>
      <c r="AS216" s="4"/>
      <c r="AT216" s="4"/>
      <c r="AU216" s="4"/>
      <c r="AW216" s="23" t="s">
        <v>0</v>
      </c>
      <c r="AX216" s="23"/>
      <c r="AY216" s="23"/>
      <c r="AZ216" s="23"/>
      <c r="BA216" s="23"/>
      <c r="BB216" s="23"/>
      <c r="BC216" s="23"/>
      <c r="BD216" s="11"/>
      <c r="BE216" s="11"/>
      <c r="BF216" s="11"/>
      <c r="BG216" s="11"/>
      <c r="BI216" s="4" t="s">
        <v>1</v>
      </c>
      <c r="BJ216" s="4"/>
      <c r="BK216" s="4"/>
      <c r="BL216" s="4"/>
      <c r="BM216" s="4"/>
      <c r="BN216" s="4"/>
      <c r="BO216" s="4"/>
      <c r="BQ216" s="23" t="s">
        <v>1</v>
      </c>
      <c r="BR216" s="23"/>
      <c r="BS216" s="23"/>
      <c r="BT216" s="23"/>
      <c r="BU216" s="23"/>
      <c r="BV216" s="23"/>
      <c r="BW216" s="23"/>
      <c r="BX216" s="11"/>
      <c r="BY216" s="11"/>
      <c r="BZ216" s="11"/>
      <c r="CA216" s="11"/>
    </row>
    <row r="217" spans="1:79" x14ac:dyDescent="0.3">
      <c r="A217" s="4" t="s">
        <v>2</v>
      </c>
      <c r="B217" s="4" t="s">
        <v>3</v>
      </c>
      <c r="C217" s="4" t="s">
        <v>4</v>
      </c>
      <c r="D217" s="4" t="s">
        <v>5</v>
      </c>
      <c r="E217" s="4" t="s">
        <v>6</v>
      </c>
      <c r="F217" s="4" t="s">
        <v>7</v>
      </c>
      <c r="G217" s="4" t="s">
        <v>8</v>
      </c>
      <c r="I217" s="4" t="s">
        <v>2</v>
      </c>
      <c r="J217" s="4" t="s">
        <v>3</v>
      </c>
      <c r="K217" s="4" t="s">
        <v>4</v>
      </c>
      <c r="L217" s="4" t="s">
        <v>5</v>
      </c>
      <c r="M217" s="4" t="s">
        <v>6</v>
      </c>
      <c r="N217" s="4" t="s">
        <v>7</v>
      </c>
      <c r="O217" s="4" t="s">
        <v>8</v>
      </c>
      <c r="P217" s="3" t="s">
        <v>322</v>
      </c>
      <c r="Q217" s="3" t="s">
        <v>323</v>
      </c>
      <c r="R217" s="3" t="s">
        <v>322</v>
      </c>
      <c r="S217" s="3" t="s">
        <v>323</v>
      </c>
      <c r="U217" s="4" t="s">
        <v>2</v>
      </c>
      <c r="V217" s="4" t="s">
        <v>3</v>
      </c>
      <c r="W217" s="4" t="s">
        <v>4</v>
      </c>
      <c r="X217" s="4" t="s">
        <v>5</v>
      </c>
      <c r="Y217" s="4" t="s">
        <v>6</v>
      </c>
      <c r="Z217" s="4" t="s">
        <v>7</v>
      </c>
      <c r="AA217" s="4" t="s">
        <v>8</v>
      </c>
      <c r="AC217" s="4" t="s">
        <v>2</v>
      </c>
      <c r="AD217" s="4" t="s">
        <v>3</v>
      </c>
      <c r="AE217" s="4" t="s">
        <v>4</v>
      </c>
      <c r="AF217" s="4" t="s">
        <v>5</v>
      </c>
      <c r="AG217" s="4" t="s">
        <v>6</v>
      </c>
      <c r="AH217" s="4" t="s">
        <v>7</v>
      </c>
      <c r="AI217" s="4" t="s">
        <v>8</v>
      </c>
      <c r="AJ217" s="3" t="s">
        <v>322</v>
      </c>
      <c r="AK217" s="3" t="s">
        <v>323</v>
      </c>
      <c r="AL217" s="3" t="s">
        <v>322</v>
      </c>
      <c r="AM217" s="3" t="s">
        <v>323</v>
      </c>
      <c r="AO217" s="4" t="s">
        <v>2</v>
      </c>
      <c r="AP217" s="4" t="s">
        <v>3</v>
      </c>
      <c r="AQ217" s="4" t="s">
        <v>4</v>
      </c>
      <c r="AR217" s="4" t="s">
        <v>5</v>
      </c>
      <c r="AS217" s="4" t="s">
        <v>6</v>
      </c>
      <c r="AT217" s="4" t="s">
        <v>7</v>
      </c>
      <c r="AU217" s="4" t="s">
        <v>8</v>
      </c>
      <c r="AW217" s="4" t="s">
        <v>2</v>
      </c>
      <c r="AX217" s="4" t="s">
        <v>3</v>
      </c>
      <c r="AY217" s="4" t="s">
        <v>4</v>
      </c>
      <c r="AZ217" s="4" t="s">
        <v>5</v>
      </c>
      <c r="BA217" s="4" t="s">
        <v>6</v>
      </c>
      <c r="BB217" s="4" t="s">
        <v>7</v>
      </c>
      <c r="BC217" s="4" t="s">
        <v>8</v>
      </c>
      <c r="BD217" s="3" t="s">
        <v>322</v>
      </c>
      <c r="BE217" s="3" t="s">
        <v>323</v>
      </c>
      <c r="BF217" s="3" t="s">
        <v>322</v>
      </c>
      <c r="BG217" s="3" t="s">
        <v>323</v>
      </c>
      <c r="BI217" s="4" t="s">
        <v>2</v>
      </c>
      <c r="BJ217" s="4" t="s">
        <v>3</v>
      </c>
      <c r="BK217" s="4" t="s">
        <v>4</v>
      </c>
      <c r="BL217" s="4" t="s">
        <v>5</v>
      </c>
      <c r="BM217" s="4" t="s">
        <v>6</v>
      </c>
      <c r="BN217" s="4" t="s">
        <v>7</v>
      </c>
      <c r="BO217" s="4" t="s">
        <v>8</v>
      </c>
      <c r="BQ217" s="4" t="s">
        <v>2</v>
      </c>
      <c r="BR217" s="4" t="s">
        <v>3</v>
      </c>
      <c r="BS217" s="4" t="s">
        <v>4</v>
      </c>
      <c r="BT217" s="4" t="s">
        <v>5</v>
      </c>
      <c r="BU217" s="4" t="s">
        <v>6</v>
      </c>
      <c r="BV217" s="4" t="s">
        <v>7</v>
      </c>
      <c r="BW217" s="4" t="s">
        <v>8</v>
      </c>
      <c r="BX217" s="3" t="s">
        <v>322</v>
      </c>
      <c r="BY217" s="3" t="s">
        <v>323</v>
      </c>
      <c r="BZ217" s="3" t="s">
        <v>322</v>
      </c>
      <c r="CA217" s="3" t="s">
        <v>323</v>
      </c>
    </row>
    <row r="218" spans="1:79" x14ac:dyDescent="0.3">
      <c r="A218" s="4" t="s">
        <v>134</v>
      </c>
      <c r="B218" s="4">
        <v>0.9</v>
      </c>
      <c r="C218" s="4">
        <v>0.5</v>
      </c>
      <c r="D218" s="4">
        <v>0.6</v>
      </c>
      <c r="E218" s="4">
        <v>0.3</v>
      </c>
      <c r="F218" s="6">
        <v>600.08557099999996</v>
      </c>
      <c r="G218" s="4">
        <v>2E-3</v>
      </c>
      <c r="I218" s="4" t="s">
        <v>134</v>
      </c>
      <c r="J218" s="4">
        <v>0.9</v>
      </c>
      <c r="K218" s="4">
        <v>0.5</v>
      </c>
      <c r="L218" s="4">
        <v>0.6</v>
      </c>
      <c r="M218" s="4">
        <v>0.34</v>
      </c>
      <c r="N218" s="4">
        <v>612.113159</v>
      </c>
      <c r="O218" s="4">
        <v>1E-3</v>
      </c>
      <c r="P218" s="4" t="s">
        <v>324</v>
      </c>
      <c r="Q218" s="4" t="s">
        <v>324</v>
      </c>
      <c r="R218" s="4" t="s">
        <v>325</v>
      </c>
      <c r="S218" s="4" t="s">
        <v>325</v>
      </c>
      <c r="U218" s="4" t="s">
        <v>134</v>
      </c>
      <c r="V218" s="4">
        <v>0.9</v>
      </c>
      <c r="W218" s="4">
        <v>0.5</v>
      </c>
      <c r="X218" s="4">
        <v>0.6</v>
      </c>
      <c r="Y218" s="4">
        <v>0.3</v>
      </c>
      <c r="Z218" s="6">
        <v>553.515625</v>
      </c>
      <c r="AA218" s="4">
        <v>2E-3</v>
      </c>
      <c r="AC218" s="4" t="s">
        <v>134</v>
      </c>
      <c r="AD218" s="4">
        <v>0.9</v>
      </c>
      <c r="AE218" s="4">
        <v>0.5</v>
      </c>
      <c r="AF218" s="4">
        <v>0.6</v>
      </c>
      <c r="AG218" s="4">
        <v>0.32</v>
      </c>
      <c r="AH218" s="4">
        <v>554.870544</v>
      </c>
      <c r="AI218" s="4">
        <v>2E-3</v>
      </c>
      <c r="AJ218" s="4" t="s">
        <v>324</v>
      </c>
      <c r="AK218" s="4" t="s">
        <v>324</v>
      </c>
      <c r="AL218" s="4" t="s">
        <v>325</v>
      </c>
      <c r="AM218" s="4" t="s">
        <v>325</v>
      </c>
      <c r="AO218" s="4" t="s">
        <v>135</v>
      </c>
      <c r="AP218" s="4">
        <v>0.9</v>
      </c>
      <c r="AQ218" s="4">
        <v>0.5</v>
      </c>
      <c r="AR218" s="4">
        <v>0.6</v>
      </c>
      <c r="AS218" s="4">
        <v>0.3</v>
      </c>
      <c r="AT218" s="6">
        <v>793.36767599999996</v>
      </c>
      <c r="AU218" s="4">
        <v>5.0000000000000001E-3</v>
      </c>
      <c r="AW218" s="4" t="s">
        <v>135</v>
      </c>
      <c r="AX218" s="4">
        <v>0.9</v>
      </c>
      <c r="AY218" s="4">
        <v>0.5</v>
      </c>
      <c r="AZ218" s="4">
        <v>0.6</v>
      </c>
      <c r="BA218" s="4">
        <v>0.3</v>
      </c>
      <c r="BB218" s="4">
        <v>819.18054199999995</v>
      </c>
      <c r="BC218" s="4">
        <v>6.0000000000000001E-3</v>
      </c>
      <c r="BD218" s="4" t="s">
        <v>324</v>
      </c>
      <c r="BE218" s="4" t="s">
        <v>324</v>
      </c>
      <c r="BF218" s="4" t="s">
        <v>325</v>
      </c>
      <c r="BG218" s="4" t="s">
        <v>325</v>
      </c>
      <c r="BI218" s="4" t="s">
        <v>135</v>
      </c>
      <c r="BJ218" s="4">
        <v>0.9</v>
      </c>
      <c r="BK218" s="4">
        <v>0.5</v>
      </c>
      <c r="BL218" s="4">
        <v>0.6</v>
      </c>
      <c r="BM218" s="4">
        <v>0.3</v>
      </c>
      <c r="BN218" s="6">
        <v>729.96337900000003</v>
      </c>
      <c r="BO218" s="4">
        <v>4.0000000000000001E-3</v>
      </c>
      <c r="BQ218" s="4" t="s">
        <v>135</v>
      </c>
      <c r="BR218" s="4">
        <v>0.9</v>
      </c>
      <c r="BS218" s="4">
        <v>0.5</v>
      </c>
      <c r="BT218" s="4">
        <v>0.6</v>
      </c>
      <c r="BU218" s="4">
        <v>0.3</v>
      </c>
      <c r="BV218" s="4">
        <v>745.13568099999998</v>
      </c>
      <c r="BW218" s="4">
        <v>5.0000000000000001E-3</v>
      </c>
      <c r="BX218" s="4" t="s">
        <v>324</v>
      </c>
      <c r="BY218" s="4" t="s">
        <v>324</v>
      </c>
      <c r="BZ218" s="4" t="s">
        <v>325</v>
      </c>
      <c r="CA218" s="4" t="s">
        <v>325</v>
      </c>
    </row>
    <row r="219" spans="1:79" x14ac:dyDescent="0.3">
      <c r="A219" s="4" t="s">
        <v>136</v>
      </c>
      <c r="B219" s="4">
        <v>0.9</v>
      </c>
      <c r="C219" s="4">
        <v>0.5</v>
      </c>
      <c r="D219" s="4">
        <v>0.6</v>
      </c>
      <c r="E219" s="4">
        <v>0.3</v>
      </c>
      <c r="F219" s="4">
        <v>544.890625</v>
      </c>
      <c r="G219" s="4">
        <v>1E-3</v>
      </c>
      <c r="I219" s="4" t="s">
        <v>136</v>
      </c>
      <c r="J219" s="4">
        <v>0.9</v>
      </c>
      <c r="K219" s="4">
        <v>0.5</v>
      </c>
      <c r="L219" s="4">
        <v>0.6</v>
      </c>
      <c r="M219" s="4">
        <v>0.35</v>
      </c>
      <c r="N219" s="6">
        <v>538.90173300000004</v>
      </c>
      <c r="O219" s="4">
        <v>1E-3</v>
      </c>
      <c r="P219" s="3">
        <f>COUNT(F218,F220,F222:F239,F241:F247)</f>
        <v>27</v>
      </c>
      <c r="Q219" s="3">
        <f>30-P219</f>
        <v>3</v>
      </c>
      <c r="R219" s="3">
        <f>COUNT(N219,N221,N240)</f>
        <v>3</v>
      </c>
      <c r="S219" s="3">
        <f>30-R219</f>
        <v>27</v>
      </c>
      <c r="U219" s="4" t="s">
        <v>136</v>
      </c>
      <c r="V219" s="4">
        <v>0.9</v>
      </c>
      <c r="W219" s="4">
        <v>0.5</v>
      </c>
      <c r="X219" s="4">
        <v>0.6</v>
      </c>
      <c r="Y219" s="4">
        <v>0.3</v>
      </c>
      <c r="Z219" s="8">
        <v>458.34362800000002</v>
      </c>
      <c r="AA219" s="4">
        <v>2E-3</v>
      </c>
      <c r="AC219" s="4" t="s">
        <v>136</v>
      </c>
      <c r="AD219" s="4">
        <v>0.9</v>
      </c>
      <c r="AE219" s="4">
        <v>0.5</v>
      </c>
      <c r="AF219" s="4">
        <v>0.6</v>
      </c>
      <c r="AG219" s="4">
        <v>0.35</v>
      </c>
      <c r="AH219" s="6">
        <v>458.216431</v>
      </c>
      <c r="AI219" s="4">
        <v>1E-3</v>
      </c>
      <c r="AJ219" s="3">
        <f>COUNT(Z218:Z240,Z242:Z247)</f>
        <v>29</v>
      </c>
      <c r="AK219" s="3">
        <f>30-AJ219</f>
        <v>1</v>
      </c>
      <c r="AL219" s="3">
        <f>COUNT(AH219,AH228,AH241)</f>
        <v>3</v>
      </c>
      <c r="AM219" s="3">
        <f>30-AL219</f>
        <v>27</v>
      </c>
      <c r="AO219" s="4" t="s">
        <v>137</v>
      </c>
      <c r="AP219" s="4">
        <v>0.9</v>
      </c>
      <c r="AQ219" s="4">
        <v>0.5</v>
      </c>
      <c r="AR219" s="4">
        <v>0.6</v>
      </c>
      <c r="AS219" s="4">
        <v>0.3</v>
      </c>
      <c r="AT219" s="6">
        <v>881.770264</v>
      </c>
      <c r="AU219" s="4">
        <v>5.0000000000000001E-3</v>
      </c>
      <c r="AW219" s="4" t="s">
        <v>137</v>
      </c>
      <c r="AX219" s="4">
        <v>0.9</v>
      </c>
      <c r="AY219" s="4">
        <v>0.5</v>
      </c>
      <c r="AZ219" s="4">
        <v>0.6</v>
      </c>
      <c r="BA219" s="4">
        <v>0.35</v>
      </c>
      <c r="BB219" s="4">
        <v>898.25585899999999</v>
      </c>
      <c r="BC219" s="4">
        <v>7.0000000000000001E-3</v>
      </c>
      <c r="BD219" s="3">
        <f>COUNT(AT218:AT243,AT245:AT247)</f>
        <v>29</v>
      </c>
      <c r="BE219" s="3">
        <f>30-BD219</f>
        <v>1</v>
      </c>
      <c r="BF219" s="3">
        <f>COUNT(BB244)</f>
        <v>1</v>
      </c>
      <c r="BG219" s="3">
        <f>30-BF219</f>
        <v>29</v>
      </c>
      <c r="BI219" s="4" t="s">
        <v>137</v>
      </c>
      <c r="BJ219" s="4">
        <v>0.9</v>
      </c>
      <c r="BK219" s="4">
        <v>0.5</v>
      </c>
      <c r="BL219" s="4">
        <v>0.6</v>
      </c>
      <c r="BM219" s="4">
        <v>0.3</v>
      </c>
      <c r="BN219" s="6">
        <v>829.39160200000003</v>
      </c>
      <c r="BO219" s="4">
        <v>5.0000000000000001E-3</v>
      </c>
      <c r="BQ219" s="4" t="s">
        <v>137</v>
      </c>
      <c r="BR219" s="4">
        <v>0.9</v>
      </c>
      <c r="BS219" s="4">
        <v>0.5</v>
      </c>
      <c r="BT219" s="4">
        <v>0.6</v>
      </c>
      <c r="BU219" s="4">
        <v>0.31</v>
      </c>
      <c r="BV219" s="4">
        <v>848.069031</v>
      </c>
      <c r="BW219" s="4">
        <v>6.0000000000000001E-3</v>
      </c>
      <c r="BX219" s="3">
        <f>COUNT(BN218:BN245,BN247)</f>
        <v>29</v>
      </c>
      <c r="BY219" s="3">
        <f>30-BX219</f>
        <v>1</v>
      </c>
      <c r="BZ219" s="3">
        <f>COUNT(BV225,BV246)</f>
        <v>2</v>
      </c>
      <c r="CA219" s="3">
        <f>30-BZ219</f>
        <v>28</v>
      </c>
    </row>
    <row r="220" spans="1:79" x14ac:dyDescent="0.3">
      <c r="A220" s="4" t="s">
        <v>138</v>
      </c>
      <c r="B220" s="4">
        <v>0.9</v>
      </c>
      <c r="C220" s="4">
        <v>0.5</v>
      </c>
      <c r="D220" s="4">
        <v>0.6</v>
      </c>
      <c r="E220" s="4">
        <v>0.3</v>
      </c>
      <c r="F220" s="6">
        <v>603.32708700000001</v>
      </c>
      <c r="G220" s="4">
        <v>1E-3</v>
      </c>
      <c r="I220" s="4" t="s">
        <v>138</v>
      </c>
      <c r="J220" s="4">
        <v>0.9</v>
      </c>
      <c r="K220" s="4">
        <v>0.5</v>
      </c>
      <c r="L220" s="4">
        <v>0.6</v>
      </c>
      <c r="M220" s="4">
        <v>0.34</v>
      </c>
      <c r="N220" s="4">
        <v>610.80566399999998</v>
      </c>
      <c r="O220" s="4">
        <v>2E-3</v>
      </c>
      <c r="P220" s="5"/>
      <c r="Q220" s="5"/>
      <c r="R220" s="5"/>
      <c r="S220" s="5"/>
      <c r="U220" s="4" t="s">
        <v>138</v>
      </c>
      <c r="V220" s="4">
        <v>0.9</v>
      </c>
      <c r="W220" s="4">
        <v>0.5</v>
      </c>
      <c r="X220" s="4">
        <v>0.6</v>
      </c>
      <c r="Y220" s="4">
        <v>0.3</v>
      </c>
      <c r="Z220" s="6">
        <v>545.328125</v>
      </c>
      <c r="AA220" s="4">
        <v>2E-3</v>
      </c>
      <c r="AC220" s="4" t="s">
        <v>138</v>
      </c>
      <c r="AD220" s="4">
        <v>0.9</v>
      </c>
      <c r="AE220" s="4">
        <v>0.5</v>
      </c>
      <c r="AF220" s="4">
        <v>0.6</v>
      </c>
      <c r="AG220" s="4">
        <v>0.36</v>
      </c>
      <c r="AH220" s="4">
        <v>574.13793899999996</v>
      </c>
      <c r="AI220" s="4">
        <v>1E-3</v>
      </c>
      <c r="AJ220" s="5"/>
      <c r="AK220" s="5"/>
      <c r="AL220" s="5"/>
      <c r="AM220" s="5"/>
      <c r="AO220" s="4" t="s">
        <v>139</v>
      </c>
      <c r="AP220" s="4">
        <v>0.9</v>
      </c>
      <c r="AQ220" s="4">
        <v>0.5</v>
      </c>
      <c r="AR220" s="4">
        <v>0.6</v>
      </c>
      <c r="AS220" s="4">
        <v>0.3</v>
      </c>
      <c r="AT220" s="6">
        <v>896.74194299999999</v>
      </c>
      <c r="AU220" s="4">
        <v>8.0000000000000002E-3</v>
      </c>
      <c r="AW220" s="4" t="s">
        <v>139</v>
      </c>
      <c r="AX220" s="4">
        <v>0.9</v>
      </c>
      <c r="AY220" s="4">
        <v>0.5</v>
      </c>
      <c r="AZ220" s="4">
        <v>0.6</v>
      </c>
      <c r="BA220" s="4">
        <v>0.35</v>
      </c>
      <c r="BB220" s="4">
        <v>909.79162599999995</v>
      </c>
      <c r="BC220" s="4">
        <v>8.0000000000000002E-3</v>
      </c>
      <c r="BD220" s="5"/>
      <c r="BE220" s="5"/>
      <c r="BF220" s="5"/>
      <c r="BG220" s="5"/>
      <c r="BI220" s="4" t="s">
        <v>139</v>
      </c>
      <c r="BJ220" s="4">
        <v>0.9</v>
      </c>
      <c r="BK220" s="4">
        <v>0.5</v>
      </c>
      <c r="BL220" s="4">
        <v>0.6</v>
      </c>
      <c r="BM220" s="4">
        <v>0.3</v>
      </c>
      <c r="BN220" s="6">
        <v>832.72143600000004</v>
      </c>
      <c r="BO220" s="4">
        <v>6.0000000000000001E-3</v>
      </c>
      <c r="BQ220" s="4" t="s">
        <v>139</v>
      </c>
      <c r="BR220" s="4">
        <v>0.9</v>
      </c>
      <c r="BS220" s="4">
        <v>0.5</v>
      </c>
      <c r="BT220" s="4">
        <v>0.6</v>
      </c>
      <c r="BU220" s="4">
        <v>0.31</v>
      </c>
      <c r="BV220" s="4">
        <v>852.17553699999996</v>
      </c>
      <c r="BW220" s="4">
        <v>6.0000000000000001E-3</v>
      </c>
      <c r="BX220" s="5"/>
      <c r="BY220" s="5"/>
      <c r="BZ220" s="5"/>
      <c r="CA220" s="5"/>
    </row>
    <row r="221" spans="1:79" x14ac:dyDescent="0.3">
      <c r="A221" s="4" t="s">
        <v>140</v>
      </c>
      <c r="B221" s="4">
        <v>0.9</v>
      </c>
      <c r="C221" s="4">
        <v>0.5</v>
      </c>
      <c r="D221" s="4">
        <v>0.6</v>
      </c>
      <c r="E221" s="4">
        <v>0.3</v>
      </c>
      <c r="F221" s="4">
        <v>599.78900099999998</v>
      </c>
      <c r="G221" s="4">
        <v>1E-3</v>
      </c>
      <c r="I221" s="4" t="s">
        <v>140</v>
      </c>
      <c r="J221" s="4">
        <v>0.9</v>
      </c>
      <c r="K221" s="4">
        <v>0.5</v>
      </c>
      <c r="L221" s="4">
        <v>0.6</v>
      </c>
      <c r="M221" s="4">
        <v>0.32</v>
      </c>
      <c r="N221" s="6">
        <v>597.69976799999995</v>
      </c>
      <c r="O221" s="4">
        <v>2E-3</v>
      </c>
      <c r="P221" s="5"/>
      <c r="Q221" s="5"/>
      <c r="R221" s="5"/>
      <c r="S221" s="5"/>
      <c r="U221" s="4" t="s">
        <v>140</v>
      </c>
      <c r="V221" s="4">
        <v>0.9</v>
      </c>
      <c r="W221" s="4">
        <v>0.5</v>
      </c>
      <c r="X221" s="4">
        <v>0.6</v>
      </c>
      <c r="Y221" s="4">
        <v>0.3</v>
      </c>
      <c r="Z221" s="6">
        <v>544.80743399999994</v>
      </c>
      <c r="AA221" s="4">
        <v>1E-3</v>
      </c>
      <c r="AC221" s="4" t="s">
        <v>140</v>
      </c>
      <c r="AD221" s="4">
        <v>0.9</v>
      </c>
      <c r="AE221" s="4">
        <v>0.5</v>
      </c>
      <c r="AF221" s="4">
        <v>0.6</v>
      </c>
      <c r="AG221" s="4">
        <v>0.39</v>
      </c>
      <c r="AH221" s="4">
        <v>580.28814699999998</v>
      </c>
      <c r="AI221" s="4">
        <v>2E-3</v>
      </c>
      <c r="AJ221" s="5"/>
      <c r="AK221" s="5"/>
      <c r="AL221" s="5"/>
      <c r="AM221" s="5"/>
      <c r="AO221" s="4" t="s">
        <v>141</v>
      </c>
      <c r="AP221" s="4">
        <v>0.9</v>
      </c>
      <c r="AQ221" s="4">
        <v>0.5</v>
      </c>
      <c r="AR221" s="4">
        <v>0.6</v>
      </c>
      <c r="AS221" s="4">
        <v>0.3</v>
      </c>
      <c r="AT221" s="6">
        <v>927.65460199999995</v>
      </c>
      <c r="AU221" s="4">
        <v>5.0000000000000001E-3</v>
      </c>
      <c r="AW221" s="4" t="s">
        <v>141</v>
      </c>
      <c r="AX221" s="4">
        <v>0.9</v>
      </c>
      <c r="AY221" s="4">
        <v>0.5</v>
      </c>
      <c r="AZ221" s="4">
        <v>0.6</v>
      </c>
      <c r="BA221" s="4">
        <v>0.32</v>
      </c>
      <c r="BB221" s="4">
        <v>955.86755400000004</v>
      </c>
      <c r="BC221" s="4">
        <v>7.0000000000000001E-3</v>
      </c>
      <c r="BD221" s="5"/>
      <c r="BE221" s="5"/>
      <c r="BF221" s="5"/>
      <c r="BG221" s="5"/>
      <c r="BI221" s="4" t="s">
        <v>141</v>
      </c>
      <c r="BJ221" s="4">
        <v>0.9</v>
      </c>
      <c r="BK221" s="4">
        <v>0.5</v>
      </c>
      <c r="BL221" s="4">
        <v>0.6</v>
      </c>
      <c r="BM221" s="4">
        <v>0.3</v>
      </c>
      <c r="BN221" s="6">
        <v>896.203125</v>
      </c>
      <c r="BO221" s="4">
        <v>6.0000000000000001E-3</v>
      </c>
      <c r="BQ221" s="4" t="s">
        <v>141</v>
      </c>
      <c r="BR221" s="4">
        <v>0.9</v>
      </c>
      <c r="BS221" s="4">
        <v>0.5</v>
      </c>
      <c r="BT221" s="4">
        <v>0.6</v>
      </c>
      <c r="BU221" s="4">
        <v>0.3</v>
      </c>
      <c r="BV221" s="4">
        <v>922.22393799999998</v>
      </c>
      <c r="BW221" s="4">
        <v>5.0000000000000001E-3</v>
      </c>
      <c r="BX221" s="5"/>
      <c r="BY221" s="5"/>
      <c r="BZ221" s="5"/>
      <c r="CA221" s="5"/>
    </row>
    <row r="222" spans="1:79" x14ac:dyDescent="0.3">
      <c r="A222" s="4" t="s">
        <v>142</v>
      </c>
      <c r="B222" s="4">
        <v>0.9</v>
      </c>
      <c r="C222" s="4">
        <v>0.5</v>
      </c>
      <c r="D222" s="4">
        <v>0.6</v>
      </c>
      <c r="E222" s="4">
        <v>0.3</v>
      </c>
      <c r="F222" s="6">
        <v>519.76959199999999</v>
      </c>
      <c r="G222" s="4">
        <v>2E-3</v>
      </c>
      <c r="I222" s="4" t="s">
        <v>142</v>
      </c>
      <c r="J222" s="4">
        <v>0.9</v>
      </c>
      <c r="K222" s="4">
        <v>0.5</v>
      </c>
      <c r="L222" s="4">
        <v>0.6</v>
      </c>
      <c r="M222" s="4">
        <v>0.33</v>
      </c>
      <c r="N222" s="4">
        <v>542.69671600000004</v>
      </c>
      <c r="O222" s="4">
        <v>2E-3</v>
      </c>
      <c r="P222" s="5"/>
      <c r="Q222" s="5"/>
      <c r="R222" s="5"/>
      <c r="S222" s="5"/>
      <c r="U222" s="4" t="s">
        <v>142</v>
      </c>
      <c r="V222" s="4">
        <v>0.9</v>
      </c>
      <c r="W222" s="4">
        <v>0.5</v>
      </c>
      <c r="X222" s="4">
        <v>0.6</v>
      </c>
      <c r="Y222" s="4">
        <v>0.3</v>
      </c>
      <c r="Z222" s="6">
        <v>446.243652</v>
      </c>
      <c r="AA222" s="4">
        <v>2E-3</v>
      </c>
      <c r="AC222" s="4" t="s">
        <v>142</v>
      </c>
      <c r="AD222" s="4">
        <v>0.9</v>
      </c>
      <c r="AE222" s="4">
        <v>0.5</v>
      </c>
      <c r="AF222" s="4">
        <v>0.6</v>
      </c>
      <c r="AG222" s="4">
        <v>0.31</v>
      </c>
      <c r="AH222" s="4">
        <v>452.684845</v>
      </c>
      <c r="AI222" s="4">
        <v>3.0000000000000001E-3</v>
      </c>
      <c r="AJ222" s="5"/>
      <c r="AK222" s="5"/>
      <c r="AL222" s="5"/>
      <c r="AM222" s="5"/>
      <c r="AO222" s="4" t="s">
        <v>143</v>
      </c>
      <c r="AP222" s="4">
        <v>0.9</v>
      </c>
      <c r="AQ222" s="4">
        <v>0.5</v>
      </c>
      <c r="AR222" s="4">
        <v>0.6</v>
      </c>
      <c r="AS222" s="4">
        <v>0.3</v>
      </c>
      <c r="AT222" s="6">
        <v>895.97418200000004</v>
      </c>
      <c r="AU222" s="4">
        <v>5.0000000000000001E-3</v>
      </c>
      <c r="AW222" s="4" t="s">
        <v>143</v>
      </c>
      <c r="AX222" s="4">
        <v>0.9</v>
      </c>
      <c r="AY222" s="4">
        <v>0.5</v>
      </c>
      <c r="AZ222" s="4">
        <v>0.6</v>
      </c>
      <c r="BA222" s="4">
        <v>0.3</v>
      </c>
      <c r="BB222" s="4">
        <v>923.76434300000005</v>
      </c>
      <c r="BC222" s="4">
        <v>6.0000000000000001E-3</v>
      </c>
      <c r="BD222" s="5"/>
      <c r="BE222" s="5"/>
      <c r="BF222" s="5"/>
      <c r="BG222" s="5"/>
      <c r="BI222" s="4" t="s">
        <v>143</v>
      </c>
      <c r="BJ222" s="4">
        <v>0.9</v>
      </c>
      <c r="BK222" s="4">
        <v>0.5</v>
      </c>
      <c r="BL222" s="4">
        <v>0.6</v>
      </c>
      <c r="BM222" s="4">
        <v>0.3</v>
      </c>
      <c r="BN222" s="6">
        <v>828.85339399999998</v>
      </c>
      <c r="BO222" s="4">
        <v>5.0000000000000001E-3</v>
      </c>
      <c r="BQ222" s="4" t="s">
        <v>143</v>
      </c>
      <c r="BR222" s="4">
        <v>0.9</v>
      </c>
      <c r="BS222" s="4">
        <v>0.5</v>
      </c>
      <c r="BT222" s="4">
        <v>0.6</v>
      </c>
      <c r="BU222" s="4">
        <v>0.3</v>
      </c>
      <c r="BV222" s="4">
        <v>851.886841</v>
      </c>
      <c r="BW222" s="4">
        <v>8.0000000000000002E-3</v>
      </c>
      <c r="BX222" s="5"/>
      <c r="BY222" s="5"/>
      <c r="BZ222" s="5"/>
      <c r="CA222" s="5"/>
    </row>
    <row r="223" spans="1:79" x14ac:dyDescent="0.3">
      <c r="A223" s="4" t="s">
        <v>144</v>
      </c>
      <c r="B223" s="4">
        <v>0.9</v>
      </c>
      <c r="C223" s="4">
        <v>0.5</v>
      </c>
      <c r="D223" s="4">
        <v>0.6</v>
      </c>
      <c r="E223" s="4">
        <v>0.3</v>
      </c>
      <c r="F223" s="6">
        <v>610.307007</v>
      </c>
      <c r="G223" s="4">
        <v>2E-3</v>
      </c>
      <c r="I223" s="4" t="s">
        <v>144</v>
      </c>
      <c r="J223" s="4">
        <v>0.9</v>
      </c>
      <c r="K223" s="4">
        <v>0.5</v>
      </c>
      <c r="L223" s="4">
        <v>0.6</v>
      </c>
      <c r="M223" s="4">
        <v>0.34</v>
      </c>
      <c r="N223" s="4">
        <v>630.65838599999995</v>
      </c>
      <c r="O223" s="4">
        <v>2E-3</v>
      </c>
      <c r="P223" s="5"/>
      <c r="Q223" s="5"/>
      <c r="R223" s="5"/>
      <c r="S223" s="5"/>
      <c r="U223" s="4" t="s">
        <v>144</v>
      </c>
      <c r="V223" s="4">
        <v>0.9</v>
      </c>
      <c r="W223" s="4">
        <v>0.5</v>
      </c>
      <c r="X223" s="4">
        <v>0.6</v>
      </c>
      <c r="Y223" s="4">
        <v>0.3</v>
      </c>
      <c r="Z223" s="6">
        <v>577.97735599999999</v>
      </c>
      <c r="AA223" s="4">
        <v>1E-3</v>
      </c>
      <c r="AC223" s="4" t="s">
        <v>144</v>
      </c>
      <c r="AD223" s="4">
        <v>0.9</v>
      </c>
      <c r="AE223" s="4">
        <v>0.5</v>
      </c>
      <c r="AF223" s="4">
        <v>0.6</v>
      </c>
      <c r="AG223" s="4">
        <v>0.3</v>
      </c>
      <c r="AH223" s="4">
        <v>580.29516599999999</v>
      </c>
      <c r="AI223" s="4">
        <v>1E-3</v>
      </c>
      <c r="AJ223" s="5"/>
      <c r="AK223" s="5"/>
      <c r="AL223" s="5"/>
      <c r="AM223" s="5"/>
      <c r="AO223" s="4" t="s">
        <v>145</v>
      </c>
      <c r="AP223" s="4">
        <v>0.9</v>
      </c>
      <c r="AQ223" s="4">
        <v>0.5</v>
      </c>
      <c r="AR223" s="4">
        <v>0.6</v>
      </c>
      <c r="AS223" s="4">
        <v>0.3</v>
      </c>
      <c r="AT223" s="6">
        <v>901.23089600000003</v>
      </c>
      <c r="AU223" s="4">
        <v>5.0000000000000001E-3</v>
      </c>
      <c r="AW223" s="4" t="s">
        <v>145</v>
      </c>
      <c r="AX223" s="4">
        <v>0.9</v>
      </c>
      <c r="AY223" s="4">
        <v>0.5</v>
      </c>
      <c r="AZ223" s="4">
        <v>0.6</v>
      </c>
      <c r="BA223" s="4">
        <v>0.34</v>
      </c>
      <c r="BB223" s="4">
        <v>912.169128</v>
      </c>
      <c r="BC223" s="4">
        <v>8.9999999999999993E-3</v>
      </c>
      <c r="BD223" s="5"/>
      <c r="BE223" s="5"/>
      <c r="BF223" s="5"/>
      <c r="BG223" s="5"/>
      <c r="BI223" s="4" t="s">
        <v>145</v>
      </c>
      <c r="BJ223" s="4">
        <v>0.9</v>
      </c>
      <c r="BK223" s="4">
        <v>0.5</v>
      </c>
      <c r="BL223" s="4">
        <v>0.6</v>
      </c>
      <c r="BM223" s="4">
        <v>0.3</v>
      </c>
      <c r="BN223" s="6">
        <v>845.92199700000003</v>
      </c>
      <c r="BO223" s="4">
        <v>7.0000000000000001E-3</v>
      </c>
      <c r="BQ223" s="4" t="s">
        <v>145</v>
      </c>
      <c r="BR223" s="4">
        <v>0.9</v>
      </c>
      <c r="BS223" s="4">
        <v>0.5</v>
      </c>
      <c r="BT223" s="4">
        <v>0.6</v>
      </c>
      <c r="BU223" s="4">
        <v>0.33</v>
      </c>
      <c r="BV223" s="4">
        <v>874.55828899999995</v>
      </c>
      <c r="BW223" s="4">
        <v>5.0000000000000001E-3</v>
      </c>
      <c r="BX223" s="5"/>
      <c r="BY223" s="5"/>
      <c r="BZ223" s="5"/>
      <c r="CA223" s="5"/>
    </row>
    <row r="224" spans="1:79" x14ac:dyDescent="0.3">
      <c r="A224" s="4" t="s">
        <v>146</v>
      </c>
      <c r="B224" s="4">
        <v>0.9</v>
      </c>
      <c r="C224" s="4">
        <v>0.5</v>
      </c>
      <c r="D224" s="4">
        <v>0.6</v>
      </c>
      <c r="E224" s="4">
        <v>0.3</v>
      </c>
      <c r="F224" s="6">
        <v>543.838257</v>
      </c>
      <c r="G224" s="4">
        <v>2E-3</v>
      </c>
      <c r="I224" s="4" t="s">
        <v>146</v>
      </c>
      <c r="J224" s="4">
        <v>0.9</v>
      </c>
      <c r="K224" s="4">
        <v>0.5</v>
      </c>
      <c r="L224" s="4">
        <v>0.6</v>
      </c>
      <c r="M224" s="4">
        <v>0.35</v>
      </c>
      <c r="N224" s="4">
        <v>560.43963599999995</v>
      </c>
      <c r="O224" s="4">
        <v>1E-3</v>
      </c>
      <c r="P224" s="5"/>
      <c r="Q224" s="5"/>
      <c r="R224" s="5"/>
      <c r="S224" s="5"/>
      <c r="U224" s="4" t="s">
        <v>146</v>
      </c>
      <c r="V224" s="4">
        <v>0.9</v>
      </c>
      <c r="W224" s="4">
        <v>0.5</v>
      </c>
      <c r="X224" s="4">
        <v>0.6</v>
      </c>
      <c r="Y224" s="4">
        <v>0.3</v>
      </c>
      <c r="Z224" s="6">
        <v>466.94134500000001</v>
      </c>
      <c r="AA224" s="4">
        <v>2E-3</v>
      </c>
      <c r="AC224" s="4" t="s">
        <v>146</v>
      </c>
      <c r="AD224" s="4">
        <v>0.9</v>
      </c>
      <c r="AE224" s="4">
        <v>0.5</v>
      </c>
      <c r="AF224" s="4">
        <v>0.6</v>
      </c>
      <c r="AG224" s="4">
        <v>0.3</v>
      </c>
      <c r="AH224" s="4">
        <v>500.38897700000001</v>
      </c>
      <c r="AI224" s="4">
        <v>2E-3</v>
      </c>
      <c r="AJ224" s="5"/>
      <c r="AK224" s="5"/>
      <c r="AL224" s="5"/>
      <c r="AM224" s="5"/>
      <c r="AO224" s="4" t="s">
        <v>147</v>
      </c>
      <c r="AP224" s="4">
        <v>0.9</v>
      </c>
      <c r="AQ224" s="4">
        <v>0.5</v>
      </c>
      <c r="AR224" s="4">
        <v>0.6</v>
      </c>
      <c r="AS224" s="4">
        <v>0.3</v>
      </c>
      <c r="AT224" s="6">
        <v>847.52862500000003</v>
      </c>
      <c r="AU224" s="4">
        <v>6.0000000000000001E-3</v>
      </c>
      <c r="AW224" s="4" t="s">
        <v>147</v>
      </c>
      <c r="AX224" s="4">
        <v>0.9</v>
      </c>
      <c r="AY224" s="4">
        <v>0.5</v>
      </c>
      <c r="AZ224" s="4">
        <v>0.6</v>
      </c>
      <c r="BA224" s="4">
        <v>0.3</v>
      </c>
      <c r="BB224" s="4">
        <v>885.20202600000005</v>
      </c>
      <c r="BC224" s="4">
        <v>6.0000000000000001E-3</v>
      </c>
      <c r="BD224" s="5"/>
      <c r="BE224" s="5"/>
      <c r="BF224" s="5"/>
      <c r="BG224" s="5"/>
      <c r="BI224" s="4" t="s">
        <v>147</v>
      </c>
      <c r="BJ224" s="4">
        <v>0.9</v>
      </c>
      <c r="BK224" s="4">
        <v>0.5</v>
      </c>
      <c r="BL224" s="4">
        <v>0.6</v>
      </c>
      <c r="BM224" s="4">
        <v>0.3</v>
      </c>
      <c r="BN224" s="6">
        <v>788.03344700000002</v>
      </c>
      <c r="BO224" s="4">
        <v>5.0000000000000001E-3</v>
      </c>
      <c r="BQ224" s="4" t="s">
        <v>147</v>
      </c>
      <c r="BR224" s="4">
        <v>0.9</v>
      </c>
      <c r="BS224" s="4">
        <v>0.5</v>
      </c>
      <c r="BT224" s="4">
        <v>0.6</v>
      </c>
      <c r="BU224" s="4">
        <v>0.3</v>
      </c>
      <c r="BV224" s="4">
        <v>815.22760000000005</v>
      </c>
      <c r="BW224" s="4">
        <v>0.01</v>
      </c>
      <c r="BX224" s="5"/>
      <c r="BY224" s="5"/>
      <c r="BZ224" s="5"/>
      <c r="CA224" s="5"/>
    </row>
    <row r="225" spans="1:79" x14ac:dyDescent="0.3">
      <c r="A225" s="4" t="s">
        <v>148</v>
      </c>
      <c r="B225" s="4">
        <v>0.9</v>
      </c>
      <c r="C225" s="4">
        <v>0.5</v>
      </c>
      <c r="D225" s="4">
        <v>0.6</v>
      </c>
      <c r="E225" s="4">
        <v>0.3</v>
      </c>
      <c r="F225" s="6">
        <v>599.996216</v>
      </c>
      <c r="G225" s="4">
        <v>1E-3</v>
      </c>
      <c r="I225" s="4" t="s">
        <v>148</v>
      </c>
      <c r="J225" s="4">
        <v>0.9</v>
      </c>
      <c r="K225" s="4">
        <v>0.5</v>
      </c>
      <c r="L225" s="4">
        <v>0.6</v>
      </c>
      <c r="M225" s="4">
        <v>0.32</v>
      </c>
      <c r="N225" s="4">
        <v>604.33557099999996</v>
      </c>
      <c r="O225" s="4">
        <v>2E-3</v>
      </c>
      <c r="P225" s="5"/>
      <c r="Q225" s="5"/>
      <c r="R225" s="5"/>
      <c r="S225" s="5"/>
      <c r="U225" s="4" t="s">
        <v>148</v>
      </c>
      <c r="V225" s="4">
        <v>0.9</v>
      </c>
      <c r="W225" s="4">
        <v>0.5</v>
      </c>
      <c r="X225" s="4">
        <v>0.6</v>
      </c>
      <c r="Y225" s="4">
        <v>0.3</v>
      </c>
      <c r="Z225" s="6">
        <v>541.82678199999998</v>
      </c>
      <c r="AA225" s="4">
        <v>1E-3</v>
      </c>
      <c r="AC225" s="4" t="s">
        <v>148</v>
      </c>
      <c r="AD225" s="4">
        <v>0.9</v>
      </c>
      <c r="AE225" s="4">
        <v>0.5</v>
      </c>
      <c r="AF225" s="4">
        <v>0.6</v>
      </c>
      <c r="AG225" s="4">
        <v>0.31</v>
      </c>
      <c r="AH225" s="4">
        <v>572.03344700000002</v>
      </c>
      <c r="AI225" s="4">
        <v>2E-3</v>
      </c>
      <c r="AJ225" s="5"/>
      <c r="AK225" s="5"/>
      <c r="AL225" s="5"/>
      <c r="AM225" s="5"/>
      <c r="AO225" s="4" t="s">
        <v>149</v>
      </c>
      <c r="AP225" s="4">
        <v>0.9</v>
      </c>
      <c r="AQ225" s="4">
        <v>0.5</v>
      </c>
      <c r="AR225" s="4">
        <v>0.6</v>
      </c>
      <c r="AS225" s="4">
        <v>0.3</v>
      </c>
      <c r="AT225" s="6">
        <v>854.40582300000005</v>
      </c>
      <c r="AU225" s="4">
        <v>6.0000000000000001E-3</v>
      </c>
      <c r="AW225" s="4" t="s">
        <v>149</v>
      </c>
      <c r="AX225" s="4">
        <v>0.9</v>
      </c>
      <c r="AY225" s="4">
        <v>0.5</v>
      </c>
      <c r="AZ225" s="4">
        <v>0.6</v>
      </c>
      <c r="BA225" s="4">
        <v>0.33</v>
      </c>
      <c r="BB225" s="4">
        <v>895.31732199999999</v>
      </c>
      <c r="BC225" s="4">
        <v>7.0000000000000001E-3</v>
      </c>
      <c r="BD225" s="5"/>
      <c r="BE225" s="5"/>
      <c r="BF225" s="5"/>
      <c r="BG225" s="5"/>
      <c r="BI225" s="4" t="s">
        <v>149</v>
      </c>
      <c r="BJ225" s="4">
        <v>0.9</v>
      </c>
      <c r="BK225" s="4">
        <v>0.5</v>
      </c>
      <c r="BL225" s="4">
        <v>0.6</v>
      </c>
      <c r="BM225" s="4">
        <v>0.3</v>
      </c>
      <c r="BN225" s="8">
        <v>816.615906</v>
      </c>
      <c r="BO225" s="4">
        <v>5.0000000000000001E-3</v>
      </c>
      <c r="BQ225" s="4" t="s">
        <v>149</v>
      </c>
      <c r="BR225" s="4">
        <v>0.9</v>
      </c>
      <c r="BS225" s="4">
        <v>0.5</v>
      </c>
      <c r="BT225" s="4">
        <v>0.6</v>
      </c>
      <c r="BU225" s="4">
        <v>0.3</v>
      </c>
      <c r="BV225" s="6">
        <v>816.277466</v>
      </c>
      <c r="BW225" s="4">
        <v>6.0000000000000001E-3</v>
      </c>
      <c r="BX225" s="5"/>
      <c r="BY225" s="5"/>
      <c r="BZ225" s="5"/>
      <c r="CA225" s="5"/>
    </row>
    <row r="226" spans="1:79" x14ac:dyDescent="0.3">
      <c r="A226" s="4" t="s">
        <v>150</v>
      </c>
      <c r="B226" s="4">
        <v>0.9</v>
      </c>
      <c r="C226" s="4">
        <v>0.5</v>
      </c>
      <c r="D226" s="4">
        <v>0.6</v>
      </c>
      <c r="E226" s="4">
        <v>0.3</v>
      </c>
      <c r="F226" s="6">
        <v>536.33410600000002</v>
      </c>
      <c r="G226" s="4">
        <v>1E-3</v>
      </c>
      <c r="I226" s="4" t="s">
        <v>150</v>
      </c>
      <c r="J226" s="4">
        <v>0.9</v>
      </c>
      <c r="K226" s="4">
        <v>0.5</v>
      </c>
      <c r="L226" s="4">
        <v>0.6</v>
      </c>
      <c r="M226" s="4">
        <v>0.34</v>
      </c>
      <c r="N226" s="4">
        <v>549.73461899999995</v>
      </c>
      <c r="O226" s="4">
        <v>3.0000000000000001E-3</v>
      </c>
      <c r="P226" s="5"/>
      <c r="Q226" s="5"/>
      <c r="R226" s="5"/>
      <c r="S226" s="5"/>
      <c r="U226" s="4" t="s">
        <v>150</v>
      </c>
      <c r="V226" s="4">
        <v>0.9</v>
      </c>
      <c r="W226" s="4">
        <v>0.5</v>
      </c>
      <c r="X226" s="4">
        <v>0.6</v>
      </c>
      <c r="Y226" s="4">
        <v>0.3</v>
      </c>
      <c r="Z226" s="6">
        <v>449.11697400000003</v>
      </c>
      <c r="AA226" s="4">
        <v>1E-3</v>
      </c>
      <c r="AC226" s="4" t="s">
        <v>150</v>
      </c>
      <c r="AD226" s="4">
        <v>0.9</v>
      </c>
      <c r="AE226" s="4">
        <v>0.5</v>
      </c>
      <c r="AF226" s="4">
        <v>0.6</v>
      </c>
      <c r="AG226" s="4">
        <v>0.3</v>
      </c>
      <c r="AH226" s="4">
        <v>473.03066999999999</v>
      </c>
      <c r="AI226" s="4">
        <v>2E-3</v>
      </c>
      <c r="AJ226" s="5"/>
      <c r="AK226" s="5"/>
      <c r="AL226" s="5"/>
      <c r="AM226" s="5"/>
      <c r="AO226" s="4" t="s">
        <v>151</v>
      </c>
      <c r="AP226" s="4">
        <v>0.9</v>
      </c>
      <c r="AQ226" s="4">
        <v>0.5</v>
      </c>
      <c r="AR226" s="4">
        <v>0.6</v>
      </c>
      <c r="AS226" s="4">
        <v>0.3</v>
      </c>
      <c r="AT226" s="6">
        <v>795.18896500000005</v>
      </c>
      <c r="AU226" s="4">
        <v>5.0000000000000001E-3</v>
      </c>
      <c r="AW226" s="4" t="s">
        <v>151</v>
      </c>
      <c r="AX226" s="4">
        <v>0.9</v>
      </c>
      <c r="AY226" s="4">
        <v>0.5</v>
      </c>
      <c r="AZ226" s="4">
        <v>0.6</v>
      </c>
      <c r="BA226" s="4">
        <v>0.3</v>
      </c>
      <c r="BB226" s="4">
        <v>826.88195800000005</v>
      </c>
      <c r="BC226" s="4">
        <v>8.0000000000000002E-3</v>
      </c>
      <c r="BD226" s="5"/>
      <c r="BE226" s="5"/>
      <c r="BF226" s="5"/>
      <c r="BG226" s="5"/>
      <c r="BI226" s="4" t="s">
        <v>151</v>
      </c>
      <c r="BJ226" s="4">
        <v>0.9</v>
      </c>
      <c r="BK226" s="4">
        <v>0.5</v>
      </c>
      <c r="BL226" s="4">
        <v>0.6</v>
      </c>
      <c r="BM226" s="4">
        <v>0.3</v>
      </c>
      <c r="BN226" s="6">
        <v>732.98535200000003</v>
      </c>
      <c r="BO226" s="4">
        <v>5.0000000000000001E-3</v>
      </c>
      <c r="BQ226" s="4" t="s">
        <v>151</v>
      </c>
      <c r="BR226" s="4">
        <v>0.9</v>
      </c>
      <c r="BS226" s="4">
        <v>0.5</v>
      </c>
      <c r="BT226" s="4">
        <v>0.6</v>
      </c>
      <c r="BU226" s="4">
        <v>0.3</v>
      </c>
      <c r="BV226" s="4">
        <v>746.89660600000002</v>
      </c>
      <c r="BW226" s="4">
        <v>5.0000000000000001E-3</v>
      </c>
      <c r="BX226" s="5"/>
      <c r="BY226" s="5"/>
      <c r="BZ226" s="5"/>
      <c r="CA226" s="5"/>
    </row>
    <row r="227" spans="1:79" x14ac:dyDescent="0.3">
      <c r="A227" s="4" t="s">
        <v>152</v>
      </c>
      <c r="B227" s="4">
        <v>0.9</v>
      </c>
      <c r="C227" s="4">
        <v>0.5</v>
      </c>
      <c r="D227" s="4">
        <v>0.6</v>
      </c>
      <c r="E227" s="4">
        <v>0.3</v>
      </c>
      <c r="F227" s="6">
        <v>582.50158699999997</v>
      </c>
      <c r="G227" s="4">
        <v>1E-3</v>
      </c>
      <c r="I227" s="4" t="s">
        <v>152</v>
      </c>
      <c r="J227" s="4">
        <v>0.9</v>
      </c>
      <c r="K227" s="4">
        <v>0.5</v>
      </c>
      <c r="L227" s="4">
        <v>0.6</v>
      </c>
      <c r="M227" s="4">
        <v>0.3</v>
      </c>
      <c r="N227" s="4">
        <v>590.42382799999996</v>
      </c>
      <c r="O227" s="4">
        <v>2E-3</v>
      </c>
      <c r="P227" s="5"/>
      <c r="Q227" s="5"/>
      <c r="R227" s="5"/>
      <c r="S227" s="5"/>
      <c r="U227" s="4" t="s">
        <v>152</v>
      </c>
      <c r="V227" s="4">
        <v>0.9</v>
      </c>
      <c r="W227" s="4">
        <v>0.5</v>
      </c>
      <c r="X227" s="4">
        <v>0.6</v>
      </c>
      <c r="Y227" s="4">
        <v>0.3</v>
      </c>
      <c r="Z227" s="6">
        <v>536.48095699999999</v>
      </c>
      <c r="AA227" s="4">
        <v>1E-3</v>
      </c>
      <c r="AC227" s="4" t="s">
        <v>152</v>
      </c>
      <c r="AD227" s="4">
        <v>0.9</v>
      </c>
      <c r="AE227" s="4">
        <v>0.5</v>
      </c>
      <c r="AF227" s="4">
        <v>0.6</v>
      </c>
      <c r="AG227" s="4">
        <v>0.36</v>
      </c>
      <c r="AH227" s="4">
        <v>553.47735599999999</v>
      </c>
      <c r="AI227" s="4">
        <v>1E-3</v>
      </c>
      <c r="AJ227" s="5"/>
      <c r="AK227" s="5"/>
      <c r="AL227" s="5"/>
      <c r="AM227" s="5"/>
      <c r="AO227" s="4" t="s">
        <v>153</v>
      </c>
      <c r="AP227" s="4">
        <v>0.9</v>
      </c>
      <c r="AQ227" s="4">
        <v>0.5</v>
      </c>
      <c r="AR227" s="4">
        <v>0.6</v>
      </c>
      <c r="AS227" s="4">
        <v>0.3</v>
      </c>
      <c r="AT227" s="6">
        <v>850.49096699999996</v>
      </c>
      <c r="AU227" s="4">
        <v>5.0000000000000001E-3</v>
      </c>
      <c r="AW227" s="4" t="s">
        <v>153</v>
      </c>
      <c r="AX227" s="4">
        <v>0.9</v>
      </c>
      <c r="AY227" s="4">
        <v>0.5</v>
      </c>
      <c r="AZ227" s="4">
        <v>0.6</v>
      </c>
      <c r="BA227" s="4">
        <v>0.31</v>
      </c>
      <c r="BB227" s="4">
        <v>887.00897199999997</v>
      </c>
      <c r="BC227" s="4">
        <v>6.0000000000000001E-3</v>
      </c>
      <c r="BD227" s="5"/>
      <c r="BE227" s="5"/>
      <c r="BF227" s="5"/>
      <c r="BG227" s="5"/>
      <c r="BI227" s="4" t="s">
        <v>153</v>
      </c>
      <c r="BJ227" s="4">
        <v>0.9</v>
      </c>
      <c r="BK227" s="4">
        <v>0.5</v>
      </c>
      <c r="BL227" s="4">
        <v>0.6</v>
      </c>
      <c r="BM227" s="4">
        <v>0.3</v>
      </c>
      <c r="BN227" s="6">
        <v>789.715149</v>
      </c>
      <c r="BO227" s="4">
        <v>6.0000000000000001E-3</v>
      </c>
      <c r="BQ227" s="4" t="s">
        <v>153</v>
      </c>
      <c r="BR227" s="4">
        <v>0.9</v>
      </c>
      <c r="BS227" s="4">
        <v>0.5</v>
      </c>
      <c r="BT227" s="4">
        <v>0.6</v>
      </c>
      <c r="BU227" s="4">
        <v>0.36</v>
      </c>
      <c r="BV227" s="4">
        <v>830.96936000000005</v>
      </c>
      <c r="BW227" s="4">
        <v>6.0000000000000001E-3</v>
      </c>
      <c r="BX227" s="5"/>
      <c r="BY227" s="5"/>
      <c r="BZ227" s="5"/>
      <c r="CA227" s="5"/>
    </row>
    <row r="228" spans="1:79" x14ac:dyDescent="0.3">
      <c r="A228" s="4" t="s">
        <v>154</v>
      </c>
      <c r="B228" s="4">
        <v>0.9</v>
      </c>
      <c r="C228" s="4">
        <v>0.5</v>
      </c>
      <c r="D228" s="4">
        <v>0.6</v>
      </c>
      <c r="E228" s="4">
        <v>0.3</v>
      </c>
      <c r="F228" s="6">
        <v>573.82934599999999</v>
      </c>
      <c r="G228" s="4">
        <v>2E-3</v>
      </c>
      <c r="I228" s="4" t="s">
        <v>154</v>
      </c>
      <c r="J228" s="4">
        <v>0.9</v>
      </c>
      <c r="K228" s="4">
        <v>0.5</v>
      </c>
      <c r="L228" s="4">
        <v>0.6</v>
      </c>
      <c r="M228" s="4">
        <v>0.3</v>
      </c>
      <c r="N228" s="4">
        <v>605.48040800000001</v>
      </c>
      <c r="O228" s="4">
        <v>2E-3</v>
      </c>
      <c r="P228" s="5"/>
      <c r="Q228" s="5"/>
      <c r="R228" s="5"/>
      <c r="S228" s="5"/>
      <c r="U228" s="4" t="s">
        <v>154</v>
      </c>
      <c r="V228" s="4">
        <v>0.9</v>
      </c>
      <c r="W228" s="4">
        <v>0.5</v>
      </c>
      <c r="X228" s="4">
        <v>0.6</v>
      </c>
      <c r="Y228" s="4">
        <v>0.3</v>
      </c>
      <c r="Z228" s="8">
        <v>579.96484399999997</v>
      </c>
      <c r="AA228" s="4">
        <v>1E-3</v>
      </c>
      <c r="AC228" s="4" t="s">
        <v>154</v>
      </c>
      <c r="AD228" s="4">
        <v>0.9</v>
      </c>
      <c r="AE228" s="4">
        <v>0.5</v>
      </c>
      <c r="AF228" s="4">
        <v>0.6</v>
      </c>
      <c r="AG228" s="4">
        <v>0.32</v>
      </c>
      <c r="AH228" s="6">
        <v>579.47393799999998</v>
      </c>
      <c r="AI228" s="4">
        <v>1E-3</v>
      </c>
      <c r="AJ228" s="5"/>
      <c r="AK228" s="5"/>
      <c r="AL228" s="5"/>
      <c r="AM228" s="5"/>
      <c r="AO228" s="4" t="s">
        <v>155</v>
      </c>
      <c r="AP228" s="4">
        <v>0.9</v>
      </c>
      <c r="AQ228" s="4">
        <v>0.5</v>
      </c>
      <c r="AR228" s="4">
        <v>0.6</v>
      </c>
      <c r="AS228" s="4">
        <v>0.3</v>
      </c>
      <c r="AT228" s="6">
        <v>1067.165283</v>
      </c>
      <c r="AU228" s="4">
        <v>7.0000000000000001E-3</v>
      </c>
      <c r="AW228" s="4" t="s">
        <v>155</v>
      </c>
      <c r="AX228" s="4">
        <v>0.9</v>
      </c>
      <c r="AY228" s="4">
        <v>0.5</v>
      </c>
      <c r="AZ228" s="4">
        <v>0.6</v>
      </c>
      <c r="BA228" s="4">
        <v>0.31</v>
      </c>
      <c r="BB228" s="4">
        <v>1122.306885</v>
      </c>
      <c r="BC228" s="4">
        <v>6.0000000000000001E-3</v>
      </c>
      <c r="BD228" s="5"/>
      <c r="BE228" s="5"/>
      <c r="BF228" s="5"/>
      <c r="BG228" s="5"/>
      <c r="BI228" s="4" t="s">
        <v>155</v>
      </c>
      <c r="BJ228" s="4">
        <v>0.9</v>
      </c>
      <c r="BK228" s="4">
        <v>0.5</v>
      </c>
      <c r="BL228" s="4">
        <v>0.6</v>
      </c>
      <c r="BM228" s="4">
        <v>0.3</v>
      </c>
      <c r="BN228" s="6">
        <v>1074.2280270000001</v>
      </c>
      <c r="BO228" s="4">
        <v>7.0000000000000001E-3</v>
      </c>
      <c r="BQ228" s="4" t="s">
        <v>155</v>
      </c>
      <c r="BR228" s="4">
        <v>0.9</v>
      </c>
      <c r="BS228" s="4">
        <v>0.5</v>
      </c>
      <c r="BT228" s="4">
        <v>0.6</v>
      </c>
      <c r="BU228" s="4">
        <v>0.31</v>
      </c>
      <c r="BV228" s="4">
        <v>1096.5539550000001</v>
      </c>
      <c r="BW228" s="4">
        <v>8.9999999999999993E-3</v>
      </c>
      <c r="BX228" s="5"/>
      <c r="BY228" s="5"/>
      <c r="BZ228" s="5"/>
      <c r="CA228" s="5"/>
    </row>
    <row r="229" spans="1:79" x14ac:dyDescent="0.3">
      <c r="A229" s="4" t="s">
        <v>156</v>
      </c>
      <c r="B229" s="4">
        <v>0.9</v>
      </c>
      <c r="C229" s="4">
        <v>0.5</v>
      </c>
      <c r="D229" s="4">
        <v>0.6</v>
      </c>
      <c r="E229" s="4">
        <v>0.3</v>
      </c>
      <c r="F229" s="6">
        <v>651.55474900000002</v>
      </c>
      <c r="G229" s="4">
        <v>2E-3</v>
      </c>
      <c r="I229" s="4" t="s">
        <v>156</v>
      </c>
      <c r="J229" s="4">
        <v>0.9</v>
      </c>
      <c r="K229" s="4">
        <v>0.5</v>
      </c>
      <c r="L229" s="4">
        <v>0.6</v>
      </c>
      <c r="M229" s="4">
        <v>0.3</v>
      </c>
      <c r="N229" s="4">
        <v>670.37805200000003</v>
      </c>
      <c r="O229" s="4">
        <v>3.0000000000000001E-3</v>
      </c>
      <c r="P229" s="5"/>
      <c r="Q229" s="5"/>
      <c r="R229" s="5"/>
      <c r="S229" s="5"/>
      <c r="U229" s="4" t="s">
        <v>156</v>
      </c>
      <c r="V229" s="4">
        <v>0.9</v>
      </c>
      <c r="W229" s="4">
        <v>0.5</v>
      </c>
      <c r="X229" s="4">
        <v>0.6</v>
      </c>
      <c r="Y229" s="4">
        <v>0.3</v>
      </c>
      <c r="Z229" s="6">
        <v>627.69537400000002</v>
      </c>
      <c r="AA229" s="4">
        <v>1E-3</v>
      </c>
      <c r="AC229" s="4" t="s">
        <v>156</v>
      </c>
      <c r="AD229" s="4">
        <v>0.9</v>
      </c>
      <c r="AE229" s="4">
        <v>0.5</v>
      </c>
      <c r="AF229" s="4">
        <v>0.6</v>
      </c>
      <c r="AG229" s="4">
        <v>0.34</v>
      </c>
      <c r="AH229" s="4">
        <v>633.01062000000002</v>
      </c>
      <c r="AI229" s="4">
        <v>2E-3</v>
      </c>
      <c r="AJ229" s="5"/>
      <c r="AK229" s="5"/>
      <c r="AL229" s="5"/>
      <c r="AM229" s="5"/>
      <c r="AO229" s="4" t="s">
        <v>157</v>
      </c>
      <c r="AP229" s="4">
        <v>0.9</v>
      </c>
      <c r="AQ229" s="4">
        <v>0.5</v>
      </c>
      <c r="AR229" s="4">
        <v>0.6</v>
      </c>
      <c r="AS229" s="4">
        <v>0.3</v>
      </c>
      <c r="AT229" s="6">
        <v>1023.536377</v>
      </c>
      <c r="AU229" s="4">
        <v>7.0000000000000001E-3</v>
      </c>
      <c r="AW229" s="4" t="s">
        <v>157</v>
      </c>
      <c r="AX229" s="4">
        <v>0.9</v>
      </c>
      <c r="AY229" s="4">
        <v>0.5</v>
      </c>
      <c r="AZ229" s="4">
        <v>0.6</v>
      </c>
      <c r="BA229" s="4">
        <v>0.35</v>
      </c>
      <c r="BB229" s="4">
        <v>1047.655029</v>
      </c>
      <c r="BC229" s="4">
        <v>7.0000000000000001E-3</v>
      </c>
      <c r="BD229" s="5"/>
      <c r="BE229" s="5"/>
      <c r="BF229" s="5"/>
      <c r="BG229" s="5"/>
      <c r="BI229" s="4" t="s">
        <v>157</v>
      </c>
      <c r="BJ229" s="4">
        <v>0.9</v>
      </c>
      <c r="BK229" s="4">
        <v>0.5</v>
      </c>
      <c r="BL229" s="4">
        <v>0.6</v>
      </c>
      <c r="BM229" s="4">
        <v>0.3</v>
      </c>
      <c r="BN229" s="6">
        <v>985.10882600000002</v>
      </c>
      <c r="BO229" s="4">
        <v>6.0000000000000001E-3</v>
      </c>
      <c r="BQ229" s="4" t="s">
        <v>157</v>
      </c>
      <c r="BR229" s="4">
        <v>0.9</v>
      </c>
      <c r="BS229" s="4">
        <v>0.5</v>
      </c>
      <c r="BT229" s="4">
        <v>0.6</v>
      </c>
      <c r="BU229" s="4">
        <v>0.32</v>
      </c>
      <c r="BV229" s="4">
        <v>1017.451904</v>
      </c>
      <c r="BW229" s="4">
        <v>7.0000000000000001E-3</v>
      </c>
      <c r="BX229" s="5"/>
      <c r="BY229" s="5"/>
      <c r="BZ229" s="5"/>
      <c r="CA229" s="5"/>
    </row>
    <row r="230" spans="1:79" x14ac:dyDescent="0.3">
      <c r="A230" s="4" t="s">
        <v>158</v>
      </c>
      <c r="B230" s="4">
        <v>0.9</v>
      </c>
      <c r="C230" s="4">
        <v>0.5</v>
      </c>
      <c r="D230" s="4">
        <v>0.6</v>
      </c>
      <c r="E230" s="4">
        <v>0.3</v>
      </c>
      <c r="F230" s="6">
        <v>641.40112299999998</v>
      </c>
      <c r="G230" s="4">
        <v>2E-3</v>
      </c>
      <c r="I230" s="4" t="s">
        <v>158</v>
      </c>
      <c r="J230" s="4">
        <v>0.9</v>
      </c>
      <c r="K230" s="4">
        <v>0.5</v>
      </c>
      <c r="L230" s="4">
        <v>0.6</v>
      </c>
      <c r="M230" s="4">
        <v>0.32</v>
      </c>
      <c r="N230" s="4">
        <v>671.40429700000004</v>
      </c>
      <c r="O230" s="4">
        <v>3.0000000000000001E-3</v>
      </c>
      <c r="P230" s="5"/>
      <c r="Q230" s="5"/>
      <c r="R230" s="5"/>
      <c r="S230" s="5"/>
      <c r="U230" s="4" t="s">
        <v>158</v>
      </c>
      <c r="V230" s="4">
        <v>0.9</v>
      </c>
      <c r="W230" s="4">
        <v>0.5</v>
      </c>
      <c r="X230" s="4">
        <v>0.6</v>
      </c>
      <c r="Y230" s="4">
        <v>0.3</v>
      </c>
      <c r="Z230" s="6">
        <v>639.66796899999997</v>
      </c>
      <c r="AA230" s="4">
        <v>1E-3</v>
      </c>
      <c r="AC230" s="4" t="s">
        <v>158</v>
      </c>
      <c r="AD230" s="4">
        <v>0.9</v>
      </c>
      <c r="AE230" s="4">
        <v>0.5</v>
      </c>
      <c r="AF230" s="4">
        <v>0.6</v>
      </c>
      <c r="AG230" s="4">
        <v>0.33</v>
      </c>
      <c r="AH230" s="4">
        <v>651.52154499999995</v>
      </c>
      <c r="AI230" s="4">
        <v>2E-3</v>
      </c>
      <c r="AJ230" s="5"/>
      <c r="AK230" s="5"/>
      <c r="AL230" s="5"/>
      <c r="AM230" s="5"/>
      <c r="AO230" s="4" t="s">
        <v>159</v>
      </c>
      <c r="AP230" s="4">
        <v>0.9</v>
      </c>
      <c r="AQ230" s="4">
        <v>0.5</v>
      </c>
      <c r="AR230" s="4">
        <v>0.6</v>
      </c>
      <c r="AS230" s="4">
        <v>0.3</v>
      </c>
      <c r="AT230" s="6">
        <v>949.64343299999996</v>
      </c>
      <c r="AU230" s="4">
        <v>7.0000000000000001E-3</v>
      </c>
      <c r="AW230" s="4" t="s">
        <v>159</v>
      </c>
      <c r="AX230" s="4">
        <v>0.9</v>
      </c>
      <c r="AY230" s="4">
        <v>0.5</v>
      </c>
      <c r="AZ230" s="4">
        <v>0.6</v>
      </c>
      <c r="BA230" s="4">
        <v>0.3</v>
      </c>
      <c r="BB230" s="4">
        <v>950.34789999999998</v>
      </c>
      <c r="BC230" s="4">
        <v>7.0000000000000001E-3</v>
      </c>
      <c r="BD230" s="5"/>
      <c r="BE230" s="5"/>
      <c r="BF230" s="5"/>
      <c r="BG230" s="5"/>
      <c r="BI230" s="4" t="s">
        <v>159</v>
      </c>
      <c r="BJ230" s="4">
        <v>0.9</v>
      </c>
      <c r="BK230" s="4">
        <v>0.5</v>
      </c>
      <c r="BL230" s="4">
        <v>0.6</v>
      </c>
      <c r="BM230" s="4">
        <v>0.3</v>
      </c>
      <c r="BN230" s="6">
        <v>923.98962400000005</v>
      </c>
      <c r="BO230" s="4">
        <v>7.0000000000000001E-3</v>
      </c>
      <c r="BQ230" s="4" t="s">
        <v>159</v>
      </c>
      <c r="BR230" s="4">
        <v>0.9</v>
      </c>
      <c r="BS230" s="4">
        <v>0.5</v>
      </c>
      <c r="BT230" s="4">
        <v>0.6</v>
      </c>
      <c r="BU230" s="4">
        <v>0.34</v>
      </c>
      <c r="BV230" s="4">
        <v>951.02032499999996</v>
      </c>
      <c r="BW230" s="4">
        <v>8.0000000000000002E-3</v>
      </c>
      <c r="BX230" s="5"/>
      <c r="BY230" s="5"/>
      <c r="BZ230" s="5"/>
      <c r="CA230" s="5"/>
    </row>
    <row r="231" spans="1:79" x14ac:dyDescent="0.3">
      <c r="A231" s="4" t="s">
        <v>160</v>
      </c>
      <c r="B231" s="4">
        <v>0.9</v>
      </c>
      <c r="C231" s="4">
        <v>0.5</v>
      </c>
      <c r="D231" s="4">
        <v>0.6</v>
      </c>
      <c r="E231" s="4">
        <v>0.3</v>
      </c>
      <c r="F231" s="6">
        <v>592.14892599999996</v>
      </c>
      <c r="G231" s="4">
        <v>1E-3</v>
      </c>
      <c r="I231" s="4" t="s">
        <v>160</v>
      </c>
      <c r="J231" s="4">
        <v>0.9</v>
      </c>
      <c r="K231" s="4">
        <v>0.5</v>
      </c>
      <c r="L231" s="4">
        <v>0.6</v>
      </c>
      <c r="M231" s="4">
        <v>0.31</v>
      </c>
      <c r="N231" s="4">
        <v>606.30432099999996</v>
      </c>
      <c r="O231" s="4">
        <v>2E-3</v>
      </c>
      <c r="P231" s="5"/>
      <c r="Q231" s="5"/>
      <c r="R231" s="5"/>
      <c r="S231" s="5"/>
      <c r="U231" s="4" t="s">
        <v>160</v>
      </c>
      <c r="V231" s="4">
        <v>0.9</v>
      </c>
      <c r="W231" s="4">
        <v>0.5</v>
      </c>
      <c r="X231" s="4">
        <v>0.6</v>
      </c>
      <c r="Y231" s="4">
        <v>0.3</v>
      </c>
      <c r="Z231" s="6">
        <v>547.05249000000003</v>
      </c>
      <c r="AA231" s="4">
        <v>1E-3</v>
      </c>
      <c r="AC231" s="4" t="s">
        <v>160</v>
      </c>
      <c r="AD231" s="4">
        <v>0.9</v>
      </c>
      <c r="AE231" s="4">
        <v>0.5</v>
      </c>
      <c r="AF231" s="4">
        <v>0.6</v>
      </c>
      <c r="AG231" s="4">
        <v>0.45</v>
      </c>
      <c r="AH231" s="4">
        <v>560.692139</v>
      </c>
      <c r="AI231" s="4">
        <v>2E-3</v>
      </c>
      <c r="AJ231" s="5"/>
      <c r="AK231" s="5"/>
      <c r="AL231" s="5"/>
      <c r="AM231" s="5"/>
      <c r="AO231" s="4" t="s">
        <v>161</v>
      </c>
      <c r="AP231" s="4">
        <v>0.9</v>
      </c>
      <c r="AQ231" s="4">
        <v>0.5</v>
      </c>
      <c r="AR231" s="4">
        <v>0.6</v>
      </c>
      <c r="AS231" s="4">
        <v>0.3</v>
      </c>
      <c r="AT231" s="6">
        <v>1024.1906739999999</v>
      </c>
      <c r="AU231" s="4">
        <v>6.0000000000000001E-3</v>
      </c>
      <c r="AW231" s="4" t="s">
        <v>161</v>
      </c>
      <c r="AX231" s="4">
        <v>0.9</v>
      </c>
      <c r="AY231" s="4">
        <v>0.5</v>
      </c>
      <c r="AZ231" s="4">
        <v>0.6</v>
      </c>
      <c r="BA231" s="4">
        <v>0.3</v>
      </c>
      <c r="BB231" s="4">
        <v>1040.8348390000001</v>
      </c>
      <c r="BC231" s="4">
        <v>7.0000000000000001E-3</v>
      </c>
      <c r="BD231" s="5"/>
      <c r="BE231" s="5"/>
      <c r="BF231" s="5"/>
      <c r="BG231" s="5"/>
      <c r="BI231" s="4" t="s">
        <v>161</v>
      </c>
      <c r="BJ231" s="4">
        <v>0.9</v>
      </c>
      <c r="BK231" s="4">
        <v>0.5</v>
      </c>
      <c r="BL231" s="4">
        <v>0.6</v>
      </c>
      <c r="BM231" s="4">
        <v>0.3</v>
      </c>
      <c r="BN231" s="6">
        <v>997.95013400000005</v>
      </c>
      <c r="BO231" s="4">
        <v>6.0000000000000001E-3</v>
      </c>
      <c r="BQ231" s="4" t="s">
        <v>161</v>
      </c>
      <c r="BR231" s="4">
        <v>0.9</v>
      </c>
      <c r="BS231" s="4">
        <v>0.5</v>
      </c>
      <c r="BT231" s="4">
        <v>0.6</v>
      </c>
      <c r="BU231" s="4">
        <v>0.31</v>
      </c>
      <c r="BV231" s="4">
        <v>1023.967346</v>
      </c>
      <c r="BW231" s="4">
        <v>7.0000000000000001E-3</v>
      </c>
      <c r="BX231" s="5"/>
      <c r="BY231" s="5"/>
      <c r="BZ231" s="5"/>
      <c r="CA231" s="5"/>
    </row>
    <row r="232" spans="1:79" x14ac:dyDescent="0.3">
      <c r="A232" s="4" t="s">
        <v>162</v>
      </c>
      <c r="B232" s="4">
        <v>0.9</v>
      </c>
      <c r="C232" s="4">
        <v>0.5</v>
      </c>
      <c r="D232" s="4">
        <v>0.6</v>
      </c>
      <c r="E232" s="4">
        <v>0.3</v>
      </c>
      <c r="F232" s="6">
        <v>602.11248799999998</v>
      </c>
      <c r="G232" s="4">
        <v>1E-3</v>
      </c>
      <c r="I232" s="4" t="s">
        <v>162</v>
      </c>
      <c r="J232" s="4">
        <v>0.9</v>
      </c>
      <c r="K232" s="4">
        <v>0.5</v>
      </c>
      <c r="L232" s="4">
        <v>0.6</v>
      </c>
      <c r="M232" s="4">
        <v>0.3</v>
      </c>
      <c r="N232" s="4">
        <v>624.60339399999998</v>
      </c>
      <c r="O232" s="4">
        <v>2E-3</v>
      </c>
      <c r="P232" s="5"/>
      <c r="Q232" s="5"/>
      <c r="R232" s="5"/>
      <c r="S232" s="5"/>
      <c r="U232" s="4" t="s">
        <v>162</v>
      </c>
      <c r="V232" s="4">
        <v>0.9</v>
      </c>
      <c r="W232" s="4">
        <v>0.5</v>
      </c>
      <c r="X232" s="4">
        <v>0.6</v>
      </c>
      <c r="Y232" s="4">
        <v>0.3</v>
      </c>
      <c r="Z232" s="6">
        <v>554.59539800000005</v>
      </c>
      <c r="AA232" s="4">
        <v>2E-3</v>
      </c>
      <c r="AC232" s="4" t="s">
        <v>162</v>
      </c>
      <c r="AD232" s="4">
        <v>0.9</v>
      </c>
      <c r="AE232" s="4">
        <v>0.5</v>
      </c>
      <c r="AF232" s="4">
        <v>0.6</v>
      </c>
      <c r="AG232" s="4">
        <v>0.3</v>
      </c>
      <c r="AH232" s="4">
        <v>589.535706</v>
      </c>
      <c r="AI232" s="4">
        <v>1E-3</v>
      </c>
      <c r="AJ232" s="5"/>
      <c r="AK232" s="5"/>
      <c r="AL232" s="5"/>
      <c r="AM232" s="5"/>
      <c r="AO232" s="4" t="s">
        <v>163</v>
      </c>
      <c r="AP232" s="4">
        <v>0.9</v>
      </c>
      <c r="AQ232" s="4">
        <v>0.5</v>
      </c>
      <c r="AR232" s="4">
        <v>0.6</v>
      </c>
      <c r="AS232" s="4">
        <v>0.3</v>
      </c>
      <c r="AT232" s="6">
        <v>1019.637085</v>
      </c>
      <c r="AU232" s="4">
        <v>7.0000000000000001E-3</v>
      </c>
      <c r="AW232" s="4" t="s">
        <v>163</v>
      </c>
      <c r="AX232" s="4">
        <v>0.9</v>
      </c>
      <c r="AY232" s="4">
        <v>0.5</v>
      </c>
      <c r="AZ232" s="4">
        <v>0.6</v>
      </c>
      <c r="BA232" s="4">
        <v>0.3</v>
      </c>
      <c r="BB232" s="4">
        <v>1051.9219969999999</v>
      </c>
      <c r="BC232" s="4">
        <v>7.0000000000000001E-3</v>
      </c>
      <c r="BD232" s="5"/>
      <c r="BE232" s="5"/>
      <c r="BF232" s="5"/>
      <c r="BG232" s="5"/>
      <c r="BI232" s="4" t="s">
        <v>163</v>
      </c>
      <c r="BJ232" s="4">
        <v>0.9</v>
      </c>
      <c r="BK232" s="4">
        <v>0.5</v>
      </c>
      <c r="BL232" s="4">
        <v>0.6</v>
      </c>
      <c r="BM232" s="4">
        <v>0.3</v>
      </c>
      <c r="BN232" s="6">
        <v>995.15118399999994</v>
      </c>
      <c r="BO232" s="4">
        <v>7.0000000000000001E-3</v>
      </c>
      <c r="BQ232" s="4" t="s">
        <v>163</v>
      </c>
      <c r="BR232" s="4">
        <v>0.9</v>
      </c>
      <c r="BS232" s="4">
        <v>0.5</v>
      </c>
      <c r="BT232" s="4">
        <v>0.6</v>
      </c>
      <c r="BU232" s="4">
        <v>0.31</v>
      </c>
      <c r="BV232" s="4">
        <v>1026.50647</v>
      </c>
      <c r="BW232" s="4">
        <v>7.0000000000000001E-3</v>
      </c>
      <c r="BX232" s="5"/>
      <c r="BY232" s="5"/>
      <c r="BZ232" s="5"/>
      <c r="CA232" s="5"/>
    </row>
    <row r="233" spans="1:79" x14ac:dyDescent="0.3">
      <c r="A233" s="4" t="s">
        <v>164</v>
      </c>
      <c r="B233" s="4">
        <v>0.9</v>
      </c>
      <c r="C233" s="4">
        <v>0.5</v>
      </c>
      <c r="D233" s="4">
        <v>0.6</v>
      </c>
      <c r="E233" s="4">
        <v>0.3</v>
      </c>
      <c r="F233" s="6">
        <v>549.76715100000001</v>
      </c>
      <c r="G233" s="4">
        <v>2E-3</v>
      </c>
      <c r="I233" s="4" t="s">
        <v>164</v>
      </c>
      <c r="J233" s="4">
        <v>0.9</v>
      </c>
      <c r="K233" s="4">
        <v>0.5</v>
      </c>
      <c r="L233" s="4">
        <v>0.6</v>
      </c>
      <c r="M233" s="4">
        <v>0.33</v>
      </c>
      <c r="N233" s="4">
        <v>556.20477300000005</v>
      </c>
      <c r="O233" s="4">
        <v>3.0000000000000001E-3</v>
      </c>
      <c r="P233" s="5"/>
      <c r="Q233" s="5"/>
      <c r="R233" s="5"/>
      <c r="S233" s="5"/>
      <c r="U233" s="4" t="s">
        <v>164</v>
      </c>
      <c r="V233" s="4">
        <v>0.9</v>
      </c>
      <c r="W233" s="4">
        <v>0.5</v>
      </c>
      <c r="X233" s="4">
        <v>0.6</v>
      </c>
      <c r="Y233" s="4">
        <v>0.3</v>
      </c>
      <c r="Z233" s="6">
        <v>461.26446499999997</v>
      </c>
      <c r="AA233" s="4">
        <v>1E-3</v>
      </c>
      <c r="AC233" s="4" t="s">
        <v>164</v>
      </c>
      <c r="AD233" s="4">
        <v>0.9</v>
      </c>
      <c r="AE233" s="4">
        <v>0.5</v>
      </c>
      <c r="AF233" s="4">
        <v>0.6</v>
      </c>
      <c r="AG233" s="4">
        <v>0.33</v>
      </c>
      <c r="AH233" s="4">
        <v>496.98263500000002</v>
      </c>
      <c r="AI233" s="4">
        <v>1E-3</v>
      </c>
      <c r="AJ233" s="5"/>
      <c r="AK233" s="5"/>
      <c r="AL233" s="5"/>
      <c r="AM233" s="5"/>
      <c r="AO233" s="4" t="s">
        <v>165</v>
      </c>
      <c r="AP233" s="4">
        <v>0.9</v>
      </c>
      <c r="AQ233" s="4">
        <v>0.5</v>
      </c>
      <c r="AR233" s="4">
        <v>0.6</v>
      </c>
      <c r="AS233" s="4">
        <v>0.3</v>
      </c>
      <c r="AT233" s="6">
        <v>937.19226100000003</v>
      </c>
      <c r="AU233" s="4">
        <v>6.0000000000000001E-3</v>
      </c>
      <c r="AW233" s="4" t="s">
        <v>165</v>
      </c>
      <c r="AX233" s="4">
        <v>0.9</v>
      </c>
      <c r="AY233" s="4">
        <v>0.5</v>
      </c>
      <c r="AZ233" s="4">
        <v>0.6</v>
      </c>
      <c r="BA233" s="4">
        <v>0.31</v>
      </c>
      <c r="BB233" s="4">
        <v>967.75616500000001</v>
      </c>
      <c r="BC233" s="4">
        <v>6.0000000000000001E-3</v>
      </c>
      <c r="BD233" s="5"/>
      <c r="BE233" s="5"/>
      <c r="BF233" s="5"/>
      <c r="BG233" s="5"/>
      <c r="BI233" s="4" t="s">
        <v>165</v>
      </c>
      <c r="BJ233" s="4">
        <v>0.9</v>
      </c>
      <c r="BK233" s="4">
        <v>0.5</v>
      </c>
      <c r="BL233" s="4">
        <v>0.6</v>
      </c>
      <c r="BM233" s="4">
        <v>0.3</v>
      </c>
      <c r="BN233" s="6">
        <v>913.92334000000005</v>
      </c>
      <c r="BO233" s="4">
        <v>6.0000000000000001E-3</v>
      </c>
      <c r="BQ233" s="4" t="s">
        <v>165</v>
      </c>
      <c r="BR233" s="4">
        <v>0.9</v>
      </c>
      <c r="BS233" s="4">
        <v>0.5</v>
      </c>
      <c r="BT233" s="4">
        <v>0.6</v>
      </c>
      <c r="BU233" s="4">
        <v>0.3</v>
      </c>
      <c r="BV233" s="4">
        <v>949.02227800000003</v>
      </c>
      <c r="BW233" s="4">
        <v>6.0000000000000001E-3</v>
      </c>
      <c r="BX233" s="5"/>
      <c r="BY233" s="5"/>
      <c r="BZ233" s="5"/>
      <c r="CA233" s="5"/>
    </row>
    <row r="234" spans="1:79" x14ac:dyDescent="0.3">
      <c r="A234" s="4" t="s">
        <v>166</v>
      </c>
      <c r="B234" s="4">
        <v>0.9</v>
      </c>
      <c r="C234" s="4">
        <v>0.5</v>
      </c>
      <c r="D234" s="4">
        <v>0.6</v>
      </c>
      <c r="E234" s="4">
        <v>0.3</v>
      </c>
      <c r="F234" s="6">
        <v>724.91589399999998</v>
      </c>
      <c r="G234" s="4">
        <v>1E-3</v>
      </c>
      <c r="I234" s="4" t="s">
        <v>166</v>
      </c>
      <c r="J234" s="4">
        <v>0.9</v>
      </c>
      <c r="K234" s="4">
        <v>0.5</v>
      </c>
      <c r="L234" s="4">
        <v>0.6</v>
      </c>
      <c r="M234" s="4">
        <v>0.32</v>
      </c>
      <c r="N234" s="4">
        <v>742.38793899999996</v>
      </c>
      <c r="O234" s="4">
        <v>2E-3</v>
      </c>
      <c r="P234" s="5"/>
      <c r="Q234" s="5"/>
      <c r="R234" s="5"/>
      <c r="S234" s="5"/>
      <c r="U234" s="4" t="s">
        <v>166</v>
      </c>
      <c r="V234" s="4">
        <v>0.9</v>
      </c>
      <c r="W234" s="4">
        <v>0.5</v>
      </c>
      <c r="X234" s="4">
        <v>0.6</v>
      </c>
      <c r="Y234" s="4">
        <v>0.3</v>
      </c>
      <c r="Z234" s="6">
        <v>703.52337599999998</v>
      </c>
      <c r="AA234" s="4">
        <v>2E-3</v>
      </c>
      <c r="AC234" s="4" t="s">
        <v>166</v>
      </c>
      <c r="AD234" s="4">
        <v>0.9</v>
      </c>
      <c r="AE234" s="4">
        <v>0.5</v>
      </c>
      <c r="AF234" s="4">
        <v>0.6</v>
      </c>
      <c r="AG234" s="4">
        <v>0.31</v>
      </c>
      <c r="AH234" s="4">
        <v>737.93859899999995</v>
      </c>
      <c r="AI234" s="4">
        <v>2E-3</v>
      </c>
      <c r="AJ234" s="5"/>
      <c r="AK234" s="5"/>
      <c r="AL234" s="5"/>
      <c r="AM234" s="5"/>
      <c r="AO234" s="4" t="s">
        <v>167</v>
      </c>
      <c r="AP234" s="4">
        <v>0.9</v>
      </c>
      <c r="AQ234" s="4">
        <v>0.5</v>
      </c>
      <c r="AR234" s="4">
        <v>0.6</v>
      </c>
      <c r="AS234" s="4">
        <v>0.3</v>
      </c>
      <c r="AT234" s="6">
        <v>955.35101299999997</v>
      </c>
      <c r="AU234" s="4">
        <v>7.0000000000000001E-3</v>
      </c>
      <c r="AW234" s="4" t="s">
        <v>167</v>
      </c>
      <c r="AX234" s="4">
        <v>0.9</v>
      </c>
      <c r="AY234" s="4">
        <v>0.5</v>
      </c>
      <c r="AZ234" s="4">
        <v>0.6</v>
      </c>
      <c r="BA234" s="4">
        <v>0.31</v>
      </c>
      <c r="BB234" s="4">
        <v>958.03558299999997</v>
      </c>
      <c r="BC234" s="4">
        <v>7.0000000000000001E-3</v>
      </c>
      <c r="BD234" s="5"/>
      <c r="BE234" s="5"/>
      <c r="BF234" s="5"/>
      <c r="BG234" s="5"/>
      <c r="BI234" s="4" t="s">
        <v>167</v>
      </c>
      <c r="BJ234" s="4">
        <v>0.9</v>
      </c>
      <c r="BK234" s="4">
        <v>0.5</v>
      </c>
      <c r="BL234" s="4">
        <v>0.6</v>
      </c>
      <c r="BM234" s="4">
        <v>0.3</v>
      </c>
      <c r="BN234" s="6">
        <v>928.70996100000002</v>
      </c>
      <c r="BO234" s="4">
        <v>6.0000000000000001E-3</v>
      </c>
      <c r="BQ234" s="4" t="s">
        <v>167</v>
      </c>
      <c r="BR234" s="4">
        <v>0.9</v>
      </c>
      <c r="BS234" s="4">
        <v>0.5</v>
      </c>
      <c r="BT234" s="4">
        <v>0.6</v>
      </c>
      <c r="BU234" s="4">
        <v>0.3</v>
      </c>
      <c r="BV234" s="4">
        <v>974.27734399999997</v>
      </c>
      <c r="BW234" s="4">
        <v>7.0000000000000001E-3</v>
      </c>
      <c r="BX234" s="5"/>
      <c r="BY234" s="5"/>
      <c r="BZ234" s="5"/>
      <c r="CA234" s="5"/>
    </row>
    <row r="235" spans="1:79" x14ac:dyDescent="0.3">
      <c r="A235" s="4" t="s">
        <v>168</v>
      </c>
      <c r="B235" s="4">
        <v>0.9</v>
      </c>
      <c r="C235" s="4">
        <v>0.5</v>
      </c>
      <c r="D235" s="4">
        <v>0.6</v>
      </c>
      <c r="E235" s="4">
        <v>0.3</v>
      </c>
      <c r="F235" s="6">
        <v>664.11364700000001</v>
      </c>
      <c r="G235" s="4">
        <v>2E-3</v>
      </c>
      <c r="I235" s="4" t="s">
        <v>168</v>
      </c>
      <c r="J235" s="4">
        <v>0.9</v>
      </c>
      <c r="K235" s="4">
        <v>0.5</v>
      </c>
      <c r="L235" s="4">
        <v>0.6</v>
      </c>
      <c r="M235" s="4">
        <v>0.31</v>
      </c>
      <c r="N235" s="4">
        <v>668.19482400000004</v>
      </c>
      <c r="O235" s="4">
        <v>2E-3</v>
      </c>
      <c r="P235" s="5"/>
      <c r="Q235" s="5"/>
      <c r="R235" s="5"/>
      <c r="S235" s="5"/>
      <c r="U235" s="4" t="s">
        <v>168</v>
      </c>
      <c r="V235" s="4">
        <v>0.9</v>
      </c>
      <c r="W235" s="4">
        <v>0.5</v>
      </c>
      <c r="X235" s="4">
        <v>0.6</v>
      </c>
      <c r="Y235" s="4">
        <v>0.3</v>
      </c>
      <c r="Z235" s="6">
        <v>647.74670400000002</v>
      </c>
      <c r="AA235" s="4">
        <v>1E-3</v>
      </c>
      <c r="AC235" s="4" t="s">
        <v>168</v>
      </c>
      <c r="AD235" s="4">
        <v>0.9</v>
      </c>
      <c r="AE235" s="4">
        <v>0.5</v>
      </c>
      <c r="AF235" s="4">
        <v>0.6</v>
      </c>
      <c r="AG235" s="4">
        <v>0.36</v>
      </c>
      <c r="AH235" s="4">
        <v>657.41082800000004</v>
      </c>
      <c r="AI235" s="4">
        <v>2E-3</v>
      </c>
      <c r="AJ235" s="5"/>
      <c r="AK235" s="5"/>
      <c r="AL235" s="5"/>
      <c r="AM235" s="5"/>
      <c r="AO235" s="4" t="s">
        <v>169</v>
      </c>
      <c r="AP235" s="4">
        <v>0.9</v>
      </c>
      <c r="AQ235" s="4">
        <v>0.5</v>
      </c>
      <c r="AR235" s="4">
        <v>0.6</v>
      </c>
      <c r="AS235" s="4">
        <v>0.3</v>
      </c>
      <c r="AT235" s="6">
        <v>1001.721619</v>
      </c>
      <c r="AU235" s="4">
        <v>6.0000000000000001E-3</v>
      </c>
      <c r="AW235" s="4" t="s">
        <v>169</v>
      </c>
      <c r="AX235" s="4">
        <v>0.9</v>
      </c>
      <c r="AY235" s="4">
        <v>0.5</v>
      </c>
      <c r="AZ235" s="4">
        <v>0.6</v>
      </c>
      <c r="BA235" s="4">
        <v>0.33</v>
      </c>
      <c r="BB235" s="4">
        <v>1029.346436</v>
      </c>
      <c r="BC235" s="4">
        <v>0.01</v>
      </c>
      <c r="BD235" s="5"/>
      <c r="BE235" s="5"/>
      <c r="BF235" s="5"/>
      <c r="BG235" s="5"/>
      <c r="BI235" s="4" t="s">
        <v>169</v>
      </c>
      <c r="BJ235" s="4">
        <v>0.9</v>
      </c>
      <c r="BK235" s="4">
        <v>0.5</v>
      </c>
      <c r="BL235" s="4">
        <v>0.6</v>
      </c>
      <c r="BM235" s="4">
        <v>0.3</v>
      </c>
      <c r="BN235" s="6">
        <v>962.70837400000005</v>
      </c>
      <c r="BO235" s="4">
        <v>6.0000000000000001E-3</v>
      </c>
      <c r="BQ235" s="4" t="s">
        <v>169</v>
      </c>
      <c r="BR235" s="4">
        <v>0.9</v>
      </c>
      <c r="BS235" s="4">
        <v>0.5</v>
      </c>
      <c r="BT235" s="4">
        <v>0.6</v>
      </c>
      <c r="BU235" s="4">
        <v>0.3</v>
      </c>
      <c r="BV235" s="4">
        <v>989.01275599999997</v>
      </c>
      <c r="BW235" s="4">
        <v>6.0000000000000001E-3</v>
      </c>
      <c r="BX235" s="5"/>
      <c r="BY235" s="5"/>
      <c r="BZ235" s="5"/>
      <c r="CA235" s="5"/>
    </row>
    <row r="236" spans="1:79" x14ac:dyDescent="0.3">
      <c r="A236" s="4" t="s">
        <v>170</v>
      </c>
      <c r="B236" s="4">
        <v>0.9</v>
      </c>
      <c r="C236" s="4">
        <v>0.5</v>
      </c>
      <c r="D236" s="4">
        <v>0.6</v>
      </c>
      <c r="E236" s="4">
        <v>0.3</v>
      </c>
      <c r="F236" s="6">
        <v>701.655396</v>
      </c>
      <c r="G236" s="4">
        <v>2E-3</v>
      </c>
      <c r="I236" s="4" t="s">
        <v>170</v>
      </c>
      <c r="J236" s="4">
        <v>0.9</v>
      </c>
      <c r="K236" s="4">
        <v>0.5</v>
      </c>
      <c r="L236" s="4">
        <v>0.6</v>
      </c>
      <c r="M236" s="4">
        <v>0.37</v>
      </c>
      <c r="N236" s="4">
        <v>706.88122599999997</v>
      </c>
      <c r="O236" s="4">
        <v>3.0000000000000001E-3</v>
      </c>
      <c r="P236" s="5"/>
      <c r="Q236" s="5"/>
      <c r="R236" s="5"/>
      <c r="S236" s="5"/>
      <c r="U236" s="4" t="s">
        <v>170</v>
      </c>
      <c r="V236" s="4">
        <v>0.9</v>
      </c>
      <c r="W236" s="4">
        <v>0.5</v>
      </c>
      <c r="X236" s="4">
        <v>0.6</v>
      </c>
      <c r="Y236" s="4">
        <v>0.3</v>
      </c>
      <c r="Z236" s="6">
        <v>666.97839399999998</v>
      </c>
      <c r="AA236" s="4">
        <v>2E-3</v>
      </c>
      <c r="AC236" s="4" t="s">
        <v>170</v>
      </c>
      <c r="AD236" s="4">
        <v>0.9</v>
      </c>
      <c r="AE236" s="4">
        <v>0.5</v>
      </c>
      <c r="AF236" s="4">
        <v>0.6</v>
      </c>
      <c r="AG236" s="4">
        <v>0.31</v>
      </c>
      <c r="AH236" s="4">
        <v>672.21191399999998</v>
      </c>
      <c r="AI236" s="4">
        <v>2E-3</v>
      </c>
      <c r="AJ236" s="5"/>
      <c r="AK236" s="5"/>
      <c r="AL236" s="5"/>
      <c r="AM236" s="5"/>
      <c r="AO236" s="4" t="s">
        <v>171</v>
      </c>
      <c r="AP236" s="4">
        <v>0.9</v>
      </c>
      <c r="AQ236" s="4">
        <v>0.5</v>
      </c>
      <c r="AR236" s="4">
        <v>0.6</v>
      </c>
      <c r="AS236" s="4">
        <v>0.3</v>
      </c>
      <c r="AT236" s="6">
        <v>923.73724400000003</v>
      </c>
      <c r="AU236" s="4">
        <v>8.0000000000000002E-3</v>
      </c>
      <c r="AW236" s="4" t="s">
        <v>171</v>
      </c>
      <c r="AX236" s="4">
        <v>0.9</v>
      </c>
      <c r="AY236" s="4">
        <v>0.5</v>
      </c>
      <c r="AZ236" s="4">
        <v>0.6</v>
      </c>
      <c r="BA236" s="4">
        <v>0.33</v>
      </c>
      <c r="BB236" s="4">
        <v>956.63922100000002</v>
      </c>
      <c r="BC236" s="4">
        <v>7.0000000000000001E-3</v>
      </c>
      <c r="BD236" s="5"/>
      <c r="BE236" s="5"/>
      <c r="BF236" s="5"/>
      <c r="BG236" s="5"/>
      <c r="BI236" s="4" t="s">
        <v>171</v>
      </c>
      <c r="BJ236" s="4">
        <v>0.9</v>
      </c>
      <c r="BK236" s="4">
        <v>0.5</v>
      </c>
      <c r="BL236" s="4">
        <v>0.6</v>
      </c>
      <c r="BM236" s="4">
        <v>0.3</v>
      </c>
      <c r="BN236" s="6">
        <v>848.67016599999999</v>
      </c>
      <c r="BO236" s="4">
        <v>6.0000000000000001E-3</v>
      </c>
      <c r="BQ236" s="4" t="s">
        <v>171</v>
      </c>
      <c r="BR236" s="4">
        <v>0.9</v>
      </c>
      <c r="BS236" s="4">
        <v>0.5</v>
      </c>
      <c r="BT236" s="4">
        <v>0.6</v>
      </c>
      <c r="BU236" s="4">
        <v>0.31</v>
      </c>
      <c r="BV236" s="4">
        <v>936.03363000000002</v>
      </c>
      <c r="BW236" s="4">
        <v>6.0000000000000001E-3</v>
      </c>
      <c r="BX236" s="5"/>
      <c r="BY236" s="5"/>
      <c r="BZ236" s="5"/>
      <c r="CA236" s="5"/>
    </row>
    <row r="237" spans="1:79" x14ac:dyDescent="0.3">
      <c r="A237" s="4" t="s">
        <v>172</v>
      </c>
      <c r="B237" s="4">
        <v>0.9</v>
      </c>
      <c r="C237" s="4">
        <v>0.5</v>
      </c>
      <c r="D237" s="4">
        <v>0.6</v>
      </c>
      <c r="E237" s="4">
        <v>0.3</v>
      </c>
      <c r="F237" s="6">
        <v>678.54125999999997</v>
      </c>
      <c r="G237" s="4">
        <v>1E-3</v>
      </c>
      <c r="I237" s="4" t="s">
        <v>172</v>
      </c>
      <c r="J237" s="4">
        <v>0.9</v>
      </c>
      <c r="K237" s="4">
        <v>0.5</v>
      </c>
      <c r="L237" s="4">
        <v>0.6</v>
      </c>
      <c r="M237" s="4">
        <v>0.32</v>
      </c>
      <c r="N237" s="4">
        <v>682.96215800000004</v>
      </c>
      <c r="O237" s="4">
        <v>2E-3</v>
      </c>
      <c r="P237" s="5"/>
      <c r="Q237" s="5"/>
      <c r="R237" s="5"/>
      <c r="S237" s="5"/>
      <c r="U237" s="4" t="s">
        <v>172</v>
      </c>
      <c r="V237" s="4">
        <v>0.9</v>
      </c>
      <c r="W237" s="4">
        <v>0.5</v>
      </c>
      <c r="X237" s="4">
        <v>0.6</v>
      </c>
      <c r="Y237" s="4">
        <v>0.3</v>
      </c>
      <c r="Z237" s="6">
        <v>655.93591300000003</v>
      </c>
      <c r="AA237" s="4">
        <v>1E-3</v>
      </c>
      <c r="AC237" s="4" t="s">
        <v>172</v>
      </c>
      <c r="AD237" s="4">
        <v>0.9</v>
      </c>
      <c r="AE237" s="4">
        <v>0.5</v>
      </c>
      <c r="AF237" s="4">
        <v>0.6</v>
      </c>
      <c r="AG237" s="4">
        <v>0.37</v>
      </c>
      <c r="AH237" s="4">
        <v>657.97699</v>
      </c>
      <c r="AI237" s="4">
        <v>2E-3</v>
      </c>
      <c r="AJ237" s="5"/>
      <c r="AK237" s="5"/>
      <c r="AL237" s="5"/>
      <c r="AM237" s="5"/>
      <c r="AO237" s="4" t="s">
        <v>173</v>
      </c>
      <c r="AP237" s="4">
        <v>0.9</v>
      </c>
      <c r="AQ237" s="4">
        <v>0.5</v>
      </c>
      <c r="AR237" s="4">
        <v>0.6</v>
      </c>
      <c r="AS237" s="4">
        <v>0.3</v>
      </c>
      <c r="AT237" s="6">
        <v>962.53454599999998</v>
      </c>
      <c r="AU237" s="4">
        <v>6.0000000000000001E-3</v>
      </c>
      <c r="AW237" s="4" t="s">
        <v>173</v>
      </c>
      <c r="AX237" s="4">
        <v>0.9</v>
      </c>
      <c r="AY237" s="4">
        <v>0.5</v>
      </c>
      <c r="AZ237" s="4">
        <v>0.6</v>
      </c>
      <c r="BA237" s="4">
        <v>0.31</v>
      </c>
      <c r="BB237" s="4">
        <v>1006.865845</v>
      </c>
      <c r="BC237" s="4">
        <v>8.0000000000000002E-3</v>
      </c>
      <c r="BD237" s="5"/>
      <c r="BE237" s="5"/>
      <c r="BF237" s="5"/>
      <c r="BG237" s="5"/>
      <c r="BI237" s="4" t="s">
        <v>173</v>
      </c>
      <c r="BJ237" s="4">
        <v>0.9</v>
      </c>
      <c r="BK237" s="4">
        <v>0.5</v>
      </c>
      <c r="BL237" s="4">
        <v>0.6</v>
      </c>
      <c r="BM237" s="4">
        <v>0.3</v>
      </c>
      <c r="BN237" s="6">
        <v>957.39605700000004</v>
      </c>
      <c r="BO237" s="4">
        <v>6.0000000000000001E-3</v>
      </c>
      <c r="BQ237" s="4" t="s">
        <v>173</v>
      </c>
      <c r="BR237" s="4">
        <v>0.9</v>
      </c>
      <c r="BS237" s="4">
        <v>0.5</v>
      </c>
      <c r="BT237" s="4">
        <v>0.6</v>
      </c>
      <c r="BU237" s="4">
        <v>0.3</v>
      </c>
      <c r="BV237" s="4">
        <v>987.189392</v>
      </c>
      <c r="BW237" s="4">
        <v>7.0000000000000001E-3</v>
      </c>
      <c r="BX237" s="5"/>
      <c r="BY237" s="5"/>
      <c r="BZ237" s="5"/>
      <c r="CA237" s="5"/>
    </row>
    <row r="238" spans="1:79" x14ac:dyDescent="0.3">
      <c r="A238" s="4" t="s">
        <v>174</v>
      </c>
      <c r="B238" s="4">
        <v>0.9</v>
      </c>
      <c r="C238" s="4">
        <v>0.5</v>
      </c>
      <c r="D238" s="4">
        <v>0.6</v>
      </c>
      <c r="E238" s="4">
        <v>0.3</v>
      </c>
      <c r="F238" s="6">
        <v>686.09057600000006</v>
      </c>
      <c r="G238" s="4">
        <v>2E-3</v>
      </c>
      <c r="I238" s="4" t="s">
        <v>174</v>
      </c>
      <c r="J238" s="4">
        <v>0.9</v>
      </c>
      <c r="K238" s="4">
        <v>0.5</v>
      </c>
      <c r="L238" s="4">
        <v>0.6</v>
      </c>
      <c r="M238" s="4">
        <v>0.36</v>
      </c>
      <c r="N238" s="4">
        <v>696.17199700000003</v>
      </c>
      <c r="O238" s="4">
        <v>6.0000000000000001E-3</v>
      </c>
      <c r="P238" s="5"/>
      <c r="Q238" s="5"/>
      <c r="R238" s="5"/>
      <c r="S238" s="5"/>
      <c r="U238" s="4" t="s">
        <v>174</v>
      </c>
      <c r="V238" s="4">
        <v>0.9</v>
      </c>
      <c r="W238" s="4">
        <v>0.5</v>
      </c>
      <c r="X238" s="4">
        <v>0.6</v>
      </c>
      <c r="Y238" s="4">
        <v>0.3</v>
      </c>
      <c r="Z238" s="6">
        <v>670.11676</v>
      </c>
      <c r="AA238" s="4">
        <v>2E-3</v>
      </c>
      <c r="AC238" s="4" t="s">
        <v>174</v>
      </c>
      <c r="AD238" s="4">
        <v>0.9</v>
      </c>
      <c r="AE238" s="4">
        <v>0.5</v>
      </c>
      <c r="AF238" s="4">
        <v>0.6</v>
      </c>
      <c r="AG238" s="4">
        <v>0.37</v>
      </c>
      <c r="AH238" s="4">
        <v>677.462219</v>
      </c>
      <c r="AI238" s="4">
        <v>1E-3</v>
      </c>
      <c r="AJ238" s="5"/>
      <c r="AK238" s="5"/>
      <c r="AL238" s="5"/>
      <c r="AM238" s="5"/>
      <c r="AO238" s="4" t="s">
        <v>175</v>
      </c>
      <c r="AP238" s="4">
        <v>0.9</v>
      </c>
      <c r="AQ238" s="4">
        <v>0.5</v>
      </c>
      <c r="AR238" s="4">
        <v>0.6</v>
      </c>
      <c r="AS238" s="4">
        <v>0.3</v>
      </c>
      <c r="AT238" s="6">
        <v>977.95916699999998</v>
      </c>
      <c r="AU238" s="4">
        <v>0.01</v>
      </c>
      <c r="AW238" s="4" t="s">
        <v>175</v>
      </c>
      <c r="AX238" s="4">
        <v>0.9</v>
      </c>
      <c r="AY238" s="4">
        <v>0.5</v>
      </c>
      <c r="AZ238" s="4">
        <v>0.6</v>
      </c>
      <c r="BA238" s="4">
        <v>0.32</v>
      </c>
      <c r="BB238" s="4">
        <v>1001.236145</v>
      </c>
      <c r="BC238" s="4">
        <v>6.0000000000000001E-3</v>
      </c>
      <c r="BD238" s="5"/>
      <c r="BE238" s="5"/>
      <c r="BF238" s="5"/>
      <c r="BG238" s="5"/>
      <c r="BI238" s="4" t="s">
        <v>175</v>
      </c>
      <c r="BJ238" s="4">
        <v>0.9</v>
      </c>
      <c r="BK238" s="4">
        <v>0.5</v>
      </c>
      <c r="BL238" s="4">
        <v>0.6</v>
      </c>
      <c r="BM238" s="4">
        <v>0.3</v>
      </c>
      <c r="BN238" s="6">
        <v>958.14282200000002</v>
      </c>
      <c r="BO238" s="4">
        <v>7.0000000000000001E-3</v>
      </c>
      <c r="BQ238" s="4" t="s">
        <v>175</v>
      </c>
      <c r="BR238" s="4">
        <v>0.9</v>
      </c>
      <c r="BS238" s="4">
        <v>0.5</v>
      </c>
      <c r="BT238" s="4">
        <v>0.6</v>
      </c>
      <c r="BU238" s="4">
        <v>0.3</v>
      </c>
      <c r="BV238" s="4">
        <v>984.30633499999999</v>
      </c>
      <c r="BW238" s="4">
        <v>6.0000000000000001E-3</v>
      </c>
      <c r="BX238" s="5"/>
      <c r="BY238" s="5"/>
      <c r="BZ238" s="5"/>
      <c r="CA238" s="5"/>
    </row>
    <row r="239" spans="1:79" x14ac:dyDescent="0.3">
      <c r="A239" s="4" t="s">
        <v>176</v>
      </c>
      <c r="B239" s="4">
        <v>0.9</v>
      </c>
      <c r="C239" s="4">
        <v>0.5</v>
      </c>
      <c r="D239" s="4">
        <v>0.6</v>
      </c>
      <c r="E239" s="4">
        <v>0.3</v>
      </c>
      <c r="F239" s="6">
        <v>707.24566700000003</v>
      </c>
      <c r="G239" s="4">
        <v>2E-3</v>
      </c>
      <c r="I239" s="4" t="s">
        <v>176</v>
      </c>
      <c r="J239" s="4">
        <v>0.9</v>
      </c>
      <c r="K239" s="4">
        <v>0.5</v>
      </c>
      <c r="L239" s="4">
        <v>0.6</v>
      </c>
      <c r="M239" s="4">
        <v>0.42</v>
      </c>
      <c r="N239" s="4">
        <v>716.91778599999998</v>
      </c>
      <c r="O239" s="4">
        <v>2E-3</v>
      </c>
      <c r="P239" s="5"/>
      <c r="Q239" s="5"/>
      <c r="R239" s="5"/>
      <c r="S239" s="5"/>
      <c r="U239" s="4" t="s">
        <v>176</v>
      </c>
      <c r="V239" s="4">
        <v>0.9</v>
      </c>
      <c r="W239" s="4">
        <v>0.5</v>
      </c>
      <c r="X239" s="4">
        <v>0.6</v>
      </c>
      <c r="Y239" s="4">
        <v>0.3</v>
      </c>
      <c r="Z239" s="6">
        <v>694.58581500000003</v>
      </c>
      <c r="AA239" s="4">
        <v>2E-3</v>
      </c>
      <c r="AC239" s="4" t="s">
        <v>176</v>
      </c>
      <c r="AD239" s="4">
        <v>0.9</v>
      </c>
      <c r="AE239" s="4">
        <v>0.5</v>
      </c>
      <c r="AF239" s="4">
        <v>0.6</v>
      </c>
      <c r="AG239" s="4">
        <v>0.33</v>
      </c>
      <c r="AH239" s="4">
        <v>715.91223100000002</v>
      </c>
      <c r="AI239" s="4">
        <v>2E-3</v>
      </c>
      <c r="AJ239" s="5"/>
      <c r="AK239" s="5"/>
      <c r="AL239" s="5"/>
      <c r="AM239" s="5"/>
      <c r="AO239" s="4" t="s">
        <v>177</v>
      </c>
      <c r="AP239" s="4">
        <v>0.9</v>
      </c>
      <c r="AQ239" s="4">
        <v>0.5</v>
      </c>
      <c r="AR239" s="4">
        <v>0.6</v>
      </c>
      <c r="AS239" s="4">
        <v>0.3</v>
      </c>
      <c r="AT239" s="6">
        <v>1086.8961179999999</v>
      </c>
      <c r="AU239" s="4">
        <v>8.0000000000000002E-3</v>
      </c>
      <c r="AW239" s="4" t="s">
        <v>177</v>
      </c>
      <c r="AX239" s="4">
        <v>0.9</v>
      </c>
      <c r="AY239" s="4">
        <v>0.5</v>
      </c>
      <c r="AZ239" s="4">
        <v>0.6</v>
      </c>
      <c r="BA239" s="4">
        <v>0.31</v>
      </c>
      <c r="BB239" s="4">
        <v>1103.0185550000001</v>
      </c>
      <c r="BC239" s="4">
        <v>7.0000000000000001E-3</v>
      </c>
      <c r="BD239" s="5"/>
      <c r="BE239" s="5"/>
      <c r="BF239" s="5"/>
      <c r="BG239" s="5"/>
      <c r="BI239" s="4" t="s">
        <v>177</v>
      </c>
      <c r="BJ239" s="4">
        <v>0.9</v>
      </c>
      <c r="BK239" s="4">
        <v>0.5</v>
      </c>
      <c r="BL239" s="4">
        <v>0.6</v>
      </c>
      <c r="BM239" s="4">
        <v>0.3</v>
      </c>
      <c r="BN239" s="6">
        <v>1044.595703</v>
      </c>
      <c r="BO239" s="4">
        <v>8.0000000000000002E-3</v>
      </c>
      <c r="BQ239" s="4" t="s">
        <v>177</v>
      </c>
      <c r="BR239" s="4">
        <v>0.9</v>
      </c>
      <c r="BS239" s="4">
        <v>0.5</v>
      </c>
      <c r="BT239" s="4">
        <v>0.6</v>
      </c>
      <c r="BU239" s="4">
        <v>0.32</v>
      </c>
      <c r="BV239" s="4">
        <v>1060.020264</v>
      </c>
      <c r="BW239" s="4">
        <v>8.0000000000000002E-3</v>
      </c>
      <c r="BX239" s="5"/>
      <c r="BY239" s="5"/>
      <c r="BZ239" s="5"/>
      <c r="CA239" s="5"/>
    </row>
    <row r="240" spans="1:79" x14ac:dyDescent="0.3">
      <c r="A240" s="4" t="s">
        <v>178</v>
      </c>
      <c r="B240" s="4">
        <v>0.9</v>
      </c>
      <c r="C240" s="4">
        <v>0.5</v>
      </c>
      <c r="D240" s="4">
        <v>0.6</v>
      </c>
      <c r="E240" s="4">
        <v>0.3</v>
      </c>
      <c r="F240" s="4">
        <v>674.61303699999996</v>
      </c>
      <c r="G240" s="4">
        <v>1E-3</v>
      </c>
      <c r="I240" s="4" t="s">
        <v>178</v>
      </c>
      <c r="J240" s="4">
        <v>0.9</v>
      </c>
      <c r="K240" s="4">
        <v>0.5</v>
      </c>
      <c r="L240" s="4">
        <v>0.6</v>
      </c>
      <c r="M240" s="4">
        <v>0.31</v>
      </c>
      <c r="N240" s="6">
        <v>671.08325200000002</v>
      </c>
      <c r="O240" s="4">
        <v>2E-3</v>
      </c>
      <c r="P240" s="5"/>
      <c r="Q240" s="5"/>
      <c r="R240" s="5"/>
      <c r="S240" s="5"/>
      <c r="U240" s="4" t="s">
        <v>178</v>
      </c>
      <c r="V240" s="4">
        <v>0.9</v>
      </c>
      <c r="W240" s="4">
        <v>0.5</v>
      </c>
      <c r="X240" s="4">
        <v>0.6</v>
      </c>
      <c r="Y240" s="4">
        <v>0.3</v>
      </c>
      <c r="Z240" s="6">
        <v>640.28515600000003</v>
      </c>
      <c r="AA240" s="4">
        <v>1E-3</v>
      </c>
      <c r="AC240" s="4" t="s">
        <v>178</v>
      </c>
      <c r="AD240" s="4">
        <v>0.9</v>
      </c>
      <c r="AE240" s="4">
        <v>0.5</v>
      </c>
      <c r="AF240" s="4">
        <v>0.6</v>
      </c>
      <c r="AG240" s="4">
        <v>0.39</v>
      </c>
      <c r="AH240" s="4">
        <v>670.89703399999996</v>
      </c>
      <c r="AI240" s="4">
        <v>2E-3</v>
      </c>
      <c r="AJ240" s="5"/>
      <c r="AK240" s="5"/>
      <c r="AL240" s="5"/>
      <c r="AM240" s="5"/>
      <c r="AO240" s="4" t="s">
        <v>179</v>
      </c>
      <c r="AP240" s="4">
        <v>0.9</v>
      </c>
      <c r="AQ240" s="4">
        <v>0.5</v>
      </c>
      <c r="AR240" s="4">
        <v>0.6</v>
      </c>
      <c r="AS240" s="4">
        <v>0.3</v>
      </c>
      <c r="AT240" s="6">
        <v>1032.3348390000001</v>
      </c>
      <c r="AU240" s="4">
        <v>7.0000000000000001E-3</v>
      </c>
      <c r="AW240" s="4" t="s">
        <v>179</v>
      </c>
      <c r="AX240" s="4">
        <v>0.9</v>
      </c>
      <c r="AY240" s="4">
        <v>0.5</v>
      </c>
      <c r="AZ240" s="4">
        <v>0.6</v>
      </c>
      <c r="BA240" s="4">
        <v>0.3</v>
      </c>
      <c r="BB240" s="4">
        <v>1085.345581</v>
      </c>
      <c r="BC240" s="4">
        <v>8.0000000000000002E-3</v>
      </c>
      <c r="BD240" s="5"/>
      <c r="BE240" s="5"/>
      <c r="BF240" s="5"/>
      <c r="BG240" s="5"/>
      <c r="BI240" s="4" t="s">
        <v>179</v>
      </c>
      <c r="BJ240" s="4">
        <v>0.9</v>
      </c>
      <c r="BK240" s="4">
        <v>0.5</v>
      </c>
      <c r="BL240" s="4">
        <v>0.6</v>
      </c>
      <c r="BM240" s="4">
        <v>0.3</v>
      </c>
      <c r="BN240" s="6">
        <v>1010.740784</v>
      </c>
      <c r="BO240" s="4">
        <v>6.0000000000000001E-3</v>
      </c>
      <c r="BQ240" s="4" t="s">
        <v>179</v>
      </c>
      <c r="BR240" s="4">
        <v>0.9</v>
      </c>
      <c r="BS240" s="4">
        <v>0.5</v>
      </c>
      <c r="BT240" s="4">
        <v>0.6</v>
      </c>
      <c r="BU240" s="4">
        <v>0.32</v>
      </c>
      <c r="BV240" s="4">
        <v>1076.2319339999999</v>
      </c>
      <c r="BW240" s="4">
        <v>7.0000000000000001E-3</v>
      </c>
      <c r="BX240" s="5"/>
      <c r="BY240" s="5"/>
      <c r="BZ240" s="5"/>
      <c r="CA240" s="5"/>
    </row>
    <row r="241" spans="1:79" x14ac:dyDescent="0.3">
      <c r="A241" s="4" t="s">
        <v>180</v>
      </c>
      <c r="B241" s="4">
        <v>0.9</v>
      </c>
      <c r="C241" s="4">
        <v>0.5</v>
      </c>
      <c r="D241" s="4">
        <v>0.6</v>
      </c>
      <c r="E241" s="4">
        <v>0.3</v>
      </c>
      <c r="F241" s="6">
        <v>673.78869599999996</v>
      </c>
      <c r="G241" s="4">
        <v>2E-3</v>
      </c>
      <c r="I241" s="4" t="s">
        <v>180</v>
      </c>
      <c r="J241" s="4">
        <v>0.9</v>
      </c>
      <c r="K241" s="4">
        <v>0.5</v>
      </c>
      <c r="L241" s="4">
        <v>0.6</v>
      </c>
      <c r="M241" s="4">
        <v>0.34</v>
      </c>
      <c r="N241" s="4">
        <v>699.52410899999995</v>
      </c>
      <c r="O241" s="4">
        <v>3.0000000000000001E-3</v>
      </c>
      <c r="P241" s="5"/>
      <c r="Q241" s="5"/>
      <c r="R241" s="5"/>
      <c r="S241" s="5"/>
      <c r="U241" s="4" t="s">
        <v>180</v>
      </c>
      <c r="V241" s="4">
        <v>0.9</v>
      </c>
      <c r="W241" s="4">
        <v>0.5</v>
      </c>
      <c r="X241" s="4">
        <v>0.6</v>
      </c>
      <c r="Y241" s="4">
        <v>0.3</v>
      </c>
      <c r="Z241" s="4">
        <v>669.84527600000001</v>
      </c>
      <c r="AA241" s="4">
        <v>1E-3</v>
      </c>
      <c r="AC241" s="4" t="s">
        <v>180</v>
      </c>
      <c r="AD241" s="4">
        <v>0.9</v>
      </c>
      <c r="AE241" s="4">
        <v>0.5</v>
      </c>
      <c r="AF241" s="4">
        <v>0.6</v>
      </c>
      <c r="AG241" s="4">
        <v>0.33</v>
      </c>
      <c r="AH241" s="6">
        <v>663.16900599999997</v>
      </c>
      <c r="AI241" s="4">
        <v>1E-3</v>
      </c>
      <c r="AJ241" s="5"/>
      <c r="AK241" s="5"/>
      <c r="AL241" s="5"/>
      <c r="AM241" s="5"/>
      <c r="AO241" s="4" t="s">
        <v>181</v>
      </c>
      <c r="AP241" s="4">
        <v>0.9</v>
      </c>
      <c r="AQ241" s="4">
        <v>0.5</v>
      </c>
      <c r="AR241" s="4">
        <v>0.6</v>
      </c>
      <c r="AS241" s="4">
        <v>0.3</v>
      </c>
      <c r="AT241" s="6">
        <v>1039.3226320000001</v>
      </c>
      <c r="AU241" s="4">
        <v>7.0000000000000001E-3</v>
      </c>
      <c r="AW241" s="4" t="s">
        <v>181</v>
      </c>
      <c r="AX241" s="4">
        <v>0.9</v>
      </c>
      <c r="AY241" s="4">
        <v>0.5</v>
      </c>
      <c r="AZ241" s="4">
        <v>0.6</v>
      </c>
      <c r="BA241" s="4">
        <v>0.33</v>
      </c>
      <c r="BB241" s="4">
        <v>1080.086914</v>
      </c>
      <c r="BC241" s="4">
        <v>7.0000000000000001E-3</v>
      </c>
      <c r="BD241" s="5"/>
      <c r="BE241" s="5"/>
      <c r="BF241" s="5"/>
      <c r="BG241" s="5"/>
      <c r="BI241" s="4" t="s">
        <v>181</v>
      </c>
      <c r="BJ241" s="4">
        <v>0.9</v>
      </c>
      <c r="BK241" s="4">
        <v>0.5</v>
      </c>
      <c r="BL241" s="4">
        <v>0.6</v>
      </c>
      <c r="BM241" s="4">
        <v>0.3</v>
      </c>
      <c r="BN241" s="6">
        <v>996.02288799999997</v>
      </c>
      <c r="BO241" s="4">
        <v>7.0000000000000001E-3</v>
      </c>
      <c r="BQ241" s="4" t="s">
        <v>181</v>
      </c>
      <c r="BR241" s="4">
        <v>0.9</v>
      </c>
      <c r="BS241" s="4">
        <v>0.5</v>
      </c>
      <c r="BT241" s="4">
        <v>0.6</v>
      </c>
      <c r="BU241" s="4">
        <v>0.3</v>
      </c>
      <c r="BV241" s="4">
        <v>1028.0272219999999</v>
      </c>
      <c r="BW241" s="4">
        <v>8.0000000000000002E-3</v>
      </c>
      <c r="BX241" s="5"/>
      <c r="BY241" s="5"/>
      <c r="BZ241" s="5"/>
      <c r="CA241" s="5"/>
    </row>
    <row r="242" spans="1:79" x14ac:dyDescent="0.3">
      <c r="A242" s="4" t="s">
        <v>182</v>
      </c>
      <c r="B242" s="4">
        <v>0.9</v>
      </c>
      <c r="C242" s="4">
        <v>0.5</v>
      </c>
      <c r="D242" s="4">
        <v>0.6</v>
      </c>
      <c r="E242" s="4">
        <v>0.3</v>
      </c>
      <c r="F242" s="6">
        <v>625.35784899999999</v>
      </c>
      <c r="G242" s="4">
        <v>1E-3</v>
      </c>
      <c r="I242" s="4" t="s">
        <v>182</v>
      </c>
      <c r="J242" s="4">
        <v>0.9</v>
      </c>
      <c r="K242" s="4">
        <v>0.5</v>
      </c>
      <c r="L242" s="4">
        <v>0.6</v>
      </c>
      <c r="M242" s="4">
        <v>0.32</v>
      </c>
      <c r="N242" s="4">
        <v>633.80480999999997</v>
      </c>
      <c r="O242" s="4">
        <v>1E-3</v>
      </c>
      <c r="P242" s="5"/>
      <c r="Q242" s="5"/>
      <c r="R242" s="5"/>
      <c r="S242" s="5"/>
      <c r="U242" s="4" t="s">
        <v>182</v>
      </c>
      <c r="V242" s="4">
        <v>0.9</v>
      </c>
      <c r="W242" s="4">
        <v>0.5</v>
      </c>
      <c r="X242" s="4">
        <v>0.6</v>
      </c>
      <c r="Y242" s="4">
        <v>0.3</v>
      </c>
      <c r="Z242" s="6">
        <v>611.75146500000005</v>
      </c>
      <c r="AA242" s="4">
        <v>1E-3</v>
      </c>
      <c r="AC242" s="4" t="s">
        <v>182</v>
      </c>
      <c r="AD242" s="4">
        <v>0.9</v>
      </c>
      <c r="AE242" s="4">
        <v>0.5</v>
      </c>
      <c r="AF242" s="4">
        <v>0.6</v>
      </c>
      <c r="AG242" s="4">
        <v>0.3</v>
      </c>
      <c r="AH242" s="4">
        <v>633.10961899999995</v>
      </c>
      <c r="AI242" s="4">
        <v>1E-3</v>
      </c>
      <c r="AJ242" s="5"/>
      <c r="AK242" s="5"/>
      <c r="AL242" s="5"/>
      <c r="AM242" s="5"/>
      <c r="AO242" s="4" t="s">
        <v>183</v>
      </c>
      <c r="AP242" s="4">
        <v>0.9</v>
      </c>
      <c r="AQ242" s="4">
        <v>0.5</v>
      </c>
      <c r="AR242" s="4">
        <v>0.6</v>
      </c>
      <c r="AS242" s="4">
        <v>0.3</v>
      </c>
      <c r="AT242" s="6">
        <v>1067.0251459999999</v>
      </c>
      <c r="AU242" s="4">
        <v>7.0000000000000001E-3</v>
      </c>
      <c r="AW242" s="4" t="s">
        <v>183</v>
      </c>
      <c r="AX242" s="4">
        <v>0.9</v>
      </c>
      <c r="AY242" s="4">
        <v>0.5</v>
      </c>
      <c r="AZ242" s="4">
        <v>0.6</v>
      </c>
      <c r="BA242" s="4">
        <v>0.33</v>
      </c>
      <c r="BB242" s="4">
        <v>1107.4366460000001</v>
      </c>
      <c r="BC242" s="4">
        <v>7.0000000000000001E-3</v>
      </c>
      <c r="BD242" s="5"/>
      <c r="BE242" s="5"/>
      <c r="BF242" s="5"/>
      <c r="BG242" s="5"/>
      <c r="BI242" s="4" t="s">
        <v>183</v>
      </c>
      <c r="BJ242" s="4">
        <v>0.9</v>
      </c>
      <c r="BK242" s="4">
        <v>0.5</v>
      </c>
      <c r="BL242" s="4">
        <v>0.6</v>
      </c>
      <c r="BM242" s="4">
        <v>0.3</v>
      </c>
      <c r="BN242" s="6">
        <v>1047.1072999999999</v>
      </c>
      <c r="BO242" s="4">
        <v>7.0000000000000001E-3</v>
      </c>
      <c r="BQ242" s="4" t="s">
        <v>183</v>
      </c>
      <c r="BR242" s="4">
        <v>0.9</v>
      </c>
      <c r="BS242" s="4">
        <v>0.5</v>
      </c>
      <c r="BT242" s="4">
        <v>0.6</v>
      </c>
      <c r="BU242" s="4">
        <v>0.37</v>
      </c>
      <c r="BV242" s="4">
        <v>1052.793823</v>
      </c>
      <c r="BW242" s="4">
        <v>7.0000000000000001E-3</v>
      </c>
      <c r="BX242" s="5"/>
      <c r="BY242" s="5"/>
      <c r="BZ242" s="5"/>
      <c r="CA242" s="5"/>
    </row>
    <row r="243" spans="1:79" x14ac:dyDescent="0.3">
      <c r="A243" s="4" t="s">
        <v>184</v>
      </c>
      <c r="B243" s="4">
        <v>0.9</v>
      </c>
      <c r="C243" s="4">
        <v>0.5</v>
      </c>
      <c r="D243" s="4">
        <v>0.6</v>
      </c>
      <c r="E243" s="4">
        <v>0.3</v>
      </c>
      <c r="F243" s="6">
        <v>649.77593999999999</v>
      </c>
      <c r="G243" s="4">
        <v>1E-3</v>
      </c>
      <c r="I243" s="4" t="s">
        <v>184</v>
      </c>
      <c r="J243" s="4">
        <v>0.9</v>
      </c>
      <c r="K243" s="4">
        <v>0.5</v>
      </c>
      <c r="L243" s="4">
        <v>0.6</v>
      </c>
      <c r="M243" s="4">
        <v>0.3</v>
      </c>
      <c r="N243" s="4">
        <v>665.057007</v>
      </c>
      <c r="O243" s="4">
        <v>2E-3</v>
      </c>
      <c r="P243" s="5"/>
      <c r="Q243" s="5"/>
      <c r="R243" s="5"/>
      <c r="S243" s="5"/>
      <c r="U243" s="4" t="s">
        <v>184</v>
      </c>
      <c r="V243" s="4">
        <v>0.9</v>
      </c>
      <c r="W243" s="4">
        <v>0.5</v>
      </c>
      <c r="X243" s="4">
        <v>0.6</v>
      </c>
      <c r="Y243" s="4">
        <v>0.3</v>
      </c>
      <c r="Z243" s="6">
        <v>617.88653599999998</v>
      </c>
      <c r="AA243" s="4">
        <v>1E-3</v>
      </c>
      <c r="AC243" s="4" t="s">
        <v>184</v>
      </c>
      <c r="AD243" s="4">
        <v>0.9</v>
      </c>
      <c r="AE243" s="4">
        <v>0.5</v>
      </c>
      <c r="AF243" s="4">
        <v>0.6</v>
      </c>
      <c r="AG243" s="4">
        <v>0.35</v>
      </c>
      <c r="AH243" s="4">
        <v>646.14105199999995</v>
      </c>
      <c r="AI243" s="4">
        <v>1E-3</v>
      </c>
      <c r="AJ243" s="5"/>
      <c r="AK243" s="5"/>
      <c r="AL243" s="5"/>
      <c r="AM243" s="5"/>
      <c r="AO243" s="4" t="s">
        <v>185</v>
      </c>
      <c r="AP243" s="4">
        <v>0.9</v>
      </c>
      <c r="AQ243" s="4">
        <v>0.5</v>
      </c>
      <c r="AR243" s="4">
        <v>0.6</v>
      </c>
      <c r="AS243" s="4">
        <v>0.3</v>
      </c>
      <c r="AT243" s="6">
        <v>1025.0541989999999</v>
      </c>
      <c r="AU243" s="4">
        <v>7.0000000000000001E-3</v>
      </c>
      <c r="AW243" s="4" t="s">
        <v>185</v>
      </c>
      <c r="AX243" s="4">
        <v>0.9</v>
      </c>
      <c r="AY243" s="4">
        <v>0.5</v>
      </c>
      <c r="AZ243" s="4">
        <v>0.6</v>
      </c>
      <c r="BA243" s="4">
        <v>0.32</v>
      </c>
      <c r="BB243" s="4">
        <v>1037.9038089999999</v>
      </c>
      <c r="BC243" s="4">
        <v>7.0000000000000001E-3</v>
      </c>
      <c r="BD243" s="5"/>
      <c r="BE243" s="5"/>
      <c r="BF243" s="5"/>
      <c r="BG243" s="5"/>
      <c r="BI243" s="4" t="s">
        <v>185</v>
      </c>
      <c r="BJ243" s="4">
        <v>0.9</v>
      </c>
      <c r="BK243" s="4">
        <v>0.5</v>
      </c>
      <c r="BL243" s="4">
        <v>0.6</v>
      </c>
      <c r="BM243" s="4">
        <v>0.3</v>
      </c>
      <c r="BN243" s="6">
        <v>1023.160034</v>
      </c>
      <c r="BO243" s="4">
        <v>7.0000000000000001E-3</v>
      </c>
      <c r="BQ243" s="4" t="s">
        <v>185</v>
      </c>
      <c r="BR243" s="4">
        <v>0.9</v>
      </c>
      <c r="BS243" s="4">
        <v>0.5</v>
      </c>
      <c r="BT243" s="4">
        <v>0.6</v>
      </c>
      <c r="BU243" s="4">
        <v>0.3</v>
      </c>
      <c r="BV243" s="4">
        <v>1048.267578</v>
      </c>
      <c r="BW243" s="4">
        <v>7.0000000000000001E-3</v>
      </c>
      <c r="BX243" s="5"/>
      <c r="BY243" s="5"/>
      <c r="BZ243" s="5"/>
      <c r="CA243" s="5"/>
    </row>
    <row r="244" spans="1:79" x14ac:dyDescent="0.3">
      <c r="A244" s="4" t="s">
        <v>186</v>
      </c>
      <c r="B244" s="4">
        <v>0.9</v>
      </c>
      <c r="C244" s="4">
        <v>0.5</v>
      </c>
      <c r="D244" s="4">
        <v>0.6</v>
      </c>
      <c r="E244" s="4">
        <v>0.3</v>
      </c>
      <c r="F244" s="6">
        <v>745.99169900000004</v>
      </c>
      <c r="G244" s="4">
        <v>1E-3</v>
      </c>
      <c r="I244" s="4" t="s">
        <v>186</v>
      </c>
      <c r="J244" s="4">
        <v>0.9</v>
      </c>
      <c r="K244" s="4">
        <v>0.5</v>
      </c>
      <c r="L244" s="4">
        <v>0.6</v>
      </c>
      <c r="M244" s="4">
        <v>0.3</v>
      </c>
      <c r="N244" s="4">
        <v>779.13262899999995</v>
      </c>
      <c r="O244" s="4">
        <v>2E-3</v>
      </c>
      <c r="P244" s="5"/>
      <c r="Q244" s="5"/>
      <c r="R244" s="5"/>
      <c r="S244" s="5"/>
      <c r="U244" s="4" t="s">
        <v>186</v>
      </c>
      <c r="V244" s="4">
        <v>0.9</v>
      </c>
      <c r="W244" s="4">
        <v>0.5</v>
      </c>
      <c r="X244" s="4">
        <v>0.6</v>
      </c>
      <c r="Y244" s="4">
        <v>0.3</v>
      </c>
      <c r="Z244" s="6">
        <v>732.42492700000003</v>
      </c>
      <c r="AA244" s="4">
        <v>1E-3</v>
      </c>
      <c r="AC244" s="4" t="s">
        <v>186</v>
      </c>
      <c r="AD244" s="4">
        <v>0.9</v>
      </c>
      <c r="AE244" s="4">
        <v>0.5</v>
      </c>
      <c r="AF244" s="4">
        <v>0.6</v>
      </c>
      <c r="AG244" s="4">
        <v>0.3</v>
      </c>
      <c r="AH244" s="4">
        <v>770.07708700000001</v>
      </c>
      <c r="AI244" s="4">
        <v>1E-3</v>
      </c>
      <c r="AJ244" s="5"/>
      <c r="AK244" s="5"/>
      <c r="AL244" s="5"/>
      <c r="AM244" s="5"/>
      <c r="AO244" s="4" t="s">
        <v>187</v>
      </c>
      <c r="AP244" s="4">
        <v>0.9</v>
      </c>
      <c r="AQ244" s="4">
        <v>0.5</v>
      </c>
      <c r="AR244" s="4">
        <v>0.6</v>
      </c>
      <c r="AS244" s="4">
        <v>0.3</v>
      </c>
      <c r="AT244" s="4">
        <v>1137.481689</v>
      </c>
      <c r="AU244" s="4">
        <v>8.0000000000000002E-3</v>
      </c>
      <c r="AW244" s="4" t="s">
        <v>187</v>
      </c>
      <c r="AX244" s="4">
        <v>0.9</v>
      </c>
      <c r="AY244" s="4">
        <v>0.5</v>
      </c>
      <c r="AZ244" s="4">
        <v>0.6</v>
      </c>
      <c r="BA244" s="4">
        <v>0.32</v>
      </c>
      <c r="BB244" s="6">
        <v>1134.196899</v>
      </c>
      <c r="BC244" s="4">
        <v>7.0000000000000001E-3</v>
      </c>
      <c r="BD244" s="5"/>
      <c r="BE244" s="5"/>
      <c r="BF244" s="5"/>
      <c r="BG244" s="5"/>
      <c r="BI244" s="4" t="s">
        <v>187</v>
      </c>
      <c r="BJ244" s="4">
        <v>0.9</v>
      </c>
      <c r="BK244" s="4">
        <v>0.5</v>
      </c>
      <c r="BL244" s="4">
        <v>0.6</v>
      </c>
      <c r="BM244" s="4">
        <v>0.3</v>
      </c>
      <c r="BN244" s="6">
        <v>1116.3873289999999</v>
      </c>
      <c r="BO244" s="4">
        <v>7.0000000000000001E-3</v>
      </c>
      <c r="BQ244" s="4" t="s">
        <v>187</v>
      </c>
      <c r="BR244" s="4">
        <v>0.9</v>
      </c>
      <c r="BS244" s="4">
        <v>0.5</v>
      </c>
      <c r="BT244" s="4">
        <v>0.6</v>
      </c>
      <c r="BU244" s="4">
        <v>0.36</v>
      </c>
      <c r="BV244" s="4">
        <v>1163.8870850000001</v>
      </c>
      <c r="BW244" s="4">
        <v>7.0000000000000001E-3</v>
      </c>
      <c r="BX244" s="5"/>
      <c r="BY244" s="5"/>
      <c r="BZ244" s="5"/>
      <c r="CA244" s="5"/>
    </row>
    <row r="245" spans="1:79" x14ac:dyDescent="0.3">
      <c r="A245" s="4" t="s">
        <v>188</v>
      </c>
      <c r="B245" s="4">
        <v>0.9</v>
      </c>
      <c r="C245" s="4">
        <v>0.5</v>
      </c>
      <c r="D245" s="4">
        <v>0.6</v>
      </c>
      <c r="E245" s="4">
        <v>0.3</v>
      </c>
      <c r="F245" s="6">
        <v>676.25616500000001</v>
      </c>
      <c r="G245" s="4">
        <v>2E-3</v>
      </c>
      <c r="I245" s="4" t="s">
        <v>188</v>
      </c>
      <c r="J245" s="4">
        <v>0.9</v>
      </c>
      <c r="K245" s="4">
        <v>0.5</v>
      </c>
      <c r="L245" s="4">
        <v>0.6</v>
      </c>
      <c r="M245" s="4">
        <v>0.33</v>
      </c>
      <c r="N245" s="4">
        <v>709.83599900000002</v>
      </c>
      <c r="O245" s="4">
        <v>2E-3</v>
      </c>
      <c r="P245" s="5"/>
      <c r="Q245" s="5"/>
      <c r="R245" s="5"/>
      <c r="S245" s="5"/>
      <c r="U245" s="4" t="s">
        <v>188</v>
      </c>
      <c r="V245" s="4">
        <v>0.9</v>
      </c>
      <c r="W245" s="4">
        <v>0.5</v>
      </c>
      <c r="X245" s="4">
        <v>0.6</v>
      </c>
      <c r="Y245" s="4">
        <v>0.3</v>
      </c>
      <c r="Z245" s="6">
        <v>653.67767300000003</v>
      </c>
      <c r="AA245" s="4">
        <v>4.0000000000000001E-3</v>
      </c>
      <c r="AC245" s="4" t="s">
        <v>188</v>
      </c>
      <c r="AD245" s="4">
        <v>0.9</v>
      </c>
      <c r="AE245" s="4">
        <v>0.5</v>
      </c>
      <c r="AF245" s="4">
        <v>0.6</v>
      </c>
      <c r="AG245" s="4">
        <v>0.33</v>
      </c>
      <c r="AH245" s="4">
        <v>697.40405299999998</v>
      </c>
      <c r="AI245" s="4">
        <v>2E-3</v>
      </c>
      <c r="AJ245" s="5"/>
      <c r="AK245" s="5"/>
      <c r="AL245" s="5"/>
      <c r="AM245" s="5"/>
      <c r="AO245" s="4" t="s">
        <v>189</v>
      </c>
      <c r="AP245" s="4">
        <v>0.9</v>
      </c>
      <c r="AQ245" s="4">
        <v>0.5</v>
      </c>
      <c r="AR245" s="4">
        <v>0.6</v>
      </c>
      <c r="AS245" s="4">
        <v>0.3</v>
      </c>
      <c r="AT245" s="6">
        <v>983.92980999999997</v>
      </c>
      <c r="AU245" s="4">
        <v>6.0000000000000001E-3</v>
      </c>
      <c r="AW245" s="4" t="s">
        <v>189</v>
      </c>
      <c r="AX245" s="4">
        <v>0.9</v>
      </c>
      <c r="AY245" s="4">
        <v>0.5</v>
      </c>
      <c r="AZ245" s="4">
        <v>0.6</v>
      </c>
      <c r="BA245" s="4">
        <v>0.3</v>
      </c>
      <c r="BB245" s="4">
        <v>993.68890399999998</v>
      </c>
      <c r="BC245" s="4">
        <v>8.0000000000000002E-3</v>
      </c>
      <c r="BD245" s="5"/>
      <c r="BE245" s="5"/>
      <c r="BF245" s="5"/>
      <c r="BG245" s="5"/>
      <c r="BI245" s="4" t="s">
        <v>189</v>
      </c>
      <c r="BJ245" s="4">
        <v>0.9</v>
      </c>
      <c r="BK245" s="4">
        <v>0.5</v>
      </c>
      <c r="BL245" s="4">
        <v>0.6</v>
      </c>
      <c r="BM245" s="4">
        <v>0.3</v>
      </c>
      <c r="BN245" s="6">
        <v>955.55792199999996</v>
      </c>
      <c r="BO245" s="4">
        <v>6.0000000000000001E-3</v>
      </c>
      <c r="BQ245" s="4" t="s">
        <v>189</v>
      </c>
      <c r="BR245" s="4">
        <v>0.9</v>
      </c>
      <c r="BS245" s="4">
        <v>0.5</v>
      </c>
      <c r="BT245" s="4">
        <v>0.6</v>
      </c>
      <c r="BU245" s="4">
        <v>0.34</v>
      </c>
      <c r="BV245" s="4">
        <v>985.20214799999997</v>
      </c>
      <c r="BW245" s="4">
        <v>7.0000000000000001E-3</v>
      </c>
      <c r="BX245" s="5"/>
      <c r="BY245" s="5"/>
      <c r="BZ245" s="5"/>
      <c r="CA245" s="5"/>
    </row>
    <row r="246" spans="1:79" x14ac:dyDescent="0.3">
      <c r="A246" s="4" t="s">
        <v>190</v>
      </c>
      <c r="B246" s="4">
        <v>0.9</v>
      </c>
      <c r="C246" s="4">
        <v>0.5</v>
      </c>
      <c r="D246" s="4">
        <v>0.6</v>
      </c>
      <c r="E246" s="4">
        <v>0.3</v>
      </c>
      <c r="F246" s="6">
        <v>662.42627000000005</v>
      </c>
      <c r="G246" s="4">
        <v>2E-3</v>
      </c>
      <c r="I246" s="4" t="s">
        <v>190</v>
      </c>
      <c r="J246" s="4">
        <v>0.9</v>
      </c>
      <c r="K246" s="4">
        <v>0.5</v>
      </c>
      <c r="L246" s="4">
        <v>0.6</v>
      </c>
      <c r="M246" s="4">
        <v>0.3</v>
      </c>
      <c r="N246" s="4">
        <v>667.86743200000001</v>
      </c>
      <c r="O246" s="4">
        <v>3.0000000000000001E-3</v>
      </c>
      <c r="P246" s="5"/>
      <c r="Q246" s="5"/>
      <c r="R246" s="5"/>
      <c r="S246" s="5"/>
      <c r="U246" s="4" t="s">
        <v>190</v>
      </c>
      <c r="V246" s="4">
        <v>0.9</v>
      </c>
      <c r="W246" s="4">
        <v>0.5</v>
      </c>
      <c r="X246" s="4">
        <v>0.6</v>
      </c>
      <c r="Y246" s="4">
        <v>0.3</v>
      </c>
      <c r="Z246" s="6">
        <v>653.85784899999999</v>
      </c>
      <c r="AA246" s="4">
        <v>3.0000000000000001E-3</v>
      </c>
      <c r="AC246" s="4" t="s">
        <v>190</v>
      </c>
      <c r="AD246" s="4">
        <v>0.9</v>
      </c>
      <c r="AE246" s="4">
        <v>0.5</v>
      </c>
      <c r="AF246" s="4">
        <v>0.6</v>
      </c>
      <c r="AG246" s="4">
        <v>0.3</v>
      </c>
      <c r="AH246" s="4">
        <v>664.13928199999998</v>
      </c>
      <c r="AI246" s="4">
        <v>2E-3</v>
      </c>
      <c r="AJ246" s="5"/>
      <c r="AK246" s="5"/>
      <c r="AL246" s="5"/>
      <c r="AM246" s="5"/>
      <c r="AO246" s="4" t="s">
        <v>191</v>
      </c>
      <c r="AP246" s="4">
        <v>0.9</v>
      </c>
      <c r="AQ246" s="4">
        <v>0.5</v>
      </c>
      <c r="AR246" s="4">
        <v>0.6</v>
      </c>
      <c r="AS246" s="4">
        <v>0.3</v>
      </c>
      <c r="AT246" s="6">
        <v>988.23944100000006</v>
      </c>
      <c r="AU246" s="4">
        <v>6.0000000000000001E-3</v>
      </c>
      <c r="AW246" s="4" t="s">
        <v>191</v>
      </c>
      <c r="AX246" s="4">
        <v>0.9</v>
      </c>
      <c r="AY246" s="4">
        <v>0.5</v>
      </c>
      <c r="AZ246" s="4">
        <v>0.6</v>
      </c>
      <c r="BA246" s="4">
        <v>0.3</v>
      </c>
      <c r="BB246" s="4">
        <v>1014.093811</v>
      </c>
      <c r="BC246" s="4">
        <v>7.0000000000000001E-3</v>
      </c>
      <c r="BD246" s="5"/>
      <c r="BE246" s="5"/>
      <c r="BF246" s="5"/>
      <c r="BG246" s="5"/>
      <c r="BI246" s="4" t="s">
        <v>191</v>
      </c>
      <c r="BJ246" s="4">
        <v>0.9</v>
      </c>
      <c r="BK246" s="4">
        <v>0.5</v>
      </c>
      <c r="BL246" s="4">
        <v>0.6</v>
      </c>
      <c r="BM246" s="4">
        <v>0.3</v>
      </c>
      <c r="BN246" s="4">
        <v>969.10589600000003</v>
      </c>
      <c r="BO246" s="4">
        <v>6.0000000000000001E-3</v>
      </c>
      <c r="BQ246" s="4" t="s">
        <v>191</v>
      </c>
      <c r="BR246" s="4">
        <v>0.9</v>
      </c>
      <c r="BS246" s="4">
        <v>0.5</v>
      </c>
      <c r="BT246" s="4">
        <v>0.6</v>
      </c>
      <c r="BU246" s="4">
        <v>0.32</v>
      </c>
      <c r="BV246" s="6">
        <v>955.46978799999999</v>
      </c>
      <c r="BW246" s="4">
        <v>8.9999999999999993E-3</v>
      </c>
      <c r="BX246" s="5"/>
      <c r="BY246" s="5"/>
      <c r="BZ246" s="5"/>
      <c r="CA246" s="5"/>
    </row>
    <row r="247" spans="1:79" x14ac:dyDescent="0.3">
      <c r="A247" s="4" t="s">
        <v>192</v>
      </c>
      <c r="B247" s="4">
        <v>0.9</v>
      </c>
      <c r="C247" s="4">
        <v>0.5</v>
      </c>
      <c r="D247" s="4">
        <v>0.6</v>
      </c>
      <c r="E247" s="4">
        <v>0.3</v>
      </c>
      <c r="F247" s="6">
        <v>754.32055700000001</v>
      </c>
      <c r="G247" s="4">
        <v>2E-3</v>
      </c>
      <c r="I247" s="4" t="s">
        <v>192</v>
      </c>
      <c r="J247" s="4">
        <v>0.9</v>
      </c>
      <c r="K247" s="4">
        <v>0.5</v>
      </c>
      <c r="L247" s="4">
        <v>0.6</v>
      </c>
      <c r="M247" s="4">
        <v>0.33</v>
      </c>
      <c r="N247" s="4">
        <v>811.65795900000001</v>
      </c>
      <c r="O247" s="4">
        <v>3.0000000000000001E-3</v>
      </c>
      <c r="P247" s="5"/>
      <c r="Q247" s="5"/>
      <c r="R247" s="5"/>
      <c r="S247" s="5"/>
      <c r="U247" s="4" t="s">
        <v>192</v>
      </c>
      <c r="V247" s="4">
        <v>0.9</v>
      </c>
      <c r="W247" s="4">
        <v>0.5</v>
      </c>
      <c r="X247" s="4">
        <v>0.6</v>
      </c>
      <c r="Y247" s="4">
        <v>0.3</v>
      </c>
      <c r="Z247" s="6">
        <v>766.16589399999998</v>
      </c>
      <c r="AA247" s="4">
        <v>2E-3</v>
      </c>
      <c r="AC247" s="4" t="s">
        <v>192</v>
      </c>
      <c r="AD247" s="4">
        <v>0.9</v>
      </c>
      <c r="AE247" s="4">
        <v>0.5</v>
      </c>
      <c r="AF247" s="4">
        <v>0.6</v>
      </c>
      <c r="AG247" s="4">
        <v>0.3</v>
      </c>
      <c r="AH247" s="4">
        <v>788.60095200000001</v>
      </c>
      <c r="AI247" s="4">
        <v>2E-3</v>
      </c>
      <c r="AJ247" s="5"/>
      <c r="AK247" s="5"/>
      <c r="AL247" s="5"/>
      <c r="AM247" s="5"/>
      <c r="AO247" s="4" t="s">
        <v>193</v>
      </c>
      <c r="AP247" s="4">
        <v>0.9</v>
      </c>
      <c r="AQ247" s="4">
        <v>0.5</v>
      </c>
      <c r="AR247" s="4">
        <v>0.6</v>
      </c>
      <c r="AS247" s="4">
        <v>0.3</v>
      </c>
      <c r="AT247" s="6">
        <v>1082.581909</v>
      </c>
      <c r="AU247" s="4">
        <v>7.0000000000000001E-3</v>
      </c>
      <c r="AW247" s="4" t="s">
        <v>193</v>
      </c>
      <c r="AX247" s="4">
        <v>0.9</v>
      </c>
      <c r="AY247" s="4">
        <v>0.5</v>
      </c>
      <c r="AZ247" s="4">
        <v>0.6</v>
      </c>
      <c r="BA247" s="4">
        <v>0.31</v>
      </c>
      <c r="BB247" s="4">
        <v>1113.7677000000001</v>
      </c>
      <c r="BC247" s="4">
        <v>8.9999999999999993E-3</v>
      </c>
      <c r="BD247" s="5"/>
      <c r="BE247" s="5"/>
      <c r="BF247" s="5"/>
      <c r="BG247" s="5"/>
      <c r="BI247" s="4" t="s">
        <v>193</v>
      </c>
      <c r="BJ247" s="4">
        <v>0.9</v>
      </c>
      <c r="BK247" s="4">
        <v>0.5</v>
      </c>
      <c r="BL247" s="4">
        <v>0.6</v>
      </c>
      <c r="BM247" s="4">
        <v>0.3</v>
      </c>
      <c r="BN247" s="6">
        <v>1057.0688479999999</v>
      </c>
      <c r="BO247" s="4">
        <v>8.9999999999999993E-3</v>
      </c>
      <c r="BQ247" s="4" t="s">
        <v>193</v>
      </c>
      <c r="BR247" s="4">
        <v>0.9</v>
      </c>
      <c r="BS247" s="4">
        <v>0.5</v>
      </c>
      <c r="BT247" s="4">
        <v>0.6</v>
      </c>
      <c r="BU247" s="4">
        <v>0.32</v>
      </c>
      <c r="BV247" s="4">
        <v>1077.149048</v>
      </c>
      <c r="BW247" s="4">
        <v>6.0000000000000001E-3</v>
      </c>
      <c r="BX247" s="5"/>
      <c r="BY247" s="5"/>
      <c r="BZ247" s="5"/>
      <c r="CA247" s="5"/>
    </row>
    <row r="248" spans="1:79" x14ac:dyDescent="0.3">
      <c r="A248" s="14" t="s">
        <v>316</v>
      </c>
      <c r="E248" s="14">
        <f>AVERAGE(E218:E247)</f>
        <v>0.3</v>
      </c>
      <c r="I248" s="14" t="s">
        <v>316</v>
      </c>
      <c r="M248" s="14">
        <f>AVERAGE(M218:M247)</f>
        <v>0.32733333333333337</v>
      </c>
      <c r="P248" s="5"/>
      <c r="Q248" s="5"/>
      <c r="R248" s="5"/>
      <c r="S248" s="5"/>
      <c r="U248" s="14" t="s">
        <v>316</v>
      </c>
      <c r="Y248" s="14">
        <f>AVERAGE(Y218:Y247)</f>
        <v>0.3</v>
      </c>
      <c r="AC248" s="14" t="s">
        <v>316</v>
      </c>
      <c r="AG248" s="14">
        <f>AVERAGE(AG218:AG247)</f>
        <v>0.33400000000000002</v>
      </c>
      <c r="AJ248" s="5"/>
      <c r="AK248" s="5"/>
      <c r="AL248" s="5"/>
      <c r="AM248" s="5"/>
      <c r="AO248" s="14" t="s">
        <v>316</v>
      </c>
      <c r="AS248" s="14">
        <f>AVERAGE(AS218:AS247)</f>
        <v>0.3</v>
      </c>
      <c r="AW248" s="14" t="s">
        <v>316</v>
      </c>
      <c r="BA248" s="14">
        <f>AVERAGE(BA218:BA247)</f>
        <v>0.31633333333333336</v>
      </c>
      <c r="BD248" s="5"/>
      <c r="BE248" s="5"/>
      <c r="BF248" s="5"/>
      <c r="BG248" s="5"/>
      <c r="BI248" s="14" t="s">
        <v>316</v>
      </c>
      <c r="BM248" s="14">
        <f>AVERAGE(BM218:BM247)</f>
        <v>0.3</v>
      </c>
      <c r="BQ248" s="14" t="s">
        <v>316</v>
      </c>
      <c r="BU248" s="14">
        <f>AVERAGE(BU218:BU247)</f>
        <v>0.31533333333333324</v>
      </c>
      <c r="BX248" s="5"/>
      <c r="BY248" s="5"/>
      <c r="BZ248" s="5"/>
      <c r="CA248" s="5"/>
    </row>
    <row r="249" spans="1:79" x14ac:dyDescent="0.3">
      <c r="P249" s="5"/>
      <c r="Q249" s="5"/>
      <c r="R249" s="5"/>
      <c r="S249" s="5"/>
      <c r="AJ249" s="5"/>
      <c r="AK249" s="5"/>
      <c r="AL249" s="5"/>
      <c r="AM249" s="5"/>
      <c r="BD249" s="5"/>
      <c r="BE249" s="5"/>
      <c r="BF249" s="5"/>
      <c r="BG249" s="5"/>
      <c r="BX249" s="5"/>
      <c r="BY249" s="5"/>
      <c r="BZ249" s="5"/>
      <c r="CA249" s="5"/>
    </row>
    <row r="250" spans="1:79" x14ac:dyDescent="0.3">
      <c r="P250" s="5"/>
      <c r="Q250" s="5"/>
      <c r="R250" s="5"/>
      <c r="S250" s="5"/>
      <c r="AJ250" s="5"/>
      <c r="AK250" s="5"/>
      <c r="AL250" s="5"/>
      <c r="AM250" s="5"/>
      <c r="BD250" s="5"/>
      <c r="BE250" s="5"/>
      <c r="BF250" s="5"/>
      <c r="BG250" s="5"/>
      <c r="BX250" s="5"/>
      <c r="BY250" s="5"/>
      <c r="BZ250" s="5"/>
      <c r="CA250" s="5"/>
    </row>
    <row r="251" spans="1:79" x14ac:dyDescent="0.3">
      <c r="A251" s="23" t="s">
        <v>314</v>
      </c>
      <c r="B251" s="23"/>
      <c r="C251" s="23"/>
      <c r="D251" s="23"/>
      <c r="E251" s="23"/>
      <c r="F251" s="23"/>
      <c r="G251" s="23"/>
      <c r="I251" s="23" t="s">
        <v>314</v>
      </c>
      <c r="J251" s="23"/>
      <c r="K251" s="23"/>
      <c r="L251" s="23"/>
      <c r="M251" s="23"/>
      <c r="N251" s="23"/>
      <c r="O251" s="23"/>
      <c r="P251" s="11"/>
      <c r="Q251" s="11"/>
      <c r="R251" s="11"/>
      <c r="S251" s="11"/>
      <c r="U251" s="23" t="s">
        <v>314</v>
      </c>
      <c r="V251" s="23"/>
      <c r="W251" s="23"/>
      <c r="X251" s="23"/>
      <c r="Y251" s="23"/>
      <c r="Z251" s="23"/>
      <c r="AA251" s="23"/>
      <c r="AC251" s="23" t="s">
        <v>314</v>
      </c>
      <c r="AD251" s="23"/>
      <c r="AE251" s="23"/>
      <c r="AF251" s="23"/>
      <c r="AG251" s="23"/>
      <c r="AH251" s="23"/>
      <c r="AI251" s="23"/>
      <c r="AJ251" s="11"/>
      <c r="AK251" s="11"/>
      <c r="AL251" s="11"/>
      <c r="AM251" s="11"/>
      <c r="AO251" s="23" t="s">
        <v>314</v>
      </c>
      <c r="AP251" s="23"/>
      <c r="AQ251" s="23"/>
      <c r="AR251" s="23"/>
      <c r="AS251" s="23"/>
      <c r="AT251" s="23"/>
      <c r="AU251" s="23"/>
      <c r="AW251" s="23" t="s">
        <v>314</v>
      </c>
      <c r="AX251" s="23"/>
      <c r="AY251" s="23"/>
      <c r="AZ251" s="23"/>
      <c r="BA251" s="23"/>
      <c r="BB251" s="23"/>
      <c r="BC251" s="23"/>
      <c r="BD251" s="11"/>
      <c r="BE251" s="11"/>
      <c r="BF251" s="11"/>
      <c r="BG251" s="11"/>
      <c r="BI251" s="23" t="s">
        <v>314</v>
      </c>
      <c r="BJ251" s="23"/>
      <c r="BK251" s="23"/>
      <c r="BL251" s="23"/>
      <c r="BM251" s="23"/>
      <c r="BN251" s="23"/>
      <c r="BO251" s="23"/>
      <c r="BQ251" s="23" t="s">
        <v>314</v>
      </c>
      <c r="BR251" s="23"/>
      <c r="BS251" s="23"/>
      <c r="BT251" s="23"/>
      <c r="BU251" s="23"/>
      <c r="BV251" s="23"/>
      <c r="BW251" s="23"/>
      <c r="BX251" s="11"/>
      <c r="BY251" s="11"/>
      <c r="BZ251" s="11"/>
      <c r="CA251" s="11"/>
    </row>
    <row r="252" spans="1:79" x14ac:dyDescent="0.3">
      <c r="A252" s="24" t="s">
        <v>70</v>
      </c>
      <c r="B252" s="25"/>
      <c r="C252" s="25"/>
      <c r="D252" s="25"/>
      <c r="E252" s="25"/>
      <c r="F252" s="25"/>
      <c r="G252" s="26"/>
      <c r="I252" s="23" t="s">
        <v>70</v>
      </c>
      <c r="J252" s="23"/>
      <c r="K252" s="23"/>
      <c r="L252" s="23"/>
      <c r="M252" s="23"/>
      <c r="N252" s="23"/>
      <c r="O252" s="23"/>
      <c r="P252" s="11"/>
      <c r="Q252" s="11"/>
      <c r="R252" s="11"/>
      <c r="S252" s="11"/>
      <c r="U252" s="4" t="s">
        <v>71</v>
      </c>
      <c r="V252" s="4"/>
      <c r="W252" s="4"/>
      <c r="X252" s="4"/>
      <c r="Y252" s="4"/>
      <c r="Z252" s="4"/>
      <c r="AA252" s="4"/>
      <c r="AC252" s="23" t="s">
        <v>71</v>
      </c>
      <c r="AD252" s="23"/>
      <c r="AE252" s="23"/>
      <c r="AF252" s="23"/>
      <c r="AG252" s="23"/>
      <c r="AH252" s="23"/>
      <c r="AI252" s="23"/>
      <c r="AJ252" s="11"/>
      <c r="AK252" s="11"/>
      <c r="AL252" s="11"/>
      <c r="AM252" s="11"/>
      <c r="AO252" s="4" t="s">
        <v>70</v>
      </c>
      <c r="AP252" s="4"/>
      <c r="AQ252" s="4"/>
      <c r="AR252" s="4"/>
      <c r="AS252" s="4"/>
      <c r="AT252" s="4"/>
      <c r="AU252" s="4"/>
      <c r="AW252" s="23" t="s">
        <v>70</v>
      </c>
      <c r="AX252" s="23"/>
      <c r="AY252" s="23"/>
      <c r="AZ252" s="23"/>
      <c r="BA252" s="23"/>
      <c r="BB252" s="23"/>
      <c r="BC252" s="23"/>
      <c r="BD252" s="11"/>
      <c r="BE252" s="11"/>
      <c r="BF252" s="11"/>
      <c r="BG252" s="11"/>
      <c r="BI252" s="4" t="s">
        <v>71</v>
      </c>
      <c r="BJ252" s="4"/>
      <c r="BK252" s="4"/>
      <c r="BL252" s="4"/>
      <c r="BM252" s="4"/>
      <c r="BN252" s="4"/>
      <c r="BO252" s="4"/>
      <c r="BQ252" s="23" t="s">
        <v>71</v>
      </c>
      <c r="BR252" s="23"/>
      <c r="BS252" s="23"/>
      <c r="BT252" s="23"/>
      <c r="BU252" s="23"/>
      <c r="BV252" s="23"/>
      <c r="BW252" s="23"/>
      <c r="BX252" s="11"/>
      <c r="BY252" s="11"/>
      <c r="BZ252" s="11"/>
      <c r="CA252" s="11"/>
    </row>
    <row r="253" spans="1:79" x14ac:dyDescent="0.3">
      <c r="A253" s="4" t="s">
        <v>2</v>
      </c>
      <c r="B253" s="4" t="s">
        <v>3</v>
      </c>
      <c r="C253" s="4" t="s">
        <v>4</v>
      </c>
      <c r="D253" s="4" t="s">
        <v>5</v>
      </c>
      <c r="E253" s="4" t="s">
        <v>6</v>
      </c>
      <c r="F253" s="4" t="s">
        <v>7</v>
      </c>
      <c r="G253" s="4" t="s">
        <v>8</v>
      </c>
      <c r="I253" s="4" t="s">
        <v>2</v>
      </c>
      <c r="J253" s="4" t="s">
        <v>3</v>
      </c>
      <c r="K253" s="4" t="s">
        <v>4</v>
      </c>
      <c r="L253" s="4" t="s">
        <v>5</v>
      </c>
      <c r="M253" s="4" t="s">
        <v>6</v>
      </c>
      <c r="N253" s="4" t="s">
        <v>7</v>
      </c>
      <c r="O253" s="4" t="s">
        <v>8</v>
      </c>
      <c r="P253" s="3" t="s">
        <v>322</v>
      </c>
      <c r="Q253" s="3" t="s">
        <v>323</v>
      </c>
      <c r="R253" s="3" t="s">
        <v>322</v>
      </c>
      <c r="S253" s="3" t="s">
        <v>323</v>
      </c>
      <c r="U253" s="4" t="s">
        <v>2</v>
      </c>
      <c r="V253" s="4" t="s">
        <v>3</v>
      </c>
      <c r="W253" s="4" t="s">
        <v>4</v>
      </c>
      <c r="X253" s="4" t="s">
        <v>5</v>
      </c>
      <c r="Y253" s="4" t="s">
        <v>6</v>
      </c>
      <c r="Z253" s="4" t="s">
        <v>7</v>
      </c>
      <c r="AA253" s="4" t="s">
        <v>8</v>
      </c>
      <c r="AC253" s="4" t="s">
        <v>2</v>
      </c>
      <c r="AD253" s="4" t="s">
        <v>3</v>
      </c>
      <c r="AE253" s="4" t="s">
        <v>4</v>
      </c>
      <c r="AF253" s="4" t="s">
        <v>5</v>
      </c>
      <c r="AG253" s="4" t="s">
        <v>6</v>
      </c>
      <c r="AH253" s="4" t="s">
        <v>7</v>
      </c>
      <c r="AI253" s="4" t="s">
        <v>8</v>
      </c>
      <c r="AJ253" s="3" t="s">
        <v>322</v>
      </c>
      <c r="AK253" s="3" t="s">
        <v>323</v>
      </c>
      <c r="AL253" s="3" t="s">
        <v>322</v>
      </c>
      <c r="AM253" s="3" t="s">
        <v>323</v>
      </c>
      <c r="AO253" s="4" t="s">
        <v>2</v>
      </c>
      <c r="AP253" s="4" t="s">
        <v>3</v>
      </c>
      <c r="AQ253" s="4" t="s">
        <v>4</v>
      </c>
      <c r="AR253" s="4" t="s">
        <v>5</v>
      </c>
      <c r="AS253" s="4" t="s">
        <v>6</v>
      </c>
      <c r="AT253" s="4" t="s">
        <v>7</v>
      </c>
      <c r="AU253" s="4" t="s">
        <v>8</v>
      </c>
      <c r="AW253" s="4" t="s">
        <v>2</v>
      </c>
      <c r="AX253" s="4" t="s">
        <v>3</v>
      </c>
      <c r="AY253" s="4" t="s">
        <v>4</v>
      </c>
      <c r="AZ253" s="4" t="s">
        <v>5</v>
      </c>
      <c r="BA253" s="4" t="s">
        <v>6</v>
      </c>
      <c r="BB253" s="4" t="s">
        <v>7</v>
      </c>
      <c r="BC253" s="4" t="s">
        <v>8</v>
      </c>
      <c r="BD253" s="3" t="s">
        <v>322</v>
      </c>
      <c r="BE253" s="3" t="s">
        <v>323</v>
      </c>
      <c r="BF253" s="3" t="s">
        <v>322</v>
      </c>
      <c r="BG253" s="3" t="s">
        <v>323</v>
      </c>
      <c r="BI253" s="4" t="s">
        <v>2</v>
      </c>
      <c r="BJ253" s="4" t="s">
        <v>3</v>
      </c>
      <c r="BK253" s="4" t="s">
        <v>4</v>
      </c>
      <c r="BL253" s="4" t="s">
        <v>5</v>
      </c>
      <c r="BM253" s="4" t="s">
        <v>6</v>
      </c>
      <c r="BN253" s="4" t="s">
        <v>7</v>
      </c>
      <c r="BO253" s="4" t="s">
        <v>8</v>
      </c>
      <c r="BQ253" s="4" t="s">
        <v>2</v>
      </c>
      <c r="BR253" s="4" t="s">
        <v>3</v>
      </c>
      <c r="BS253" s="4" t="s">
        <v>4</v>
      </c>
      <c r="BT253" s="4" t="s">
        <v>5</v>
      </c>
      <c r="BU253" s="4" t="s">
        <v>6</v>
      </c>
      <c r="BV253" s="4" t="s">
        <v>7</v>
      </c>
      <c r="BW253" s="4" t="s">
        <v>8</v>
      </c>
      <c r="BX253" s="3" t="s">
        <v>322</v>
      </c>
      <c r="BY253" s="3" t="s">
        <v>323</v>
      </c>
      <c r="BZ253" s="3" t="s">
        <v>322</v>
      </c>
      <c r="CA253" s="3" t="s">
        <v>323</v>
      </c>
    </row>
    <row r="254" spans="1:79" x14ac:dyDescent="0.3">
      <c r="A254" s="4" t="s">
        <v>134</v>
      </c>
      <c r="B254" s="4">
        <v>0.9</v>
      </c>
      <c r="C254" s="4">
        <v>0.5</v>
      </c>
      <c r="D254" s="4">
        <v>0.6</v>
      </c>
      <c r="E254" s="4">
        <v>0.3</v>
      </c>
      <c r="F254" s="6">
        <v>602.97082499999999</v>
      </c>
      <c r="G254" s="4">
        <v>1E-3</v>
      </c>
      <c r="I254" s="4" t="s">
        <v>134</v>
      </c>
      <c r="J254" s="4">
        <v>0.9</v>
      </c>
      <c r="K254" s="4">
        <v>0.5</v>
      </c>
      <c r="L254" s="4">
        <v>0.6</v>
      </c>
      <c r="M254" s="4">
        <v>0.31</v>
      </c>
      <c r="N254" s="4">
        <v>616.35650599999997</v>
      </c>
      <c r="O254" s="4">
        <v>1E-3</v>
      </c>
      <c r="P254" s="4" t="s">
        <v>324</v>
      </c>
      <c r="Q254" s="4" t="s">
        <v>324</v>
      </c>
      <c r="R254" s="4" t="s">
        <v>325</v>
      </c>
      <c r="S254" s="4" t="s">
        <v>325</v>
      </c>
      <c r="U254" s="4" t="s">
        <v>134</v>
      </c>
      <c r="V254" s="4">
        <v>0.9</v>
      </c>
      <c r="W254" s="4">
        <v>0.5</v>
      </c>
      <c r="X254" s="4">
        <v>0.6</v>
      </c>
      <c r="Y254" s="4">
        <v>0.3</v>
      </c>
      <c r="Z254" s="6">
        <v>571.72204599999998</v>
      </c>
      <c r="AA254" s="4">
        <v>2E-3</v>
      </c>
      <c r="AC254" s="4" t="s">
        <v>134</v>
      </c>
      <c r="AD254" s="4">
        <v>0.9</v>
      </c>
      <c r="AE254" s="4">
        <v>0.5</v>
      </c>
      <c r="AF254" s="4">
        <v>0.6</v>
      </c>
      <c r="AG254" s="4">
        <v>0.32</v>
      </c>
      <c r="AH254" s="4">
        <v>579.36090100000001</v>
      </c>
      <c r="AI254" s="4">
        <v>2E-3</v>
      </c>
      <c r="AJ254" s="4" t="s">
        <v>324</v>
      </c>
      <c r="AK254" s="4" t="s">
        <v>324</v>
      </c>
      <c r="AL254" s="4" t="s">
        <v>325</v>
      </c>
      <c r="AM254" s="4" t="s">
        <v>325</v>
      </c>
      <c r="AO254" s="4" t="s">
        <v>135</v>
      </c>
      <c r="AP254" s="4">
        <v>0.9</v>
      </c>
      <c r="AQ254" s="4">
        <v>0.5</v>
      </c>
      <c r="AR254" s="4">
        <v>0.6</v>
      </c>
      <c r="AS254" s="4">
        <v>0.3</v>
      </c>
      <c r="AT254" s="6">
        <v>793.36767599999996</v>
      </c>
      <c r="AU254" s="4">
        <v>7.0000000000000001E-3</v>
      </c>
      <c r="AW254" s="4" t="s">
        <v>135</v>
      </c>
      <c r="AX254" s="4">
        <v>0.9</v>
      </c>
      <c r="AY254" s="4">
        <v>0.5</v>
      </c>
      <c r="AZ254" s="4">
        <v>0.6</v>
      </c>
      <c r="BA254" s="4">
        <v>0.31</v>
      </c>
      <c r="BB254" s="4">
        <v>820.71569799999997</v>
      </c>
      <c r="BC254" s="4">
        <v>6.0000000000000001E-3</v>
      </c>
      <c r="BD254" s="4" t="s">
        <v>324</v>
      </c>
      <c r="BE254" s="4" t="s">
        <v>324</v>
      </c>
      <c r="BF254" s="4" t="s">
        <v>325</v>
      </c>
      <c r="BG254" s="4" t="s">
        <v>325</v>
      </c>
      <c r="BI254" s="4" t="s">
        <v>135</v>
      </c>
      <c r="BJ254" s="4">
        <v>0.9</v>
      </c>
      <c r="BK254" s="4">
        <v>0.5</v>
      </c>
      <c r="BL254" s="4">
        <v>0.6</v>
      </c>
      <c r="BM254" s="4">
        <v>0.3</v>
      </c>
      <c r="BN254" s="6">
        <v>747.21997099999999</v>
      </c>
      <c r="BO254" s="4">
        <v>5.0000000000000001E-3</v>
      </c>
      <c r="BQ254" s="4" t="s">
        <v>135</v>
      </c>
      <c r="BR254" s="4">
        <v>0.9</v>
      </c>
      <c r="BS254" s="4">
        <v>0.5</v>
      </c>
      <c r="BT254" s="4">
        <v>0.6</v>
      </c>
      <c r="BU254" s="4">
        <v>0.32</v>
      </c>
      <c r="BV254" s="4">
        <v>777.97167999999999</v>
      </c>
      <c r="BW254" s="4">
        <v>5.0000000000000001E-3</v>
      </c>
      <c r="BX254" s="4" t="s">
        <v>324</v>
      </c>
      <c r="BY254" s="4" t="s">
        <v>324</v>
      </c>
      <c r="BZ254" s="4" t="s">
        <v>325</v>
      </c>
      <c r="CA254" s="4" t="s">
        <v>325</v>
      </c>
    </row>
    <row r="255" spans="1:79" x14ac:dyDescent="0.3">
      <c r="A255" s="4" t="s">
        <v>136</v>
      </c>
      <c r="B255" s="4">
        <v>0.9</v>
      </c>
      <c r="C255" s="4">
        <v>0.5</v>
      </c>
      <c r="D255" s="4">
        <v>0.6</v>
      </c>
      <c r="E255" s="4">
        <v>0.3</v>
      </c>
      <c r="F255" s="6">
        <v>546.00903300000004</v>
      </c>
      <c r="G255" s="4">
        <v>1E-3</v>
      </c>
      <c r="I255" s="4" t="s">
        <v>136</v>
      </c>
      <c r="J255" s="4">
        <v>0.9</v>
      </c>
      <c r="K255" s="4">
        <v>0.5</v>
      </c>
      <c r="L255" s="4">
        <v>0.6</v>
      </c>
      <c r="M255" s="4">
        <v>0.32</v>
      </c>
      <c r="N255" s="4">
        <v>551.70526099999995</v>
      </c>
      <c r="O255" s="4">
        <v>2E-3</v>
      </c>
      <c r="P255" s="3">
        <f>COUNT(F254:F261,F263,F265:F272,F274:F282)</f>
        <v>26</v>
      </c>
      <c r="Q255" s="3">
        <f>30-P255</f>
        <v>4</v>
      </c>
      <c r="R255" s="3">
        <f>COUNT(N256,N259,N262,N264,N273,N283)</f>
        <v>6</v>
      </c>
      <c r="S255" s="3">
        <f>30-R255</f>
        <v>24</v>
      </c>
      <c r="U255" s="4" t="s">
        <v>136</v>
      </c>
      <c r="V255" s="4">
        <v>0.9</v>
      </c>
      <c r="W255" s="4">
        <v>0.5</v>
      </c>
      <c r="X255" s="4">
        <v>0.6</v>
      </c>
      <c r="Y255" s="4">
        <v>0.3</v>
      </c>
      <c r="Z255" s="6">
        <v>478.076843</v>
      </c>
      <c r="AA255" s="4">
        <v>2E-3</v>
      </c>
      <c r="AC255" s="4" t="s">
        <v>136</v>
      </c>
      <c r="AD255" s="4">
        <v>0.9</v>
      </c>
      <c r="AE255" s="4">
        <v>0.5</v>
      </c>
      <c r="AF255" s="4">
        <v>0.6</v>
      </c>
      <c r="AG255" s="4">
        <v>0.33</v>
      </c>
      <c r="AH255" s="4">
        <v>500.28424100000001</v>
      </c>
      <c r="AI255" s="4">
        <v>3.0000000000000001E-3</v>
      </c>
      <c r="AJ255" s="3">
        <f>COUNT(Z254:Z277,Z279:Z283)</f>
        <v>29</v>
      </c>
      <c r="AK255" s="3">
        <f>30-AJ255</f>
        <v>1</v>
      </c>
      <c r="AL255" s="3">
        <f>COUNT(AH278)</f>
        <v>1</v>
      </c>
      <c r="AM255" s="3">
        <f>30-AL255</f>
        <v>29</v>
      </c>
      <c r="AO255" s="4" t="s">
        <v>137</v>
      </c>
      <c r="AP255" s="4">
        <v>0.9</v>
      </c>
      <c r="AQ255" s="4">
        <v>0.5</v>
      </c>
      <c r="AR255" s="4">
        <v>0.6</v>
      </c>
      <c r="AS255" s="4">
        <v>0.3</v>
      </c>
      <c r="AT255" s="6">
        <v>877.59381099999996</v>
      </c>
      <c r="AU255" s="4">
        <v>6.0000000000000001E-3</v>
      </c>
      <c r="AW255" s="4" t="s">
        <v>137</v>
      </c>
      <c r="AX255" s="4">
        <v>0.9</v>
      </c>
      <c r="AY255" s="4">
        <v>0.5</v>
      </c>
      <c r="AZ255" s="4">
        <v>0.6</v>
      </c>
      <c r="BA255" s="4">
        <v>0.3</v>
      </c>
      <c r="BB255" s="4">
        <v>892.30895999999996</v>
      </c>
      <c r="BC255" s="4">
        <v>6.0000000000000001E-3</v>
      </c>
      <c r="BD255" s="3">
        <f>COUNT(AT254:AT283)</f>
        <v>30</v>
      </c>
      <c r="BE255" s="3">
        <f>30-BD255</f>
        <v>0</v>
      </c>
      <c r="BF255" s="3">
        <f>COUNT(BB269)</f>
        <v>1</v>
      </c>
      <c r="BG255" s="3">
        <f>30-BF255</f>
        <v>29</v>
      </c>
      <c r="BI255" s="4" t="s">
        <v>137</v>
      </c>
      <c r="BJ255" s="4">
        <v>0.9</v>
      </c>
      <c r="BK255" s="4">
        <v>0.5</v>
      </c>
      <c r="BL255" s="4">
        <v>0.6</v>
      </c>
      <c r="BM255" s="4">
        <v>0.3</v>
      </c>
      <c r="BN255" s="6">
        <v>851.78186000000005</v>
      </c>
      <c r="BO255" s="4">
        <v>5.0000000000000001E-3</v>
      </c>
      <c r="BQ255" s="4" t="s">
        <v>137</v>
      </c>
      <c r="BR255" s="4">
        <v>0.9</v>
      </c>
      <c r="BS255" s="4">
        <v>0.5</v>
      </c>
      <c r="BT255" s="4">
        <v>0.6</v>
      </c>
      <c r="BU255" s="4">
        <v>0.3</v>
      </c>
      <c r="BV255" s="4">
        <v>873.48095699999999</v>
      </c>
      <c r="BW255" s="4">
        <v>6.0000000000000001E-3</v>
      </c>
      <c r="BX255" s="3">
        <f>COUNT(BN254:BN274,BN276:BN282)</f>
        <v>28</v>
      </c>
      <c r="BY255" s="3">
        <f>30-BX255</f>
        <v>2</v>
      </c>
      <c r="BZ255" s="3">
        <f>COUNT(BV275,BV283)</f>
        <v>2</v>
      </c>
      <c r="CA255" s="3">
        <f>30-BZ255</f>
        <v>28</v>
      </c>
    </row>
    <row r="256" spans="1:79" x14ac:dyDescent="0.3">
      <c r="A256" s="4" t="s">
        <v>138</v>
      </c>
      <c r="B256" s="4">
        <v>0.9</v>
      </c>
      <c r="C256" s="4">
        <v>0.5</v>
      </c>
      <c r="D256" s="4">
        <v>0.6</v>
      </c>
      <c r="E256" s="4">
        <v>0.3</v>
      </c>
      <c r="F256" s="6">
        <v>610.01104699999996</v>
      </c>
      <c r="G256" s="4">
        <v>2E-3</v>
      </c>
      <c r="I256" s="4" t="s">
        <v>138</v>
      </c>
      <c r="J256" s="4">
        <v>0.9</v>
      </c>
      <c r="K256" s="4">
        <v>0.5</v>
      </c>
      <c r="L256" s="4">
        <v>0.6</v>
      </c>
      <c r="M256" s="4">
        <v>0.31</v>
      </c>
      <c r="N256" s="8">
        <v>610.86511199999995</v>
      </c>
      <c r="O256" s="4">
        <v>2E-3</v>
      </c>
      <c r="P256" s="5"/>
      <c r="Q256" s="5"/>
      <c r="R256" s="5"/>
      <c r="S256" s="5"/>
      <c r="U256" s="4" t="s">
        <v>138</v>
      </c>
      <c r="V256" s="4">
        <v>0.9</v>
      </c>
      <c r="W256" s="4">
        <v>0.5</v>
      </c>
      <c r="X256" s="4">
        <v>0.6</v>
      </c>
      <c r="Y256" s="4">
        <v>0.3</v>
      </c>
      <c r="Z256" s="6">
        <v>586.79846199999997</v>
      </c>
      <c r="AA256" s="4">
        <v>1E-3</v>
      </c>
      <c r="AC256" s="4" t="s">
        <v>138</v>
      </c>
      <c r="AD256" s="4">
        <v>0.9</v>
      </c>
      <c r="AE256" s="4">
        <v>0.5</v>
      </c>
      <c r="AF256" s="4">
        <v>0.6</v>
      </c>
      <c r="AG256" s="4">
        <v>0.41</v>
      </c>
      <c r="AH256" s="4">
        <v>591.38305700000001</v>
      </c>
      <c r="AI256" s="4">
        <v>2E-3</v>
      </c>
      <c r="AJ256" s="5"/>
      <c r="AK256" s="5"/>
      <c r="AL256" s="5"/>
      <c r="AM256" s="5"/>
      <c r="AO256" s="4" t="s">
        <v>139</v>
      </c>
      <c r="AP256" s="4">
        <v>0.9</v>
      </c>
      <c r="AQ256" s="4">
        <v>0.5</v>
      </c>
      <c r="AR256" s="4">
        <v>0.6</v>
      </c>
      <c r="AS256" s="4">
        <v>0.3</v>
      </c>
      <c r="AT256" s="6">
        <v>910.18713400000001</v>
      </c>
      <c r="AU256" s="4">
        <v>7.0000000000000001E-3</v>
      </c>
      <c r="AW256" s="4" t="s">
        <v>139</v>
      </c>
      <c r="AX256" s="4">
        <v>0.9</v>
      </c>
      <c r="AY256" s="4">
        <v>0.5</v>
      </c>
      <c r="AZ256" s="4">
        <v>0.6</v>
      </c>
      <c r="BA256" s="4">
        <v>0.3</v>
      </c>
      <c r="BB256" s="4">
        <v>926.60736099999997</v>
      </c>
      <c r="BC256" s="4">
        <v>5.0000000000000001E-3</v>
      </c>
      <c r="BD256" s="5"/>
      <c r="BE256" s="5"/>
      <c r="BF256" s="5"/>
      <c r="BG256" s="5"/>
      <c r="BI256" s="4" t="s">
        <v>139</v>
      </c>
      <c r="BJ256" s="4">
        <v>0.9</v>
      </c>
      <c r="BK256" s="4">
        <v>0.5</v>
      </c>
      <c r="BL256" s="4">
        <v>0.6</v>
      </c>
      <c r="BM256" s="4">
        <v>0.3</v>
      </c>
      <c r="BN256" s="6">
        <v>874.46337900000003</v>
      </c>
      <c r="BO256" s="4">
        <v>5.0000000000000001E-3</v>
      </c>
      <c r="BQ256" s="4" t="s">
        <v>139</v>
      </c>
      <c r="BR256" s="4">
        <v>0.9</v>
      </c>
      <c r="BS256" s="4">
        <v>0.5</v>
      </c>
      <c r="BT256" s="4">
        <v>0.6</v>
      </c>
      <c r="BU256" s="4">
        <v>0.31</v>
      </c>
      <c r="BV256" s="4">
        <v>882.702271</v>
      </c>
      <c r="BW256" s="4">
        <v>5.0000000000000001E-3</v>
      </c>
      <c r="BX256" s="5"/>
      <c r="BY256" s="5"/>
      <c r="BZ256" s="5"/>
      <c r="CA256" s="5"/>
    </row>
    <row r="257" spans="1:79" x14ac:dyDescent="0.3">
      <c r="A257" s="4" t="s">
        <v>140</v>
      </c>
      <c r="B257" s="4">
        <v>0.9</v>
      </c>
      <c r="C257" s="4">
        <v>0.5</v>
      </c>
      <c r="D257" s="4">
        <v>0.6</v>
      </c>
      <c r="E257" s="4">
        <v>0.3</v>
      </c>
      <c r="F257" s="6">
        <v>598.04119900000001</v>
      </c>
      <c r="G257" s="4">
        <v>2E-3</v>
      </c>
      <c r="I257" s="4" t="s">
        <v>140</v>
      </c>
      <c r="J257" s="4">
        <v>0.9</v>
      </c>
      <c r="K257" s="4">
        <v>0.5</v>
      </c>
      <c r="L257" s="4">
        <v>0.6</v>
      </c>
      <c r="M257" s="4">
        <v>0.31</v>
      </c>
      <c r="N257" s="4">
        <v>611.978882</v>
      </c>
      <c r="O257" s="4">
        <v>1E-3</v>
      </c>
      <c r="P257" s="5"/>
      <c r="Q257" s="5"/>
      <c r="R257" s="5"/>
      <c r="S257" s="5"/>
      <c r="U257" s="4" t="s">
        <v>140</v>
      </c>
      <c r="V257" s="4">
        <v>0.9</v>
      </c>
      <c r="W257" s="4">
        <v>0.5</v>
      </c>
      <c r="X257" s="4">
        <v>0.6</v>
      </c>
      <c r="Y257" s="4">
        <v>0.3</v>
      </c>
      <c r="Z257" s="6">
        <v>576.96972700000003</v>
      </c>
      <c r="AA257" s="4">
        <v>2E-3</v>
      </c>
      <c r="AC257" s="4" t="s">
        <v>140</v>
      </c>
      <c r="AD257" s="4">
        <v>0.9</v>
      </c>
      <c r="AE257" s="4">
        <v>0.5</v>
      </c>
      <c r="AF257" s="4">
        <v>0.6</v>
      </c>
      <c r="AG257" s="4">
        <v>0.55000000000000004</v>
      </c>
      <c r="AH257" s="4">
        <v>584.99371299999996</v>
      </c>
      <c r="AI257" s="4">
        <v>2E-3</v>
      </c>
      <c r="AJ257" s="5"/>
      <c r="AK257" s="5"/>
      <c r="AL257" s="5"/>
      <c r="AM257" s="5"/>
      <c r="AO257" s="4" t="s">
        <v>141</v>
      </c>
      <c r="AP257" s="4">
        <v>0.9</v>
      </c>
      <c r="AQ257" s="4">
        <v>0.5</v>
      </c>
      <c r="AR257" s="4">
        <v>0.6</v>
      </c>
      <c r="AS257" s="4">
        <v>0.3</v>
      </c>
      <c r="AT257" s="6">
        <v>925.49218800000006</v>
      </c>
      <c r="AU257" s="4">
        <v>0.01</v>
      </c>
      <c r="AW257" s="4" t="s">
        <v>141</v>
      </c>
      <c r="AX257" s="4">
        <v>0.9</v>
      </c>
      <c r="AY257" s="4">
        <v>0.5</v>
      </c>
      <c r="AZ257" s="4">
        <v>0.6</v>
      </c>
      <c r="BA257" s="4">
        <v>0.3</v>
      </c>
      <c r="BB257" s="4">
        <v>970.87023899999997</v>
      </c>
      <c r="BC257" s="4">
        <v>5.0000000000000001E-3</v>
      </c>
      <c r="BD257" s="5"/>
      <c r="BE257" s="5"/>
      <c r="BF257" s="5"/>
      <c r="BG257" s="5"/>
      <c r="BI257" s="4" t="s">
        <v>141</v>
      </c>
      <c r="BJ257" s="4">
        <v>0.9</v>
      </c>
      <c r="BK257" s="4">
        <v>0.5</v>
      </c>
      <c r="BL257" s="4">
        <v>0.6</v>
      </c>
      <c r="BM257" s="4">
        <v>0.3</v>
      </c>
      <c r="BN257" s="6">
        <v>918.71032700000001</v>
      </c>
      <c r="BO257" s="4">
        <v>6.0000000000000001E-3</v>
      </c>
      <c r="BQ257" s="4" t="s">
        <v>141</v>
      </c>
      <c r="BR257" s="4">
        <v>0.9</v>
      </c>
      <c r="BS257" s="4">
        <v>0.5</v>
      </c>
      <c r="BT257" s="4">
        <v>0.6</v>
      </c>
      <c r="BU257" s="4">
        <v>0.3</v>
      </c>
      <c r="BV257" s="4">
        <v>939.51544200000001</v>
      </c>
      <c r="BW257" s="4">
        <v>6.0000000000000001E-3</v>
      </c>
      <c r="BX257" s="5"/>
      <c r="BY257" s="5"/>
      <c r="BZ257" s="5"/>
      <c r="CA257" s="5"/>
    </row>
    <row r="258" spans="1:79" x14ac:dyDescent="0.3">
      <c r="A258" s="4" t="s">
        <v>142</v>
      </c>
      <c r="B258" s="4">
        <v>0.9</v>
      </c>
      <c r="C258" s="4">
        <v>0.5</v>
      </c>
      <c r="D258" s="4">
        <v>0.6</v>
      </c>
      <c r="E258" s="4">
        <v>0.3</v>
      </c>
      <c r="F258" s="6">
        <v>507.656158</v>
      </c>
      <c r="G258" s="4">
        <v>1E-3</v>
      </c>
      <c r="I258" s="4" t="s">
        <v>142</v>
      </c>
      <c r="J258" s="4">
        <v>0.9</v>
      </c>
      <c r="K258" s="4">
        <v>0.5</v>
      </c>
      <c r="L258" s="4">
        <v>0.6</v>
      </c>
      <c r="M258" s="4">
        <v>0.4</v>
      </c>
      <c r="N258" s="4">
        <v>534.91583300000002</v>
      </c>
      <c r="O258" s="4">
        <v>1E-3</v>
      </c>
      <c r="P258" s="5"/>
      <c r="Q258" s="5"/>
      <c r="R258" s="5"/>
      <c r="S258" s="5"/>
      <c r="U258" s="4" t="s">
        <v>142</v>
      </c>
      <c r="V258" s="4">
        <v>0.9</v>
      </c>
      <c r="W258" s="4">
        <v>0.5</v>
      </c>
      <c r="X258" s="4">
        <v>0.6</v>
      </c>
      <c r="Y258" s="4">
        <v>0.3</v>
      </c>
      <c r="Z258" s="6">
        <v>463.92459100000002</v>
      </c>
      <c r="AA258" s="4">
        <v>2E-3</v>
      </c>
      <c r="AC258" s="4" t="s">
        <v>142</v>
      </c>
      <c r="AD258" s="4">
        <v>0.9</v>
      </c>
      <c r="AE258" s="4">
        <v>0.5</v>
      </c>
      <c r="AF258" s="4">
        <v>0.6</v>
      </c>
      <c r="AG258" s="4">
        <v>0.3</v>
      </c>
      <c r="AH258" s="4">
        <v>479.59060699999998</v>
      </c>
      <c r="AI258" s="4">
        <v>2E-3</v>
      </c>
      <c r="AJ258" s="5"/>
      <c r="AK258" s="5"/>
      <c r="AL258" s="5"/>
      <c r="AM258" s="5"/>
      <c r="AO258" s="4" t="s">
        <v>143</v>
      </c>
      <c r="AP258" s="4">
        <v>0.9</v>
      </c>
      <c r="AQ258" s="4">
        <v>0.5</v>
      </c>
      <c r="AR258" s="4">
        <v>0.6</v>
      </c>
      <c r="AS258" s="4">
        <v>0.3</v>
      </c>
      <c r="AT258" s="6">
        <v>893.12524399999995</v>
      </c>
      <c r="AU258" s="4">
        <v>6.0000000000000001E-3</v>
      </c>
      <c r="AW258" s="4" t="s">
        <v>143</v>
      </c>
      <c r="AX258" s="4">
        <v>0.9</v>
      </c>
      <c r="AY258" s="4">
        <v>0.5</v>
      </c>
      <c r="AZ258" s="4">
        <v>0.6</v>
      </c>
      <c r="BA258" s="4">
        <v>0.31</v>
      </c>
      <c r="BB258" s="4">
        <v>897.49298099999999</v>
      </c>
      <c r="BC258" s="4">
        <v>6.0000000000000001E-3</v>
      </c>
      <c r="BD258" s="5"/>
      <c r="BE258" s="5"/>
      <c r="BF258" s="5"/>
      <c r="BG258" s="5"/>
      <c r="BI258" s="4" t="s">
        <v>143</v>
      </c>
      <c r="BJ258" s="4">
        <v>0.9</v>
      </c>
      <c r="BK258" s="4">
        <v>0.5</v>
      </c>
      <c r="BL258" s="4">
        <v>0.6</v>
      </c>
      <c r="BM258" s="4">
        <v>0.3</v>
      </c>
      <c r="BN258" s="6">
        <v>858.74645999999996</v>
      </c>
      <c r="BO258" s="4">
        <v>5.0000000000000001E-3</v>
      </c>
      <c r="BQ258" s="4" t="s">
        <v>143</v>
      </c>
      <c r="BR258" s="4">
        <v>0.9</v>
      </c>
      <c r="BS258" s="4">
        <v>0.5</v>
      </c>
      <c r="BT258" s="4">
        <v>0.6</v>
      </c>
      <c r="BU258" s="4">
        <v>0.31</v>
      </c>
      <c r="BV258" s="4">
        <v>890.564392</v>
      </c>
      <c r="BW258" s="4">
        <v>6.0000000000000001E-3</v>
      </c>
      <c r="BX258" s="5"/>
      <c r="BY258" s="5"/>
      <c r="BZ258" s="5"/>
      <c r="CA258" s="5"/>
    </row>
    <row r="259" spans="1:79" x14ac:dyDescent="0.3">
      <c r="A259" s="4" t="s">
        <v>144</v>
      </c>
      <c r="B259" s="4">
        <v>0.9</v>
      </c>
      <c r="C259" s="4">
        <v>0.5</v>
      </c>
      <c r="D259" s="4">
        <v>0.6</v>
      </c>
      <c r="E259" s="4">
        <v>0.3</v>
      </c>
      <c r="F259" s="8">
        <v>619.31005900000002</v>
      </c>
      <c r="G259" s="4">
        <v>1E-3</v>
      </c>
      <c r="I259" s="4" t="s">
        <v>144</v>
      </c>
      <c r="J259" s="4">
        <v>0.9</v>
      </c>
      <c r="K259" s="4">
        <v>0.5</v>
      </c>
      <c r="L259" s="4">
        <v>0.6</v>
      </c>
      <c r="M259" s="4">
        <v>0.31</v>
      </c>
      <c r="N259" s="6">
        <v>619.27929700000004</v>
      </c>
      <c r="O259" s="4">
        <v>2E-3</v>
      </c>
      <c r="P259" s="5"/>
      <c r="Q259" s="5"/>
      <c r="R259" s="5"/>
      <c r="S259" s="5"/>
      <c r="U259" s="4" t="s">
        <v>144</v>
      </c>
      <c r="V259" s="4">
        <v>0.9</v>
      </c>
      <c r="W259" s="4">
        <v>0.5</v>
      </c>
      <c r="X259" s="4">
        <v>0.6</v>
      </c>
      <c r="Y259" s="4">
        <v>0.3</v>
      </c>
      <c r="Z259" s="6">
        <v>592.99749799999995</v>
      </c>
      <c r="AA259" s="4">
        <v>2E-3</v>
      </c>
      <c r="AC259" s="4" t="s">
        <v>144</v>
      </c>
      <c r="AD259" s="4">
        <v>0.9</v>
      </c>
      <c r="AE259" s="4">
        <v>0.5</v>
      </c>
      <c r="AF259" s="4">
        <v>0.6</v>
      </c>
      <c r="AG259" s="4">
        <v>0.34</v>
      </c>
      <c r="AH259" s="4">
        <v>606.23657200000002</v>
      </c>
      <c r="AI259" s="4">
        <v>1E-3</v>
      </c>
      <c r="AJ259" s="5"/>
      <c r="AK259" s="5"/>
      <c r="AL259" s="5"/>
      <c r="AM259" s="5"/>
      <c r="AO259" s="4" t="s">
        <v>145</v>
      </c>
      <c r="AP259" s="4">
        <v>0.9</v>
      </c>
      <c r="AQ259" s="4">
        <v>0.5</v>
      </c>
      <c r="AR259" s="4">
        <v>0.6</v>
      </c>
      <c r="AS259" s="4">
        <v>0.3</v>
      </c>
      <c r="AT259" s="6">
        <v>903.25683600000002</v>
      </c>
      <c r="AU259" s="4">
        <v>7.0000000000000001E-3</v>
      </c>
      <c r="AW259" s="4" t="s">
        <v>145</v>
      </c>
      <c r="AX259" s="4">
        <v>0.9</v>
      </c>
      <c r="AY259" s="4">
        <v>0.5</v>
      </c>
      <c r="AZ259" s="4">
        <v>0.6</v>
      </c>
      <c r="BA259" s="4">
        <v>0.31</v>
      </c>
      <c r="BB259" s="4">
        <v>937.00299099999995</v>
      </c>
      <c r="BC259" s="4">
        <v>6.0000000000000001E-3</v>
      </c>
      <c r="BD259" s="5"/>
      <c r="BE259" s="5"/>
      <c r="BF259" s="5"/>
      <c r="BG259" s="5"/>
      <c r="BI259" s="4" t="s">
        <v>145</v>
      </c>
      <c r="BJ259" s="4">
        <v>0.9</v>
      </c>
      <c r="BK259" s="4">
        <v>0.5</v>
      </c>
      <c r="BL259" s="4">
        <v>0.6</v>
      </c>
      <c r="BM259" s="4">
        <v>0.3</v>
      </c>
      <c r="BN259" s="6">
        <v>858.79730199999995</v>
      </c>
      <c r="BO259" s="4">
        <v>5.0000000000000001E-3</v>
      </c>
      <c r="BQ259" s="4" t="s">
        <v>145</v>
      </c>
      <c r="BR259" s="4">
        <v>0.9</v>
      </c>
      <c r="BS259" s="4">
        <v>0.5</v>
      </c>
      <c r="BT259" s="4">
        <v>0.6</v>
      </c>
      <c r="BU259" s="4">
        <v>0.32</v>
      </c>
      <c r="BV259" s="4">
        <v>884.35754399999996</v>
      </c>
      <c r="BW259" s="4">
        <v>8.9999999999999993E-3</v>
      </c>
      <c r="BX259" s="5"/>
      <c r="BY259" s="5"/>
      <c r="BZ259" s="5"/>
      <c r="CA259" s="5"/>
    </row>
    <row r="260" spans="1:79" x14ac:dyDescent="0.3">
      <c r="A260" s="4" t="s">
        <v>146</v>
      </c>
      <c r="B260" s="4">
        <v>0.9</v>
      </c>
      <c r="C260" s="4">
        <v>0.5</v>
      </c>
      <c r="D260" s="4">
        <v>0.6</v>
      </c>
      <c r="E260" s="4">
        <v>0.3</v>
      </c>
      <c r="F260" s="6">
        <v>541.67040999999995</v>
      </c>
      <c r="G260" s="4">
        <v>2E-3</v>
      </c>
      <c r="I260" s="4" t="s">
        <v>146</v>
      </c>
      <c r="J260" s="4">
        <v>0.9</v>
      </c>
      <c r="K260" s="4">
        <v>0.5</v>
      </c>
      <c r="L260" s="4">
        <v>0.6</v>
      </c>
      <c r="M260" s="4">
        <v>0.3</v>
      </c>
      <c r="N260" s="4">
        <v>560.00970500000005</v>
      </c>
      <c r="O260" s="4">
        <v>2E-3</v>
      </c>
      <c r="P260" s="5"/>
      <c r="Q260" s="5"/>
      <c r="R260" s="5"/>
      <c r="S260" s="5"/>
      <c r="U260" s="4" t="s">
        <v>146</v>
      </c>
      <c r="V260" s="4">
        <v>0.9</v>
      </c>
      <c r="W260" s="4">
        <v>0.5</v>
      </c>
      <c r="X260" s="4">
        <v>0.6</v>
      </c>
      <c r="Y260" s="4">
        <v>0.3</v>
      </c>
      <c r="Z260" s="6">
        <v>525.42230199999995</v>
      </c>
      <c r="AA260" s="4">
        <v>2E-3</v>
      </c>
      <c r="AC260" s="4" t="s">
        <v>146</v>
      </c>
      <c r="AD260" s="4">
        <v>0.9</v>
      </c>
      <c r="AE260" s="4">
        <v>0.5</v>
      </c>
      <c r="AF260" s="4">
        <v>0.6</v>
      </c>
      <c r="AG260" s="4">
        <v>0.31</v>
      </c>
      <c r="AH260" s="4">
        <v>538.82757600000002</v>
      </c>
      <c r="AI260" s="4">
        <v>2E-3</v>
      </c>
      <c r="AJ260" s="5"/>
      <c r="AK260" s="5"/>
      <c r="AL260" s="5"/>
      <c r="AM260" s="5"/>
      <c r="AO260" s="4" t="s">
        <v>147</v>
      </c>
      <c r="AP260" s="4">
        <v>0.9</v>
      </c>
      <c r="AQ260" s="4">
        <v>0.5</v>
      </c>
      <c r="AR260" s="4">
        <v>0.6</v>
      </c>
      <c r="AS260" s="4">
        <v>0.3</v>
      </c>
      <c r="AT260" s="6">
        <v>861.83544900000004</v>
      </c>
      <c r="AU260" s="4">
        <v>8.0000000000000002E-3</v>
      </c>
      <c r="AW260" s="4" t="s">
        <v>147</v>
      </c>
      <c r="AX260" s="4">
        <v>0.9</v>
      </c>
      <c r="AY260" s="4">
        <v>0.5</v>
      </c>
      <c r="AZ260" s="4">
        <v>0.6</v>
      </c>
      <c r="BA260" s="4">
        <v>0.31</v>
      </c>
      <c r="BB260" s="4">
        <v>886.59399399999995</v>
      </c>
      <c r="BC260" s="4">
        <v>7.0000000000000001E-3</v>
      </c>
      <c r="BD260" s="5"/>
      <c r="BE260" s="5"/>
      <c r="BF260" s="5"/>
      <c r="BG260" s="5"/>
      <c r="BI260" s="4" t="s">
        <v>147</v>
      </c>
      <c r="BJ260" s="4">
        <v>0.9</v>
      </c>
      <c r="BK260" s="4">
        <v>0.5</v>
      </c>
      <c r="BL260" s="4">
        <v>0.6</v>
      </c>
      <c r="BM260" s="4">
        <v>0.3</v>
      </c>
      <c r="BN260" s="6">
        <v>830.99707000000001</v>
      </c>
      <c r="BO260" s="4">
        <v>5.0000000000000001E-3</v>
      </c>
      <c r="BQ260" s="4" t="s">
        <v>147</v>
      </c>
      <c r="BR260" s="4">
        <v>0.9</v>
      </c>
      <c r="BS260" s="4">
        <v>0.5</v>
      </c>
      <c r="BT260" s="4">
        <v>0.6</v>
      </c>
      <c r="BU260" s="4">
        <v>0.3</v>
      </c>
      <c r="BV260" s="4">
        <v>863.00518799999998</v>
      </c>
      <c r="BW260" s="4">
        <v>6.0000000000000001E-3</v>
      </c>
      <c r="BX260" s="5"/>
      <c r="BY260" s="5"/>
      <c r="BZ260" s="5"/>
      <c r="CA260" s="5"/>
    </row>
    <row r="261" spans="1:79" x14ac:dyDescent="0.3">
      <c r="A261" s="4" t="s">
        <v>148</v>
      </c>
      <c r="B261" s="4">
        <v>0.9</v>
      </c>
      <c r="C261" s="4">
        <v>0.5</v>
      </c>
      <c r="D261" s="4">
        <v>0.6</v>
      </c>
      <c r="E261" s="4">
        <v>0.3</v>
      </c>
      <c r="F261" s="6">
        <v>597.55560300000002</v>
      </c>
      <c r="G261" s="4">
        <v>1E-3</v>
      </c>
      <c r="I261" s="4" t="s">
        <v>148</v>
      </c>
      <c r="J261" s="4">
        <v>0.9</v>
      </c>
      <c r="K261" s="4">
        <v>0.5</v>
      </c>
      <c r="L261" s="4">
        <v>0.6</v>
      </c>
      <c r="M261" s="4">
        <v>0.3</v>
      </c>
      <c r="N261" s="4">
        <v>616.18511999999998</v>
      </c>
      <c r="O261" s="4">
        <v>1E-3</v>
      </c>
      <c r="P261" s="5"/>
      <c r="Q261" s="5"/>
      <c r="R261" s="5"/>
      <c r="S261" s="5"/>
      <c r="U261" s="4" t="s">
        <v>148</v>
      </c>
      <c r="V261" s="4">
        <v>0.9</v>
      </c>
      <c r="W261" s="4">
        <v>0.5</v>
      </c>
      <c r="X261" s="4">
        <v>0.6</v>
      </c>
      <c r="Y261" s="4">
        <v>0.3</v>
      </c>
      <c r="Z261" s="6">
        <v>583.45239300000003</v>
      </c>
      <c r="AA261" s="4">
        <v>1E-3</v>
      </c>
      <c r="AC261" s="4" t="s">
        <v>148</v>
      </c>
      <c r="AD261" s="4">
        <v>0.9</v>
      </c>
      <c r="AE261" s="4">
        <v>0.5</v>
      </c>
      <c r="AF261" s="4">
        <v>0.6</v>
      </c>
      <c r="AG261" s="4">
        <v>0.3</v>
      </c>
      <c r="AH261" s="4">
        <v>596.77526899999998</v>
      </c>
      <c r="AI261" s="4">
        <v>1E-3</v>
      </c>
      <c r="AJ261" s="5"/>
      <c r="AK261" s="5"/>
      <c r="AL261" s="5"/>
      <c r="AM261" s="5"/>
      <c r="AO261" s="4" t="s">
        <v>149</v>
      </c>
      <c r="AP261" s="4">
        <v>0.9</v>
      </c>
      <c r="AQ261" s="4">
        <v>0.5</v>
      </c>
      <c r="AR261" s="4">
        <v>0.6</v>
      </c>
      <c r="AS261" s="4">
        <v>0.3</v>
      </c>
      <c r="AT261" s="6">
        <v>886.52050799999995</v>
      </c>
      <c r="AU261" s="4">
        <v>8.0000000000000002E-3</v>
      </c>
      <c r="AW261" s="4" t="s">
        <v>149</v>
      </c>
      <c r="AX261" s="4">
        <v>0.9</v>
      </c>
      <c r="AY261" s="4">
        <v>0.5</v>
      </c>
      <c r="AZ261" s="4">
        <v>0.6</v>
      </c>
      <c r="BA261" s="4">
        <v>0.3</v>
      </c>
      <c r="BB261" s="4">
        <v>901.73828100000003</v>
      </c>
      <c r="BC261" s="4">
        <v>6.0000000000000001E-3</v>
      </c>
      <c r="BD261" s="5"/>
      <c r="BE261" s="5"/>
      <c r="BF261" s="5"/>
      <c r="BG261" s="5"/>
      <c r="BI261" s="4" t="s">
        <v>149</v>
      </c>
      <c r="BJ261" s="4">
        <v>0.9</v>
      </c>
      <c r="BK261" s="4">
        <v>0.5</v>
      </c>
      <c r="BL261" s="4">
        <v>0.6</v>
      </c>
      <c r="BM261" s="4">
        <v>0.3</v>
      </c>
      <c r="BN261" s="6">
        <v>838.00146500000005</v>
      </c>
      <c r="BO261" s="4">
        <v>5.0000000000000001E-3</v>
      </c>
      <c r="BQ261" s="4" t="s">
        <v>149</v>
      </c>
      <c r="BR261" s="4">
        <v>0.9</v>
      </c>
      <c r="BS261" s="4">
        <v>0.5</v>
      </c>
      <c r="BT261" s="4">
        <v>0.6</v>
      </c>
      <c r="BU261" s="4">
        <v>0.3</v>
      </c>
      <c r="BV261" s="4">
        <v>853.23016399999995</v>
      </c>
      <c r="BW261" s="4">
        <v>6.0000000000000001E-3</v>
      </c>
      <c r="BX261" s="5"/>
      <c r="BY261" s="5"/>
      <c r="BZ261" s="5"/>
      <c r="CA261" s="5"/>
    </row>
    <row r="262" spans="1:79" x14ac:dyDescent="0.3">
      <c r="A262" s="4" t="s">
        <v>150</v>
      </c>
      <c r="B262" s="4">
        <v>0.9</v>
      </c>
      <c r="C262" s="4">
        <v>0.5</v>
      </c>
      <c r="D262" s="4">
        <v>0.6</v>
      </c>
      <c r="E262" s="4">
        <v>0.3</v>
      </c>
      <c r="F262" s="4">
        <v>541.32183799999996</v>
      </c>
      <c r="G262" s="4">
        <v>2E-3</v>
      </c>
      <c r="I262" s="4" t="s">
        <v>150</v>
      </c>
      <c r="J262" s="4">
        <v>0.9</v>
      </c>
      <c r="K262" s="4">
        <v>0.5</v>
      </c>
      <c r="L262" s="4">
        <v>0.6</v>
      </c>
      <c r="M262" s="4">
        <v>0.3</v>
      </c>
      <c r="N262" s="6">
        <v>540.10217299999999</v>
      </c>
      <c r="O262" s="4">
        <v>2E-3</v>
      </c>
      <c r="P262" s="5"/>
      <c r="Q262" s="5"/>
      <c r="R262" s="5"/>
      <c r="S262" s="5"/>
      <c r="U262" s="4" t="s">
        <v>150</v>
      </c>
      <c r="V262" s="4">
        <v>0.9</v>
      </c>
      <c r="W262" s="4">
        <v>0.5</v>
      </c>
      <c r="X262" s="4">
        <v>0.6</v>
      </c>
      <c r="Y262" s="4">
        <v>0.3</v>
      </c>
      <c r="Z262" s="6">
        <v>491.84719799999999</v>
      </c>
      <c r="AA262" s="4">
        <v>1E-3</v>
      </c>
      <c r="AC262" s="4" t="s">
        <v>150</v>
      </c>
      <c r="AD262" s="4">
        <v>0.9</v>
      </c>
      <c r="AE262" s="4">
        <v>0.5</v>
      </c>
      <c r="AF262" s="4">
        <v>0.6</v>
      </c>
      <c r="AG262" s="4">
        <v>0.3</v>
      </c>
      <c r="AH262" s="4">
        <v>499.38339200000001</v>
      </c>
      <c r="AI262" s="4">
        <v>1E-3</v>
      </c>
      <c r="AJ262" s="5"/>
      <c r="AK262" s="5"/>
      <c r="AL262" s="5"/>
      <c r="AM262" s="5"/>
      <c r="AO262" s="4" t="s">
        <v>151</v>
      </c>
      <c r="AP262" s="4">
        <v>0.9</v>
      </c>
      <c r="AQ262" s="4">
        <v>0.5</v>
      </c>
      <c r="AR262" s="4">
        <v>0.6</v>
      </c>
      <c r="AS262" s="4">
        <v>0.3</v>
      </c>
      <c r="AT262" s="6">
        <v>771.49218800000006</v>
      </c>
      <c r="AU262" s="4">
        <v>6.0000000000000001E-3</v>
      </c>
      <c r="AW262" s="4" t="s">
        <v>151</v>
      </c>
      <c r="AX262" s="4">
        <v>0.9</v>
      </c>
      <c r="AY262" s="4">
        <v>0.5</v>
      </c>
      <c r="AZ262" s="4">
        <v>0.6</v>
      </c>
      <c r="BA262" s="4">
        <v>0.33</v>
      </c>
      <c r="BB262" s="4">
        <v>826.51342799999998</v>
      </c>
      <c r="BC262" s="4">
        <v>5.0000000000000001E-3</v>
      </c>
      <c r="BD262" s="5"/>
      <c r="BE262" s="5"/>
      <c r="BF262" s="5"/>
      <c r="BG262" s="5"/>
      <c r="BI262" s="4" t="s">
        <v>151</v>
      </c>
      <c r="BJ262" s="4">
        <v>0.9</v>
      </c>
      <c r="BK262" s="4">
        <v>0.5</v>
      </c>
      <c r="BL262" s="4">
        <v>0.6</v>
      </c>
      <c r="BM262" s="4">
        <v>0.3</v>
      </c>
      <c r="BN262" s="6">
        <v>748.54431199999999</v>
      </c>
      <c r="BO262" s="4">
        <v>5.0000000000000001E-3</v>
      </c>
      <c r="BQ262" s="4" t="s">
        <v>151</v>
      </c>
      <c r="BR262" s="4">
        <v>0.9</v>
      </c>
      <c r="BS262" s="4">
        <v>0.5</v>
      </c>
      <c r="BT262" s="4">
        <v>0.6</v>
      </c>
      <c r="BU262" s="4">
        <v>0.3</v>
      </c>
      <c r="BV262" s="4">
        <v>764.23150599999997</v>
      </c>
      <c r="BW262" s="4">
        <v>5.0000000000000001E-3</v>
      </c>
      <c r="BX262" s="5"/>
      <c r="BY262" s="5"/>
      <c r="BZ262" s="5"/>
      <c r="CA262" s="5"/>
    </row>
    <row r="263" spans="1:79" x14ac:dyDescent="0.3">
      <c r="A263" s="4" t="s">
        <v>152</v>
      </c>
      <c r="B263" s="4">
        <v>0.9</v>
      </c>
      <c r="C263" s="4">
        <v>0.5</v>
      </c>
      <c r="D263" s="4">
        <v>0.6</v>
      </c>
      <c r="E263" s="4">
        <v>0.3</v>
      </c>
      <c r="F263" s="6">
        <v>581.62884499999996</v>
      </c>
      <c r="G263" s="4">
        <v>2E-3</v>
      </c>
      <c r="I263" s="4" t="s">
        <v>152</v>
      </c>
      <c r="J263" s="4">
        <v>0.9</v>
      </c>
      <c r="K263" s="4">
        <v>0.5</v>
      </c>
      <c r="L263" s="4">
        <v>0.6</v>
      </c>
      <c r="M263" s="4">
        <v>0.3</v>
      </c>
      <c r="N263" s="4">
        <v>602.84094200000004</v>
      </c>
      <c r="O263" s="4">
        <v>2E-3</v>
      </c>
      <c r="P263" s="5"/>
      <c r="Q263" s="5"/>
      <c r="R263" s="5"/>
      <c r="S263" s="5"/>
      <c r="U263" s="4" t="s">
        <v>152</v>
      </c>
      <c r="V263" s="4">
        <v>0.9</v>
      </c>
      <c r="W263" s="4">
        <v>0.5</v>
      </c>
      <c r="X263" s="4">
        <v>0.6</v>
      </c>
      <c r="Y263" s="4">
        <v>0.3</v>
      </c>
      <c r="Z263" s="6">
        <v>572.40832499999999</v>
      </c>
      <c r="AA263" s="4">
        <v>1E-3</v>
      </c>
      <c r="AC263" s="4" t="s">
        <v>152</v>
      </c>
      <c r="AD263" s="4">
        <v>0.9</v>
      </c>
      <c r="AE263" s="4">
        <v>0.5</v>
      </c>
      <c r="AF263" s="4">
        <v>0.6</v>
      </c>
      <c r="AG263" s="4">
        <v>0.32</v>
      </c>
      <c r="AH263" s="4">
        <v>576.31835899999999</v>
      </c>
      <c r="AI263" s="4">
        <v>1E-3</v>
      </c>
      <c r="AJ263" s="5"/>
      <c r="AK263" s="5"/>
      <c r="AL263" s="5"/>
      <c r="AM263" s="5"/>
      <c r="AO263" s="4" t="s">
        <v>153</v>
      </c>
      <c r="AP263" s="4">
        <v>0.9</v>
      </c>
      <c r="AQ263" s="4">
        <v>0.5</v>
      </c>
      <c r="AR263" s="4">
        <v>0.6</v>
      </c>
      <c r="AS263" s="4">
        <v>0.3</v>
      </c>
      <c r="AT263" s="6">
        <v>868.51220699999999</v>
      </c>
      <c r="AU263" s="4">
        <v>6.0000000000000001E-3</v>
      </c>
      <c r="AW263" s="4" t="s">
        <v>153</v>
      </c>
      <c r="AX263" s="4">
        <v>0.9</v>
      </c>
      <c r="AY263" s="4">
        <v>0.5</v>
      </c>
      <c r="AZ263" s="4">
        <v>0.6</v>
      </c>
      <c r="BA263" s="4">
        <v>0.33</v>
      </c>
      <c r="BB263" s="4">
        <v>888.65679899999998</v>
      </c>
      <c r="BC263" s="4">
        <v>6.0000000000000001E-3</v>
      </c>
      <c r="BD263" s="5"/>
      <c r="BE263" s="5"/>
      <c r="BF263" s="5"/>
      <c r="BG263" s="5"/>
      <c r="BI263" s="4" t="s">
        <v>153</v>
      </c>
      <c r="BJ263" s="4">
        <v>0.9</v>
      </c>
      <c r="BK263" s="4">
        <v>0.5</v>
      </c>
      <c r="BL263" s="4">
        <v>0.6</v>
      </c>
      <c r="BM263" s="4">
        <v>0.3</v>
      </c>
      <c r="BN263" s="6">
        <v>832.55505400000004</v>
      </c>
      <c r="BO263" s="4">
        <v>5.0000000000000001E-3</v>
      </c>
      <c r="BQ263" s="4" t="s">
        <v>153</v>
      </c>
      <c r="BR263" s="4">
        <v>0.9</v>
      </c>
      <c r="BS263" s="4">
        <v>0.5</v>
      </c>
      <c r="BT263" s="4">
        <v>0.6</v>
      </c>
      <c r="BU263" s="4">
        <v>0.31</v>
      </c>
      <c r="BV263" s="4">
        <v>866.60827600000005</v>
      </c>
      <c r="BW263" s="4">
        <v>5.0000000000000001E-3</v>
      </c>
      <c r="BX263" s="5"/>
      <c r="BY263" s="5"/>
      <c r="BZ263" s="5"/>
      <c r="CA263" s="5"/>
    </row>
    <row r="264" spans="1:79" x14ac:dyDescent="0.3">
      <c r="A264" s="4" t="s">
        <v>154</v>
      </c>
      <c r="B264" s="4">
        <v>0.9</v>
      </c>
      <c r="C264" s="4">
        <v>0.5</v>
      </c>
      <c r="D264" s="4">
        <v>0.6</v>
      </c>
      <c r="E264" s="4">
        <v>0.3</v>
      </c>
      <c r="F264" s="4">
        <v>606.32208300000002</v>
      </c>
      <c r="G264" s="4">
        <v>2E-3</v>
      </c>
      <c r="I264" s="4" t="s">
        <v>154</v>
      </c>
      <c r="J264" s="4">
        <v>0.9</v>
      </c>
      <c r="K264" s="4">
        <v>0.5</v>
      </c>
      <c r="L264" s="4">
        <v>0.6</v>
      </c>
      <c r="M264" s="4">
        <v>0.3</v>
      </c>
      <c r="N264" s="6">
        <v>602.21569799999997</v>
      </c>
      <c r="O264" s="4">
        <v>2E-3</v>
      </c>
      <c r="P264" s="5"/>
      <c r="Q264" s="5"/>
      <c r="R264" s="5"/>
      <c r="S264" s="5"/>
      <c r="U264" s="4" t="s">
        <v>154</v>
      </c>
      <c r="V264" s="4">
        <v>0.9</v>
      </c>
      <c r="W264" s="4">
        <v>0.5</v>
      </c>
      <c r="X264" s="4">
        <v>0.6</v>
      </c>
      <c r="Y264" s="4">
        <v>0.3</v>
      </c>
      <c r="Z264" s="6">
        <v>596.30999799999995</v>
      </c>
      <c r="AA264" s="4">
        <v>2E-3</v>
      </c>
      <c r="AC264" s="4" t="s">
        <v>154</v>
      </c>
      <c r="AD264" s="4">
        <v>0.9</v>
      </c>
      <c r="AE264" s="4">
        <v>0.5</v>
      </c>
      <c r="AF264" s="4">
        <v>0.6</v>
      </c>
      <c r="AG264" s="4">
        <v>0.32</v>
      </c>
      <c r="AH264" s="4">
        <v>605.22522000000004</v>
      </c>
      <c r="AI264" s="4">
        <v>1E-3</v>
      </c>
      <c r="AJ264" s="5"/>
      <c r="AK264" s="5"/>
      <c r="AL264" s="5"/>
      <c r="AM264" s="5"/>
      <c r="AO264" s="4" t="s">
        <v>155</v>
      </c>
      <c r="AP264" s="4">
        <v>0.9</v>
      </c>
      <c r="AQ264" s="4">
        <v>0.5</v>
      </c>
      <c r="AR264" s="4">
        <v>0.6</v>
      </c>
      <c r="AS264" s="4">
        <v>0.3</v>
      </c>
      <c r="AT264" s="6">
        <v>1098.307861</v>
      </c>
      <c r="AU264" s="4">
        <v>8.0000000000000002E-3</v>
      </c>
      <c r="AW264" s="4" t="s">
        <v>155</v>
      </c>
      <c r="AX264" s="4">
        <v>0.9</v>
      </c>
      <c r="AY264" s="4">
        <v>0.5</v>
      </c>
      <c r="AZ264" s="4">
        <v>0.6</v>
      </c>
      <c r="BA264" s="4">
        <v>0.3</v>
      </c>
      <c r="BB264" s="4">
        <v>1122.2124020000001</v>
      </c>
      <c r="BC264" s="4">
        <v>7.0000000000000001E-3</v>
      </c>
      <c r="BD264" s="5"/>
      <c r="BE264" s="5"/>
      <c r="BF264" s="5"/>
      <c r="BG264" s="5"/>
      <c r="BI264" s="4" t="s">
        <v>155</v>
      </c>
      <c r="BJ264" s="4">
        <v>0.9</v>
      </c>
      <c r="BK264" s="4">
        <v>0.5</v>
      </c>
      <c r="BL264" s="4">
        <v>0.6</v>
      </c>
      <c r="BM264" s="4">
        <v>0.3</v>
      </c>
      <c r="BN264" s="6">
        <v>1070.4027100000001</v>
      </c>
      <c r="BO264" s="4">
        <v>8.0000000000000002E-3</v>
      </c>
      <c r="BQ264" s="4" t="s">
        <v>155</v>
      </c>
      <c r="BR264" s="4">
        <v>0.9</v>
      </c>
      <c r="BS264" s="4">
        <v>0.5</v>
      </c>
      <c r="BT264" s="4">
        <v>0.6</v>
      </c>
      <c r="BU264" s="4">
        <v>0.3</v>
      </c>
      <c r="BV264" s="4">
        <v>1121.2689210000001</v>
      </c>
      <c r="BW264" s="4">
        <v>8.0000000000000002E-3</v>
      </c>
      <c r="BX264" s="5"/>
      <c r="BY264" s="5"/>
      <c r="BZ264" s="5"/>
      <c r="CA264" s="5"/>
    </row>
    <row r="265" spans="1:79" x14ac:dyDescent="0.3">
      <c r="A265" s="4" t="s">
        <v>156</v>
      </c>
      <c r="B265" s="4">
        <v>0.9</v>
      </c>
      <c r="C265" s="4">
        <v>0.5</v>
      </c>
      <c r="D265" s="4">
        <v>0.6</v>
      </c>
      <c r="E265" s="4">
        <v>0.3</v>
      </c>
      <c r="F265" s="6">
        <v>661.11932400000001</v>
      </c>
      <c r="G265" s="4">
        <v>2E-3</v>
      </c>
      <c r="I265" s="4" t="s">
        <v>156</v>
      </c>
      <c r="J265" s="4">
        <v>0.9</v>
      </c>
      <c r="K265" s="4">
        <v>0.5</v>
      </c>
      <c r="L265" s="4">
        <v>0.6</v>
      </c>
      <c r="M265" s="4">
        <v>0.32</v>
      </c>
      <c r="N265" s="4">
        <v>672.41357400000004</v>
      </c>
      <c r="O265" s="4">
        <v>3.0000000000000001E-3</v>
      </c>
      <c r="P265" s="5"/>
      <c r="Q265" s="5"/>
      <c r="R265" s="5"/>
      <c r="S265" s="5"/>
      <c r="U265" s="4" t="s">
        <v>156</v>
      </c>
      <c r="V265" s="4">
        <v>0.9</v>
      </c>
      <c r="W265" s="4">
        <v>0.5</v>
      </c>
      <c r="X265" s="4">
        <v>0.6</v>
      </c>
      <c r="Y265" s="4">
        <v>0.3</v>
      </c>
      <c r="Z265" s="6">
        <v>651.50170900000001</v>
      </c>
      <c r="AA265" s="4">
        <v>2E-3</v>
      </c>
      <c r="AC265" s="4" t="s">
        <v>156</v>
      </c>
      <c r="AD265" s="4">
        <v>0.9</v>
      </c>
      <c r="AE265" s="4">
        <v>0.5</v>
      </c>
      <c r="AF265" s="4">
        <v>0.6</v>
      </c>
      <c r="AG265" s="4">
        <v>0.32</v>
      </c>
      <c r="AH265" s="4">
        <v>654.82995600000004</v>
      </c>
      <c r="AI265" s="4">
        <v>2E-3</v>
      </c>
      <c r="AJ265" s="5"/>
      <c r="AK265" s="5"/>
      <c r="AL265" s="5"/>
      <c r="AM265" s="5"/>
      <c r="AO265" s="4" t="s">
        <v>157</v>
      </c>
      <c r="AP265" s="4">
        <v>0.9</v>
      </c>
      <c r="AQ265" s="4">
        <v>0.5</v>
      </c>
      <c r="AR265" s="4">
        <v>0.6</v>
      </c>
      <c r="AS265" s="4">
        <v>0.3</v>
      </c>
      <c r="AT265" s="6">
        <v>1018.891174</v>
      </c>
      <c r="AU265" s="4">
        <v>1.0999999999999999E-2</v>
      </c>
      <c r="AW265" s="4" t="s">
        <v>157</v>
      </c>
      <c r="AX265" s="4">
        <v>0.9</v>
      </c>
      <c r="AY265" s="4">
        <v>0.5</v>
      </c>
      <c r="AZ265" s="4">
        <v>0.6</v>
      </c>
      <c r="BA265" s="4">
        <v>0.3</v>
      </c>
      <c r="BB265" s="4">
        <v>1045.6069339999999</v>
      </c>
      <c r="BC265" s="4">
        <v>8.0000000000000002E-3</v>
      </c>
      <c r="BD265" s="5"/>
      <c r="BE265" s="5"/>
      <c r="BF265" s="5"/>
      <c r="BG265" s="5"/>
      <c r="BI265" s="4" t="s">
        <v>157</v>
      </c>
      <c r="BJ265" s="4">
        <v>0.9</v>
      </c>
      <c r="BK265" s="4">
        <v>0.5</v>
      </c>
      <c r="BL265" s="4">
        <v>0.6</v>
      </c>
      <c r="BM265" s="4">
        <v>0.3</v>
      </c>
      <c r="BN265" s="6">
        <v>1011.42395</v>
      </c>
      <c r="BO265" s="4">
        <v>6.0000000000000001E-3</v>
      </c>
      <c r="BQ265" s="4" t="s">
        <v>157</v>
      </c>
      <c r="BR265" s="4">
        <v>0.9</v>
      </c>
      <c r="BS265" s="4">
        <v>0.5</v>
      </c>
      <c r="BT265" s="4">
        <v>0.6</v>
      </c>
      <c r="BU265" s="4">
        <v>0.3</v>
      </c>
      <c r="BV265" s="4">
        <v>1052.6015620000001</v>
      </c>
      <c r="BW265" s="4">
        <v>7.0000000000000001E-3</v>
      </c>
      <c r="BX265" s="5"/>
      <c r="BY265" s="5"/>
      <c r="BZ265" s="5"/>
      <c r="CA265" s="5"/>
    </row>
    <row r="266" spans="1:79" x14ac:dyDescent="0.3">
      <c r="A266" s="4" t="s">
        <v>158</v>
      </c>
      <c r="B266" s="4">
        <v>0.9</v>
      </c>
      <c r="C266" s="4">
        <v>0.5</v>
      </c>
      <c r="D266" s="4">
        <v>0.6</v>
      </c>
      <c r="E266" s="4">
        <v>0.3</v>
      </c>
      <c r="F266" s="6">
        <v>656.95410200000003</v>
      </c>
      <c r="G266" s="4">
        <v>1E-3</v>
      </c>
      <c r="I266" s="4" t="s">
        <v>158</v>
      </c>
      <c r="J266" s="4">
        <v>0.9</v>
      </c>
      <c r="K266" s="4">
        <v>0.5</v>
      </c>
      <c r="L266" s="4">
        <v>0.6</v>
      </c>
      <c r="M266" s="4">
        <v>0.3</v>
      </c>
      <c r="N266" s="4">
        <v>671.72406000000001</v>
      </c>
      <c r="O266" s="4">
        <v>2E-3</v>
      </c>
      <c r="P266" s="5"/>
      <c r="Q266" s="5"/>
      <c r="R266" s="5"/>
      <c r="S266" s="5"/>
      <c r="U266" s="4" t="s">
        <v>158</v>
      </c>
      <c r="V266" s="4">
        <v>0.9</v>
      </c>
      <c r="W266" s="4">
        <v>0.5</v>
      </c>
      <c r="X266" s="4">
        <v>0.6</v>
      </c>
      <c r="Y266" s="4">
        <v>0.3</v>
      </c>
      <c r="Z266" s="6">
        <v>651.990723</v>
      </c>
      <c r="AA266" s="4">
        <v>3.0000000000000001E-3</v>
      </c>
      <c r="AC266" s="4" t="s">
        <v>158</v>
      </c>
      <c r="AD266" s="4">
        <v>0.9</v>
      </c>
      <c r="AE266" s="4">
        <v>0.5</v>
      </c>
      <c r="AF266" s="4">
        <v>0.6</v>
      </c>
      <c r="AG266" s="4">
        <v>0.31</v>
      </c>
      <c r="AH266" s="4">
        <v>675.25952099999995</v>
      </c>
      <c r="AI266" s="4">
        <v>2E-3</v>
      </c>
      <c r="AJ266" s="5"/>
      <c r="AK266" s="5"/>
      <c r="AL266" s="5"/>
      <c r="AM266" s="5"/>
      <c r="AO266" s="4" t="s">
        <v>159</v>
      </c>
      <c r="AP266" s="4">
        <v>0.9</v>
      </c>
      <c r="AQ266" s="4">
        <v>0.5</v>
      </c>
      <c r="AR266" s="4">
        <v>0.6</v>
      </c>
      <c r="AS266" s="4">
        <v>0.3</v>
      </c>
      <c r="AT266" s="6">
        <v>954.64923099999999</v>
      </c>
      <c r="AU266" s="4">
        <v>7.0000000000000001E-3</v>
      </c>
      <c r="AW266" s="4" t="s">
        <v>159</v>
      </c>
      <c r="AX266" s="4">
        <v>0.9</v>
      </c>
      <c r="AY266" s="4">
        <v>0.5</v>
      </c>
      <c r="AZ266" s="4">
        <v>0.6</v>
      </c>
      <c r="BA266" s="4">
        <v>0.3</v>
      </c>
      <c r="BB266" s="4">
        <v>986.98071300000004</v>
      </c>
      <c r="BC266" s="4">
        <v>7.0000000000000001E-3</v>
      </c>
      <c r="BD266" s="5"/>
      <c r="BE266" s="5"/>
      <c r="BF266" s="5"/>
      <c r="BG266" s="5"/>
      <c r="BI266" s="4" t="s">
        <v>159</v>
      </c>
      <c r="BJ266" s="4">
        <v>0.9</v>
      </c>
      <c r="BK266" s="4">
        <v>0.5</v>
      </c>
      <c r="BL266" s="4">
        <v>0.6</v>
      </c>
      <c r="BM266" s="4">
        <v>0.3</v>
      </c>
      <c r="BN266" s="6">
        <v>953.14630099999999</v>
      </c>
      <c r="BO266" s="4">
        <v>6.0000000000000001E-3</v>
      </c>
      <c r="BQ266" s="4" t="s">
        <v>159</v>
      </c>
      <c r="BR266" s="4">
        <v>0.9</v>
      </c>
      <c r="BS266" s="4">
        <v>0.5</v>
      </c>
      <c r="BT266" s="4">
        <v>0.6</v>
      </c>
      <c r="BU266" s="4">
        <v>0.3</v>
      </c>
      <c r="BV266" s="4">
        <v>977.33203100000003</v>
      </c>
      <c r="BW266" s="4">
        <v>7.0000000000000001E-3</v>
      </c>
      <c r="BX266" s="5"/>
      <c r="BY266" s="5"/>
      <c r="BZ266" s="5"/>
      <c r="CA266" s="5"/>
    </row>
    <row r="267" spans="1:79" x14ac:dyDescent="0.3">
      <c r="A267" s="4" t="s">
        <v>160</v>
      </c>
      <c r="B267" s="4">
        <v>0.9</v>
      </c>
      <c r="C267" s="4">
        <v>0.5</v>
      </c>
      <c r="D267" s="4">
        <v>0.6</v>
      </c>
      <c r="E267" s="4">
        <v>0.3</v>
      </c>
      <c r="F267" s="6">
        <v>601.38476600000001</v>
      </c>
      <c r="G267" s="4">
        <v>2E-3</v>
      </c>
      <c r="I267" s="4" t="s">
        <v>160</v>
      </c>
      <c r="J267" s="4">
        <v>0.9</v>
      </c>
      <c r="K267" s="4">
        <v>0.5</v>
      </c>
      <c r="L267" s="4">
        <v>0.6</v>
      </c>
      <c r="M267" s="4">
        <v>0.33</v>
      </c>
      <c r="N267" s="4">
        <v>611.96716300000003</v>
      </c>
      <c r="O267" s="4">
        <v>2E-3</v>
      </c>
      <c r="P267" s="5"/>
      <c r="Q267" s="5"/>
      <c r="R267" s="5"/>
      <c r="S267" s="5"/>
      <c r="U267" s="4" t="s">
        <v>160</v>
      </c>
      <c r="V267" s="4">
        <v>0.9</v>
      </c>
      <c r="W267" s="4">
        <v>0.5</v>
      </c>
      <c r="X267" s="4">
        <v>0.6</v>
      </c>
      <c r="Y267" s="4">
        <v>0.3</v>
      </c>
      <c r="Z267" s="6">
        <v>565.66815199999996</v>
      </c>
      <c r="AA267" s="4">
        <v>2E-3</v>
      </c>
      <c r="AC267" s="4" t="s">
        <v>160</v>
      </c>
      <c r="AD267" s="4">
        <v>0.9</v>
      </c>
      <c r="AE267" s="4">
        <v>0.5</v>
      </c>
      <c r="AF267" s="4">
        <v>0.6</v>
      </c>
      <c r="AG267" s="4">
        <v>0.39</v>
      </c>
      <c r="AH267" s="4">
        <v>579.11798099999999</v>
      </c>
      <c r="AI267" s="4">
        <v>2E-3</v>
      </c>
      <c r="AJ267" s="5"/>
      <c r="AK267" s="5"/>
      <c r="AL267" s="5"/>
      <c r="AM267" s="5"/>
      <c r="AO267" s="4" t="s">
        <v>161</v>
      </c>
      <c r="AP267" s="4">
        <v>0.9</v>
      </c>
      <c r="AQ267" s="4">
        <v>0.5</v>
      </c>
      <c r="AR267" s="4">
        <v>0.6</v>
      </c>
      <c r="AS267" s="4">
        <v>0.3</v>
      </c>
      <c r="AT267" s="6">
        <v>1031.9688719999999</v>
      </c>
      <c r="AU267" s="4">
        <v>8.9999999999999993E-3</v>
      </c>
      <c r="AW267" s="4" t="s">
        <v>161</v>
      </c>
      <c r="AX267" s="4">
        <v>0.9</v>
      </c>
      <c r="AY267" s="4">
        <v>0.5</v>
      </c>
      <c r="AZ267" s="4">
        <v>0.6</v>
      </c>
      <c r="BA267" s="4">
        <v>0.36</v>
      </c>
      <c r="BB267" s="4">
        <v>1072.5966800000001</v>
      </c>
      <c r="BC267" s="4">
        <v>7.0000000000000001E-3</v>
      </c>
      <c r="BD267" s="5"/>
      <c r="BE267" s="5"/>
      <c r="BF267" s="5"/>
      <c r="BG267" s="5"/>
      <c r="BI267" s="4" t="s">
        <v>161</v>
      </c>
      <c r="BJ267" s="4">
        <v>0.9</v>
      </c>
      <c r="BK267" s="4">
        <v>0.5</v>
      </c>
      <c r="BL267" s="4">
        <v>0.6</v>
      </c>
      <c r="BM267" s="4">
        <v>0.3</v>
      </c>
      <c r="BN267" s="6">
        <v>1022.027161</v>
      </c>
      <c r="BO267" s="4">
        <v>7.0000000000000001E-3</v>
      </c>
      <c r="BQ267" s="4" t="s">
        <v>161</v>
      </c>
      <c r="BR267" s="4">
        <v>0.9</v>
      </c>
      <c r="BS267" s="4">
        <v>0.5</v>
      </c>
      <c r="BT267" s="4">
        <v>0.6</v>
      </c>
      <c r="BU267" s="4">
        <v>0.3</v>
      </c>
      <c r="BV267" s="4">
        <v>1058.561768</v>
      </c>
      <c r="BW267" s="4">
        <v>6.0000000000000001E-3</v>
      </c>
      <c r="BX267" s="5"/>
      <c r="BY267" s="5"/>
      <c r="BZ267" s="5"/>
      <c r="CA267" s="5"/>
    </row>
    <row r="268" spans="1:79" x14ac:dyDescent="0.3">
      <c r="A268" s="4" t="s">
        <v>162</v>
      </c>
      <c r="B268" s="4">
        <v>0.9</v>
      </c>
      <c r="C268" s="4">
        <v>0.5</v>
      </c>
      <c r="D268" s="4">
        <v>0.6</v>
      </c>
      <c r="E268" s="4">
        <v>0.3</v>
      </c>
      <c r="F268" s="6">
        <v>610.64428699999996</v>
      </c>
      <c r="G268" s="4">
        <v>2E-3</v>
      </c>
      <c r="I268" s="4" t="s">
        <v>162</v>
      </c>
      <c r="J268" s="4">
        <v>0.9</v>
      </c>
      <c r="K268" s="4">
        <v>0.5</v>
      </c>
      <c r="L268" s="4">
        <v>0.6</v>
      </c>
      <c r="M268" s="4">
        <v>0.32</v>
      </c>
      <c r="N268" s="4">
        <v>616.42974900000002</v>
      </c>
      <c r="O268" s="4">
        <v>2E-3</v>
      </c>
      <c r="P268" s="5"/>
      <c r="Q268" s="5"/>
      <c r="R268" s="5"/>
      <c r="S268" s="5"/>
      <c r="U268" s="4" t="s">
        <v>162</v>
      </c>
      <c r="V268" s="4">
        <v>0.9</v>
      </c>
      <c r="W268" s="4">
        <v>0.5</v>
      </c>
      <c r="X268" s="4">
        <v>0.6</v>
      </c>
      <c r="Y268" s="4">
        <v>0.3</v>
      </c>
      <c r="Z268" s="6">
        <v>606.20794699999999</v>
      </c>
      <c r="AA268" s="4">
        <v>2E-3</v>
      </c>
      <c r="AC268" s="4" t="s">
        <v>162</v>
      </c>
      <c r="AD268" s="4">
        <v>0.9</v>
      </c>
      <c r="AE268" s="4">
        <v>0.5</v>
      </c>
      <c r="AF268" s="4">
        <v>0.6</v>
      </c>
      <c r="AG268" s="4">
        <v>0.31</v>
      </c>
      <c r="AH268" s="4">
        <v>617.08209199999999</v>
      </c>
      <c r="AI268" s="4">
        <v>1E-3</v>
      </c>
      <c r="AJ268" s="5"/>
      <c r="AK268" s="5"/>
      <c r="AL268" s="5"/>
      <c r="AM268" s="5"/>
      <c r="AO268" s="4" t="s">
        <v>163</v>
      </c>
      <c r="AP268" s="4">
        <v>0.9</v>
      </c>
      <c r="AQ268" s="4">
        <v>0.5</v>
      </c>
      <c r="AR268" s="4">
        <v>0.6</v>
      </c>
      <c r="AS268" s="4">
        <v>0.3</v>
      </c>
      <c r="AT268" s="6">
        <v>1022.341675</v>
      </c>
      <c r="AU268" s="4">
        <v>0.01</v>
      </c>
      <c r="AW268" s="4" t="s">
        <v>163</v>
      </c>
      <c r="AX268" s="4">
        <v>0.9</v>
      </c>
      <c r="AY268" s="4">
        <v>0.5</v>
      </c>
      <c r="AZ268" s="4">
        <v>0.6</v>
      </c>
      <c r="BA268" s="4">
        <v>0.33</v>
      </c>
      <c r="BB268" s="4">
        <v>1046.091187</v>
      </c>
      <c r="BC268" s="4">
        <v>6.0000000000000001E-3</v>
      </c>
      <c r="BD268" s="5"/>
      <c r="BE268" s="5"/>
      <c r="BF268" s="5"/>
      <c r="BG268" s="5"/>
      <c r="BI268" s="4" t="s">
        <v>163</v>
      </c>
      <c r="BJ268" s="4">
        <v>0.9</v>
      </c>
      <c r="BK268" s="4">
        <v>0.5</v>
      </c>
      <c r="BL268" s="4">
        <v>0.6</v>
      </c>
      <c r="BM268" s="4">
        <v>0.3</v>
      </c>
      <c r="BN268" s="6">
        <v>1011.451416</v>
      </c>
      <c r="BO268" s="4">
        <v>8.0000000000000002E-3</v>
      </c>
      <c r="BQ268" s="4" t="s">
        <v>163</v>
      </c>
      <c r="BR268" s="4">
        <v>0.9</v>
      </c>
      <c r="BS268" s="4">
        <v>0.5</v>
      </c>
      <c r="BT268" s="4">
        <v>0.6</v>
      </c>
      <c r="BU268" s="4">
        <v>0.32</v>
      </c>
      <c r="BV268" s="4">
        <v>1038.4782709999999</v>
      </c>
      <c r="BW268" s="4">
        <v>8.0000000000000002E-3</v>
      </c>
      <c r="BX268" s="5"/>
      <c r="BY268" s="5"/>
      <c r="BZ268" s="5"/>
      <c r="CA268" s="5"/>
    </row>
    <row r="269" spans="1:79" x14ac:dyDescent="0.3">
      <c r="A269" s="4" t="s">
        <v>164</v>
      </c>
      <c r="B269" s="4">
        <v>0.9</v>
      </c>
      <c r="C269" s="4">
        <v>0.5</v>
      </c>
      <c r="D269" s="4">
        <v>0.6</v>
      </c>
      <c r="E269" s="4">
        <v>0.3</v>
      </c>
      <c r="F269" s="6">
        <v>548.58795199999997</v>
      </c>
      <c r="G269" s="4">
        <v>2E-3</v>
      </c>
      <c r="I269" s="4" t="s">
        <v>164</v>
      </c>
      <c r="J269" s="4">
        <v>0.9</v>
      </c>
      <c r="K269" s="4">
        <v>0.5</v>
      </c>
      <c r="L269" s="4">
        <v>0.6</v>
      </c>
      <c r="M269" s="4">
        <v>0.31</v>
      </c>
      <c r="N269" s="4">
        <v>550.12896699999999</v>
      </c>
      <c r="O269" s="4">
        <v>1E-3</v>
      </c>
      <c r="P269" s="5"/>
      <c r="Q269" s="5"/>
      <c r="R269" s="5"/>
      <c r="S269" s="5"/>
      <c r="U269" s="4" t="s">
        <v>164</v>
      </c>
      <c r="V269" s="4">
        <v>0.9</v>
      </c>
      <c r="W269" s="4">
        <v>0.5</v>
      </c>
      <c r="X269" s="4">
        <v>0.6</v>
      </c>
      <c r="Y269" s="4">
        <v>0.3</v>
      </c>
      <c r="Z269" s="6">
        <v>509.26385499999998</v>
      </c>
      <c r="AA269" s="4">
        <v>2E-3</v>
      </c>
      <c r="AC269" s="4" t="s">
        <v>164</v>
      </c>
      <c r="AD269" s="4">
        <v>0.9</v>
      </c>
      <c r="AE269" s="4">
        <v>0.5</v>
      </c>
      <c r="AF269" s="4">
        <v>0.6</v>
      </c>
      <c r="AG269" s="4">
        <v>0.33</v>
      </c>
      <c r="AH269" s="4">
        <v>510.87124599999999</v>
      </c>
      <c r="AI269" s="4">
        <v>1E-3</v>
      </c>
      <c r="AJ269" s="5"/>
      <c r="AK269" s="5"/>
      <c r="AL269" s="5"/>
      <c r="AM269" s="5"/>
      <c r="AO269" s="4" t="s">
        <v>165</v>
      </c>
      <c r="AP269" s="4">
        <v>0.9</v>
      </c>
      <c r="AQ269" s="4">
        <v>0.5</v>
      </c>
      <c r="AR269" s="4">
        <v>0.6</v>
      </c>
      <c r="AS269" s="4">
        <v>0.3</v>
      </c>
      <c r="AT269" s="6">
        <v>951.10406499999999</v>
      </c>
      <c r="AU269" s="4">
        <v>8.9999999999999993E-3</v>
      </c>
      <c r="AW269" s="4" t="s">
        <v>165</v>
      </c>
      <c r="AX269" s="4">
        <v>0.9</v>
      </c>
      <c r="AY269" s="4">
        <v>0.5</v>
      </c>
      <c r="AZ269" s="4">
        <v>0.6</v>
      </c>
      <c r="BA269" s="4">
        <v>0.34</v>
      </c>
      <c r="BB269" s="8">
        <v>951.49835199999995</v>
      </c>
      <c r="BC269" s="4">
        <v>6.0000000000000001E-3</v>
      </c>
      <c r="BD269" s="5"/>
      <c r="BE269" s="5"/>
      <c r="BF269" s="5"/>
      <c r="BG269" s="5"/>
      <c r="BI269" s="4" t="s">
        <v>165</v>
      </c>
      <c r="BJ269" s="4">
        <v>0.9</v>
      </c>
      <c r="BK269" s="4">
        <v>0.5</v>
      </c>
      <c r="BL269" s="4">
        <v>0.6</v>
      </c>
      <c r="BM269" s="4">
        <v>0.3</v>
      </c>
      <c r="BN269" s="6">
        <v>931.61773700000003</v>
      </c>
      <c r="BO269" s="4">
        <v>6.0000000000000001E-3</v>
      </c>
      <c r="BQ269" s="4" t="s">
        <v>165</v>
      </c>
      <c r="BR269" s="4">
        <v>0.9</v>
      </c>
      <c r="BS269" s="4">
        <v>0.5</v>
      </c>
      <c r="BT269" s="4">
        <v>0.6</v>
      </c>
      <c r="BU269" s="4">
        <v>0.31</v>
      </c>
      <c r="BV269" s="4">
        <v>948.41186500000003</v>
      </c>
      <c r="BW269" s="4">
        <v>6.0000000000000001E-3</v>
      </c>
      <c r="BX269" s="5"/>
      <c r="BY269" s="5"/>
      <c r="BZ269" s="5"/>
      <c r="CA269" s="5"/>
    </row>
    <row r="270" spans="1:79" x14ac:dyDescent="0.3">
      <c r="A270" s="4" t="s">
        <v>166</v>
      </c>
      <c r="B270" s="4">
        <v>0.9</v>
      </c>
      <c r="C270" s="4">
        <v>0.5</v>
      </c>
      <c r="D270" s="4">
        <v>0.6</v>
      </c>
      <c r="E270" s="4">
        <v>0.3</v>
      </c>
      <c r="F270" s="6">
        <v>734.97833300000002</v>
      </c>
      <c r="G270" s="4">
        <v>2E-3</v>
      </c>
      <c r="I270" s="4" t="s">
        <v>166</v>
      </c>
      <c r="J270" s="4">
        <v>0.9</v>
      </c>
      <c r="K270" s="4">
        <v>0.5</v>
      </c>
      <c r="L270" s="4">
        <v>0.6</v>
      </c>
      <c r="M270" s="4">
        <v>0.33</v>
      </c>
      <c r="N270" s="4">
        <v>764.76440400000001</v>
      </c>
      <c r="O270" s="4">
        <v>4.0000000000000001E-3</v>
      </c>
      <c r="P270" s="5"/>
      <c r="Q270" s="5"/>
      <c r="R270" s="5"/>
      <c r="S270" s="5"/>
      <c r="U270" s="4" t="s">
        <v>166</v>
      </c>
      <c r="V270" s="4">
        <v>0.9</v>
      </c>
      <c r="W270" s="4">
        <v>0.5</v>
      </c>
      <c r="X270" s="4">
        <v>0.6</v>
      </c>
      <c r="Y270" s="4">
        <v>0.3</v>
      </c>
      <c r="Z270" s="6">
        <v>730.42553699999996</v>
      </c>
      <c r="AA270" s="4">
        <v>2E-3</v>
      </c>
      <c r="AC270" s="4" t="s">
        <v>166</v>
      </c>
      <c r="AD270" s="4">
        <v>0.9</v>
      </c>
      <c r="AE270" s="4">
        <v>0.5</v>
      </c>
      <c r="AF270" s="4">
        <v>0.6</v>
      </c>
      <c r="AG270" s="4">
        <v>0.3</v>
      </c>
      <c r="AH270" s="4">
        <v>740.55981399999996</v>
      </c>
      <c r="AI270" s="4">
        <v>2E-3</v>
      </c>
      <c r="AJ270" s="5"/>
      <c r="AK270" s="5"/>
      <c r="AL270" s="5"/>
      <c r="AM270" s="5"/>
      <c r="AO270" s="4" t="s">
        <v>167</v>
      </c>
      <c r="AP270" s="4">
        <v>0.9</v>
      </c>
      <c r="AQ270" s="4">
        <v>0.5</v>
      </c>
      <c r="AR270" s="4">
        <v>0.6</v>
      </c>
      <c r="AS270" s="4">
        <v>0.3</v>
      </c>
      <c r="AT270" s="6">
        <v>980.29046600000004</v>
      </c>
      <c r="AU270" s="4">
        <v>7.0000000000000001E-3</v>
      </c>
      <c r="AW270" s="4" t="s">
        <v>167</v>
      </c>
      <c r="AX270" s="4">
        <v>0.9</v>
      </c>
      <c r="AY270" s="4">
        <v>0.5</v>
      </c>
      <c r="AZ270" s="4">
        <v>0.6</v>
      </c>
      <c r="BA270" s="4">
        <v>0.3</v>
      </c>
      <c r="BB270" s="4">
        <v>983.75769000000003</v>
      </c>
      <c r="BC270" s="4">
        <v>8.0000000000000002E-3</v>
      </c>
      <c r="BD270" s="5"/>
      <c r="BE270" s="5"/>
      <c r="BF270" s="5"/>
      <c r="BG270" s="5"/>
      <c r="BI270" s="4" t="s">
        <v>167</v>
      </c>
      <c r="BJ270" s="4">
        <v>0.9</v>
      </c>
      <c r="BK270" s="4">
        <v>0.5</v>
      </c>
      <c r="BL270" s="4">
        <v>0.6</v>
      </c>
      <c r="BM270" s="4">
        <v>0.3</v>
      </c>
      <c r="BN270" s="6">
        <v>968.76995799999997</v>
      </c>
      <c r="BO270" s="4">
        <v>7.0000000000000001E-3</v>
      </c>
      <c r="BQ270" s="4" t="s">
        <v>167</v>
      </c>
      <c r="BR270" s="4">
        <v>0.9</v>
      </c>
      <c r="BS270" s="4">
        <v>0.5</v>
      </c>
      <c r="BT270" s="4">
        <v>0.6</v>
      </c>
      <c r="BU270" s="4">
        <v>0.32</v>
      </c>
      <c r="BV270" s="4">
        <v>988.16980000000001</v>
      </c>
      <c r="BW270" s="4">
        <v>8.9999999999999993E-3</v>
      </c>
      <c r="BX270" s="5"/>
      <c r="BY270" s="5"/>
      <c r="BZ270" s="5"/>
      <c r="CA270" s="5"/>
    </row>
    <row r="271" spans="1:79" x14ac:dyDescent="0.3">
      <c r="A271" s="4" t="s">
        <v>168</v>
      </c>
      <c r="B271" s="4">
        <v>0.9</v>
      </c>
      <c r="C271" s="4">
        <v>0.5</v>
      </c>
      <c r="D271" s="4">
        <v>0.6</v>
      </c>
      <c r="E271" s="4">
        <v>0.3</v>
      </c>
      <c r="F271" s="6">
        <v>663.56536900000003</v>
      </c>
      <c r="G271" s="4">
        <v>2E-3</v>
      </c>
      <c r="I271" s="4" t="s">
        <v>168</v>
      </c>
      <c r="J271" s="4">
        <v>0.9</v>
      </c>
      <c r="K271" s="4">
        <v>0.5</v>
      </c>
      <c r="L271" s="4">
        <v>0.6</v>
      </c>
      <c r="M271" s="4">
        <v>0.36</v>
      </c>
      <c r="N271" s="4">
        <v>677.91015600000003</v>
      </c>
      <c r="O271" s="4">
        <v>2E-3</v>
      </c>
      <c r="P271" s="5"/>
      <c r="Q271" s="5"/>
      <c r="R271" s="5"/>
      <c r="S271" s="5"/>
      <c r="U271" s="4" t="s">
        <v>168</v>
      </c>
      <c r="V271" s="4">
        <v>0.9</v>
      </c>
      <c r="W271" s="4">
        <v>0.5</v>
      </c>
      <c r="X271" s="4">
        <v>0.6</v>
      </c>
      <c r="Y271" s="4">
        <v>0.3</v>
      </c>
      <c r="Z271" s="6">
        <v>657.15277100000003</v>
      </c>
      <c r="AA271" s="4">
        <v>2E-3</v>
      </c>
      <c r="AC271" s="4" t="s">
        <v>168</v>
      </c>
      <c r="AD271" s="4">
        <v>0.9</v>
      </c>
      <c r="AE271" s="4">
        <v>0.5</v>
      </c>
      <c r="AF271" s="4">
        <v>0.6</v>
      </c>
      <c r="AG271" s="4">
        <v>0.31</v>
      </c>
      <c r="AH271" s="4">
        <v>668.33013900000003</v>
      </c>
      <c r="AI271" s="4">
        <v>2E-3</v>
      </c>
      <c r="AJ271" s="5"/>
      <c r="AK271" s="5"/>
      <c r="AL271" s="5"/>
      <c r="AM271" s="5"/>
      <c r="AO271" s="4" t="s">
        <v>169</v>
      </c>
      <c r="AP271" s="4">
        <v>0.9</v>
      </c>
      <c r="AQ271" s="4">
        <v>0.5</v>
      </c>
      <c r="AR271" s="4">
        <v>0.6</v>
      </c>
      <c r="AS271" s="4">
        <v>0.3</v>
      </c>
      <c r="AT271" s="6">
        <v>1000.102356</v>
      </c>
      <c r="AU271" s="4">
        <v>8.0000000000000002E-3</v>
      </c>
      <c r="AW271" s="4" t="s">
        <v>169</v>
      </c>
      <c r="AX271" s="4">
        <v>0.9</v>
      </c>
      <c r="AY271" s="4">
        <v>0.5</v>
      </c>
      <c r="AZ271" s="4">
        <v>0.6</v>
      </c>
      <c r="BA271" s="4">
        <v>0.32</v>
      </c>
      <c r="BB271" s="4">
        <v>1026.5892329999999</v>
      </c>
      <c r="BC271" s="4">
        <v>6.0000000000000001E-3</v>
      </c>
      <c r="BD271" s="5"/>
      <c r="BE271" s="5"/>
      <c r="BF271" s="5"/>
      <c r="BG271" s="5"/>
      <c r="BI271" s="4" t="s">
        <v>169</v>
      </c>
      <c r="BJ271" s="4">
        <v>0.9</v>
      </c>
      <c r="BK271" s="4">
        <v>0.5</v>
      </c>
      <c r="BL271" s="4">
        <v>0.6</v>
      </c>
      <c r="BM271" s="4">
        <v>0.3</v>
      </c>
      <c r="BN271" s="6">
        <v>989.870361</v>
      </c>
      <c r="BO271" s="4">
        <v>5.0000000000000001E-3</v>
      </c>
      <c r="BQ271" s="4" t="s">
        <v>169</v>
      </c>
      <c r="BR271" s="4">
        <v>0.9</v>
      </c>
      <c r="BS271" s="4">
        <v>0.5</v>
      </c>
      <c r="BT271" s="4">
        <v>0.6</v>
      </c>
      <c r="BU271" s="4">
        <v>0.31</v>
      </c>
      <c r="BV271" s="4">
        <v>1013.8891599999999</v>
      </c>
      <c r="BW271" s="4">
        <v>7.0000000000000001E-3</v>
      </c>
      <c r="BX271" s="5"/>
      <c r="BY271" s="5"/>
      <c r="BZ271" s="5"/>
      <c r="CA271" s="5"/>
    </row>
    <row r="272" spans="1:79" x14ac:dyDescent="0.3">
      <c r="A272" s="4" t="s">
        <v>170</v>
      </c>
      <c r="B272" s="4">
        <v>0.9</v>
      </c>
      <c r="C272" s="4">
        <v>0.5</v>
      </c>
      <c r="D272" s="4">
        <v>0.6</v>
      </c>
      <c r="E272" s="4">
        <v>0.3</v>
      </c>
      <c r="F272" s="6">
        <v>699.19152799999995</v>
      </c>
      <c r="G272" s="4">
        <v>3.0000000000000001E-3</v>
      </c>
      <c r="I272" s="4" t="s">
        <v>170</v>
      </c>
      <c r="J272" s="4">
        <v>0.9</v>
      </c>
      <c r="K272" s="4">
        <v>0.5</v>
      </c>
      <c r="L272" s="4">
        <v>0.6</v>
      </c>
      <c r="M272" s="4">
        <v>0.32</v>
      </c>
      <c r="N272" s="4">
        <v>713.92810099999997</v>
      </c>
      <c r="O272" s="4">
        <v>2E-3</v>
      </c>
      <c r="P272" s="5"/>
      <c r="Q272" s="5"/>
      <c r="R272" s="5"/>
      <c r="S272" s="5"/>
      <c r="U272" s="4" t="s">
        <v>170</v>
      </c>
      <c r="V272" s="4">
        <v>0.9</v>
      </c>
      <c r="W272" s="4">
        <v>0.5</v>
      </c>
      <c r="X272" s="4">
        <v>0.6</v>
      </c>
      <c r="Y272" s="4">
        <v>0.3</v>
      </c>
      <c r="Z272" s="6">
        <v>678.58715800000004</v>
      </c>
      <c r="AA272" s="4">
        <v>2E-3</v>
      </c>
      <c r="AC272" s="4" t="s">
        <v>170</v>
      </c>
      <c r="AD272" s="4">
        <v>0.9</v>
      </c>
      <c r="AE272" s="4">
        <v>0.5</v>
      </c>
      <c r="AF272" s="4">
        <v>0.6</v>
      </c>
      <c r="AG272" s="4">
        <v>0.35</v>
      </c>
      <c r="AH272" s="4">
        <v>684.78912400000002</v>
      </c>
      <c r="AI272" s="4">
        <v>2E-3</v>
      </c>
      <c r="AJ272" s="5"/>
      <c r="AK272" s="5"/>
      <c r="AL272" s="5"/>
      <c r="AM272" s="5"/>
      <c r="AO272" s="4" t="s">
        <v>171</v>
      </c>
      <c r="AP272" s="4">
        <v>0.9</v>
      </c>
      <c r="AQ272" s="4">
        <v>0.5</v>
      </c>
      <c r="AR272" s="4">
        <v>0.6</v>
      </c>
      <c r="AS272" s="4">
        <v>0.3</v>
      </c>
      <c r="AT272" s="6">
        <v>935.05474900000002</v>
      </c>
      <c r="AU272" s="4">
        <v>8.9999999999999993E-3</v>
      </c>
      <c r="AW272" s="4" t="s">
        <v>171</v>
      </c>
      <c r="AX272" s="4">
        <v>0.9</v>
      </c>
      <c r="AY272" s="4">
        <v>0.5</v>
      </c>
      <c r="AZ272" s="4">
        <v>0.6</v>
      </c>
      <c r="BA272" s="4">
        <v>0.38</v>
      </c>
      <c r="BB272" s="4">
        <v>970.49823000000004</v>
      </c>
      <c r="BC272" s="4">
        <v>7.0000000000000001E-3</v>
      </c>
      <c r="BD272" s="5"/>
      <c r="BE272" s="5"/>
      <c r="BF272" s="5"/>
      <c r="BG272" s="5"/>
      <c r="BI272" s="4" t="s">
        <v>171</v>
      </c>
      <c r="BJ272" s="4">
        <v>0.9</v>
      </c>
      <c r="BK272" s="4">
        <v>0.5</v>
      </c>
      <c r="BL272" s="4">
        <v>0.6</v>
      </c>
      <c r="BM272" s="4">
        <v>0.3</v>
      </c>
      <c r="BN272" s="6">
        <v>882.70043899999996</v>
      </c>
      <c r="BO272" s="4">
        <v>5.0000000000000001E-3</v>
      </c>
      <c r="BQ272" s="4" t="s">
        <v>171</v>
      </c>
      <c r="BR272" s="4">
        <v>0.9</v>
      </c>
      <c r="BS272" s="4">
        <v>0.5</v>
      </c>
      <c r="BT272" s="4">
        <v>0.6</v>
      </c>
      <c r="BU272" s="4">
        <v>0.32</v>
      </c>
      <c r="BV272" s="4">
        <v>914.11419699999999</v>
      </c>
      <c r="BW272" s="4">
        <v>6.0000000000000001E-3</v>
      </c>
      <c r="BX272" s="5"/>
      <c r="BY272" s="5"/>
      <c r="BZ272" s="5"/>
      <c r="CA272" s="5"/>
    </row>
    <row r="273" spans="1:79" x14ac:dyDescent="0.3">
      <c r="A273" s="4" t="s">
        <v>172</v>
      </c>
      <c r="B273" s="4">
        <v>0.9</v>
      </c>
      <c r="C273" s="4">
        <v>0.5</v>
      </c>
      <c r="D273" s="4">
        <v>0.6</v>
      </c>
      <c r="E273" s="4">
        <v>0.3</v>
      </c>
      <c r="F273" s="4">
        <v>672.48913600000003</v>
      </c>
      <c r="G273" s="4">
        <v>2E-3</v>
      </c>
      <c r="I273" s="4" t="s">
        <v>172</v>
      </c>
      <c r="J273" s="4">
        <v>0.9</v>
      </c>
      <c r="K273" s="4">
        <v>0.5</v>
      </c>
      <c r="L273" s="4">
        <v>0.6</v>
      </c>
      <c r="M273" s="4">
        <v>0.3</v>
      </c>
      <c r="N273" s="6">
        <v>667.89819299999999</v>
      </c>
      <c r="O273" s="4">
        <v>2E-3</v>
      </c>
      <c r="P273" s="5"/>
      <c r="Q273" s="5"/>
      <c r="R273" s="5"/>
      <c r="S273" s="5"/>
      <c r="U273" s="4" t="s">
        <v>172</v>
      </c>
      <c r="V273" s="4">
        <v>0.9</v>
      </c>
      <c r="W273" s="4">
        <v>0.5</v>
      </c>
      <c r="X273" s="4">
        <v>0.6</v>
      </c>
      <c r="Y273" s="4">
        <v>0.3</v>
      </c>
      <c r="Z273" s="6">
        <v>655.62994400000002</v>
      </c>
      <c r="AA273" s="4">
        <v>2E-3</v>
      </c>
      <c r="AC273" s="4" t="s">
        <v>172</v>
      </c>
      <c r="AD273" s="4">
        <v>0.9</v>
      </c>
      <c r="AE273" s="4">
        <v>0.5</v>
      </c>
      <c r="AF273" s="4">
        <v>0.6</v>
      </c>
      <c r="AG273" s="4">
        <v>0.3</v>
      </c>
      <c r="AH273" s="4">
        <v>682.32629399999996</v>
      </c>
      <c r="AI273" s="4">
        <v>1E-3</v>
      </c>
      <c r="AJ273" s="5"/>
      <c r="AK273" s="5"/>
      <c r="AL273" s="5"/>
      <c r="AM273" s="5"/>
      <c r="AO273" s="4" t="s">
        <v>173</v>
      </c>
      <c r="AP273" s="4">
        <v>0.9</v>
      </c>
      <c r="AQ273" s="4">
        <v>0.5</v>
      </c>
      <c r="AR273" s="4">
        <v>0.6</v>
      </c>
      <c r="AS273" s="4">
        <v>0.3</v>
      </c>
      <c r="AT273" s="6">
        <v>980.75146500000005</v>
      </c>
      <c r="AU273" s="4">
        <v>8.9999999999999993E-3</v>
      </c>
      <c r="AW273" s="4" t="s">
        <v>173</v>
      </c>
      <c r="AX273" s="4">
        <v>0.9</v>
      </c>
      <c r="AY273" s="4">
        <v>0.5</v>
      </c>
      <c r="AZ273" s="4">
        <v>0.6</v>
      </c>
      <c r="BA273" s="4">
        <v>0.3</v>
      </c>
      <c r="BB273" s="4">
        <v>1003.80011</v>
      </c>
      <c r="BC273" s="4">
        <v>7.0000000000000001E-3</v>
      </c>
      <c r="BD273" s="5"/>
      <c r="BE273" s="5"/>
      <c r="BF273" s="5"/>
      <c r="BG273" s="5"/>
      <c r="BI273" s="4" t="s">
        <v>173</v>
      </c>
      <c r="BJ273" s="4">
        <v>0.9</v>
      </c>
      <c r="BK273" s="4">
        <v>0.5</v>
      </c>
      <c r="BL273" s="4">
        <v>0.6</v>
      </c>
      <c r="BM273" s="4">
        <v>0.3</v>
      </c>
      <c r="BN273" s="6">
        <v>994.211365</v>
      </c>
      <c r="BO273" s="4">
        <v>7.0000000000000001E-3</v>
      </c>
      <c r="BQ273" s="4" t="s">
        <v>173</v>
      </c>
      <c r="BR273" s="4">
        <v>0.9</v>
      </c>
      <c r="BS273" s="4">
        <v>0.5</v>
      </c>
      <c r="BT273" s="4">
        <v>0.6</v>
      </c>
      <c r="BU273" s="4">
        <v>0.31</v>
      </c>
      <c r="BV273" s="4">
        <v>1014.795471</v>
      </c>
      <c r="BW273" s="4">
        <v>7.0000000000000001E-3</v>
      </c>
      <c r="BX273" s="5"/>
      <c r="BY273" s="5"/>
      <c r="BZ273" s="5"/>
      <c r="CA273" s="5"/>
    </row>
    <row r="274" spans="1:79" x14ac:dyDescent="0.3">
      <c r="A274" s="4" t="s">
        <v>174</v>
      </c>
      <c r="B274" s="4">
        <v>0.9</v>
      </c>
      <c r="C274" s="4">
        <v>0.5</v>
      </c>
      <c r="D274" s="4">
        <v>0.6</v>
      </c>
      <c r="E274" s="4">
        <v>0.3</v>
      </c>
      <c r="F274" s="6">
        <v>670.67425500000002</v>
      </c>
      <c r="G274" s="4">
        <v>1E-3</v>
      </c>
      <c r="I274" s="4" t="s">
        <v>174</v>
      </c>
      <c r="J274" s="4">
        <v>0.9</v>
      </c>
      <c r="K274" s="4">
        <v>0.5</v>
      </c>
      <c r="L274" s="4">
        <v>0.6</v>
      </c>
      <c r="M274" s="4">
        <v>0.43</v>
      </c>
      <c r="N274" s="4">
        <v>697.47790499999996</v>
      </c>
      <c r="O274" s="4">
        <v>2E-3</v>
      </c>
      <c r="P274" s="5"/>
      <c r="Q274" s="5"/>
      <c r="R274" s="5"/>
      <c r="S274" s="5"/>
      <c r="U274" s="4" t="s">
        <v>174</v>
      </c>
      <c r="V274" s="4">
        <v>0.9</v>
      </c>
      <c r="W274" s="4">
        <v>0.5</v>
      </c>
      <c r="X274" s="4">
        <v>0.6</v>
      </c>
      <c r="Y274" s="4">
        <v>0.3</v>
      </c>
      <c r="Z274" s="6">
        <v>673.00030500000003</v>
      </c>
      <c r="AA274" s="4">
        <v>3.0000000000000001E-3</v>
      </c>
      <c r="AC274" s="4" t="s">
        <v>174</v>
      </c>
      <c r="AD274" s="4">
        <v>0.9</v>
      </c>
      <c r="AE274" s="4">
        <v>0.5</v>
      </c>
      <c r="AF274" s="4">
        <v>0.6</v>
      </c>
      <c r="AG274" s="4">
        <v>0.3</v>
      </c>
      <c r="AH274" s="4">
        <v>690.74096699999996</v>
      </c>
      <c r="AI274" s="4">
        <v>2E-3</v>
      </c>
      <c r="AJ274" s="5"/>
      <c r="AK274" s="5"/>
      <c r="AL274" s="5"/>
      <c r="AM274" s="5"/>
      <c r="AO274" s="4" t="s">
        <v>175</v>
      </c>
      <c r="AP274" s="4">
        <v>0.9</v>
      </c>
      <c r="AQ274" s="4">
        <v>0.5</v>
      </c>
      <c r="AR274" s="4">
        <v>0.6</v>
      </c>
      <c r="AS274" s="4">
        <v>0.3</v>
      </c>
      <c r="AT274" s="6">
        <v>985.865906</v>
      </c>
      <c r="AU274" s="4">
        <v>8.0000000000000002E-3</v>
      </c>
      <c r="AW274" s="4" t="s">
        <v>175</v>
      </c>
      <c r="AX274" s="4">
        <v>0.9</v>
      </c>
      <c r="AY274" s="4">
        <v>0.5</v>
      </c>
      <c r="AZ274" s="4">
        <v>0.6</v>
      </c>
      <c r="BA274" s="4">
        <v>0.3</v>
      </c>
      <c r="BB274" s="4">
        <v>1033.213501</v>
      </c>
      <c r="BC274" s="4">
        <v>6.0000000000000001E-3</v>
      </c>
      <c r="BD274" s="5"/>
      <c r="BE274" s="5"/>
      <c r="BF274" s="5"/>
      <c r="BG274" s="5"/>
      <c r="BI274" s="4" t="s">
        <v>175</v>
      </c>
      <c r="BJ274" s="4">
        <v>0.9</v>
      </c>
      <c r="BK274" s="4">
        <v>0.5</v>
      </c>
      <c r="BL274" s="4">
        <v>0.6</v>
      </c>
      <c r="BM274" s="4">
        <v>0.3</v>
      </c>
      <c r="BN274" s="6">
        <v>968.78832999999997</v>
      </c>
      <c r="BO274" s="4">
        <v>8.0000000000000002E-3</v>
      </c>
      <c r="BQ274" s="4" t="s">
        <v>175</v>
      </c>
      <c r="BR274" s="4">
        <v>0.9</v>
      </c>
      <c r="BS274" s="4">
        <v>0.5</v>
      </c>
      <c r="BT274" s="4">
        <v>0.6</v>
      </c>
      <c r="BU274" s="4">
        <v>0.3</v>
      </c>
      <c r="BV274" s="4">
        <v>992.41449</v>
      </c>
      <c r="BW274" s="4">
        <v>7.0000000000000001E-3</v>
      </c>
      <c r="BX274" s="5"/>
      <c r="BY274" s="5"/>
      <c r="BZ274" s="5"/>
      <c r="CA274" s="5"/>
    </row>
    <row r="275" spans="1:79" x14ac:dyDescent="0.3">
      <c r="A275" s="4" t="s">
        <v>176</v>
      </c>
      <c r="B275" s="4">
        <v>0.9</v>
      </c>
      <c r="C275" s="4">
        <v>0.5</v>
      </c>
      <c r="D275" s="4">
        <v>0.6</v>
      </c>
      <c r="E275" s="4">
        <v>0.3</v>
      </c>
      <c r="F275" s="6">
        <v>695.13195800000005</v>
      </c>
      <c r="G275" s="4">
        <v>2E-3</v>
      </c>
      <c r="I275" s="4" t="s">
        <v>176</v>
      </c>
      <c r="J275" s="4">
        <v>0.9</v>
      </c>
      <c r="K275" s="4">
        <v>0.5</v>
      </c>
      <c r="L275" s="4">
        <v>0.6</v>
      </c>
      <c r="M275" s="4">
        <v>0.3</v>
      </c>
      <c r="N275" s="4">
        <v>707.78912400000002</v>
      </c>
      <c r="O275" s="4">
        <v>2E-3</v>
      </c>
      <c r="P275" s="5"/>
      <c r="Q275" s="5"/>
      <c r="R275" s="5"/>
      <c r="S275" s="5"/>
      <c r="U275" s="4" t="s">
        <v>176</v>
      </c>
      <c r="V275" s="4">
        <v>0.9</v>
      </c>
      <c r="W275" s="4">
        <v>0.5</v>
      </c>
      <c r="X275" s="4">
        <v>0.6</v>
      </c>
      <c r="Y275" s="4">
        <v>0.3</v>
      </c>
      <c r="Z275" s="6">
        <v>692.47045900000001</v>
      </c>
      <c r="AA275" s="4">
        <v>2E-3</v>
      </c>
      <c r="AC275" s="4" t="s">
        <v>176</v>
      </c>
      <c r="AD275" s="4">
        <v>0.9</v>
      </c>
      <c r="AE275" s="4">
        <v>0.5</v>
      </c>
      <c r="AF275" s="4">
        <v>0.6</v>
      </c>
      <c r="AG275" s="4">
        <v>0.31</v>
      </c>
      <c r="AH275" s="4">
        <v>698.08136000000002</v>
      </c>
      <c r="AI275" s="4">
        <v>2E-3</v>
      </c>
      <c r="AJ275" s="5"/>
      <c r="AK275" s="5"/>
      <c r="AL275" s="5"/>
      <c r="AM275" s="5"/>
      <c r="AO275" s="4" t="s">
        <v>177</v>
      </c>
      <c r="AP275" s="4">
        <v>0.9</v>
      </c>
      <c r="AQ275" s="4">
        <v>0.5</v>
      </c>
      <c r="AR275" s="4">
        <v>0.6</v>
      </c>
      <c r="AS275" s="4">
        <v>0.3</v>
      </c>
      <c r="AT275" s="6">
        <v>1085.953857</v>
      </c>
      <c r="AU275" s="4">
        <v>8.9999999999999993E-3</v>
      </c>
      <c r="AW275" s="4" t="s">
        <v>177</v>
      </c>
      <c r="AX275" s="4">
        <v>0.9</v>
      </c>
      <c r="AY275" s="4">
        <v>0.5</v>
      </c>
      <c r="AZ275" s="4">
        <v>0.6</v>
      </c>
      <c r="BA275" s="4">
        <v>0.3</v>
      </c>
      <c r="BB275" s="4">
        <v>1115.3969729999999</v>
      </c>
      <c r="BC275" s="4">
        <v>8.9999999999999993E-3</v>
      </c>
      <c r="BD275" s="5"/>
      <c r="BE275" s="5"/>
      <c r="BF275" s="5"/>
      <c r="BG275" s="5"/>
      <c r="BI275" s="4" t="s">
        <v>177</v>
      </c>
      <c r="BJ275" s="4">
        <v>0.9</v>
      </c>
      <c r="BK275" s="4">
        <v>0.5</v>
      </c>
      <c r="BL275" s="4">
        <v>0.6</v>
      </c>
      <c r="BM275" s="4">
        <v>0.3</v>
      </c>
      <c r="BN275" s="4">
        <v>1102.1328120000001</v>
      </c>
      <c r="BO275" s="4">
        <v>7.0000000000000001E-3</v>
      </c>
      <c r="BQ275" s="4" t="s">
        <v>177</v>
      </c>
      <c r="BR275" s="4">
        <v>0.9</v>
      </c>
      <c r="BS275" s="4">
        <v>0.5</v>
      </c>
      <c r="BT275" s="4">
        <v>0.6</v>
      </c>
      <c r="BU275" s="4">
        <v>0.3</v>
      </c>
      <c r="BV275" s="6">
        <v>1101.884888</v>
      </c>
      <c r="BW275" s="4">
        <v>7.0000000000000001E-3</v>
      </c>
      <c r="BX275" s="5"/>
      <c r="BY275" s="5"/>
      <c r="BZ275" s="5"/>
      <c r="CA275" s="5"/>
    </row>
    <row r="276" spans="1:79" x14ac:dyDescent="0.3">
      <c r="A276" s="4" t="s">
        <v>178</v>
      </c>
      <c r="B276" s="4">
        <v>0.9</v>
      </c>
      <c r="C276" s="4">
        <v>0.5</v>
      </c>
      <c r="D276" s="4">
        <v>0.6</v>
      </c>
      <c r="E276" s="4">
        <v>0.3</v>
      </c>
      <c r="F276" s="6">
        <v>679.95544400000006</v>
      </c>
      <c r="G276" s="4">
        <v>1E-3</v>
      </c>
      <c r="I276" s="4" t="s">
        <v>178</v>
      </c>
      <c r="J276" s="4">
        <v>0.9</v>
      </c>
      <c r="K276" s="4">
        <v>0.5</v>
      </c>
      <c r="L276" s="4">
        <v>0.6</v>
      </c>
      <c r="M276" s="4">
        <v>0.3</v>
      </c>
      <c r="N276" s="4">
        <v>699.896973</v>
      </c>
      <c r="O276" s="4">
        <v>2E-3</v>
      </c>
      <c r="P276" s="5"/>
      <c r="Q276" s="5"/>
      <c r="R276" s="5"/>
      <c r="S276" s="5"/>
      <c r="U276" s="4" t="s">
        <v>178</v>
      </c>
      <c r="V276" s="4">
        <v>0.9</v>
      </c>
      <c r="W276" s="4">
        <v>0.5</v>
      </c>
      <c r="X276" s="4">
        <v>0.6</v>
      </c>
      <c r="Y276" s="4">
        <v>0.3</v>
      </c>
      <c r="Z276" s="6">
        <v>673.79382299999997</v>
      </c>
      <c r="AA276" s="4">
        <v>2E-3</v>
      </c>
      <c r="AC276" s="4" t="s">
        <v>178</v>
      </c>
      <c r="AD276" s="4">
        <v>0.9</v>
      </c>
      <c r="AE276" s="4">
        <v>0.5</v>
      </c>
      <c r="AF276" s="4">
        <v>0.6</v>
      </c>
      <c r="AG276" s="4">
        <v>0.34</v>
      </c>
      <c r="AH276" s="4">
        <v>681.64624000000003</v>
      </c>
      <c r="AI276" s="4">
        <v>2E-3</v>
      </c>
      <c r="AJ276" s="5"/>
      <c r="AK276" s="5"/>
      <c r="AL276" s="5"/>
      <c r="AM276" s="5"/>
      <c r="AO276" s="4" t="s">
        <v>179</v>
      </c>
      <c r="AP276" s="4">
        <v>0.9</v>
      </c>
      <c r="AQ276" s="4">
        <v>0.5</v>
      </c>
      <c r="AR276" s="4">
        <v>0.6</v>
      </c>
      <c r="AS276" s="4">
        <v>0.3</v>
      </c>
      <c r="AT276" s="6">
        <v>1053.384888</v>
      </c>
      <c r="AU276" s="4">
        <v>8.0000000000000002E-3</v>
      </c>
      <c r="AW276" s="4" t="s">
        <v>179</v>
      </c>
      <c r="AX276" s="4">
        <v>0.9</v>
      </c>
      <c r="AY276" s="4">
        <v>0.5</v>
      </c>
      <c r="AZ276" s="4">
        <v>0.6</v>
      </c>
      <c r="BA276" s="4">
        <v>0.31</v>
      </c>
      <c r="BB276" s="4">
        <v>1056.9799800000001</v>
      </c>
      <c r="BC276" s="4">
        <v>7.0000000000000001E-3</v>
      </c>
      <c r="BD276" s="5"/>
      <c r="BE276" s="5"/>
      <c r="BF276" s="5"/>
      <c r="BG276" s="5"/>
      <c r="BI276" s="4" t="s">
        <v>179</v>
      </c>
      <c r="BJ276" s="4">
        <v>0.9</v>
      </c>
      <c r="BK276" s="4">
        <v>0.5</v>
      </c>
      <c r="BL276" s="4">
        <v>0.6</v>
      </c>
      <c r="BM276" s="4">
        <v>0.3</v>
      </c>
      <c r="BN276" s="6">
        <v>1040.7761230000001</v>
      </c>
      <c r="BO276" s="4">
        <v>7.0000000000000001E-3</v>
      </c>
      <c r="BQ276" s="4" t="s">
        <v>179</v>
      </c>
      <c r="BR276" s="4">
        <v>0.9</v>
      </c>
      <c r="BS276" s="4">
        <v>0.5</v>
      </c>
      <c r="BT276" s="4">
        <v>0.6</v>
      </c>
      <c r="BU276" s="4">
        <v>0.3</v>
      </c>
      <c r="BV276" s="4">
        <v>1077.6171879999999</v>
      </c>
      <c r="BW276" s="4">
        <v>7.0000000000000001E-3</v>
      </c>
      <c r="BX276" s="5"/>
      <c r="BY276" s="5"/>
      <c r="BZ276" s="5"/>
      <c r="CA276" s="5"/>
    </row>
    <row r="277" spans="1:79" x14ac:dyDescent="0.3">
      <c r="A277" s="4" t="s">
        <v>180</v>
      </c>
      <c r="B277" s="4">
        <v>0.9</v>
      </c>
      <c r="C277" s="4">
        <v>0.5</v>
      </c>
      <c r="D277" s="4">
        <v>0.6</v>
      </c>
      <c r="E277" s="4">
        <v>0.3</v>
      </c>
      <c r="F277" s="6">
        <v>681.17511000000002</v>
      </c>
      <c r="G277" s="4">
        <v>2E-3</v>
      </c>
      <c r="I277" s="4" t="s">
        <v>180</v>
      </c>
      <c r="J277" s="4">
        <v>0.9</v>
      </c>
      <c r="K277" s="4">
        <v>0.5</v>
      </c>
      <c r="L277" s="4">
        <v>0.6</v>
      </c>
      <c r="M277" s="4">
        <v>0.3</v>
      </c>
      <c r="N277" s="4">
        <v>693.10327099999995</v>
      </c>
      <c r="O277" s="4">
        <v>2E-3</v>
      </c>
      <c r="P277" s="5"/>
      <c r="Q277" s="5"/>
      <c r="R277" s="5"/>
      <c r="S277" s="5"/>
      <c r="U277" s="4" t="s">
        <v>180</v>
      </c>
      <c r="V277" s="4">
        <v>0.9</v>
      </c>
      <c r="W277" s="4">
        <v>0.5</v>
      </c>
      <c r="X277" s="4">
        <v>0.6</v>
      </c>
      <c r="Y277" s="4">
        <v>0.3</v>
      </c>
      <c r="Z277" s="6">
        <v>676.91803000000004</v>
      </c>
      <c r="AA277" s="4">
        <v>2E-3</v>
      </c>
      <c r="AC277" s="4" t="s">
        <v>180</v>
      </c>
      <c r="AD277" s="4">
        <v>0.9</v>
      </c>
      <c r="AE277" s="4">
        <v>0.5</v>
      </c>
      <c r="AF277" s="4">
        <v>0.6</v>
      </c>
      <c r="AG277" s="4">
        <v>0.41</v>
      </c>
      <c r="AH277" s="4">
        <v>696.45129399999996</v>
      </c>
      <c r="AI277" s="4">
        <v>1E-3</v>
      </c>
      <c r="AJ277" s="5"/>
      <c r="AK277" s="5"/>
      <c r="AL277" s="5"/>
      <c r="AM277" s="5"/>
      <c r="AO277" s="4" t="s">
        <v>181</v>
      </c>
      <c r="AP277" s="4">
        <v>0.9</v>
      </c>
      <c r="AQ277" s="4">
        <v>0.5</v>
      </c>
      <c r="AR277" s="4">
        <v>0.6</v>
      </c>
      <c r="AS277" s="4">
        <v>0.3</v>
      </c>
      <c r="AT277" s="6">
        <v>1065.596436</v>
      </c>
      <c r="AU277" s="4">
        <v>7.0000000000000001E-3</v>
      </c>
      <c r="AW277" s="4" t="s">
        <v>181</v>
      </c>
      <c r="AX277" s="4">
        <v>0.9</v>
      </c>
      <c r="AY277" s="4">
        <v>0.5</v>
      </c>
      <c r="AZ277" s="4">
        <v>0.6</v>
      </c>
      <c r="BA277" s="4">
        <v>0.32</v>
      </c>
      <c r="BB277" s="4">
        <v>1088.1635739999999</v>
      </c>
      <c r="BC277" s="4">
        <v>7.0000000000000001E-3</v>
      </c>
      <c r="BD277" s="5"/>
      <c r="BE277" s="5"/>
      <c r="BF277" s="5"/>
      <c r="BG277" s="5"/>
      <c r="BI277" s="4" t="s">
        <v>181</v>
      </c>
      <c r="BJ277" s="4">
        <v>0.9</v>
      </c>
      <c r="BK277" s="4">
        <v>0.5</v>
      </c>
      <c r="BL277" s="4">
        <v>0.6</v>
      </c>
      <c r="BM277" s="4">
        <v>0.3</v>
      </c>
      <c r="BN277" s="6">
        <v>1031.7326660000001</v>
      </c>
      <c r="BO277" s="4">
        <v>7.0000000000000001E-3</v>
      </c>
      <c r="BQ277" s="4" t="s">
        <v>181</v>
      </c>
      <c r="BR277" s="4">
        <v>0.9</v>
      </c>
      <c r="BS277" s="4">
        <v>0.5</v>
      </c>
      <c r="BT277" s="4">
        <v>0.6</v>
      </c>
      <c r="BU277" s="4">
        <v>0.3</v>
      </c>
      <c r="BV277" s="4">
        <v>1069.271362</v>
      </c>
      <c r="BW277" s="4">
        <v>6.0000000000000001E-3</v>
      </c>
      <c r="BX277" s="5"/>
      <c r="BY277" s="5"/>
      <c r="BZ277" s="5"/>
      <c r="CA277" s="5"/>
    </row>
    <row r="278" spans="1:79" x14ac:dyDescent="0.3">
      <c r="A278" s="4" t="s">
        <v>182</v>
      </c>
      <c r="B278" s="4">
        <v>0.9</v>
      </c>
      <c r="C278" s="4">
        <v>0.5</v>
      </c>
      <c r="D278" s="4">
        <v>0.6</v>
      </c>
      <c r="E278" s="4">
        <v>0.3</v>
      </c>
      <c r="F278" s="6">
        <v>628.23889199999996</v>
      </c>
      <c r="G278" s="4">
        <v>2E-3</v>
      </c>
      <c r="I278" s="4" t="s">
        <v>182</v>
      </c>
      <c r="J278" s="4">
        <v>0.9</v>
      </c>
      <c r="K278" s="4">
        <v>0.5</v>
      </c>
      <c r="L278" s="4">
        <v>0.6</v>
      </c>
      <c r="M278" s="4">
        <v>0.37</v>
      </c>
      <c r="N278" s="4">
        <v>657.39239499999996</v>
      </c>
      <c r="O278" s="4">
        <v>2E-3</v>
      </c>
      <c r="P278" s="5"/>
      <c r="Q278" s="5"/>
      <c r="R278" s="5"/>
      <c r="S278" s="5"/>
      <c r="U278" s="4" t="s">
        <v>182</v>
      </c>
      <c r="V278" s="4">
        <v>0.9</v>
      </c>
      <c r="W278" s="4">
        <v>0.5</v>
      </c>
      <c r="X278" s="4">
        <v>0.6</v>
      </c>
      <c r="Y278" s="4">
        <v>0.3</v>
      </c>
      <c r="Z278" s="4">
        <v>647.35906999999997</v>
      </c>
      <c r="AA278" s="4">
        <v>2E-3</v>
      </c>
      <c r="AC278" s="4" t="s">
        <v>182</v>
      </c>
      <c r="AD278" s="4">
        <v>0.9</v>
      </c>
      <c r="AE278" s="4">
        <v>0.5</v>
      </c>
      <c r="AF278" s="4">
        <v>0.6</v>
      </c>
      <c r="AG278" s="4">
        <v>0.3</v>
      </c>
      <c r="AH278" s="6">
        <v>642.09655799999996</v>
      </c>
      <c r="AI278" s="4">
        <v>1E-3</v>
      </c>
      <c r="AJ278" s="5"/>
      <c r="AK278" s="5"/>
      <c r="AL278" s="5"/>
      <c r="AM278" s="5"/>
      <c r="AO278" s="4" t="s">
        <v>183</v>
      </c>
      <c r="AP278" s="4">
        <v>0.9</v>
      </c>
      <c r="AQ278" s="4">
        <v>0.5</v>
      </c>
      <c r="AR278" s="4">
        <v>0.6</v>
      </c>
      <c r="AS278" s="4">
        <v>0.3</v>
      </c>
      <c r="AT278" s="6">
        <v>1057.515625</v>
      </c>
      <c r="AU278" s="4">
        <v>1.0999999999999999E-2</v>
      </c>
      <c r="AW278" s="4" t="s">
        <v>183</v>
      </c>
      <c r="AX278" s="4">
        <v>0.9</v>
      </c>
      <c r="AY278" s="4">
        <v>0.5</v>
      </c>
      <c r="AZ278" s="4">
        <v>0.6</v>
      </c>
      <c r="BA278" s="4">
        <v>0.3</v>
      </c>
      <c r="BB278" s="4">
        <v>1083.470703</v>
      </c>
      <c r="BC278" s="4">
        <v>7.0000000000000001E-3</v>
      </c>
      <c r="BD278" s="5"/>
      <c r="BE278" s="5"/>
      <c r="BF278" s="5"/>
      <c r="BG278" s="5"/>
      <c r="BI278" s="4" t="s">
        <v>183</v>
      </c>
      <c r="BJ278" s="4">
        <v>0.9</v>
      </c>
      <c r="BK278" s="4">
        <v>0.5</v>
      </c>
      <c r="BL278" s="4">
        <v>0.6</v>
      </c>
      <c r="BM278" s="4">
        <v>0.3</v>
      </c>
      <c r="BN278" s="6">
        <v>1067.8366699999999</v>
      </c>
      <c r="BO278" s="4">
        <v>7.0000000000000001E-3</v>
      </c>
      <c r="BQ278" s="4" t="s">
        <v>183</v>
      </c>
      <c r="BR278" s="4">
        <v>0.9</v>
      </c>
      <c r="BS278" s="4">
        <v>0.5</v>
      </c>
      <c r="BT278" s="4">
        <v>0.6</v>
      </c>
      <c r="BU278" s="4">
        <v>0.31</v>
      </c>
      <c r="BV278" s="4">
        <v>1101.6235349999999</v>
      </c>
      <c r="BW278" s="4">
        <v>7.0000000000000001E-3</v>
      </c>
      <c r="BX278" s="5"/>
      <c r="BY278" s="5"/>
      <c r="BZ278" s="5"/>
      <c r="CA278" s="5"/>
    </row>
    <row r="279" spans="1:79" x14ac:dyDescent="0.3">
      <c r="A279" s="4" t="s">
        <v>184</v>
      </c>
      <c r="B279" s="4">
        <v>0.9</v>
      </c>
      <c r="C279" s="4">
        <v>0.5</v>
      </c>
      <c r="D279" s="4">
        <v>0.6</v>
      </c>
      <c r="E279" s="4">
        <v>0.3</v>
      </c>
      <c r="F279" s="6">
        <v>639.90045199999997</v>
      </c>
      <c r="G279" s="4">
        <v>2E-3</v>
      </c>
      <c r="I279" s="4" t="s">
        <v>184</v>
      </c>
      <c r="J279" s="4">
        <v>0.9</v>
      </c>
      <c r="K279" s="4">
        <v>0.5</v>
      </c>
      <c r="L279" s="4">
        <v>0.6</v>
      </c>
      <c r="M279" s="4">
        <v>0.37</v>
      </c>
      <c r="N279" s="4">
        <v>673.79949999999997</v>
      </c>
      <c r="O279" s="4">
        <v>2E-3</v>
      </c>
      <c r="P279" s="5"/>
      <c r="Q279" s="5"/>
      <c r="R279" s="5"/>
      <c r="S279" s="5"/>
      <c r="U279" s="4" t="s">
        <v>184</v>
      </c>
      <c r="V279" s="4">
        <v>0.9</v>
      </c>
      <c r="W279" s="4">
        <v>0.5</v>
      </c>
      <c r="X279" s="4">
        <v>0.6</v>
      </c>
      <c r="Y279" s="4">
        <v>0.3</v>
      </c>
      <c r="Z279" s="6">
        <v>644.26946999999996</v>
      </c>
      <c r="AA279" s="4">
        <v>2E-3</v>
      </c>
      <c r="AC279" s="4" t="s">
        <v>184</v>
      </c>
      <c r="AD279" s="4">
        <v>0.9</v>
      </c>
      <c r="AE279" s="4">
        <v>0.5</v>
      </c>
      <c r="AF279" s="4">
        <v>0.6</v>
      </c>
      <c r="AG279" s="4">
        <v>0.34</v>
      </c>
      <c r="AH279" s="4">
        <v>646.28680399999996</v>
      </c>
      <c r="AI279" s="4">
        <v>1E-3</v>
      </c>
      <c r="AJ279" s="5"/>
      <c r="AK279" s="5"/>
      <c r="AL279" s="5"/>
      <c r="AM279" s="5"/>
      <c r="AO279" s="4" t="s">
        <v>185</v>
      </c>
      <c r="AP279" s="4">
        <v>0.9</v>
      </c>
      <c r="AQ279" s="4">
        <v>0.5</v>
      </c>
      <c r="AR279" s="4">
        <v>0.6</v>
      </c>
      <c r="AS279" s="4">
        <v>0.3</v>
      </c>
      <c r="AT279" s="6">
        <v>1029.994751</v>
      </c>
      <c r="AU279" s="4">
        <v>1.2999999999999999E-2</v>
      </c>
      <c r="AW279" s="4" t="s">
        <v>185</v>
      </c>
      <c r="AX279" s="4">
        <v>0.9</v>
      </c>
      <c r="AY279" s="4">
        <v>0.5</v>
      </c>
      <c r="AZ279" s="4">
        <v>0.6</v>
      </c>
      <c r="BA279" s="4">
        <v>0.31</v>
      </c>
      <c r="BB279" s="4">
        <v>1069.395264</v>
      </c>
      <c r="BC279" s="4">
        <v>7.0000000000000001E-3</v>
      </c>
      <c r="BD279" s="5"/>
      <c r="BE279" s="5"/>
      <c r="BF279" s="5"/>
      <c r="BG279" s="5"/>
      <c r="BI279" s="4" t="s">
        <v>185</v>
      </c>
      <c r="BJ279" s="4">
        <v>0.9</v>
      </c>
      <c r="BK279" s="4">
        <v>0.5</v>
      </c>
      <c r="BL279" s="4">
        <v>0.6</v>
      </c>
      <c r="BM279" s="4">
        <v>0.3</v>
      </c>
      <c r="BN279" s="6">
        <v>1023.047791</v>
      </c>
      <c r="BO279" s="4">
        <v>7.0000000000000001E-3</v>
      </c>
      <c r="BQ279" s="4" t="s">
        <v>185</v>
      </c>
      <c r="BR279" s="4">
        <v>0.9</v>
      </c>
      <c r="BS279" s="4">
        <v>0.5</v>
      </c>
      <c r="BT279" s="4">
        <v>0.6</v>
      </c>
      <c r="BU279" s="4">
        <v>0.31</v>
      </c>
      <c r="BV279" s="4">
        <v>1051.5695800000001</v>
      </c>
      <c r="BW279" s="4">
        <v>8.0000000000000002E-3</v>
      </c>
      <c r="BX279" s="5"/>
      <c r="BY279" s="5"/>
      <c r="BZ279" s="5"/>
      <c r="CA279" s="5"/>
    </row>
    <row r="280" spans="1:79" x14ac:dyDescent="0.3">
      <c r="A280" s="4" t="s">
        <v>186</v>
      </c>
      <c r="B280" s="4">
        <v>0.9</v>
      </c>
      <c r="C280" s="4">
        <v>0.5</v>
      </c>
      <c r="D280" s="4">
        <v>0.6</v>
      </c>
      <c r="E280" s="4">
        <v>0.3</v>
      </c>
      <c r="F280" s="6">
        <v>760.58868399999994</v>
      </c>
      <c r="G280" s="4">
        <v>2E-3</v>
      </c>
      <c r="I280" s="4" t="s">
        <v>186</v>
      </c>
      <c r="J280" s="4">
        <v>0.9</v>
      </c>
      <c r="K280" s="4">
        <v>0.5</v>
      </c>
      <c r="L280" s="4">
        <v>0.6</v>
      </c>
      <c r="M280" s="4">
        <v>0.31</v>
      </c>
      <c r="N280" s="4">
        <v>793.353882</v>
      </c>
      <c r="O280" s="4">
        <v>3.0000000000000001E-3</v>
      </c>
      <c r="P280" s="5"/>
      <c r="Q280" s="5"/>
      <c r="R280" s="5"/>
      <c r="S280" s="5"/>
      <c r="U280" s="4" t="s">
        <v>186</v>
      </c>
      <c r="V280" s="4">
        <v>0.9</v>
      </c>
      <c r="W280" s="4">
        <v>0.5</v>
      </c>
      <c r="X280" s="4">
        <v>0.6</v>
      </c>
      <c r="Y280" s="4">
        <v>0.3</v>
      </c>
      <c r="Z280" s="6">
        <v>758.42913799999997</v>
      </c>
      <c r="AA280" s="4">
        <v>2E-3</v>
      </c>
      <c r="AC280" s="4" t="s">
        <v>186</v>
      </c>
      <c r="AD280" s="4">
        <v>0.9</v>
      </c>
      <c r="AE280" s="4">
        <v>0.5</v>
      </c>
      <c r="AF280" s="4">
        <v>0.6</v>
      </c>
      <c r="AG280" s="4">
        <v>0.31</v>
      </c>
      <c r="AH280" s="4">
        <v>768.634094</v>
      </c>
      <c r="AI280" s="4">
        <v>3.0000000000000001E-3</v>
      </c>
      <c r="AJ280" s="5"/>
      <c r="AK280" s="5"/>
      <c r="AL280" s="5"/>
      <c r="AM280" s="5"/>
      <c r="AO280" s="4" t="s">
        <v>187</v>
      </c>
      <c r="AP280" s="4">
        <v>0.9</v>
      </c>
      <c r="AQ280" s="4">
        <v>0.5</v>
      </c>
      <c r="AR280" s="4">
        <v>0.6</v>
      </c>
      <c r="AS280" s="4">
        <v>0.3</v>
      </c>
      <c r="AT280" s="6">
        <v>1133.8686520000001</v>
      </c>
      <c r="AU280" s="4">
        <v>1.0999999999999999E-2</v>
      </c>
      <c r="AW280" s="4" t="s">
        <v>187</v>
      </c>
      <c r="AX280" s="4">
        <v>0.9</v>
      </c>
      <c r="AY280" s="4">
        <v>0.5</v>
      </c>
      <c r="AZ280" s="4">
        <v>0.6</v>
      </c>
      <c r="BA280" s="4">
        <v>0.31</v>
      </c>
      <c r="BB280" s="4">
        <v>1178.0585940000001</v>
      </c>
      <c r="BC280" s="4">
        <v>8.0000000000000002E-3</v>
      </c>
      <c r="BD280" s="5"/>
      <c r="BE280" s="5"/>
      <c r="BF280" s="5"/>
      <c r="BG280" s="5"/>
      <c r="BI280" s="4" t="s">
        <v>187</v>
      </c>
      <c r="BJ280" s="4">
        <v>0.9</v>
      </c>
      <c r="BK280" s="4">
        <v>0.5</v>
      </c>
      <c r="BL280" s="4">
        <v>0.6</v>
      </c>
      <c r="BM280" s="4">
        <v>0.3</v>
      </c>
      <c r="BN280" s="6">
        <v>1149.111572</v>
      </c>
      <c r="BO280" s="4">
        <v>8.0000000000000002E-3</v>
      </c>
      <c r="BQ280" s="4" t="s">
        <v>187</v>
      </c>
      <c r="BR280" s="4">
        <v>0.9</v>
      </c>
      <c r="BS280" s="4">
        <v>0.5</v>
      </c>
      <c r="BT280" s="4">
        <v>0.6</v>
      </c>
      <c r="BU280" s="4">
        <v>0.3</v>
      </c>
      <c r="BV280" s="4">
        <v>1174.101318</v>
      </c>
      <c r="BW280" s="4">
        <v>8.0000000000000002E-3</v>
      </c>
      <c r="BX280" s="5"/>
      <c r="BY280" s="5"/>
      <c r="BZ280" s="5"/>
      <c r="CA280" s="5"/>
    </row>
    <row r="281" spans="1:79" x14ac:dyDescent="0.3">
      <c r="A281" s="4" t="s">
        <v>188</v>
      </c>
      <c r="B281" s="4">
        <v>0.9</v>
      </c>
      <c r="C281" s="4">
        <v>0.5</v>
      </c>
      <c r="D281" s="4">
        <v>0.6</v>
      </c>
      <c r="E281" s="4">
        <v>0.3</v>
      </c>
      <c r="F281" s="6">
        <v>695.56366000000003</v>
      </c>
      <c r="G281" s="4">
        <v>2E-3</v>
      </c>
      <c r="I281" s="4" t="s">
        <v>188</v>
      </c>
      <c r="J281" s="4">
        <v>0.9</v>
      </c>
      <c r="K281" s="4">
        <v>0.5</v>
      </c>
      <c r="L281" s="4">
        <v>0.6</v>
      </c>
      <c r="M281" s="4">
        <v>0.4</v>
      </c>
      <c r="N281" s="4">
        <v>713.01153599999998</v>
      </c>
      <c r="O281" s="4">
        <v>2E-3</v>
      </c>
      <c r="P281" s="5"/>
      <c r="Q281" s="5"/>
      <c r="R281" s="5"/>
      <c r="S281" s="5"/>
      <c r="U281" s="4" t="s">
        <v>188</v>
      </c>
      <c r="V281" s="4">
        <v>0.9</v>
      </c>
      <c r="W281" s="4">
        <v>0.5</v>
      </c>
      <c r="X281" s="4">
        <v>0.6</v>
      </c>
      <c r="Y281" s="4">
        <v>0.3</v>
      </c>
      <c r="Z281" s="6">
        <v>674.33642599999996</v>
      </c>
      <c r="AA281" s="4">
        <v>2E-3</v>
      </c>
      <c r="AC281" s="4" t="s">
        <v>188</v>
      </c>
      <c r="AD281" s="4">
        <v>0.9</v>
      </c>
      <c r="AE281" s="4">
        <v>0.5</v>
      </c>
      <c r="AF281" s="4">
        <v>0.6</v>
      </c>
      <c r="AG281" s="4">
        <v>0.34</v>
      </c>
      <c r="AH281" s="4">
        <v>693.37176499999998</v>
      </c>
      <c r="AI281" s="4">
        <v>1E-3</v>
      </c>
      <c r="AJ281" s="5"/>
      <c r="AK281" s="5"/>
      <c r="AL281" s="5"/>
      <c r="AM281" s="5"/>
      <c r="AO281" s="4" t="s">
        <v>189</v>
      </c>
      <c r="AP281" s="4">
        <v>0.9</v>
      </c>
      <c r="AQ281" s="4">
        <v>0.5</v>
      </c>
      <c r="AR281" s="4">
        <v>0.6</v>
      </c>
      <c r="AS281" s="4">
        <v>0.3</v>
      </c>
      <c r="AT281" s="6">
        <v>1004.11145</v>
      </c>
      <c r="AU281" s="4">
        <v>0.01</v>
      </c>
      <c r="AW281" s="4" t="s">
        <v>189</v>
      </c>
      <c r="AX281" s="4">
        <v>0.9</v>
      </c>
      <c r="AY281" s="4">
        <v>0.5</v>
      </c>
      <c r="AZ281" s="4">
        <v>0.6</v>
      </c>
      <c r="BA281" s="4">
        <v>0.3</v>
      </c>
      <c r="BB281" s="4">
        <v>1015.8112180000001</v>
      </c>
      <c r="BC281" s="4">
        <v>7.0000000000000001E-3</v>
      </c>
      <c r="BD281" s="5"/>
      <c r="BE281" s="5"/>
      <c r="BF281" s="5"/>
      <c r="BG281" s="5"/>
      <c r="BI281" s="4" t="s">
        <v>189</v>
      </c>
      <c r="BJ281" s="4">
        <v>0.9</v>
      </c>
      <c r="BK281" s="4">
        <v>0.5</v>
      </c>
      <c r="BL281" s="4">
        <v>0.6</v>
      </c>
      <c r="BM281" s="4">
        <v>0.3</v>
      </c>
      <c r="BN281" s="6">
        <v>996.77612299999998</v>
      </c>
      <c r="BO281" s="4">
        <v>6.0000000000000001E-3</v>
      </c>
      <c r="BQ281" s="4" t="s">
        <v>189</v>
      </c>
      <c r="BR281" s="4">
        <v>0.9</v>
      </c>
      <c r="BS281" s="4">
        <v>0.5</v>
      </c>
      <c r="BT281" s="4">
        <v>0.6</v>
      </c>
      <c r="BU281" s="4">
        <v>0.33</v>
      </c>
      <c r="BV281" s="4">
        <v>1023.57251</v>
      </c>
      <c r="BW281" s="4">
        <v>7.0000000000000001E-3</v>
      </c>
      <c r="BX281" s="5"/>
      <c r="BY281" s="5"/>
      <c r="BZ281" s="5"/>
      <c r="CA281" s="5"/>
    </row>
    <row r="282" spans="1:79" x14ac:dyDescent="0.3">
      <c r="A282" s="4" t="s">
        <v>190</v>
      </c>
      <c r="B282" s="4">
        <v>0.9</v>
      </c>
      <c r="C282" s="4">
        <v>0.5</v>
      </c>
      <c r="D282" s="4">
        <v>0.6</v>
      </c>
      <c r="E282" s="4">
        <v>0.3</v>
      </c>
      <c r="F282" s="6">
        <v>667.17370600000004</v>
      </c>
      <c r="G282" s="4">
        <v>2E-3</v>
      </c>
      <c r="I282" s="4" t="s">
        <v>190</v>
      </c>
      <c r="J282" s="4">
        <v>0.9</v>
      </c>
      <c r="K282" s="4">
        <v>0.5</v>
      </c>
      <c r="L282" s="4">
        <v>0.6</v>
      </c>
      <c r="M282" s="4">
        <v>0.3</v>
      </c>
      <c r="N282" s="4">
        <v>689.29974400000003</v>
      </c>
      <c r="O282" s="4">
        <v>2E-3</v>
      </c>
      <c r="P282" s="5"/>
      <c r="Q282" s="5"/>
      <c r="R282" s="5"/>
      <c r="S282" s="5"/>
      <c r="U282" s="4" t="s">
        <v>190</v>
      </c>
      <c r="V282" s="4">
        <v>0.9</v>
      </c>
      <c r="W282" s="4">
        <v>0.5</v>
      </c>
      <c r="X282" s="4">
        <v>0.6</v>
      </c>
      <c r="Y282" s="4">
        <v>0.3</v>
      </c>
      <c r="Z282" s="6">
        <v>650.27075200000002</v>
      </c>
      <c r="AA282" s="4">
        <v>2E-3</v>
      </c>
      <c r="AC282" s="4" t="s">
        <v>190</v>
      </c>
      <c r="AD282" s="4">
        <v>0.9</v>
      </c>
      <c r="AE282" s="4">
        <v>0.5</v>
      </c>
      <c r="AF282" s="4">
        <v>0.6</v>
      </c>
      <c r="AG282" s="4">
        <v>0.3</v>
      </c>
      <c r="AH282" s="4">
        <v>675.41143799999998</v>
      </c>
      <c r="AI282" s="4">
        <v>1E-3</v>
      </c>
      <c r="AJ282" s="5"/>
      <c r="AK282" s="5"/>
      <c r="AL282" s="5"/>
      <c r="AM282" s="5"/>
      <c r="AO282" s="4" t="s">
        <v>191</v>
      </c>
      <c r="AP282" s="4">
        <v>0.9</v>
      </c>
      <c r="AQ282" s="4">
        <v>0.5</v>
      </c>
      <c r="AR282" s="4">
        <v>0.6</v>
      </c>
      <c r="AS282" s="4">
        <v>0.3</v>
      </c>
      <c r="AT282" s="6">
        <v>1001.541687</v>
      </c>
      <c r="AU282" s="4">
        <v>8.9999999999999993E-3</v>
      </c>
      <c r="AW282" s="4" t="s">
        <v>191</v>
      </c>
      <c r="AX282" s="4">
        <v>0.9</v>
      </c>
      <c r="AY282" s="4">
        <v>0.5</v>
      </c>
      <c r="AZ282" s="4">
        <v>0.6</v>
      </c>
      <c r="BA282" s="4">
        <v>0.3</v>
      </c>
      <c r="BB282" s="4">
        <v>1002.562134</v>
      </c>
      <c r="BC282" s="4">
        <v>6.0000000000000001E-3</v>
      </c>
      <c r="BD282" s="5"/>
      <c r="BE282" s="5"/>
      <c r="BF282" s="5"/>
      <c r="BG282" s="5"/>
      <c r="BI282" s="4" t="s">
        <v>191</v>
      </c>
      <c r="BJ282" s="4">
        <v>0.9</v>
      </c>
      <c r="BK282" s="4">
        <v>0.5</v>
      </c>
      <c r="BL282" s="4">
        <v>0.6</v>
      </c>
      <c r="BM282" s="4">
        <v>0.3</v>
      </c>
      <c r="BN282" s="6">
        <v>985.70343000000003</v>
      </c>
      <c r="BO282" s="4">
        <v>7.0000000000000001E-3</v>
      </c>
      <c r="BQ282" s="4" t="s">
        <v>191</v>
      </c>
      <c r="BR282" s="4">
        <v>0.9</v>
      </c>
      <c r="BS282" s="4">
        <v>0.5</v>
      </c>
      <c r="BT282" s="4">
        <v>0.6</v>
      </c>
      <c r="BU282" s="4">
        <v>0.33</v>
      </c>
      <c r="BV282" s="4">
        <v>1012.381226</v>
      </c>
      <c r="BW282" s="4">
        <v>7.0000000000000001E-3</v>
      </c>
      <c r="BX282" s="5"/>
      <c r="BY282" s="5"/>
      <c r="BZ282" s="5"/>
      <c r="CA282" s="5"/>
    </row>
    <row r="283" spans="1:79" x14ac:dyDescent="0.3">
      <c r="A283" s="4" t="s">
        <v>192</v>
      </c>
      <c r="B283" s="4">
        <v>0.9</v>
      </c>
      <c r="C283" s="4">
        <v>0.5</v>
      </c>
      <c r="D283" s="4">
        <v>0.6</v>
      </c>
      <c r="E283" s="4">
        <v>0.3</v>
      </c>
      <c r="F283" s="4">
        <v>773.48443599999996</v>
      </c>
      <c r="G283" s="4">
        <v>3.0000000000000001E-3</v>
      </c>
      <c r="I283" s="4" t="s">
        <v>192</v>
      </c>
      <c r="J283" s="4">
        <v>0.9</v>
      </c>
      <c r="K283" s="4">
        <v>0.5</v>
      </c>
      <c r="L283" s="4">
        <v>0.6</v>
      </c>
      <c r="M283" s="4">
        <v>0.3</v>
      </c>
      <c r="N283" s="6">
        <v>770.47576900000001</v>
      </c>
      <c r="O283" s="4">
        <v>2E-3</v>
      </c>
      <c r="P283" s="5"/>
      <c r="Q283" s="5"/>
      <c r="R283" s="5"/>
      <c r="S283" s="5"/>
      <c r="U283" s="4" t="s">
        <v>192</v>
      </c>
      <c r="V283" s="4">
        <v>0.9</v>
      </c>
      <c r="W283" s="4">
        <v>0.5</v>
      </c>
      <c r="X283" s="4">
        <v>0.6</v>
      </c>
      <c r="Y283" s="4">
        <v>0.3</v>
      </c>
      <c r="Z283" s="6">
        <v>777.46905500000003</v>
      </c>
      <c r="AA283" s="4">
        <v>2E-3</v>
      </c>
      <c r="AC283" s="4" t="s">
        <v>192</v>
      </c>
      <c r="AD283" s="4">
        <v>0.9</v>
      </c>
      <c r="AE283" s="4">
        <v>0.5</v>
      </c>
      <c r="AF283" s="4">
        <v>0.6</v>
      </c>
      <c r="AG283" s="4">
        <v>0.3</v>
      </c>
      <c r="AH283" s="4">
        <v>786.77105700000004</v>
      </c>
      <c r="AI283" s="4">
        <v>2E-3</v>
      </c>
      <c r="AJ283" s="5"/>
      <c r="AK283" s="5"/>
      <c r="AL283" s="5"/>
      <c r="AM283" s="5"/>
      <c r="AO283" s="4" t="s">
        <v>193</v>
      </c>
      <c r="AP283" s="4">
        <v>0.9</v>
      </c>
      <c r="AQ283" s="4">
        <v>0.5</v>
      </c>
      <c r="AR283" s="4">
        <v>0.6</v>
      </c>
      <c r="AS283" s="4">
        <v>0.3</v>
      </c>
      <c r="AT283" s="6">
        <v>1097.972534</v>
      </c>
      <c r="AU283" s="4">
        <v>1.2E-2</v>
      </c>
      <c r="AW283" s="4" t="s">
        <v>193</v>
      </c>
      <c r="AX283" s="4">
        <v>0.9</v>
      </c>
      <c r="AY283" s="4">
        <v>0.5</v>
      </c>
      <c r="AZ283" s="4">
        <v>0.6</v>
      </c>
      <c r="BA283" s="4">
        <v>0.36</v>
      </c>
      <c r="BB283" s="4">
        <v>1123.5529790000001</v>
      </c>
      <c r="BC283" s="4">
        <v>7.0000000000000001E-3</v>
      </c>
      <c r="BD283" s="5"/>
      <c r="BE283" s="5"/>
      <c r="BF283" s="5"/>
      <c r="BG283" s="5"/>
      <c r="BI283" s="4" t="s">
        <v>193</v>
      </c>
      <c r="BJ283" s="4">
        <v>0.9</v>
      </c>
      <c r="BK283" s="4">
        <v>0.5</v>
      </c>
      <c r="BL283" s="4">
        <v>0.6</v>
      </c>
      <c r="BM283" s="4">
        <v>0.3</v>
      </c>
      <c r="BN283" s="4">
        <v>1086.8801269999999</v>
      </c>
      <c r="BO283" s="4">
        <v>7.0000000000000001E-3</v>
      </c>
      <c r="BQ283" s="4" t="s">
        <v>193</v>
      </c>
      <c r="BR283" s="4">
        <v>0.9</v>
      </c>
      <c r="BS283" s="4">
        <v>0.5</v>
      </c>
      <c r="BT283" s="4">
        <v>0.6</v>
      </c>
      <c r="BU283" s="4">
        <v>0.31</v>
      </c>
      <c r="BV283" s="6">
        <v>1078.7775879999999</v>
      </c>
      <c r="BW283" s="4">
        <v>7.0000000000000001E-3</v>
      </c>
      <c r="BX283" s="5"/>
      <c r="BY283" s="5"/>
      <c r="BZ283" s="5"/>
      <c r="CA283" s="5"/>
    </row>
    <row r="284" spans="1:79" x14ac:dyDescent="0.3">
      <c r="A284" s="14" t="s">
        <v>316</v>
      </c>
      <c r="E284" s="14">
        <f>AVERAGE(E254:E283)</f>
        <v>0.3</v>
      </c>
      <c r="I284" s="14" t="s">
        <v>316</v>
      </c>
      <c r="M284" s="14">
        <f>AVERAGE(M254:M283)</f>
        <v>0.32433333333333336</v>
      </c>
      <c r="P284" s="5"/>
      <c r="Q284" s="5"/>
      <c r="R284" s="5"/>
      <c r="S284" s="5"/>
      <c r="U284" s="14" t="s">
        <v>316</v>
      </c>
      <c r="Y284" s="14">
        <f>AVERAGE(Y254:Y283)</f>
        <v>0.3</v>
      </c>
      <c r="AC284" s="14" t="s">
        <v>316</v>
      </c>
      <c r="AG284" s="14">
        <f>AVERAGE(AG254:AG283)</f>
        <v>0.33233333333333331</v>
      </c>
      <c r="AJ284" s="5"/>
      <c r="AK284" s="5"/>
      <c r="AL284" s="5"/>
      <c r="AM284" s="5"/>
      <c r="AO284" s="14" t="s">
        <v>316</v>
      </c>
      <c r="AS284" s="14">
        <f>AVERAGE(AS254:AS283)</f>
        <v>0.3</v>
      </c>
      <c r="AW284" s="14" t="s">
        <v>316</v>
      </c>
      <c r="BA284" s="14">
        <f>AVERAGE(BA254:BA283)</f>
        <v>0.31466666666666665</v>
      </c>
      <c r="BD284" s="5"/>
      <c r="BE284" s="5"/>
      <c r="BF284" s="5"/>
      <c r="BG284" s="5"/>
      <c r="BI284" s="14" t="s">
        <v>316</v>
      </c>
      <c r="BM284" s="14">
        <f>AVERAGE(BM254:BM283)</f>
        <v>0.3</v>
      </c>
      <c r="BQ284" s="14" t="s">
        <v>316</v>
      </c>
      <c r="BU284" s="14">
        <f>AVERAGE(BU254:BU283)</f>
        <v>0.30833333333333329</v>
      </c>
      <c r="BX284" s="5"/>
      <c r="BY284" s="5"/>
      <c r="BZ284" s="5"/>
      <c r="CA284" s="5"/>
    </row>
    <row r="285" spans="1:79" x14ac:dyDescent="0.3">
      <c r="P285" s="5"/>
      <c r="Q285" s="5"/>
      <c r="R285" s="5"/>
      <c r="S285" s="5"/>
      <c r="AJ285" s="5"/>
      <c r="AK285" s="5"/>
      <c r="AL285" s="5"/>
      <c r="AM285" s="5"/>
      <c r="BD285" s="5"/>
      <c r="BE285" s="5"/>
      <c r="BF285" s="5"/>
      <c r="BG285" s="5"/>
      <c r="BX285" s="5"/>
      <c r="BY285" s="5"/>
      <c r="BZ285" s="5"/>
      <c r="CA285" s="5"/>
    </row>
    <row r="286" spans="1:79" x14ac:dyDescent="0.3">
      <c r="P286" s="5"/>
      <c r="Q286" s="5"/>
      <c r="R286" s="5"/>
      <c r="S286" s="5"/>
      <c r="AJ286" s="5"/>
      <c r="AK286" s="5"/>
      <c r="AL286" s="5"/>
      <c r="AM286" s="5"/>
      <c r="BD286" s="5"/>
      <c r="BE286" s="5"/>
      <c r="BF286" s="5"/>
      <c r="BG286" s="5"/>
      <c r="BX286" s="5"/>
      <c r="BY286" s="5"/>
      <c r="BZ286" s="5"/>
      <c r="CA286" s="5"/>
    </row>
    <row r="287" spans="1:79" x14ac:dyDescent="0.3">
      <c r="A287" s="23" t="s">
        <v>314</v>
      </c>
      <c r="B287" s="23"/>
      <c r="C287" s="23"/>
      <c r="D287" s="23"/>
      <c r="E287" s="23"/>
      <c r="F287" s="23"/>
      <c r="G287" s="23"/>
      <c r="I287" s="23" t="s">
        <v>314</v>
      </c>
      <c r="J287" s="23"/>
      <c r="K287" s="23"/>
      <c r="L287" s="23"/>
      <c r="M287" s="23"/>
      <c r="N287" s="23"/>
      <c r="O287" s="23"/>
      <c r="P287" s="11"/>
      <c r="Q287" s="11"/>
      <c r="R287" s="11"/>
      <c r="S287" s="11"/>
      <c r="U287" s="23" t="s">
        <v>314</v>
      </c>
      <c r="V287" s="23"/>
      <c r="W287" s="23"/>
      <c r="X287" s="23"/>
      <c r="Y287" s="23"/>
      <c r="Z287" s="23"/>
      <c r="AA287" s="23"/>
      <c r="AC287" s="23" t="s">
        <v>314</v>
      </c>
      <c r="AD287" s="23"/>
      <c r="AE287" s="23"/>
      <c r="AF287" s="23"/>
      <c r="AG287" s="23"/>
      <c r="AH287" s="23"/>
      <c r="AI287" s="23"/>
      <c r="AJ287" s="11"/>
      <c r="AK287" s="11"/>
      <c r="AL287" s="11"/>
      <c r="AM287" s="11"/>
      <c r="AO287" s="23" t="s">
        <v>314</v>
      </c>
      <c r="AP287" s="23"/>
      <c r="AQ287" s="23"/>
      <c r="AR287" s="23"/>
      <c r="AS287" s="23"/>
      <c r="AT287" s="23"/>
      <c r="AU287" s="23"/>
      <c r="AW287" s="23" t="s">
        <v>314</v>
      </c>
      <c r="AX287" s="23"/>
      <c r="AY287" s="23"/>
      <c r="AZ287" s="23"/>
      <c r="BA287" s="23"/>
      <c r="BB287" s="23"/>
      <c r="BC287" s="23"/>
      <c r="BD287" s="11"/>
      <c r="BE287" s="11"/>
      <c r="BF287" s="11"/>
      <c r="BG287" s="11"/>
      <c r="BI287" s="23" t="s">
        <v>314</v>
      </c>
      <c r="BJ287" s="23"/>
      <c r="BK287" s="23"/>
      <c r="BL287" s="23"/>
      <c r="BM287" s="23"/>
      <c r="BN287" s="23"/>
      <c r="BO287" s="23"/>
      <c r="BQ287" s="23" t="s">
        <v>314</v>
      </c>
      <c r="BR287" s="23"/>
      <c r="BS287" s="23"/>
      <c r="BT287" s="23"/>
      <c r="BU287" s="23"/>
      <c r="BV287" s="23"/>
      <c r="BW287" s="23"/>
      <c r="BX287" s="11"/>
      <c r="BY287" s="11"/>
      <c r="BZ287" s="11"/>
      <c r="CA287" s="11"/>
    </row>
    <row r="288" spans="1:79" x14ac:dyDescent="0.3">
      <c r="A288" s="24" t="s">
        <v>72</v>
      </c>
      <c r="B288" s="25"/>
      <c r="C288" s="25"/>
      <c r="D288" s="25"/>
      <c r="E288" s="25"/>
      <c r="F288" s="25"/>
      <c r="G288" s="26"/>
      <c r="I288" s="23" t="s">
        <v>72</v>
      </c>
      <c r="J288" s="23"/>
      <c r="K288" s="23"/>
      <c r="L288" s="23"/>
      <c r="M288" s="23"/>
      <c r="N288" s="23"/>
      <c r="O288" s="23"/>
      <c r="P288" s="11"/>
      <c r="Q288" s="11"/>
      <c r="R288" s="11"/>
      <c r="S288" s="11"/>
      <c r="U288" s="4" t="s">
        <v>73</v>
      </c>
      <c r="V288" s="4"/>
      <c r="W288" s="4"/>
      <c r="X288" s="4"/>
      <c r="Y288" s="4"/>
      <c r="Z288" s="4"/>
      <c r="AA288" s="4"/>
      <c r="AC288" s="23" t="s">
        <v>73</v>
      </c>
      <c r="AD288" s="23"/>
      <c r="AE288" s="23"/>
      <c r="AF288" s="23"/>
      <c r="AG288" s="23"/>
      <c r="AH288" s="23"/>
      <c r="AI288" s="23"/>
      <c r="AJ288" s="11"/>
      <c r="AK288" s="11"/>
      <c r="AL288" s="11"/>
      <c r="AM288" s="11"/>
      <c r="AO288" s="4" t="s">
        <v>72</v>
      </c>
      <c r="AP288" s="4"/>
      <c r="AQ288" s="4"/>
      <c r="AR288" s="4"/>
      <c r="AS288" s="4"/>
      <c r="AT288" s="4"/>
      <c r="AU288" s="4"/>
      <c r="AW288" s="23" t="s">
        <v>72</v>
      </c>
      <c r="AX288" s="23"/>
      <c r="AY288" s="23"/>
      <c r="AZ288" s="23"/>
      <c r="BA288" s="23"/>
      <c r="BB288" s="23"/>
      <c r="BC288" s="23"/>
      <c r="BD288" s="11"/>
      <c r="BE288" s="11"/>
      <c r="BF288" s="11"/>
      <c r="BG288" s="11"/>
      <c r="BI288" s="4" t="s">
        <v>73</v>
      </c>
      <c r="BJ288" s="4"/>
      <c r="BK288" s="4"/>
      <c r="BL288" s="4"/>
      <c r="BM288" s="4"/>
      <c r="BN288" s="4"/>
      <c r="BO288" s="4"/>
      <c r="BQ288" s="23" t="s">
        <v>73</v>
      </c>
      <c r="BR288" s="23"/>
      <c r="BS288" s="23"/>
      <c r="BT288" s="23"/>
      <c r="BU288" s="23"/>
      <c r="BV288" s="23"/>
      <c r="BW288" s="23"/>
      <c r="BX288" s="11"/>
      <c r="BY288" s="11"/>
      <c r="BZ288" s="11"/>
      <c r="CA288" s="11"/>
    </row>
    <row r="289" spans="1:79" x14ac:dyDescent="0.3">
      <c r="A289" s="4" t="s">
        <v>2</v>
      </c>
      <c r="B289" s="4" t="s">
        <v>3</v>
      </c>
      <c r="C289" s="4" t="s">
        <v>4</v>
      </c>
      <c r="D289" s="4" t="s">
        <v>5</v>
      </c>
      <c r="E289" s="4" t="s">
        <v>6</v>
      </c>
      <c r="F289" s="4" t="s">
        <v>7</v>
      </c>
      <c r="G289" s="4" t="s">
        <v>8</v>
      </c>
      <c r="I289" s="4" t="s">
        <v>2</v>
      </c>
      <c r="J289" s="4" t="s">
        <v>3</v>
      </c>
      <c r="K289" s="4" t="s">
        <v>4</v>
      </c>
      <c r="L289" s="4" t="s">
        <v>5</v>
      </c>
      <c r="M289" s="4" t="s">
        <v>6</v>
      </c>
      <c r="N289" s="4" t="s">
        <v>7</v>
      </c>
      <c r="O289" s="4" t="s">
        <v>8</v>
      </c>
      <c r="P289" s="3" t="s">
        <v>322</v>
      </c>
      <c r="Q289" s="3" t="s">
        <v>323</v>
      </c>
      <c r="R289" s="3" t="s">
        <v>322</v>
      </c>
      <c r="S289" s="3" t="s">
        <v>323</v>
      </c>
      <c r="U289" s="4" t="s">
        <v>2</v>
      </c>
      <c r="V289" s="4" t="s">
        <v>3</v>
      </c>
      <c r="W289" s="4" t="s">
        <v>4</v>
      </c>
      <c r="X289" s="4" t="s">
        <v>5</v>
      </c>
      <c r="Y289" s="4" t="s">
        <v>6</v>
      </c>
      <c r="Z289" s="4" t="s">
        <v>7</v>
      </c>
      <c r="AA289" s="4" t="s">
        <v>8</v>
      </c>
      <c r="AC289" s="4" t="s">
        <v>2</v>
      </c>
      <c r="AD289" s="4" t="s">
        <v>3</v>
      </c>
      <c r="AE289" s="4" t="s">
        <v>4</v>
      </c>
      <c r="AF289" s="4" t="s">
        <v>5</v>
      </c>
      <c r="AG289" s="4" t="s">
        <v>6</v>
      </c>
      <c r="AH289" s="4" t="s">
        <v>7</v>
      </c>
      <c r="AI289" s="4" t="s">
        <v>8</v>
      </c>
      <c r="AJ289" s="3" t="s">
        <v>322</v>
      </c>
      <c r="AK289" s="3" t="s">
        <v>323</v>
      </c>
      <c r="AL289" s="3" t="s">
        <v>322</v>
      </c>
      <c r="AM289" s="3" t="s">
        <v>323</v>
      </c>
      <c r="AO289" s="4" t="s">
        <v>2</v>
      </c>
      <c r="AP289" s="4" t="s">
        <v>3</v>
      </c>
      <c r="AQ289" s="4" t="s">
        <v>4</v>
      </c>
      <c r="AR289" s="4" t="s">
        <v>5</v>
      </c>
      <c r="AS289" s="4" t="s">
        <v>6</v>
      </c>
      <c r="AT289" s="4" t="s">
        <v>7</v>
      </c>
      <c r="AU289" s="4" t="s">
        <v>8</v>
      </c>
      <c r="AW289" s="4" t="s">
        <v>2</v>
      </c>
      <c r="AX289" s="4" t="s">
        <v>3</v>
      </c>
      <c r="AY289" s="4" t="s">
        <v>4</v>
      </c>
      <c r="AZ289" s="4" t="s">
        <v>5</v>
      </c>
      <c r="BA289" s="4" t="s">
        <v>6</v>
      </c>
      <c r="BB289" s="4" t="s">
        <v>7</v>
      </c>
      <c r="BC289" s="4" t="s">
        <v>8</v>
      </c>
      <c r="BD289" s="3" t="s">
        <v>322</v>
      </c>
      <c r="BE289" s="3" t="s">
        <v>323</v>
      </c>
      <c r="BF289" s="3" t="s">
        <v>322</v>
      </c>
      <c r="BG289" s="3" t="s">
        <v>323</v>
      </c>
      <c r="BI289" s="4" t="s">
        <v>2</v>
      </c>
      <c r="BJ289" s="4" t="s">
        <v>3</v>
      </c>
      <c r="BK289" s="4" t="s">
        <v>4</v>
      </c>
      <c r="BL289" s="4" t="s">
        <v>5</v>
      </c>
      <c r="BM289" s="4" t="s">
        <v>6</v>
      </c>
      <c r="BN289" s="4" t="s">
        <v>7</v>
      </c>
      <c r="BO289" s="4" t="s">
        <v>8</v>
      </c>
      <c r="BQ289" s="4" t="s">
        <v>2</v>
      </c>
      <c r="BR289" s="4" t="s">
        <v>3</v>
      </c>
      <c r="BS289" s="4" t="s">
        <v>4</v>
      </c>
      <c r="BT289" s="4" t="s">
        <v>5</v>
      </c>
      <c r="BU289" s="4" t="s">
        <v>6</v>
      </c>
      <c r="BV289" s="4" t="s">
        <v>7</v>
      </c>
      <c r="BW289" s="4" t="s">
        <v>8</v>
      </c>
      <c r="BX289" s="3" t="s">
        <v>322</v>
      </c>
      <c r="BY289" s="3" t="s">
        <v>323</v>
      </c>
      <c r="BZ289" s="3" t="s">
        <v>322</v>
      </c>
      <c r="CA289" s="3" t="s">
        <v>323</v>
      </c>
    </row>
    <row r="290" spans="1:79" x14ac:dyDescent="0.3">
      <c r="A290" s="4" t="s">
        <v>134</v>
      </c>
      <c r="B290" s="4">
        <v>0.9</v>
      </c>
      <c r="C290" s="4">
        <v>0.5</v>
      </c>
      <c r="D290" s="4">
        <v>0.6</v>
      </c>
      <c r="E290" s="4">
        <v>0.3</v>
      </c>
      <c r="F290" s="6">
        <v>607.80249000000003</v>
      </c>
      <c r="G290" s="4">
        <v>1E-3</v>
      </c>
      <c r="I290" s="4" t="s">
        <v>134</v>
      </c>
      <c r="J290" s="4">
        <v>0.9</v>
      </c>
      <c r="K290" s="4">
        <v>0.5</v>
      </c>
      <c r="L290" s="4">
        <v>0.6</v>
      </c>
      <c r="M290" s="4">
        <v>0.32</v>
      </c>
      <c r="N290" s="4">
        <v>618.86218299999996</v>
      </c>
      <c r="O290" s="4">
        <v>2E-3</v>
      </c>
      <c r="P290" s="4" t="s">
        <v>324</v>
      </c>
      <c r="Q290" s="4" t="s">
        <v>324</v>
      </c>
      <c r="R290" s="4" t="s">
        <v>325</v>
      </c>
      <c r="S290" s="4" t="s">
        <v>325</v>
      </c>
      <c r="U290" s="4" t="s">
        <v>134</v>
      </c>
      <c r="V290" s="4">
        <v>0.9</v>
      </c>
      <c r="W290" s="4">
        <v>0.5</v>
      </c>
      <c r="X290" s="4">
        <v>0.6</v>
      </c>
      <c r="Y290" s="4">
        <v>0.3</v>
      </c>
      <c r="Z290" s="6">
        <v>591.97027600000001</v>
      </c>
      <c r="AA290" s="4">
        <v>2E-3</v>
      </c>
      <c r="AC290" s="4" t="s">
        <v>134</v>
      </c>
      <c r="AD290" s="4">
        <v>0.9</v>
      </c>
      <c r="AE290" s="4">
        <v>0.5</v>
      </c>
      <c r="AF290" s="4">
        <v>0.6</v>
      </c>
      <c r="AG290" s="4">
        <v>0.31</v>
      </c>
      <c r="AH290" s="4">
        <v>606.68914800000005</v>
      </c>
      <c r="AI290" s="4">
        <v>1E-3</v>
      </c>
      <c r="AJ290" s="4" t="s">
        <v>324</v>
      </c>
      <c r="AK290" s="4" t="s">
        <v>324</v>
      </c>
      <c r="AL290" s="4" t="s">
        <v>325</v>
      </c>
      <c r="AM290" s="4" t="s">
        <v>325</v>
      </c>
      <c r="AO290" s="4" t="s">
        <v>135</v>
      </c>
      <c r="AP290" s="4">
        <v>0.9</v>
      </c>
      <c r="AQ290" s="4">
        <v>0.5</v>
      </c>
      <c r="AR290" s="4">
        <v>0.6</v>
      </c>
      <c r="AS290" s="4">
        <v>0.3</v>
      </c>
      <c r="AT290" s="6">
        <v>793.36767599999996</v>
      </c>
      <c r="AU290" s="4">
        <v>7.0000000000000001E-3</v>
      </c>
      <c r="AW290" s="4" t="s">
        <v>135</v>
      </c>
      <c r="AX290" s="4">
        <v>0.9</v>
      </c>
      <c r="AY290" s="4">
        <v>0.5</v>
      </c>
      <c r="AZ290" s="4">
        <v>0.6</v>
      </c>
      <c r="BA290" s="4">
        <v>0.31</v>
      </c>
      <c r="BB290" s="4">
        <v>820.71569799999997</v>
      </c>
      <c r="BC290" s="4">
        <v>5.0000000000000001E-3</v>
      </c>
      <c r="BD290" s="4" t="s">
        <v>324</v>
      </c>
      <c r="BE290" s="4" t="s">
        <v>324</v>
      </c>
      <c r="BF290" s="4" t="s">
        <v>325</v>
      </c>
      <c r="BG290" s="4" t="s">
        <v>325</v>
      </c>
      <c r="BI290" s="4" t="s">
        <v>135</v>
      </c>
      <c r="BJ290" s="4">
        <v>0.9</v>
      </c>
      <c r="BK290" s="4">
        <v>0.5</v>
      </c>
      <c r="BL290" s="4">
        <v>0.6</v>
      </c>
      <c r="BM290" s="4">
        <v>0.3</v>
      </c>
      <c r="BN290" s="6">
        <v>776.23455799999999</v>
      </c>
      <c r="BO290" s="4">
        <v>8.0000000000000002E-3</v>
      </c>
      <c r="BQ290" s="4" t="s">
        <v>135</v>
      </c>
      <c r="BR290" s="4">
        <v>0.9</v>
      </c>
      <c r="BS290" s="4">
        <v>0.5</v>
      </c>
      <c r="BT290" s="4">
        <v>0.6</v>
      </c>
      <c r="BU290" s="4">
        <v>0.32</v>
      </c>
      <c r="BV290" s="4">
        <v>793.01953100000003</v>
      </c>
      <c r="BW290" s="4">
        <v>8.0000000000000002E-3</v>
      </c>
      <c r="BX290" s="4" t="s">
        <v>324</v>
      </c>
      <c r="BY290" s="4" t="s">
        <v>324</v>
      </c>
      <c r="BZ290" s="4" t="s">
        <v>325</v>
      </c>
      <c r="CA290" s="4" t="s">
        <v>325</v>
      </c>
    </row>
    <row r="291" spans="1:79" x14ac:dyDescent="0.3">
      <c r="A291" s="4" t="s">
        <v>136</v>
      </c>
      <c r="B291" s="4">
        <v>0.9</v>
      </c>
      <c r="C291" s="4">
        <v>0.5</v>
      </c>
      <c r="D291" s="4">
        <v>0.6</v>
      </c>
      <c r="E291" s="4">
        <v>0.3</v>
      </c>
      <c r="F291" s="6">
        <v>543.58019999999999</v>
      </c>
      <c r="G291" s="4">
        <v>1E-3</v>
      </c>
      <c r="I291" s="4" t="s">
        <v>136</v>
      </c>
      <c r="J291" s="4">
        <v>0.9</v>
      </c>
      <c r="K291" s="4">
        <v>0.5</v>
      </c>
      <c r="L291" s="4">
        <v>0.6</v>
      </c>
      <c r="M291" s="4">
        <v>0.3</v>
      </c>
      <c r="N291" s="4">
        <v>555.65643299999999</v>
      </c>
      <c r="O291" s="4">
        <v>1E-3</v>
      </c>
      <c r="P291" s="3">
        <f>COUNT(F290:F301,F303:F319)</f>
        <v>29</v>
      </c>
      <c r="Q291" s="3">
        <f>30-P291</f>
        <v>1</v>
      </c>
      <c r="R291" s="3">
        <f>COUNT(N302)</f>
        <v>1</v>
      </c>
      <c r="S291" s="3">
        <f>30-R291</f>
        <v>29</v>
      </c>
      <c r="U291" s="4" t="s">
        <v>136</v>
      </c>
      <c r="V291" s="4">
        <v>0.9</v>
      </c>
      <c r="W291" s="4">
        <v>0.5</v>
      </c>
      <c r="X291" s="4">
        <v>0.6</v>
      </c>
      <c r="Y291" s="4">
        <v>0.3</v>
      </c>
      <c r="Z291" s="6">
        <v>527.18621800000005</v>
      </c>
      <c r="AA291" s="4">
        <v>2E-3</v>
      </c>
      <c r="AC291" s="4" t="s">
        <v>136</v>
      </c>
      <c r="AD291" s="4">
        <v>0.9</v>
      </c>
      <c r="AE291" s="4">
        <v>0.5</v>
      </c>
      <c r="AF291" s="4">
        <v>0.6</v>
      </c>
      <c r="AG291" s="4">
        <v>0.37</v>
      </c>
      <c r="AH291" s="4">
        <v>536.50457800000004</v>
      </c>
      <c r="AI291" s="4">
        <v>1E-3</v>
      </c>
      <c r="AJ291" s="3">
        <f>COUNT(Z290:Z291,Z293:Z296,Z298:Z319)</f>
        <v>28</v>
      </c>
      <c r="AK291" s="3">
        <f>30-AJ291</f>
        <v>2</v>
      </c>
      <c r="AL291" s="3">
        <f>COUNT(AH292,AH297)</f>
        <v>2</v>
      </c>
      <c r="AM291" s="3">
        <f>30-AL291</f>
        <v>28</v>
      </c>
      <c r="AO291" s="4" t="s">
        <v>137</v>
      </c>
      <c r="AP291" s="4">
        <v>0.9</v>
      </c>
      <c r="AQ291" s="4">
        <v>0.5</v>
      </c>
      <c r="AR291" s="4">
        <v>0.6</v>
      </c>
      <c r="AS291" s="4">
        <v>0.3</v>
      </c>
      <c r="AT291" s="6">
        <v>865.50488299999995</v>
      </c>
      <c r="AU291" s="4">
        <v>0.01</v>
      </c>
      <c r="AW291" s="4" t="s">
        <v>137</v>
      </c>
      <c r="AX291" s="4">
        <v>0.9</v>
      </c>
      <c r="AY291" s="4">
        <v>0.5</v>
      </c>
      <c r="AZ291" s="4">
        <v>0.6</v>
      </c>
      <c r="BA291" s="4">
        <v>0.32</v>
      </c>
      <c r="BB291" s="4">
        <v>899.66082800000004</v>
      </c>
      <c r="BC291" s="4">
        <v>6.0000000000000001E-3</v>
      </c>
      <c r="BD291" s="3">
        <f>COUNT(AT290:AT297,AT300:AT319)</f>
        <v>28</v>
      </c>
      <c r="BE291" s="3">
        <f>30-BD291</f>
        <v>2</v>
      </c>
      <c r="BF291" s="3">
        <f>COUNT(BB298:BB299)</f>
        <v>2</v>
      </c>
      <c r="BG291" s="3">
        <f>30-BF291</f>
        <v>28</v>
      </c>
      <c r="BI291" s="4" t="s">
        <v>137</v>
      </c>
      <c r="BJ291" s="4">
        <v>0.9</v>
      </c>
      <c r="BK291" s="4">
        <v>0.5</v>
      </c>
      <c r="BL291" s="4">
        <v>0.6</v>
      </c>
      <c r="BM291" s="4">
        <v>0.3</v>
      </c>
      <c r="BN291" s="6">
        <v>860.05987500000003</v>
      </c>
      <c r="BO291" s="4">
        <v>8.0000000000000002E-3</v>
      </c>
      <c r="BQ291" s="4" t="s">
        <v>137</v>
      </c>
      <c r="BR291" s="4">
        <v>0.9</v>
      </c>
      <c r="BS291" s="4">
        <v>0.5</v>
      </c>
      <c r="BT291" s="4">
        <v>0.6</v>
      </c>
      <c r="BU291" s="4">
        <v>0.31</v>
      </c>
      <c r="BV291" s="4">
        <v>888.563354</v>
      </c>
      <c r="BW291" s="4">
        <v>6.0000000000000001E-3</v>
      </c>
      <c r="BX291" s="3">
        <f>COUNT(BN290:BN319)</f>
        <v>30</v>
      </c>
      <c r="BY291" s="3">
        <f>30-BX291</f>
        <v>0</v>
      </c>
      <c r="BZ291" s="3">
        <f>COUNT(BV306)</f>
        <v>1</v>
      </c>
      <c r="CA291" s="3">
        <f>30-BZ291</f>
        <v>29</v>
      </c>
    </row>
    <row r="292" spans="1:79" x14ac:dyDescent="0.3">
      <c r="A292" s="4" t="s">
        <v>138</v>
      </c>
      <c r="B292" s="4">
        <v>0.9</v>
      </c>
      <c r="C292" s="4">
        <v>0.5</v>
      </c>
      <c r="D292" s="4">
        <v>0.6</v>
      </c>
      <c r="E292" s="4">
        <v>0.3</v>
      </c>
      <c r="F292" s="6">
        <v>609.14862100000005</v>
      </c>
      <c r="G292" s="4">
        <v>2E-3</v>
      </c>
      <c r="I292" s="4" t="s">
        <v>138</v>
      </c>
      <c r="J292" s="4">
        <v>0.9</v>
      </c>
      <c r="K292" s="4">
        <v>0.5</v>
      </c>
      <c r="L292" s="4">
        <v>0.6</v>
      </c>
      <c r="M292" s="4">
        <v>0.3</v>
      </c>
      <c r="N292" s="4">
        <v>615.25195299999996</v>
      </c>
      <c r="O292" s="4">
        <v>2E-3</v>
      </c>
      <c r="P292" s="5"/>
      <c r="Q292" s="5"/>
      <c r="R292" s="5"/>
      <c r="S292" s="5"/>
      <c r="U292" s="4" t="s">
        <v>138</v>
      </c>
      <c r="V292" s="4">
        <v>0.9</v>
      </c>
      <c r="W292" s="4">
        <v>0.5</v>
      </c>
      <c r="X292" s="4">
        <v>0.6</v>
      </c>
      <c r="Y292" s="4">
        <v>0.3</v>
      </c>
      <c r="Z292" s="4">
        <v>602.66760299999999</v>
      </c>
      <c r="AA292" s="4">
        <v>2E-3</v>
      </c>
      <c r="AC292" s="4" t="s">
        <v>138</v>
      </c>
      <c r="AD292" s="4">
        <v>0.9</v>
      </c>
      <c r="AE292" s="4">
        <v>0.5</v>
      </c>
      <c r="AF292" s="4">
        <v>0.6</v>
      </c>
      <c r="AG292" s="4">
        <v>0.3</v>
      </c>
      <c r="AH292" s="6">
        <v>601.32372999999995</v>
      </c>
      <c r="AI292" s="4">
        <v>2E-3</v>
      </c>
      <c r="AJ292" s="5"/>
      <c r="AK292" s="5"/>
      <c r="AL292" s="5"/>
      <c r="AM292" s="5"/>
      <c r="AO292" s="4" t="s">
        <v>139</v>
      </c>
      <c r="AP292" s="4">
        <v>0.9</v>
      </c>
      <c r="AQ292" s="4">
        <v>0.5</v>
      </c>
      <c r="AR292" s="4">
        <v>0.6</v>
      </c>
      <c r="AS292" s="4">
        <v>0.3</v>
      </c>
      <c r="AT292" s="6">
        <v>897.87896699999999</v>
      </c>
      <c r="AU292" s="4">
        <v>8.9999999999999993E-3</v>
      </c>
      <c r="AW292" s="4" t="s">
        <v>139</v>
      </c>
      <c r="AX292" s="4">
        <v>0.9</v>
      </c>
      <c r="AY292" s="4">
        <v>0.5</v>
      </c>
      <c r="AZ292" s="4">
        <v>0.6</v>
      </c>
      <c r="BA292" s="4">
        <v>0.3</v>
      </c>
      <c r="BB292" s="4">
        <v>939.90295400000002</v>
      </c>
      <c r="BC292" s="4">
        <v>5.0000000000000001E-3</v>
      </c>
      <c r="BD292" s="5"/>
      <c r="BE292" s="5"/>
      <c r="BF292" s="5"/>
      <c r="BG292" s="5"/>
      <c r="BI292" s="4" t="s">
        <v>139</v>
      </c>
      <c r="BJ292" s="4">
        <v>0.9</v>
      </c>
      <c r="BK292" s="4">
        <v>0.5</v>
      </c>
      <c r="BL292" s="4">
        <v>0.6</v>
      </c>
      <c r="BM292" s="4">
        <v>0.3</v>
      </c>
      <c r="BN292" s="6">
        <v>899.84265100000005</v>
      </c>
      <c r="BO292" s="4">
        <v>6.0000000000000001E-3</v>
      </c>
      <c r="BQ292" s="4" t="s">
        <v>139</v>
      </c>
      <c r="BR292" s="4">
        <v>0.9</v>
      </c>
      <c r="BS292" s="4">
        <v>0.5</v>
      </c>
      <c r="BT292" s="4">
        <v>0.6</v>
      </c>
      <c r="BU292" s="4">
        <v>0.31</v>
      </c>
      <c r="BV292" s="4">
        <v>910.02710000000002</v>
      </c>
      <c r="BW292" s="4">
        <v>6.0000000000000001E-3</v>
      </c>
      <c r="BX292" s="5"/>
      <c r="BY292" s="5"/>
      <c r="BZ292" s="5"/>
      <c r="CA292" s="5"/>
    </row>
    <row r="293" spans="1:79" x14ac:dyDescent="0.3">
      <c r="A293" s="4" t="s">
        <v>140</v>
      </c>
      <c r="B293" s="4">
        <v>0.9</v>
      </c>
      <c r="C293" s="4">
        <v>0.5</v>
      </c>
      <c r="D293" s="4">
        <v>0.6</v>
      </c>
      <c r="E293" s="4">
        <v>0.3</v>
      </c>
      <c r="F293" s="6">
        <v>596.95281999999997</v>
      </c>
      <c r="G293" s="4">
        <v>1E-3</v>
      </c>
      <c r="I293" s="4" t="s">
        <v>140</v>
      </c>
      <c r="J293" s="4">
        <v>0.9</v>
      </c>
      <c r="K293" s="4">
        <v>0.5</v>
      </c>
      <c r="L293" s="4">
        <v>0.6</v>
      </c>
      <c r="M293" s="4">
        <v>0.33</v>
      </c>
      <c r="N293" s="4">
        <v>618.29986599999995</v>
      </c>
      <c r="O293" s="4">
        <v>1E-3</v>
      </c>
      <c r="P293" s="5"/>
      <c r="Q293" s="5"/>
      <c r="R293" s="5"/>
      <c r="S293" s="5"/>
      <c r="U293" s="4" t="s">
        <v>140</v>
      </c>
      <c r="V293" s="4">
        <v>0.9</v>
      </c>
      <c r="W293" s="4">
        <v>0.5</v>
      </c>
      <c r="X293" s="4">
        <v>0.6</v>
      </c>
      <c r="Y293" s="4">
        <v>0.3</v>
      </c>
      <c r="Z293" s="6">
        <v>588.49896200000001</v>
      </c>
      <c r="AA293" s="4">
        <v>1.0999999999999999E-2</v>
      </c>
      <c r="AC293" s="4" t="s">
        <v>140</v>
      </c>
      <c r="AD293" s="4">
        <v>0.9</v>
      </c>
      <c r="AE293" s="4">
        <v>0.5</v>
      </c>
      <c r="AF293" s="4">
        <v>0.6</v>
      </c>
      <c r="AG293" s="4">
        <v>0.32</v>
      </c>
      <c r="AH293" s="4">
        <v>603.94732699999997</v>
      </c>
      <c r="AI293" s="4">
        <v>1E-3</v>
      </c>
      <c r="AJ293" s="5"/>
      <c r="AK293" s="5"/>
      <c r="AL293" s="5"/>
      <c r="AM293" s="5"/>
      <c r="AO293" s="4" t="s">
        <v>141</v>
      </c>
      <c r="AP293" s="4">
        <v>0.9</v>
      </c>
      <c r="AQ293" s="4">
        <v>0.5</v>
      </c>
      <c r="AR293" s="4">
        <v>0.6</v>
      </c>
      <c r="AS293" s="4">
        <v>0.3</v>
      </c>
      <c r="AT293" s="6">
        <v>952.30480999999997</v>
      </c>
      <c r="AU293" s="4">
        <v>6.0000000000000001E-3</v>
      </c>
      <c r="AW293" s="4" t="s">
        <v>141</v>
      </c>
      <c r="AX293" s="4">
        <v>0.9</v>
      </c>
      <c r="AY293" s="4">
        <v>0.5</v>
      </c>
      <c r="AZ293" s="4">
        <v>0.6</v>
      </c>
      <c r="BA293" s="4">
        <v>0.31</v>
      </c>
      <c r="BB293" s="4">
        <v>973.16320800000005</v>
      </c>
      <c r="BC293" s="4">
        <v>6.0000000000000001E-3</v>
      </c>
      <c r="BD293" s="5"/>
      <c r="BE293" s="5"/>
      <c r="BF293" s="5"/>
      <c r="BG293" s="5"/>
      <c r="BI293" s="4" t="s">
        <v>141</v>
      </c>
      <c r="BJ293" s="4">
        <v>0.9</v>
      </c>
      <c r="BK293" s="4">
        <v>0.5</v>
      </c>
      <c r="BL293" s="4">
        <v>0.6</v>
      </c>
      <c r="BM293" s="4">
        <v>0.3</v>
      </c>
      <c r="BN293" s="6">
        <v>942.00305200000003</v>
      </c>
      <c r="BO293" s="4">
        <v>8.9999999999999993E-3</v>
      </c>
      <c r="BQ293" s="4" t="s">
        <v>141</v>
      </c>
      <c r="BR293" s="4">
        <v>0.9</v>
      </c>
      <c r="BS293" s="4">
        <v>0.5</v>
      </c>
      <c r="BT293" s="4">
        <v>0.6</v>
      </c>
      <c r="BU293" s="4">
        <v>0.3</v>
      </c>
      <c r="BV293" s="4">
        <v>977.66772500000002</v>
      </c>
      <c r="BW293" s="4">
        <v>0.01</v>
      </c>
      <c r="BX293" s="5"/>
      <c r="BY293" s="5"/>
      <c r="BZ293" s="5"/>
      <c r="CA293" s="5"/>
    </row>
    <row r="294" spans="1:79" x14ac:dyDescent="0.3">
      <c r="A294" s="4" t="s">
        <v>142</v>
      </c>
      <c r="B294" s="4">
        <v>0.9</v>
      </c>
      <c r="C294" s="4">
        <v>0.5</v>
      </c>
      <c r="D294" s="4">
        <v>0.6</v>
      </c>
      <c r="E294" s="4">
        <v>0.3</v>
      </c>
      <c r="F294" s="6">
        <v>533.50683600000002</v>
      </c>
      <c r="G294" s="4">
        <v>1E-3</v>
      </c>
      <c r="I294" s="4" t="s">
        <v>142</v>
      </c>
      <c r="J294" s="4">
        <v>0.9</v>
      </c>
      <c r="K294" s="4">
        <v>0.5</v>
      </c>
      <c r="L294" s="4">
        <v>0.6</v>
      </c>
      <c r="M294" s="4">
        <v>0.3</v>
      </c>
      <c r="N294" s="4">
        <v>535.24340800000004</v>
      </c>
      <c r="O294" s="4">
        <v>2E-3</v>
      </c>
      <c r="P294" s="5"/>
      <c r="Q294" s="5"/>
      <c r="R294" s="5"/>
      <c r="S294" s="5"/>
      <c r="U294" s="4" t="s">
        <v>142</v>
      </c>
      <c r="V294" s="4">
        <v>0.9</v>
      </c>
      <c r="W294" s="4">
        <v>0.5</v>
      </c>
      <c r="X294" s="4">
        <v>0.6</v>
      </c>
      <c r="Y294" s="4">
        <v>0.3</v>
      </c>
      <c r="Z294" s="6">
        <v>495.536224</v>
      </c>
      <c r="AA294" s="4">
        <v>1E-3</v>
      </c>
      <c r="AC294" s="4" t="s">
        <v>142</v>
      </c>
      <c r="AD294" s="4">
        <v>0.9</v>
      </c>
      <c r="AE294" s="4">
        <v>0.5</v>
      </c>
      <c r="AF294" s="4">
        <v>0.6</v>
      </c>
      <c r="AG294" s="4">
        <v>0.39</v>
      </c>
      <c r="AH294" s="4">
        <v>517.62255900000002</v>
      </c>
      <c r="AI294" s="4">
        <v>2E-3</v>
      </c>
      <c r="AJ294" s="5"/>
      <c r="AK294" s="5"/>
      <c r="AL294" s="5"/>
      <c r="AM294" s="5"/>
      <c r="AO294" s="4" t="s">
        <v>143</v>
      </c>
      <c r="AP294" s="4">
        <v>0.9</v>
      </c>
      <c r="AQ294" s="4">
        <v>0.5</v>
      </c>
      <c r="AR294" s="4">
        <v>0.6</v>
      </c>
      <c r="AS294" s="4">
        <v>0.3</v>
      </c>
      <c r="AT294" s="6">
        <v>894.67608600000005</v>
      </c>
      <c r="AU294" s="4">
        <v>7.0000000000000001E-3</v>
      </c>
      <c r="AW294" s="4" t="s">
        <v>143</v>
      </c>
      <c r="AX294" s="4">
        <v>0.9</v>
      </c>
      <c r="AY294" s="4">
        <v>0.5</v>
      </c>
      <c r="AZ294" s="4">
        <v>0.6</v>
      </c>
      <c r="BA294" s="4">
        <v>0.3</v>
      </c>
      <c r="BB294" s="4">
        <v>925.85375999999997</v>
      </c>
      <c r="BC294" s="4">
        <v>6.0000000000000001E-3</v>
      </c>
      <c r="BD294" s="5"/>
      <c r="BE294" s="5"/>
      <c r="BF294" s="5"/>
      <c r="BG294" s="5"/>
      <c r="BI294" s="4" t="s">
        <v>143</v>
      </c>
      <c r="BJ294" s="4">
        <v>0.9</v>
      </c>
      <c r="BK294" s="4">
        <v>0.5</v>
      </c>
      <c r="BL294" s="4">
        <v>0.6</v>
      </c>
      <c r="BM294" s="4">
        <v>0.3</v>
      </c>
      <c r="BN294" s="6">
        <v>867.90679899999998</v>
      </c>
      <c r="BO294" s="4">
        <v>6.0000000000000001E-3</v>
      </c>
      <c r="BQ294" s="4" t="s">
        <v>143</v>
      </c>
      <c r="BR294" s="4">
        <v>0.9</v>
      </c>
      <c r="BS294" s="4">
        <v>0.5</v>
      </c>
      <c r="BT294" s="4">
        <v>0.6</v>
      </c>
      <c r="BU294" s="4">
        <v>0.3</v>
      </c>
      <c r="BV294" s="4">
        <v>906.01513699999998</v>
      </c>
      <c r="BW294" s="4">
        <v>6.0000000000000001E-3</v>
      </c>
      <c r="BX294" s="5"/>
      <c r="BY294" s="5"/>
      <c r="BZ294" s="5"/>
      <c r="CA294" s="5"/>
    </row>
    <row r="295" spans="1:79" x14ac:dyDescent="0.3">
      <c r="A295" s="4" t="s">
        <v>144</v>
      </c>
      <c r="B295" s="4">
        <v>0.9</v>
      </c>
      <c r="C295" s="4">
        <v>0.5</v>
      </c>
      <c r="D295" s="4">
        <v>0.6</v>
      </c>
      <c r="E295" s="4">
        <v>0.3</v>
      </c>
      <c r="F295" s="6">
        <v>621.29754600000001</v>
      </c>
      <c r="G295" s="4">
        <v>1E-3</v>
      </c>
      <c r="I295" s="4" t="s">
        <v>144</v>
      </c>
      <c r="J295" s="4">
        <v>0.9</v>
      </c>
      <c r="K295" s="4">
        <v>0.5</v>
      </c>
      <c r="L295" s="4">
        <v>0.6</v>
      </c>
      <c r="M295" s="4">
        <v>0.3</v>
      </c>
      <c r="N295" s="4">
        <v>624.47546399999999</v>
      </c>
      <c r="O295" s="4">
        <v>2E-3</v>
      </c>
      <c r="P295" s="5"/>
      <c r="Q295" s="5"/>
      <c r="R295" s="5"/>
      <c r="S295" s="5"/>
      <c r="U295" s="4" t="s">
        <v>144</v>
      </c>
      <c r="V295" s="4">
        <v>0.9</v>
      </c>
      <c r="W295" s="4">
        <v>0.5</v>
      </c>
      <c r="X295" s="4">
        <v>0.6</v>
      </c>
      <c r="Y295" s="4">
        <v>0.3</v>
      </c>
      <c r="Z295" s="6">
        <v>609.12786900000003</v>
      </c>
      <c r="AA295" s="4">
        <v>1E-3</v>
      </c>
      <c r="AC295" s="4" t="s">
        <v>144</v>
      </c>
      <c r="AD295" s="4">
        <v>0.9</v>
      </c>
      <c r="AE295" s="4">
        <v>0.5</v>
      </c>
      <c r="AF295" s="4">
        <v>0.6</v>
      </c>
      <c r="AG295" s="4">
        <v>0.3</v>
      </c>
      <c r="AH295" s="4">
        <v>619.64489700000001</v>
      </c>
      <c r="AI295" s="4">
        <v>2E-3</v>
      </c>
      <c r="AJ295" s="5"/>
      <c r="AK295" s="5"/>
      <c r="AL295" s="5"/>
      <c r="AM295" s="5"/>
      <c r="AO295" s="4" t="s">
        <v>145</v>
      </c>
      <c r="AP295" s="4">
        <v>0.9</v>
      </c>
      <c r="AQ295" s="4">
        <v>0.5</v>
      </c>
      <c r="AR295" s="4">
        <v>0.6</v>
      </c>
      <c r="AS295" s="4">
        <v>0.3</v>
      </c>
      <c r="AT295" s="6">
        <v>888.05981399999996</v>
      </c>
      <c r="AU295" s="4">
        <v>6.0000000000000001E-3</v>
      </c>
      <c r="AW295" s="4" t="s">
        <v>145</v>
      </c>
      <c r="AX295" s="4">
        <v>0.9</v>
      </c>
      <c r="AY295" s="4">
        <v>0.5</v>
      </c>
      <c r="AZ295" s="4">
        <v>0.6</v>
      </c>
      <c r="BA295" s="4">
        <v>0.3</v>
      </c>
      <c r="BB295" s="4">
        <v>924.42791699999998</v>
      </c>
      <c r="BC295" s="4">
        <v>6.0000000000000001E-3</v>
      </c>
      <c r="BD295" s="5"/>
      <c r="BE295" s="5"/>
      <c r="BF295" s="5"/>
      <c r="BG295" s="5"/>
      <c r="BI295" s="4" t="s">
        <v>145</v>
      </c>
      <c r="BJ295" s="4">
        <v>0.9</v>
      </c>
      <c r="BK295" s="4">
        <v>0.5</v>
      </c>
      <c r="BL295" s="4">
        <v>0.6</v>
      </c>
      <c r="BM295" s="4">
        <v>0.3</v>
      </c>
      <c r="BN295" s="6">
        <v>874.24951199999998</v>
      </c>
      <c r="BO295" s="4">
        <v>8.0000000000000002E-3</v>
      </c>
      <c r="BQ295" s="4" t="s">
        <v>145</v>
      </c>
      <c r="BR295" s="4">
        <v>0.9</v>
      </c>
      <c r="BS295" s="4">
        <v>0.5</v>
      </c>
      <c r="BT295" s="4">
        <v>0.6</v>
      </c>
      <c r="BU295" s="4">
        <v>0.35</v>
      </c>
      <c r="BV295" s="4">
        <v>909.53112799999997</v>
      </c>
      <c r="BW295" s="4">
        <v>1.0999999999999999E-2</v>
      </c>
      <c r="BX295" s="5"/>
      <c r="BY295" s="5"/>
      <c r="BZ295" s="5"/>
      <c r="CA295" s="5"/>
    </row>
    <row r="296" spans="1:79" x14ac:dyDescent="0.3">
      <c r="A296" s="4" t="s">
        <v>146</v>
      </c>
      <c r="B296" s="4">
        <v>0.9</v>
      </c>
      <c r="C296" s="4">
        <v>0.5</v>
      </c>
      <c r="D296" s="4">
        <v>0.6</v>
      </c>
      <c r="E296" s="4">
        <v>0.3</v>
      </c>
      <c r="F296" s="6">
        <v>550.74993900000004</v>
      </c>
      <c r="G296" s="4">
        <v>1E-3</v>
      </c>
      <c r="I296" s="4" t="s">
        <v>146</v>
      </c>
      <c r="J296" s="4">
        <v>0.9</v>
      </c>
      <c r="K296" s="4">
        <v>0.5</v>
      </c>
      <c r="L296" s="4">
        <v>0.6</v>
      </c>
      <c r="M296" s="4">
        <v>0.31</v>
      </c>
      <c r="N296" s="4">
        <v>575.52886999999998</v>
      </c>
      <c r="O296" s="4">
        <v>2E-3</v>
      </c>
      <c r="P296" s="5"/>
      <c r="Q296" s="5"/>
      <c r="R296" s="5"/>
      <c r="S296" s="5"/>
      <c r="U296" s="4" t="s">
        <v>146</v>
      </c>
      <c r="V296" s="4">
        <v>0.9</v>
      </c>
      <c r="W296" s="4">
        <v>0.5</v>
      </c>
      <c r="X296" s="4">
        <v>0.6</v>
      </c>
      <c r="Y296" s="4">
        <v>0.3</v>
      </c>
      <c r="Z296" s="6">
        <v>538.41711399999997</v>
      </c>
      <c r="AA296" s="4">
        <v>2E-3</v>
      </c>
      <c r="AC296" s="4" t="s">
        <v>146</v>
      </c>
      <c r="AD296" s="4">
        <v>0.9</v>
      </c>
      <c r="AE296" s="4">
        <v>0.5</v>
      </c>
      <c r="AF296" s="4">
        <v>0.6</v>
      </c>
      <c r="AG296" s="4">
        <v>0.31</v>
      </c>
      <c r="AH296" s="4">
        <v>554.22308299999997</v>
      </c>
      <c r="AI296" s="4">
        <v>2E-3</v>
      </c>
      <c r="AJ296" s="5"/>
      <c r="AK296" s="5"/>
      <c r="AL296" s="5"/>
      <c r="AM296" s="5"/>
      <c r="AO296" s="4" t="s">
        <v>147</v>
      </c>
      <c r="AP296" s="4">
        <v>0.9</v>
      </c>
      <c r="AQ296" s="4">
        <v>0.5</v>
      </c>
      <c r="AR296" s="4">
        <v>0.6</v>
      </c>
      <c r="AS296" s="4">
        <v>0.3</v>
      </c>
      <c r="AT296" s="6">
        <v>865.25726299999997</v>
      </c>
      <c r="AU296" s="4">
        <v>0.01</v>
      </c>
      <c r="AW296" s="4" t="s">
        <v>147</v>
      </c>
      <c r="AX296" s="4">
        <v>0.9</v>
      </c>
      <c r="AY296" s="4">
        <v>0.5</v>
      </c>
      <c r="AZ296" s="4">
        <v>0.6</v>
      </c>
      <c r="BA296" s="4">
        <v>0.31</v>
      </c>
      <c r="BB296" s="4">
        <v>896.30426</v>
      </c>
      <c r="BC296" s="4">
        <v>5.0000000000000001E-3</v>
      </c>
      <c r="BD296" s="5"/>
      <c r="BE296" s="5"/>
      <c r="BF296" s="5"/>
      <c r="BG296" s="5"/>
      <c r="BI296" s="4" t="s">
        <v>147</v>
      </c>
      <c r="BJ296" s="4">
        <v>0.9</v>
      </c>
      <c r="BK296" s="4">
        <v>0.5</v>
      </c>
      <c r="BL296" s="4">
        <v>0.6</v>
      </c>
      <c r="BM296" s="4">
        <v>0.3</v>
      </c>
      <c r="BN296" s="6">
        <v>844.38079800000003</v>
      </c>
      <c r="BO296" s="4">
        <v>6.0000000000000001E-3</v>
      </c>
      <c r="BQ296" s="4" t="s">
        <v>147</v>
      </c>
      <c r="BR296" s="4">
        <v>0.9</v>
      </c>
      <c r="BS296" s="4">
        <v>0.5</v>
      </c>
      <c r="BT296" s="4">
        <v>0.6</v>
      </c>
      <c r="BU296" s="4">
        <v>0.3</v>
      </c>
      <c r="BV296" s="4">
        <v>876.181152</v>
      </c>
      <c r="BW296" s="4">
        <v>8.0000000000000002E-3</v>
      </c>
      <c r="BX296" s="5"/>
      <c r="BY296" s="5"/>
      <c r="BZ296" s="5"/>
      <c r="CA296" s="5"/>
    </row>
    <row r="297" spans="1:79" x14ac:dyDescent="0.3">
      <c r="A297" s="4" t="s">
        <v>148</v>
      </c>
      <c r="B297" s="4">
        <v>0.9</v>
      </c>
      <c r="C297" s="4">
        <v>0.5</v>
      </c>
      <c r="D297" s="4">
        <v>0.6</v>
      </c>
      <c r="E297" s="4">
        <v>0.3</v>
      </c>
      <c r="F297" s="6">
        <v>596.07830799999999</v>
      </c>
      <c r="G297" s="4">
        <v>1E-3</v>
      </c>
      <c r="I297" s="4" t="s">
        <v>148</v>
      </c>
      <c r="J297" s="4">
        <v>0.9</v>
      </c>
      <c r="K297" s="4">
        <v>0.5</v>
      </c>
      <c r="L297" s="4">
        <v>0.6</v>
      </c>
      <c r="M297" s="4">
        <v>0.32</v>
      </c>
      <c r="N297" s="4">
        <v>607.64044200000001</v>
      </c>
      <c r="O297" s="4">
        <v>1E-3</v>
      </c>
      <c r="P297" s="5"/>
      <c r="Q297" s="5"/>
      <c r="R297" s="5"/>
      <c r="S297" s="5"/>
      <c r="U297" s="4" t="s">
        <v>148</v>
      </c>
      <c r="V297" s="4">
        <v>0.9</v>
      </c>
      <c r="W297" s="4">
        <v>0.5</v>
      </c>
      <c r="X297" s="4">
        <v>0.6</v>
      </c>
      <c r="Y297" s="4">
        <v>0.3</v>
      </c>
      <c r="Z297" s="4">
        <v>602.31835899999999</v>
      </c>
      <c r="AA297" s="4">
        <v>1E-3</v>
      </c>
      <c r="AC297" s="4" t="s">
        <v>148</v>
      </c>
      <c r="AD297" s="4">
        <v>0.9</v>
      </c>
      <c r="AE297" s="4">
        <v>0.5</v>
      </c>
      <c r="AF297" s="4">
        <v>0.6</v>
      </c>
      <c r="AG297" s="4">
        <v>0.32</v>
      </c>
      <c r="AH297" s="6">
        <v>592.40100099999995</v>
      </c>
      <c r="AI297" s="4">
        <v>2E-3</v>
      </c>
      <c r="AJ297" s="5"/>
      <c r="AK297" s="5"/>
      <c r="AL297" s="5"/>
      <c r="AM297" s="5"/>
      <c r="AO297" s="4" t="s">
        <v>149</v>
      </c>
      <c r="AP297" s="4">
        <v>0.9</v>
      </c>
      <c r="AQ297" s="4">
        <v>0.5</v>
      </c>
      <c r="AR297" s="4">
        <v>0.6</v>
      </c>
      <c r="AS297" s="4">
        <v>0.3</v>
      </c>
      <c r="AT297" s="6">
        <v>874.792236</v>
      </c>
      <c r="AU297" s="4">
        <v>7.0000000000000001E-3</v>
      </c>
      <c r="AW297" s="4" t="s">
        <v>149</v>
      </c>
      <c r="AX297" s="4">
        <v>0.9</v>
      </c>
      <c r="AY297" s="4">
        <v>0.5</v>
      </c>
      <c r="AZ297" s="4">
        <v>0.6</v>
      </c>
      <c r="BA297" s="4">
        <v>0.3</v>
      </c>
      <c r="BB297" s="4">
        <v>897.37554899999998</v>
      </c>
      <c r="BC297" s="4">
        <v>6.0000000000000001E-3</v>
      </c>
      <c r="BD297" s="5"/>
      <c r="BE297" s="5"/>
      <c r="BF297" s="5"/>
      <c r="BG297" s="5"/>
      <c r="BI297" s="4" t="s">
        <v>149</v>
      </c>
      <c r="BJ297" s="4">
        <v>0.9</v>
      </c>
      <c r="BK297" s="4">
        <v>0.5</v>
      </c>
      <c r="BL297" s="4">
        <v>0.6</v>
      </c>
      <c r="BM297" s="4">
        <v>0.3</v>
      </c>
      <c r="BN297" s="6">
        <v>857.71936000000005</v>
      </c>
      <c r="BO297" s="4">
        <v>5.0000000000000001E-3</v>
      </c>
      <c r="BQ297" s="4" t="s">
        <v>149</v>
      </c>
      <c r="BR297" s="4">
        <v>0.9</v>
      </c>
      <c r="BS297" s="4">
        <v>0.5</v>
      </c>
      <c r="BT297" s="4">
        <v>0.6</v>
      </c>
      <c r="BU297" s="4">
        <v>0.34</v>
      </c>
      <c r="BV297" s="4">
        <v>894.38647500000002</v>
      </c>
      <c r="BW297" s="4">
        <v>6.0000000000000001E-3</v>
      </c>
      <c r="BX297" s="5"/>
      <c r="BY297" s="5"/>
      <c r="BZ297" s="5"/>
      <c r="CA297" s="5"/>
    </row>
    <row r="298" spans="1:79" x14ac:dyDescent="0.3">
      <c r="A298" s="4" t="s">
        <v>150</v>
      </c>
      <c r="B298" s="4">
        <v>0.9</v>
      </c>
      <c r="C298" s="4">
        <v>0.5</v>
      </c>
      <c r="D298" s="4">
        <v>0.6</v>
      </c>
      <c r="E298" s="4">
        <v>0.3</v>
      </c>
      <c r="F298" s="6">
        <v>541.16216999999995</v>
      </c>
      <c r="G298" s="4">
        <v>1E-3</v>
      </c>
      <c r="I298" s="4" t="s">
        <v>150</v>
      </c>
      <c r="J298" s="4">
        <v>0.9</v>
      </c>
      <c r="K298" s="4">
        <v>0.5</v>
      </c>
      <c r="L298" s="4">
        <v>0.6</v>
      </c>
      <c r="M298" s="4">
        <v>0.31</v>
      </c>
      <c r="N298" s="4">
        <v>544.15313700000002</v>
      </c>
      <c r="O298" s="4">
        <v>1E-3</v>
      </c>
      <c r="P298" s="5"/>
      <c r="Q298" s="5"/>
      <c r="R298" s="5"/>
      <c r="S298" s="5"/>
      <c r="U298" s="4" t="s">
        <v>150</v>
      </c>
      <c r="V298" s="4">
        <v>0.9</v>
      </c>
      <c r="W298" s="4">
        <v>0.5</v>
      </c>
      <c r="X298" s="4">
        <v>0.6</v>
      </c>
      <c r="Y298" s="4">
        <v>0.3</v>
      </c>
      <c r="Z298" s="6">
        <v>521.92016599999999</v>
      </c>
      <c r="AA298" s="4">
        <v>1E-3</v>
      </c>
      <c r="AC298" s="4" t="s">
        <v>150</v>
      </c>
      <c r="AD298" s="4">
        <v>0.9</v>
      </c>
      <c r="AE298" s="4">
        <v>0.5</v>
      </c>
      <c r="AF298" s="4">
        <v>0.6</v>
      </c>
      <c r="AG298" s="4">
        <v>0.39</v>
      </c>
      <c r="AH298" s="4">
        <v>527.41577099999995</v>
      </c>
      <c r="AI298" s="4">
        <v>2E-3</v>
      </c>
      <c r="AJ298" s="5"/>
      <c r="AK298" s="5"/>
      <c r="AL298" s="5"/>
      <c r="AM298" s="5"/>
      <c r="AO298" s="4" t="s">
        <v>151</v>
      </c>
      <c r="AP298" s="4">
        <v>0.9</v>
      </c>
      <c r="AQ298" s="4">
        <v>0.5</v>
      </c>
      <c r="AR298" s="4">
        <v>0.6</v>
      </c>
      <c r="AS298" s="4">
        <v>0.3</v>
      </c>
      <c r="AT298" s="4">
        <v>789.73742700000003</v>
      </c>
      <c r="AU298" s="4">
        <v>5.0000000000000001E-3</v>
      </c>
      <c r="AW298" s="4" t="s">
        <v>151</v>
      </c>
      <c r="AX298" s="4">
        <v>0.9</v>
      </c>
      <c r="AY298" s="4">
        <v>0.5</v>
      </c>
      <c r="AZ298" s="4">
        <v>0.6</v>
      </c>
      <c r="BA298" s="4">
        <v>0.31</v>
      </c>
      <c r="BB298" s="6">
        <v>786.57696499999997</v>
      </c>
      <c r="BC298" s="4">
        <v>5.0000000000000001E-3</v>
      </c>
      <c r="BD298" s="5"/>
      <c r="BE298" s="5"/>
      <c r="BF298" s="5"/>
      <c r="BG298" s="5"/>
      <c r="BI298" s="4" t="s">
        <v>151</v>
      </c>
      <c r="BJ298" s="4">
        <v>0.9</v>
      </c>
      <c r="BK298" s="4">
        <v>0.5</v>
      </c>
      <c r="BL298" s="4">
        <v>0.6</v>
      </c>
      <c r="BM298" s="4">
        <v>0.3</v>
      </c>
      <c r="BN298" s="6">
        <v>770.75048800000002</v>
      </c>
      <c r="BO298" s="4">
        <v>7.0000000000000001E-3</v>
      </c>
      <c r="BQ298" s="4" t="s">
        <v>151</v>
      </c>
      <c r="BR298" s="4">
        <v>0.9</v>
      </c>
      <c r="BS298" s="4">
        <v>0.5</v>
      </c>
      <c r="BT298" s="4">
        <v>0.6</v>
      </c>
      <c r="BU298" s="4">
        <v>0.32</v>
      </c>
      <c r="BV298" s="4">
        <v>793.04016100000001</v>
      </c>
      <c r="BW298" s="4">
        <v>5.0000000000000001E-3</v>
      </c>
      <c r="BX298" s="5"/>
      <c r="BY298" s="5"/>
      <c r="BZ298" s="5"/>
      <c r="CA298" s="5"/>
    </row>
    <row r="299" spans="1:79" x14ac:dyDescent="0.3">
      <c r="A299" s="4" t="s">
        <v>152</v>
      </c>
      <c r="B299" s="4">
        <v>0.9</v>
      </c>
      <c r="C299" s="4">
        <v>0.5</v>
      </c>
      <c r="D299" s="4">
        <v>0.6</v>
      </c>
      <c r="E299" s="4">
        <v>0.3</v>
      </c>
      <c r="F299" s="6">
        <v>598.81457499999999</v>
      </c>
      <c r="G299" s="4">
        <v>1E-3</v>
      </c>
      <c r="I299" s="4" t="s">
        <v>152</v>
      </c>
      <c r="J299" s="4">
        <v>0.9</v>
      </c>
      <c r="K299" s="4">
        <v>0.5</v>
      </c>
      <c r="L299" s="4">
        <v>0.6</v>
      </c>
      <c r="M299" s="4">
        <v>0.3</v>
      </c>
      <c r="N299" s="4">
        <v>603.92804000000001</v>
      </c>
      <c r="O299" s="4">
        <v>2E-3</v>
      </c>
      <c r="P299" s="5"/>
      <c r="Q299" s="5"/>
      <c r="R299" s="5"/>
      <c r="S299" s="5"/>
      <c r="U299" s="4" t="s">
        <v>152</v>
      </c>
      <c r="V299" s="4">
        <v>0.9</v>
      </c>
      <c r="W299" s="4">
        <v>0.5</v>
      </c>
      <c r="X299" s="4">
        <v>0.6</v>
      </c>
      <c r="Y299" s="4">
        <v>0.3</v>
      </c>
      <c r="Z299" s="6">
        <v>581.80120799999997</v>
      </c>
      <c r="AA299" s="4">
        <v>2E-3</v>
      </c>
      <c r="AC299" s="4" t="s">
        <v>152</v>
      </c>
      <c r="AD299" s="4">
        <v>0.9</v>
      </c>
      <c r="AE299" s="4">
        <v>0.5</v>
      </c>
      <c r="AF299" s="4">
        <v>0.6</v>
      </c>
      <c r="AG299" s="4">
        <v>0.3</v>
      </c>
      <c r="AH299" s="4">
        <v>594.527649</v>
      </c>
      <c r="AI299" s="4">
        <v>2E-3</v>
      </c>
      <c r="AJ299" s="5"/>
      <c r="AK299" s="5"/>
      <c r="AL299" s="5"/>
      <c r="AM299" s="5"/>
      <c r="AO299" s="4" t="s">
        <v>153</v>
      </c>
      <c r="AP299" s="4">
        <v>0.9</v>
      </c>
      <c r="AQ299" s="4">
        <v>0.5</v>
      </c>
      <c r="AR299" s="4">
        <v>0.6</v>
      </c>
      <c r="AS299" s="4">
        <v>0.3</v>
      </c>
      <c r="AT299" s="4">
        <v>873.22882100000004</v>
      </c>
      <c r="AU299" s="4">
        <v>8.0000000000000002E-3</v>
      </c>
      <c r="AW299" s="4" t="s">
        <v>153</v>
      </c>
      <c r="AX299" s="4">
        <v>0.9</v>
      </c>
      <c r="AY299" s="4">
        <v>0.5</v>
      </c>
      <c r="AZ299" s="4">
        <v>0.6</v>
      </c>
      <c r="BA299" s="4">
        <v>0.31</v>
      </c>
      <c r="BB299" s="6">
        <v>862.30883800000004</v>
      </c>
      <c r="BC299" s="4">
        <v>6.0000000000000001E-3</v>
      </c>
      <c r="BD299" s="5"/>
      <c r="BE299" s="5"/>
      <c r="BF299" s="5"/>
      <c r="BG299" s="5"/>
      <c r="BI299" s="4" t="s">
        <v>153</v>
      </c>
      <c r="BJ299" s="4">
        <v>0.9</v>
      </c>
      <c r="BK299" s="4">
        <v>0.5</v>
      </c>
      <c r="BL299" s="4">
        <v>0.6</v>
      </c>
      <c r="BM299" s="4">
        <v>0.3</v>
      </c>
      <c r="BN299" s="6">
        <v>847.91674799999998</v>
      </c>
      <c r="BO299" s="4">
        <v>6.0000000000000001E-3</v>
      </c>
      <c r="BQ299" s="4" t="s">
        <v>153</v>
      </c>
      <c r="BR299" s="4">
        <v>0.9</v>
      </c>
      <c r="BS299" s="4">
        <v>0.5</v>
      </c>
      <c r="BT299" s="4">
        <v>0.6</v>
      </c>
      <c r="BU299" s="4">
        <v>0.31</v>
      </c>
      <c r="BV299" s="4">
        <v>883.34667999999999</v>
      </c>
      <c r="BW299" s="4">
        <v>8.9999999999999993E-3</v>
      </c>
      <c r="BX299" s="5"/>
      <c r="BY299" s="5"/>
      <c r="BZ299" s="5"/>
      <c r="CA299" s="5"/>
    </row>
    <row r="300" spans="1:79" x14ac:dyDescent="0.3">
      <c r="A300" s="4" t="s">
        <v>154</v>
      </c>
      <c r="B300" s="4">
        <v>0.9</v>
      </c>
      <c r="C300" s="4">
        <v>0.5</v>
      </c>
      <c r="D300" s="4">
        <v>0.6</v>
      </c>
      <c r="E300" s="4">
        <v>0.3</v>
      </c>
      <c r="F300" s="6">
        <v>606.855774</v>
      </c>
      <c r="G300" s="4">
        <v>1E-3</v>
      </c>
      <c r="I300" s="4" t="s">
        <v>154</v>
      </c>
      <c r="J300" s="4">
        <v>0.9</v>
      </c>
      <c r="K300" s="4">
        <v>0.5</v>
      </c>
      <c r="L300" s="4">
        <v>0.6</v>
      </c>
      <c r="M300" s="4">
        <v>0.3</v>
      </c>
      <c r="N300" s="4">
        <v>624.33819600000004</v>
      </c>
      <c r="O300" s="4">
        <v>1E-3</v>
      </c>
      <c r="P300" s="5"/>
      <c r="Q300" s="5"/>
      <c r="R300" s="5"/>
      <c r="S300" s="5"/>
      <c r="U300" s="4" t="s">
        <v>154</v>
      </c>
      <c r="V300" s="4">
        <v>0.9</v>
      </c>
      <c r="W300" s="4">
        <v>0.5</v>
      </c>
      <c r="X300" s="4">
        <v>0.6</v>
      </c>
      <c r="Y300" s="4">
        <v>0.3</v>
      </c>
      <c r="Z300" s="6">
        <v>603.57415800000001</v>
      </c>
      <c r="AA300" s="4">
        <v>3.0000000000000001E-3</v>
      </c>
      <c r="AC300" s="4" t="s">
        <v>154</v>
      </c>
      <c r="AD300" s="4">
        <v>0.9</v>
      </c>
      <c r="AE300" s="4">
        <v>0.5</v>
      </c>
      <c r="AF300" s="4">
        <v>0.6</v>
      </c>
      <c r="AG300" s="4">
        <v>0.3</v>
      </c>
      <c r="AH300" s="4">
        <v>605.00427200000001</v>
      </c>
      <c r="AI300" s="4">
        <v>2E-3</v>
      </c>
      <c r="AJ300" s="5"/>
      <c r="AK300" s="5"/>
      <c r="AL300" s="5"/>
      <c r="AM300" s="5"/>
      <c r="AO300" s="4" t="s">
        <v>155</v>
      </c>
      <c r="AP300" s="4">
        <v>0.9</v>
      </c>
      <c r="AQ300" s="4">
        <v>0.5</v>
      </c>
      <c r="AR300" s="4">
        <v>0.6</v>
      </c>
      <c r="AS300" s="4">
        <v>0.3</v>
      </c>
      <c r="AT300" s="6">
        <v>1103.6235349999999</v>
      </c>
      <c r="AU300" s="4">
        <v>8.9999999999999993E-3</v>
      </c>
      <c r="AW300" s="4" t="s">
        <v>155</v>
      </c>
      <c r="AX300" s="4">
        <v>0.9</v>
      </c>
      <c r="AY300" s="4">
        <v>0.5</v>
      </c>
      <c r="AZ300" s="4">
        <v>0.6</v>
      </c>
      <c r="BA300" s="4">
        <v>0.34</v>
      </c>
      <c r="BB300" s="4">
        <v>1137.1046140000001</v>
      </c>
      <c r="BC300" s="4">
        <v>7.0000000000000001E-3</v>
      </c>
      <c r="BD300" s="5"/>
      <c r="BE300" s="5"/>
      <c r="BF300" s="5"/>
      <c r="BG300" s="5"/>
      <c r="BI300" s="4" t="s">
        <v>155</v>
      </c>
      <c r="BJ300" s="4">
        <v>0.9</v>
      </c>
      <c r="BK300" s="4">
        <v>0.5</v>
      </c>
      <c r="BL300" s="4">
        <v>0.6</v>
      </c>
      <c r="BM300" s="4">
        <v>0.3</v>
      </c>
      <c r="BN300" s="6">
        <v>1099.0969239999999</v>
      </c>
      <c r="BO300" s="4">
        <v>8.0000000000000002E-3</v>
      </c>
      <c r="BQ300" s="4" t="s">
        <v>155</v>
      </c>
      <c r="BR300" s="4">
        <v>0.9</v>
      </c>
      <c r="BS300" s="4">
        <v>0.5</v>
      </c>
      <c r="BT300" s="4">
        <v>0.6</v>
      </c>
      <c r="BU300" s="4">
        <v>0.3</v>
      </c>
      <c r="BV300" s="4">
        <v>1137.727539</v>
      </c>
      <c r="BW300" s="4">
        <v>8.0000000000000002E-3</v>
      </c>
      <c r="BX300" s="5"/>
      <c r="BY300" s="5"/>
      <c r="BZ300" s="5"/>
      <c r="CA300" s="5"/>
    </row>
    <row r="301" spans="1:79" x14ac:dyDescent="0.3">
      <c r="A301" s="4" t="s">
        <v>156</v>
      </c>
      <c r="B301" s="4">
        <v>0.9</v>
      </c>
      <c r="C301" s="4">
        <v>0.5</v>
      </c>
      <c r="D301" s="4">
        <v>0.6</v>
      </c>
      <c r="E301" s="4">
        <v>0.3</v>
      </c>
      <c r="F301" s="6">
        <v>662.14514199999996</v>
      </c>
      <c r="G301" s="4">
        <v>1E-3</v>
      </c>
      <c r="I301" s="4" t="s">
        <v>156</v>
      </c>
      <c r="J301" s="4">
        <v>0.9</v>
      </c>
      <c r="K301" s="4">
        <v>0.5</v>
      </c>
      <c r="L301" s="4">
        <v>0.6</v>
      </c>
      <c r="M301" s="4">
        <v>0.37</v>
      </c>
      <c r="N301" s="4">
        <v>665.50781199999994</v>
      </c>
      <c r="O301" s="4">
        <v>2E-3</v>
      </c>
      <c r="P301" s="5"/>
      <c r="Q301" s="5"/>
      <c r="R301" s="5"/>
      <c r="S301" s="5"/>
      <c r="U301" s="4" t="s">
        <v>156</v>
      </c>
      <c r="V301" s="4">
        <v>0.9</v>
      </c>
      <c r="W301" s="4">
        <v>0.5</v>
      </c>
      <c r="X301" s="4">
        <v>0.6</v>
      </c>
      <c r="Y301" s="4">
        <v>0.3</v>
      </c>
      <c r="Z301" s="6">
        <v>648.69305399999996</v>
      </c>
      <c r="AA301" s="4">
        <v>1E-3</v>
      </c>
      <c r="AC301" s="4" t="s">
        <v>156</v>
      </c>
      <c r="AD301" s="4">
        <v>0.9</v>
      </c>
      <c r="AE301" s="4">
        <v>0.5</v>
      </c>
      <c r="AF301" s="4">
        <v>0.6</v>
      </c>
      <c r="AG301" s="4">
        <v>0.31</v>
      </c>
      <c r="AH301" s="4">
        <v>662.57421899999997</v>
      </c>
      <c r="AI301" s="4">
        <v>2E-3</v>
      </c>
      <c r="AJ301" s="5"/>
      <c r="AK301" s="5"/>
      <c r="AL301" s="5"/>
      <c r="AM301" s="5"/>
      <c r="AO301" s="4" t="s">
        <v>157</v>
      </c>
      <c r="AP301" s="4">
        <v>0.9</v>
      </c>
      <c r="AQ301" s="4">
        <v>0.5</v>
      </c>
      <c r="AR301" s="4">
        <v>0.6</v>
      </c>
      <c r="AS301" s="4">
        <v>0.3</v>
      </c>
      <c r="AT301" s="6">
        <v>1041.415283</v>
      </c>
      <c r="AU301" s="4">
        <v>0.01</v>
      </c>
      <c r="AW301" s="4" t="s">
        <v>157</v>
      </c>
      <c r="AX301" s="4">
        <v>0.9</v>
      </c>
      <c r="AY301" s="4">
        <v>0.5</v>
      </c>
      <c r="AZ301" s="4">
        <v>0.6</v>
      </c>
      <c r="BA301" s="4">
        <v>0.3</v>
      </c>
      <c r="BB301" s="4">
        <v>1057.699341</v>
      </c>
      <c r="BC301" s="4">
        <v>6.0000000000000001E-3</v>
      </c>
      <c r="BD301" s="5"/>
      <c r="BE301" s="5"/>
      <c r="BF301" s="5"/>
      <c r="BG301" s="5"/>
      <c r="BI301" s="4" t="s">
        <v>157</v>
      </c>
      <c r="BJ301" s="4">
        <v>0.9</v>
      </c>
      <c r="BK301" s="4">
        <v>0.5</v>
      </c>
      <c r="BL301" s="4">
        <v>0.6</v>
      </c>
      <c r="BM301" s="4">
        <v>0.3</v>
      </c>
      <c r="BN301" s="6">
        <v>1031.7647710000001</v>
      </c>
      <c r="BO301" s="4">
        <v>8.0000000000000002E-3</v>
      </c>
      <c r="BQ301" s="4" t="s">
        <v>157</v>
      </c>
      <c r="BR301" s="4">
        <v>0.9</v>
      </c>
      <c r="BS301" s="4">
        <v>0.5</v>
      </c>
      <c r="BT301" s="4">
        <v>0.6</v>
      </c>
      <c r="BU301" s="4">
        <v>0.3</v>
      </c>
      <c r="BV301" s="4">
        <v>1048.522461</v>
      </c>
      <c r="BW301" s="4">
        <v>1.0999999999999999E-2</v>
      </c>
      <c r="BX301" s="5"/>
      <c r="BY301" s="5"/>
      <c r="BZ301" s="5"/>
      <c r="CA301" s="5"/>
    </row>
    <row r="302" spans="1:79" x14ac:dyDescent="0.3">
      <c r="A302" s="4" t="s">
        <v>158</v>
      </c>
      <c r="B302" s="4">
        <v>0.9</v>
      </c>
      <c r="C302" s="4">
        <v>0.5</v>
      </c>
      <c r="D302" s="4">
        <v>0.6</v>
      </c>
      <c r="E302" s="4">
        <v>0.3</v>
      </c>
      <c r="F302" s="4">
        <v>662.15148899999997</v>
      </c>
      <c r="G302" s="4">
        <v>2E-3</v>
      </c>
      <c r="I302" s="4" t="s">
        <v>158</v>
      </c>
      <c r="J302" s="4">
        <v>0.9</v>
      </c>
      <c r="K302" s="4">
        <v>0.5</v>
      </c>
      <c r="L302" s="4">
        <v>0.6</v>
      </c>
      <c r="M302" s="4">
        <v>0.3</v>
      </c>
      <c r="N302" s="6">
        <v>659.23333700000001</v>
      </c>
      <c r="O302" s="4">
        <v>2E-3</v>
      </c>
      <c r="P302" s="5"/>
      <c r="Q302" s="5"/>
      <c r="R302" s="5"/>
      <c r="S302" s="5"/>
      <c r="U302" s="4" t="s">
        <v>158</v>
      </c>
      <c r="V302" s="4">
        <v>0.9</v>
      </c>
      <c r="W302" s="4">
        <v>0.5</v>
      </c>
      <c r="X302" s="4">
        <v>0.6</v>
      </c>
      <c r="Y302" s="4">
        <v>0.3</v>
      </c>
      <c r="Z302" s="6">
        <v>663.27984600000002</v>
      </c>
      <c r="AA302" s="4">
        <v>2E-3</v>
      </c>
      <c r="AC302" s="4" t="s">
        <v>158</v>
      </c>
      <c r="AD302" s="4">
        <v>0.9</v>
      </c>
      <c r="AE302" s="4">
        <v>0.5</v>
      </c>
      <c r="AF302" s="4">
        <v>0.6</v>
      </c>
      <c r="AG302" s="4">
        <v>0.31</v>
      </c>
      <c r="AH302" s="4">
        <v>674.02233899999999</v>
      </c>
      <c r="AI302" s="4">
        <v>2E-3</v>
      </c>
      <c r="AJ302" s="5"/>
      <c r="AK302" s="5"/>
      <c r="AL302" s="5"/>
      <c r="AM302" s="5"/>
      <c r="AO302" s="4" t="s">
        <v>159</v>
      </c>
      <c r="AP302" s="4">
        <v>0.9</v>
      </c>
      <c r="AQ302" s="4">
        <v>0.5</v>
      </c>
      <c r="AR302" s="4">
        <v>0.6</v>
      </c>
      <c r="AS302" s="4">
        <v>0.3</v>
      </c>
      <c r="AT302" s="6">
        <v>969.98309300000005</v>
      </c>
      <c r="AU302" s="4">
        <v>8.0000000000000002E-3</v>
      </c>
      <c r="AW302" s="4" t="s">
        <v>159</v>
      </c>
      <c r="AX302" s="4">
        <v>0.9</v>
      </c>
      <c r="AY302" s="4">
        <v>0.5</v>
      </c>
      <c r="AZ302" s="4">
        <v>0.6</v>
      </c>
      <c r="BA302" s="4">
        <v>0.33</v>
      </c>
      <c r="BB302" s="4">
        <v>984.46423300000004</v>
      </c>
      <c r="BC302" s="4">
        <v>6.0000000000000001E-3</v>
      </c>
      <c r="BD302" s="5"/>
      <c r="BE302" s="5"/>
      <c r="BF302" s="5"/>
      <c r="BG302" s="5"/>
      <c r="BI302" s="4" t="s">
        <v>159</v>
      </c>
      <c r="BJ302" s="4">
        <v>0.9</v>
      </c>
      <c r="BK302" s="4">
        <v>0.5</v>
      </c>
      <c r="BL302" s="4">
        <v>0.6</v>
      </c>
      <c r="BM302" s="4">
        <v>0.3</v>
      </c>
      <c r="BN302" s="6">
        <v>963.83734100000004</v>
      </c>
      <c r="BO302" s="4">
        <v>7.0000000000000001E-3</v>
      </c>
      <c r="BQ302" s="4" t="s">
        <v>159</v>
      </c>
      <c r="BR302" s="4">
        <v>0.9</v>
      </c>
      <c r="BS302" s="4">
        <v>0.5</v>
      </c>
      <c r="BT302" s="4">
        <v>0.6</v>
      </c>
      <c r="BU302" s="4">
        <v>0.31</v>
      </c>
      <c r="BV302" s="4">
        <v>1016.740784</v>
      </c>
      <c r="BW302" s="4">
        <v>8.0000000000000002E-3</v>
      </c>
      <c r="BX302" s="5"/>
      <c r="BY302" s="5"/>
      <c r="BZ302" s="5"/>
      <c r="CA302" s="5"/>
    </row>
    <row r="303" spans="1:79" x14ac:dyDescent="0.3">
      <c r="A303" s="4" t="s">
        <v>160</v>
      </c>
      <c r="B303" s="4">
        <v>0.9</v>
      </c>
      <c r="C303" s="4">
        <v>0.5</v>
      </c>
      <c r="D303" s="4">
        <v>0.6</v>
      </c>
      <c r="E303" s="4">
        <v>0.3</v>
      </c>
      <c r="F303" s="6">
        <v>600.62872300000004</v>
      </c>
      <c r="G303" s="4">
        <v>1E-3</v>
      </c>
      <c r="I303" s="4" t="s">
        <v>160</v>
      </c>
      <c r="J303" s="4">
        <v>0.9</v>
      </c>
      <c r="K303" s="4">
        <v>0.5</v>
      </c>
      <c r="L303" s="4">
        <v>0.6</v>
      </c>
      <c r="M303" s="4">
        <v>0.33</v>
      </c>
      <c r="N303" s="4">
        <v>612.20648200000005</v>
      </c>
      <c r="O303" s="4">
        <v>1E-3</v>
      </c>
      <c r="P303" s="5"/>
      <c r="Q303" s="5"/>
      <c r="R303" s="5"/>
      <c r="S303" s="5"/>
      <c r="U303" s="4" t="s">
        <v>160</v>
      </c>
      <c r="V303" s="4">
        <v>0.9</v>
      </c>
      <c r="W303" s="4">
        <v>0.5</v>
      </c>
      <c r="X303" s="4">
        <v>0.6</v>
      </c>
      <c r="Y303" s="4">
        <v>0.3</v>
      </c>
      <c r="Z303" s="6">
        <v>591.32275400000003</v>
      </c>
      <c r="AA303" s="4">
        <v>2E-3</v>
      </c>
      <c r="AC303" s="4" t="s">
        <v>160</v>
      </c>
      <c r="AD303" s="4">
        <v>0.9</v>
      </c>
      <c r="AE303" s="4">
        <v>0.5</v>
      </c>
      <c r="AF303" s="4">
        <v>0.6</v>
      </c>
      <c r="AG303" s="4">
        <v>0.33</v>
      </c>
      <c r="AH303" s="4">
        <v>606.03173800000002</v>
      </c>
      <c r="AI303" s="4">
        <v>6.0000000000000001E-3</v>
      </c>
      <c r="AJ303" s="5"/>
      <c r="AK303" s="5"/>
      <c r="AL303" s="5"/>
      <c r="AM303" s="5"/>
      <c r="AO303" s="4" t="s">
        <v>161</v>
      </c>
      <c r="AP303" s="4">
        <v>0.9</v>
      </c>
      <c r="AQ303" s="4">
        <v>0.5</v>
      </c>
      <c r="AR303" s="4">
        <v>0.6</v>
      </c>
      <c r="AS303" s="4">
        <v>0.3</v>
      </c>
      <c r="AT303" s="6">
        <v>1060.4702150000001</v>
      </c>
      <c r="AU303" s="4">
        <v>0.01</v>
      </c>
      <c r="AW303" s="4" t="s">
        <v>161</v>
      </c>
      <c r="AX303" s="4">
        <v>0.9</v>
      </c>
      <c r="AY303" s="4">
        <v>0.5</v>
      </c>
      <c r="AZ303" s="4">
        <v>0.6</v>
      </c>
      <c r="BA303" s="4">
        <v>0.3</v>
      </c>
      <c r="BB303" s="4">
        <v>1070.4528809999999</v>
      </c>
      <c r="BC303" s="4">
        <v>6.0000000000000001E-3</v>
      </c>
      <c r="BD303" s="5"/>
      <c r="BE303" s="5"/>
      <c r="BF303" s="5"/>
      <c r="BG303" s="5"/>
      <c r="BI303" s="4" t="s">
        <v>161</v>
      </c>
      <c r="BJ303" s="4">
        <v>0.9</v>
      </c>
      <c r="BK303" s="4">
        <v>0.5</v>
      </c>
      <c r="BL303" s="4">
        <v>0.6</v>
      </c>
      <c r="BM303" s="4">
        <v>0.3</v>
      </c>
      <c r="BN303" s="6">
        <v>1029.383423</v>
      </c>
      <c r="BO303" s="4">
        <v>7.0000000000000001E-3</v>
      </c>
      <c r="BQ303" s="4" t="s">
        <v>161</v>
      </c>
      <c r="BR303" s="4">
        <v>0.9</v>
      </c>
      <c r="BS303" s="4">
        <v>0.5</v>
      </c>
      <c r="BT303" s="4">
        <v>0.6</v>
      </c>
      <c r="BU303" s="4">
        <v>0.31</v>
      </c>
      <c r="BV303" s="4">
        <v>1031.513794</v>
      </c>
      <c r="BW303" s="4">
        <v>7.0000000000000001E-3</v>
      </c>
      <c r="BX303" s="5"/>
      <c r="BY303" s="5"/>
      <c r="BZ303" s="5"/>
      <c r="CA303" s="5"/>
    </row>
    <row r="304" spans="1:79" x14ac:dyDescent="0.3">
      <c r="A304" s="4" t="s">
        <v>162</v>
      </c>
      <c r="B304" s="4">
        <v>0.9</v>
      </c>
      <c r="C304" s="4">
        <v>0.5</v>
      </c>
      <c r="D304" s="4">
        <v>0.6</v>
      </c>
      <c r="E304" s="4">
        <v>0.3</v>
      </c>
      <c r="F304" s="6">
        <v>600.643372</v>
      </c>
      <c r="G304" s="4">
        <v>2E-3</v>
      </c>
      <c r="I304" s="4" t="s">
        <v>162</v>
      </c>
      <c r="J304" s="4">
        <v>0.9</v>
      </c>
      <c r="K304" s="4">
        <v>0.5</v>
      </c>
      <c r="L304" s="4">
        <v>0.6</v>
      </c>
      <c r="M304" s="4">
        <v>0.34</v>
      </c>
      <c r="N304" s="4">
        <v>627.98272699999995</v>
      </c>
      <c r="O304" s="4">
        <v>2E-3</v>
      </c>
      <c r="P304" s="5"/>
      <c r="Q304" s="5"/>
      <c r="R304" s="5"/>
      <c r="S304" s="5"/>
      <c r="U304" s="4" t="s">
        <v>162</v>
      </c>
      <c r="V304" s="4">
        <v>0.9</v>
      </c>
      <c r="W304" s="4">
        <v>0.5</v>
      </c>
      <c r="X304" s="4">
        <v>0.6</v>
      </c>
      <c r="Y304" s="4">
        <v>0.3</v>
      </c>
      <c r="Z304" s="6">
        <v>615.48120100000006</v>
      </c>
      <c r="AA304" s="4">
        <v>4.0000000000000001E-3</v>
      </c>
      <c r="AC304" s="4" t="s">
        <v>162</v>
      </c>
      <c r="AD304" s="4">
        <v>0.9</v>
      </c>
      <c r="AE304" s="4">
        <v>0.5</v>
      </c>
      <c r="AF304" s="4">
        <v>0.6</v>
      </c>
      <c r="AG304" s="4">
        <v>0.33</v>
      </c>
      <c r="AH304" s="4">
        <v>629.09613000000002</v>
      </c>
      <c r="AI304" s="4">
        <v>5.0000000000000001E-3</v>
      </c>
      <c r="AJ304" s="5"/>
      <c r="AK304" s="5"/>
      <c r="AL304" s="5"/>
      <c r="AM304" s="5"/>
      <c r="AO304" s="4" t="s">
        <v>163</v>
      </c>
      <c r="AP304" s="4">
        <v>0.9</v>
      </c>
      <c r="AQ304" s="4">
        <v>0.5</v>
      </c>
      <c r="AR304" s="4">
        <v>0.6</v>
      </c>
      <c r="AS304" s="4">
        <v>0.3</v>
      </c>
      <c r="AT304" s="6">
        <v>1019.076416</v>
      </c>
      <c r="AU304" s="4">
        <v>1.0999999999999999E-2</v>
      </c>
      <c r="AW304" s="4" t="s">
        <v>163</v>
      </c>
      <c r="AX304" s="4">
        <v>0.9</v>
      </c>
      <c r="AY304" s="4">
        <v>0.5</v>
      </c>
      <c r="AZ304" s="4">
        <v>0.6</v>
      </c>
      <c r="BA304" s="4">
        <v>0.3</v>
      </c>
      <c r="BB304" s="4">
        <v>1034.730957</v>
      </c>
      <c r="BC304" s="4">
        <v>8.0000000000000002E-3</v>
      </c>
      <c r="BD304" s="5"/>
      <c r="BE304" s="5"/>
      <c r="BF304" s="5"/>
      <c r="BG304" s="5"/>
      <c r="BI304" s="4" t="s">
        <v>163</v>
      </c>
      <c r="BJ304" s="4">
        <v>0.9</v>
      </c>
      <c r="BK304" s="4">
        <v>0.5</v>
      </c>
      <c r="BL304" s="4">
        <v>0.6</v>
      </c>
      <c r="BM304" s="4">
        <v>0.3</v>
      </c>
      <c r="BN304" s="6">
        <v>1018.272827</v>
      </c>
      <c r="BO304" s="4">
        <v>7.0000000000000001E-3</v>
      </c>
      <c r="BQ304" s="4" t="s">
        <v>163</v>
      </c>
      <c r="BR304" s="4">
        <v>0.9</v>
      </c>
      <c r="BS304" s="4">
        <v>0.5</v>
      </c>
      <c r="BT304" s="4">
        <v>0.6</v>
      </c>
      <c r="BU304" s="4">
        <v>0.35</v>
      </c>
      <c r="BV304" s="4">
        <v>1044.086182</v>
      </c>
      <c r="BW304" s="4">
        <v>8.0000000000000002E-3</v>
      </c>
      <c r="BX304" s="5"/>
      <c r="BY304" s="5"/>
      <c r="BZ304" s="5"/>
      <c r="CA304" s="5"/>
    </row>
    <row r="305" spans="1:79" x14ac:dyDescent="0.3">
      <c r="A305" s="4" t="s">
        <v>164</v>
      </c>
      <c r="B305" s="4">
        <v>0.9</v>
      </c>
      <c r="C305" s="4">
        <v>0.5</v>
      </c>
      <c r="D305" s="4">
        <v>0.6</v>
      </c>
      <c r="E305" s="4">
        <v>0.3</v>
      </c>
      <c r="F305" s="6">
        <v>546.13262899999995</v>
      </c>
      <c r="G305" s="4">
        <v>2E-3</v>
      </c>
      <c r="I305" s="4" t="s">
        <v>164</v>
      </c>
      <c r="J305" s="4">
        <v>0.9</v>
      </c>
      <c r="K305" s="4">
        <v>0.5</v>
      </c>
      <c r="L305" s="4">
        <v>0.6</v>
      </c>
      <c r="M305" s="4">
        <v>0.3</v>
      </c>
      <c r="N305" s="4">
        <v>574.02374299999997</v>
      </c>
      <c r="O305" s="4">
        <v>2E-3</v>
      </c>
      <c r="P305" s="5"/>
      <c r="Q305" s="5"/>
      <c r="R305" s="5"/>
      <c r="S305" s="5"/>
      <c r="U305" s="4" t="s">
        <v>164</v>
      </c>
      <c r="V305" s="4">
        <v>0.9</v>
      </c>
      <c r="W305" s="4">
        <v>0.5</v>
      </c>
      <c r="X305" s="4">
        <v>0.6</v>
      </c>
      <c r="Y305" s="4">
        <v>0.3</v>
      </c>
      <c r="Z305" s="6">
        <v>535.23461899999995</v>
      </c>
      <c r="AA305" s="4">
        <v>2E-3</v>
      </c>
      <c r="AC305" s="4" t="s">
        <v>164</v>
      </c>
      <c r="AD305" s="4">
        <v>0.9</v>
      </c>
      <c r="AE305" s="4">
        <v>0.5</v>
      </c>
      <c r="AF305" s="4">
        <v>0.6</v>
      </c>
      <c r="AG305" s="4">
        <v>0.4</v>
      </c>
      <c r="AH305" s="4">
        <v>555.74310300000002</v>
      </c>
      <c r="AI305" s="4">
        <v>2E-3</v>
      </c>
      <c r="AJ305" s="5"/>
      <c r="AK305" s="5"/>
      <c r="AL305" s="5"/>
      <c r="AM305" s="5"/>
      <c r="AO305" s="4" t="s">
        <v>165</v>
      </c>
      <c r="AP305" s="4">
        <v>0.9</v>
      </c>
      <c r="AQ305" s="4">
        <v>0.5</v>
      </c>
      <c r="AR305" s="4">
        <v>0.6</v>
      </c>
      <c r="AS305" s="4">
        <v>0.3</v>
      </c>
      <c r="AT305" s="6">
        <v>959.12274200000002</v>
      </c>
      <c r="AU305" s="4">
        <v>8.9999999999999993E-3</v>
      </c>
      <c r="AW305" s="4" t="s">
        <v>165</v>
      </c>
      <c r="AX305" s="4">
        <v>0.9</v>
      </c>
      <c r="AY305" s="4">
        <v>0.5</v>
      </c>
      <c r="AZ305" s="4">
        <v>0.6</v>
      </c>
      <c r="BA305" s="4">
        <v>0.33</v>
      </c>
      <c r="BB305" s="4">
        <v>986.54943800000001</v>
      </c>
      <c r="BC305" s="4">
        <v>6.0000000000000001E-3</v>
      </c>
      <c r="BD305" s="5"/>
      <c r="BE305" s="5"/>
      <c r="BF305" s="5"/>
      <c r="BG305" s="5"/>
      <c r="BI305" s="4" t="s">
        <v>165</v>
      </c>
      <c r="BJ305" s="4">
        <v>0.9</v>
      </c>
      <c r="BK305" s="4">
        <v>0.5</v>
      </c>
      <c r="BL305" s="4">
        <v>0.6</v>
      </c>
      <c r="BM305" s="4">
        <v>0.3</v>
      </c>
      <c r="BN305" s="6">
        <v>946.27728300000001</v>
      </c>
      <c r="BO305" s="4">
        <v>7.0000000000000001E-3</v>
      </c>
      <c r="BQ305" s="4" t="s">
        <v>165</v>
      </c>
      <c r="BR305" s="4">
        <v>0.9</v>
      </c>
      <c r="BS305" s="4">
        <v>0.5</v>
      </c>
      <c r="BT305" s="4">
        <v>0.6</v>
      </c>
      <c r="BU305" s="4">
        <v>0.32</v>
      </c>
      <c r="BV305" s="4">
        <v>977.15210000000002</v>
      </c>
      <c r="BW305" s="4">
        <v>8.9999999999999993E-3</v>
      </c>
      <c r="BX305" s="5"/>
      <c r="BY305" s="5"/>
      <c r="BZ305" s="5"/>
      <c r="CA305" s="5"/>
    </row>
    <row r="306" spans="1:79" x14ac:dyDescent="0.3">
      <c r="A306" s="4" t="s">
        <v>166</v>
      </c>
      <c r="B306" s="4">
        <v>0.9</v>
      </c>
      <c r="C306" s="4">
        <v>0.5</v>
      </c>
      <c r="D306" s="4">
        <v>0.6</v>
      </c>
      <c r="E306" s="4">
        <v>0.3</v>
      </c>
      <c r="F306" s="6">
        <v>740.06402600000001</v>
      </c>
      <c r="G306" s="4">
        <v>2E-3</v>
      </c>
      <c r="I306" s="4" t="s">
        <v>166</v>
      </c>
      <c r="J306" s="4">
        <v>0.9</v>
      </c>
      <c r="K306" s="4">
        <v>0.5</v>
      </c>
      <c r="L306" s="4">
        <v>0.6</v>
      </c>
      <c r="M306" s="4">
        <v>0.33</v>
      </c>
      <c r="N306" s="4">
        <v>744.48632799999996</v>
      </c>
      <c r="O306" s="4">
        <v>2E-3</v>
      </c>
      <c r="P306" s="5"/>
      <c r="Q306" s="5"/>
      <c r="R306" s="5"/>
      <c r="S306" s="5"/>
      <c r="U306" s="4" t="s">
        <v>166</v>
      </c>
      <c r="V306" s="4">
        <v>0.9</v>
      </c>
      <c r="W306" s="4">
        <v>0.5</v>
      </c>
      <c r="X306" s="4">
        <v>0.6</v>
      </c>
      <c r="Y306" s="4">
        <v>0.3</v>
      </c>
      <c r="Z306" s="6">
        <v>733.37536599999999</v>
      </c>
      <c r="AA306" s="4">
        <v>2E-3</v>
      </c>
      <c r="AC306" s="4" t="s">
        <v>166</v>
      </c>
      <c r="AD306" s="4">
        <v>0.9</v>
      </c>
      <c r="AE306" s="4">
        <v>0.5</v>
      </c>
      <c r="AF306" s="4">
        <v>0.6</v>
      </c>
      <c r="AG306" s="4">
        <v>0.32</v>
      </c>
      <c r="AH306" s="4">
        <v>765.04540999999995</v>
      </c>
      <c r="AI306" s="4">
        <v>2E-3</v>
      </c>
      <c r="AJ306" s="5"/>
      <c r="AK306" s="5"/>
      <c r="AL306" s="5"/>
      <c r="AM306" s="5"/>
      <c r="AO306" s="4" t="s">
        <v>167</v>
      </c>
      <c r="AP306" s="4">
        <v>0.9</v>
      </c>
      <c r="AQ306" s="4">
        <v>0.5</v>
      </c>
      <c r="AR306" s="4">
        <v>0.6</v>
      </c>
      <c r="AS306" s="4">
        <v>0.3</v>
      </c>
      <c r="AT306" s="6">
        <v>970.05682400000001</v>
      </c>
      <c r="AU306" s="4">
        <v>8.0000000000000002E-3</v>
      </c>
      <c r="AW306" s="4" t="s">
        <v>167</v>
      </c>
      <c r="AX306" s="4">
        <v>0.9</v>
      </c>
      <c r="AY306" s="4">
        <v>0.5</v>
      </c>
      <c r="AZ306" s="4">
        <v>0.6</v>
      </c>
      <c r="BA306" s="4">
        <v>0.31</v>
      </c>
      <c r="BB306" s="4">
        <v>1001.8038330000001</v>
      </c>
      <c r="BC306" s="4">
        <v>7.0000000000000001E-3</v>
      </c>
      <c r="BD306" s="5"/>
      <c r="BE306" s="5"/>
      <c r="BF306" s="5"/>
      <c r="BG306" s="5"/>
      <c r="BI306" s="4" t="s">
        <v>167</v>
      </c>
      <c r="BJ306" s="4">
        <v>0.9</v>
      </c>
      <c r="BK306" s="4">
        <v>0.5</v>
      </c>
      <c r="BL306" s="4">
        <v>0.6</v>
      </c>
      <c r="BM306" s="4">
        <v>0.3</v>
      </c>
      <c r="BN306" s="8">
        <v>991.74468999999999</v>
      </c>
      <c r="BO306" s="4">
        <v>0.01</v>
      </c>
      <c r="BQ306" s="4" t="s">
        <v>167</v>
      </c>
      <c r="BR306" s="4">
        <v>0.9</v>
      </c>
      <c r="BS306" s="4">
        <v>0.5</v>
      </c>
      <c r="BT306" s="4">
        <v>0.6</v>
      </c>
      <c r="BU306" s="4">
        <v>0.3</v>
      </c>
      <c r="BV306" s="6">
        <v>991.55316200000004</v>
      </c>
      <c r="BW306" s="4">
        <v>1.2E-2</v>
      </c>
      <c r="BX306" s="5"/>
      <c r="BY306" s="5"/>
      <c r="BZ306" s="5"/>
      <c r="CA306" s="5"/>
    </row>
    <row r="307" spans="1:79" x14ac:dyDescent="0.3">
      <c r="A307" s="4" t="s">
        <v>168</v>
      </c>
      <c r="B307" s="4">
        <v>0.9</v>
      </c>
      <c r="C307" s="4">
        <v>0.5</v>
      </c>
      <c r="D307" s="4">
        <v>0.6</v>
      </c>
      <c r="E307" s="4">
        <v>0.3</v>
      </c>
      <c r="F307" s="6">
        <v>658.28814699999998</v>
      </c>
      <c r="G307" s="4">
        <v>1E-3</v>
      </c>
      <c r="I307" s="4" t="s">
        <v>168</v>
      </c>
      <c r="J307" s="4">
        <v>0.9</v>
      </c>
      <c r="K307" s="4">
        <v>0.5</v>
      </c>
      <c r="L307" s="4">
        <v>0.6</v>
      </c>
      <c r="M307" s="4">
        <v>0.3</v>
      </c>
      <c r="N307" s="4">
        <v>678.77984600000002</v>
      </c>
      <c r="O307" s="4">
        <v>2E-3</v>
      </c>
      <c r="P307" s="5"/>
      <c r="Q307" s="5"/>
      <c r="R307" s="5"/>
      <c r="S307" s="5"/>
      <c r="U307" s="4" t="s">
        <v>168</v>
      </c>
      <c r="V307" s="4">
        <v>0.9</v>
      </c>
      <c r="W307" s="4">
        <v>0.5</v>
      </c>
      <c r="X307" s="4">
        <v>0.6</v>
      </c>
      <c r="Y307" s="4">
        <v>0.3</v>
      </c>
      <c r="Z307" s="6">
        <v>667.80120799999997</v>
      </c>
      <c r="AA307" s="4">
        <v>3.0000000000000001E-3</v>
      </c>
      <c r="AC307" s="4" t="s">
        <v>168</v>
      </c>
      <c r="AD307" s="4">
        <v>0.9</v>
      </c>
      <c r="AE307" s="4">
        <v>0.5</v>
      </c>
      <c r="AF307" s="4">
        <v>0.6</v>
      </c>
      <c r="AG307" s="4">
        <v>0.43</v>
      </c>
      <c r="AH307" s="4">
        <v>674.73559599999999</v>
      </c>
      <c r="AI307" s="4">
        <v>2E-3</v>
      </c>
      <c r="AJ307" s="5"/>
      <c r="AK307" s="5"/>
      <c r="AL307" s="5"/>
      <c r="AM307" s="5"/>
      <c r="AO307" s="4" t="s">
        <v>169</v>
      </c>
      <c r="AP307" s="4">
        <v>0.9</v>
      </c>
      <c r="AQ307" s="4">
        <v>0.5</v>
      </c>
      <c r="AR307" s="4">
        <v>0.6</v>
      </c>
      <c r="AS307" s="4">
        <v>0.3</v>
      </c>
      <c r="AT307" s="6">
        <v>1015.312683</v>
      </c>
      <c r="AU307" s="4">
        <v>7.0000000000000001E-3</v>
      </c>
      <c r="AW307" s="4" t="s">
        <v>169</v>
      </c>
      <c r="AX307" s="4">
        <v>0.9</v>
      </c>
      <c r="AY307" s="4">
        <v>0.5</v>
      </c>
      <c r="AZ307" s="4">
        <v>0.6</v>
      </c>
      <c r="BA307" s="4">
        <v>0.33</v>
      </c>
      <c r="BB307" s="4">
        <v>1039.9860839999999</v>
      </c>
      <c r="BC307" s="4">
        <v>6.0000000000000001E-3</v>
      </c>
      <c r="BD307" s="5"/>
      <c r="BE307" s="5"/>
      <c r="BF307" s="5"/>
      <c r="BG307" s="5"/>
      <c r="BI307" s="4" t="s">
        <v>169</v>
      </c>
      <c r="BJ307" s="4">
        <v>0.9</v>
      </c>
      <c r="BK307" s="4">
        <v>0.5</v>
      </c>
      <c r="BL307" s="4">
        <v>0.6</v>
      </c>
      <c r="BM307" s="4">
        <v>0.3</v>
      </c>
      <c r="BN307" s="6">
        <v>1011.398071</v>
      </c>
      <c r="BO307" s="4">
        <v>6.0000000000000001E-3</v>
      </c>
      <c r="BQ307" s="4" t="s">
        <v>169</v>
      </c>
      <c r="BR307" s="4">
        <v>0.9</v>
      </c>
      <c r="BS307" s="4">
        <v>0.5</v>
      </c>
      <c r="BT307" s="4">
        <v>0.6</v>
      </c>
      <c r="BU307" s="4">
        <v>0.3</v>
      </c>
      <c r="BV307" s="4">
        <v>1037.3011469999999</v>
      </c>
      <c r="BW307" s="4">
        <v>8.0000000000000002E-3</v>
      </c>
      <c r="BX307" s="5"/>
      <c r="BY307" s="5"/>
      <c r="BZ307" s="5"/>
      <c r="CA307" s="5"/>
    </row>
    <row r="308" spans="1:79" x14ac:dyDescent="0.3">
      <c r="A308" s="4" t="s">
        <v>170</v>
      </c>
      <c r="B308" s="4">
        <v>0.9</v>
      </c>
      <c r="C308" s="4">
        <v>0.5</v>
      </c>
      <c r="D308" s="4">
        <v>0.6</v>
      </c>
      <c r="E308" s="4">
        <v>0.3</v>
      </c>
      <c r="F308" s="6">
        <v>701.655396</v>
      </c>
      <c r="G308" s="4">
        <v>1E-3</v>
      </c>
      <c r="I308" s="4" t="s">
        <v>170</v>
      </c>
      <c r="J308" s="4">
        <v>0.9</v>
      </c>
      <c r="K308" s="4">
        <v>0.5</v>
      </c>
      <c r="L308" s="4">
        <v>0.6</v>
      </c>
      <c r="M308" s="4">
        <v>0.3</v>
      </c>
      <c r="N308" s="4">
        <v>710.35632299999997</v>
      </c>
      <c r="O308" s="4">
        <v>2E-3</v>
      </c>
      <c r="P308" s="5"/>
      <c r="Q308" s="5"/>
      <c r="R308" s="5"/>
      <c r="S308" s="5"/>
      <c r="U308" s="4" t="s">
        <v>170</v>
      </c>
      <c r="V308" s="4">
        <v>0.9</v>
      </c>
      <c r="W308" s="4">
        <v>0.5</v>
      </c>
      <c r="X308" s="4">
        <v>0.6</v>
      </c>
      <c r="Y308" s="4">
        <v>0.3</v>
      </c>
      <c r="Z308" s="6">
        <v>691.20379600000001</v>
      </c>
      <c r="AA308" s="4">
        <v>2E-3</v>
      </c>
      <c r="AC308" s="4" t="s">
        <v>170</v>
      </c>
      <c r="AD308" s="4">
        <v>0.9</v>
      </c>
      <c r="AE308" s="4">
        <v>0.5</v>
      </c>
      <c r="AF308" s="4">
        <v>0.6</v>
      </c>
      <c r="AG308" s="4">
        <v>0.31</v>
      </c>
      <c r="AH308" s="4">
        <v>702.78228799999999</v>
      </c>
      <c r="AI308" s="4">
        <v>2E-3</v>
      </c>
      <c r="AJ308" s="5"/>
      <c r="AK308" s="5"/>
      <c r="AL308" s="5"/>
      <c r="AM308" s="5"/>
      <c r="AO308" s="4" t="s">
        <v>171</v>
      </c>
      <c r="AP308" s="4">
        <v>0.9</v>
      </c>
      <c r="AQ308" s="4">
        <v>0.5</v>
      </c>
      <c r="AR308" s="4">
        <v>0.6</v>
      </c>
      <c r="AS308" s="4">
        <v>0.3</v>
      </c>
      <c r="AT308" s="6">
        <v>899.73120100000006</v>
      </c>
      <c r="AU308" s="4">
        <v>6.0000000000000001E-3</v>
      </c>
      <c r="AW308" s="4" t="s">
        <v>171</v>
      </c>
      <c r="AX308" s="4">
        <v>0.9</v>
      </c>
      <c r="AY308" s="4">
        <v>0.5</v>
      </c>
      <c r="AZ308" s="4">
        <v>0.6</v>
      </c>
      <c r="BA308" s="4">
        <v>0.3</v>
      </c>
      <c r="BB308" s="4">
        <v>972.44512899999995</v>
      </c>
      <c r="BC308" s="4">
        <v>6.0000000000000001E-3</v>
      </c>
      <c r="BD308" s="5"/>
      <c r="BE308" s="5"/>
      <c r="BF308" s="5"/>
      <c r="BG308" s="5"/>
      <c r="BI308" s="4" t="s">
        <v>171</v>
      </c>
      <c r="BJ308" s="4">
        <v>0.9</v>
      </c>
      <c r="BK308" s="4">
        <v>0.5</v>
      </c>
      <c r="BL308" s="4">
        <v>0.6</v>
      </c>
      <c r="BM308" s="4">
        <v>0.3</v>
      </c>
      <c r="BN308" s="6">
        <v>913.94464100000005</v>
      </c>
      <c r="BO308" s="4">
        <v>7.0000000000000001E-3</v>
      </c>
      <c r="BQ308" s="4" t="s">
        <v>171</v>
      </c>
      <c r="BR308" s="4">
        <v>0.9</v>
      </c>
      <c r="BS308" s="4">
        <v>0.5</v>
      </c>
      <c r="BT308" s="4">
        <v>0.6</v>
      </c>
      <c r="BU308" s="4">
        <v>0.3</v>
      </c>
      <c r="BV308" s="4">
        <v>941.82855199999995</v>
      </c>
      <c r="BW308" s="4">
        <v>6.0000000000000001E-3</v>
      </c>
      <c r="BX308" s="5"/>
      <c r="BY308" s="5"/>
      <c r="BZ308" s="5"/>
      <c r="CA308" s="5"/>
    </row>
    <row r="309" spans="1:79" x14ac:dyDescent="0.3">
      <c r="A309" s="4" t="s">
        <v>172</v>
      </c>
      <c r="B309" s="4">
        <v>0.9</v>
      </c>
      <c r="C309" s="4">
        <v>0.5</v>
      </c>
      <c r="D309" s="4">
        <v>0.6</v>
      </c>
      <c r="E309" s="4">
        <v>0.3</v>
      </c>
      <c r="F309" s="6">
        <v>682.14819299999999</v>
      </c>
      <c r="G309" s="4">
        <v>2E-3</v>
      </c>
      <c r="I309" s="4" t="s">
        <v>172</v>
      </c>
      <c r="J309" s="4">
        <v>0.9</v>
      </c>
      <c r="K309" s="4">
        <v>0.5</v>
      </c>
      <c r="L309" s="4">
        <v>0.6</v>
      </c>
      <c r="M309" s="4">
        <v>0.32</v>
      </c>
      <c r="N309" s="4">
        <v>684.47906499999999</v>
      </c>
      <c r="O309" s="4">
        <v>2E-3</v>
      </c>
      <c r="P309" s="5"/>
      <c r="Q309" s="5"/>
      <c r="R309" s="5"/>
      <c r="S309" s="5"/>
      <c r="U309" s="4" t="s">
        <v>172</v>
      </c>
      <c r="V309" s="4">
        <v>0.9</v>
      </c>
      <c r="W309" s="4">
        <v>0.5</v>
      </c>
      <c r="X309" s="4">
        <v>0.6</v>
      </c>
      <c r="Y309" s="4">
        <v>0.3</v>
      </c>
      <c r="Z309" s="6">
        <v>677.95031700000004</v>
      </c>
      <c r="AA309" s="4">
        <v>2E-3</v>
      </c>
      <c r="AC309" s="4" t="s">
        <v>172</v>
      </c>
      <c r="AD309" s="4">
        <v>0.9</v>
      </c>
      <c r="AE309" s="4">
        <v>0.5</v>
      </c>
      <c r="AF309" s="4">
        <v>0.6</v>
      </c>
      <c r="AG309" s="4">
        <v>0.31</v>
      </c>
      <c r="AH309" s="4">
        <v>681.660034</v>
      </c>
      <c r="AI309" s="4">
        <v>2E-3</v>
      </c>
      <c r="AJ309" s="5"/>
      <c r="AK309" s="5"/>
      <c r="AL309" s="5"/>
      <c r="AM309" s="5"/>
      <c r="AO309" s="4" t="s">
        <v>173</v>
      </c>
      <c r="AP309" s="4">
        <v>0.9</v>
      </c>
      <c r="AQ309" s="4">
        <v>0.5</v>
      </c>
      <c r="AR309" s="4">
        <v>0.6</v>
      </c>
      <c r="AS309" s="4">
        <v>0.3</v>
      </c>
      <c r="AT309" s="6">
        <v>1001.416016</v>
      </c>
      <c r="AU309" s="4">
        <v>1.2E-2</v>
      </c>
      <c r="AW309" s="4" t="s">
        <v>173</v>
      </c>
      <c r="AX309" s="4">
        <v>0.9</v>
      </c>
      <c r="AY309" s="4">
        <v>0.5</v>
      </c>
      <c r="AZ309" s="4">
        <v>0.6</v>
      </c>
      <c r="BA309" s="4">
        <v>0.34</v>
      </c>
      <c r="BB309" s="4">
        <v>1023.833496</v>
      </c>
      <c r="BC309" s="4">
        <v>8.0000000000000002E-3</v>
      </c>
      <c r="BD309" s="5"/>
      <c r="BE309" s="5"/>
      <c r="BF309" s="5"/>
      <c r="BG309" s="5"/>
      <c r="BI309" s="4" t="s">
        <v>173</v>
      </c>
      <c r="BJ309" s="4">
        <v>0.9</v>
      </c>
      <c r="BK309" s="4">
        <v>0.5</v>
      </c>
      <c r="BL309" s="4">
        <v>0.6</v>
      </c>
      <c r="BM309" s="4">
        <v>0.3</v>
      </c>
      <c r="BN309" s="6">
        <v>988.808044</v>
      </c>
      <c r="BO309" s="4">
        <v>1.0999999999999999E-2</v>
      </c>
      <c r="BQ309" s="4" t="s">
        <v>173</v>
      </c>
      <c r="BR309" s="4">
        <v>0.9</v>
      </c>
      <c r="BS309" s="4">
        <v>0.5</v>
      </c>
      <c r="BT309" s="4">
        <v>0.6</v>
      </c>
      <c r="BU309" s="4">
        <v>0.3</v>
      </c>
      <c r="BV309" s="4">
        <v>1026.7523189999999</v>
      </c>
      <c r="BW309" s="4">
        <v>0.01</v>
      </c>
      <c r="BX309" s="5"/>
      <c r="BY309" s="5"/>
      <c r="BZ309" s="5"/>
      <c r="CA309" s="5"/>
    </row>
    <row r="310" spans="1:79" x14ac:dyDescent="0.3">
      <c r="A310" s="4" t="s">
        <v>174</v>
      </c>
      <c r="B310" s="4">
        <v>0.9</v>
      </c>
      <c r="C310" s="4">
        <v>0.5</v>
      </c>
      <c r="D310" s="4">
        <v>0.6</v>
      </c>
      <c r="E310" s="4">
        <v>0.3</v>
      </c>
      <c r="F310" s="6">
        <v>679.55279499999995</v>
      </c>
      <c r="G310" s="4">
        <v>1E-3</v>
      </c>
      <c r="I310" s="4" t="s">
        <v>174</v>
      </c>
      <c r="J310" s="4">
        <v>0.9</v>
      </c>
      <c r="K310" s="4">
        <v>0.5</v>
      </c>
      <c r="L310" s="4">
        <v>0.6</v>
      </c>
      <c r="M310" s="4">
        <v>0.32</v>
      </c>
      <c r="N310" s="4">
        <v>688.75256300000001</v>
      </c>
      <c r="O310" s="4">
        <v>1E-3</v>
      </c>
      <c r="P310" s="5"/>
      <c r="Q310" s="5"/>
      <c r="R310" s="5"/>
      <c r="S310" s="5"/>
      <c r="U310" s="4" t="s">
        <v>174</v>
      </c>
      <c r="V310" s="4">
        <v>0.9</v>
      </c>
      <c r="W310" s="4">
        <v>0.5</v>
      </c>
      <c r="X310" s="4">
        <v>0.6</v>
      </c>
      <c r="Y310" s="4">
        <v>0.3</v>
      </c>
      <c r="Z310" s="6">
        <v>679.08923300000004</v>
      </c>
      <c r="AA310" s="4">
        <v>2E-3</v>
      </c>
      <c r="AC310" s="4" t="s">
        <v>174</v>
      </c>
      <c r="AD310" s="4">
        <v>0.9</v>
      </c>
      <c r="AE310" s="4">
        <v>0.5</v>
      </c>
      <c r="AF310" s="4">
        <v>0.6</v>
      </c>
      <c r="AG310" s="4">
        <v>0.3</v>
      </c>
      <c r="AH310" s="4">
        <v>685.48791500000004</v>
      </c>
      <c r="AI310" s="4">
        <v>2E-3</v>
      </c>
      <c r="AJ310" s="5"/>
      <c r="AK310" s="5"/>
      <c r="AL310" s="5"/>
      <c r="AM310" s="5"/>
      <c r="AO310" s="4" t="s">
        <v>175</v>
      </c>
      <c r="AP310" s="4">
        <v>0.9</v>
      </c>
      <c r="AQ310" s="4">
        <v>0.5</v>
      </c>
      <c r="AR310" s="4">
        <v>0.6</v>
      </c>
      <c r="AS310" s="4">
        <v>0.3</v>
      </c>
      <c r="AT310" s="6">
        <v>994.76025400000003</v>
      </c>
      <c r="AU310" s="4">
        <v>8.0000000000000002E-3</v>
      </c>
      <c r="AW310" s="4" t="s">
        <v>175</v>
      </c>
      <c r="AX310" s="4">
        <v>0.9</v>
      </c>
      <c r="AY310" s="4">
        <v>0.5</v>
      </c>
      <c r="AZ310" s="4">
        <v>0.6</v>
      </c>
      <c r="BA310" s="4">
        <v>0.31</v>
      </c>
      <c r="BB310" s="4">
        <v>1009.00238</v>
      </c>
      <c r="BC310" s="4">
        <v>7.0000000000000001E-3</v>
      </c>
      <c r="BD310" s="5"/>
      <c r="BE310" s="5"/>
      <c r="BF310" s="5"/>
      <c r="BG310" s="5"/>
      <c r="BI310" s="4" t="s">
        <v>175</v>
      </c>
      <c r="BJ310" s="4">
        <v>0.9</v>
      </c>
      <c r="BK310" s="4">
        <v>0.5</v>
      </c>
      <c r="BL310" s="4">
        <v>0.6</v>
      </c>
      <c r="BM310" s="4">
        <v>0.3</v>
      </c>
      <c r="BN310" s="6">
        <v>986.171021</v>
      </c>
      <c r="BO310" s="4">
        <v>8.0000000000000002E-3</v>
      </c>
      <c r="BQ310" s="4" t="s">
        <v>175</v>
      </c>
      <c r="BR310" s="4">
        <v>0.9</v>
      </c>
      <c r="BS310" s="4">
        <v>0.5</v>
      </c>
      <c r="BT310" s="4">
        <v>0.6</v>
      </c>
      <c r="BU310" s="4">
        <v>0.3</v>
      </c>
      <c r="BV310" s="4">
        <v>1012.946594</v>
      </c>
      <c r="BW310" s="4">
        <v>8.9999999999999993E-3</v>
      </c>
      <c r="BX310" s="5"/>
      <c r="BY310" s="5"/>
      <c r="BZ310" s="5"/>
      <c r="CA310" s="5"/>
    </row>
    <row r="311" spans="1:79" x14ac:dyDescent="0.3">
      <c r="A311" s="4" t="s">
        <v>176</v>
      </c>
      <c r="B311" s="4">
        <v>0.9</v>
      </c>
      <c r="C311" s="4">
        <v>0.5</v>
      </c>
      <c r="D311" s="4">
        <v>0.6</v>
      </c>
      <c r="E311" s="4">
        <v>0.3</v>
      </c>
      <c r="F311" s="6">
        <v>711.51544200000001</v>
      </c>
      <c r="G311" s="4">
        <v>2E-3</v>
      </c>
      <c r="I311" s="4" t="s">
        <v>176</v>
      </c>
      <c r="J311" s="4">
        <v>0.9</v>
      </c>
      <c r="K311" s="4">
        <v>0.5</v>
      </c>
      <c r="L311" s="4">
        <v>0.6</v>
      </c>
      <c r="M311" s="4">
        <v>0.3</v>
      </c>
      <c r="N311" s="4">
        <v>723.84710700000005</v>
      </c>
      <c r="O311" s="4">
        <v>2E-3</v>
      </c>
      <c r="P311" s="5"/>
      <c r="Q311" s="5"/>
      <c r="R311" s="5"/>
      <c r="S311" s="5"/>
      <c r="U311" s="4" t="s">
        <v>176</v>
      </c>
      <c r="V311" s="4">
        <v>0.9</v>
      </c>
      <c r="W311" s="4">
        <v>0.5</v>
      </c>
      <c r="X311" s="4">
        <v>0.6</v>
      </c>
      <c r="Y311" s="4">
        <v>0.3</v>
      </c>
      <c r="Z311" s="6">
        <v>704.65795900000001</v>
      </c>
      <c r="AA311" s="4">
        <v>3.0000000000000001E-3</v>
      </c>
      <c r="AC311" s="4" t="s">
        <v>176</v>
      </c>
      <c r="AD311" s="4">
        <v>0.9</v>
      </c>
      <c r="AE311" s="4">
        <v>0.5</v>
      </c>
      <c r="AF311" s="4">
        <v>0.6</v>
      </c>
      <c r="AG311" s="4">
        <v>0.39</v>
      </c>
      <c r="AH311" s="4">
        <v>712.26959199999999</v>
      </c>
      <c r="AI311" s="4">
        <v>2E-3</v>
      </c>
      <c r="AJ311" s="5"/>
      <c r="AK311" s="5"/>
      <c r="AL311" s="5"/>
      <c r="AM311" s="5"/>
      <c r="AO311" s="4" t="s">
        <v>177</v>
      </c>
      <c r="AP311" s="4">
        <v>0.9</v>
      </c>
      <c r="AQ311" s="4">
        <v>0.5</v>
      </c>
      <c r="AR311" s="4">
        <v>0.6</v>
      </c>
      <c r="AS311" s="4">
        <v>0.3</v>
      </c>
      <c r="AT311" s="6">
        <v>1094.015625</v>
      </c>
      <c r="AU311" s="4">
        <v>1.0999999999999999E-2</v>
      </c>
      <c r="AW311" s="4" t="s">
        <v>177</v>
      </c>
      <c r="AX311" s="4">
        <v>0.9</v>
      </c>
      <c r="AY311" s="4">
        <v>0.5</v>
      </c>
      <c r="AZ311" s="4">
        <v>0.6</v>
      </c>
      <c r="BA311" s="4">
        <v>0.3</v>
      </c>
      <c r="BB311" s="4">
        <v>1106.824341</v>
      </c>
      <c r="BC311" s="4">
        <v>7.0000000000000001E-3</v>
      </c>
      <c r="BD311" s="5"/>
      <c r="BE311" s="5"/>
      <c r="BF311" s="5"/>
      <c r="BG311" s="5"/>
      <c r="BI311" s="4" t="s">
        <v>177</v>
      </c>
      <c r="BJ311" s="4">
        <v>0.9</v>
      </c>
      <c r="BK311" s="4">
        <v>0.5</v>
      </c>
      <c r="BL311" s="4">
        <v>0.6</v>
      </c>
      <c r="BM311" s="4">
        <v>0.3</v>
      </c>
      <c r="BN311" s="6">
        <v>1096.2398679999999</v>
      </c>
      <c r="BO311" s="4">
        <v>0.01</v>
      </c>
      <c r="BQ311" s="4" t="s">
        <v>177</v>
      </c>
      <c r="BR311" s="4">
        <v>0.9</v>
      </c>
      <c r="BS311" s="4">
        <v>0.5</v>
      </c>
      <c r="BT311" s="4">
        <v>0.6</v>
      </c>
      <c r="BU311" s="4">
        <v>0.3</v>
      </c>
      <c r="BV311" s="4">
        <v>1118.7813719999999</v>
      </c>
      <c r="BW311" s="4">
        <v>0.01</v>
      </c>
      <c r="BX311" s="5"/>
      <c r="BY311" s="5"/>
      <c r="BZ311" s="5"/>
      <c r="CA311" s="5"/>
    </row>
    <row r="312" spans="1:79" x14ac:dyDescent="0.3">
      <c r="A312" s="4" t="s">
        <v>178</v>
      </c>
      <c r="B312" s="4">
        <v>0.9</v>
      </c>
      <c r="C312" s="4">
        <v>0.5</v>
      </c>
      <c r="D312" s="4">
        <v>0.6</v>
      </c>
      <c r="E312" s="4">
        <v>0.3</v>
      </c>
      <c r="F312" s="6">
        <v>681.59948699999995</v>
      </c>
      <c r="G312" s="4">
        <v>2E-3</v>
      </c>
      <c r="I312" s="4" t="s">
        <v>178</v>
      </c>
      <c r="J312" s="4">
        <v>0.9</v>
      </c>
      <c r="K312" s="4">
        <v>0.5</v>
      </c>
      <c r="L312" s="4">
        <v>0.6</v>
      </c>
      <c r="M312" s="4">
        <v>0.3</v>
      </c>
      <c r="N312" s="4">
        <v>699.78344700000002</v>
      </c>
      <c r="O312" s="4">
        <v>2E-3</v>
      </c>
      <c r="P312" s="5"/>
      <c r="Q312" s="5"/>
      <c r="R312" s="5"/>
      <c r="S312" s="5"/>
      <c r="U312" s="4" t="s">
        <v>178</v>
      </c>
      <c r="V312" s="4">
        <v>0.9</v>
      </c>
      <c r="W312" s="4">
        <v>0.5</v>
      </c>
      <c r="X312" s="4">
        <v>0.6</v>
      </c>
      <c r="Y312" s="4">
        <v>0.3</v>
      </c>
      <c r="Z312" s="6">
        <v>663.02569600000004</v>
      </c>
      <c r="AA312" s="4">
        <v>3.0000000000000001E-3</v>
      </c>
      <c r="AC312" s="4" t="s">
        <v>178</v>
      </c>
      <c r="AD312" s="4">
        <v>0.9</v>
      </c>
      <c r="AE312" s="4">
        <v>0.5</v>
      </c>
      <c r="AF312" s="4">
        <v>0.6</v>
      </c>
      <c r="AG312" s="4">
        <v>0.31</v>
      </c>
      <c r="AH312" s="4">
        <v>702.60369900000001</v>
      </c>
      <c r="AI312" s="4">
        <v>4.0000000000000001E-3</v>
      </c>
      <c r="AJ312" s="5"/>
      <c r="AK312" s="5"/>
      <c r="AL312" s="5"/>
      <c r="AM312" s="5"/>
      <c r="AO312" s="4" t="s">
        <v>179</v>
      </c>
      <c r="AP312" s="4">
        <v>0.9</v>
      </c>
      <c r="AQ312" s="4">
        <v>0.5</v>
      </c>
      <c r="AR312" s="4">
        <v>0.6</v>
      </c>
      <c r="AS312" s="4">
        <v>0.3</v>
      </c>
      <c r="AT312" s="6">
        <v>1064.6329350000001</v>
      </c>
      <c r="AU312" s="4">
        <v>8.9999999999999993E-3</v>
      </c>
      <c r="AW312" s="4" t="s">
        <v>179</v>
      </c>
      <c r="AX312" s="4">
        <v>0.9</v>
      </c>
      <c r="AY312" s="4">
        <v>0.5</v>
      </c>
      <c r="AZ312" s="4">
        <v>0.6</v>
      </c>
      <c r="BA312" s="4">
        <v>0.32</v>
      </c>
      <c r="BB312" s="4">
        <v>1098.623779</v>
      </c>
      <c r="BC312" s="4">
        <v>7.0000000000000001E-3</v>
      </c>
      <c r="BD312" s="5"/>
      <c r="BE312" s="5"/>
      <c r="BF312" s="5"/>
      <c r="BG312" s="5"/>
      <c r="BI312" s="4" t="s">
        <v>179</v>
      </c>
      <c r="BJ312" s="4">
        <v>0.9</v>
      </c>
      <c r="BK312" s="4">
        <v>0.5</v>
      </c>
      <c r="BL312" s="4">
        <v>0.6</v>
      </c>
      <c r="BM312" s="4">
        <v>0.3</v>
      </c>
      <c r="BN312" s="6">
        <v>1032.007202</v>
      </c>
      <c r="BO312" s="4">
        <v>7.0000000000000001E-3</v>
      </c>
      <c r="BQ312" s="4" t="s">
        <v>179</v>
      </c>
      <c r="BR312" s="4">
        <v>0.9</v>
      </c>
      <c r="BS312" s="4">
        <v>0.5</v>
      </c>
      <c r="BT312" s="4">
        <v>0.6</v>
      </c>
      <c r="BU312" s="4">
        <v>0.3</v>
      </c>
      <c r="BV312" s="4">
        <v>1084.6279300000001</v>
      </c>
      <c r="BW312" s="4">
        <v>0.01</v>
      </c>
      <c r="BX312" s="5"/>
      <c r="BY312" s="5"/>
      <c r="BZ312" s="5"/>
      <c r="CA312" s="5"/>
    </row>
    <row r="313" spans="1:79" x14ac:dyDescent="0.3">
      <c r="A313" s="4" t="s">
        <v>180</v>
      </c>
      <c r="B313" s="4">
        <v>0.9</v>
      </c>
      <c r="C313" s="4">
        <v>0.5</v>
      </c>
      <c r="D313" s="4">
        <v>0.6</v>
      </c>
      <c r="E313" s="4">
        <v>0.3</v>
      </c>
      <c r="F313" s="6">
        <v>679.16375700000003</v>
      </c>
      <c r="G313" s="4">
        <v>2E-3</v>
      </c>
      <c r="I313" s="4" t="s">
        <v>180</v>
      </c>
      <c r="J313" s="4">
        <v>0.9</v>
      </c>
      <c r="K313" s="4">
        <v>0.5</v>
      </c>
      <c r="L313" s="4">
        <v>0.6</v>
      </c>
      <c r="M313" s="4">
        <v>0.34</v>
      </c>
      <c r="N313" s="4">
        <v>706.850098</v>
      </c>
      <c r="O313" s="4">
        <v>2E-3</v>
      </c>
      <c r="P313" s="5"/>
      <c r="Q313" s="5"/>
      <c r="R313" s="5"/>
      <c r="S313" s="5"/>
      <c r="U313" s="4" t="s">
        <v>180</v>
      </c>
      <c r="V313" s="4">
        <v>0.9</v>
      </c>
      <c r="W313" s="4">
        <v>0.5</v>
      </c>
      <c r="X313" s="4">
        <v>0.6</v>
      </c>
      <c r="Y313" s="4">
        <v>0.3</v>
      </c>
      <c r="Z313" s="6">
        <v>679.68573000000004</v>
      </c>
      <c r="AA313" s="4">
        <v>2E-3</v>
      </c>
      <c r="AC313" s="4" t="s">
        <v>180</v>
      </c>
      <c r="AD313" s="4">
        <v>0.9</v>
      </c>
      <c r="AE313" s="4">
        <v>0.5</v>
      </c>
      <c r="AF313" s="4">
        <v>0.6</v>
      </c>
      <c r="AG313" s="4">
        <v>0.36</v>
      </c>
      <c r="AH313" s="4">
        <v>709.88250700000003</v>
      </c>
      <c r="AI313" s="4">
        <v>1E-3</v>
      </c>
      <c r="AJ313" s="5"/>
      <c r="AK313" s="5"/>
      <c r="AL313" s="5"/>
      <c r="AM313" s="5"/>
      <c r="AO313" s="4" t="s">
        <v>181</v>
      </c>
      <c r="AP313" s="4">
        <v>0.9</v>
      </c>
      <c r="AQ313" s="4">
        <v>0.5</v>
      </c>
      <c r="AR313" s="4">
        <v>0.6</v>
      </c>
      <c r="AS313" s="4">
        <v>0.3</v>
      </c>
      <c r="AT313" s="6">
        <v>1077.0948490000001</v>
      </c>
      <c r="AU313" s="4">
        <v>1.2E-2</v>
      </c>
      <c r="AW313" s="4" t="s">
        <v>181</v>
      </c>
      <c r="AX313" s="4">
        <v>0.9</v>
      </c>
      <c r="AY313" s="4">
        <v>0.5</v>
      </c>
      <c r="AZ313" s="4">
        <v>0.6</v>
      </c>
      <c r="BA313" s="4">
        <v>0.4</v>
      </c>
      <c r="BB313" s="4">
        <v>1089.276245</v>
      </c>
      <c r="BC313" s="4">
        <v>8.9999999999999993E-3</v>
      </c>
      <c r="BD313" s="5"/>
      <c r="BE313" s="5"/>
      <c r="BF313" s="5"/>
      <c r="BG313" s="5"/>
      <c r="BI313" s="4" t="s">
        <v>181</v>
      </c>
      <c r="BJ313" s="4">
        <v>0.9</v>
      </c>
      <c r="BK313" s="4">
        <v>0.5</v>
      </c>
      <c r="BL313" s="4">
        <v>0.6</v>
      </c>
      <c r="BM313" s="4">
        <v>0.3</v>
      </c>
      <c r="BN313" s="6">
        <v>1059.1956789999999</v>
      </c>
      <c r="BO313" s="4">
        <v>0.01</v>
      </c>
      <c r="BQ313" s="4" t="s">
        <v>181</v>
      </c>
      <c r="BR313" s="4">
        <v>0.9</v>
      </c>
      <c r="BS313" s="4">
        <v>0.5</v>
      </c>
      <c r="BT313" s="4">
        <v>0.6</v>
      </c>
      <c r="BU313" s="4">
        <v>0.35</v>
      </c>
      <c r="BV313" s="4">
        <v>1076.137573</v>
      </c>
      <c r="BW313" s="4">
        <v>1.0999999999999999E-2</v>
      </c>
      <c r="BX313" s="5"/>
      <c r="BY313" s="5"/>
      <c r="BZ313" s="5"/>
      <c r="CA313" s="5"/>
    </row>
    <row r="314" spans="1:79" x14ac:dyDescent="0.3">
      <c r="A314" s="4" t="s">
        <v>182</v>
      </c>
      <c r="B314" s="4">
        <v>0.9</v>
      </c>
      <c r="C314" s="4">
        <v>0.5</v>
      </c>
      <c r="D314" s="4">
        <v>0.6</v>
      </c>
      <c r="E314" s="4">
        <v>0.3</v>
      </c>
      <c r="F314" s="6">
        <v>646.34417699999995</v>
      </c>
      <c r="G314" s="4">
        <v>1E-3</v>
      </c>
      <c r="I314" s="4" t="s">
        <v>182</v>
      </c>
      <c r="J314" s="4">
        <v>0.9</v>
      </c>
      <c r="K314" s="4">
        <v>0.5</v>
      </c>
      <c r="L314" s="4">
        <v>0.6</v>
      </c>
      <c r="M314" s="4">
        <v>0.31</v>
      </c>
      <c r="N314" s="4">
        <v>656.73657200000002</v>
      </c>
      <c r="O314" s="4">
        <v>1E-3</v>
      </c>
      <c r="P314" s="5"/>
      <c r="Q314" s="5"/>
      <c r="R314" s="5"/>
      <c r="S314" s="5"/>
      <c r="U314" s="4" t="s">
        <v>182</v>
      </c>
      <c r="V314" s="4">
        <v>0.9</v>
      </c>
      <c r="W314" s="4">
        <v>0.5</v>
      </c>
      <c r="X314" s="4">
        <v>0.6</v>
      </c>
      <c r="Y314" s="4">
        <v>0.3</v>
      </c>
      <c r="Z314" s="6">
        <v>642.31994599999996</v>
      </c>
      <c r="AA314" s="4">
        <v>2E-3</v>
      </c>
      <c r="AC314" s="4" t="s">
        <v>182</v>
      </c>
      <c r="AD314" s="4">
        <v>0.9</v>
      </c>
      <c r="AE314" s="4">
        <v>0.5</v>
      </c>
      <c r="AF314" s="4">
        <v>0.6</v>
      </c>
      <c r="AG314" s="4">
        <v>0.3</v>
      </c>
      <c r="AH314" s="4">
        <v>659.00079300000004</v>
      </c>
      <c r="AI314" s="4">
        <v>2E-3</v>
      </c>
      <c r="AJ314" s="5"/>
      <c r="AK314" s="5"/>
      <c r="AL314" s="5"/>
      <c r="AM314" s="5"/>
      <c r="AO314" s="4" t="s">
        <v>183</v>
      </c>
      <c r="AP314" s="4">
        <v>0.9</v>
      </c>
      <c r="AQ314" s="4">
        <v>0.5</v>
      </c>
      <c r="AR314" s="4">
        <v>0.6</v>
      </c>
      <c r="AS314" s="4">
        <v>0.3</v>
      </c>
      <c r="AT314" s="6">
        <v>1066.544312</v>
      </c>
      <c r="AU314" s="4">
        <v>8.9999999999999993E-3</v>
      </c>
      <c r="AW314" s="4" t="s">
        <v>183</v>
      </c>
      <c r="AX314" s="4">
        <v>0.9</v>
      </c>
      <c r="AY314" s="4">
        <v>0.5</v>
      </c>
      <c r="AZ314" s="4">
        <v>0.6</v>
      </c>
      <c r="BA314" s="4">
        <v>0.35</v>
      </c>
      <c r="BB314" s="4">
        <v>1089.9746090000001</v>
      </c>
      <c r="BC314" s="4">
        <v>1.0999999999999999E-2</v>
      </c>
      <c r="BD314" s="5"/>
      <c r="BE314" s="5"/>
      <c r="BF314" s="5"/>
      <c r="BG314" s="5"/>
      <c r="BI314" s="4" t="s">
        <v>183</v>
      </c>
      <c r="BJ314" s="4">
        <v>0.9</v>
      </c>
      <c r="BK314" s="4">
        <v>0.5</v>
      </c>
      <c r="BL314" s="4">
        <v>0.6</v>
      </c>
      <c r="BM314" s="4">
        <v>0.3</v>
      </c>
      <c r="BN314" s="6">
        <v>1040.484375</v>
      </c>
      <c r="BO314" s="4">
        <v>1.2E-2</v>
      </c>
      <c r="BQ314" s="4" t="s">
        <v>183</v>
      </c>
      <c r="BR314" s="4">
        <v>0.9</v>
      </c>
      <c r="BS314" s="4">
        <v>0.5</v>
      </c>
      <c r="BT314" s="4">
        <v>0.6</v>
      </c>
      <c r="BU314" s="4">
        <v>0.3</v>
      </c>
      <c r="BV314" s="4">
        <v>1096.3280030000001</v>
      </c>
      <c r="BW314" s="4">
        <v>1.0999999999999999E-2</v>
      </c>
      <c r="BX314" s="5"/>
      <c r="BY314" s="5"/>
      <c r="BZ314" s="5"/>
      <c r="CA314" s="5"/>
    </row>
    <row r="315" spans="1:79" x14ac:dyDescent="0.3">
      <c r="A315" s="4" t="s">
        <v>184</v>
      </c>
      <c r="B315" s="4">
        <v>0.9</v>
      </c>
      <c r="C315" s="4">
        <v>0.5</v>
      </c>
      <c r="D315" s="4">
        <v>0.6</v>
      </c>
      <c r="E315" s="4">
        <v>0.3</v>
      </c>
      <c r="F315" s="6">
        <v>649.77593999999999</v>
      </c>
      <c r="G315" s="4">
        <v>2E-3</v>
      </c>
      <c r="I315" s="4" t="s">
        <v>184</v>
      </c>
      <c r="J315" s="4">
        <v>0.9</v>
      </c>
      <c r="K315" s="4">
        <v>0.5</v>
      </c>
      <c r="L315" s="4">
        <v>0.6</v>
      </c>
      <c r="M315" s="4">
        <v>0.32</v>
      </c>
      <c r="N315" s="4">
        <v>658.20495600000004</v>
      </c>
      <c r="O315" s="4">
        <v>2E-3</v>
      </c>
      <c r="P315" s="5"/>
      <c r="Q315" s="5"/>
      <c r="R315" s="5"/>
      <c r="S315" s="5"/>
      <c r="U315" s="4" t="s">
        <v>184</v>
      </c>
      <c r="V315" s="4">
        <v>0.9</v>
      </c>
      <c r="W315" s="4">
        <v>0.5</v>
      </c>
      <c r="X315" s="4">
        <v>0.6</v>
      </c>
      <c r="Y315" s="4">
        <v>0.3</v>
      </c>
      <c r="Z315" s="6">
        <v>644.09020999999996</v>
      </c>
      <c r="AA315" s="4">
        <v>2E-3</v>
      </c>
      <c r="AC315" s="4" t="s">
        <v>184</v>
      </c>
      <c r="AD315" s="4">
        <v>0.9</v>
      </c>
      <c r="AE315" s="4">
        <v>0.5</v>
      </c>
      <c r="AF315" s="4">
        <v>0.6</v>
      </c>
      <c r="AG315" s="4">
        <v>0.31</v>
      </c>
      <c r="AH315" s="4">
        <v>646.71533199999999</v>
      </c>
      <c r="AI315" s="4">
        <v>2E-3</v>
      </c>
      <c r="AJ315" s="5"/>
      <c r="AK315" s="5"/>
      <c r="AL315" s="5"/>
      <c r="AM315" s="5"/>
      <c r="AO315" s="4" t="s">
        <v>185</v>
      </c>
      <c r="AP315" s="4">
        <v>0.9</v>
      </c>
      <c r="AQ315" s="4">
        <v>0.5</v>
      </c>
      <c r="AR315" s="4">
        <v>0.6</v>
      </c>
      <c r="AS315" s="4">
        <v>0.3</v>
      </c>
      <c r="AT315" s="6">
        <v>1033.1480710000001</v>
      </c>
      <c r="AU315" s="4">
        <v>1.0999999999999999E-2</v>
      </c>
      <c r="AW315" s="4" t="s">
        <v>185</v>
      </c>
      <c r="AX315" s="4">
        <v>0.9</v>
      </c>
      <c r="AY315" s="4">
        <v>0.5</v>
      </c>
      <c r="AZ315" s="4">
        <v>0.6</v>
      </c>
      <c r="BA315" s="4">
        <v>0.3</v>
      </c>
      <c r="BB315" s="4">
        <v>1035.6657709999999</v>
      </c>
      <c r="BC315" s="4">
        <v>8.0000000000000002E-3</v>
      </c>
      <c r="BD315" s="5"/>
      <c r="BE315" s="5"/>
      <c r="BF315" s="5"/>
      <c r="BG315" s="5"/>
      <c r="BI315" s="4" t="s">
        <v>185</v>
      </c>
      <c r="BJ315" s="4">
        <v>0.9</v>
      </c>
      <c r="BK315" s="4">
        <v>0.5</v>
      </c>
      <c r="BL315" s="4">
        <v>0.6</v>
      </c>
      <c r="BM315" s="4">
        <v>0.3</v>
      </c>
      <c r="BN315" s="6">
        <v>1045.4296879999999</v>
      </c>
      <c r="BO315" s="4">
        <v>1.0999999999999999E-2</v>
      </c>
      <c r="BQ315" s="4" t="s">
        <v>185</v>
      </c>
      <c r="BR315" s="4">
        <v>0.9</v>
      </c>
      <c r="BS315" s="4">
        <v>0.5</v>
      </c>
      <c r="BT315" s="4">
        <v>0.6</v>
      </c>
      <c r="BU315" s="4">
        <v>0.32</v>
      </c>
      <c r="BV315" s="4">
        <v>1080.9438479999999</v>
      </c>
      <c r="BW315" s="4">
        <v>8.9999999999999993E-3</v>
      </c>
      <c r="BX315" s="5"/>
      <c r="BY315" s="5"/>
      <c r="BZ315" s="5"/>
      <c r="CA315" s="5"/>
    </row>
    <row r="316" spans="1:79" x14ac:dyDescent="0.3">
      <c r="A316" s="4" t="s">
        <v>186</v>
      </c>
      <c r="B316" s="4">
        <v>0.9</v>
      </c>
      <c r="C316" s="4">
        <v>0.5</v>
      </c>
      <c r="D316" s="4">
        <v>0.6</v>
      </c>
      <c r="E316" s="4">
        <v>0.3</v>
      </c>
      <c r="F316" s="6">
        <v>753.48980700000004</v>
      </c>
      <c r="G316" s="4">
        <v>2E-3</v>
      </c>
      <c r="I316" s="4" t="s">
        <v>186</v>
      </c>
      <c r="J316" s="4">
        <v>0.9</v>
      </c>
      <c r="K316" s="4">
        <v>0.5</v>
      </c>
      <c r="L316" s="4">
        <v>0.6</v>
      </c>
      <c r="M316" s="4">
        <v>0.35</v>
      </c>
      <c r="N316" s="4">
        <v>759.59405500000003</v>
      </c>
      <c r="O316" s="4">
        <v>2E-3</v>
      </c>
      <c r="P316" s="5"/>
      <c r="Q316" s="5"/>
      <c r="R316" s="5"/>
      <c r="S316" s="5"/>
      <c r="U316" s="4" t="s">
        <v>186</v>
      </c>
      <c r="V316" s="4">
        <v>0.9</v>
      </c>
      <c r="W316" s="4">
        <v>0.5</v>
      </c>
      <c r="X316" s="4">
        <v>0.6</v>
      </c>
      <c r="Y316" s="4">
        <v>0.3</v>
      </c>
      <c r="Z316" s="6">
        <v>768.12579300000004</v>
      </c>
      <c r="AA316" s="4">
        <v>4.0000000000000001E-3</v>
      </c>
      <c r="AC316" s="4" t="s">
        <v>186</v>
      </c>
      <c r="AD316" s="4">
        <v>0.9</v>
      </c>
      <c r="AE316" s="4">
        <v>0.5</v>
      </c>
      <c r="AF316" s="4">
        <v>0.6</v>
      </c>
      <c r="AG316" s="4">
        <v>0.3</v>
      </c>
      <c r="AH316" s="4">
        <v>804.51208499999996</v>
      </c>
      <c r="AI316" s="4">
        <v>3.0000000000000001E-3</v>
      </c>
      <c r="AJ316" s="5"/>
      <c r="AK316" s="5"/>
      <c r="AL316" s="5"/>
      <c r="AM316" s="5"/>
      <c r="AO316" s="4" t="s">
        <v>187</v>
      </c>
      <c r="AP316" s="4">
        <v>0.9</v>
      </c>
      <c r="AQ316" s="4">
        <v>0.5</v>
      </c>
      <c r="AR316" s="4">
        <v>0.6</v>
      </c>
      <c r="AS316" s="4">
        <v>0.3</v>
      </c>
      <c r="AT316" s="6">
        <v>1149.893311</v>
      </c>
      <c r="AU316" s="4">
        <v>8.0000000000000002E-3</v>
      </c>
      <c r="AW316" s="4" t="s">
        <v>187</v>
      </c>
      <c r="AX316" s="4">
        <v>0.9</v>
      </c>
      <c r="AY316" s="4">
        <v>0.5</v>
      </c>
      <c r="AZ316" s="4">
        <v>0.6</v>
      </c>
      <c r="BA316" s="4">
        <v>0.33</v>
      </c>
      <c r="BB316" s="4">
        <v>1187.200073</v>
      </c>
      <c r="BC316" s="4">
        <v>8.9999999999999993E-3</v>
      </c>
      <c r="BD316" s="5"/>
      <c r="BE316" s="5"/>
      <c r="BF316" s="5"/>
      <c r="BG316" s="5"/>
      <c r="BI316" s="4" t="s">
        <v>187</v>
      </c>
      <c r="BJ316" s="4">
        <v>0.9</v>
      </c>
      <c r="BK316" s="4">
        <v>0.5</v>
      </c>
      <c r="BL316" s="4">
        <v>0.6</v>
      </c>
      <c r="BM316" s="4">
        <v>0.3</v>
      </c>
      <c r="BN316" s="6">
        <v>1156.548462</v>
      </c>
      <c r="BO316" s="4">
        <v>1.2999999999999999E-2</v>
      </c>
      <c r="BQ316" s="4" t="s">
        <v>187</v>
      </c>
      <c r="BR316" s="4">
        <v>0.9</v>
      </c>
      <c r="BS316" s="4">
        <v>0.5</v>
      </c>
      <c r="BT316" s="4">
        <v>0.6</v>
      </c>
      <c r="BU316" s="4">
        <v>0.3</v>
      </c>
      <c r="BV316" s="4">
        <v>1176.2733149999999</v>
      </c>
      <c r="BW316" s="4">
        <v>1.0999999999999999E-2</v>
      </c>
      <c r="BX316" s="5"/>
      <c r="BY316" s="5"/>
      <c r="BZ316" s="5"/>
      <c r="CA316" s="5"/>
    </row>
    <row r="317" spans="1:79" x14ac:dyDescent="0.3">
      <c r="A317" s="4" t="s">
        <v>188</v>
      </c>
      <c r="B317" s="4">
        <v>0.9</v>
      </c>
      <c r="C317" s="4">
        <v>0.5</v>
      </c>
      <c r="D317" s="4">
        <v>0.6</v>
      </c>
      <c r="E317" s="4">
        <v>0.3</v>
      </c>
      <c r="F317" s="6">
        <v>689.41198699999995</v>
      </c>
      <c r="G317" s="4">
        <v>2E-3</v>
      </c>
      <c r="I317" s="4" t="s">
        <v>188</v>
      </c>
      <c r="J317" s="4">
        <v>0.9</v>
      </c>
      <c r="K317" s="4">
        <v>0.5</v>
      </c>
      <c r="L317" s="4">
        <v>0.6</v>
      </c>
      <c r="M317" s="4">
        <v>0.34</v>
      </c>
      <c r="N317" s="4">
        <v>713.67791699999998</v>
      </c>
      <c r="O317" s="4">
        <v>2E-3</v>
      </c>
      <c r="P317" s="5"/>
      <c r="Q317" s="5"/>
      <c r="R317" s="5"/>
      <c r="S317" s="5"/>
      <c r="U317" s="4" t="s">
        <v>188</v>
      </c>
      <c r="V317" s="4">
        <v>0.9</v>
      </c>
      <c r="W317" s="4">
        <v>0.5</v>
      </c>
      <c r="X317" s="4">
        <v>0.6</v>
      </c>
      <c r="Y317" s="4">
        <v>0.3</v>
      </c>
      <c r="Z317" s="6">
        <v>688.69348100000002</v>
      </c>
      <c r="AA317" s="4">
        <v>2E-3</v>
      </c>
      <c r="AC317" s="4" t="s">
        <v>188</v>
      </c>
      <c r="AD317" s="4">
        <v>0.9</v>
      </c>
      <c r="AE317" s="4">
        <v>0.5</v>
      </c>
      <c r="AF317" s="4">
        <v>0.6</v>
      </c>
      <c r="AG317" s="4">
        <v>0.32</v>
      </c>
      <c r="AH317" s="4">
        <v>710.22668499999997</v>
      </c>
      <c r="AI317" s="4">
        <v>3.0000000000000001E-3</v>
      </c>
      <c r="AJ317" s="5"/>
      <c r="AK317" s="5"/>
      <c r="AL317" s="5"/>
      <c r="AM317" s="5"/>
      <c r="AO317" s="4" t="s">
        <v>189</v>
      </c>
      <c r="AP317" s="4">
        <v>0.9</v>
      </c>
      <c r="AQ317" s="4">
        <v>0.5</v>
      </c>
      <c r="AR317" s="4">
        <v>0.6</v>
      </c>
      <c r="AS317" s="4">
        <v>0.3</v>
      </c>
      <c r="AT317" s="6">
        <v>1010.663086</v>
      </c>
      <c r="AU317" s="4">
        <v>1.0999999999999999E-2</v>
      </c>
      <c r="AW317" s="4" t="s">
        <v>189</v>
      </c>
      <c r="AX317" s="4">
        <v>0.9</v>
      </c>
      <c r="AY317" s="4">
        <v>0.5</v>
      </c>
      <c r="AZ317" s="4">
        <v>0.6</v>
      </c>
      <c r="BA317" s="4">
        <v>0.3</v>
      </c>
      <c r="BB317" s="4">
        <v>1036.4398189999999</v>
      </c>
      <c r="BC317" s="4">
        <v>8.0000000000000002E-3</v>
      </c>
      <c r="BD317" s="5"/>
      <c r="BE317" s="5"/>
      <c r="BF317" s="5"/>
      <c r="BG317" s="5"/>
      <c r="BI317" s="4" t="s">
        <v>189</v>
      </c>
      <c r="BJ317" s="4">
        <v>0.9</v>
      </c>
      <c r="BK317" s="4">
        <v>0.5</v>
      </c>
      <c r="BL317" s="4">
        <v>0.6</v>
      </c>
      <c r="BM317" s="4">
        <v>0.3</v>
      </c>
      <c r="BN317" s="6">
        <v>999.27160600000002</v>
      </c>
      <c r="BO317" s="4">
        <v>7.0000000000000001E-3</v>
      </c>
      <c r="BQ317" s="4" t="s">
        <v>189</v>
      </c>
      <c r="BR317" s="4">
        <v>0.9</v>
      </c>
      <c r="BS317" s="4">
        <v>0.5</v>
      </c>
      <c r="BT317" s="4">
        <v>0.6</v>
      </c>
      <c r="BU317" s="4">
        <v>0.33</v>
      </c>
      <c r="BV317" s="4">
        <v>1036.2261960000001</v>
      </c>
      <c r="BW317" s="4">
        <v>1.2999999999999999E-2</v>
      </c>
      <c r="BX317" s="5"/>
      <c r="BY317" s="5"/>
      <c r="BZ317" s="5"/>
      <c r="CA317" s="5"/>
    </row>
    <row r="318" spans="1:79" x14ac:dyDescent="0.3">
      <c r="A318" s="4" t="s">
        <v>190</v>
      </c>
      <c r="B318" s="4">
        <v>0.9</v>
      </c>
      <c r="C318" s="4">
        <v>0.5</v>
      </c>
      <c r="D318" s="4">
        <v>0.6</v>
      </c>
      <c r="E318" s="4">
        <v>0.3</v>
      </c>
      <c r="F318" s="6">
        <v>655.55908199999999</v>
      </c>
      <c r="G318" s="4">
        <v>2E-3</v>
      </c>
      <c r="I318" s="4" t="s">
        <v>190</v>
      </c>
      <c r="J318" s="4">
        <v>0.9</v>
      </c>
      <c r="K318" s="4">
        <v>0.5</v>
      </c>
      <c r="L318" s="4">
        <v>0.6</v>
      </c>
      <c r="M318" s="4">
        <v>0.31</v>
      </c>
      <c r="N318" s="4">
        <v>680.29229699999996</v>
      </c>
      <c r="O318" s="4">
        <v>2E-3</v>
      </c>
      <c r="P318" s="5"/>
      <c r="Q318" s="5"/>
      <c r="R318" s="5"/>
      <c r="S318" s="5"/>
      <c r="U318" s="4" t="s">
        <v>190</v>
      </c>
      <c r="V318" s="4">
        <v>0.9</v>
      </c>
      <c r="W318" s="4">
        <v>0.5</v>
      </c>
      <c r="X318" s="4">
        <v>0.6</v>
      </c>
      <c r="Y318" s="4">
        <v>0.3</v>
      </c>
      <c r="Z318" s="6">
        <v>656.23266599999999</v>
      </c>
      <c r="AA318" s="4">
        <v>3.0000000000000001E-3</v>
      </c>
      <c r="AC318" s="4" t="s">
        <v>190</v>
      </c>
      <c r="AD318" s="4">
        <v>0.9</v>
      </c>
      <c r="AE318" s="4">
        <v>0.5</v>
      </c>
      <c r="AF318" s="4">
        <v>0.6</v>
      </c>
      <c r="AG318" s="4">
        <v>0.35</v>
      </c>
      <c r="AH318" s="4">
        <v>683.91345200000001</v>
      </c>
      <c r="AI318" s="4">
        <v>3.0000000000000001E-3</v>
      </c>
      <c r="AJ318" s="5"/>
      <c r="AK318" s="5"/>
      <c r="AL318" s="5"/>
      <c r="AM318" s="5"/>
      <c r="AO318" s="4" t="s">
        <v>191</v>
      </c>
      <c r="AP318" s="4">
        <v>0.9</v>
      </c>
      <c r="AQ318" s="4">
        <v>0.5</v>
      </c>
      <c r="AR318" s="4">
        <v>0.6</v>
      </c>
      <c r="AS318" s="4">
        <v>0.3</v>
      </c>
      <c r="AT318" s="6">
        <v>1002.039673</v>
      </c>
      <c r="AU318" s="4">
        <v>7.0000000000000001E-3</v>
      </c>
      <c r="AW318" s="4" t="s">
        <v>191</v>
      </c>
      <c r="AX318" s="4">
        <v>0.9</v>
      </c>
      <c r="AY318" s="4">
        <v>0.5</v>
      </c>
      <c r="AZ318" s="4">
        <v>0.6</v>
      </c>
      <c r="BA318" s="4">
        <v>0.3</v>
      </c>
      <c r="BB318" s="4">
        <v>1014.069824</v>
      </c>
      <c r="BC318" s="4">
        <v>8.9999999999999993E-3</v>
      </c>
      <c r="BD318" s="5"/>
      <c r="BE318" s="5"/>
      <c r="BF318" s="5"/>
      <c r="BG318" s="5"/>
      <c r="BI318" s="4" t="s">
        <v>191</v>
      </c>
      <c r="BJ318" s="4">
        <v>0.9</v>
      </c>
      <c r="BK318" s="4">
        <v>0.5</v>
      </c>
      <c r="BL318" s="4">
        <v>0.6</v>
      </c>
      <c r="BM318" s="4">
        <v>0.3</v>
      </c>
      <c r="BN318" s="6">
        <v>990.06018100000006</v>
      </c>
      <c r="BO318" s="4">
        <v>8.0000000000000002E-3</v>
      </c>
      <c r="BQ318" s="4" t="s">
        <v>191</v>
      </c>
      <c r="BR318" s="4">
        <v>0.9</v>
      </c>
      <c r="BS318" s="4">
        <v>0.5</v>
      </c>
      <c r="BT318" s="4">
        <v>0.6</v>
      </c>
      <c r="BU318" s="4">
        <v>0.3</v>
      </c>
      <c r="BV318" s="4">
        <v>1027.7303469999999</v>
      </c>
      <c r="BW318" s="4">
        <v>8.9999999999999993E-3</v>
      </c>
      <c r="BX318" s="5"/>
      <c r="BY318" s="5"/>
      <c r="BZ318" s="5"/>
      <c r="CA318" s="5"/>
    </row>
    <row r="319" spans="1:79" x14ac:dyDescent="0.3">
      <c r="A319" s="4" t="s">
        <v>192</v>
      </c>
      <c r="B319" s="4">
        <v>0.9</v>
      </c>
      <c r="C319" s="4">
        <v>0.5</v>
      </c>
      <c r="D319" s="4">
        <v>0.6</v>
      </c>
      <c r="E319" s="4">
        <v>0.3</v>
      </c>
      <c r="F319" s="6">
        <v>790.22961399999997</v>
      </c>
      <c r="G319" s="4">
        <v>2E-3</v>
      </c>
      <c r="I319" s="4" t="s">
        <v>192</v>
      </c>
      <c r="J319" s="4">
        <v>0.9</v>
      </c>
      <c r="K319" s="4">
        <v>0.5</v>
      </c>
      <c r="L319" s="4">
        <v>0.6</v>
      </c>
      <c r="M319" s="4">
        <v>0.31</v>
      </c>
      <c r="N319" s="4">
        <v>828.58483899999999</v>
      </c>
      <c r="O319" s="4">
        <v>2E-3</v>
      </c>
      <c r="P319" s="5"/>
      <c r="Q319" s="5"/>
      <c r="R319" s="5"/>
      <c r="S319" s="5"/>
      <c r="U319" s="4" t="s">
        <v>192</v>
      </c>
      <c r="V319" s="4">
        <v>0.9</v>
      </c>
      <c r="W319" s="4">
        <v>0.5</v>
      </c>
      <c r="X319" s="4">
        <v>0.6</v>
      </c>
      <c r="Y319" s="4">
        <v>0.3</v>
      </c>
      <c r="Z319" s="6">
        <v>772.13433799999996</v>
      </c>
      <c r="AA319" s="4">
        <v>4.0000000000000001E-3</v>
      </c>
      <c r="AC319" s="4" t="s">
        <v>192</v>
      </c>
      <c r="AD319" s="4">
        <v>0.9</v>
      </c>
      <c r="AE319" s="4">
        <v>0.5</v>
      </c>
      <c r="AF319" s="4">
        <v>0.6</v>
      </c>
      <c r="AG319" s="4">
        <v>0.32</v>
      </c>
      <c r="AH319" s="4">
        <v>768.26385500000004</v>
      </c>
      <c r="AI319" s="4">
        <v>6.0000000000000001E-3</v>
      </c>
      <c r="AJ319" s="5"/>
      <c r="AK319" s="5"/>
      <c r="AL319" s="5"/>
      <c r="AM319" s="5"/>
      <c r="AO319" s="4" t="s">
        <v>193</v>
      </c>
      <c r="AP319" s="4">
        <v>0.9</v>
      </c>
      <c r="AQ319" s="4">
        <v>0.5</v>
      </c>
      <c r="AR319" s="4">
        <v>0.6</v>
      </c>
      <c r="AS319" s="4">
        <v>0.3</v>
      </c>
      <c r="AT319" s="6">
        <v>1109.337158</v>
      </c>
      <c r="AU319" s="4">
        <v>8.9999999999999993E-3</v>
      </c>
      <c r="AW319" s="4" t="s">
        <v>193</v>
      </c>
      <c r="AX319" s="4">
        <v>0.9</v>
      </c>
      <c r="AY319" s="4">
        <v>0.5</v>
      </c>
      <c r="AZ319" s="4">
        <v>0.6</v>
      </c>
      <c r="BA319" s="4">
        <v>0.32</v>
      </c>
      <c r="BB319" s="4">
        <v>1114.960693</v>
      </c>
      <c r="BC319" s="4">
        <v>1.0999999999999999E-2</v>
      </c>
      <c r="BD319" s="5"/>
      <c r="BE319" s="5"/>
      <c r="BF319" s="5"/>
      <c r="BG319" s="5"/>
      <c r="BI319" s="4" t="s">
        <v>193</v>
      </c>
      <c r="BJ319" s="4">
        <v>0.9</v>
      </c>
      <c r="BK319" s="4">
        <v>0.5</v>
      </c>
      <c r="BL319" s="4">
        <v>0.6</v>
      </c>
      <c r="BM319" s="4">
        <v>0.3</v>
      </c>
      <c r="BN319" s="6">
        <v>1101.0153809999999</v>
      </c>
      <c r="BO319" s="4">
        <v>7.0000000000000001E-3</v>
      </c>
      <c r="BQ319" s="4" t="s">
        <v>193</v>
      </c>
      <c r="BR319" s="4">
        <v>0.9</v>
      </c>
      <c r="BS319" s="4">
        <v>0.5</v>
      </c>
      <c r="BT319" s="4">
        <v>0.6</v>
      </c>
      <c r="BU319" s="4">
        <v>0.3</v>
      </c>
      <c r="BV319" s="4">
        <v>1136.14563</v>
      </c>
      <c r="BW319" s="4">
        <v>8.0000000000000002E-3</v>
      </c>
      <c r="BX319" s="5"/>
      <c r="BY319" s="5"/>
      <c r="BZ319" s="5"/>
      <c r="CA319" s="5"/>
    </row>
    <row r="320" spans="1:79" x14ac:dyDescent="0.3">
      <c r="A320" s="14" t="s">
        <v>316</v>
      </c>
      <c r="E320" s="14">
        <f>AVERAGE(E290:E319)</f>
        <v>0.3</v>
      </c>
      <c r="I320" s="14" t="s">
        <v>316</v>
      </c>
      <c r="M320" s="14">
        <f>AVERAGE(M290:M319)</f>
        <v>0.31599999999999995</v>
      </c>
      <c r="U320" s="14" t="s">
        <v>316</v>
      </c>
      <c r="Y320" s="14">
        <f>AVERAGE(Y290:Y319)</f>
        <v>0.3</v>
      </c>
      <c r="AC320" s="14" t="s">
        <v>316</v>
      </c>
      <c r="AG320" s="14">
        <f>AVERAGE(AG290:AG319)</f>
        <v>0.33066666666666666</v>
      </c>
      <c r="AO320" s="14" t="s">
        <v>316</v>
      </c>
      <c r="AS320" s="14">
        <f>AVERAGE(AS290:AS319)</f>
        <v>0.3</v>
      </c>
      <c r="AW320" s="14" t="s">
        <v>316</v>
      </c>
      <c r="BA320" s="14">
        <f>AVERAGE(BA290:BA319)</f>
        <v>0.316</v>
      </c>
      <c r="BI320" s="14" t="s">
        <v>316</v>
      </c>
      <c r="BM320" s="14">
        <f>AVERAGE(BM290:BM319)</f>
        <v>0.3</v>
      </c>
      <c r="BQ320" s="14" t="s">
        <v>316</v>
      </c>
      <c r="BU320" s="14">
        <f>AVERAGE(BU290:BU319)</f>
        <v>0.31166666666666665</v>
      </c>
    </row>
    <row r="321" spans="1:79" s="1" customFormat="1" x14ac:dyDescent="0.3"/>
    <row r="322" spans="1:79" x14ac:dyDescent="0.3">
      <c r="A322" s="23" t="s">
        <v>314</v>
      </c>
      <c r="B322" s="23"/>
      <c r="C322" s="23"/>
      <c r="D322" s="23"/>
      <c r="E322" s="23"/>
      <c r="F322" s="23"/>
      <c r="G322" s="23"/>
      <c r="I322" s="23" t="s">
        <v>314</v>
      </c>
      <c r="J322" s="23"/>
      <c r="K322" s="23"/>
      <c r="L322" s="23"/>
      <c r="M322" s="23"/>
      <c r="N322" s="23"/>
      <c r="O322" s="23"/>
      <c r="P322" s="11"/>
      <c r="Q322" s="11"/>
      <c r="R322" s="11"/>
      <c r="S322" s="11"/>
      <c r="U322" s="23" t="s">
        <v>314</v>
      </c>
      <c r="V322" s="23"/>
      <c r="W322" s="23"/>
      <c r="X322" s="23"/>
      <c r="Y322" s="23"/>
      <c r="Z322" s="23"/>
      <c r="AA322" s="23"/>
      <c r="AC322" s="23" t="s">
        <v>314</v>
      </c>
      <c r="AD322" s="23"/>
      <c r="AE322" s="23"/>
      <c r="AF322" s="23"/>
      <c r="AG322" s="23"/>
      <c r="AH322" s="23"/>
      <c r="AI322" s="23"/>
      <c r="AJ322" s="11"/>
      <c r="AK322" s="11"/>
      <c r="AL322" s="11"/>
      <c r="AM322" s="11"/>
      <c r="AO322" s="23" t="s">
        <v>314</v>
      </c>
      <c r="AP322" s="23"/>
      <c r="AQ322" s="23"/>
      <c r="AR322" s="23"/>
      <c r="AS322" s="23"/>
      <c r="AT322" s="23"/>
      <c r="AU322" s="23"/>
      <c r="AW322" s="23" t="s">
        <v>314</v>
      </c>
      <c r="AX322" s="23"/>
      <c r="AY322" s="23"/>
      <c r="AZ322" s="23"/>
      <c r="BA322" s="23"/>
      <c r="BB322" s="23"/>
      <c r="BC322" s="23"/>
      <c r="BD322" s="11"/>
      <c r="BE322" s="11"/>
      <c r="BF322" s="11"/>
      <c r="BG322" s="11"/>
      <c r="BI322" s="23" t="s">
        <v>314</v>
      </c>
      <c r="BJ322" s="23"/>
      <c r="BK322" s="23"/>
      <c r="BL322" s="23"/>
      <c r="BM322" s="23"/>
      <c r="BN322" s="23"/>
      <c r="BO322" s="23"/>
      <c r="BQ322" s="23" t="s">
        <v>314</v>
      </c>
      <c r="BR322" s="23"/>
      <c r="BS322" s="23"/>
      <c r="BT322" s="23"/>
      <c r="BU322" s="23"/>
      <c r="BV322" s="23"/>
      <c r="BW322" s="23"/>
      <c r="BX322" s="11"/>
      <c r="BY322" s="11"/>
      <c r="BZ322" s="11"/>
      <c r="CA322" s="11"/>
    </row>
    <row r="323" spans="1:79" x14ac:dyDescent="0.3">
      <c r="A323" s="4" t="s">
        <v>0</v>
      </c>
      <c r="B323" s="4"/>
      <c r="C323" s="4"/>
      <c r="D323" s="4"/>
      <c r="E323" s="4"/>
      <c r="F323" s="4"/>
      <c r="G323" s="4"/>
      <c r="I323" s="23" t="s">
        <v>0</v>
      </c>
      <c r="J323" s="23"/>
      <c r="K323" s="23"/>
      <c r="L323" s="23"/>
      <c r="M323" s="23"/>
      <c r="N323" s="23"/>
      <c r="O323" s="23"/>
      <c r="P323" s="5"/>
      <c r="Q323" s="5"/>
      <c r="R323" s="5"/>
      <c r="S323" s="5"/>
      <c r="U323" s="4" t="s">
        <v>1</v>
      </c>
      <c r="V323" s="4"/>
      <c r="W323" s="4"/>
      <c r="X323" s="4"/>
      <c r="Y323" s="4"/>
      <c r="Z323" s="4"/>
      <c r="AA323" s="4"/>
      <c r="AC323" s="23" t="s">
        <v>1</v>
      </c>
      <c r="AD323" s="23"/>
      <c r="AE323" s="23"/>
      <c r="AF323" s="23"/>
      <c r="AG323" s="23"/>
      <c r="AH323" s="23"/>
      <c r="AI323" s="23"/>
      <c r="AJ323" s="5"/>
      <c r="AK323" s="5"/>
      <c r="AL323" s="5"/>
      <c r="AM323" s="5"/>
      <c r="AO323" s="4" t="s">
        <v>0</v>
      </c>
      <c r="AP323" s="4"/>
      <c r="AQ323" s="4"/>
      <c r="AR323" s="4"/>
      <c r="AS323" s="4"/>
      <c r="AT323" s="4"/>
      <c r="AU323" s="4"/>
      <c r="AW323" s="23" t="s">
        <v>0</v>
      </c>
      <c r="AX323" s="23"/>
      <c r="AY323" s="23"/>
      <c r="AZ323" s="23"/>
      <c r="BA323" s="23"/>
      <c r="BB323" s="23"/>
      <c r="BC323" s="23"/>
      <c r="BD323" s="5"/>
      <c r="BE323" s="5"/>
      <c r="BF323" s="5"/>
      <c r="BG323" s="5"/>
      <c r="BI323" s="4" t="s">
        <v>1</v>
      </c>
      <c r="BJ323" s="4"/>
      <c r="BK323" s="4"/>
      <c r="BL323" s="4"/>
      <c r="BM323" s="4"/>
      <c r="BN323" s="4"/>
      <c r="BO323" s="4"/>
      <c r="BQ323" s="23" t="s">
        <v>1</v>
      </c>
      <c r="BR323" s="23"/>
      <c r="BS323" s="23"/>
      <c r="BT323" s="23"/>
      <c r="BU323" s="23"/>
      <c r="BV323" s="23"/>
      <c r="BW323" s="23"/>
      <c r="BX323" s="5"/>
      <c r="BY323" s="5"/>
      <c r="BZ323" s="5"/>
      <c r="CA323" s="5"/>
    </row>
    <row r="324" spans="1:79" x14ac:dyDescent="0.3">
      <c r="A324" s="4" t="s">
        <v>2</v>
      </c>
      <c r="B324" s="4" t="s">
        <v>3</v>
      </c>
      <c r="C324" s="4" t="s">
        <v>4</v>
      </c>
      <c r="D324" s="4" t="s">
        <v>5</v>
      </c>
      <c r="E324" s="4" t="s">
        <v>6</v>
      </c>
      <c r="F324" s="4" t="s">
        <v>7</v>
      </c>
      <c r="G324" s="4" t="s">
        <v>8</v>
      </c>
      <c r="I324" s="4" t="s">
        <v>2</v>
      </c>
      <c r="J324" s="4" t="s">
        <v>3</v>
      </c>
      <c r="K324" s="4" t="s">
        <v>4</v>
      </c>
      <c r="L324" s="4" t="s">
        <v>5</v>
      </c>
      <c r="M324" s="4" t="s">
        <v>6</v>
      </c>
      <c r="N324" s="4" t="s">
        <v>7</v>
      </c>
      <c r="O324" s="4" t="s">
        <v>8</v>
      </c>
      <c r="P324" s="3" t="s">
        <v>322</v>
      </c>
      <c r="Q324" s="3" t="s">
        <v>323</v>
      </c>
      <c r="R324" s="3" t="s">
        <v>322</v>
      </c>
      <c r="S324" s="3" t="s">
        <v>323</v>
      </c>
      <c r="U324" s="4" t="s">
        <v>2</v>
      </c>
      <c r="V324" s="4" t="s">
        <v>3</v>
      </c>
      <c r="W324" s="4" t="s">
        <v>4</v>
      </c>
      <c r="X324" s="4" t="s">
        <v>5</v>
      </c>
      <c r="Y324" s="4" t="s">
        <v>6</v>
      </c>
      <c r="Z324" s="4" t="s">
        <v>7</v>
      </c>
      <c r="AA324" s="4" t="s">
        <v>8</v>
      </c>
      <c r="AC324" s="4" t="s">
        <v>2</v>
      </c>
      <c r="AD324" s="4" t="s">
        <v>3</v>
      </c>
      <c r="AE324" s="4" t="s">
        <v>4</v>
      </c>
      <c r="AF324" s="4" t="s">
        <v>5</v>
      </c>
      <c r="AG324" s="4" t="s">
        <v>6</v>
      </c>
      <c r="AH324" s="4" t="s">
        <v>7</v>
      </c>
      <c r="AI324" s="4" t="s">
        <v>8</v>
      </c>
      <c r="AJ324" s="3" t="s">
        <v>322</v>
      </c>
      <c r="AK324" s="3" t="s">
        <v>323</v>
      </c>
      <c r="AL324" s="3" t="s">
        <v>322</v>
      </c>
      <c r="AM324" s="3" t="s">
        <v>323</v>
      </c>
      <c r="AO324" s="4" t="s">
        <v>2</v>
      </c>
      <c r="AP324" s="4" t="s">
        <v>3</v>
      </c>
      <c r="AQ324" s="4" t="s">
        <v>4</v>
      </c>
      <c r="AR324" s="4" t="s">
        <v>5</v>
      </c>
      <c r="AS324" s="4" t="s">
        <v>6</v>
      </c>
      <c r="AT324" s="4" t="s">
        <v>7</v>
      </c>
      <c r="AU324" s="4" t="s">
        <v>8</v>
      </c>
      <c r="AW324" s="4" t="s">
        <v>2</v>
      </c>
      <c r="AX324" s="4" t="s">
        <v>3</v>
      </c>
      <c r="AY324" s="4" t="s">
        <v>4</v>
      </c>
      <c r="AZ324" s="4" t="s">
        <v>5</v>
      </c>
      <c r="BA324" s="4" t="s">
        <v>6</v>
      </c>
      <c r="BB324" s="4" t="s">
        <v>7</v>
      </c>
      <c r="BC324" s="4" t="s">
        <v>8</v>
      </c>
      <c r="BD324" s="3" t="s">
        <v>322</v>
      </c>
      <c r="BE324" s="3" t="s">
        <v>323</v>
      </c>
      <c r="BF324" s="3" t="s">
        <v>322</v>
      </c>
      <c r="BG324" s="3" t="s">
        <v>323</v>
      </c>
      <c r="BI324" s="4" t="s">
        <v>2</v>
      </c>
      <c r="BJ324" s="4" t="s">
        <v>3</v>
      </c>
      <c r="BK324" s="4" t="s">
        <v>4</v>
      </c>
      <c r="BL324" s="4" t="s">
        <v>5</v>
      </c>
      <c r="BM324" s="4" t="s">
        <v>6</v>
      </c>
      <c r="BN324" s="4" t="s">
        <v>7</v>
      </c>
      <c r="BO324" s="4" t="s">
        <v>8</v>
      </c>
      <c r="BQ324" s="4" t="s">
        <v>2</v>
      </c>
      <c r="BR324" s="4" t="s">
        <v>3</v>
      </c>
      <c r="BS324" s="4" t="s">
        <v>4</v>
      </c>
      <c r="BT324" s="4" t="s">
        <v>5</v>
      </c>
      <c r="BU324" s="4" t="s">
        <v>6</v>
      </c>
      <c r="BV324" s="4" t="s">
        <v>7</v>
      </c>
      <c r="BW324" s="4" t="s">
        <v>8</v>
      </c>
      <c r="BX324" s="3" t="s">
        <v>322</v>
      </c>
      <c r="BY324" s="3" t="s">
        <v>323</v>
      </c>
      <c r="BZ324" s="3" t="s">
        <v>322</v>
      </c>
      <c r="CA324" s="3" t="s">
        <v>323</v>
      </c>
    </row>
    <row r="325" spans="1:79" x14ac:dyDescent="0.3">
      <c r="A325" s="4" t="s">
        <v>194</v>
      </c>
      <c r="B325" s="4">
        <v>0.9</v>
      </c>
      <c r="C325" s="4">
        <v>0.5</v>
      </c>
      <c r="D325" s="4">
        <v>0.6</v>
      </c>
      <c r="E325" s="4">
        <v>0.3</v>
      </c>
      <c r="F325" s="6">
        <v>665.81909199999996</v>
      </c>
      <c r="G325" s="4">
        <v>2E-3</v>
      </c>
      <c r="I325" s="4" t="s">
        <v>194</v>
      </c>
      <c r="J325" s="4">
        <v>0.9</v>
      </c>
      <c r="K325" s="4">
        <v>0.5</v>
      </c>
      <c r="L325" s="4">
        <v>0.6</v>
      </c>
      <c r="M325" s="4">
        <v>0.3</v>
      </c>
      <c r="N325" s="4">
        <v>668.95550500000002</v>
      </c>
      <c r="O325" s="4">
        <v>2E-3</v>
      </c>
      <c r="P325" s="4" t="s">
        <v>324</v>
      </c>
      <c r="Q325" s="4" t="s">
        <v>324</v>
      </c>
      <c r="R325" s="4" t="s">
        <v>325</v>
      </c>
      <c r="S325" s="4" t="s">
        <v>325</v>
      </c>
      <c r="U325" s="4" t="s">
        <v>194</v>
      </c>
      <c r="V325" s="4">
        <v>0.9</v>
      </c>
      <c r="W325" s="4">
        <v>0.5</v>
      </c>
      <c r="X325" s="4">
        <v>0.6</v>
      </c>
      <c r="Y325" s="4">
        <v>0.3</v>
      </c>
      <c r="Z325" s="6">
        <v>640.28265399999998</v>
      </c>
      <c r="AA325" s="4">
        <v>2E-3</v>
      </c>
      <c r="AC325" s="4" t="s">
        <v>194</v>
      </c>
      <c r="AD325" s="4">
        <v>0.9</v>
      </c>
      <c r="AE325" s="4">
        <v>0.5</v>
      </c>
      <c r="AF325" s="4">
        <v>0.6</v>
      </c>
      <c r="AG325" s="4">
        <v>0.32</v>
      </c>
      <c r="AH325" s="4">
        <v>652.45251499999995</v>
      </c>
      <c r="AI325" s="4">
        <v>2E-3</v>
      </c>
      <c r="AJ325" s="4" t="s">
        <v>324</v>
      </c>
      <c r="AK325" s="4" t="s">
        <v>324</v>
      </c>
      <c r="AL325" s="4" t="s">
        <v>325</v>
      </c>
      <c r="AM325" s="4" t="s">
        <v>325</v>
      </c>
      <c r="AO325" s="4" t="s">
        <v>195</v>
      </c>
      <c r="AP325" s="4">
        <v>0.9</v>
      </c>
      <c r="AQ325" s="4">
        <v>0.5</v>
      </c>
      <c r="AR325" s="4">
        <v>0.6</v>
      </c>
      <c r="AS325" s="4">
        <v>0.3</v>
      </c>
      <c r="AT325" s="6">
        <v>984.61639400000001</v>
      </c>
      <c r="AU325" s="4">
        <v>8.0000000000000002E-3</v>
      </c>
      <c r="AW325" s="4" t="s">
        <v>195</v>
      </c>
      <c r="AX325" s="4">
        <v>0.9</v>
      </c>
      <c r="AY325" s="4">
        <v>0.5</v>
      </c>
      <c r="AZ325" s="4">
        <v>0.6</v>
      </c>
      <c r="BA325" s="4">
        <v>0.33</v>
      </c>
      <c r="BB325" s="4">
        <v>1004.574036</v>
      </c>
      <c r="BC325" s="4">
        <v>8.9999999999999993E-3</v>
      </c>
      <c r="BD325" s="4" t="s">
        <v>324</v>
      </c>
      <c r="BE325" s="4" t="s">
        <v>324</v>
      </c>
      <c r="BF325" s="4" t="s">
        <v>325</v>
      </c>
      <c r="BG325" s="4" t="s">
        <v>325</v>
      </c>
      <c r="BI325" s="4" t="s">
        <v>195</v>
      </c>
      <c r="BJ325" s="4">
        <v>0.9</v>
      </c>
      <c r="BK325" s="4">
        <v>0.5</v>
      </c>
      <c r="BL325" s="4">
        <v>0.6</v>
      </c>
      <c r="BM325" s="4">
        <v>0.3</v>
      </c>
      <c r="BN325" s="6">
        <v>904.89178500000003</v>
      </c>
      <c r="BO325" s="4">
        <v>7.0000000000000001E-3</v>
      </c>
      <c r="BQ325" s="4" t="s">
        <v>195</v>
      </c>
      <c r="BR325" s="4">
        <v>0.9</v>
      </c>
      <c r="BS325" s="4">
        <v>0.5</v>
      </c>
      <c r="BT325" s="4">
        <v>0.6</v>
      </c>
      <c r="BU325" s="4">
        <v>0.32</v>
      </c>
      <c r="BV325" s="4">
        <v>967.21191399999998</v>
      </c>
      <c r="BW325" s="4">
        <v>7.0000000000000001E-3</v>
      </c>
      <c r="BX325" s="4" t="s">
        <v>324</v>
      </c>
      <c r="BY325" s="4" t="s">
        <v>324</v>
      </c>
      <c r="BZ325" s="4" t="s">
        <v>325</v>
      </c>
      <c r="CA325" s="4" t="s">
        <v>325</v>
      </c>
    </row>
    <row r="326" spans="1:79" x14ac:dyDescent="0.3">
      <c r="A326" s="4" t="s">
        <v>196</v>
      </c>
      <c r="B326" s="4">
        <v>0.9</v>
      </c>
      <c r="C326" s="4">
        <v>0.5</v>
      </c>
      <c r="D326" s="4">
        <v>0.6</v>
      </c>
      <c r="E326" s="4">
        <v>0.3</v>
      </c>
      <c r="F326" s="6">
        <v>640.26318400000002</v>
      </c>
      <c r="G326" s="4">
        <v>3.0000000000000001E-3</v>
      </c>
      <c r="I326" s="4" t="s">
        <v>196</v>
      </c>
      <c r="J326" s="4">
        <v>0.9</v>
      </c>
      <c r="K326" s="4">
        <v>0.5</v>
      </c>
      <c r="L326" s="4">
        <v>0.6</v>
      </c>
      <c r="M326" s="4">
        <v>0.3</v>
      </c>
      <c r="N326" s="4">
        <v>650.28527799999995</v>
      </c>
      <c r="O326" s="4">
        <v>2E-3</v>
      </c>
      <c r="P326" s="3">
        <f>COUNT(F325:F330,F332:F334,F336:F343,F345:F346,F348:F349,F351:F354)</f>
        <v>25</v>
      </c>
      <c r="Q326" s="3">
        <f>30-P326</f>
        <v>5</v>
      </c>
      <c r="R326" s="3">
        <f>COUNT(N331,N335,N344,N347,N350)</f>
        <v>5</v>
      </c>
      <c r="S326" s="3">
        <f>30-R326</f>
        <v>25</v>
      </c>
      <c r="U326" s="4" t="s">
        <v>196</v>
      </c>
      <c r="V326" s="4">
        <v>0.9</v>
      </c>
      <c r="W326" s="4">
        <v>0.5</v>
      </c>
      <c r="X326" s="4">
        <v>0.6</v>
      </c>
      <c r="Y326" s="4">
        <v>0.3</v>
      </c>
      <c r="Z326" s="6">
        <v>606.60955799999999</v>
      </c>
      <c r="AA326" s="4">
        <v>2E-3</v>
      </c>
      <c r="AC326" s="4" t="s">
        <v>196</v>
      </c>
      <c r="AD326" s="4">
        <v>0.9</v>
      </c>
      <c r="AE326" s="4">
        <v>0.5</v>
      </c>
      <c r="AF326" s="4">
        <v>0.6</v>
      </c>
      <c r="AG326" s="4">
        <v>0.3</v>
      </c>
      <c r="AH326" s="4">
        <v>627.453979</v>
      </c>
      <c r="AI326" s="4">
        <v>2E-3</v>
      </c>
      <c r="AJ326" s="3">
        <f>COUNT(Z325:Z326,Z329:Z334,Z337:Z354)</f>
        <v>26</v>
      </c>
      <c r="AK326" s="3">
        <f>30-AJ326</f>
        <v>4</v>
      </c>
      <c r="AL326" s="3">
        <f>COUNT(AH327,AH330,AH335:AH336,AH348)</f>
        <v>5</v>
      </c>
      <c r="AM326" s="3">
        <f>30-AL326</f>
        <v>25</v>
      </c>
      <c r="AO326" s="4" t="s">
        <v>197</v>
      </c>
      <c r="AP326" s="4">
        <v>0.9</v>
      </c>
      <c r="AQ326" s="4">
        <v>0.5</v>
      </c>
      <c r="AR326" s="4">
        <v>0.6</v>
      </c>
      <c r="AS326" s="4">
        <v>0.3</v>
      </c>
      <c r="AT326" s="6">
        <v>905.06854199999998</v>
      </c>
      <c r="AU326" s="4">
        <v>7.0000000000000001E-3</v>
      </c>
      <c r="AW326" s="4" t="s">
        <v>197</v>
      </c>
      <c r="AX326" s="4">
        <v>0.9</v>
      </c>
      <c r="AY326" s="4">
        <v>0.5</v>
      </c>
      <c r="AZ326" s="4">
        <v>0.6</v>
      </c>
      <c r="BA326" s="4">
        <v>0.36</v>
      </c>
      <c r="BB326" s="4">
        <v>947.61779799999999</v>
      </c>
      <c r="BC326" s="4">
        <v>0.01</v>
      </c>
      <c r="BD326" s="3">
        <f>COUNT(AT325:AT331,AT333:AT341,AT343:AT354)</f>
        <v>28</v>
      </c>
      <c r="BE326" s="3">
        <f>30-BD326</f>
        <v>2</v>
      </c>
      <c r="BF326" s="3">
        <f>COUNT(BB332,BB342)</f>
        <v>2</v>
      </c>
      <c r="BG326" s="3">
        <f>30-BF326</f>
        <v>28</v>
      </c>
      <c r="BI326" s="4" t="s">
        <v>197</v>
      </c>
      <c r="BJ326" s="4">
        <v>0.9</v>
      </c>
      <c r="BK326" s="4">
        <v>0.5</v>
      </c>
      <c r="BL326" s="4">
        <v>0.6</v>
      </c>
      <c r="BM326" s="4">
        <v>0.3</v>
      </c>
      <c r="BN326" s="6">
        <v>862.50341800000001</v>
      </c>
      <c r="BO326" s="4">
        <v>6.0000000000000001E-3</v>
      </c>
      <c r="BQ326" s="4" t="s">
        <v>197</v>
      </c>
      <c r="BR326" s="4">
        <v>0.9</v>
      </c>
      <c r="BS326" s="4">
        <v>0.5</v>
      </c>
      <c r="BT326" s="4">
        <v>0.6</v>
      </c>
      <c r="BU326" s="4">
        <v>0.3</v>
      </c>
      <c r="BV326" s="4">
        <v>891.104736</v>
      </c>
      <c r="BW326" s="4">
        <v>6.0000000000000001E-3</v>
      </c>
      <c r="BX326" s="3">
        <f>COUNT(BN325:BN341,BN343:BN354)</f>
        <v>29</v>
      </c>
      <c r="BY326" s="3">
        <f>30-BX326</f>
        <v>1</v>
      </c>
      <c r="BZ326" s="3">
        <f>COUNT(BV342)</f>
        <v>1</v>
      </c>
      <c r="CA326" s="3">
        <f>30-BZ326</f>
        <v>29</v>
      </c>
    </row>
    <row r="327" spans="1:79" x14ac:dyDescent="0.3">
      <c r="A327" s="4" t="s">
        <v>198</v>
      </c>
      <c r="B327" s="4">
        <v>0.9</v>
      </c>
      <c r="C327" s="4">
        <v>0.5</v>
      </c>
      <c r="D327" s="4">
        <v>0.6</v>
      </c>
      <c r="E327" s="4">
        <v>0.3</v>
      </c>
      <c r="F327" s="6">
        <v>621.59417699999995</v>
      </c>
      <c r="G327" s="4">
        <v>2E-3</v>
      </c>
      <c r="I327" s="4" t="s">
        <v>198</v>
      </c>
      <c r="J327" s="4">
        <v>0.9</v>
      </c>
      <c r="K327" s="4">
        <v>0.5</v>
      </c>
      <c r="L327" s="4">
        <v>0.6</v>
      </c>
      <c r="M327" s="4">
        <v>0.32</v>
      </c>
      <c r="N327" s="4">
        <v>631.75915499999996</v>
      </c>
      <c r="O327" s="4">
        <v>2E-3</v>
      </c>
      <c r="P327" s="5"/>
      <c r="Q327" s="5"/>
      <c r="R327" s="5"/>
      <c r="S327" s="5"/>
      <c r="U327" s="4" t="s">
        <v>198</v>
      </c>
      <c r="V327" s="4">
        <v>0.9</v>
      </c>
      <c r="W327" s="4">
        <v>0.5</v>
      </c>
      <c r="X327" s="4">
        <v>0.6</v>
      </c>
      <c r="Y327" s="4">
        <v>0.3</v>
      </c>
      <c r="Z327" s="4">
        <v>588.62487799999997</v>
      </c>
      <c r="AA327" s="4">
        <v>2E-3</v>
      </c>
      <c r="AC327" s="4" t="s">
        <v>198</v>
      </c>
      <c r="AD327" s="4">
        <v>0.9</v>
      </c>
      <c r="AE327" s="4">
        <v>0.5</v>
      </c>
      <c r="AF327" s="4">
        <v>0.6</v>
      </c>
      <c r="AG327" s="4">
        <v>0.31</v>
      </c>
      <c r="AH327" s="6">
        <v>580.98089600000003</v>
      </c>
      <c r="AI327" s="4">
        <v>2E-3</v>
      </c>
      <c r="AJ327" s="5"/>
      <c r="AK327" s="5"/>
      <c r="AL327" s="5"/>
      <c r="AM327" s="5"/>
      <c r="AO327" s="4" t="s">
        <v>199</v>
      </c>
      <c r="AP327" s="4">
        <v>0.9</v>
      </c>
      <c r="AQ327" s="4">
        <v>0.5</v>
      </c>
      <c r="AR327" s="4">
        <v>0.6</v>
      </c>
      <c r="AS327" s="4">
        <v>0.3</v>
      </c>
      <c r="AT327" s="6">
        <v>919.47515899999996</v>
      </c>
      <c r="AU327" s="4">
        <v>7.0000000000000001E-3</v>
      </c>
      <c r="AW327" s="4" t="s">
        <v>199</v>
      </c>
      <c r="AX327" s="4">
        <v>0.9</v>
      </c>
      <c r="AY327" s="4">
        <v>0.5</v>
      </c>
      <c r="AZ327" s="4">
        <v>0.6</v>
      </c>
      <c r="BA327" s="4">
        <v>0.32</v>
      </c>
      <c r="BB327" s="4">
        <v>964.45263699999998</v>
      </c>
      <c r="BC327" s="4">
        <v>0.01</v>
      </c>
      <c r="BD327" s="5"/>
      <c r="BE327" s="5"/>
      <c r="BF327" s="5"/>
      <c r="BG327" s="5"/>
      <c r="BI327" s="4" t="s">
        <v>199</v>
      </c>
      <c r="BJ327" s="4">
        <v>0.9</v>
      </c>
      <c r="BK327" s="4">
        <v>0.5</v>
      </c>
      <c r="BL327" s="4">
        <v>0.6</v>
      </c>
      <c r="BM327" s="4">
        <v>0.3</v>
      </c>
      <c r="BN327" s="6">
        <v>876.94537400000002</v>
      </c>
      <c r="BO327" s="4">
        <v>7.0000000000000001E-3</v>
      </c>
      <c r="BQ327" s="4" t="s">
        <v>199</v>
      </c>
      <c r="BR327" s="4">
        <v>0.9</v>
      </c>
      <c r="BS327" s="4">
        <v>0.5</v>
      </c>
      <c r="BT327" s="4">
        <v>0.6</v>
      </c>
      <c r="BU327" s="4">
        <v>0.31</v>
      </c>
      <c r="BV327" s="4">
        <v>935.35540800000001</v>
      </c>
      <c r="BW327" s="4">
        <v>7.0000000000000001E-3</v>
      </c>
      <c r="BX327" s="5"/>
      <c r="BY327" s="5"/>
      <c r="BZ327" s="5"/>
      <c r="CA327" s="5"/>
    </row>
    <row r="328" spans="1:79" x14ac:dyDescent="0.3">
      <c r="A328" s="4" t="s">
        <v>200</v>
      </c>
      <c r="B328" s="4">
        <v>0.9</v>
      </c>
      <c r="C328" s="4">
        <v>0.5</v>
      </c>
      <c r="D328" s="4">
        <v>0.6</v>
      </c>
      <c r="E328" s="4">
        <v>0.3</v>
      </c>
      <c r="F328" s="6">
        <v>584.62457300000005</v>
      </c>
      <c r="G328" s="4">
        <v>2E-3</v>
      </c>
      <c r="I328" s="4" t="s">
        <v>200</v>
      </c>
      <c r="J328" s="4">
        <v>0.9</v>
      </c>
      <c r="K328" s="4">
        <v>0.5</v>
      </c>
      <c r="L328" s="4">
        <v>0.6</v>
      </c>
      <c r="M328" s="4">
        <v>0.31</v>
      </c>
      <c r="N328" s="4">
        <v>598.37329099999999</v>
      </c>
      <c r="O328" s="4">
        <v>2E-3</v>
      </c>
      <c r="P328" s="5"/>
      <c r="Q328" s="5"/>
      <c r="R328" s="5"/>
      <c r="S328" s="5"/>
      <c r="U328" s="4" t="s">
        <v>200</v>
      </c>
      <c r="V328" s="4">
        <v>0.9</v>
      </c>
      <c r="W328" s="4">
        <v>0.5</v>
      </c>
      <c r="X328" s="4">
        <v>0.6</v>
      </c>
      <c r="Y328" s="4">
        <v>0.3</v>
      </c>
      <c r="Z328" s="4">
        <v>512.32098399999995</v>
      </c>
      <c r="AA328" s="4">
        <v>2E-3</v>
      </c>
      <c r="AC328" s="4" t="s">
        <v>200</v>
      </c>
      <c r="AD328" s="4">
        <v>0.9</v>
      </c>
      <c r="AE328" s="4">
        <v>0.5</v>
      </c>
      <c r="AF328" s="4">
        <v>0.6</v>
      </c>
      <c r="AG328" s="4">
        <v>0.3</v>
      </c>
      <c r="AH328" s="4">
        <v>524.94604500000003</v>
      </c>
      <c r="AI328" s="4">
        <v>2E-3</v>
      </c>
      <c r="AJ328" s="5"/>
      <c r="AK328" s="5"/>
      <c r="AL328" s="5"/>
      <c r="AM328" s="5"/>
      <c r="AO328" s="4" t="s">
        <v>201</v>
      </c>
      <c r="AP328" s="4">
        <v>0.9</v>
      </c>
      <c r="AQ328" s="4">
        <v>0.5</v>
      </c>
      <c r="AR328" s="4">
        <v>0.6</v>
      </c>
      <c r="AS328" s="4">
        <v>0.3</v>
      </c>
      <c r="AT328" s="6">
        <v>996.49212599999998</v>
      </c>
      <c r="AU328" s="4">
        <v>7.0000000000000001E-3</v>
      </c>
      <c r="AW328" s="4" t="s">
        <v>201</v>
      </c>
      <c r="AX328" s="4">
        <v>0.9</v>
      </c>
      <c r="AY328" s="4">
        <v>0.5</v>
      </c>
      <c r="AZ328" s="4">
        <v>0.6</v>
      </c>
      <c r="BA328" s="4">
        <v>0.32</v>
      </c>
      <c r="BB328" s="4">
        <v>1008.464783</v>
      </c>
      <c r="BC328" s="4">
        <v>8.9999999999999993E-3</v>
      </c>
      <c r="BD328" s="5"/>
      <c r="BE328" s="5"/>
      <c r="BF328" s="5"/>
      <c r="BG328" s="5"/>
      <c r="BI328" s="4" t="s">
        <v>201</v>
      </c>
      <c r="BJ328" s="4">
        <v>0.9</v>
      </c>
      <c r="BK328" s="4">
        <v>0.5</v>
      </c>
      <c r="BL328" s="4">
        <v>0.6</v>
      </c>
      <c r="BM328" s="4">
        <v>0.3</v>
      </c>
      <c r="BN328" s="6">
        <v>939.31604000000004</v>
      </c>
      <c r="BO328" s="4">
        <v>7.0000000000000001E-3</v>
      </c>
      <c r="BQ328" s="4" t="s">
        <v>201</v>
      </c>
      <c r="BR328" s="4">
        <v>0.9</v>
      </c>
      <c r="BS328" s="4">
        <v>0.5</v>
      </c>
      <c r="BT328" s="4">
        <v>0.6</v>
      </c>
      <c r="BU328" s="4">
        <v>0.3</v>
      </c>
      <c r="BV328" s="4">
        <v>963.473389</v>
      </c>
      <c r="BW328" s="4">
        <v>7.0000000000000001E-3</v>
      </c>
      <c r="BX328" s="5"/>
      <c r="BY328" s="5"/>
      <c r="BZ328" s="5"/>
      <c r="CA328" s="5"/>
    </row>
    <row r="329" spans="1:79" x14ac:dyDescent="0.3">
      <c r="A329" s="4" t="s">
        <v>202</v>
      </c>
      <c r="B329" s="4">
        <v>0.9</v>
      </c>
      <c r="C329" s="4">
        <v>0.5</v>
      </c>
      <c r="D329" s="4">
        <v>0.6</v>
      </c>
      <c r="E329" s="4">
        <v>0.3</v>
      </c>
      <c r="F329" s="6">
        <v>581.249146</v>
      </c>
      <c r="G329" s="4">
        <v>2E-3</v>
      </c>
      <c r="I329" s="4" t="s">
        <v>202</v>
      </c>
      <c r="J329" s="4">
        <v>0.9</v>
      </c>
      <c r="K329" s="4">
        <v>0.5</v>
      </c>
      <c r="L329" s="4">
        <v>0.6</v>
      </c>
      <c r="M329" s="4">
        <v>0.33</v>
      </c>
      <c r="N329" s="4">
        <v>605.262878</v>
      </c>
      <c r="O329" s="4">
        <v>2E-3</v>
      </c>
      <c r="P329" s="5"/>
      <c r="Q329" s="5"/>
      <c r="R329" s="5"/>
      <c r="S329" s="5"/>
      <c r="U329" s="4" t="s">
        <v>202</v>
      </c>
      <c r="V329" s="4">
        <v>0.9</v>
      </c>
      <c r="W329" s="4">
        <v>0.5</v>
      </c>
      <c r="X329" s="4">
        <v>0.6</v>
      </c>
      <c r="Y329" s="4">
        <v>0.3</v>
      </c>
      <c r="Z329" s="6">
        <v>519.90783699999997</v>
      </c>
      <c r="AA329" s="4">
        <v>1E-3</v>
      </c>
      <c r="AC329" s="4" t="s">
        <v>202</v>
      </c>
      <c r="AD329" s="4">
        <v>0.9</v>
      </c>
      <c r="AE329" s="4">
        <v>0.5</v>
      </c>
      <c r="AF329" s="4">
        <v>0.6</v>
      </c>
      <c r="AG329" s="4">
        <v>0.32</v>
      </c>
      <c r="AH329" s="4">
        <v>544.00091599999996</v>
      </c>
      <c r="AI329" s="4">
        <v>2E-3</v>
      </c>
      <c r="AJ329" s="5"/>
      <c r="AK329" s="5"/>
      <c r="AL329" s="5"/>
      <c r="AM329" s="5"/>
      <c r="AO329" s="4" t="s">
        <v>203</v>
      </c>
      <c r="AP329" s="4">
        <v>0.9</v>
      </c>
      <c r="AQ329" s="4">
        <v>0.5</v>
      </c>
      <c r="AR329" s="4">
        <v>0.6</v>
      </c>
      <c r="AS329" s="4">
        <v>0.3</v>
      </c>
      <c r="AT329" s="6">
        <v>952.42340100000001</v>
      </c>
      <c r="AU329" s="4">
        <v>6.0000000000000001E-3</v>
      </c>
      <c r="AW329" s="4" t="s">
        <v>203</v>
      </c>
      <c r="AX329" s="4">
        <v>0.9</v>
      </c>
      <c r="AY329" s="4">
        <v>0.5</v>
      </c>
      <c r="AZ329" s="4">
        <v>0.6</v>
      </c>
      <c r="BA329" s="4">
        <v>0.3</v>
      </c>
      <c r="BB329" s="4">
        <v>969.08709699999997</v>
      </c>
      <c r="BC329" s="4">
        <v>8.9999999999999993E-3</v>
      </c>
      <c r="BD329" s="5"/>
      <c r="BE329" s="5"/>
      <c r="BF329" s="5"/>
      <c r="BG329" s="5"/>
      <c r="BI329" s="4" t="s">
        <v>203</v>
      </c>
      <c r="BJ329" s="4">
        <v>0.9</v>
      </c>
      <c r="BK329" s="4">
        <v>0.5</v>
      </c>
      <c r="BL329" s="4">
        <v>0.6</v>
      </c>
      <c r="BM329" s="4">
        <v>0.3</v>
      </c>
      <c r="BN329" s="6">
        <v>894.94897500000002</v>
      </c>
      <c r="BO329" s="4">
        <v>6.0000000000000001E-3</v>
      </c>
      <c r="BQ329" s="4" t="s">
        <v>203</v>
      </c>
      <c r="BR329" s="4">
        <v>0.9</v>
      </c>
      <c r="BS329" s="4">
        <v>0.5</v>
      </c>
      <c r="BT329" s="4">
        <v>0.6</v>
      </c>
      <c r="BU329" s="4">
        <v>0.3</v>
      </c>
      <c r="BV329" s="4">
        <v>918.18670699999996</v>
      </c>
      <c r="BW329" s="4">
        <v>6.0000000000000001E-3</v>
      </c>
      <c r="BX329" s="5"/>
      <c r="BY329" s="5"/>
      <c r="BZ329" s="5"/>
      <c r="CA329" s="5"/>
    </row>
    <row r="330" spans="1:79" x14ac:dyDescent="0.3">
      <c r="A330" s="4" t="s">
        <v>204</v>
      </c>
      <c r="B330" s="4">
        <v>0.9</v>
      </c>
      <c r="C330" s="4">
        <v>0.5</v>
      </c>
      <c r="D330" s="4">
        <v>0.6</v>
      </c>
      <c r="E330" s="4">
        <v>0.3</v>
      </c>
      <c r="F330" s="6">
        <v>623.68798800000002</v>
      </c>
      <c r="G330" s="4">
        <v>3.0000000000000001E-3</v>
      </c>
      <c r="I330" s="4" t="s">
        <v>204</v>
      </c>
      <c r="J330" s="4">
        <v>0.9</v>
      </c>
      <c r="K330" s="4">
        <v>0.5</v>
      </c>
      <c r="L330" s="4">
        <v>0.6</v>
      </c>
      <c r="M330" s="4">
        <v>0.32</v>
      </c>
      <c r="N330" s="4">
        <v>638.58227499999998</v>
      </c>
      <c r="O330" s="4">
        <v>2E-3</v>
      </c>
      <c r="P330" s="5"/>
      <c r="Q330" s="5"/>
      <c r="R330" s="5"/>
      <c r="S330" s="5"/>
      <c r="U330" s="4" t="s">
        <v>204</v>
      </c>
      <c r="V330" s="4">
        <v>0.9</v>
      </c>
      <c r="W330" s="4">
        <v>0.5</v>
      </c>
      <c r="X330" s="4">
        <v>0.6</v>
      </c>
      <c r="Y330" s="4">
        <v>0.3</v>
      </c>
      <c r="Z330" s="6">
        <v>604.13671899999997</v>
      </c>
      <c r="AA330" s="4">
        <v>2E-3</v>
      </c>
      <c r="AC330" s="4" t="s">
        <v>204</v>
      </c>
      <c r="AD330" s="4">
        <v>0.9</v>
      </c>
      <c r="AE330" s="4">
        <v>0.5</v>
      </c>
      <c r="AF330" s="4">
        <v>0.6</v>
      </c>
      <c r="AG330" s="4">
        <v>0.3</v>
      </c>
      <c r="AH330" s="8">
        <v>604.97094700000002</v>
      </c>
      <c r="AI330" s="4">
        <v>2E-3</v>
      </c>
      <c r="AJ330" s="5"/>
      <c r="AK330" s="5"/>
      <c r="AL330" s="5"/>
      <c r="AM330" s="5"/>
      <c r="AO330" s="4" t="s">
        <v>205</v>
      </c>
      <c r="AP330" s="4">
        <v>0.9</v>
      </c>
      <c r="AQ330" s="4">
        <v>0.5</v>
      </c>
      <c r="AR330" s="4">
        <v>0.6</v>
      </c>
      <c r="AS330" s="4">
        <v>0.3</v>
      </c>
      <c r="AT330" s="6">
        <v>966.86163299999998</v>
      </c>
      <c r="AU330" s="4">
        <v>7.0000000000000001E-3</v>
      </c>
      <c r="AW330" s="4" t="s">
        <v>205</v>
      </c>
      <c r="AX330" s="4">
        <v>0.9</v>
      </c>
      <c r="AY330" s="4">
        <v>0.5</v>
      </c>
      <c r="AZ330" s="4">
        <v>0.6</v>
      </c>
      <c r="BA330" s="4">
        <v>0.3</v>
      </c>
      <c r="BB330" s="4">
        <v>986.62512200000003</v>
      </c>
      <c r="BC330" s="4">
        <v>1.0999999999999999E-2</v>
      </c>
      <c r="BD330" s="5"/>
      <c r="BE330" s="5"/>
      <c r="BF330" s="5"/>
      <c r="BG330" s="5"/>
      <c r="BI330" s="4" t="s">
        <v>205</v>
      </c>
      <c r="BJ330" s="4">
        <v>0.9</v>
      </c>
      <c r="BK330" s="4">
        <v>0.5</v>
      </c>
      <c r="BL330" s="4">
        <v>0.6</v>
      </c>
      <c r="BM330" s="4">
        <v>0.3</v>
      </c>
      <c r="BN330" s="6">
        <v>906.92327899999998</v>
      </c>
      <c r="BO330" s="4">
        <v>7.0000000000000001E-3</v>
      </c>
      <c r="BQ330" s="4" t="s">
        <v>205</v>
      </c>
      <c r="BR330" s="4">
        <v>0.9</v>
      </c>
      <c r="BS330" s="4">
        <v>0.5</v>
      </c>
      <c r="BT330" s="4">
        <v>0.6</v>
      </c>
      <c r="BU330" s="4">
        <v>0.33</v>
      </c>
      <c r="BV330" s="4">
        <v>939.23089600000003</v>
      </c>
      <c r="BW330" s="4">
        <v>6.0000000000000001E-3</v>
      </c>
      <c r="BX330" s="5"/>
      <c r="BY330" s="5"/>
      <c r="BZ330" s="5"/>
      <c r="CA330" s="5"/>
    </row>
    <row r="331" spans="1:79" x14ac:dyDescent="0.3">
      <c r="A331" s="4" t="s">
        <v>206</v>
      </c>
      <c r="B331" s="4">
        <v>0.9</v>
      </c>
      <c r="C331" s="4">
        <v>0.5</v>
      </c>
      <c r="D331" s="4">
        <v>0.6</v>
      </c>
      <c r="E331" s="4">
        <v>0.3</v>
      </c>
      <c r="F331" s="4">
        <v>650.65106200000002</v>
      </c>
      <c r="G331" s="4">
        <v>2E-3</v>
      </c>
      <c r="I331" s="4" t="s">
        <v>206</v>
      </c>
      <c r="J331" s="4">
        <v>0.9</v>
      </c>
      <c r="K331" s="4">
        <v>0.5</v>
      </c>
      <c r="L331" s="4">
        <v>0.6</v>
      </c>
      <c r="M331" s="4">
        <v>0.33</v>
      </c>
      <c r="N331" s="6">
        <v>646.61596699999996</v>
      </c>
      <c r="O331" s="4">
        <v>2E-3</v>
      </c>
      <c r="P331" s="5"/>
      <c r="Q331" s="5"/>
      <c r="R331" s="5"/>
      <c r="S331" s="5"/>
      <c r="U331" s="4" t="s">
        <v>206</v>
      </c>
      <c r="V331" s="4">
        <v>0.9</v>
      </c>
      <c r="W331" s="4">
        <v>0.5</v>
      </c>
      <c r="X331" s="4">
        <v>0.6</v>
      </c>
      <c r="Y331" s="4">
        <v>0.3</v>
      </c>
      <c r="Z331" s="6">
        <v>608.07702600000005</v>
      </c>
      <c r="AA331" s="4">
        <v>2E-3</v>
      </c>
      <c r="AC331" s="4" t="s">
        <v>206</v>
      </c>
      <c r="AD331" s="4">
        <v>0.9</v>
      </c>
      <c r="AE331" s="4">
        <v>0.5</v>
      </c>
      <c r="AF331" s="4">
        <v>0.6</v>
      </c>
      <c r="AG331" s="4">
        <v>0.3</v>
      </c>
      <c r="AH331" s="4">
        <v>618.34918200000004</v>
      </c>
      <c r="AI331" s="4">
        <v>2E-3</v>
      </c>
      <c r="AJ331" s="5"/>
      <c r="AK331" s="5"/>
      <c r="AL331" s="5"/>
      <c r="AM331" s="5"/>
      <c r="AO331" s="4" t="s">
        <v>207</v>
      </c>
      <c r="AP331" s="4">
        <v>0.9</v>
      </c>
      <c r="AQ331" s="4">
        <v>0.5</v>
      </c>
      <c r="AR331" s="4">
        <v>0.6</v>
      </c>
      <c r="AS331" s="4">
        <v>0.3</v>
      </c>
      <c r="AT331" s="6">
        <v>892.67394999999999</v>
      </c>
      <c r="AU331" s="4">
        <v>6.0000000000000001E-3</v>
      </c>
      <c r="AW331" s="4" t="s">
        <v>207</v>
      </c>
      <c r="AX331" s="4">
        <v>0.9</v>
      </c>
      <c r="AY331" s="4">
        <v>0.5</v>
      </c>
      <c r="AZ331" s="4">
        <v>0.6</v>
      </c>
      <c r="BA331" s="4">
        <v>0.31</v>
      </c>
      <c r="BB331" s="4">
        <v>902.66839600000003</v>
      </c>
      <c r="BC331" s="4">
        <v>1.0999999999999999E-2</v>
      </c>
      <c r="BD331" s="5"/>
      <c r="BE331" s="5"/>
      <c r="BF331" s="5"/>
      <c r="BG331" s="5"/>
      <c r="BI331" s="4" t="s">
        <v>207</v>
      </c>
      <c r="BJ331" s="4">
        <v>0.9</v>
      </c>
      <c r="BK331" s="4">
        <v>0.5</v>
      </c>
      <c r="BL331" s="4">
        <v>0.6</v>
      </c>
      <c r="BM331" s="4">
        <v>0.3</v>
      </c>
      <c r="BN331" s="6">
        <v>823.70959500000004</v>
      </c>
      <c r="BO331" s="4">
        <v>5.0000000000000001E-3</v>
      </c>
      <c r="BQ331" s="4" t="s">
        <v>207</v>
      </c>
      <c r="BR331" s="4">
        <v>0.9</v>
      </c>
      <c r="BS331" s="4">
        <v>0.5</v>
      </c>
      <c r="BT331" s="4">
        <v>0.6</v>
      </c>
      <c r="BU331" s="4">
        <v>0.3</v>
      </c>
      <c r="BV331" s="4">
        <v>838.493469</v>
      </c>
      <c r="BW331" s="4">
        <v>8.9999999999999993E-3</v>
      </c>
      <c r="BX331" s="5"/>
      <c r="BY331" s="5"/>
      <c r="BZ331" s="5"/>
      <c r="CA331" s="5"/>
    </row>
    <row r="332" spans="1:79" x14ac:dyDescent="0.3">
      <c r="A332" s="4" t="s">
        <v>208</v>
      </c>
      <c r="B332" s="4">
        <v>0.9</v>
      </c>
      <c r="C332" s="4">
        <v>0.5</v>
      </c>
      <c r="D332" s="4">
        <v>0.6</v>
      </c>
      <c r="E332" s="4">
        <v>0.3</v>
      </c>
      <c r="F332" s="6">
        <v>618.52227800000003</v>
      </c>
      <c r="G332" s="4">
        <v>2E-3</v>
      </c>
      <c r="I332" s="4" t="s">
        <v>208</v>
      </c>
      <c r="J332" s="4">
        <v>0.9</v>
      </c>
      <c r="K332" s="4">
        <v>0.5</v>
      </c>
      <c r="L332" s="4">
        <v>0.6</v>
      </c>
      <c r="M332" s="4">
        <v>0.36</v>
      </c>
      <c r="N332" s="4">
        <v>619.73907499999996</v>
      </c>
      <c r="O332" s="4">
        <v>2E-3</v>
      </c>
      <c r="P332" s="5"/>
      <c r="Q332" s="5"/>
      <c r="R332" s="5"/>
      <c r="S332" s="5"/>
      <c r="U332" s="4" t="s">
        <v>208</v>
      </c>
      <c r="V332" s="4">
        <v>0.9</v>
      </c>
      <c r="W332" s="4">
        <v>0.5</v>
      </c>
      <c r="X332" s="4">
        <v>0.6</v>
      </c>
      <c r="Y332" s="4">
        <v>0.3</v>
      </c>
      <c r="Z332" s="6">
        <v>556.91619900000001</v>
      </c>
      <c r="AA332" s="4">
        <v>2E-3</v>
      </c>
      <c r="AC332" s="4" t="s">
        <v>208</v>
      </c>
      <c r="AD332" s="4">
        <v>0.9</v>
      </c>
      <c r="AE332" s="4">
        <v>0.5</v>
      </c>
      <c r="AF332" s="4">
        <v>0.6</v>
      </c>
      <c r="AG332" s="4">
        <v>0.32</v>
      </c>
      <c r="AH332" s="4">
        <v>573.48840299999995</v>
      </c>
      <c r="AI332" s="4">
        <v>1E-3</v>
      </c>
      <c r="AJ332" s="5"/>
      <c r="AK332" s="5"/>
      <c r="AL332" s="5"/>
      <c r="AM332" s="5"/>
      <c r="AO332" s="4" t="s">
        <v>209</v>
      </c>
      <c r="AP332" s="4">
        <v>0.9</v>
      </c>
      <c r="AQ332" s="4">
        <v>0.5</v>
      </c>
      <c r="AR332" s="4">
        <v>0.6</v>
      </c>
      <c r="AS332" s="4">
        <v>0.3</v>
      </c>
      <c r="AT332" s="4">
        <v>879.33618200000001</v>
      </c>
      <c r="AU332" s="4">
        <v>6.0000000000000001E-3</v>
      </c>
      <c r="AW332" s="4" t="s">
        <v>209</v>
      </c>
      <c r="AX332" s="4">
        <v>0.9</v>
      </c>
      <c r="AY332" s="4">
        <v>0.5</v>
      </c>
      <c r="AZ332" s="4">
        <v>0.6</v>
      </c>
      <c r="BA332" s="4">
        <v>0.3</v>
      </c>
      <c r="BB332" s="6">
        <v>873.21307400000001</v>
      </c>
      <c r="BC332" s="4">
        <v>1.2E-2</v>
      </c>
      <c r="BD332" s="5"/>
      <c r="BE332" s="5"/>
      <c r="BF332" s="5"/>
      <c r="BG332" s="5"/>
      <c r="BI332" s="4" t="s">
        <v>209</v>
      </c>
      <c r="BJ332" s="4">
        <v>0.9</v>
      </c>
      <c r="BK332" s="4">
        <v>0.5</v>
      </c>
      <c r="BL332" s="4">
        <v>0.6</v>
      </c>
      <c r="BM332" s="4">
        <v>0.3</v>
      </c>
      <c r="BN332" s="6">
        <v>802.61377000000005</v>
      </c>
      <c r="BO332" s="4">
        <v>6.0000000000000001E-3</v>
      </c>
      <c r="BQ332" s="4" t="s">
        <v>209</v>
      </c>
      <c r="BR332" s="4">
        <v>0.9</v>
      </c>
      <c r="BS332" s="4">
        <v>0.5</v>
      </c>
      <c r="BT332" s="4">
        <v>0.6</v>
      </c>
      <c r="BU332" s="4">
        <v>0.31</v>
      </c>
      <c r="BV332" s="4">
        <v>849.70825200000002</v>
      </c>
      <c r="BW332" s="4">
        <v>6.0000000000000001E-3</v>
      </c>
      <c r="BX332" s="5"/>
      <c r="BY332" s="5"/>
      <c r="BZ332" s="5"/>
      <c r="CA332" s="5"/>
    </row>
    <row r="333" spans="1:79" x14ac:dyDescent="0.3">
      <c r="A333" s="4" t="s">
        <v>210</v>
      </c>
      <c r="B333" s="4">
        <v>0.9</v>
      </c>
      <c r="C333" s="4">
        <v>0.5</v>
      </c>
      <c r="D333" s="4">
        <v>0.6</v>
      </c>
      <c r="E333" s="4">
        <v>0.3</v>
      </c>
      <c r="F333" s="6">
        <v>601.227844</v>
      </c>
      <c r="G333" s="4">
        <v>2E-3</v>
      </c>
      <c r="I333" s="4" t="s">
        <v>210</v>
      </c>
      <c r="J333" s="4">
        <v>0.9</v>
      </c>
      <c r="K333" s="4">
        <v>0.5</v>
      </c>
      <c r="L333" s="4">
        <v>0.6</v>
      </c>
      <c r="M333" s="4">
        <v>0.3</v>
      </c>
      <c r="N333" s="4">
        <v>618.76879899999994</v>
      </c>
      <c r="O333" s="4">
        <v>2E-3</v>
      </c>
      <c r="P333" s="5"/>
      <c r="Q333" s="5"/>
      <c r="R333" s="5"/>
      <c r="S333" s="5"/>
      <c r="U333" s="4" t="s">
        <v>210</v>
      </c>
      <c r="V333" s="4">
        <v>0.9</v>
      </c>
      <c r="W333" s="4">
        <v>0.5</v>
      </c>
      <c r="X333" s="4">
        <v>0.6</v>
      </c>
      <c r="Y333" s="4">
        <v>0.3</v>
      </c>
      <c r="Z333" s="6">
        <v>560.67224099999999</v>
      </c>
      <c r="AA333" s="4">
        <v>2E-3</v>
      </c>
      <c r="AC333" s="4" t="s">
        <v>210</v>
      </c>
      <c r="AD333" s="4">
        <v>0.9</v>
      </c>
      <c r="AE333" s="4">
        <v>0.5</v>
      </c>
      <c r="AF333" s="4">
        <v>0.6</v>
      </c>
      <c r="AG333" s="4">
        <v>0.31</v>
      </c>
      <c r="AH333" s="4">
        <v>592.04644800000005</v>
      </c>
      <c r="AI333" s="4">
        <v>2E-3</v>
      </c>
      <c r="AJ333" s="5"/>
      <c r="AK333" s="5"/>
      <c r="AL333" s="5"/>
      <c r="AM333" s="5"/>
      <c r="AO333" s="4" t="s">
        <v>211</v>
      </c>
      <c r="AP333" s="4">
        <v>0.9</v>
      </c>
      <c r="AQ333" s="4">
        <v>0.5</v>
      </c>
      <c r="AR333" s="4">
        <v>0.6</v>
      </c>
      <c r="AS333" s="4">
        <v>0.3</v>
      </c>
      <c r="AT333" s="6">
        <v>923.92132600000002</v>
      </c>
      <c r="AU333" s="4">
        <v>6.0000000000000001E-3</v>
      </c>
      <c r="AW333" s="4" t="s">
        <v>211</v>
      </c>
      <c r="AX333" s="4">
        <v>0.9</v>
      </c>
      <c r="AY333" s="4">
        <v>0.5</v>
      </c>
      <c r="AZ333" s="4">
        <v>0.6</v>
      </c>
      <c r="BA333" s="4">
        <v>0.3</v>
      </c>
      <c r="BB333" s="4">
        <v>939.828979</v>
      </c>
      <c r="BC333" s="4">
        <v>8.9999999999999993E-3</v>
      </c>
      <c r="BD333" s="5"/>
      <c r="BE333" s="5"/>
      <c r="BF333" s="5"/>
      <c r="BG333" s="5"/>
      <c r="BI333" s="4" t="s">
        <v>211</v>
      </c>
      <c r="BJ333" s="4">
        <v>0.9</v>
      </c>
      <c r="BK333" s="4">
        <v>0.5</v>
      </c>
      <c r="BL333" s="4">
        <v>0.6</v>
      </c>
      <c r="BM333" s="4">
        <v>0.3</v>
      </c>
      <c r="BN333" s="6">
        <v>864.67895499999997</v>
      </c>
      <c r="BO333" s="4">
        <v>5.0000000000000001E-3</v>
      </c>
      <c r="BQ333" s="4" t="s">
        <v>211</v>
      </c>
      <c r="BR333" s="4">
        <v>0.9</v>
      </c>
      <c r="BS333" s="4">
        <v>0.5</v>
      </c>
      <c r="BT333" s="4">
        <v>0.6</v>
      </c>
      <c r="BU333" s="4">
        <v>0.3</v>
      </c>
      <c r="BV333" s="4">
        <v>889.57141100000001</v>
      </c>
      <c r="BW333" s="4">
        <v>6.0000000000000001E-3</v>
      </c>
      <c r="BX333" s="5"/>
      <c r="BY333" s="5"/>
      <c r="BZ333" s="5"/>
      <c r="CA333" s="5"/>
    </row>
    <row r="334" spans="1:79" x14ac:dyDescent="0.3">
      <c r="A334" s="4" t="s">
        <v>212</v>
      </c>
      <c r="B334" s="4">
        <v>0.9</v>
      </c>
      <c r="C334" s="4">
        <v>0.5</v>
      </c>
      <c r="D334" s="4">
        <v>0.6</v>
      </c>
      <c r="E334" s="4">
        <v>0.3</v>
      </c>
      <c r="F334" s="6">
        <v>632.23492399999998</v>
      </c>
      <c r="G334" s="4">
        <v>2E-3</v>
      </c>
      <c r="I334" s="4" t="s">
        <v>212</v>
      </c>
      <c r="J334" s="4">
        <v>0.9</v>
      </c>
      <c r="K334" s="4">
        <v>0.5</v>
      </c>
      <c r="L334" s="4">
        <v>0.6</v>
      </c>
      <c r="M334" s="4">
        <v>0.3</v>
      </c>
      <c r="N334" s="4">
        <v>652.70678699999996</v>
      </c>
      <c r="O334" s="4">
        <v>3.0000000000000001E-3</v>
      </c>
      <c r="P334" s="5"/>
      <c r="Q334" s="5"/>
      <c r="R334" s="5"/>
      <c r="S334" s="5"/>
      <c r="U334" s="4" t="s">
        <v>212</v>
      </c>
      <c r="V334" s="4">
        <v>0.9</v>
      </c>
      <c r="W334" s="4">
        <v>0.5</v>
      </c>
      <c r="X334" s="4">
        <v>0.6</v>
      </c>
      <c r="Y334" s="4">
        <v>0.3</v>
      </c>
      <c r="Z334" s="6">
        <v>600.80981399999996</v>
      </c>
      <c r="AA334" s="4">
        <v>1E-3</v>
      </c>
      <c r="AC334" s="4" t="s">
        <v>212</v>
      </c>
      <c r="AD334" s="4">
        <v>0.9</v>
      </c>
      <c r="AE334" s="4">
        <v>0.5</v>
      </c>
      <c r="AF334" s="4">
        <v>0.6</v>
      </c>
      <c r="AG334" s="4">
        <v>0.3</v>
      </c>
      <c r="AH334" s="4">
        <v>613.18969700000002</v>
      </c>
      <c r="AI334" s="4">
        <v>2E-3</v>
      </c>
      <c r="AJ334" s="5"/>
      <c r="AK334" s="5"/>
      <c r="AL334" s="5"/>
      <c r="AM334" s="5"/>
      <c r="AO334" s="4" t="s">
        <v>213</v>
      </c>
      <c r="AP334" s="4">
        <v>0.9</v>
      </c>
      <c r="AQ334" s="4">
        <v>0.5</v>
      </c>
      <c r="AR334" s="4">
        <v>0.6</v>
      </c>
      <c r="AS334" s="4">
        <v>0.3</v>
      </c>
      <c r="AT334" s="6">
        <v>916.23138400000005</v>
      </c>
      <c r="AU334" s="4">
        <v>6.0000000000000001E-3</v>
      </c>
      <c r="AW334" s="4" t="s">
        <v>213</v>
      </c>
      <c r="AX334" s="4">
        <v>0.9</v>
      </c>
      <c r="AY334" s="4">
        <v>0.5</v>
      </c>
      <c r="AZ334" s="4">
        <v>0.6</v>
      </c>
      <c r="BA334" s="4">
        <v>0.31</v>
      </c>
      <c r="BB334" s="4">
        <v>946.70416299999999</v>
      </c>
      <c r="BC334" s="4">
        <v>0.01</v>
      </c>
      <c r="BD334" s="5"/>
      <c r="BE334" s="5"/>
      <c r="BF334" s="5"/>
      <c r="BG334" s="5"/>
      <c r="BI334" s="4" t="s">
        <v>213</v>
      </c>
      <c r="BJ334" s="4">
        <v>0.9</v>
      </c>
      <c r="BK334" s="4">
        <v>0.5</v>
      </c>
      <c r="BL334" s="4">
        <v>0.6</v>
      </c>
      <c r="BM334" s="4">
        <v>0.3</v>
      </c>
      <c r="BN334" s="6">
        <v>896.51104699999996</v>
      </c>
      <c r="BO334" s="4">
        <v>7.0000000000000001E-3</v>
      </c>
      <c r="BQ334" s="4" t="s">
        <v>213</v>
      </c>
      <c r="BR334" s="4">
        <v>0.9</v>
      </c>
      <c r="BS334" s="4">
        <v>0.5</v>
      </c>
      <c r="BT334" s="4">
        <v>0.6</v>
      </c>
      <c r="BU334" s="4">
        <v>0.3</v>
      </c>
      <c r="BV334" s="4">
        <v>913.08496100000002</v>
      </c>
      <c r="BW334" s="4">
        <v>7.0000000000000001E-3</v>
      </c>
      <c r="BX334" s="5"/>
      <c r="BY334" s="5"/>
      <c r="BZ334" s="5"/>
      <c r="CA334" s="5"/>
    </row>
    <row r="335" spans="1:79" x14ac:dyDescent="0.3">
      <c r="A335" s="4" t="s">
        <v>214</v>
      </c>
      <c r="B335" s="4">
        <v>0.9</v>
      </c>
      <c r="C335" s="4">
        <v>0.5</v>
      </c>
      <c r="D335" s="4">
        <v>0.6</v>
      </c>
      <c r="E335" s="4">
        <v>0.3</v>
      </c>
      <c r="F335" s="4">
        <v>648.76824999999997</v>
      </c>
      <c r="G335" s="4">
        <v>2E-3</v>
      </c>
      <c r="I335" s="4" t="s">
        <v>214</v>
      </c>
      <c r="J335" s="4">
        <v>0.9</v>
      </c>
      <c r="K335" s="4">
        <v>0.5</v>
      </c>
      <c r="L335" s="4">
        <v>0.6</v>
      </c>
      <c r="M335" s="4">
        <v>0.31</v>
      </c>
      <c r="N335" s="6">
        <v>646.94250499999998</v>
      </c>
      <c r="O335" s="4">
        <v>2E-3</v>
      </c>
      <c r="P335" s="5"/>
      <c r="Q335" s="5"/>
      <c r="R335" s="5"/>
      <c r="S335" s="5"/>
      <c r="U335" s="4" t="s">
        <v>214</v>
      </c>
      <c r="V335" s="4">
        <v>0.9</v>
      </c>
      <c r="W335" s="4">
        <v>0.5</v>
      </c>
      <c r="X335" s="4">
        <v>0.6</v>
      </c>
      <c r="Y335" s="4">
        <v>0.3</v>
      </c>
      <c r="Z335" s="4">
        <v>616.80480999999997</v>
      </c>
      <c r="AA335" s="4">
        <v>2E-3</v>
      </c>
      <c r="AC335" s="4" t="s">
        <v>214</v>
      </c>
      <c r="AD335" s="4">
        <v>0.9</v>
      </c>
      <c r="AE335" s="4">
        <v>0.5</v>
      </c>
      <c r="AF335" s="4">
        <v>0.6</v>
      </c>
      <c r="AG335" s="4">
        <v>0.32</v>
      </c>
      <c r="AH335" s="6">
        <v>610.86773700000003</v>
      </c>
      <c r="AI335" s="4">
        <v>2E-3</v>
      </c>
      <c r="AJ335" s="5"/>
      <c r="AK335" s="5"/>
      <c r="AL335" s="5"/>
      <c r="AM335" s="5"/>
      <c r="AO335" s="4" t="s">
        <v>215</v>
      </c>
      <c r="AP335" s="4">
        <v>0.9</v>
      </c>
      <c r="AQ335" s="4">
        <v>0.5</v>
      </c>
      <c r="AR335" s="4">
        <v>0.6</v>
      </c>
      <c r="AS335" s="4">
        <v>0.3</v>
      </c>
      <c r="AT335" s="6">
        <v>1014.385681</v>
      </c>
      <c r="AU335" s="4">
        <v>8.0000000000000002E-3</v>
      </c>
      <c r="AW335" s="4" t="s">
        <v>215</v>
      </c>
      <c r="AX335" s="4">
        <v>0.9</v>
      </c>
      <c r="AY335" s="4">
        <v>0.5</v>
      </c>
      <c r="AZ335" s="4">
        <v>0.6</v>
      </c>
      <c r="BA335" s="4">
        <v>0.3</v>
      </c>
      <c r="BB335" s="4">
        <v>1043.5002440000001</v>
      </c>
      <c r="BC335" s="4">
        <v>0.01</v>
      </c>
      <c r="BD335" s="5"/>
      <c r="BE335" s="5"/>
      <c r="BF335" s="5"/>
      <c r="BG335" s="5"/>
      <c r="BI335" s="4" t="s">
        <v>215</v>
      </c>
      <c r="BJ335" s="4">
        <v>0.9</v>
      </c>
      <c r="BK335" s="4">
        <v>0.5</v>
      </c>
      <c r="BL335" s="4">
        <v>0.6</v>
      </c>
      <c r="BM335" s="4">
        <v>0.3</v>
      </c>
      <c r="BN335" s="6">
        <v>980.00140399999998</v>
      </c>
      <c r="BO335" s="4">
        <v>8.0000000000000002E-3</v>
      </c>
      <c r="BQ335" s="4" t="s">
        <v>215</v>
      </c>
      <c r="BR335" s="4">
        <v>0.9</v>
      </c>
      <c r="BS335" s="4">
        <v>0.5</v>
      </c>
      <c r="BT335" s="4">
        <v>0.6</v>
      </c>
      <c r="BU335" s="4">
        <v>0.3</v>
      </c>
      <c r="BV335" s="4">
        <v>1002.036011</v>
      </c>
      <c r="BW335" s="4">
        <v>8.0000000000000002E-3</v>
      </c>
      <c r="BX335" s="5"/>
      <c r="BY335" s="5"/>
      <c r="BZ335" s="5"/>
      <c r="CA335" s="5"/>
    </row>
    <row r="336" spans="1:79" x14ac:dyDescent="0.3">
      <c r="A336" s="4" t="s">
        <v>216</v>
      </c>
      <c r="B336" s="4">
        <v>0.9</v>
      </c>
      <c r="C336" s="4">
        <v>0.5</v>
      </c>
      <c r="D336" s="4">
        <v>0.6</v>
      </c>
      <c r="E336" s="4">
        <v>0.3</v>
      </c>
      <c r="F336" s="6">
        <v>601.20922900000005</v>
      </c>
      <c r="G336" s="4">
        <v>1E-3</v>
      </c>
      <c r="I336" s="4" t="s">
        <v>216</v>
      </c>
      <c r="J336" s="4">
        <v>0.9</v>
      </c>
      <c r="K336" s="4">
        <v>0.5</v>
      </c>
      <c r="L336" s="4">
        <v>0.6</v>
      </c>
      <c r="M336" s="4">
        <v>0.33</v>
      </c>
      <c r="N336" s="4">
        <v>612.98419200000001</v>
      </c>
      <c r="O336" s="4">
        <v>2E-3</v>
      </c>
      <c r="P336" s="5"/>
      <c r="Q336" s="5"/>
      <c r="R336" s="5"/>
      <c r="S336" s="5"/>
      <c r="U336" s="4" t="s">
        <v>216</v>
      </c>
      <c r="V336" s="4">
        <v>0.9</v>
      </c>
      <c r="W336" s="4">
        <v>0.5</v>
      </c>
      <c r="X336" s="4">
        <v>0.6</v>
      </c>
      <c r="Y336" s="4">
        <v>0.3</v>
      </c>
      <c r="Z336" s="4">
        <v>559.15551800000003</v>
      </c>
      <c r="AA336" s="4">
        <v>1E-3</v>
      </c>
      <c r="AC336" s="4" t="s">
        <v>216</v>
      </c>
      <c r="AD336" s="4">
        <v>0.9</v>
      </c>
      <c r="AE336" s="4">
        <v>0.5</v>
      </c>
      <c r="AF336" s="4">
        <v>0.6</v>
      </c>
      <c r="AG336" s="4">
        <v>0.3</v>
      </c>
      <c r="AH336" s="6">
        <v>557.23156700000004</v>
      </c>
      <c r="AI336" s="4">
        <v>2E-3</v>
      </c>
      <c r="AJ336" s="5"/>
      <c r="AK336" s="5"/>
      <c r="AL336" s="5"/>
      <c r="AM336" s="5"/>
      <c r="AO336" s="4" t="s">
        <v>217</v>
      </c>
      <c r="AP336" s="4">
        <v>0.9</v>
      </c>
      <c r="AQ336" s="4">
        <v>0.5</v>
      </c>
      <c r="AR336" s="4">
        <v>0.6</v>
      </c>
      <c r="AS336" s="4">
        <v>0.3</v>
      </c>
      <c r="AT336" s="6">
        <v>1031.9259030000001</v>
      </c>
      <c r="AU336" s="4">
        <v>8.0000000000000002E-3</v>
      </c>
      <c r="AW336" s="4" t="s">
        <v>217</v>
      </c>
      <c r="AX336" s="4">
        <v>0.9</v>
      </c>
      <c r="AY336" s="4">
        <v>0.5</v>
      </c>
      <c r="AZ336" s="4">
        <v>0.6</v>
      </c>
      <c r="BA336" s="4">
        <v>0.33</v>
      </c>
      <c r="BB336" s="4">
        <v>1075.3713379999999</v>
      </c>
      <c r="BC336" s="4">
        <v>1.2E-2</v>
      </c>
      <c r="BD336" s="5"/>
      <c r="BE336" s="5"/>
      <c r="BF336" s="5"/>
      <c r="BG336" s="5"/>
      <c r="BI336" s="4" t="s">
        <v>217</v>
      </c>
      <c r="BJ336" s="4">
        <v>0.9</v>
      </c>
      <c r="BK336" s="4">
        <v>0.5</v>
      </c>
      <c r="BL336" s="4">
        <v>0.6</v>
      </c>
      <c r="BM336" s="4">
        <v>0.3</v>
      </c>
      <c r="BN336" s="6">
        <v>1004.4351810000001</v>
      </c>
      <c r="BO336" s="4">
        <v>8.0000000000000002E-3</v>
      </c>
      <c r="BQ336" s="4" t="s">
        <v>217</v>
      </c>
      <c r="BR336" s="4">
        <v>0.9</v>
      </c>
      <c r="BS336" s="4">
        <v>0.5</v>
      </c>
      <c r="BT336" s="4">
        <v>0.6</v>
      </c>
      <c r="BU336" s="4">
        <v>0.31</v>
      </c>
      <c r="BV336" s="4">
        <v>1042.5321039999999</v>
      </c>
      <c r="BW336" s="4">
        <v>8.0000000000000002E-3</v>
      </c>
      <c r="BX336" s="5"/>
      <c r="BY336" s="5"/>
      <c r="BZ336" s="5"/>
      <c r="CA336" s="5"/>
    </row>
    <row r="337" spans="1:79" x14ac:dyDescent="0.3">
      <c r="A337" s="4" t="s">
        <v>218</v>
      </c>
      <c r="B337" s="4">
        <v>0.9</v>
      </c>
      <c r="C337" s="4">
        <v>0.5</v>
      </c>
      <c r="D337" s="4">
        <v>0.6</v>
      </c>
      <c r="E337" s="4">
        <v>0.3</v>
      </c>
      <c r="F337" s="6">
        <v>650.98706100000004</v>
      </c>
      <c r="G337" s="4">
        <v>2E-3</v>
      </c>
      <c r="I337" s="4" t="s">
        <v>218</v>
      </c>
      <c r="J337" s="4">
        <v>0.9</v>
      </c>
      <c r="K337" s="4">
        <v>0.5</v>
      </c>
      <c r="L337" s="4">
        <v>0.6</v>
      </c>
      <c r="M337" s="4">
        <v>0.33</v>
      </c>
      <c r="N337" s="4">
        <v>680.66015600000003</v>
      </c>
      <c r="O337" s="4">
        <v>2E-3</v>
      </c>
      <c r="P337" s="5"/>
      <c r="Q337" s="5"/>
      <c r="R337" s="5"/>
      <c r="S337" s="5"/>
      <c r="U337" s="4" t="s">
        <v>218</v>
      </c>
      <c r="V337" s="4">
        <v>0.9</v>
      </c>
      <c r="W337" s="4">
        <v>0.5</v>
      </c>
      <c r="X337" s="4">
        <v>0.6</v>
      </c>
      <c r="Y337" s="4">
        <v>0.3</v>
      </c>
      <c r="Z337" s="6">
        <v>646.25183100000004</v>
      </c>
      <c r="AA337" s="4">
        <v>2E-3</v>
      </c>
      <c r="AC337" s="4" t="s">
        <v>218</v>
      </c>
      <c r="AD337" s="4">
        <v>0.9</v>
      </c>
      <c r="AE337" s="4">
        <v>0.5</v>
      </c>
      <c r="AF337" s="4">
        <v>0.6</v>
      </c>
      <c r="AG337" s="4">
        <v>0.3</v>
      </c>
      <c r="AH337" s="4">
        <v>653.78204300000004</v>
      </c>
      <c r="AI337" s="4">
        <v>2E-3</v>
      </c>
      <c r="AJ337" s="5"/>
      <c r="AK337" s="5"/>
      <c r="AL337" s="5"/>
      <c r="AM337" s="5"/>
      <c r="AO337" s="4" t="s">
        <v>219</v>
      </c>
      <c r="AP337" s="4">
        <v>0.9</v>
      </c>
      <c r="AQ337" s="4">
        <v>0.5</v>
      </c>
      <c r="AR337" s="4">
        <v>0.6</v>
      </c>
      <c r="AS337" s="4">
        <v>0.3</v>
      </c>
      <c r="AT337" s="6">
        <v>1037.631836</v>
      </c>
      <c r="AU337" s="4">
        <v>8.0000000000000002E-3</v>
      </c>
      <c r="AW337" s="4" t="s">
        <v>219</v>
      </c>
      <c r="AX337" s="4">
        <v>0.9</v>
      </c>
      <c r="AY337" s="4">
        <v>0.5</v>
      </c>
      <c r="AZ337" s="4">
        <v>0.6</v>
      </c>
      <c r="BA337" s="4">
        <v>0.32</v>
      </c>
      <c r="BB337" s="4">
        <v>1062.2257079999999</v>
      </c>
      <c r="BC337" s="4">
        <v>1.2E-2</v>
      </c>
      <c r="BD337" s="5"/>
      <c r="BE337" s="5"/>
      <c r="BF337" s="5"/>
      <c r="BG337" s="5"/>
      <c r="BI337" s="4" t="s">
        <v>219</v>
      </c>
      <c r="BJ337" s="4">
        <v>0.9</v>
      </c>
      <c r="BK337" s="4">
        <v>0.5</v>
      </c>
      <c r="BL337" s="4">
        <v>0.6</v>
      </c>
      <c r="BM337" s="4">
        <v>0.3</v>
      </c>
      <c r="BN337" s="6">
        <v>1019.759094</v>
      </c>
      <c r="BO337" s="4">
        <v>8.9999999999999993E-3</v>
      </c>
      <c r="BQ337" s="4" t="s">
        <v>219</v>
      </c>
      <c r="BR337" s="4">
        <v>0.9</v>
      </c>
      <c r="BS337" s="4">
        <v>0.5</v>
      </c>
      <c r="BT337" s="4">
        <v>0.6</v>
      </c>
      <c r="BU337" s="4">
        <v>0.32</v>
      </c>
      <c r="BV337" s="4">
        <v>1055.246216</v>
      </c>
      <c r="BW337" s="4">
        <v>8.9999999999999993E-3</v>
      </c>
      <c r="BX337" s="5"/>
      <c r="BY337" s="5"/>
      <c r="BZ337" s="5"/>
      <c r="CA337" s="5"/>
    </row>
    <row r="338" spans="1:79" x14ac:dyDescent="0.3">
      <c r="A338" s="4" t="s">
        <v>220</v>
      </c>
      <c r="B338" s="4">
        <v>0.9</v>
      </c>
      <c r="C338" s="4">
        <v>0.5</v>
      </c>
      <c r="D338" s="4">
        <v>0.6</v>
      </c>
      <c r="E338" s="4">
        <v>0.3</v>
      </c>
      <c r="F338" s="6">
        <v>675.104919</v>
      </c>
      <c r="G338" s="4">
        <v>2E-3</v>
      </c>
      <c r="I338" s="4" t="s">
        <v>220</v>
      </c>
      <c r="J338" s="4">
        <v>0.9</v>
      </c>
      <c r="K338" s="4">
        <v>0.5</v>
      </c>
      <c r="L338" s="4">
        <v>0.6</v>
      </c>
      <c r="M338" s="4">
        <v>0.3</v>
      </c>
      <c r="N338" s="4">
        <v>692.65423599999997</v>
      </c>
      <c r="O338" s="4">
        <v>2E-3</v>
      </c>
      <c r="P338" s="5"/>
      <c r="Q338" s="5"/>
      <c r="R338" s="5"/>
      <c r="S338" s="5"/>
      <c r="U338" s="4" t="s">
        <v>220</v>
      </c>
      <c r="V338" s="4">
        <v>0.9</v>
      </c>
      <c r="W338" s="4">
        <v>0.5</v>
      </c>
      <c r="X338" s="4">
        <v>0.6</v>
      </c>
      <c r="Y338" s="4">
        <v>0.3</v>
      </c>
      <c r="Z338" s="6">
        <v>652.27722200000005</v>
      </c>
      <c r="AA338" s="4">
        <v>2E-3</v>
      </c>
      <c r="AC338" s="4" t="s">
        <v>220</v>
      </c>
      <c r="AD338" s="4">
        <v>0.9</v>
      </c>
      <c r="AE338" s="4">
        <v>0.5</v>
      </c>
      <c r="AF338" s="4">
        <v>0.6</v>
      </c>
      <c r="AG338" s="4">
        <v>0.3</v>
      </c>
      <c r="AH338" s="4">
        <v>676.77276600000005</v>
      </c>
      <c r="AI338" s="4">
        <v>3.0000000000000001E-3</v>
      </c>
      <c r="AJ338" s="5"/>
      <c r="AK338" s="5"/>
      <c r="AL338" s="5"/>
      <c r="AM338" s="5"/>
      <c r="AO338" s="4" t="s">
        <v>221</v>
      </c>
      <c r="AP338" s="4">
        <v>0.9</v>
      </c>
      <c r="AQ338" s="4">
        <v>0.5</v>
      </c>
      <c r="AR338" s="4">
        <v>0.6</v>
      </c>
      <c r="AS338" s="4">
        <v>0.3</v>
      </c>
      <c r="AT338" s="6">
        <v>982.07775900000001</v>
      </c>
      <c r="AU338" s="4">
        <v>7.0000000000000001E-3</v>
      </c>
      <c r="AW338" s="4" t="s">
        <v>221</v>
      </c>
      <c r="AX338" s="4">
        <v>0.9</v>
      </c>
      <c r="AY338" s="4">
        <v>0.5</v>
      </c>
      <c r="AZ338" s="4">
        <v>0.6</v>
      </c>
      <c r="BA338" s="4">
        <v>0.31</v>
      </c>
      <c r="BB338" s="4">
        <v>1019.408997</v>
      </c>
      <c r="BC338" s="4">
        <v>1.0999999999999999E-2</v>
      </c>
      <c r="BD338" s="5"/>
      <c r="BE338" s="5"/>
      <c r="BF338" s="5"/>
      <c r="BG338" s="5"/>
      <c r="BI338" s="4" t="s">
        <v>221</v>
      </c>
      <c r="BJ338" s="4">
        <v>0.9</v>
      </c>
      <c r="BK338" s="4">
        <v>0.5</v>
      </c>
      <c r="BL338" s="4">
        <v>0.6</v>
      </c>
      <c r="BM338" s="4">
        <v>0.3</v>
      </c>
      <c r="BN338" s="6">
        <v>925.73260500000004</v>
      </c>
      <c r="BO338" s="4">
        <v>7.0000000000000001E-3</v>
      </c>
      <c r="BQ338" s="4" t="s">
        <v>221</v>
      </c>
      <c r="BR338" s="4">
        <v>0.9</v>
      </c>
      <c r="BS338" s="4">
        <v>0.5</v>
      </c>
      <c r="BT338" s="4">
        <v>0.6</v>
      </c>
      <c r="BU338" s="4">
        <v>0.3</v>
      </c>
      <c r="BV338" s="4">
        <v>950.504639</v>
      </c>
      <c r="BW338" s="4">
        <v>8.0000000000000002E-3</v>
      </c>
      <c r="BX338" s="5"/>
      <c r="BY338" s="5"/>
      <c r="BZ338" s="5"/>
      <c r="CA338" s="5"/>
    </row>
    <row r="339" spans="1:79" x14ac:dyDescent="0.3">
      <c r="A339" s="4" t="s">
        <v>222</v>
      </c>
      <c r="B339" s="4">
        <v>0.9</v>
      </c>
      <c r="C339" s="4">
        <v>0.5</v>
      </c>
      <c r="D339" s="4">
        <v>0.6</v>
      </c>
      <c r="E339" s="4">
        <v>0.3</v>
      </c>
      <c r="F339" s="6">
        <v>685.50866699999995</v>
      </c>
      <c r="G339" s="4">
        <v>3.0000000000000001E-3</v>
      </c>
      <c r="I339" s="4" t="s">
        <v>222</v>
      </c>
      <c r="J339" s="4">
        <v>0.9</v>
      </c>
      <c r="K339" s="4">
        <v>0.5</v>
      </c>
      <c r="L339" s="4">
        <v>0.6</v>
      </c>
      <c r="M339" s="4">
        <v>0.31</v>
      </c>
      <c r="N339" s="4">
        <v>705.07971199999997</v>
      </c>
      <c r="O339" s="4">
        <v>3.0000000000000001E-3</v>
      </c>
      <c r="P339" s="5"/>
      <c r="Q339" s="5"/>
      <c r="R339" s="5"/>
      <c r="S339" s="5"/>
      <c r="U339" s="4" t="s">
        <v>222</v>
      </c>
      <c r="V339" s="4">
        <v>0.9</v>
      </c>
      <c r="W339" s="4">
        <v>0.5</v>
      </c>
      <c r="X339" s="4">
        <v>0.6</v>
      </c>
      <c r="Y339" s="4">
        <v>0.3</v>
      </c>
      <c r="Z339" s="6">
        <v>661.85058600000002</v>
      </c>
      <c r="AA339" s="4">
        <v>2E-3</v>
      </c>
      <c r="AC339" s="4" t="s">
        <v>222</v>
      </c>
      <c r="AD339" s="4">
        <v>0.9</v>
      </c>
      <c r="AE339" s="4">
        <v>0.5</v>
      </c>
      <c r="AF339" s="4">
        <v>0.6</v>
      </c>
      <c r="AG339" s="4">
        <v>0.32</v>
      </c>
      <c r="AH339" s="4">
        <v>674.76000999999997</v>
      </c>
      <c r="AI339" s="4">
        <v>2E-3</v>
      </c>
      <c r="AJ339" s="5"/>
      <c r="AK339" s="5"/>
      <c r="AL339" s="5"/>
      <c r="AM339" s="5"/>
      <c r="AO339" s="4" t="s">
        <v>223</v>
      </c>
      <c r="AP339" s="4">
        <v>0.9</v>
      </c>
      <c r="AQ339" s="4">
        <v>0.5</v>
      </c>
      <c r="AR339" s="4">
        <v>0.6</v>
      </c>
      <c r="AS339" s="4">
        <v>0.3</v>
      </c>
      <c r="AT339" s="6">
        <v>1078.3679199999999</v>
      </c>
      <c r="AU339" s="4">
        <v>8.0000000000000002E-3</v>
      </c>
      <c r="AW339" s="4" t="s">
        <v>223</v>
      </c>
      <c r="AX339" s="4">
        <v>0.9</v>
      </c>
      <c r="AY339" s="4">
        <v>0.5</v>
      </c>
      <c r="AZ339" s="4">
        <v>0.6</v>
      </c>
      <c r="BA339" s="4">
        <v>0.31</v>
      </c>
      <c r="BB339" s="4">
        <v>1117.836548</v>
      </c>
      <c r="BC339" s="4">
        <v>1.7000000000000001E-2</v>
      </c>
      <c r="BD339" s="5"/>
      <c r="BE339" s="5"/>
      <c r="BF339" s="5"/>
      <c r="BG339" s="5"/>
      <c r="BI339" s="4" t="s">
        <v>223</v>
      </c>
      <c r="BJ339" s="4">
        <v>0.9</v>
      </c>
      <c r="BK339" s="4">
        <v>0.5</v>
      </c>
      <c r="BL339" s="4">
        <v>0.6</v>
      </c>
      <c r="BM339" s="4">
        <v>0.3</v>
      </c>
      <c r="BN339" s="6">
        <v>1042.91687</v>
      </c>
      <c r="BO339" s="4">
        <v>7.0000000000000001E-3</v>
      </c>
      <c r="BQ339" s="4" t="s">
        <v>223</v>
      </c>
      <c r="BR339" s="4">
        <v>0.9</v>
      </c>
      <c r="BS339" s="4">
        <v>0.5</v>
      </c>
      <c r="BT339" s="4">
        <v>0.6</v>
      </c>
      <c r="BU339" s="4">
        <v>0.3</v>
      </c>
      <c r="BV339" s="4">
        <v>1077.8717039999999</v>
      </c>
      <c r="BW339" s="4">
        <v>8.9999999999999993E-3</v>
      </c>
      <c r="BX339" s="5"/>
      <c r="BY339" s="5"/>
      <c r="BZ339" s="5"/>
      <c r="CA339" s="5"/>
    </row>
    <row r="340" spans="1:79" x14ac:dyDescent="0.3">
      <c r="A340" s="4" t="s">
        <v>224</v>
      </c>
      <c r="B340" s="4">
        <v>0.9</v>
      </c>
      <c r="C340" s="4">
        <v>0.5</v>
      </c>
      <c r="D340" s="4">
        <v>0.6</v>
      </c>
      <c r="E340" s="4">
        <v>0.3</v>
      </c>
      <c r="F340" s="6">
        <v>708.69818099999998</v>
      </c>
      <c r="G340" s="4">
        <v>2E-3</v>
      </c>
      <c r="I340" s="4" t="s">
        <v>224</v>
      </c>
      <c r="J340" s="4">
        <v>0.9</v>
      </c>
      <c r="K340" s="4">
        <v>0.5</v>
      </c>
      <c r="L340" s="4">
        <v>0.6</v>
      </c>
      <c r="M340" s="4">
        <v>0.31</v>
      </c>
      <c r="N340" s="4">
        <v>759.43969700000002</v>
      </c>
      <c r="O340" s="4">
        <v>3.0000000000000001E-3</v>
      </c>
      <c r="P340" s="5"/>
      <c r="Q340" s="5"/>
      <c r="R340" s="5"/>
      <c r="S340" s="5"/>
      <c r="U340" s="4" t="s">
        <v>224</v>
      </c>
      <c r="V340" s="4">
        <v>0.9</v>
      </c>
      <c r="W340" s="4">
        <v>0.5</v>
      </c>
      <c r="X340" s="4">
        <v>0.6</v>
      </c>
      <c r="Y340" s="4">
        <v>0.3</v>
      </c>
      <c r="Z340" s="6">
        <v>731.49499500000002</v>
      </c>
      <c r="AA340" s="4">
        <v>2E-3</v>
      </c>
      <c r="AC340" s="4" t="s">
        <v>224</v>
      </c>
      <c r="AD340" s="4">
        <v>0.9</v>
      </c>
      <c r="AE340" s="4">
        <v>0.5</v>
      </c>
      <c r="AF340" s="4">
        <v>0.6</v>
      </c>
      <c r="AG340" s="4">
        <v>0.3</v>
      </c>
      <c r="AH340" s="4">
        <v>744.38397199999997</v>
      </c>
      <c r="AI340" s="4">
        <v>3.0000000000000001E-3</v>
      </c>
      <c r="AJ340" s="5"/>
      <c r="AK340" s="5"/>
      <c r="AL340" s="5"/>
      <c r="AM340" s="5"/>
      <c r="AO340" s="4" t="s">
        <v>225</v>
      </c>
      <c r="AP340" s="4">
        <v>0.9</v>
      </c>
      <c r="AQ340" s="4">
        <v>0.5</v>
      </c>
      <c r="AR340" s="4">
        <v>0.6</v>
      </c>
      <c r="AS340" s="4">
        <v>0.3</v>
      </c>
      <c r="AT340" s="6">
        <v>994.72357199999999</v>
      </c>
      <c r="AU340" s="4">
        <v>7.0000000000000001E-3</v>
      </c>
      <c r="AW340" s="4" t="s">
        <v>225</v>
      </c>
      <c r="AX340" s="4">
        <v>0.9</v>
      </c>
      <c r="AY340" s="4">
        <v>0.5</v>
      </c>
      <c r="AZ340" s="4">
        <v>0.6</v>
      </c>
      <c r="BA340" s="4">
        <v>0.34</v>
      </c>
      <c r="BB340" s="4">
        <v>1038.734009</v>
      </c>
      <c r="BC340" s="4">
        <v>1.4E-2</v>
      </c>
      <c r="BD340" s="5"/>
      <c r="BE340" s="5"/>
      <c r="BF340" s="5"/>
      <c r="BG340" s="5"/>
      <c r="BI340" s="4" t="s">
        <v>225</v>
      </c>
      <c r="BJ340" s="4">
        <v>0.9</v>
      </c>
      <c r="BK340" s="4">
        <v>0.5</v>
      </c>
      <c r="BL340" s="4">
        <v>0.6</v>
      </c>
      <c r="BM340" s="4">
        <v>0.3</v>
      </c>
      <c r="BN340" s="6">
        <v>966.62097200000005</v>
      </c>
      <c r="BO340" s="4">
        <v>7.0000000000000001E-3</v>
      </c>
      <c r="BQ340" s="4" t="s">
        <v>225</v>
      </c>
      <c r="BR340" s="4">
        <v>0.9</v>
      </c>
      <c r="BS340" s="4">
        <v>0.5</v>
      </c>
      <c r="BT340" s="4">
        <v>0.6</v>
      </c>
      <c r="BU340" s="4">
        <v>0.31</v>
      </c>
      <c r="BV340" s="4">
        <v>972.23223900000005</v>
      </c>
      <c r="BW340" s="4">
        <v>7.0000000000000001E-3</v>
      </c>
      <c r="BX340" s="5"/>
      <c r="BY340" s="5"/>
      <c r="BZ340" s="5"/>
      <c r="CA340" s="5"/>
    </row>
    <row r="341" spans="1:79" x14ac:dyDescent="0.3">
      <c r="A341" s="4" t="s">
        <v>226</v>
      </c>
      <c r="B341" s="4">
        <v>0.9</v>
      </c>
      <c r="C341" s="4">
        <v>0.5</v>
      </c>
      <c r="D341" s="4">
        <v>0.6</v>
      </c>
      <c r="E341" s="4">
        <v>0.3</v>
      </c>
      <c r="F341" s="6">
        <v>734.53149399999995</v>
      </c>
      <c r="G341" s="4">
        <v>2E-3</v>
      </c>
      <c r="I341" s="4" t="s">
        <v>226</v>
      </c>
      <c r="J341" s="4">
        <v>0.9</v>
      </c>
      <c r="K341" s="4">
        <v>0.5</v>
      </c>
      <c r="L341" s="4">
        <v>0.6</v>
      </c>
      <c r="M341" s="4">
        <v>0.33</v>
      </c>
      <c r="N341" s="4">
        <v>760.59228499999995</v>
      </c>
      <c r="O341" s="4">
        <v>2E-3</v>
      </c>
      <c r="P341" s="5"/>
      <c r="Q341" s="5"/>
      <c r="R341" s="5"/>
      <c r="S341" s="5"/>
      <c r="U341" s="4" t="s">
        <v>226</v>
      </c>
      <c r="V341" s="4">
        <v>0.9</v>
      </c>
      <c r="W341" s="4">
        <v>0.5</v>
      </c>
      <c r="X341" s="4">
        <v>0.6</v>
      </c>
      <c r="Y341" s="4">
        <v>0.3</v>
      </c>
      <c r="Z341" s="6">
        <v>700.42407200000002</v>
      </c>
      <c r="AA341" s="4">
        <v>2E-3</v>
      </c>
      <c r="AC341" s="4" t="s">
        <v>226</v>
      </c>
      <c r="AD341" s="4">
        <v>0.9</v>
      </c>
      <c r="AE341" s="4">
        <v>0.5</v>
      </c>
      <c r="AF341" s="4">
        <v>0.6</v>
      </c>
      <c r="AG341" s="4">
        <v>0.35</v>
      </c>
      <c r="AH341" s="4">
        <v>707.209656</v>
      </c>
      <c r="AI341" s="4">
        <v>2E-3</v>
      </c>
      <c r="AJ341" s="5"/>
      <c r="AK341" s="5"/>
      <c r="AL341" s="5"/>
      <c r="AM341" s="5"/>
      <c r="AO341" s="4" t="s">
        <v>227</v>
      </c>
      <c r="AP341" s="4">
        <v>0.9</v>
      </c>
      <c r="AQ341" s="4">
        <v>0.5</v>
      </c>
      <c r="AR341" s="4">
        <v>0.6</v>
      </c>
      <c r="AS341" s="4">
        <v>0.3</v>
      </c>
      <c r="AT341" s="6">
        <v>996.33300799999995</v>
      </c>
      <c r="AU341" s="4">
        <v>7.0000000000000001E-3</v>
      </c>
      <c r="AW341" s="4" t="s">
        <v>227</v>
      </c>
      <c r="AX341" s="4">
        <v>0.9</v>
      </c>
      <c r="AY341" s="4">
        <v>0.5</v>
      </c>
      <c r="AZ341" s="4">
        <v>0.6</v>
      </c>
      <c r="BA341" s="4">
        <v>0.31</v>
      </c>
      <c r="BB341" s="4">
        <v>1007.549988</v>
      </c>
      <c r="BC341" s="4">
        <v>0.01</v>
      </c>
      <c r="BD341" s="5"/>
      <c r="BE341" s="5"/>
      <c r="BF341" s="5"/>
      <c r="BG341" s="5"/>
      <c r="BI341" s="4" t="s">
        <v>227</v>
      </c>
      <c r="BJ341" s="4">
        <v>0.9</v>
      </c>
      <c r="BK341" s="4">
        <v>0.5</v>
      </c>
      <c r="BL341" s="4">
        <v>0.6</v>
      </c>
      <c r="BM341" s="4">
        <v>0.3</v>
      </c>
      <c r="BN341" s="6">
        <v>952.65362500000003</v>
      </c>
      <c r="BO341" s="4">
        <v>7.0000000000000001E-3</v>
      </c>
      <c r="BQ341" s="4" t="s">
        <v>227</v>
      </c>
      <c r="BR341" s="4">
        <v>0.9</v>
      </c>
      <c r="BS341" s="4">
        <v>0.5</v>
      </c>
      <c r="BT341" s="4">
        <v>0.6</v>
      </c>
      <c r="BU341" s="4">
        <v>0.33</v>
      </c>
      <c r="BV341" s="4">
        <v>954.20574999999997</v>
      </c>
      <c r="BW341" s="4">
        <v>7.0000000000000001E-3</v>
      </c>
      <c r="BX341" s="5"/>
      <c r="BY341" s="5"/>
      <c r="BZ341" s="5"/>
      <c r="CA341" s="5"/>
    </row>
    <row r="342" spans="1:79" x14ac:dyDescent="0.3">
      <c r="A342" s="4" t="s">
        <v>228</v>
      </c>
      <c r="B342" s="4">
        <v>0.9</v>
      </c>
      <c r="C342" s="4">
        <v>0.5</v>
      </c>
      <c r="D342" s="4">
        <v>0.6</v>
      </c>
      <c r="E342" s="4">
        <v>0.3</v>
      </c>
      <c r="F342" s="6">
        <v>626.37707499999999</v>
      </c>
      <c r="G342" s="4">
        <v>2E-3</v>
      </c>
      <c r="I342" s="4" t="s">
        <v>228</v>
      </c>
      <c r="J342" s="4">
        <v>0.9</v>
      </c>
      <c r="K342" s="4">
        <v>0.5</v>
      </c>
      <c r="L342" s="4">
        <v>0.6</v>
      </c>
      <c r="M342" s="4">
        <v>0.34</v>
      </c>
      <c r="N342" s="4">
        <v>655.25268600000004</v>
      </c>
      <c r="O342" s="4">
        <v>2E-3</v>
      </c>
      <c r="P342" s="5"/>
      <c r="Q342" s="5"/>
      <c r="R342" s="5"/>
      <c r="S342" s="5"/>
      <c r="U342" s="4" t="s">
        <v>228</v>
      </c>
      <c r="V342" s="4">
        <v>0.9</v>
      </c>
      <c r="W342" s="4">
        <v>0.5</v>
      </c>
      <c r="X342" s="4">
        <v>0.6</v>
      </c>
      <c r="Y342" s="4">
        <v>0.3</v>
      </c>
      <c r="Z342" s="6">
        <v>614.99603300000001</v>
      </c>
      <c r="AA342" s="4">
        <v>2E-3</v>
      </c>
      <c r="AC342" s="4" t="s">
        <v>228</v>
      </c>
      <c r="AD342" s="4">
        <v>0.9</v>
      </c>
      <c r="AE342" s="4">
        <v>0.5</v>
      </c>
      <c r="AF342" s="4">
        <v>0.6</v>
      </c>
      <c r="AG342" s="4">
        <v>0.31</v>
      </c>
      <c r="AH342" s="4">
        <v>619.40826400000003</v>
      </c>
      <c r="AI342" s="4">
        <v>3.0000000000000001E-3</v>
      </c>
      <c r="AJ342" s="5"/>
      <c r="AK342" s="5"/>
      <c r="AL342" s="5"/>
      <c r="AM342" s="5"/>
      <c r="AO342" s="4" t="s">
        <v>229</v>
      </c>
      <c r="AP342" s="4">
        <v>0.9</v>
      </c>
      <c r="AQ342" s="4">
        <v>0.5</v>
      </c>
      <c r="AR342" s="4">
        <v>0.6</v>
      </c>
      <c r="AS342" s="4">
        <v>0.3</v>
      </c>
      <c r="AT342" s="4">
        <v>1077.3245850000001</v>
      </c>
      <c r="AU342" s="4">
        <v>8.0000000000000002E-3</v>
      </c>
      <c r="AW342" s="4" t="s">
        <v>229</v>
      </c>
      <c r="AX342" s="4">
        <v>0.9</v>
      </c>
      <c r="AY342" s="4">
        <v>0.5</v>
      </c>
      <c r="AZ342" s="4">
        <v>0.6</v>
      </c>
      <c r="BA342" s="4">
        <v>0.31</v>
      </c>
      <c r="BB342" s="6">
        <v>1036.4095460000001</v>
      </c>
      <c r="BC342" s="4">
        <v>1.2E-2</v>
      </c>
      <c r="BD342" s="5"/>
      <c r="BE342" s="5"/>
      <c r="BF342" s="5"/>
      <c r="BG342" s="5"/>
      <c r="BI342" s="4" t="s">
        <v>229</v>
      </c>
      <c r="BJ342" s="4">
        <v>0.9</v>
      </c>
      <c r="BK342" s="4">
        <v>0.5</v>
      </c>
      <c r="BL342" s="4">
        <v>0.6</v>
      </c>
      <c r="BM342" s="4">
        <v>0.3</v>
      </c>
      <c r="BN342" s="4">
        <v>1031.559082</v>
      </c>
      <c r="BO342" s="4">
        <v>8.0000000000000002E-3</v>
      </c>
      <c r="BQ342" s="4" t="s">
        <v>229</v>
      </c>
      <c r="BR342" s="4">
        <v>0.9</v>
      </c>
      <c r="BS342" s="4">
        <v>0.5</v>
      </c>
      <c r="BT342" s="4">
        <v>0.6</v>
      </c>
      <c r="BU342" s="4">
        <v>0.33</v>
      </c>
      <c r="BV342" s="6">
        <v>1022.156372</v>
      </c>
      <c r="BW342" s="4">
        <v>8.0000000000000002E-3</v>
      </c>
      <c r="BX342" s="5"/>
      <c r="BY342" s="5"/>
      <c r="BZ342" s="5"/>
      <c r="CA342" s="5"/>
    </row>
    <row r="343" spans="1:79" x14ac:dyDescent="0.3">
      <c r="A343" s="4" t="s">
        <v>230</v>
      </c>
      <c r="B343" s="4">
        <v>0.9</v>
      </c>
      <c r="C343" s="4">
        <v>0.5</v>
      </c>
      <c r="D343" s="4">
        <v>0.6</v>
      </c>
      <c r="E343" s="4">
        <v>0.3</v>
      </c>
      <c r="F343" s="6">
        <v>723.94006300000001</v>
      </c>
      <c r="G343" s="4">
        <v>2E-3</v>
      </c>
      <c r="I343" s="4" t="s">
        <v>230</v>
      </c>
      <c r="J343" s="4">
        <v>0.9</v>
      </c>
      <c r="K343" s="4">
        <v>0.5</v>
      </c>
      <c r="L343" s="4">
        <v>0.6</v>
      </c>
      <c r="M343" s="4">
        <v>0.33</v>
      </c>
      <c r="N343" s="4">
        <v>755.01135299999999</v>
      </c>
      <c r="O343" s="4">
        <v>4.0000000000000001E-3</v>
      </c>
      <c r="P343" s="5"/>
      <c r="Q343" s="5"/>
      <c r="R343" s="5"/>
      <c r="S343" s="5"/>
      <c r="U343" s="4" t="s">
        <v>230</v>
      </c>
      <c r="V343" s="4">
        <v>0.9</v>
      </c>
      <c r="W343" s="4">
        <v>0.5</v>
      </c>
      <c r="X343" s="4">
        <v>0.6</v>
      </c>
      <c r="Y343" s="4">
        <v>0.3</v>
      </c>
      <c r="Z343" s="6">
        <v>718.56689500000005</v>
      </c>
      <c r="AA343" s="4">
        <v>3.0000000000000001E-3</v>
      </c>
      <c r="AC343" s="4" t="s">
        <v>230</v>
      </c>
      <c r="AD343" s="4">
        <v>0.9</v>
      </c>
      <c r="AE343" s="4">
        <v>0.5</v>
      </c>
      <c r="AF343" s="4">
        <v>0.6</v>
      </c>
      <c r="AG343" s="4">
        <v>0.33</v>
      </c>
      <c r="AH343" s="4">
        <v>726.48553500000003</v>
      </c>
      <c r="AI343" s="4">
        <v>3.0000000000000001E-3</v>
      </c>
      <c r="AJ343" s="5"/>
      <c r="AK343" s="5"/>
      <c r="AL343" s="5"/>
      <c r="AM343" s="5"/>
      <c r="AO343" s="4" t="s">
        <v>231</v>
      </c>
      <c r="AP343" s="4">
        <v>0.9</v>
      </c>
      <c r="AQ343" s="4">
        <v>0.5</v>
      </c>
      <c r="AR343" s="4">
        <v>0.6</v>
      </c>
      <c r="AS343" s="4">
        <v>0.3</v>
      </c>
      <c r="AT343" s="6">
        <v>939.11566200000004</v>
      </c>
      <c r="AU343" s="4">
        <v>7.0000000000000001E-3</v>
      </c>
      <c r="AW343" s="4" t="s">
        <v>231</v>
      </c>
      <c r="AX343" s="4">
        <v>0.9</v>
      </c>
      <c r="AY343" s="4">
        <v>0.5</v>
      </c>
      <c r="AZ343" s="4">
        <v>0.6</v>
      </c>
      <c r="BA343" s="4">
        <v>0.31</v>
      </c>
      <c r="BB343" s="4">
        <v>971.09667999999999</v>
      </c>
      <c r="BC343" s="4">
        <v>8.9999999999999993E-3</v>
      </c>
      <c r="BD343" s="5"/>
      <c r="BE343" s="5"/>
      <c r="BF343" s="5"/>
      <c r="BG343" s="5"/>
      <c r="BI343" s="4" t="s">
        <v>231</v>
      </c>
      <c r="BJ343" s="4">
        <v>0.9</v>
      </c>
      <c r="BK343" s="4">
        <v>0.5</v>
      </c>
      <c r="BL343" s="4">
        <v>0.6</v>
      </c>
      <c r="BM343" s="4">
        <v>0.3</v>
      </c>
      <c r="BN343" s="6">
        <v>937.78308100000004</v>
      </c>
      <c r="BO343" s="4">
        <v>7.0000000000000001E-3</v>
      </c>
      <c r="BQ343" s="4" t="s">
        <v>231</v>
      </c>
      <c r="BR343" s="4">
        <v>0.9</v>
      </c>
      <c r="BS343" s="4">
        <v>0.5</v>
      </c>
      <c r="BT343" s="4">
        <v>0.6</v>
      </c>
      <c r="BU343" s="4">
        <v>0.32</v>
      </c>
      <c r="BV343" s="4">
        <v>964.94097899999997</v>
      </c>
      <c r="BW343" s="4">
        <v>0.01</v>
      </c>
      <c r="BX343" s="5"/>
      <c r="BY343" s="5"/>
      <c r="BZ343" s="5"/>
      <c r="CA343" s="5"/>
    </row>
    <row r="344" spans="1:79" x14ac:dyDescent="0.3">
      <c r="A344" s="4" t="s">
        <v>232</v>
      </c>
      <c r="B344" s="4">
        <v>0.9</v>
      </c>
      <c r="C344" s="4">
        <v>0.5</v>
      </c>
      <c r="D344" s="4">
        <v>0.6</v>
      </c>
      <c r="E344" s="4">
        <v>0.3</v>
      </c>
      <c r="F344" s="4">
        <v>777.87933299999997</v>
      </c>
      <c r="G344" s="4">
        <v>2E-3</v>
      </c>
      <c r="I344" s="4" t="s">
        <v>232</v>
      </c>
      <c r="J344" s="4">
        <v>0.9</v>
      </c>
      <c r="K344" s="4">
        <v>0.5</v>
      </c>
      <c r="L344" s="4">
        <v>0.6</v>
      </c>
      <c r="M344" s="4">
        <v>0.3</v>
      </c>
      <c r="N344" s="6">
        <v>771.60778800000003</v>
      </c>
      <c r="O344" s="4">
        <v>2E-3</v>
      </c>
      <c r="P344" s="5"/>
      <c r="Q344" s="5"/>
      <c r="R344" s="5"/>
      <c r="S344" s="5"/>
      <c r="U344" s="4" t="s">
        <v>232</v>
      </c>
      <c r="V344" s="4">
        <v>0.9</v>
      </c>
      <c r="W344" s="4">
        <v>0.5</v>
      </c>
      <c r="X344" s="4">
        <v>0.6</v>
      </c>
      <c r="Y344" s="4">
        <v>0.3</v>
      </c>
      <c r="Z344" s="6">
        <v>749.48809800000004</v>
      </c>
      <c r="AA344" s="4">
        <v>3.0000000000000001E-3</v>
      </c>
      <c r="AC344" s="4" t="s">
        <v>232</v>
      </c>
      <c r="AD344" s="4">
        <v>0.9</v>
      </c>
      <c r="AE344" s="4">
        <v>0.5</v>
      </c>
      <c r="AF344" s="4">
        <v>0.6</v>
      </c>
      <c r="AG344" s="4">
        <v>0.3</v>
      </c>
      <c r="AH344" s="4">
        <v>791.85571300000004</v>
      </c>
      <c r="AI344" s="4">
        <v>4.0000000000000001E-3</v>
      </c>
      <c r="AJ344" s="5"/>
      <c r="AK344" s="5"/>
      <c r="AL344" s="5"/>
      <c r="AM344" s="5"/>
      <c r="AO344" s="4" t="s">
        <v>233</v>
      </c>
      <c r="AP344" s="4">
        <v>0.9</v>
      </c>
      <c r="AQ344" s="4">
        <v>0.5</v>
      </c>
      <c r="AR344" s="4">
        <v>0.6</v>
      </c>
      <c r="AS344" s="4">
        <v>0.3</v>
      </c>
      <c r="AT344" s="6">
        <v>1024.7148440000001</v>
      </c>
      <c r="AU344" s="4">
        <v>8.0000000000000002E-3</v>
      </c>
      <c r="AW344" s="4" t="s">
        <v>233</v>
      </c>
      <c r="AX344" s="4">
        <v>0.9</v>
      </c>
      <c r="AY344" s="4">
        <v>0.5</v>
      </c>
      <c r="AZ344" s="4">
        <v>0.6</v>
      </c>
      <c r="BA344" s="4">
        <v>0.31</v>
      </c>
      <c r="BB344" s="4">
        <v>1045.4617920000001</v>
      </c>
      <c r="BC344" s="4">
        <v>8.9999999999999993E-3</v>
      </c>
      <c r="BD344" s="5"/>
      <c r="BE344" s="5"/>
      <c r="BF344" s="5"/>
      <c r="BG344" s="5"/>
      <c r="BI344" s="4" t="s">
        <v>233</v>
      </c>
      <c r="BJ344" s="4">
        <v>0.9</v>
      </c>
      <c r="BK344" s="4">
        <v>0.5</v>
      </c>
      <c r="BL344" s="4">
        <v>0.6</v>
      </c>
      <c r="BM344" s="4">
        <v>0.3</v>
      </c>
      <c r="BN344" s="6">
        <v>988.91381799999999</v>
      </c>
      <c r="BO344" s="4">
        <v>8.0000000000000002E-3</v>
      </c>
      <c r="BQ344" s="4" t="s">
        <v>233</v>
      </c>
      <c r="BR344" s="4">
        <v>0.9</v>
      </c>
      <c r="BS344" s="4">
        <v>0.5</v>
      </c>
      <c r="BT344" s="4">
        <v>0.6</v>
      </c>
      <c r="BU344" s="4">
        <v>0.32</v>
      </c>
      <c r="BV344" s="4">
        <v>1022.562866</v>
      </c>
      <c r="BW344" s="4">
        <v>7.0000000000000001E-3</v>
      </c>
      <c r="BX344" s="5"/>
      <c r="BY344" s="5"/>
      <c r="BZ344" s="5"/>
      <c r="CA344" s="5"/>
    </row>
    <row r="345" spans="1:79" x14ac:dyDescent="0.3">
      <c r="A345" s="4" t="s">
        <v>234</v>
      </c>
      <c r="B345" s="4">
        <v>0.9</v>
      </c>
      <c r="C345" s="4">
        <v>0.5</v>
      </c>
      <c r="D345" s="4">
        <v>0.6</v>
      </c>
      <c r="E345" s="4">
        <v>0.3</v>
      </c>
      <c r="F345" s="6">
        <v>698.61218299999996</v>
      </c>
      <c r="G345" s="4">
        <v>2E-3</v>
      </c>
      <c r="I345" s="4" t="s">
        <v>234</v>
      </c>
      <c r="J345" s="4">
        <v>0.9</v>
      </c>
      <c r="K345" s="4">
        <v>0.5</v>
      </c>
      <c r="L345" s="4">
        <v>0.6</v>
      </c>
      <c r="M345" s="4">
        <v>0.32</v>
      </c>
      <c r="N345" s="4">
        <v>739.98443599999996</v>
      </c>
      <c r="O345" s="4">
        <v>3.0000000000000001E-3</v>
      </c>
      <c r="P345" s="5"/>
      <c r="Q345" s="5"/>
      <c r="R345" s="5"/>
      <c r="S345" s="5"/>
      <c r="U345" s="4" t="s">
        <v>234</v>
      </c>
      <c r="V345" s="4">
        <v>0.9</v>
      </c>
      <c r="W345" s="4">
        <v>0.5</v>
      </c>
      <c r="X345" s="4">
        <v>0.6</v>
      </c>
      <c r="Y345" s="4">
        <v>0.3</v>
      </c>
      <c r="Z345" s="6">
        <v>707.502747</v>
      </c>
      <c r="AA345" s="4">
        <v>3.0000000000000001E-3</v>
      </c>
      <c r="AC345" s="4" t="s">
        <v>234</v>
      </c>
      <c r="AD345" s="4">
        <v>0.9</v>
      </c>
      <c r="AE345" s="4">
        <v>0.5</v>
      </c>
      <c r="AF345" s="4">
        <v>0.6</v>
      </c>
      <c r="AG345" s="4">
        <v>0.31</v>
      </c>
      <c r="AH345" s="4">
        <v>742.533142</v>
      </c>
      <c r="AI345" s="4">
        <v>4.0000000000000001E-3</v>
      </c>
      <c r="AJ345" s="5"/>
      <c r="AK345" s="5"/>
      <c r="AL345" s="5"/>
      <c r="AM345" s="5"/>
      <c r="AO345" s="4" t="s">
        <v>235</v>
      </c>
      <c r="AP345" s="4">
        <v>0.9</v>
      </c>
      <c r="AQ345" s="4">
        <v>0.5</v>
      </c>
      <c r="AR345" s="4">
        <v>0.6</v>
      </c>
      <c r="AS345" s="4">
        <v>0.3</v>
      </c>
      <c r="AT345" s="6">
        <v>1031.9842530000001</v>
      </c>
      <c r="AU345" s="4">
        <v>8.0000000000000002E-3</v>
      </c>
      <c r="AW345" s="4" t="s">
        <v>235</v>
      </c>
      <c r="AX345" s="4">
        <v>0.9</v>
      </c>
      <c r="AY345" s="4">
        <v>0.5</v>
      </c>
      <c r="AZ345" s="4">
        <v>0.6</v>
      </c>
      <c r="BA345" s="4">
        <v>0.3</v>
      </c>
      <c r="BB345" s="4">
        <v>1111.42749</v>
      </c>
      <c r="BC345" s="4">
        <v>1.0999999999999999E-2</v>
      </c>
      <c r="BD345" s="5"/>
      <c r="BE345" s="5"/>
      <c r="BF345" s="5"/>
      <c r="BG345" s="5"/>
      <c r="BI345" s="4" t="s">
        <v>235</v>
      </c>
      <c r="BJ345" s="4">
        <v>0.9</v>
      </c>
      <c r="BK345" s="4">
        <v>0.5</v>
      </c>
      <c r="BL345" s="4">
        <v>0.6</v>
      </c>
      <c r="BM345" s="4">
        <v>0.3</v>
      </c>
      <c r="BN345" s="6">
        <v>1032.2100829999999</v>
      </c>
      <c r="BO345" s="4">
        <v>8.0000000000000002E-3</v>
      </c>
      <c r="BQ345" s="4" t="s">
        <v>235</v>
      </c>
      <c r="BR345" s="4">
        <v>0.9</v>
      </c>
      <c r="BS345" s="4">
        <v>0.5</v>
      </c>
      <c r="BT345" s="4">
        <v>0.6</v>
      </c>
      <c r="BU345" s="4">
        <v>0.3</v>
      </c>
      <c r="BV345" s="4">
        <v>1092.983643</v>
      </c>
      <c r="BW345" s="4">
        <v>8.0000000000000002E-3</v>
      </c>
      <c r="BX345" s="5"/>
      <c r="BY345" s="5"/>
      <c r="BZ345" s="5"/>
      <c r="CA345" s="5"/>
    </row>
    <row r="346" spans="1:79" x14ac:dyDescent="0.3">
      <c r="A346" s="4" t="s">
        <v>236</v>
      </c>
      <c r="B346" s="4">
        <v>0.9</v>
      </c>
      <c r="C346" s="4">
        <v>0.5</v>
      </c>
      <c r="D346" s="4">
        <v>0.6</v>
      </c>
      <c r="E346" s="4">
        <v>0.3</v>
      </c>
      <c r="F346" s="6">
        <v>745.65997300000004</v>
      </c>
      <c r="G346" s="4">
        <v>2E-3</v>
      </c>
      <c r="I346" s="4" t="s">
        <v>236</v>
      </c>
      <c r="J346" s="4">
        <v>0.9</v>
      </c>
      <c r="K346" s="4">
        <v>0.5</v>
      </c>
      <c r="L346" s="4">
        <v>0.6</v>
      </c>
      <c r="M346" s="4">
        <v>0.3</v>
      </c>
      <c r="N346" s="4">
        <v>779.65576199999998</v>
      </c>
      <c r="O346" s="4">
        <v>3.0000000000000001E-3</v>
      </c>
      <c r="P346" s="5"/>
      <c r="Q346" s="5"/>
      <c r="R346" s="5"/>
      <c r="S346" s="5"/>
      <c r="U346" s="4" t="s">
        <v>236</v>
      </c>
      <c r="V346" s="4">
        <v>0.9</v>
      </c>
      <c r="W346" s="4">
        <v>0.5</v>
      </c>
      <c r="X346" s="4">
        <v>0.6</v>
      </c>
      <c r="Y346" s="4">
        <v>0.3</v>
      </c>
      <c r="Z346" s="6">
        <v>740.31555200000003</v>
      </c>
      <c r="AA346" s="4">
        <v>2E-3</v>
      </c>
      <c r="AC346" s="4" t="s">
        <v>236</v>
      </c>
      <c r="AD346" s="4">
        <v>0.9</v>
      </c>
      <c r="AE346" s="4">
        <v>0.5</v>
      </c>
      <c r="AF346" s="4">
        <v>0.6</v>
      </c>
      <c r="AG346" s="4">
        <v>0.34</v>
      </c>
      <c r="AH346" s="4">
        <v>758.24468999999999</v>
      </c>
      <c r="AI346" s="4">
        <v>4.0000000000000001E-3</v>
      </c>
      <c r="AJ346" s="5"/>
      <c r="AK346" s="5"/>
      <c r="AL346" s="5"/>
      <c r="AM346" s="5"/>
      <c r="AO346" s="4" t="s">
        <v>237</v>
      </c>
      <c r="AP346" s="4">
        <v>0.9</v>
      </c>
      <c r="AQ346" s="4">
        <v>0.5</v>
      </c>
      <c r="AR346" s="4">
        <v>0.6</v>
      </c>
      <c r="AS346" s="4">
        <v>0.3</v>
      </c>
      <c r="AT346" s="6">
        <v>1076.0958250000001</v>
      </c>
      <c r="AU346" s="4">
        <v>8.0000000000000002E-3</v>
      </c>
      <c r="AW346" s="4" t="s">
        <v>237</v>
      </c>
      <c r="AX346" s="4">
        <v>0.9</v>
      </c>
      <c r="AY346" s="4">
        <v>0.5</v>
      </c>
      <c r="AZ346" s="4">
        <v>0.6</v>
      </c>
      <c r="BA346" s="4">
        <v>0.31</v>
      </c>
      <c r="BB346" s="4">
        <v>1112.5347899999999</v>
      </c>
      <c r="BC346" s="4">
        <v>0.01</v>
      </c>
      <c r="BD346" s="5"/>
      <c r="BE346" s="5"/>
      <c r="BF346" s="5"/>
      <c r="BG346" s="5"/>
      <c r="BI346" s="4" t="s">
        <v>237</v>
      </c>
      <c r="BJ346" s="4">
        <v>0.9</v>
      </c>
      <c r="BK346" s="4">
        <v>0.5</v>
      </c>
      <c r="BL346" s="4">
        <v>0.6</v>
      </c>
      <c r="BM346" s="4">
        <v>0.3</v>
      </c>
      <c r="BN346" s="6">
        <v>1072.9780270000001</v>
      </c>
      <c r="BO346" s="4">
        <v>8.0000000000000002E-3</v>
      </c>
      <c r="BQ346" s="4" t="s">
        <v>237</v>
      </c>
      <c r="BR346" s="4">
        <v>0.9</v>
      </c>
      <c r="BS346" s="4">
        <v>0.5</v>
      </c>
      <c r="BT346" s="4">
        <v>0.6</v>
      </c>
      <c r="BU346" s="4">
        <v>0.34</v>
      </c>
      <c r="BV346" s="4">
        <v>1103.5615230000001</v>
      </c>
      <c r="BW346" s="4">
        <v>8.9999999999999993E-3</v>
      </c>
      <c r="BX346" s="5"/>
      <c r="BY346" s="5"/>
      <c r="BZ346" s="5"/>
      <c r="CA346" s="5"/>
    </row>
    <row r="347" spans="1:79" x14ac:dyDescent="0.3">
      <c r="A347" s="4" t="s">
        <v>238</v>
      </c>
      <c r="B347" s="4">
        <v>0.9</v>
      </c>
      <c r="C347" s="4">
        <v>0.5</v>
      </c>
      <c r="D347" s="4">
        <v>0.6</v>
      </c>
      <c r="E347" s="4">
        <v>0.3</v>
      </c>
      <c r="F347" s="4">
        <v>735.08056599999998</v>
      </c>
      <c r="G347" s="4">
        <v>2E-3</v>
      </c>
      <c r="I347" s="4" t="s">
        <v>238</v>
      </c>
      <c r="J347" s="4">
        <v>0.9</v>
      </c>
      <c r="K347" s="4">
        <v>0.5</v>
      </c>
      <c r="L347" s="4">
        <v>0.6</v>
      </c>
      <c r="M347" s="4">
        <v>0.32</v>
      </c>
      <c r="N347" s="6">
        <v>731.94378700000004</v>
      </c>
      <c r="O347" s="4">
        <v>2E-3</v>
      </c>
      <c r="P347" s="5"/>
      <c r="Q347" s="5"/>
      <c r="R347" s="5"/>
      <c r="S347" s="5"/>
      <c r="U347" s="4" t="s">
        <v>238</v>
      </c>
      <c r="V347" s="4">
        <v>0.9</v>
      </c>
      <c r="W347" s="4">
        <v>0.5</v>
      </c>
      <c r="X347" s="4">
        <v>0.6</v>
      </c>
      <c r="Y347" s="4">
        <v>0.3</v>
      </c>
      <c r="Z347" s="6">
        <v>722.87670900000001</v>
      </c>
      <c r="AA347" s="4">
        <v>3.0000000000000001E-3</v>
      </c>
      <c r="AC347" s="4" t="s">
        <v>238</v>
      </c>
      <c r="AD347" s="4">
        <v>0.9</v>
      </c>
      <c r="AE347" s="4">
        <v>0.5</v>
      </c>
      <c r="AF347" s="4">
        <v>0.6</v>
      </c>
      <c r="AG347" s="4">
        <v>0.3</v>
      </c>
      <c r="AH347" s="4">
        <v>723.66229199999998</v>
      </c>
      <c r="AI347" s="4">
        <v>3.0000000000000001E-3</v>
      </c>
      <c r="AJ347" s="5"/>
      <c r="AK347" s="5"/>
      <c r="AL347" s="5"/>
      <c r="AM347" s="5"/>
      <c r="AO347" s="4" t="s">
        <v>239</v>
      </c>
      <c r="AP347" s="4">
        <v>0.9</v>
      </c>
      <c r="AQ347" s="4">
        <v>0.5</v>
      </c>
      <c r="AR347" s="4">
        <v>0.6</v>
      </c>
      <c r="AS347" s="4">
        <v>0.3</v>
      </c>
      <c r="AT347" s="6">
        <v>1121.3854980000001</v>
      </c>
      <c r="AU347" s="4">
        <v>8.9999999999999993E-3</v>
      </c>
      <c r="AW347" s="4" t="s">
        <v>239</v>
      </c>
      <c r="AX347" s="4">
        <v>0.9</v>
      </c>
      <c r="AY347" s="4">
        <v>0.5</v>
      </c>
      <c r="AZ347" s="4">
        <v>0.6</v>
      </c>
      <c r="BA347" s="4">
        <v>0.3</v>
      </c>
      <c r="BB347" s="4">
        <v>1177.768677</v>
      </c>
      <c r="BC347" s="4">
        <v>0.01</v>
      </c>
      <c r="BD347" s="5"/>
      <c r="BE347" s="5"/>
      <c r="BF347" s="5"/>
      <c r="BG347" s="5"/>
      <c r="BI347" s="4" t="s">
        <v>239</v>
      </c>
      <c r="BJ347" s="4">
        <v>0.9</v>
      </c>
      <c r="BK347" s="4">
        <v>0.5</v>
      </c>
      <c r="BL347" s="4">
        <v>0.6</v>
      </c>
      <c r="BM347" s="4">
        <v>0.3</v>
      </c>
      <c r="BN347" s="6">
        <v>1081.10376</v>
      </c>
      <c r="BO347" s="4">
        <v>8.9999999999999993E-3</v>
      </c>
      <c r="BQ347" s="4" t="s">
        <v>239</v>
      </c>
      <c r="BR347" s="4">
        <v>0.9</v>
      </c>
      <c r="BS347" s="4">
        <v>0.5</v>
      </c>
      <c r="BT347" s="4">
        <v>0.6</v>
      </c>
      <c r="BU347" s="4">
        <v>0.3</v>
      </c>
      <c r="BV347" s="4">
        <v>1141.6857910000001</v>
      </c>
      <c r="BW347" s="4">
        <v>8.9999999999999993E-3</v>
      </c>
      <c r="BX347" s="5"/>
      <c r="BY347" s="5"/>
      <c r="BZ347" s="5"/>
      <c r="CA347" s="5"/>
    </row>
    <row r="348" spans="1:79" x14ac:dyDescent="0.3">
      <c r="A348" s="4" t="s">
        <v>240</v>
      </c>
      <c r="B348" s="4">
        <v>0.9</v>
      </c>
      <c r="C348" s="4">
        <v>0.5</v>
      </c>
      <c r="D348" s="4">
        <v>0.6</v>
      </c>
      <c r="E348" s="4">
        <v>0.3</v>
      </c>
      <c r="F348" s="6">
        <v>681.07525599999997</v>
      </c>
      <c r="G348" s="4">
        <v>2E-3</v>
      </c>
      <c r="I348" s="4" t="s">
        <v>240</v>
      </c>
      <c r="J348" s="4">
        <v>0.9</v>
      </c>
      <c r="K348" s="4">
        <v>0.5</v>
      </c>
      <c r="L348" s="4">
        <v>0.6</v>
      </c>
      <c r="M348" s="4">
        <v>0.3</v>
      </c>
      <c r="N348" s="4">
        <v>720.67199700000003</v>
      </c>
      <c r="O348" s="4">
        <v>2E-3</v>
      </c>
      <c r="P348" s="5"/>
      <c r="Q348" s="5"/>
      <c r="R348" s="5"/>
      <c r="S348" s="5"/>
      <c r="U348" s="4" t="s">
        <v>240</v>
      </c>
      <c r="V348" s="4">
        <v>0.9</v>
      </c>
      <c r="W348" s="4">
        <v>0.5</v>
      </c>
      <c r="X348" s="4">
        <v>0.6</v>
      </c>
      <c r="Y348" s="4">
        <v>0.3</v>
      </c>
      <c r="Z348" s="6">
        <v>702.74102800000003</v>
      </c>
      <c r="AA348" s="4">
        <v>2E-3</v>
      </c>
      <c r="AC348" s="4" t="s">
        <v>240</v>
      </c>
      <c r="AD348" s="4">
        <v>0.9</v>
      </c>
      <c r="AE348" s="4">
        <v>0.5</v>
      </c>
      <c r="AF348" s="4">
        <v>0.6</v>
      </c>
      <c r="AG348" s="4">
        <v>0.36</v>
      </c>
      <c r="AH348" s="8">
        <v>707.92303500000003</v>
      </c>
      <c r="AI348" s="4">
        <v>4.0000000000000001E-3</v>
      </c>
      <c r="AJ348" s="5"/>
      <c r="AK348" s="5"/>
      <c r="AL348" s="5"/>
      <c r="AM348" s="5"/>
      <c r="AO348" s="4" t="s">
        <v>241</v>
      </c>
      <c r="AP348" s="4">
        <v>0.9</v>
      </c>
      <c r="AQ348" s="4">
        <v>0.5</v>
      </c>
      <c r="AR348" s="4">
        <v>0.6</v>
      </c>
      <c r="AS348" s="4">
        <v>0.3</v>
      </c>
      <c r="AT348" s="6">
        <v>1064.5008539999999</v>
      </c>
      <c r="AU348" s="4">
        <v>8.0000000000000002E-3</v>
      </c>
      <c r="AW348" s="4" t="s">
        <v>241</v>
      </c>
      <c r="AX348" s="4">
        <v>0.9</v>
      </c>
      <c r="AY348" s="4">
        <v>0.5</v>
      </c>
      <c r="AZ348" s="4">
        <v>0.6</v>
      </c>
      <c r="BA348" s="4">
        <v>0.33</v>
      </c>
      <c r="BB348" s="4">
        <v>1095.1072999999999</v>
      </c>
      <c r="BC348" s="4">
        <v>0.01</v>
      </c>
      <c r="BD348" s="5"/>
      <c r="BE348" s="5"/>
      <c r="BF348" s="5"/>
      <c r="BG348" s="5"/>
      <c r="BI348" s="4" t="s">
        <v>241</v>
      </c>
      <c r="BJ348" s="4">
        <v>0.9</v>
      </c>
      <c r="BK348" s="4">
        <v>0.5</v>
      </c>
      <c r="BL348" s="4">
        <v>0.6</v>
      </c>
      <c r="BM348" s="4">
        <v>0.3</v>
      </c>
      <c r="BN348" s="6">
        <v>1039.0943600000001</v>
      </c>
      <c r="BO348" s="4">
        <v>8.0000000000000002E-3</v>
      </c>
      <c r="BQ348" s="4" t="s">
        <v>241</v>
      </c>
      <c r="BR348" s="4">
        <v>0.9</v>
      </c>
      <c r="BS348" s="4">
        <v>0.5</v>
      </c>
      <c r="BT348" s="4">
        <v>0.6</v>
      </c>
      <c r="BU348" s="4">
        <v>0.3</v>
      </c>
      <c r="BV348" s="4">
        <v>1045.5023189999999</v>
      </c>
      <c r="BW348" s="4">
        <v>8.9999999999999993E-3</v>
      </c>
      <c r="BX348" s="5"/>
      <c r="BY348" s="5"/>
      <c r="BZ348" s="5"/>
      <c r="CA348" s="5"/>
    </row>
    <row r="349" spans="1:79" x14ac:dyDescent="0.3">
      <c r="A349" s="4" t="s">
        <v>242</v>
      </c>
      <c r="B349" s="4">
        <v>0.9</v>
      </c>
      <c r="C349" s="4">
        <v>0.5</v>
      </c>
      <c r="D349" s="4">
        <v>0.6</v>
      </c>
      <c r="E349" s="4">
        <v>0.3</v>
      </c>
      <c r="F349" s="6">
        <v>694.27105700000004</v>
      </c>
      <c r="G349" s="4">
        <v>2E-3</v>
      </c>
      <c r="I349" s="4" t="s">
        <v>242</v>
      </c>
      <c r="J349" s="4">
        <v>0.9</v>
      </c>
      <c r="K349" s="4">
        <v>0.5</v>
      </c>
      <c r="L349" s="4">
        <v>0.6</v>
      </c>
      <c r="M349" s="4">
        <v>0.38</v>
      </c>
      <c r="N349" s="4">
        <v>727.94616699999995</v>
      </c>
      <c r="O349" s="4">
        <v>2E-3</v>
      </c>
      <c r="P349" s="5"/>
      <c r="Q349" s="5"/>
      <c r="R349" s="5"/>
      <c r="S349" s="5"/>
      <c r="U349" s="4" t="s">
        <v>242</v>
      </c>
      <c r="V349" s="4">
        <v>0.9</v>
      </c>
      <c r="W349" s="4">
        <v>0.5</v>
      </c>
      <c r="X349" s="4">
        <v>0.6</v>
      </c>
      <c r="Y349" s="4">
        <v>0.3</v>
      </c>
      <c r="Z349" s="6">
        <v>709.65295400000002</v>
      </c>
      <c r="AA349" s="4">
        <v>3.0000000000000001E-3</v>
      </c>
      <c r="AC349" s="4" t="s">
        <v>242</v>
      </c>
      <c r="AD349" s="4">
        <v>0.9</v>
      </c>
      <c r="AE349" s="4">
        <v>0.5</v>
      </c>
      <c r="AF349" s="4">
        <v>0.6</v>
      </c>
      <c r="AG349" s="4">
        <v>0.33</v>
      </c>
      <c r="AH349" s="4">
        <v>713.05059800000004</v>
      </c>
      <c r="AI349" s="4">
        <v>6.0000000000000001E-3</v>
      </c>
      <c r="AJ349" s="5"/>
      <c r="AK349" s="5"/>
      <c r="AL349" s="5"/>
      <c r="AM349" s="5"/>
      <c r="AO349" s="4" t="s">
        <v>243</v>
      </c>
      <c r="AP349" s="4">
        <v>0.9</v>
      </c>
      <c r="AQ349" s="4">
        <v>0.5</v>
      </c>
      <c r="AR349" s="4">
        <v>0.6</v>
      </c>
      <c r="AS349" s="4">
        <v>0.3</v>
      </c>
      <c r="AT349" s="6">
        <v>1133.727173</v>
      </c>
      <c r="AU349" s="4">
        <v>8.9999999999999993E-3</v>
      </c>
      <c r="AW349" s="4" t="s">
        <v>243</v>
      </c>
      <c r="AX349" s="4">
        <v>0.9</v>
      </c>
      <c r="AY349" s="4">
        <v>0.5</v>
      </c>
      <c r="AZ349" s="4">
        <v>0.6</v>
      </c>
      <c r="BA349" s="4">
        <v>0.3</v>
      </c>
      <c r="BB349" s="4">
        <v>1218.4331050000001</v>
      </c>
      <c r="BC349" s="4">
        <v>8.9999999999999993E-3</v>
      </c>
      <c r="BD349" s="5"/>
      <c r="BE349" s="5"/>
      <c r="BF349" s="5"/>
      <c r="BG349" s="5"/>
      <c r="BI349" s="4" t="s">
        <v>243</v>
      </c>
      <c r="BJ349" s="4">
        <v>0.9</v>
      </c>
      <c r="BK349" s="4">
        <v>0.5</v>
      </c>
      <c r="BL349" s="4">
        <v>0.6</v>
      </c>
      <c r="BM349" s="4">
        <v>0.3</v>
      </c>
      <c r="BN349" s="6">
        <v>1148.880371</v>
      </c>
      <c r="BO349" s="4">
        <v>8.9999999999999993E-3</v>
      </c>
      <c r="BQ349" s="4" t="s">
        <v>243</v>
      </c>
      <c r="BR349" s="4">
        <v>0.9</v>
      </c>
      <c r="BS349" s="4">
        <v>0.5</v>
      </c>
      <c r="BT349" s="4">
        <v>0.6</v>
      </c>
      <c r="BU349" s="4">
        <v>0.33</v>
      </c>
      <c r="BV349" s="4">
        <v>1189.581909</v>
      </c>
      <c r="BW349" s="4">
        <v>0.01</v>
      </c>
      <c r="BX349" s="5"/>
      <c r="BY349" s="5"/>
      <c r="BZ349" s="5"/>
      <c r="CA349" s="5"/>
    </row>
    <row r="350" spans="1:79" x14ac:dyDescent="0.3">
      <c r="A350" s="4" t="s">
        <v>244</v>
      </c>
      <c r="B350" s="4">
        <v>0.9</v>
      </c>
      <c r="C350" s="4">
        <v>0.5</v>
      </c>
      <c r="D350" s="4">
        <v>0.6</v>
      </c>
      <c r="E350" s="4">
        <v>0.3</v>
      </c>
      <c r="F350" s="4">
        <v>717.97674600000005</v>
      </c>
      <c r="G350" s="4">
        <v>3.0000000000000001E-3</v>
      </c>
      <c r="I350" s="4" t="s">
        <v>244</v>
      </c>
      <c r="J350" s="4">
        <v>0.9</v>
      </c>
      <c r="K350" s="4">
        <v>0.5</v>
      </c>
      <c r="L350" s="4">
        <v>0.6</v>
      </c>
      <c r="M350" s="4">
        <v>0.3</v>
      </c>
      <c r="N350" s="6">
        <v>712.85363800000005</v>
      </c>
      <c r="O350" s="4">
        <v>2E-3</v>
      </c>
      <c r="P350" s="5"/>
      <c r="Q350" s="5"/>
      <c r="R350" s="5"/>
      <c r="S350" s="5"/>
      <c r="U350" s="4" t="s">
        <v>244</v>
      </c>
      <c r="V350" s="4">
        <v>0.9</v>
      </c>
      <c r="W350" s="4">
        <v>0.5</v>
      </c>
      <c r="X350" s="4">
        <v>0.6</v>
      </c>
      <c r="Y350" s="4">
        <v>0.3</v>
      </c>
      <c r="Z350" s="6">
        <v>680.64819299999999</v>
      </c>
      <c r="AA350" s="4">
        <v>2E-3</v>
      </c>
      <c r="AC350" s="4" t="s">
        <v>244</v>
      </c>
      <c r="AD350" s="4">
        <v>0.9</v>
      </c>
      <c r="AE350" s="4">
        <v>0.5</v>
      </c>
      <c r="AF350" s="4">
        <v>0.6</v>
      </c>
      <c r="AG350" s="4">
        <v>0.36</v>
      </c>
      <c r="AH350" s="4">
        <v>740.37231399999996</v>
      </c>
      <c r="AI350" s="4">
        <v>3.0000000000000001E-3</v>
      </c>
      <c r="AJ350" s="5"/>
      <c r="AK350" s="5"/>
      <c r="AL350" s="5"/>
      <c r="AM350" s="5"/>
      <c r="AO350" s="4" t="s">
        <v>245</v>
      </c>
      <c r="AP350" s="4">
        <v>0.9</v>
      </c>
      <c r="AQ350" s="4">
        <v>0.5</v>
      </c>
      <c r="AR350" s="4">
        <v>0.6</v>
      </c>
      <c r="AS350" s="4">
        <v>0.3</v>
      </c>
      <c r="AT350" s="6">
        <v>1170.4904790000001</v>
      </c>
      <c r="AU350" s="4">
        <v>8.9999999999999993E-3</v>
      </c>
      <c r="AW350" s="4" t="s">
        <v>245</v>
      </c>
      <c r="AX350" s="4">
        <v>0.9</v>
      </c>
      <c r="AY350" s="4">
        <v>0.5</v>
      </c>
      <c r="AZ350" s="4">
        <v>0.6</v>
      </c>
      <c r="BA350" s="4">
        <v>0.31</v>
      </c>
      <c r="BB350" s="4">
        <v>1216.8789059999999</v>
      </c>
      <c r="BC350" s="4">
        <v>0.01</v>
      </c>
      <c r="BD350" s="5"/>
      <c r="BE350" s="5"/>
      <c r="BF350" s="5"/>
      <c r="BG350" s="5"/>
      <c r="BI350" s="4" t="s">
        <v>245</v>
      </c>
      <c r="BJ350" s="4">
        <v>0.9</v>
      </c>
      <c r="BK350" s="4">
        <v>0.5</v>
      </c>
      <c r="BL350" s="4">
        <v>0.6</v>
      </c>
      <c r="BM350" s="4">
        <v>0.3</v>
      </c>
      <c r="BN350" s="6">
        <v>1138.998169</v>
      </c>
      <c r="BO350" s="4">
        <v>8.0000000000000002E-3</v>
      </c>
      <c r="BQ350" s="4" t="s">
        <v>245</v>
      </c>
      <c r="BR350" s="4">
        <v>0.9</v>
      </c>
      <c r="BS350" s="4">
        <v>0.5</v>
      </c>
      <c r="BT350" s="4">
        <v>0.6</v>
      </c>
      <c r="BU350" s="4">
        <v>0.31</v>
      </c>
      <c r="BV350" s="4">
        <v>1167.6392820000001</v>
      </c>
      <c r="BW350" s="4">
        <v>8.9999999999999993E-3</v>
      </c>
      <c r="BX350" s="5"/>
      <c r="BY350" s="5"/>
      <c r="BZ350" s="5"/>
      <c r="CA350" s="5"/>
    </row>
    <row r="351" spans="1:79" x14ac:dyDescent="0.3">
      <c r="A351" s="4" t="s">
        <v>246</v>
      </c>
      <c r="B351" s="4">
        <v>0.9</v>
      </c>
      <c r="C351" s="4">
        <v>0.5</v>
      </c>
      <c r="D351" s="4">
        <v>0.6</v>
      </c>
      <c r="E351" s="4">
        <v>0.3</v>
      </c>
      <c r="F351" s="6">
        <v>690.23468000000003</v>
      </c>
      <c r="G351" s="4">
        <v>2E-3</v>
      </c>
      <c r="I351" s="4" t="s">
        <v>246</v>
      </c>
      <c r="J351" s="4">
        <v>0.9</v>
      </c>
      <c r="K351" s="4">
        <v>0.5</v>
      </c>
      <c r="L351" s="4">
        <v>0.6</v>
      </c>
      <c r="M351" s="4">
        <v>0.32</v>
      </c>
      <c r="N351" s="4">
        <v>731.68493699999999</v>
      </c>
      <c r="O351" s="4">
        <v>3.0000000000000001E-3</v>
      </c>
      <c r="P351" s="5"/>
      <c r="Q351" s="5"/>
      <c r="R351" s="5"/>
      <c r="S351" s="5"/>
      <c r="U351" s="4" t="s">
        <v>246</v>
      </c>
      <c r="V351" s="4">
        <v>0.9</v>
      </c>
      <c r="W351" s="4">
        <v>0.5</v>
      </c>
      <c r="X351" s="4">
        <v>0.6</v>
      </c>
      <c r="Y351" s="4">
        <v>0.3</v>
      </c>
      <c r="Z351" s="6">
        <v>702.84143100000006</v>
      </c>
      <c r="AA351" s="4">
        <v>3.0000000000000001E-3</v>
      </c>
      <c r="AC351" s="4" t="s">
        <v>246</v>
      </c>
      <c r="AD351" s="4">
        <v>0.9</v>
      </c>
      <c r="AE351" s="4">
        <v>0.5</v>
      </c>
      <c r="AF351" s="4">
        <v>0.6</v>
      </c>
      <c r="AG351" s="4">
        <v>0.32</v>
      </c>
      <c r="AH351" s="4">
        <v>740.15563999999995</v>
      </c>
      <c r="AI351" s="4">
        <v>3.0000000000000001E-3</v>
      </c>
      <c r="AJ351" s="5"/>
      <c r="AK351" s="5"/>
      <c r="AL351" s="5"/>
      <c r="AM351" s="5"/>
      <c r="AO351" s="4" t="s">
        <v>247</v>
      </c>
      <c r="AP351" s="4">
        <v>0.9</v>
      </c>
      <c r="AQ351" s="4">
        <v>0.5</v>
      </c>
      <c r="AR351" s="4">
        <v>0.6</v>
      </c>
      <c r="AS351" s="4">
        <v>0.3</v>
      </c>
      <c r="AT351" s="6">
        <v>1022.055908</v>
      </c>
      <c r="AU351" s="4">
        <v>7.0000000000000001E-3</v>
      </c>
      <c r="AW351" s="4" t="s">
        <v>247</v>
      </c>
      <c r="AX351" s="4">
        <v>0.9</v>
      </c>
      <c r="AY351" s="4">
        <v>0.5</v>
      </c>
      <c r="AZ351" s="4">
        <v>0.6</v>
      </c>
      <c r="BA351" s="4">
        <v>0.34</v>
      </c>
      <c r="BB351" s="4">
        <v>1041.85022</v>
      </c>
      <c r="BC351" s="4">
        <v>8.9999999999999993E-3</v>
      </c>
      <c r="BD351" s="5"/>
      <c r="BE351" s="5"/>
      <c r="BF351" s="5"/>
      <c r="BG351" s="5"/>
      <c r="BI351" s="4" t="s">
        <v>247</v>
      </c>
      <c r="BJ351" s="4">
        <v>0.9</v>
      </c>
      <c r="BK351" s="4">
        <v>0.5</v>
      </c>
      <c r="BL351" s="4">
        <v>0.6</v>
      </c>
      <c r="BM351" s="4">
        <v>0.3</v>
      </c>
      <c r="BN351" s="6">
        <v>993.74890100000005</v>
      </c>
      <c r="BO351" s="4">
        <v>1.0999999999999999E-2</v>
      </c>
      <c r="BQ351" s="4" t="s">
        <v>247</v>
      </c>
      <c r="BR351" s="4">
        <v>0.9</v>
      </c>
      <c r="BS351" s="4">
        <v>0.5</v>
      </c>
      <c r="BT351" s="4">
        <v>0.6</v>
      </c>
      <c r="BU351" s="4">
        <v>0.32</v>
      </c>
      <c r="BV351" s="4">
        <v>1026.1936040000001</v>
      </c>
      <c r="BW351" s="4">
        <v>7.0000000000000001E-3</v>
      </c>
      <c r="BX351" s="5"/>
      <c r="BY351" s="5"/>
      <c r="BZ351" s="5"/>
      <c r="CA351" s="5"/>
    </row>
    <row r="352" spans="1:79" x14ac:dyDescent="0.3">
      <c r="A352" s="4" t="s">
        <v>248</v>
      </c>
      <c r="B352" s="4">
        <v>0.9</v>
      </c>
      <c r="C352" s="4">
        <v>0.5</v>
      </c>
      <c r="D352" s="4">
        <v>0.6</v>
      </c>
      <c r="E352" s="4">
        <v>0.3</v>
      </c>
      <c r="F352" s="6">
        <v>755.01165800000001</v>
      </c>
      <c r="G352" s="4">
        <v>3.0000000000000001E-3</v>
      </c>
      <c r="I352" s="4" t="s">
        <v>248</v>
      </c>
      <c r="J352" s="4">
        <v>0.9</v>
      </c>
      <c r="K352" s="4">
        <v>0.5</v>
      </c>
      <c r="L352" s="4">
        <v>0.6</v>
      </c>
      <c r="M352" s="4">
        <v>0.3</v>
      </c>
      <c r="N352" s="4">
        <v>762.19421399999999</v>
      </c>
      <c r="O352" s="4">
        <v>2E-3</v>
      </c>
      <c r="P352" s="5"/>
      <c r="Q352" s="5"/>
      <c r="R352" s="5"/>
      <c r="S352" s="5"/>
      <c r="U352" s="4" t="s">
        <v>248</v>
      </c>
      <c r="V352" s="4">
        <v>0.9</v>
      </c>
      <c r="W352" s="4">
        <v>0.5</v>
      </c>
      <c r="X352" s="4">
        <v>0.6</v>
      </c>
      <c r="Y352" s="4">
        <v>0.3</v>
      </c>
      <c r="Z352" s="6">
        <v>724.80450399999995</v>
      </c>
      <c r="AA352" s="4">
        <v>2E-3</v>
      </c>
      <c r="AC352" s="4" t="s">
        <v>248</v>
      </c>
      <c r="AD352" s="4">
        <v>0.9</v>
      </c>
      <c r="AE352" s="4">
        <v>0.5</v>
      </c>
      <c r="AF352" s="4">
        <v>0.6</v>
      </c>
      <c r="AG352" s="4">
        <v>0.3</v>
      </c>
      <c r="AH352" s="4">
        <v>760.11254899999994</v>
      </c>
      <c r="AI352" s="4">
        <v>3.0000000000000001E-3</v>
      </c>
      <c r="AJ352" s="5"/>
      <c r="AK352" s="5"/>
      <c r="AL352" s="5"/>
      <c r="AM352" s="5"/>
      <c r="AO352" s="4" t="s">
        <v>249</v>
      </c>
      <c r="AP352" s="4">
        <v>0.9</v>
      </c>
      <c r="AQ352" s="4">
        <v>0.5</v>
      </c>
      <c r="AR352" s="4">
        <v>0.6</v>
      </c>
      <c r="AS352" s="4">
        <v>0.3</v>
      </c>
      <c r="AT352" s="6">
        <v>1115.928345</v>
      </c>
      <c r="AU352" s="4">
        <v>8.0000000000000002E-3</v>
      </c>
      <c r="AW352" s="4" t="s">
        <v>249</v>
      </c>
      <c r="AX352" s="4">
        <v>0.9</v>
      </c>
      <c r="AY352" s="4">
        <v>0.5</v>
      </c>
      <c r="AZ352" s="4">
        <v>0.6</v>
      </c>
      <c r="BA352" s="4">
        <v>0.3</v>
      </c>
      <c r="BB352" s="4">
        <v>1153.244629</v>
      </c>
      <c r="BC352" s="4">
        <v>8.9999999999999993E-3</v>
      </c>
      <c r="BD352" s="5"/>
      <c r="BE352" s="5"/>
      <c r="BF352" s="5"/>
      <c r="BG352" s="5"/>
      <c r="BI352" s="4" t="s">
        <v>249</v>
      </c>
      <c r="BJ352" s="4">
        <v>0.9</v>
      </c>
      <c r="BK352" s="4">
        <v>0.5</v>
      </c>
      <c r="BL352" s="4">
        <v>0.6</v>
      </c>
      <c r="BM352" s="4">
        <v>0.3</v>
      </c>
      <c r="BN352" s="6">
        <v>1106.5699460000001</v>
      </c>
      <c r="BO352" s="4">
        <v>8.0000000000000002E-3</v>
      </c>
      <c r="BQ352" s="4" t="s">
        <v>249</v>
      </c>
      <c r="BR352" s="4">
        <v>0.9</v>
      </c>
      <c r="BS352" s="4">
        <v>0.5</v>
      </c>
      <c r="BT352" s="4">
        <v>0.6</v>
      </c>
      <c r="BU352" s="4">
        <v>0.31</v>
      </c>
      <c r="BV352" s="4">
        <v>1160.0714109999999</v>
      </c>
      <c r="BW352" s="4">
        <v>8.9999999999999993E-3</v>
      </c>
      <c r="BX352" s="5"/>
      <c r="BY352" s="5"/>
      <c r="BZ352" s="5"/>
      <c r="CA352" s="5"/>
    </row>
    <row r="353" spans="1:79" x14ac:dyDescent="0.3">
      <c r="A353" s="4" t="s">
        <v>250</v>
      </c>
      <c r="B353" s="4">
        <v>0.9</v>
      </c>
      <c r="C353" s="4">
        <v>0.5</v>
      </c>
      <c r="D353" s="4">
        <v>0.6</v>
      </c>
      <c r="E353" s="4">
        <v>0.3</v>
      </c>
      <c r="F353" s="6">
        <v>752.99292000000003</v>
      </c>
      <c r="G353" s="4">
        <v>2E-3</v>
      </c>
      <c r="I353" s="4" t="s">
        <v>250</v>
      </c>
      <c r="J353" s="4">
        <v>0.9</v>
      </c>
      <c r="K353" s="4">
        <v>0.5</v>
      </c>
      <c r="L353" s="4">
        <v>0.6</v>
      </c>
      <c r="M353" s="4">
        <v>0.31</v>
      </c>
      <c r="N353" s="4">
        <v>791.134277</v>
      </c>
      <c r="O353" s="4">
        <v>3.0000000000000001E-3</v>
      </c>
      <c r="P353" s="5"/>
      <c r="Q353" s="5"/>
      <c r="R353" s="5"/>
      <c r="S353" s="5"/>
      <c r="U353" s="4" t="s">
        <v>250</v>
      </c>
      <c r="V353" s="4">
        <v>0.9</v>
      </c>
      <c r="W353" s="4">
        <v>0.5</v>
      </c>
      <c r="X353" s="4">
        <v>0.6</v>
      </c>
      <c r="Y353" s="4">
        <v>0.3</v>
      </c>
      <c r="Z353" s="6">
        <v>717.00689699999998</v>
      </c>
      <c r="AA353" s="4">
        <v>2E-3</v>
      </c>
      <c r="AC353" s="4" t="s">
        <v>250</v>
      </c>
      <c r="AD353" s="4">
        <v>0.9</v>
      </c>
      <c r="AE353" s="4">
        <v>0.5</v>
      </c>
      <c r="AF353" s="4">
        <v>0.6</v>
      </c>
      <c r="AG353" s="4">
        <v>0.31</v>
      </c>
      <c r="AH353" s="4">
        <v>761.36474599999997</v>
      </c>
      <c r="AI353" s="4">
        <v>3.0000000000000001E-3</v>
      </c>
      <c r="AJ353" s="5"/>
      <c r="AK353" s="5"/>
      <c r="AL353" s="5"/>
      <c r="AM353" s="5"/>
      <c r="AO353" s="4" t="s">
        <v>251</v>
      </c>
      <c r="AP353" s="4">
        <v>0.9</v>
      </c>
      <c r="AQ353" s="4">
        <v>0.5</v>
      </c>
      <c r="AR353" s="4">
        <v>0.6</v>
      </c>
      <c r="AS353" s="4">
        <v>0.3</v>
      </c>
      <c r="AT353" s="6">
        <v>1123.8942870000001</v>
      </c>
      <c r="AU353" s="4">
        <v>8.0000000000000002E-3</v>
      </c>
      <c r="AW353" s="4" t="s">
        <v>251</v>
      </c>
      <c r="AX353" s="4">
        <v>0.9</v>
      </c>
      <c r="AY353" s="4">
        <v>0.5</v>
      </c>
      <c r="AZ353" s="4">
        <v>0.6</v>
      </c>
      <c r="BA353" s="4">
        <v>0.3</v>
      </c>
      <c r="BB353" s="4">
        <v>1148.55249</v>
      </c>
      <c r="BC353" s="4">
        <v>0.01</v>
      </c>
      <c r="BD353" s="5"/>
      <c r="BE353" s="5"/>
      <c r="BF353" s="5"/>
      <c r="BG353" s="5"/>
      <c r="BI353" s="4" t="s">
        <v>251</v>
      </c>
      <c r="BJ353" s="4">
        <v>0.9</v>
      </c>
      <c r="BK353" s="4">
        <v>0.5</v>
      </c>
      <c r="BL353" s="4">
        <v>0.6</v>
      </c>
      <c r="BM353" s="4">
        <v>0.3</v>
      </c>
      <c r="BN353" s="6">
        <v>1060.976318</v>
      </c>
      <c r="BO353" s="4">
        <v>7.0000000000000001E-3</v>
      </c>
      <c r="BQ353" s="4" t="s">
        <v>251</v>
      </c>
      <c r="BR353" s="4">
        <v>0.9</v>
      </c>
      <c r="BS353" s="4">
        <v>0.5</v>
      </c>
      <c r="BT353" s="4">
        <v>0.6</v>
      </c>
      <c r="BU353" s="4">
        <v>0.36</v>
      </c>
      <c r="BV353" s="4">
        <v>1122.6743160000001</v>
      </c>
      <c r="BW353" s="4">
        <v>8.0000000000000002E-3</v>
      </c>
      <c r="BX353" s="5"/>
      <c r="BY353" s="5"/>
      <c r="BZ353" s="5"/>
      <c r="CA353" s="5"/>
    </row>
    <row r="354" spans="1:79" x14ac:dyDescent="0.3">
      <c r="A354" s="4" t="s">
        <v>252</v>
      </c>
      <c r="B354" s="4">
        <v>0.9</v>
      </c>
      <c r="C354" s="4">
        <v>0.5</v>
      </c>
      <c r="D354" s="4">
        <v>0.6</v>
      </c>
      <c r="E354" s="4">
        <v>0.3</v>
      </c>
      <c r="F354" s="6">
        <v>765.98925799999995</v>
      </c>
      <c r="G354" s="4">
        <v>2E-3</v>
      </c>
      <c r="I354" s="4" t="s">
        <v>252</v>
      </c>
      <c r="J354" s="4">
        <v>0.9</v>
      </c>
      <c r="K354" s="4">
        <v>0.5</v>
      </c>
      <c r="L354" s="4">
        <v>0.6</v>
      </c>
      <c r="M354" s="4">
        <v>0.32</v>
      </c>
      <c r="N354" s="4">
        <v>844.31103499999995</v>
      </c>
      <c r="O354" s="4">
        <v>3.0000000000000001E-3</v>
      </c>
      <c r="P354" s="5"/>
      <c r="Q354" s="5"/>
      <c r="R354" s="5"/>
      <c r="S354" s="5"/>
      <c r="U354" s="4" t="s">
        <v>252</v>
      </c>
      <c r="V354" s="4">
        <v>0.9</v>
      </c>
      <c r="W354" s="4">
        <v>0.5</v>
      </c>
      <c r="X354" s="4">
        <v>0.6</v>
      </c>
      <c r="Y354" s="4">
        <v>0.3</v>
      </c>
      <c r="Z354" s="6">
        <v>772.81329300000004</v>
      </c>
      <c r="AA354" s="4">
        <v>2E-3</v>
      </c>
      <c r="AC354" s="4" t="s">
        <v>252</v>
      </c>
      <c r="AD354" s="4">
        <v>0.9</v>
      </c>
      <c r="AE354" s="4">
        <v>0.5</v>
      </c>
      <c r="AF354" s="4">
        <v>0.6</v>
      </c>
      <c r="AG354" s="4">
        <v>0.3</v>
      </c>
      <c r="AH354" s="4">
        <v>792.85205099999996</v>
      </c>
      <c r="AI354" s="4">
        <v>3.0000000000000001E-3</v>
      </c>
      <c r="AJ354" s="5"/>
      <c r="AK354" s="5"/>
      <c r="AL354" s="5"/>
      <c r="AM354" s="5"/>
      <c r="AO354" s="4" t="s">
        <v>253</v>
      </c>
      <c r="AP354" s="4">
        <v>0.9</v>
      </c>
      <c r="AQ354" s="4">
        <v>0.5</v>
      </c>
      <c r="AR354" s="4">
        <v>0.6</v>
      </c>
      <c r="AS354" s="4">
        <v>0.3</v>
      </c>
      <c r="AT354" s="6">
        <v>1145.8729249999999</v>
      </c>
      <c r="AU354" s="4">
        <v>0.01</v>
      </c>
      <c r="AW354" s="4" t="s">
        <v>253</v>
      </c>
      <c r="AX354" s="4">
        <v>0.9</v>
      </c>
      <c r="AY354" s="4">
        <v>0.5</v>
      </c>
      <c r="AZ354" s="4">
        <v>0.6</v>
      </c>
      <c r="BA354" s="4">
        <v>0.3</v>
      </c>
      <c r="BB354" s="4">
        <v>1185.3977050000001</v>
      </c>
      <c r="BC354" s="4">
        <v>1.0999999999999999E-2</v>
      </c>
      <c r="BD354" s="5"/>
      <c r="BE354" s="5"/>
      <c r="BF354" s="5"/>
      <c r="BG354" s="5"/>
      <c r="BI354" s="4" t="s">
        <v>253</v>
      </c>
      <c r="BJ354" s="4">
        <v>0.9</v>
      </c>
      <c r="BK354" s="4">
        <v>0.5</v>
      </c>
      <c r="BL354" s="4">
        <v>0.6</v>
      </c>
      <c r="BM354" s="4">
        <v>0.3</v>
      </c>
      <c r="BN354" s="6">
        <v>1133.9616699999999</v>
      </c>
      <c r="BO354" s="4">
        <v>8.9999999999999993E-3</v>
      </c>
      <c r="BQ354" s="4" t="s">
        <v>253</v>
      </c>
      <c r="BR354" s="4">
        <v>0.9</v>
      </c>
      <c r="BS354" s="4">
        <v>0.5</v>
      </c>
      <c r="BT354" s="4">
        <v>0.6</v>
      </c>
      <c r="BU354" s="4">
        <v>0.33</v>
      </c>
      <c r="BV354" s="4">
        <v>1179.795288</v>
      </c>
      <c r="BW354" s="4">
        <v>0.01</v>
      </c>
      <c r="BX354" s="5"/>
      <c r="BY354" s="5"/>
      <c r="BZ354" s="5"/>
      <c r="CA354" s="5"/>
    </row>
    <row r="355" spans="1:79" x14ac:dyDescent="0.3">
      <c r="A355" s="14" t="s">
        <v>316</v>
      </c>
      <c r="E355" s="14">
        <f>AVERAGE(E325:E354)</f>
        <v>0.3</v>
      </c>
      <c r="I355" s="14" t="s">
        <v>316</v>
      </c>
      <c r="M355" s="14">
        <f>AVERAGE(M325:M354)</f>
        <v>0.31766666666666671</v>
      </c>
      <c r="P355" s="5"/>
      <c r="Q355" s="5"/>
      <c r="R355" s="5"/>
      <c r="S355" s="5"/>
      <c r="U355" s="14" t="s">
        <v>316</v>
      </c>
      <c r="Y355" s="14">
        <f>AVERAGE(Y325:Y354)</f>
        <v>0.3</v>
      </c>
      <c r="AC355" s="14" t="s">
        <v>316</v>
      </c>
      <c r="AG355" s="14">
        <f>AVERAGE(AG325:AG354)</f>
        <v>0.31466666666666665</v>
      </c>
      <c r="AJ355" s="5"/>
      <c r="AK355" s="5"/>
      <c r="AL355" s="5"/>
      <c r="AM355" s="5"/>
      <c r="AO355" s="14" t="s">
        <v>316</v>
      </c>
      <c r="AS355" s="14">
        <f>AVERAGE(AS325:AS354)</f>
        <v>0.3</v>
      </c>
      <c r="AW355" s="14" t="s">
        <v>316</v>
      </c>
      <c r="BA355" s="14">
        <f>AVERAGE(BA325:BA354)</f>
        <v>0.31299999999999994</v>
      </c>
      <c r="BD355" s="5"/>
      <c r="BE355" s="5"/>
      <c r="BF355" s="5"/>
      <c r="BG355" s="5"/>
      <c r="BI355" s="14" t="s">
        <v>316</v>
      </c>
      <c r="BM355" s="14">
        <f>AVERAGE(BM325:BM354)</f>
        <v>0.3</v>
      </c>
      <c r="BQ355" s="14" t="s">
        <v>316</v>
      </c>
      <c r="BU355" s="14">
        <f>AVERAGE(BU325:BU354)</f>
        <v>0.31366666666666665</v>
      </c>
      <c r="BX355" s="5"/>
      <c r="BY355" s="5"/>
      <c r="BZ355" s="5"/>
      <c r="CA355" s="5"/>
    </row>
    <row r="356" spans="1:79" x14ac:dyDescent="0.3">
      <c r="P356" s="5"/>
      <c r="Q356" s="5"/>
      <c r="R356" s="5"/>
      <c r="S356" s="5"/>
      <c r="AJ356" s="5"/>
      <c r="AK356" s="5"/>
      <c r="AL356" s="5"/>
      <c r="AM356" s="5"/>
      <c r="BD356" s="5"/>
      <c r="BE356" s="5"/>
      <c r="BF356" s="5"/>
      <c r="BG356" s="5"/>
      <c r="BX356" s="5"/>
      <c r="BY356" s="5"/>
      <c r="BZ356" s="5"/>
      <c r="CA356" s="5"/>
    </row>
    <row r="357" spans="1:79" x14ac:dyDescent="0.3">
      <c r="P357" s="5"/>
      <c r="Q357" s="5"/>
      <c r="R357" s="5"/>
      <c r="S357" s="5"/>
      <c r="AJ357" s="5"/>
      <c r="AK357" s="5"/>
      <c r="AL357" s="5"/>
      <c r="AM357" s="5"/>
      <c r="BD357" s="5"/>
      <c r="BE357" s="5"/>
      <c r="BF357" s="5"/>
      <c r="BG357" s="5"/>
      <c r="BX357" s="5"/>
      <c r="BY357" s="5"/>
      <c r="BZ357" s="5"/>
      <c r="CA357" s="5"/>
    </row>
    <row r="358" spans="1:79" x14ac:dyDescent="0.3">
      <c r="A358" s="23" t="s">
        <v>314</v>
      </c>
      <c r="B358" s="23"/>
      <c r="C358" s="23"/>
      <c r="D358" s="23"/>
      <c r="E358" s="23"/>
      <c r="F358" s="23"/>
      <c r="G358" s="23"/>
      <c r="I358" s="23" t="s">
        <v>314</v>
      </c>
      <c r="J358" s="23"/>
      <c r="K358" s="23"/>
      <c r="L358" s="23"/>
      <c r="M358" s="23"/>
      <c r="N358" s="23"/>
      <c r="O358" s="23"/>
      <c r="P358" s="11"/>
      <c r="Q358" s="11"/>
      <c r="R358" s="11"/>
      <c r="S358" s="11"/>
      <c r="U358" s="23" t="s">
        <v>314</v>
      </c>
      <c r="V358" s="23"/>
      <c r="W358" s="23"/>
      <c r="X358" s="23"/>
      <c r="Y358" s="23"/>
      <c r="Z358" s="23"/>
      <c r="AA358" s="23"/>
      <c r="AC358" s="23" t="s">
        <v>314</v>
      </c>
      <c r="AD358" s="23"/>
      <c r="AE358" s="23"/>
      <c r="AF358" s="23"/>
      <c r="AG358" s="23"/>
      <c r="AH358" s="23"/>
      <c r="AI358" s="23"/>
      <c r="AJ358" s="11"/>
      <c r="AK358" s="11"/>
      <c r="AL358" s="11"/>
      <c r="AM358" s="11"/>
      <c r="AO358" s="23" t="s">
        <v>314</v>
      </c>
      <c r="AP358" s="23"/>
      <c r="AQ358" s="23"/>
      <c r="AR358" s="23"/>
      <c r="AS358" s="23"/>
      <c r="AT358" s="23"/>
      <c r="AU358" s="23"/>
      <c r="AW358" s="23" t="s">
        <v>314</v>
      </c>
      <c r="AX358" s="23"/>
      <c r="AY358" s="23"/>
      <c r="AZ358" s="23"/>
      <c r="BA358" s="23"/>
      <c r="BB358" s="23"/>
      <c r="BC358" s="23"/>
      <c r="BD358" s="11"/>
      <c r="BE358" s="11"/>
      <c r="BF358" s="11"/>
      <c r="BG358" s="11"/>
      <c r="BI358" s="23" t="s">
        <v>314</v>
      </c>
      <c r="BJ358" s="23"/>
      <c r="BK358" s="23"/>
      <c r="BL358" s="23"/>
      <c r="BM358" s="23"/>
      <c r="BN358" s="23"/>
      <c r="BO358" s="23"/>
      <c r="BQ358" s="23" t="s">
        <v>314</v>
      </c>
      <c r="BR358" s="23"/>
      <c r="BS358" s="23"/>
      <c r="BT358" s="23"/>
      <c r="BU358" s="23"/>
      <c r="BV358" s="23"/>
      <c r="BW358" s="23"/>
      <c r="BX358" s="11"/>
      <c r="BY358" s="11"/>
      <c r="BZ358" s="11"/>
      <c r="CA358" s="11"/>
    </row>
    <row r="359" spans="1:79" x14ac:dyDescent="0.3">
      <c r="A359" s="4" t="s">
        <v>70</v>
      </c>
      <c r="B359" s="4"/>
      <c r="C359" s="4"/>
      <c r="D359" s="4"/>
      <c r="E359" s="4"/>
      <c r="F359" s="4"/>
      <c r="G359" s="4"/>
      <c r="I359" s="23" t="s">
        <v>70</v>
      </c>
      <c r="J359" s="23"/>
      <c r="K359" s="23"/>
      <c r="L359" s="23"/>
      <c r="M359" s="23"/>
      <c r="N359" s="23"/>
      <c r="O359" s="23"/>
      <c r="P359" s="5"/>
      <c r="Q359" s="5"/>
      <c r="R359" s="5"/>
      <c r="S359" s="5"/>
      <c r="U359" s="4" t="s">
        <v>71</v>
      </c>
      <c r="V359" s="4"/>
      <c r="W359" s="4"/>
      <c r="X359" s="4"/>
      <c r="Y359" s="4"/>
      <c r="Z359" s="4"/>
      <c r="AA359" s="4"/>
      <c r="AC359" s="23" t="s">
        <v>71</v>
      </c>
      <c r="AD359" s="23"/>
      <c r="AE359" s="23"/>
      <c r="AF359" s="23"/>
      <c r="AG359" s="23"/>
      <c r="AH359" s="23"/>
      <c r="AI359" s="23"/>
      <c r="AJ359" s="5"/>
      <c r="AK359" s="5"/>
      <c r="AL359" s="5"/>
      <c r="AM359" s="5"/>
      <c r="AO359" s="4" t="s">
        <v>70</v>
      </c>
      <c r="AP359" s="4"/>
      <c r="AQ359" s="4"/>
      <c r="AR359" s="4"/>
      <c r="AS359" s="4"/>
      <c r="AT359" s="4"/>
      <c r="AU359" s="4"/>
      <c r="AW359" s="23" t="s">
        <v>70</v>
      </c>
      <c r="AX359" s="23"/>
      <c r="AY359" s="23"/>
      <c r="AZ359" s="23"/>
      <c r="BA359" s="23"/>
      <c r="BB359" s="23"/>
      <c r="BC359" s="23"/>
      <c r="BD359" s="5"/>
      <c r="BE359" s="5"/>
      <c r="BF359" s="5"/>
      <c r="BG359" s="5"/>
      <c r="BI359" s="4" t="s">
        <v>71</v>
      </c>
      <c r="BJ359" s="4"/>
      <c r="BK359" s="4"/>
      <c r="BL359" s="4"/>
      <c r="BM359" s="4"/>
      <c r="BN359" s="4"/>
      <c r="BO359" s="4"/>
      <c r="BQ359" s="23" t="s">
        <v>71</v>
      </c>
      <c r="BR359" s="23"/>
      <c r="BS359" s="23"/>
      <c r="BT359" s="23"/>
      <c r="BU359" s="23"/>
      <c r="BV359" s="23"/>
      <c r="BW359" s="23"/>
      <c r="BX359" s="5"/>
      <c r="BY359" s="5"/>
      <c r="BZ359" s="5"/>
      <c r="CA359" s="5"/>
    </row>
    <row r="360" spans="1:79" x14ac:dyDescent="0.3">
      <c r="A360" s="4" t="s">
        <v>2</v>
      </c>
      <c r="B360" s="4" t="s">
        <v>3</v>
      </c>
      <c r="C360" s="4" t="s">
        <v>4</v>
      </c>
      <c r="D360" s="4" t="s">
        <v>5</v>
      </c>
      <c r="E360" s="4" t="s">
        <v>6</v>
      </c>
      <c r="F360" s="4" t="s">
        <v>7</v>
      </c>
      <c r="G360" s="4" t="s">
        <v>8</v>
      </c>
      <c r="I360" s="4" t="s">
        <v>2</v>
      </c>
      <c r="J360" s="4" t="s">
        <v>3</v>
      </c>
      <c r="K360" s="4" t="s">
        <v>4</v>
      </c>
      <c r="L360" s="4" t="s">
        <v>5</v>
      </c>
      <c r="M360" s="4" t="s">
        <v>6</v>
      </c>
      <c r="N360" s="4" t="s">
        <v>7</v>
      </c>
      <c r="O360" s="4" t="s">
        <v>8</v>
      </c>
      <c r="P360" s="3" t="s">
        <v>322</v>
      </c>
      <c r="Q360" s="3" t="s">
        <v>323</v>
      </c>
      <c r="R360" s="3" t="s">
        <v>322</v>
      </c>
      <c r="S360" s="3" t="s">
        <v>323</v>
      </c>
      <c r="U360" s="4" t="s">
        <v>2</v>
      </c>
      <c r="V360" s="4" t="s">
        <v>3</v>
      </c>
      <c r="W360" s="4" t="s">
        <v>4</v>
      </c>
      <c r="X360" s="4" t="s">
        <v>5</v>
      </c>
      <c r="Y360" s="4" t="s">
        <v>6</v>
      </c>
      <c r="Z360" s="4" t="s">
        <v>7</v>
      </c>
      <c r="AA360" s="4" t="s">
        <v>8</v>
      </c>
      <c r="AC360" s="4" t="s">
        <v>2</v>
      </c>
      <c r="AD360" s="4" t="s">
        <v>3</v>
      </c>
      <c r="AE360" s="4" t="s">
        <v>4</v>
      </c>
      <c r="AF360" s="4" t="s">
        <v>5</v>
      </c>
      <c r="AG360" s="4" t="s">
        <v>6</v>
      </c>
      <c r="AH360" s="4" t="s">
        <v>7</v>
      </c>
      <c r="AI360" s="4" t="s">
        <v>8</v>
      </c>
      <c r="AJ360" s="3" t="s">
        <v>322</v>
      </c>
      <c r="AK360" s="3" t="s">
        <v>323</v>
      </c>
      <c r="AL360" s="3" t="s">
        <v>322</v>
      </c>
      <c r="AM360" s="3" t="s">
        <v>323</v>
      </c>
      <c r="AO360" s="4" t="s">
        <v>2</v>
      </c>
      <c r="AP360" s="4" t="s">
        <v>3</v>
      </c>
      <c r="AQ360" s="4" t="s">
        <v>4</v>
      </c>
      <c r="AR360" s="4" t="s">
        <v>5</v>
      </c>
      <c r="AS360" s="4" t="s">
        <v>6</v>
      </c>
      <c r="AT360" s="4" t="s">
        <v>7</v>
      </c>
      <c r="AU360" s="4" t="s">
        <v>8</v>
      </c>
      <c r="AW360" s="4" t="s">
        <v>2</v>
      </c>
      <c r="AX360" s="4" t="s">
        <v>3</v>
      </c>
      <c r="AY360" s="4" t="s">
        <v>4</v>
      </c>
      <c r="AZ360" s="4" t="s">
        <v>5</v>
      </c>
      <c r="BA360" s="4" t="s">
        <v>6</v>
      </c>
      <c r="BB360" s="4" t="s">
        <v>7</v>
      </c>
      <c r="BC360" s="4" t="s">
        <v>8</v>
      </c>
      <c r="BD360" s="3" t="s">
        <v>322</v>
      </c>
      <c r="BE360" s="3" t="s">
        <v>323</v>
      </c>
      <c r="BF360" s="3" t="s">
        <v>322</v>
      </c>
      <c r="BG360" s="3" t="s">
        <v>323</v>
      </c>
      <c r="BI360" s="4" t="s">
        <v>2</v>
      </c>
      <c r="BJ360" s="4" t="s">
        <v>3</v>
      </c>
      <c r="BK360" s="4" t="s">
        <v>4</v>
      </c>
      <c r="BL360" s="4" t="s">
        <v>5</v>
      </c>
      <c r="BM360" s="4" t="s">
        <v>6</v>
      </c>
      <c r="BN360" s="4" t="s">
        <v>7</v>
      </c>
      <c r="BO360" s="4" t="s">
        <v>8</v>
      </c>
      <c r="BQ360" s="4" t="s">
        <v>2</v>
      </c>
      <c r="BR360" s="4" t="s">
        <v>3</v>
      </c>
      <c r="BS360" s="4" t="s">
        <v>4</v>
      </c>
      <c r="BT360" s="4" t="s">
        <v>5</v>
      </c>
      <c r="BU360" s="4" t="s">
        <v>6</v>
      </c>
      <c r="BV360" s="4" t="s">
        <v>7</v>
      </c>
      <c r="BW360" s="4" t="s">
        <v>8</v>
      </c>
      <c r="BX360" s="3" t="s">
        <v>322</v>
      </c>
      <c r="BY360" s="3" t="s">
        <v>323</v>
      </c>
      <c r="BZ360" s="3" t="s">
        <v>322</v>
      </c>
      <c r="CA360" s="3" t="s">
        <v>323</v>
      </c>
    </row>
    <row r="361" spans="1:79" x14ac:dyDescent="0.3">
      <c r="A361" s="4" t="s">
        <v>194</v>
      </c>
      <c r="B361" s="4">
        <v>0.9</v>
      </c>
      <c r="C361" s="4">
        <v>0.5</v>
      </c>
      <c r="D361" s="4">
        <v>0.6</v>
      </c>
      <c r="E361" s="4">
        <v>0.3</v>
      </c>
      <c r="F361" s="4">
        <v>667.43408199999999</v>
      </c>
      <c r="G361" s="4">
        <v>2E-3</v>
      </c>
      <c r="I361" s="4" t="s">
        <v>194</v>
      </c>
      <c r="J361" s="4">
        <v>0.9</v>
      </c>
      <c r="K361" s="4">
        <v>0.5</v>
      </c>
      <c r="L361" s="4">
        <v>0.6</v>
      </c>
      <c r="M361" s="4">
        <v>0.31</v>
      </c>
      <c r="N361" s="6">
        <v>661.36474599999997</v>
      </c>
      <c r="O361" s="4">
        <v>3.0000000000000001E-3</v>
      </c>
      <c r="P361" s="4" t="s">
        <v>324</v>
      </c>
      <c r="Q361" s="4" t="s">
        <v>324</v>
      </c>
      <c r="R361" s="4" t="s">
        <v>325</v>
      </c>
      <c r="S361" s="4" t="s">
        <v>325</v>
      </c>
      <c r="U361" s="4" t="s">
        <v>194</v>
      </c>
      <c r="V361" s="4">
        <v>0.9</v>
      </c>
      <c r="W361" s="4">
        <v>0.5</v>
      </c>
      <c r="X361" s="4">
        <v>0.6</v>
      </c>
      <c r="Y361" s="4">
        <v>0.3</v>
      </c>
      <c r="Z361" s="6">
        <v>655.00640899999996</v>
      </c>
      <c r="AA361" s="4">
        <v>2E-3</v>
      </c>
      <c r="AC361" s="4" t="s">
        <v>194</v>
      </c>
      <c r="AD361" s="4">
        <v>0.9</v>
      </c>
      <c r="AE361" s="4">
        <v>0.5</v>
      </c>
      <c r="AF361" s="4">
        <v>0.6</v>
      </c>
      <c r="AG361" s="4">
        <v>0.3</v>
      </c>
      <c r="AH361" s="4">
        <v>672.53552200000001</v>
      </c>
      <c r="AI361" s="4">
        <v>5.0000000000000001E-3</v>
      </c>
      <c r="AJ361" s="4" t="s">
        <v>324</v>
      </c>
      <c r="AK361" s="4" t="s">
        <v>324</v>
      </c>
      <c r="AL361" s="4" t="s">
        <v>325</v>
      </c>
      <c r="AM361" s="4" t="s">
        <v>325</v>
      </c>
      <c r="AO361" s="4" t="s">
        <v>195</v>
      </c>
      <c r="AP361" s="4">
        <v>0.9</v>
      </c>
      <c r="AQ361" s="4">
        <v>0.5</v>
      </c>
      <c r="AR361" s="4">
        <v>0.6</v>
      </c>
      <c r="AS361" s="4">
        <v>0.3</v>
      </c>
      <c r="AT361" s="6">
        <v>986.91784700000005</v>
      </c>
      <c r="AU361" s="4">
        <v>8.9999999999999993E-3</v>
      </c>
      <c r="AW361" s="4" t="s">
        <v>195</v>
      </c>
      <c r="AX361" s="4">
        <v>0.9</v>
      </c>
      <c r="AY361" s="4">
        <v>0.5</v>
      </c>
      <c r="AZ361" s="4">
        <v>0.6</v>
      </c>
      <c r="BA361" s="4">
        <v>0.33</v>
      </c>
      <c r="BB361" s="4">
        <v>997.74523899999997</v>
      </c>
      <c r="BC361" s="4">
        <v>7.0000000000000001E-3</v>
      </c>
      <c r="BD361" s="4" t="s">
        <v>324</v>
      </c>
      <c r="BE361" s="4" t="s">
        <v>324</v>
      </c>
      <c r="BF361" s="4" t="s">
        <v>325</v>
      </c>
      <c r="BG361" s="4" t="s">
        <v>325</v>
      </c>
      <c r="BI361" s="4" t="s">
        <v>195</v>
      </c>
      <c r="BJ361" s="4">
        <v>0.9</v>
      </c>
      <c r="BK361" s="4">
        <v>0.5</v>
      </c>
      <c r="BL361" s="4">
        <v>0.6</v>
      </c>
      <c r="BM361" s="4">
        <v>0.3</v>
      </c>
      <c r="BN361" s="6">
        <v>967.10290499999996</v>
      </c>
      <c r="BO361" s="4">
        <v>1.2999999999999999E-2</v>
      </c>
      <c r="BQ361" s="4" t="s">
        <v>195</v>
      </c>
      <c r="BR361" s="4">
        <v>0.9</v>
      </c>
      <c r="BS361" s="4">
        <v>0.5</v>
      </c>
      <c r="BT361" s="4">
        <v>0.6</v>
      </c>
      <c r="BU361" s="4">
        <v>0.3</v>
      </c>
      <c r="BV361" s="4">
        <v>969.35522500000002</v>
      </c>
      <c r="BW361" s="4">
        <v>8.9999999999999993E-3</v>
      </c>
      <c r="BX361" s="4" t="s">
        <v>324</v>
      </c>
      <c r="BY361" s="4" t="s">
        <v>324</v>
      </c>
      <c r="BZ361" s="4" t="s">
        <v>325</v>
      </c>
      <c r="CA361" s="4" t="s">
        <v>325</v>
      </c>
    </row>
    <row r="362" spans="1:79" x14ac:dyDescent="0.3">
      <c r="A362" s="4" t="s">
        <v>196</v>
      </c>
      <c r="B362" s="4">
        <v>0.9</v>
      </c>
      <c r="C362" s="4">
        <v>0.5</v>
      </c>
      <c r="D362" s="4">
        <v>0.6</v>
      </c>
      <c r="E362" s="4">
        <v>0.3</v>
      </c>
      <c r="F362" s="6">
        <v>640.12219200000004</v>
      </c>
      <c r="G362" s="4">
        <v>2E-3</v>
      </c>
      <c r="I362" s="4" t="s">
        <v>196</v>
      </c>
      <c r="J362" s="4">
        <v>0.9</v>
      </c>
      <c r="K362" s="4">
        <v>0.5</v>
      </c>
      <c r="L362" s="4">
        <v>0.6</v>
      </c>
      <c r="M362" s="4">
        <v>0.31</v>
      </c>
      <c r="N362" s="4">
        <v>653.21197500000005</v>
      </c>
      <c r="O362" s="4">
        <v>3.0000000000000001E-3</v>
      </c>
      <c r="P362" s="3">
        <f>COUNT(F362:F366,F368:F390)</f>
        <v>28</v>
      </c>
      <c r="Q362" s="3">
        <f>30-P362</f>
        <v>2</v>
      </c>
      <c r="R362" s="3">
        <f>COUNT(N361,N367)</f>
        <v>2</v>
      </c>
      <c r="S362" s="3">
        <f>30-R362</f>
        <v>28</v>
      </c>
      <c r="U362" s="4" t="s">
        <v>196</v>
      </c>
      <c r="V362" s="4">
        <v>0.9</v>
      </c>
      <c r="W362" s="4">
        <v>0.5</v>
      </c>
      <c r="X362" s="4">
        <v>0.6</v>
      </c>
      <c r="Y362" s="4">
        <v>0.3</v>
      </c>
      <c r="Z362" s="6">
        <v>625.43231200000002</v>
      </c>
      <c r="AA362" s="4">
        <v>2E-3</v>
      </c>
      <c r="AC362" s="4" t="s">
        <v>196</v>
      </c>
      <c r="AD362" s="4">
        <v>0.9</v>
      </c>
      <c r="AE362" s="4">
        <v>0.5</v>
      </c>
      <c r="AF362" s="4">
        <v>0.6</v>
      </c>
      <c r="AG362" s="4">
        <v>0.3</v>
      </c>
      <c r="AH362" s="4">
        <v>648.53619400000002</v>
      </c>
      <c r="AI362" s="4">
        <v>6.0000000000000001E-3</v>
      </c>
      <c r="AJ362" s="3">
        <f>COUNT(Z361:Z374,Z376,Z379:Z382,Z384:Z386,Z388:Z390)</f>
        <v>25</v>
      </c>
      <c r="AK362" s="3">
        <f>30-AJ362</f>
        <v>5</v>
      </c>
      <c r="AL362" s="3">
        <f>COUNT(AH376:AH378,AH383,AH387)</f>
        <v>5</v>
      </c>
      <c r="AM362" s="3">
        <f>30-AL362</f>
        <v>25</v>
      </c>
      <c r="AO362" s="4" t="s">
        <v>197</v>
      </c>
      <c r="AP362" s="4">
        <v>0.9</v>
      </c>
      <c r="AQ362" s="4">
        <v>0.5</v>
      </c>
      <c r="AR362" s="4">
        <v>0.6</v>
      </c>
      <c r="AS362" s="4">
        <v>0.3</v>
      </c>
      <c r="AT362" s="6">
        <v>916.41046100000005</v>
      </c>
      <c r="AU362" s="4">
        <v>7.0000000000000001E-3</v>
      </c>
      <c r="AW362" s="4" t="s">
        <v>197</v>
      </c>
      <c r="AX362" s="4">
        <v>0.9</v>
      </c>
      <c r="AY362" s="4">
        <v>0.5</v>
      </c>
      <c r="AZ362" s="4">
        <v>0.6</v>
      </c>
      <c r="BA362" s="4">
        <v>0.33</v>
      </c>
      <c r="BB362" s="4">
        <v>939.78497300000004</v>
      </c>
      <c r="BC362" s="4">
        <v>1.0999999999999999E-2</v>
      </c>
      <c r="BD362" s="3">
        <f>COUNT(AT361:AT377,AT379,AT381:AT383,AT384:AT390)</f>
        <v>28</v>
      </c>
      <c r="BE362" s="3">
        <f>30-BD362</f>
        <v>2</v>
      </c>
      <c r="BF362" s="3">
        <f>COUNT(BB378,BB380,BB384)</f>
        <v>3</v>
      </c>
      <c r="BG362" s="3">
        <f>30-BF362</f>
        <v>27</v>
      </c>
      <c r="BI362" s="4" t="s">
        <v>197</v>
      </c>
      <c r="BJ362" s="4">
        <v>0.9</v>
      </c>
      <c r="BK362" s="4">
        <v>0.5</v>
      </c>
      <c r="BL362" s="4">
        <v>0.6</v>
      </c>
      <c r="BM362" s="4">
        <v>0.3</v>
      </c>
      <c r="BN362" s="6">
        <v>894.31420900000001</v>
      </c>
      <c r="BO362" s="4">
        <v>1.2E-2</v>
      </c>
      <c r="BQ362" s="4" t="s">
        <v>197</v>
      </c>
      <c r="BR362" s="4">
        <v>0.9</v>
      </c>
      <c r="BS362" s="4">
        <v>0.5</v>
      </c>
      <c r="BT362" s="4">
        <v>0.6</v>
      </c>
      <c r="BU362" s="4">
        <v>0.32</v>
      </c>
      <c r="BV362" s="4">
        <v>905.64276099999995</v>
      </c>
      <c r="BW362" s="4">
        <v>7.0000000000000001E-3</v>
      </c>
      <c r="BX362" s="3">
        <f>COUNT(BN361:BN362,BN364:BN366,BN368:BN390)</f>
        <v>28</v>
      </c>
      <c r="BY362" s="3">
        <f>30-BX362</f>
        <v>2</v>
      </c>
      <c r="BZ362" s="3">
        <f>COUNT(BV363,BV367,BV369)</f>
        <v>3</v>
      </c>
      <c r="CA362" s="3">
        <f>30-BZ362</f>
        <v>27</v>
      </c>
    </row>
    <row r="363" spans="1:79" x14ac:dyDescent="0.3">
      <c r="A363" s="4" t="s">
        <v>198</v>
      </c>
      <c r="B363" s="4">
        <v>0.9</v>
      </c>
      <c r="C363" s="4">
        <v>0.5</v>
      </c>
      <c r="D363" s="4">
        <v>0.6</v>
      </c>
      <c r="E363" s="4">
        <v>0.3</v>
      </c>
      <c r="F363" s="6">
        <v>628.67797900000005</v>
      </c>
      <c r="G363" s="4">
        <v>2E-3</v>
      </c>
      <c r="I363" s="4" t="s">
        <v>198</v>
      </c>
      <c r="J363" s="4">
        <v>0.9</v>
      </c>
      <c r="K363" s="4">
        <v>0.5</v>
      </c>
      <c r="L363" s="4">
        <v>0.6</v>
      </c>
      <c r="M363" s="4">
        <v>0.3</v>
      </c>
      <c r="N363" s="4">
        <v>645.04803500000003</v>
      </c>
      <c r="O363" s="4">
        <v>2E-3</v>
      </c>
      <c r="P363" s="5"/>
      <c r="Q363" s="5"/>
      <c r="R363" s="5"/>
      <c r="S363" s="5"/>
      <c r="U363" s="4" t="s">
        <v>198</v>
      </c>
      <c r="V363" s="4">
        <v>0.9</v>
      </c>
      <c r="W363" s="4">
        <v>0.5</v>
      </c>
      <c r="X363" s="4">
        <v>0.6</v>
      </c>
      <c r="Y363" s="4">
        <v>0.3</v>
      </c>
      <c r="Z363" s="6">
        <v>601.25146500000005</v>
      </c>
      <c r="AA363" s="4">
        <v>3.0000000000000001E-3</v>
      </c>
      <c r="AC363" s="4" t="s">
        <v>198</v>
      </c>
      <c r="AD363" s="4">
        <v>0.9</v>
      </c>
      <c r="AE363" s="4">
        <v>0.5</v>
      </c>
      <c r="AF363" s="4">
        <v>0.6</v>
      </c>
      <c r="AG363" s="4">
        <v>0.3</v>
      </c>
      <c r="AH363" s="4">
        <v>622.12072799999999</v>
      </c>
      <c r="AI363" s="4">
        <v>3.0000000000000001E-3</v>
      </c>
      <c r="AJ363" s="5"/>
      <c r="AK363" s="5"/>
      <c r="AL363" s="5"/>
      <c r="AM363" s="5"/>
      <c r="AO363" s="4" t="s">
        <v>199</v>
      </c>
      <c r="AP363" s="4">
        <v>0.9</v>
      </c>
      <c r="AQ363" s="4">
        <v>0.5</v>
      </c>
      <c r="AR363" s="4">
        <v>0.6</v>
      </c>
      <c r="AS363" s="4">
        <v>0.3</v>
      </c>
      <c r="AT363" s="6">
        <v>904.87780799999996</v>
      </c>
      <c r="AU363" s="4">
        <v>8.0000000000000002E-3</v>
      </c>
      <c r="AW363" s="4" t="s">
        <v>199</v>
      </c>
      <c r="AX363" s="4">
        <v>0.9</v>
      </c>
      <c r="AY363" s="4">
        <v>0.5</v>
      </c>
      <c r="AZ363" s="4">
        <v>0.6</v>
      </c>
      <c r="BA363" s="4">
        <v>0.34</v>
      </c>
      <c r="BB363" s="4">
        <v>968.83477800000003</v>
      </c>
      <c r="BC363" s="4">
        <v>7.0000000000000001E-3</v>
      </c>
      <c r="BD363" s="5"/>
      <c r="BE363" s="5"/>
      <c r="BF363" s="5"/>
      <c r="BG363" s="5"/>
      <c r="BI363" s="4" t="s">
        <v>199</v>
      </c>
      <c r="BJ363" s="4">
        <v>0.9</v>
      </c>
      <c r="BK363" s="4">
        <v>0.5</v>
      </c>
      <c r="BL363" s="4">
        <v>0.6</v>
      </c>
      <c r="BM363" s="4">
        <v>0.3</v>
      </c>
      <c r="BN363" s="4">
        <v>924.524902</v>
      </c>
      <c r="BO363" s="4">
        <v>0.01</v>
      </c>
      <c r="BQ363" s="4" t="s">
        <v>199</v>
      </c>
      <c r="BR363" s="4">
        <v>0.9</v>
      </c>
      <c r="BS363" s="4">
        <v>0.5</v>
      </c>
      <c r="BT363" s="4">
        <v>0.6</v>
      </c>
      <c r="BU363" s="4">
        <v>0.3</v>
      </c>
      <c r="BV363" s="6">
        <v>921.94665499999996</v>
      </c>
      <c r="BW363" s="4">
        <v>8.9999999999999993E-3</v>
      </c>
      <c r="BX363" s="5"/>
      <c r="BY363" s="5"/>
      <c r="BZ363" s="5"/>
      <c r="CA363" s="5"/>
    </row>
    <row r="364" spans="1:79" x14ac:dyDescent="0.3">
      <c r="A364" s="4" t="s">
        <v>200</v>
      </c>
      <c r="B364" s="4">
        <v>0.9</v>
      </c>
      <c r="C364" s="4">
        <v>0.5</v>
      </c>
      <c r="D364" s="4">
        <v>0.6</v>
      </c>
      <c r="E364" s="4">
        <v>0.3</v>
      </c>
      <c r="F364" s="6">
        <v>583.72283900000002</v>
      </c>
      <c r="G364" s="4">
        <v>2E-3</v>
      </c>
      <c r="I364" s="4" t="s">
        <v>200</v>
      </c>
      <c r="J364" s="4">
        <v>0.9</v>
      </c>
      <c r="K364" s="4">
        <v>0.5</v>
      </c>
      <c r="L364" s="4">
        <v>0.6</v>
      </c>
      <c r="M364" s="4">
        <v>0.31</v>
      </c>
      <c r="N364" s="4">
        <v>588.25036599999999</v>
      </c>
      <c r="O364" s="4">
        <v>3.0000000000000001E-3</v>
      </c>
      <c r="P364" s="5"/>
      <c r="Q364" s="5"/>
      <c r="R364" s="5"/>
      <c r="S364" s="5"/>
      <c r="U364" s="4" t="s">
        <v>200</v>
      </c>
      <c r="V364" s="4">
        <v>0.9</v>
      </c>
      <c r="W364" s="4">
        <v>0.5</v>
      </c>
      <c r="X364" s="4">
        <v>0.6</v>
      </c>
      <c r="Y364" s="4">
        <v>0.3</v>
      </c>
      <c r="Z364" s="6">
        <v>545.19604500000003</v>
      </c>
      <c r="AA364" s="4">
        <v>3.0000000000000001E-3</v>
      </c>
      <c r="AC364" s="4" t="s">
        <v>200</v>
      </c>
      <c r="AD364" s="4">
        <v>0.9</v>
      </c>
      <c r="AE364" s="4">
        <v>0.5</v>
      </c>
      <c r="AF364" s="4">
        <v>0.6</v>
      </c>
      <c r="AG364" s="4">
        <v>0.34</v>
      </c>
      <c r="AH364" s="4">
        <v>560.71838400000001</v>
      </c>
      <c r="AI364" s="4">
        <v>3.0000000000000001E-3</v>
      </c>
      <c r="AJ364" s="5"/>
      <c r="AK364" s="5"/>
      <c r="AL364" s="5"/>
      <c r="AM364" s="5"/>
      <c r="AO364" s="4" t="s">
        <v>201</v>
      </c>
      <c r="AP364" s="4">
        <v>0.9</v>
      </c>
      <c r="AQ364" s="4">
        <v>0.5</v>
      </c>
      <c r="AR364" s="4">
        <v>0.6</v>
      </c>
      <c r="AS364" s="4">
        <v>0.3</v>
      </c>
      <c r="AT364" s="6">
        <v>1008.607422</v>
      </c>
      <c r="AU364" s="4">
        <v>8.0000000000000002E-3</v>
      </c>
      <c r="AW364" s="4" t="s">
        <v>201</v>
      </c>
      <c r="AX364" s="4">
        <v>0.9</v>
      </c>
      <c r="AY364" s="4">
        <v>0.5</v>
      </c>
      <c r="AZ364" s="4">
        <v>0.6</v>
      </c>
      <c r="BA364" s="4">
        <v>0.3</v>
      </c>
      <c r="BB364" s="4">
        <v>1029.9072269999999</v>
      </c>
      <c r="BC364" s="4">
        <v>7.0000000000000001E-3</v>
      </c>
      <c r="BD364" s="5"/>
      <c r="BE364" s="5"/>
      <c r="BF364" s="5"/>
      <c r="BG364" s="5"/>
      <c r="BI364" s="4" t="s">
        <v>201</v>
      </c>
      <c r="BJ364" s="4">
        <v>0.9</v>
      </c>
      <c r="BK364" s="4">
        <v>0.5</v>
      </c>
      <c r="BL364" s="4">
        <v>0.6</v>
      </c>
      <c r="BM364" s="4">
        <v>0.3</v>
      </c>
      <c r="BN364" s="6">
        <v>973.05737299999998</v>
      </c>
      <c r="BO364" s="4">
        <v>1.0999999999999999E-2</v>
      </c>
      <c r="BQ364" s="4" t="s">
        <v>201</v>
      </c>
      <c r="BR364" s="4">
        <v>0.9</v>
      </c>
      <c r="BS364" s="4">
        <v>0.5</v>
      </c>
      <c r="BT364" s="4">
        <v>0.6</v>
      </c>
      <c r="BU364" s="4">
        <v>0.32</v>
      </c>
      <c r="BV364" s="4">
        <v>1001.960754</v>
      </c>
      <c r="BW364" s="4">
        <v>1.0999999999999999E-2</v>
      </c>
      <c r="BX364" s="5"/>
      <c r="BY364" s="5"/>
      <c r="BZ364" s="5"/>
      <c r="CA364" s="5"/>
    </row>
    <row r="365" spans="1:79" x14ac:dyDescent="0.3">
      <c r="A365" s="4" t="s">
        <v>202</v>
      </c>
      <c r="B365" s="4">
        <v>0.9</v>
      </c>
      <c r="C365" s="4">
        <v>0.5</v>
      </c>
      <c r="D365" s="4">
        <v>0.6</v>
      </c>
      <c r="E365" s="4">
        <v>0.3</v>
      </c>
      <c r="F365" s="6">
        <v>583.55474900000002</v>
      </c>
      <c r="G365" s="4">
        <v>2E-3</v>
      </c>
      <c r="I365" s="4" t="s">
        <v>202</v>
      </c>
      <c r="J365" s="4">
        <v>0.9</v>
      </c>
      <c r="K365" s="4">
        <v>0.5</v>
      </c>
      <c r="L365" s="4">
        <v>0.6</v>
      </c>
      <c r="M365" s="4">
        <v>0.3</v>
      </c>
      <c r="N365" s="4">
        <v>610.43988000000002</v>
      </c>
      <c r="O365" s="4">
        <v>3.0000000000000001E-3</v>
      </c>
      <c r="P365" s="5"/>
      <c r="Q365" s="5"/>
      <c r="R365" s="5"/>
      <c r="S365" s="5"/>
      <c r="U365" s="4" t="s">
        <v>202</v>
      </c>
      <c r="V365" s="4">
        <v>0.9</v>
      </c>
      <c r="W365" s="4">
        <v>0.5</v>
      </c>
      <c r="X365" s="4">
        <v>0.6</v>
      </c>
      <c r="Y365" s="4">
        <v>0.3</v>
      </c>
      <c r="Z365" s="6">
        <v>553.40844700000002</v>
      </c>
      <c r="AA365" s="4">
        <v>3.0000000000000001E-3</v>
      </c>
      <c r="AC365" s="4" t="s">
        <v>202</v>
      </c>
      <c r="AD365" s="4">
        <v>0.9</v>
      </c>
      <c r="AE365" s="4">
        <v>0.5</v>
      </c>
      <c r="AF365" s="4">
        <v>0.6</v>
      </c>
      <c r="AG365" s="4">
        <v>0.3</v>
      </c>
      <c r="AH365" s="4">
        <v>573.74157700000001</v>
      </c>
      <c r="AI365" s="4">
        <v>2E-3</v>
      </c>
      <c r="AJ365" s="5"/>
      <c r="AK365" s="5"/>
      <c r="AL365" s="5"/>
      <c r="AM365" s="5"/>
      <c r="AO365" s="4" t="s">
        <v>203</v>
      </c>
      <c r="AP365" s="4">
        <v>0.9</v>
      </c>
      <c r="AQ365" s="4">
        <v>0.5</v>
      </c>
      <c r="AR365" s="4">
        <v>0.6</v>
      </c>
      <c r="AS365" s="4">
        <v>0.3</v>
      </c>
      <c r="AT365" s="6">
        <v>953.05639599999995</v>
      </c>
      <c r="AU365" s="4">
        <v>1.7999999999999999E-2</v>
      </c>
      <c r="AW365" s="4" t="s">
        <v>203</v>
      </c>
      <c r="AX365" s="4">
        <v>0.9</v>
      </c>
      <c r="AY365" s="4">
        <v>0.5</v>
      </c>
      <c r="AZ365" s="4">
        <v>0.6</v>
      </c>
      <c r="BA365" s="4">
        <v>0.3</v>
      </c>
      <c r="BB365" s="4">
        <v>963.53533900000002</v>
      </c>
      <c r="BC365" s="4">
        <v>7.0000000000000001E-3</v>
      </c>
      <c r="BD365" s="5"/>
      <c r="BE365" s="5"/>
      <c r="BF365" s="5"/>
      <c r="BG365" s="5"/>
      <c r="BI365" s="4" t="s">
        <v>203</v>
      </c>
      <c r="BJ365" s="4">
        <v>0.9</v>
      </c>
      <c r="BK365" s="4">
        <v>0.5</v>
      </c>
      <c r="BL365" s="4">
        <v>0.6</v>
      </c>
      <c r="BM365" s="4">
        <v>0.3</v>
      </c>
      <c r="BN365" s="6">
        <v>913.91119400000002</v>
      </c>
      <c r="BO365" s="4">
        <v>8.0000000000000002E-3</v>
      </c>
      <c r="BQ365" s="4" t="s">
        <v>203</v>
      </c>
      <c r="BR365" s="4">
        <v>0.9</v>
      </c>
      <c r="BS365" s="4">
        <v>0.5</v>
      </c>
      <c r="BT365" s="4">
        <v>0.6</v>
      </c>
      <c r="BU365" s="4">
        <v>0.31</v>
      </c>
      <c r="BV365" s="4">
        <v>927.36645499999997</v>
      </c>
      <c r="BW365" s="4">
        <v>8.9999999999999993E-3</v>
      </c>
      <c r="BX365" s="5"/>
      <c r="BY365" s="5"/>
      <c r="BZ365" s="5"/>
      <c r="CA365" s="5"/>
    </row>
    <row r="366" spans="1:79" x14ac:dyDescent="0.3">
      <c r="A366" s="4" t="s">
        <v>204</v>
      </c>
      <c r="B366" s="4">
        <v>0.9</v>
      </c>
      <c r="C366" s="4">
        <v>0.5</v>
      </c>
      <c r="D366" s="4">
        <v>0.6</v>
      </c>
      <c r="E366" s="4">
        <v>0.3</v>
      </c>
      <c r="F366" s="6">
        <v>631.30499299999997</v>
      </c>
      <c r="G366" s="4">
        <v>1E-3</v>
      </c>
      <c r="I366" s="4" t="s">
        <v>204</v>
      </c>
      <c r="J366" s="4">
        <v>0.9</v>
      </c>
      <c r="K366" s="4">
        <v>0.5</v>
      </c>
      <c r="L366" s="4">
        <v>0.6</v>
      </c>
      <c r="M366" s="4">
        <v>0.35</v>
      </c>
      <c r="N366" s="4">
        <v>652.68609600000002</v>
      </c>
      <c r="O366" s="4">
        <v>3.0000000000000001E-3</v>
      </c>
      <c r="P366" s="5"/>
      <c r="Q366" s="5"/>
      <c r="R366" s="5"/>
      <c r="S366" s="5"/>
      <c r="U366" s="4" t="s">
        <v>204</v>
      </c>
      <c r="V366" s="4">
        <v>0.9</v>
      </c>
      <c r="W366" s="4">
        <v>0.5</v>
      </c>
      <c r="X366" s="4">
        <v>0.6</v>
      </c>
      <c r="Y366" s="4">
        <v>0.3</v>
      </c>
      <c r="Z366" s="6">
        <v>609.98449700000003</v>
      </c>
      <c r="AA366" s="4">
        <v>4.0000000000000001E-3</v>
      </c>
      <c r="AC366" s="4" t="s">
        <v>204</v>
      </c>
      <c r="AD366" s="4">
        <v>0.9</v>
      </c>
      <c r="AE366" s="4">
        <v>0.5</v>
      </c>
      <c r="AF366" s="4">
        <v>0.6</v>
      </c>
      <c r="AG366" s="4">
        <v>0.31</v>
      </c>
      <c r="AH366" s="4">
        <v>635.78875700000003</v>
      </c>
      <c r="AI366" s="4">
        <v>4.0000000000000001E-3</v>
      </c>
      <c r="AJ366" s="5"/>
      <c r="AK366" s="5"/>
      <c r="AL366" s="5"/>
      <c r="AM366" s="5"/>
      <c r="AO366" s="4" t="s">
        <v>205</v>
      </c>
      <c r="AP366" s="4">
        <v>0.9</v>
      </c>
      <c r="AQ366" s="4">
        <v>0.5</v>
      </c>
      <c r="AR366" s="4">
        <v>0.6</v>
      </c>
      <c r="AS366" s="4">
        <v>0.3</v>
      </c>
      <c r="AT366" s="6">
        <v>974.09295699999996</v>
      </c>
      <c r="AU366" s="4">
        <v>8.0000000000000002E-3</v>
      </c>
      <c r="AW366" s="4" t="s">
        <v>205</v>
      </c>
      <c r="AX366" s="4">
        <v>0.9</v>
      </c>
      <c r="AY366" s="4">
        <v>0.5</v>
      </c>
      <c r="AZ366" s="4">
        <v>0.6</v>
      </c>
      <c r="BA366" s="4">
        <v>0.3</v>
      </c>
      <c r="BB366" s="4">
        <v>996.11206100000004</v>
      </c>
      <c r="BC366" s="4">
        <v>7.0000000000000001E-3</v>
      </c>
      <c r="BD366" s="5"/>
      <c r="BE366" s="5"/>
      <c r="BF366" s="5"/>
      <c r="BG366" s="5"/>
      <c r="BI366" s="4" t="s">
        <v>205</v>
      </c>
      <c r="BJ366" s="4">
        <v>0.9</v>
      </c>
      <c r="BK366" s="4">
        <v>0.5</v>
      </c>
      <c r="BL366" s="4">
        <v>0.6</v>
      </c>
      <c r="BM366" s="4">
        <v>0.3</v>
      </c>
      <c r="BN366" s="6">
        <v>942.10369900000001</v>
      </c>
      <c r="BO366" s="4">
        <v>0.01</v>
      </c>
      <c r="BQ366" s="4" t="s">
        <v>205</v>
      </c>
      <c r="BR366" s="4">
        <v>0.9</v>
      </c>
      <c r="BS366" s="4">
        <v>0.5</v>
      </c>
      <c r="BT366" s="4">
        <v>0.6</v>
      </c>
      <c r="BU366" s="4">
        <v>0.31</v>
      </c>
      <c r="BV366" s="4">
        <v>969.45989999999995</v>
      </c>
      <c r="BW366" s="4">
        <v>0.01</v>
      </c>
      <c r="BX366" s="5"/>
      <c r="BY366" s="5"/>
      <c r="BZ366" s="5"/>
      <c r="CA366" s="5"/>
    </row>
    <row r="367" spans="1:79" x14ac:dyDescent="0.3">
      <c r="A367" s="4" t="s">
        <v>206</v>
      </c>
      <c r="B367" s="4">
        <v>0.9</v>
      </c>
      <c r="C367" s="4">
        <v>0.5</v>
      </c>
      <c r="D367" s="4">
        <v>0.6</v>
      </c>
      <c r="E367" s="4">
        <v>0.3</v>
      </c>
      <c r="F367" s="4">
        <v>654.57299799999998</v>
      </c>
      <c r="G367" s="4">
        <v>3.0000000000000001E-3</v>
      </c>
      <c r="I367" s="4" t="s">
        <v>206</v>
      </c>
      <c r="J367" s="4">
        <v>0.9</v>
      </c>
      <c r="K367" s="4">
        <v>0.5</v>
      </c>
      <c r="L367" s="4">
        <v>0.6</v>
      </c>
      <c r="M367" s="4">
        <v>0.3</v>
      </c>
      <c r="N367" s="6">
        <v>647.00329599999998</v>
      </c>
      <c r="O367" s="4">
        <v>2E-3</v>
      </c>
      <c r="P367" s="5"/>
      <c r="Q367" s="5"/>
      <c r="R367" s="5"/>
      <c r="S367" s="5"/>
      <c r="U367" s="4" t="s">
        <v>206</v>
      </c>
      <c r="V367" s="4">
        <v>0.9</v>
      </c>
      <c r="W367" s="4">
        <v>0.5</v>
      </c>
      <c r="X367" s="4">
        <v>0.6</v>
      </c>
      <c r="Y367" s="4">
        <v>0.3</v>
      </c>
      <c r="Z367" s="6">
        <v>626.39178500000003</v>
      </c>
      <c r="AA367" s="4">
        <v>3.0000000000000001E-3</v>
      </c>
      <c r="AC367" s="4" t="s">
        <v>206</v>
      </c>
      <c r="AD367" s="4">
        <v>0.9</v>
      </c>
      <c r="AE367" s="4">
        <v>0.5</v>
      </c>
      <c r="AF367" s="4">
        <v>0.6</v>
      </c>
      <c r="AG367" s="4">
        <v>0.32</v>
      </c>
      <c r="AH367" s="4">
        <v>645.405396</v>
      </c>
      <c r="AI367" s="4">
        <v>5.0000000000000001E-3</v>
      </c>
      <c r="AJ367" s="5"/>
      <c r="AK367" s="5"/>
      <c r="AL367" s="5"/>
      <c r="AM367" s="5"/>
      <c r="AO367" s="4" t="s">
        <v>207</v>
      </c>
      <c r="AP367" s="4">
        <v>0.9</v>
      </c>
      <c r="AQ367" s="4">
        <v>0.5</v>
      </c>
      <c r="AR367" s="4">
        <v>0.6</v>
      </c>
      <c r="AS367" s="4">
        <v>0.3</v>
      </c>
      <c r="AT367" s="6">
        <v>873.34606900000006</v>
      </c>
      <c r="AU367" s="4">
        <v>6.0000000000000001E-3</v>
      </c>
      <c r="AW367" s="4" t="s">
        <v>207</v>
      </c>
      <c r="AX367" s="4">
        <v>0.9</v>
      </c>
      <c r="AY367" s="4">
        <v>0.5</v>
      </c>
      <c r="AZ367" s="4">
        <v>0.6</v>
      </c>
      <c r="BA367" s="4">
        <v>0.31</v>
      </c>
      <c r="BB367" s="4">
        <v>887.34478799999999</v>
      </c>
      <c r="BC367" s="4">
        <v>6.0000000000000001E-3</v>
      </c>
      <c r="BD367" s="5"/>
      <c r="BE367" s="5"/>
      <c r="BF367" s="5"/>
      <c r="BG367" s="5"/>
      <c r="BI367" s="4" t="s">
        <v>207</v>
      </c>
      <c r="BJ367" s="4">
        <v>0.9</v>
      </c>
      <c r="BK367" s="4">
        <v>0.5</v>
      </c>
      <c r="BL367" s="4">
        <v>0.6</v>
      </c>
      <c r="BM367" s="4">
        <v>0.3</v>
      </c>
      <c r="BN367" s="4">
        <v>849.70019500000001</v>
      </c>
      <c r="BO367" s="4">
        <v>8.0000000000000002E-3</v>
      </c>
      <c r="BQ367" s="4" t="s">
        <v>207</v>
      </c>
      <c r="BR367" s="4">
        <v>0.9</v>
      </c>
      <c r="BS367" s="4">
        <v>0.5</v>
      </c>
      <c r="BT367" s="4">
        <v>0.6</v>
      </c>
      <c r="BU367" s="4">
        <v>0.3</v>
      </c>
      <c r="BV367" s="6">
        <v>848.43988000000002</v>
      </c>
      <c r="BW367" s="4">
        <v>8.9999999999999993E-3</v>
      </c>
      <c r="BX367" s="5"/>
      <c r="BY367" s="5"/>
      <c r="BZ367" s="5"/>
      <c r="CA367" s="5"/>
    </row>
    <row r="368" spans="1:79" x14ac:dyDescent="0.3">
      <c r="A368" s="4" t="s">
        <v>208</v>
      </c>
      <c r="B368" s="4">
        <v>0.9</v>
      </c>
      <c r="C368" s="4">
        <v>0.5</v>
      </c>
      <c r="D368" s="4">
        <v>0.6</v>
      </c>
      <c r="E368" s="4">
        <v>0.3</v>
      </c>
      <c r="F368" s="6">
        <v>604.713257</v>
      </c>
      <c r="G368" s="4">
        <v>2E-3</v>
      </c>
      <c r="I368" s="4" t="s">
        <v>208</v>
      </c>
      <c r="J368" s="4">
        <v>0.9</v>
      </c>
      <c r="K368" s="4">
        <v>0.5</v>
      </c>
      <c r="L368" s="4">
        <v>0.6</v>
      </c>
      <c r="M368" s="4">
        <v>0.35</v>
      </c>
      <c r="N368" s="4">
        <v>624.28356900000006</v>
      </c>
      <c r="O368" s="4">
        <v>3.0000000000000001E-3</v>
      </c>
      <c r="P368" s="5"/>
      <c r="Q368" s="5"/>
      <c r="R368" s="5"/>
      <c r="S368" s="5"/>
      <c r="U368" s="4" t="s">
        <v>208</v>
      </c>
      <c r="V368" s="4">
        <v>0.9</v>
      </c>
      <c r="W368" s="4">
        <v>0.5</v>
      </c>
      <c r="X368" s="4">
        <v>0.6</v>
      </c>
      <c r="Y368" s="4">
        <v>0.3</v>
      </c>
      <c r="Z368" s="6">
        <v>590.78656000000001</v>
      </c>
      <c r="AA368" s="4">
        <v>2E-3</v>
      </c>
      <c r="AC368" s="4" t="s">
        <v>208</v>
      </c>
      <c r="AD368" s="4">
        <v>0.9</v>
      </c>
      <c r="AE368" s="4">
        <v>0.5</v>
      </c>
      <c r="AF368" s="4">
        <v>0.6</v>
      </c>
      <c r="AG368" s="4">
        <v>0.32</v>
      </c>
      <c r="AH368" s="4">
        <v>600.977844</v>
      </c>
      <c r="AI368" s="4">
        <v>5.0000000000000001E-3</v>
      </c>
      <c r="AJ368" s="5"/>
      <c r="AK368" s="5"/>
      <c r="AL368" s="5"/>
      <c r="AM368" s="5"/>
      <c r="AO368" s="4" t="s">
        <v>209</v>
      </c>
      <c r="AP368" s="4">
        <v>0.9</v>
      </c>
      <c r="AQ368" s="4">
        <v>0.5</v>
      </c>
      <c r="AR368" s="4">
        <v>0.6</v>
      </c>
      <c r="AS368" s="4">
        <v>0.3</v>
      </c>
      <c r="AT368" s="6">
        <v>872.98541299999999</v>
      </c>
      <c r="AU368" s="4">
        <v>7.0000000000000001E-3</v>
      </c>
      <c r="AW368" s="4" t="s">
        <v>209</v>
      </c>
      <c r="AX368" s="4">
        <v>0.9</v>
      </c>
      <c r="AY368" s="4">
        <v>0.5</v>
      </c>
      <c r="AZ368" s="4">
        <v>0.6</v>
      </c>
      <c r="BA368" s="4">
        <v>0.3</v>
      </c>
      <c r="BB368" s="4">
        <v>906.162781</v>
      </c>
      <c r="BC368" s="4">
        <v>6.0000000000000001E-3</v>
      </c>
      <c r="BD368" s="5"/>
      <c r="BE368" s="5"/>
      <c r="BF368" s="5"/>
      <c r="BG368" s="5"/>
      <c r="BI368" s="4" t="s">
        <v>209</v>
      </c>
      <c r="BJ368" s="4">
        <v>0.9</v>
      </c>
      <c r="BK368" s="4">
        <v>0.5</v>
      </c>
      <c r="BL368" s="4">
        <v>0.6</v>
      </c>
      <c r="BM368" s="4">
        <v>0.3</v>
      </c>
      <c r="BN368" s="6">
        <v>863.71014400000001</v>
      </c>
      <c r="BO368" s="4">
        <v>8.9999999999999993E-3</v>
      </c>
      <c r="BQ368" s="4" t="s">
        <v>209</v>
      </c>
      <c r="BR368" s="4">
        <v>0.9</v>
      </c>
      <c r="BS368" s="4">
        <v>0.5</v>
      </c>
      <c r="BT368" s="4">
        <v>0.6</v>
      </c>
      <c r="BU368" s="4">
        <v>0.3</v>
      </c>
      <c r="BV368" s="4">
        <v>875.13458300000002</v>
      </c>
      <c r="BW368" s="4">
        <v>8.9999999999999993E-3</v>
      </c>
      <c r="BX368" s="5"/>
      <c r="BY368" s="5"/>
      <c r="BZ368" s="5"/>
      <c r="CA368" s="5"/>
    </row>
    <row r="369" spans="1:79" x14ac:dyDescent="0.3">
      <c r="A369" s="4" t="s">
        <v>210</v>
      </c>
      <c r="B369" s="4">
        <v>0.9</v>
      </c>
      <c r="C369" s="4">
        <v>0.5</v>
      </c>
      <c r="D369" s="4">
        <v>0.6</v>
      </c>
      <c r="E369" s="4">
        <v>0.3</v>
      </c>
      <c r="F369" s="6">
        <v>617.13720699999999</v>
      </c>
      <c r="G369" s="4">
        <v>1E-3</v>
      </c>
      <c r="I369" s="4" t="s">
        <v>210</v>
      </c>
      <c r="J369" s="4">
        <v>0.9</v>
      </c>
      <c r="K369" s="4">
        <v>0.5</v>
      </c>
      <c r="L369" s="4">
        <v>0.6</v>
      </c>
      <c r="M369" s="4">
        <v>0.31</v>
      </c>
      <c r="N369" s="4">
        <v>621.45141599999999</v>
      </c>
      <c r="O369" s="4">
        <v>2E-3</v>
      </c>
      <c r="P369" s="5"/>
      <c r="Q369" s="5"/>
      <c r="R369" s="5"/>
      <c r="S369" s="5"/>
      <c r="U369" s="4" t="s">
        <v>210</v>
      </c>
      <c r="V369" s="4">
        <v>0.9</v>
      </c>
      <c r="W369" s="4">
        <v>0.5</v>
      </c>
      <c r="X369" s="4">
        <v>0.6</v>
      </c>
      <c r="Y369" s="4">
        <v>0.3</v>
      </c>
      <c r="Z369" s="6">
        <v>591.90429700000004</v>
      </c>
      <c r="AA369" s="4">
        <v>4.0000000000000001E-3</v>
      </c>
      <c r="AC369" s="4" t="s">
        <v>210</v>
      </c>
      <c r="AD369" s="4">
        <v>0.9</v>
      </c>
      <c r="AE369" s="4">
        <v>0.5</v>
      </c>
      <c r="AF369" s="4">
        <v>0.6</v>
      </c>
      <c r="AG369" s="4">
        <v>0.32</v>
      </c>
      <c r="AH369" s="4">
        <v>600.06915300000003</v>
      </c>
      <c r="AI369" s="4">
        <v>3.0000000000000001E-3</v>
      </c>
      <c r="AJ369" s="5"/>
      <c r="AK369" s="5"/>
      <c r="AL369" s="5"/>
      <c r="AM369" s="5"/>
      <c r="AO369" s="4" t="s">
        <v>211</v>
      </c>
      <c r="AP369" s="4">
        <v>0.9</v>
      </c>
      <c r="AQ369" s="4">
        <v>0.5</v>
      </c>
      <c r="AR369" s="4">
        <v>0.6</v>
      </c>
      <c r="AS369" s="4">
        <v>0.3</v>
      </c>
      <c r="AT369" s="6">
        <v>907.98956299999998</v>
      </c>
      <c r="AU369" s="4">
        <v>8.9999999999999993E-3</v>
      </c>
      <c r="AW369" s="4" t="s">
        <v>211</v>
      </c>
      <c r="AX369" s="4">
        <v>0.9</v>
      </c>
      <c r="AY369" s="4">
        <v>0.5</v>
      </c>
      <c r="AZ369" s="4">
        <v>0.6</v>
      </c>
      <c r="BA369" s="4">
        <v>0.37</v>
      </c>
      <c r="BB369" s="4">
        <v>951.12597700000003</v>
      </c>
      <c r="BC369" s="4">
        <v>7.0000000000000001E-3</v>
      </c>
      <c r="BD369" s="5"/>
      <c r="BE369" s="5"/>
      <c r="BF369" s="5"/>
      <c r="BG369" s="5"/>
      <c r="BI369" s="4" t="s">
        <v>211</v>
      </c>
      <c r="BJ369" s="4">
        <v>0.9</v>
      </c>
      <c r="BK369" s="4">
        <v>0.5</v>
      </c>
      <c r="BL369" s="4">
        <v>0.6</v>
      </c>
      <c r="BM369" s="4">
        <v>0.3</v>
      </c>
      <c r="BN369" s="8">
        <v>889.89453100000003</v>
      </c>
      <c r="BO369" s="4">
        <v>8.9999999999999993E-3</v>
      </c>
      <c r="BQ369" s="4" t="s">
        <v>211</v>
      </c>
      <c r="BR369" s="4">
        <v>0.9</v>
      </c>
      <c r="BS369" s="4">
        <v>0.5</v>
      </c>
      <c r="BT369" s="4">
        <v>0.6</v>
      </c>
      <c r="BU369" s="4">
        <v>0.31</v>
      </c>
      <c r="BV369" s="6">
        <v>899.43267800000001</v>
      </c>
      <c r="BW369" s="4">
        <v>7.0000000000000001E-3</v>
      </c>
      <c r="BX369" s="5"/>
      <c r="BY369" s="5"/>
      <c r="BZ369" s="5"/>
      <c r="CA369" s="5"/>
    </row>
    <row r="370" spans="1:79" x14ac:dyDescent="0.3">
      <c r="A370" s="4" t="s">
        <v>212</v>
      </c>
      <c r="B370" s="4">
        <v>0.9</v>
      </c>
      <c r="C370" s="4">
        <v>0.5</v>
      </c>
      <c r="D370" s="4">
        <v>0.6</v>
      </c>
      <c r="E370" s="4">
        <v>0.3</v>
      </c>
      <c r="F370" s="6">
        <v>622.45550500000002</v>
      </c>
      <c r="G370" s="4">
        <v>2E-3</v>
      </c>
      <c r="I370" s="4" t="s">
        <v>212</v>
      </c>
      <c r="J370" s="4">
        <v>0.9</v>
      </c>
      <c r="K370" s="4">
        <v>0.5</v>
      </c>
      <c r="L370" s="4">
        <v>0.6</v>
      </c>
      <c r="M370" s="4">
        <v>0.3</v>
      </c>
      <c r="N370" s="4">
        <v>651.43231200000002</v>
      </c>
      <c r="O370" s="4">
        <v>2E-3</v>
      </c>
      <c r="P370" s="5"/>
      <c r="Q370" s="5"/>
      <c r="R370" s="5"/>
      <c r="S370" s="5"/>
      <c r="U370" s="4" t="s">
        <v>212</v>
      </c>
      <c r="V370" s="4">
        <v>0.9</v>
      </c>
      <c r="W370" s="4">
        <v>0.5</v>
      </c>
      <c r="X370" s="4">
        <v>0.6</v>
      </c>
      <c r="Y370" s="4">
        <v>0.3</v>
      </c>
      <c r="Z370" s="6">
        <v>610.40472399999999</v>
      </c>
      <c r="AA370" s="4">
        <v>2E-3</v>
      </c>
      <c r="AC370" s="4" t="s">
        <v>212</v>
      </c>
      <c r="AD370" s="4">
        <v>0.9</v>
      </c>
      <c r="AE370" s="4">
        <v>0.5</v>
      </c>
      <c r="AF370" s="4">
        <v>0.6</v>
      </c>
      <c r="AG370" s="4">
        <v>0.3</v>
      </c>
      <c r="AH370" s="4">
        <v>632.67285200000003</v>
      </c>
      <c r="AI370" s="4">
        <v>3.0000000000000001E-3</v>
      </c>
      <c r="AJ370" s="5"/>
      <c r="AK370" s="5"/>
      <c r="AL370" s="5"/>
      <c r="AM370" s="5"/>
      <c r="AO370" s="4" t="s">
        <v>213</v>
      </c>
      <c r="AP370" s="4">
        <v>0.9</v>
      </c>
      <c r="AQ370" s="4">
        <v>0.5</v>
      </c>
      <c r="AR370" s="4">
        <v>0.6</v>
      </c>
      <c r="AS370" s="4">
        <v>0.3</v>
      </c>
      <c r="AT370" s="6">
        <v>945.67816200000004</v>
      </c>
      <c r="AU370" s="4">
        <v>8.0000000000000002E-3</v>
      </c>
      <c r="AW370" s="4" t="s">
        <v>213</v>
      </c>
      <c r="AX370" s="4">
        <v>0.9</v>
      </c>
      <c r="AY370" s="4">
        <v>0.5</v>
      </c>
      <c r="AZ370" s="4">
        <v>0.6</v>
      </c>
      <c r="BA370" s="4">
        <v>0.33</v>
      </c>
      <c r="BB370" s="4">
        <v>965.68725600000005</v>
      </c>
      <c r="BC370" s="4">
        <v>8.0000000000000002E-3</v>
      </c>
      <c r="BD370" s="5"/>
      <c r="BE370" s="5"/>
      <c r="BF370" s="5"/>
      <c r="BG370" s="5"/>
      <c r="BI370" s="4" t="s">
        <v>213</v>
      </c>
      <c r="BJ370" s="4">
        <v>0.9</v>
      </c>
      <c r="BK370" s="4">
        <v>0.5</v>
      </c>
      <c r="BL370" s="4">
        <v>0.6</v>
      </c>
      <c r="BM370" s="4">
        <v>0.3</v>
      </c>
      <c r="BN370" s="6">
        <v>925.47296100000005</v>
      </c>
      <c r="BO370" s="4">
        <v>0.01</v>
      </c>
      <c r="BQ370" s="4" t="s">
        <v>213</v>
      </c>
      <c r="BR370" s="4">
        <v>0.9</v>
      </c>
      <c r="BS370" s="4">
        <v>0.5</v>
      </c>
      <c r="BT370" s="4">
        <v>0.6</v>
      </c>
      <c r="BU370" s="4">
        <v>0.38</v>
      </c>
      <c r="BV370" s="4">
        <v>954.80334500000004</v>
      </c>
      <c r="BW370" s="4">
        <v>1.0999999999999999E-2</v>
      </c>
      <c r="BX370" s="5"/>
      <c r="BY370" s="5"/>
      <c r="BZ370" s="5"/>
      <c r="CA370" s="5"/>
    </row>
    <row r="371" spans="1:79" x14ac:dyDescent="0.3">
      <c r="A371" s="4" t="s">
        <v>214</v>
      </c>
      <c r="B371" s="4">
        <v>0.9</v>
      </c>
      <c r="C371" s="4">
        <v>0.5</v>
      </c>
      <c r="D371" s="4">
        <v>0.6</v>
      </c>
      <c r="E371" s="4">
        <v>0.3</v>
      </c>
      <c r="F371" s="6">
        <v>646.69726600000001</v>
      </c>
      <c r="G371" s="4">
        <v>2E-3</v>
      </c>
      <c r="I371" s="4" t="s">
        <v>214</v>
      </c>
      <c r="J371" s="4">
        <v>0.9</v>
      </c>
      <c r="K371" s="4">
        <v>0.5</v>
      </c>
      <c r="L371" s="4">
        <v>0.6</v>
      </c>
      <c r="M371" s="4">
        <v>0.34</v>
      </c>
      <c r="N371" s="4">
        <v>669.87884499999996</v>
      </c>
      <c r="O371" s="4">
        <v>3.0000000000000001E-3</v>
      </c>
      <c r="P371" s="5"/>
      <c r="Q371" s="5"/>
      <c r="R371" s="5"/>
      <c r="S371" s="5"/>
      <c r="U371" s="4" t="s">
        <v>214</v>
      </c>
      <c r="V371" s="4">
        <v>0.9</v>
      </c>
      <c r="W371" s="4">
        <v>0.5</v>
      </c>
      <c r="X371" s="4">
        <v>0.6</v>
      </c>
      <c r="Y371" s="4">
        <v>0.3</v>
      </c>
      <c r="Z371" s="6">
        <v>606.00457800000004</v>
      </c>
      <c r="AA371" s="4">
        <v>3.0000000000000001E-3</v>
      </c>
      <c r="AC371" s="4" t="s">
        <v>214</v>
      </c>
      <c r="AD371" s="4">
        <v>0.9</v>
      </c>
      <c r="AE371" s="4">
        <v>0.5</v>
      </c>
      <c r="AF371" s="4">
        <v>0.6</v>
      </c>
      <c r="AG371" s="4">
        <v>0.3</v>
      </c>
      <c r="AH371" s="4">
        <v>658.79565400000001</v>
      </c>
      <c r="AI371" s="4">
        <v>4.0000000000000001E-3</v>
      </c>
      <c r="AJ371" s="5"/>
      <c r="AK371" s="5"/>
      <c r="AL371" s="5"/>
      <c r="AM371" s="5"/>
      <c r="AO371" s="4" t="s">
        <v>215</v>
      </c>
      <c r="AP371" s="4">
        <v>0.9</v>
      </c>
      <c r="AQ371" s="4">
        <v>0.5</v>
      </c>
      <c r="AR371" s="4">
        <v>0.6</v>
      </c>
      <c r="AS371" s="4">
        <v>0.3</v>
      </c>
      <c r="AT371" s="6">
        <v>1019.388977</v>
      </c>
      <c r="AU371" s="4">
        <v>1.0999999999999999E-2</v>
      </c>
      <c r="AW371" s="4" t="s">
        <v>215</v>
      </c>
      <c r="AX371" s="4">
        <v>0.9</v>
      </c>
      <c r="AY371" s="4">
        <v>0.5</v>
      </c>
      <c r="AZ371" s="4">
        <v>0.6</v>
      </c>
      <c r="BA371" s="4">
        <v>0.31</v>
      </c>
      <c r="BB371" s="4">
        <v>1026.4251710000001</v>
      </c>
      <c r="BC371" s="4">
        <v>8.9999999999999993E-3</v>
      </c>
      <c r="BD371" s="5"/>
      <c r="BE371" s="5"/>
      <c r="BF371" s="5"/>
      <c r="BG371" s="5"/>
      <c r="BI371" s="4" t="s">
        <v>215</v>
      </c>
      <c r="BJ371" s="4">
        <v>0.9</v>
      </c>
      <c r="BK371" s="4">
        <v>0.5</v>
      </c>
      <c r="BL371" s="4">
        <v>0.6</v>
      </c>
      <c r="BM371" s="4">
        <v>0.3</v>
      </c>
      <c r="BN371" s="6">
        <v>997.26342799999998</v>
      </c>
      <c r="BO371" s="4">
        <v>1.2E-2</v>
      </c>
      <c r="BQ371" s="4" t="s">
        <v>215</v>
      </c>
      <c r="BR371" s="4">
        <v>0.9</v>
      </c>
      <c r="BS371" s="4">
        <v>0.5</v>
      </c>
      <c r="BT371" s="4">
        <v>0.6</v>
      </c>
      <c r="BU371" s="4">
        <v>0.3</v>
      </c>
      <c r="BV371" s="4">
        <v>1024.5610349999999</v>
      </c>
      <c r="BW371" s="4">
        <v>0.01</v>
      </c>
      <c r="BX371" s="5"/>
      <c r="BY371" s="5"/>
      <c r="BZ371" s="5"/>
      <c r="CA371" s="5"/>
    </row>
    <row r="372" spans="1:79" x14ac:dyDescent="0.3">
      <c r="A372" s="4" t="s">
        <v>216</v>
      </c>
      <c r="B372" s="4">
        <v>0.9</v>
      </c>
      <c r="C372" s="4">
        <v>0.5</v>
      </c>
      <c r="D372" s="4">
        <v>0.6</v>
      </c>
      <c r="E372" s="4">
        <v>0.3</v>
      </c>
      <c r="F372" s="6">
        <v>604.108521</v>
      </c>
      <c r="G372" s="4">
        <v>2E-3</v>
      </c>
      <c r="I372" s="4" t="s">
        <v>216</v>
      </c>
      <c r="J372" s="4">
        <v>0.9</v>
      </c>
      <c r="K372" s="4">
        <v>0.5</v>
      </c>
      <c r="L372" s="4">
        <v>0.6</v>
      </c>
      <c r="M372" s="4">
        <v>0.35</v>
      </c>
      <c r="N372" s="4">
        <v>613.63720699999999</v>
      </c>
      <c r="O372" s="4">
        <v>2E-3</v>
      </c>
      <c r="P372" s="5"/>
      <c r="Q372" s="5"/>
      <c r="R372" s="5"/>
      <c r="S372" s="5"/>
      <c r="U372" s="4" t="s">
        <v>216</v>
      </c>
      <c r="V372" s="4">
        <v>0.9</v>
      </c>
      <c r="W372" s="4">
        <v>0.5</v>
      </c>
      <c r="X372" s="4">
        <v>0.6</v>
      </c>
      <c r="Y372" s="4">
        <v>0.3</v>
      </c>
      <c r="Z372" s="6">
        <v>589.09912099999997</v>
      </c>
      <c r="AA372" s="4">
        <v>3.0000000000000001E-3</v>
      </c>
      <c r="AC372" s="4" t="s">
        <v>216</v>
      </c>
      <c r="AD372" s="4">
        <v>0.9</v>
      </c>
      <c r="AE372" s="4">
        <v>0.5</v>
      </c>
      <c r="AF372" s="4">
        <v>0.6</v>
      </c>
      <c r="AG372" s="4">
        <v>0.31</v>
      </c>
      <c r="AH372" s="4">
        <v>600.74566700000003</v>
      </c>
      <c r="AI372" s="4">
        <v>3.0000000000000001E-3</v>
      </c>
      <c r="AJ372" s="5"/>
      <c r="AK372" s="5"/>
      <c r="AL372" s="5"/>
      <c r="AM372" s="5"/>
      <c r="AO372" s="4" t="s">
        <v>217</v>
      </c>
      <c r="AP372" s="4">
        <v>0.9</v>
      </c>
      <c r="AQ372" s="4">
        <v>0.5</v>
      </c>
      <c r="AR372" s="4">
        <v>0.6</v>
      </c>
      <c r="AS372" s="4">
        <v>0.3</v>
      </c>
      <c r="AT372" s="6">
        <v>1055.928467</v>
      </c>
      <c r="AU372" s="4">
        <v>0.01</v>
      </c>
      <c r="AW372" s="4" t="s">
        <v>217</v>
      </c>
      <c r="AX372" s="4">
        <v>0.9</v>
      </c>
      <c r="AY372" s="4">
        <v>0.5</v>
      </c>
      <c r="AZ372" s="4">
        <v>0.6</v>
      </c>
      <c r="BA372" s="4">
        <v>0.39</v>
      </c>
      <c r="BB372" s="4">
        <v>1061.6099850000001</v>
      </c>
      <c r="BC372" s="4">
        <v>8.0000000000000002E-3</v>
      </c>
      <c r="BD372" s="5"/>
      <c r="BE372" s="5"/>
      <c r="BF372" s="5"/>
      <c r="BG372" s="5"/>
      <c r="BI372" s="4" t="s">
        <v>217</v>
      </c>
      <c r="BJ372" s="4">
        <v>0.9</v>
      </c>
      <c r="BK372" s="4">
        <v>0.5</v>
      </c>
      <c r="BL372" s="4">
        <v>0.6</v>
      </c>
      <c r="BM372" s="4">
        <v>0.3</v>
      </c>
      <c r="BN372" s="6">
        <v>1030.3835449999999</v>
      </c>
      <c r="BO372" s="4">
        <v>1.7000000000000001E-2</v>
      </c>
      <c r="BQ372" s="4" t="s">
        <v>217</v>
      </c>
      <c r="BR372" s="4">
        <v>0.9</v>
      </c>
      <c r="BS372" s="4">
        <v>0.5</v>
      </c>
      <c r="BT372" s="4">
        <v>0.6</v>
      </c>
      <c r="BU372" s="4">
        <v>0.31</v>
      </c>
      <c r="BV372" s="4">
        <v>1080.7100829999999</v>
      </c>
      <c r="BW372" s="4">
        <v>1.0999999999999999E-2</v>
      </c>
      <c r="BX372" s="5"/>
      <c r="BY372" s="5"/>
      <c r="BZ372" s="5"/>
      <c r="CA372" s="5"/>
    </row>
    <row r="373" spans="1:79" x14ac:dyDescent="0.3">
      <c r="A373" s="4" t="s">
        <v>218</v>
      </c>
      <c r="B373" s="4">
        <v>0.9</v>
      </c>
      <c r="C373" s="4">
        <v>0.5</v>
      </c>
      <c r="D373" s="4">
        <v>0.6</v>
      </c>
      <c r="E373" s="4">
        <v>0.3</v>
      </c>
      <c r="F373" s="6">
        <v>665.62249799999995</v>
      </c>
      <c r="G373" s="4">
        <v>3.0000000000000001E-3</v>
      </c>
      <c r="I373" s="4" t="s">
        <v>218</v>
      </c>
      <c r="J373" s="4">
        <v>0.9</v>
      </c>
      <c r="K373" s="4">
        <v>0.5</v>
      </c>
      <c r="L373" s="4">
        <v>0.6</v>
      </c>
      <c r="M373" s="4">
        <v>0.32</v>
      </c>
      <c r="N373" s="4">
        <v>679.96179199999995</v>
      </c>
      <c r="O373" s="4">
        <v>2E-3</v>
      </c>
      <c r="P373" s="5"/>
      <c r="Q373" s="5"/>
      <c r="R373" s="5"/>
      <c r="S373" s="5"/>
      <c r="U373" s="4" t="s">
        <v>218</v>
      </c>
      <c r="V373" s="4">
        <v>0.9</v>
      </c>
      <c r="W373" s="4">
        <v>0.5</v>
      </c>
      <c r="X373" s="4">
        <v>0.6</v>
      </c>
      <c r="Y373" s="4">
        <v>0.3</v>
      </c>
      <c r="Z373" s="6">
        <v>655.576233</v>
      </c>
      <c r="AA373" s="4">
        <v>2E-3</v>
      </c>
      <c r="AC373" s="4" t="s">
        <v>218</v>
      </c>
      <c r="AD373" s="4">
        <v>0.9</v>
      </c>
      <c r="AE373" s="4">
        <v>0.5</v>
      </c>
      <c r="AF373" s="4">
        <v>0.6</v>
      </c>
      <c r="AG373" s="4">
        <v>0.3</v>
      </c>
      <c r="AH373" s="4">
        <v>674.63806199999999</v>
      </c>
      <c r="AI373" s="4">
        <v>3.0000000000000001E-3</v>
      </c>
      <c r="AJ373" s="5"/>
      <c r="AK373" s="5"/>
      <c r="AL373" s="5"/>
      <c r="AM373" s="5"/>
      <c r="AO373" s="4" t="s">
        <v>219</v>
      </c>
      <c r="AP373" s="4">
        <v>0.9</v>
      </c>
      <c r="AQ373" s="4">
        <v>0.5</v>
      </c>
      <c r="AR373" s="4">
        <v>0.6</v>
      </c>
      <c r="AS373" s="4">
        <v>0.3</v>
      </c>
      <c r="AT373" s="6">
        <v>1048.2973629999999</v>
      </c>
      <c r="AU373" s="4">
        <v>8.9999999999999993E-3</v>
      </c>
      <c r="AW373" s="4" t="s">
        <v>219</v>
      </c>
      <c r="AX373" s="4">
        <v>0.9</v>
      </c>
      <c r="AY373" s="4">
        <v>0.5</v>
      </c>
      <c r="AZ373" s="4">
        <v>0.6</v>
      </c>
      <c r="BA373" s="4">
        <v>0.3</v>
      </c>
      <c r="BB373" s="4">
        <v>1075.7102050000001</v>
      </c>
      <c r="BC373" s="4">
        <v>7.0000000000000001E-3</v>
      </c>
      <c r="BD373" s="5"/>
      <c r="BE373" s="5"/>
      <c r="BF373" s="5"/>
      <c r="BG373" s="5"/>
      <c r="BI373" s="4" t="s">
        <v>219</v>
      </c>
      <c r="BJ373" s="4">
        <v>0.9</v>
      </c>
      <c r="BK373" s="4">
        <v>0.5</v>
      </c>
      <c r="BL373" s="4">
        <v>0.6</v>
      </c>
      <c r="BM373" s="4">
        <v>0.3</v>
      </c>
      <c r="BN373" s="6">
        <v>1044.0557859999999</v>
      </c>
      <c r="BO373" s="4">
        <v>1.2999999999999999E-2</v>
      </c>
      <c r="BQ373" s="4" t="s">
        <v>219</v>
      </c>
      <c r="BR373" s="4">
        <v>0.9</v>
      </c>
      <c r="BS373" s="4">
        <v>0.5</v>
      </c>
      <c r="BT373" s="4">
        <v>0.6</v>
      </c>
      <c r="BU373" s="4">
        <v>0.3</v>
      </c>
      <c r="BV373" s="4">
        <v>1065.677856</v>
      </c>
      <c r="BW373" s="4">
        <v>8.9999999999999993E-3</v>
      </c>
      <c r="BX373" s="5"/>
      <c r="BY373" s="5"/>
      <c r="BZ373" s="5"/>
      <c r="CA373" s="5"/>
    </row>
    <row r="374" spans="1:79" x14ac:dyDescent="0.3">
      <c r="A374" s="4" t="s">
        <v>220</v>
      </c>
      <c r="B374" s="4">
        <v>0.9</v>
      </c>
      <c r="C374" s="4">
        <v>0.5</v>
      </c>
      <c r="D374" s="4">
        <v>0.6</v>
      </c>
      <c r="E374" s="4">
        <v>0.3</v>
      </c>
      <c r="F374" s="6">
        <v>685.40863000000002</v>
      </c>
      <c r="G374" s="4">
        <v>3.0000000000000001E-3</v>
      </c>
      <c r="I374" s="4" t="s">
        <v>220</v>
      </c>
      <c r="J374" s="4">
        <v>0.9</v>
      </c>
      <c r="K374" s="4">
        <v>0.5</v>
      </c>
      <c r="L374" s="4">
        <v>0.6</v>
      </c>
      <c r="M374" s="4">
        <v>0.3</v>
      </c>
      <c r="N374" s="4">
        <v>700.70465100000001</v>
      </c>
      <c r="O374" s="4">
        <v>2E-3</v>
      </c>
      <c r="P374" s="5"/>
      <c r="Q374" s="5"/>
      <c r="R374" s="5"/>
      <c r="S374" s="5"/>
      <c r="U374" s="4" t="s">
        <v>220</v>
      </c>
      <c r="V374" s="4">
        <v>0.9</v>
      </c>
      <c r="W374" s="4">
        <v>0.5</v>
      </c>
      <c r="X374" s="4">
        <v>0.6</v>
      </c>
      <c r="Y374" s="4">
        <v>0.3</v>
      </c>
      <c r="Z374" s="6">
        <v>667.96423300000004</v>
      </c>
      <c r="AA374" s="4">
        <v>4.0000000000000001E-3</v>
      </c>
      <c r="AC374" s="4" t="s">
        <v>220</v>
      </c>
      <c r="AD374" s="4">
        <v>0.9</v>
      </c>
      <c r="AE374" s="4">
        <v>0.5</v>
      </c>
      <c r="AF374" s="4">
        <v>0.6</v>
      </c>
      <c r="AG374" s="4">
        <v>0.33</v>
      </c>
      <c r="AH374" s="4">
        <v>678.69158900000002</v>
      </c>
      <c r="AI374" s="4">
        <v>3.0000000000000001E-3</v>
      </c>
      <c r="AJ374" s="5"/>
      <c r="AK374" s="5"/>
      <c r="AL374" s="5"/>
      <c r="AM374" s="5"/>
      <c r="AO374" s="4" t="s">
        <v>221</v>
      </c>
      <c r="AP374" s="4">
        <v>0.9</v>
      </c>
      <c r="AQ374" s="4">
        <v>0.5</v>
      </c>
      <c r="AR374" s="4">
        <v>0.6</v>
      </c>
      <c r="AS374" s="4">
        <v>0.3</v>
      </c>
      <c r="AT374" s="6">
        <v>994.970642</v>
      </c>
      <c r="AU374" s="4">
        <v>8.9999999999999993E-3</v>
      </c>
      <c r="AW374" s="4" t="s">
        <v>221</v>
      </c>
      <c r="AX374" s="4">
        <v>0.9</v>
      </c>
      <c r="AY374" s="4">
        <v>0.5</v>
      </c>
      <c r="AZ374" s="4">
        <v>0.6</v>
      </c>
      <c r="BA374" s="4">
        <v>0.32</v>
      </c>
      <c r="BB374" s="4">
        <v>1014.898132</v>
      </c>
      <c r="BC374" s="4">
        <v>8.0000000000000002E-3</v>
      </c>
      <c r="BD374" s="5"/>
      <c r="BE374" s="5"/>
      <c r="BF374" s="5"/>
      <c r="BG374" s="5"/>
      <c r="BI374" s="4" t="s">
        <v>221</v>
      </c>
      <c r="BJ374" s="4">
        <v>0.9</v>
      </c>
      <c r="BK374" s="4">
        <v>0.5</v>
      </c>
      <c r="BL374" s="4">
        <v>0.6</v>
      </c>
      <c r="BM374" s="4">
        <v>0.3</v>
      </c>
      <c r="BN374" s="6">
        <v>974.99578899999995</v>
      </c>
      <c r="BO374" s="4">
        <v>1.0999999999999999E-2</v>
      </c>
      <c r="BQ374" s="4" t="s">
        <v>221</v>
      </c>
      <c r="BR374" s="4">
        <v>0.9</v>
      </c>
      <c r="BS374" s="4">
        <v>0.5</v>
      </c>
      <c r="BT374" s="4">
        <v>0.6</v>
      </c>
      <c r="BU374" s="4">
        <v>0.34</v>
      </c>
      <c r="BV374" s="4">
        <v>1009.826904</v>
      </c>
      <c r="BW374" s="4">
        <v>8.0000000000000002E-3</v>
      </c>
      <c r="BX374" s="5"/>
      <c r="BY374" s="5"/>
      <c r="BZ374" s="5"/>
      <c r="CA374" s="5"/>
    </row>
    <row r="375" spans="1:79" x14ac:dyDescent="0.3">
      <c r="A375" s="4" t="s">
        <v>222</v>
      </c>
      <c r="B375" s="4">
        <v>0.9</v>
      </c>
      <c r="C375" s="4">
        <v>0.5</v>
      </c>
      <c r="D375" s="4">
        <v>0.6</v>
      </c>
      <c r="E375" s="4">
        <v>0.3</v>
      </c>
      <c r="F375" s="6">
        <v>687.29913299999998</v>
      </c>
      <c r="G375" s="4">
        <v>3.0000000000000001E-3</v>
      </c>
      <c r="I375" s="4" t="s">
        <v>222</v>
      </c>
      <c r="J375" s="4">
        <v>0.9</v>
      </c>
      <c r="K375" s="4">
        <v>0.5</v>
      </c>
      <c r="L375" s="4">
        <v>0.6</v>
      </c>
      <c r="M375" s="4">
        <v>0.3</v>
      </c>
      <c r="N375" s="4">
        <v>716.95733600000005</v>
      </c>
      <c r="O375" s="4">
        <v>3.0000000000000001E-3</v>
      </c>
      <c r="P375" s="5"/>
      <c r="Q375" s="5"/>
      <c r="R375" s="5"/>
      <c r="S375" s="5"/>
      <c r="U375" s="4" t="s">
        <v>222</v>
      </c>
      <c r="V375" s="4">
        <v>0.9</v>
      </c>
      <c r="W375" s="4">
        <v>0.5</v>
      </c>
      <c r="X375" s="4">
        <v>0.6</v>
      </c>
      <c r="Y375" s="4">
        <v>0.3</v>
      </c>
      <c r="Z375" s="4">
        <v>685.38366699999995</v>
      </c>
      <c r="AA375" s="4">
        <v>5.0000000000000001E-3</v>
      </c>
      <c r="AC375" s="4" t="s">
        <v>222</v>
      </c>
      <c r="AD375" s="4">
        <v>0.9</v>
      </c>
      <c r="AE375" s="4">
        <v>0.5</v>
      </c>
      <c r="AF375" s="4">
        <v>0.6</v>
      </c>
      <c r="AG375" s="4">
        <v>0.31</v>
      </c>
      <c r="AH375" s="4">
        <v>679.23596199999997</v>
      </c>
      <c r="AI375" s="4">
        <v>3.0000000000000001E-3</v>
      </c>
      <c r="AJ375" s="5"/>
      <c r="AK375" s="5"/>
      <c r="AL375" s="5"/>
      <c r="AM375" s="5"/>
      <c r="AO375" s="4" t="s">
        <v>223</v>
      </c>
      <c r="AP375" s="4">
        <v>0.9</v>
      </c>
      <c r="AQ375" s="4">
        <v>0.5</v>
      </c>
      <c r="AR375" s="4">
        <v>0.6</v>
      </c>
      <c r="AS375" s="4">
        <v>0.3</v>
      </c>
      <c r="AT375" s="6">
        <v>1091.0042719999999</v>
      </c>
      <c r="AU375" s="4">
        <v>1.2999999999999999E-2</v>
      </c>
      <c r="AW375" s="4" t="s">
        <v>223</v>
      </c>
      <c r="AX375" s="4">
        <v>0.9</v>
      </c>
      <c r="AY375" s="4">
        <v>0.5</v>
      </c>
      <c r="AZ375" s="4">
        <v>0.6</v>
      </c>
      <c r="BA375" s="4">
        <v>0.35</v>
      </c>
      <c r="BB375" s="4">
        <v>1107.7854</v>
      </c>
      <c r="BC375" s="4">
        <v>1.0999999999999999E-2</v>
      </c>
      <c r="BD375" s="5"/>
      <c r="BE375" s="5"/>
      <c r="BF375" s="5"/>
      <c r="BG375" s="5"/>
      <c r="BI375" s="4" t="s">
        <v>223</v>
      </c>
      <c r="BJ375" s="4">
        <v>0.9</v>
      </c>
      <c r="BK375" s="4">
        <v>0.5</v>
      </c>
      <c r="BL375" s="4">
        <v>0.6</v>
      </c>
      <c r="BM375" s="4">
        <v>0.3</v>
      </c>
      <c r="BN375" s="6">
        <v>1078.3093260000001</v>
      </c>
      <c r="BO375" s="4">
        <v>2.5999999999999999E-2</v>
      </c>
      <c r="BQ375" s="4" t="s">
        <v>223</v>
      </c>
      <c r="BR375" s="4">
        <v>0.9</v>
      </c>
      <c r="BS375" s="4">
        <v>0.5</v>
      </c>
      <c r="BT375" s="4">
        <v>0.6</v>
      </c>
      <c r="BU375" s="4">
        <v>0.33</v>
      </c>
      <c r="BV375" s="4">
        <v>1089.7863769999999</v>
      </c>
      <c r="BW375" s="4">
        <v>8.0000000000000002E-3</v>
      </c>
      <c r="BX375" s="5"/>
      <c r="BY375" s="5"/>
      <c r="BZ375" s="5"/>
      <c r="CA375" s="5"/>
    </row>
    <row r="376" spans="1:79" x14ac:dyDescent="0.3">
      <c r="A376" s="4" t="s">
        <v>224</v>
      </c>
      <c r="B376" s="4">
        <v>0.9</v>
      </c>
      <c r="C376" s="4">
        <v>0.5</v>
      </c>
      <c r="D376" s="4">
        <v>0.6</v>
      </c>
      <c r="E376" s="4">
        <v>0.3</v>
      </c>
      <c r="F376" s="6">
        <v>728.85180700000001</v>
      </c>
      <c r="G376" s="4">
        <v>3.0000000000000001E-3</v>
      </c>
      <c r="I376" s="4" t="s">
        <v>224</v>
      </c>
      <c r="J376" s="4">
        <v>0.9</v>
      </c>
      <c r="K376" s="4">
        <v>0.5</v>
      </c>
      <c r="L376" s="4">
        <v>0.6</v>
      </c>
      <c r="M376" s="4">
        <v>0.31</v>
      </c>
      <c r="N376" s="4">
        <v>751.009094</v>
      </c>
      <c r="O376" s="4">
        <v>4.0000000000000001E-3</v>
      </c>
      <c r="P376" s="5"/>
      <c r="Q376" s="5"/>
      <c r="R376" s="5"/>
      <c r="S376" s="5"/>
      <c r="U376" s="4" t="s">
        <v>224</v>
      </c>
      <c r="V376" s="4">
        <v>0.9</v>
      </c>
      <c r="W376" s="4">
        <v>0.5</v>
      </c>
      <c r="X376" s="4">
        <v>0.6</v>
      </c>
      <c r="Y376" s="4">
        <v>0.3</v>
      </c>
      <c r="Z376" s="6">
        <v>736.25665300000003</v>
      </c>
      <c r="AA376" s="4">
        <v>5.0000000000000001E-3</v>
      </c>
      <c r="AC376" s="4" t="s">
        <v>224</v>
      </c>
      <c r="AD376" s="4">
        <v>0.9</v>
      </c>
      <c r="AE376" s="4">
        <v>0.5</v>
      </c>
      <c r="AF376" s="4">
        <v>0.6</v>
      </c>
      <c r="AG376" s="4">
        <v>0.42</v>
      </c>
      <c r="AH376" s="6">
        <v>760.05200200000002</v>
      </c>
      <c r="AI376" s="4">
        <v>2E-3</v>
      </c>
      <c r="AJ376" s="5"/>
      <c r="AK376" s="5"/>
      <c r="AL376" s="5"/>
      <c r="AM376" s="5"/>
      <c r="AO376" s="4" t="s">
        <v>225</v>
      </c>
      <c r="AP376" s="4">
        <v>0.9</v>
      </c>
      <c r="AQ376" s="4">
        <v>0.5</v>
      </c>
      <c r="AR376" s="4">
        <v>0.6</v>
      </c>
      <c r="AS376" s="4">
        <v>0.3</v>
      </c>
      <c r="AT376" s="6">
        <v>1011.3331910000001</v>
      </c>
      <c r="AU376" s="4">
        <v>1.0999999999999999E-2</v>
      </c>
      <c r="AW376" s="4" t="s">
        <v>225</v>
      </c>
      <c r="AX376" s="4">
        <v>0.9</v>
      </c>
      <c r="AY376" s="4">
        <v>0.5</v>
      </c>
      <c r="AZ376" s="4">
        <v>0.6</v>
      </c>
      <c r="BA376" s="4">
        <v>0.3</v>
      </c>
      <c r="BB376" s="4">
        <v>1035.462769</v>
      </c>
      <c r="BC376" s="4">
        <v>8.0000000000000002E-3</v>
      </c>
      <c r="BD376" s="5"/>
      <c r="BE376" s="5"/>
      <c r="BF376" s="5"/>
      <c r="BG376" s="5"/>
      <c r="BI376" s="4" t="s">
        <v>225</v>
      </c>
      <c r="BJ376" s="4">
        <v>0.9</v>
      </c>
      <c r="BK376" s="4">
        <v>0.5</v>
      </c>
      <c r="BL376" s="4">
        <v>0.6</v>
      </c>
      <c r="BM376" s="4">
        <v>0.3</v>
      </c>
      <c r="BN376" s="6">
        <v>981.44872999999995</v>
      </c>
      <c r="BO376" s="4">
        <v>1.0999999999999999E-2</v>
      </c>
      <c r="BQ376" s="4" t="s">
        <v>225</v>
      </c>
      <c r="BR376" s="4">
        <v>0.9</v>
      </c>
      <c r="BS376" s="4">
        <v>0.5</v>
      </c>
      <c r="BT376" s="4">
        <v>0.6</v>
      </c>
      <c r="BU376" s="4">
        <v>0.31</v>
      </c>
      <c r="BV376" s="4">
        <v>1026.2991939999999</v>
      </c>
      <c r="BW376" s="4">
        <v>7.0000000000000001E-3</v>
      </c>
      <c r="BX376" s="5"/>
      <c r="BY376" s="5"/>
      <c r="BZ376" s="5"/>
      <c r="CA376" s="5"/>
    </row>
    <row r="377" spans="1:79" x14ac:dyDescent="0.3">
      <c r="A377" s="4" t="s">
        <v>226</v>
      </c>
      <c r="B377" s="4">
        <v>0.9</v>
      </c>
      <c r="C377" s="4">
        <v>0.5</v>
      </c>
      <c r="D377" s="4">
        <v>0.6</v>
      </c>
      <c r="E377" s="4">
        <v>0.3</v>
      </c>
      <c r="F377" s="6">
        <v>744.40441899999996</v>
      </c>
      <c r="G377" s="4">
        <v>3.0000000000000001E-3</v>
      </c>
      <c r="I377" s="4" t="s">
        <v>226</v>
      </c>
      <c r="J377" s="4">
        <v>0.9</v>
      </c>
      <c r="K377" s="4">
        <v>0.5</v>
      </c>
      <c r="L377" s="4">
        <v>0.6</v>
      </c>
      <c r="M377" s="4">
        <v>0.3</v>
      </c>
      <c r="N377" s="4">
        <v>757.87609899999995</v>
      </c>
      <c r="O377" s="4">
        <v>2E-3</v>
      </c>
      <c r="P377" s="5"/>
      <c r="Q377" s="5"/>
      <c r="R377" s="5"/>
      <c r="S377" s="5"/>
      <c r="U377" s="4" t="s">
        <v>226</v>
      </c>
      <c r="V377" s="4">
        <v>0.9</v>
      </c>
      <c r="W377" s="4">
        <v>0.5</v>
      </c>
      <c r="X377" s="4">
        <v>0.6</v>
      </c>
      <c r="Y377" s="4">
        <v>0.3</v>
      </c>
      <c r="Z377" s="4">
        <v>714.59729000000004</v>
      </c>
      <c r="AA377" s="4">
        <v>3.0000000000000001E-3</v>
      </c>
      <c r="AC377" s="4" t="s">
        <v>226</v>
      </c>
      <c r="AD377" s="4">
        <v>0.9</v>
      </c>
      <c r="AE377" s="4">
        <v>0.5</v>
      </c>
      <c r="AF377" s="4">
        <v>0.6</v>
      </c>
      <c r="AG377" s="4">
        <v>0.31</v>
      </c>
      <c r="AH377" s="6">
        <v>713.23663299999998</v>
      </c>
      <c r="AI377" s="4">
        <v>4.0000000000000001E-3</v>
      </c>
      <c r="AJ377" s="5"/>
      <c r="AK377" s="5"/>
      <c r="AL377" s="5"/>
      <c r="AM377" s="5"/>
      <c r="AO377" s="4" t="s">
        <v>227</v>
      </c>
      <c r="AP377" s="4">
        <v>0.9</v>
      </c>
      <c r="AQ377" s="4">
        <v>0.5</v>
      </c>
      <c r="AR377" s="4">
        <v>0.6</v>
      </c>
      <c r="AS377" s="4">
        <v>0.3</v>
      </c>
      <c r="AT377" s="6">
        <v>974.12176499999998</v>
      </c>
      <c r="AU377" s="4">
        <v>8.9999999999999993E-3</v>
      </c>
      <c r="AW377" s="4" t="s">
        <v>227</v>
      </c>
      <c r="AX377" s="4">
        <v>0.9</v>
      </c>
      <c r="AY377" s="4">
        <v>0.5</v>
      </c>
      <c r="AZ377" s="4">
        <v>0.6</v>
      </c>
      <c r="BA377" s="4">
        <v>0.31</v>
      </c>
      <c r="BB377" s="4">
        <v>1009.368713</v>
      </c>
      <c r="BC377" s="4">
        <v>8.0000000000000002E-3</v>
      </c>
      <c r="BD377" s="5"/>
      <c r="BE377" s="5"/>
      <c r="BF377" s="5"/>
      <c r="BG377" s="5"/>
      <c r="BI377" s="4" t="s">
        <v>227</v>
      </c>
      <c r="BJ377" s="4">
        <v>0.9</v>
      </c>
      <c r="BK377" s="4">
        <v>0.5</v>
      </c>
      <c r="BL377" s="4">
        <v>0.6</v>
      </c>
      <c r="BM377" s="4">
        <v>0.3</v>
      </c>
      <c r="BN377" s="6">
        <v>964.27978499999995</v>
      </c>
      <c r="BO377" s="4">
        <v>2.1999999999999999E-2</v>
      </c>
      <c r="BQ377" s="4" t="s">
        <v>227</v>
      </c>
      <c r="BR377" s="4">
        <v>0.9</v>
      </c>
      <c r="BS377" s="4">
        <v>0.5</v>
      </c>
      <c r="BT377" s="4">
        <v>0.6</v>
      </c>
      <c r="BU377" s="4">
        <v>0.3</v>
      </c>
      <c r="BV377" s="4">
        <v>989.33727999999996</v>
      </c>
      <c r="BW377" s="4">
        <v>8.9999999999999993E-3</v>
      </c>
      <c r="BX377" s="5"/>
      <c r="BY377" s="5"/>
      <c r="BZ377" s="5"/>
      <c r="CA377" s="5"/>
    </row>
    <row r="378" spans="1:79" x14ac:dyDescent="0.3">
      <c r="A378" s="4" t="s">
        <v>228</v>
      </c>
      <c r="B378" s="4">
        <v>0.9</v>
      </c>
      <c r="C378" s="4">
        <v>0.5</v>
      </c>
      <c r="D378" s="4">
        <v>0.6</v>
      </c>
      <c r="E378" s="4">
        <v>0.3</v>
      </c>
      <c r="F378" s="6">
        <v>642.85540800000001</v>
      </c>
      <c r="G378" s="4">
        <v>3.0000000000000001E-3</v>
      </c>
      <c r="I378" s="4" t="s">
        <v>228</v>
      </c>
      <c r="J378" s="4">
        <v>0.9</v>
      </c>
      <c r="K378" s="4">
        <v>0.5</v>
      </c>
      <c r="L378" s="4">
        <v>0.6</v>
      </c>
      <c r="M378" s="4">
        <v>0.3</v>
      </c>
      <c r="N378" s="4">
        <v>660.86737100000005</v>
      </c>
      <c r="O378" s="4">
        <v>2E-3</v>
      </c>
      <c r="P378" s="5"/>
      <c r="Q378" s="5"/>
      <c r="R378" s="5"/>
      <c r="S378" s="5"/>
      <c r="U378" s="4" t="s">
        <v>228</v>
      </c>
      <c r="V378" s="4">
        <v>0.9</v>
      </c>
      <c r="W378" s="4">
        <v>0.5</v>
      </c>
      <c r="X378" s="4">
        <v>0.6</v>
      </c>
      <c r="Y378" s="4">
        <v>0.3</v>
      </c>
      <c r="Z378" s="4">
        <v>626.67498799999998</v>
      </c>
      <c r="AA378" s="4">
        <v>3.0000000000000001E-3</v>
      </c>
      <c r="AC378" s="4" t="s">
        <v>228</v>
      </c>
      <c r="AD378" s="4">
        <v>0.9</v>
      </c>
      <c r="AE378" s="4">
        <v>0.5</v>
      </c>
      <c r="AF378" s="4">
        <v>0.6</v>
      </c>
      <c r="AG378" s="4">
        <v>0.3</v>
      </c>
      <c r="AH378" s="6">
        <v>625.32153300000004</v>
      </c>
      <c r="AI378" s="4">
        <v>3.0000000000000001E-3</v>
      </c>
      <c r="AJ378" s="5"/>
      <c r="AK378" s="5"/>
      <c r="AL378" s="5"/>
      <c r="AM378" s="5"/>
      <c r="AO378" s="4" t="s">
        <v>229</v>
      </c>
      <c r="AP378" s="4">
        <v>0.9</v>
      </c>
      <c r="AQ378" s="4">
        <v>0.5</v>
      </c>
      <c r="AR378" s="4">
        <v>0.6</v>
      </c>
      <c r="AS378" s="4">
        <v>0.3</v>
      </c>
      <c r="AT378" s="4">
        <v>1094.27063</v>
      </c>
      <c r="AU378" s="4">
        <v>1.0999999999999999E-2</v>
      </c>
      <c r="AW378" s="4" t="s">
        <v>229</v>
      </c>
      <c r="AX378" s="4">
        <v>0.9</v>
      </c>
      <c r="AY378" s="4">
        <v>0.5</v>
      </c>
      <c r="AZ378" s="4">
        <v>0.6</v>
      </c>
      <c r="BA378" s="4">
        <v>0.31</v>
      </c>
      <c r="BB378" s="6">
        <v>1053.958374</v>
      </c>
      <c r="BC378" s="4">
        <v>0.01</v>
      </c>
      <c r="BD378" s="5"/>
      <c r="BE378" s="5"/>
      <c r="BF378" s="5"/>
      <c r="BG378" s="5"/>
      <c r="BI378" s="4" t="s">
        <v>229</v>
      </c>
      <c r="BJ378" s="4">
        <v>0.9</v>
      </c>
      <c r="BK378" s="4">
        <v>0.5</v>
      </c>
      <c r="BL378" s="4">
        <v>0.6</v>
      </c>
      <c r="BM378" s="4">
        <v>0.3</v>
      </c>
      <c r="BN378" s="6">
        <v>1051.4392089999999</v>
      </c>
      <c r="BO378" s="4">
        <v>8.0000000000000002E-3</v>
      </c>
      <c r="BQ378" s="4" t="s">
        <v>229</v>
      </c>
      <c r="BR378" s="4">
        <v>0.9</v>
      </c>
      <c r="BS378" s="4">
        <v>0.5</v>
      </c>
      <c r="BT378" s="4">
        <v>0.6</v>
      </c>
      <c r="BU378" s="4">
        <v>0.33</v>
      </c>
      <c r="BV378" s="4">
        <v>1034.858643</v>
      </c>
      <c r="BW378" s="4">
        <v>0.01</v>
      </c>
      <c r="BX378" s="5"/>
      <c r="BY378" s="5"/>
      <c r="BZ378" s="5"/>
      <c r="CA378" s="5"/>
    </row>
    <row r="379" spans="1:79" x14ac:dyDescent="0.3">
      <c r="A379" s="4" t="s">
        <v>230</v>
      </c>
      <c r="B379" s="4">
        <v>0.9</v>
      </c>
      <c r="C379" s="4">
        <v>0.5</v>
      </c>
      <c r="D379" s="4">
        <v>0.6</v>
      </c>
      <c r="E379" s="4">
        <v>0.3</v>
      </c>
      <c r="F379" s="6">
        <v>719.83123799999998</v>
      </c>
      <c r="G379" s="4">
        <v>2E-3</v>
      </c>
      <c r="I379" s="4" t="s">
        <v>230</v>
      </c>
      <c r="J379" s="4">
        <v>0.9</v>
      </c>
      <c r="K379" s="4">
        <v>0.5</v>
      </c>
      <c r="L379" s="4">
        <v>0.6</v>
      </c>
      <c r="M379" s="4">
        <v>0.31</v>
      </c>
      <c r="N379" s="4">
        <v>755.42260699999997</v>
      </c>
      <c r="O379" s="4">
        <v>3.0000000000000001E-3</v>
      </c>
      <c r="P379" s="5"/>
      <c r="Q379" s="5"/>
      <c r="R379" s="5"/>
      <c r="S379" s="5"/>
      <c r="U379" s="4" t="s">
        <v>230</v>
      </c>
      <c r="V379" s="4">
        <v>0.9</v>
      </c>
      <c r="W379" s="4">
        <v>0.5</v>
      </c>
      <c r="X379" s="4">
        <v>0.6</v>
      </c>
      <c r="Y379" s="4">
        <v>0.3</v>
      </c>
      <c r="Z379" s="6">
        <v>724.73187299999995</v>
      </c>
      <c r="AA379" s="4">
        <v>4.0000000000000001E-3</v>
      </c>
      <c r="AC379" s="4" t="s">
        <v>230</v>
      </c>
      <c r="AD379" s="4">
        <v>0.9</v>
      </c>
      <c r="AE379" s="4">
        <v>0.5</v>
      </c>
      <c r="AF379" s="4">
        <v>0.6</v>
      </c>
      <c r="AG379" s="4">
        <v>0.37</v>
      </c>
      <c r="AH379" s="4">
        <v>751.71075399999995</v>
      </c>
      <c r="AI379" s="4">
        <v>3.0000000000000001E-3</v>
      </c>
      <c r="AJ379" s="5"/>
      <c r="AK379" s="5"/>
      <c r="AL379" s="5"/>
      <c r="AM379" s="5"/>
      <c r="AO379" s="4" t="s">
        <v>231</v>
      </c>
      <c r="AP379" s="4">
        <v>0.9</v>
      </c>
      <c r="AQ379" s="4">
        <v>0.5</v>
      </c>
      <c r="AR379" s="4">
        <v>0.6</v>
      </c>
      <c r="AS379" s="4">
        <v>0.3</v>
      </c>
      <c r="AT379" s="6">
        <v>968.31634499999996</v>
      </c>
      <c r="AU379" s="4">
        <v>8.0000000000000002E-3</v>
      </c>
      <c r="AW379" s="4" t="s">
        <v>231</v>
      </c>
      <c r="AX379" s="4">
        <v>0.9</v>
      </c>
      <c r="AY379" s="4">
        <v>0.5</v>
      </c>
      <c r="AZ379" s="4">
        <v>0.6</v>
      </c>
      <c r="BA379" s="4">
        <v>0.3</v>
      </c>
      <c r="BB379" s="4">
        <v>995.66693099999998</v>
      </c>
      <c r="BC379" s="4">
        <v>7.0000000000000001E-3</v>
      </c>
      <c r="BD379" s="5"/>
      <c r="BE379" s="5"/>
      <c r="BF379" s="5"/>
      <c r="BG379" s="5"/>
      <c r="BI379" s="4" t="s">
        <v>231</v>
      </c>
      <c r="BJ379" s="4">
        <v>0.9</v>
      </c>
      <c r="BK379" s="4">
        <v>0.5</v>
      </c>
      <c r="BL379" s="4">
        <v>0.6</v>
      </c>
      <c r="BM379" s="4">
        <v>0.3</v>
      </c>
      <c r="BN379" s="6">
        <v>946.57067900000004</v>
      </c>
      <c r="BO379" s="4">
        <v>8.0000000000000002E-3</v>
      </c>
      <c r="BQ379" s="4" t="s">
        <v>231</v>
      </c>
      <c r="BR379" s="4">
        <v>0.9</v>
      </c>
      <c r="BS379" s="4">
        <v>0.5</v>
      </c>
      <c r="BT379" s="4">
        <v>0.6</v>
      </c>
      <c r="BU379" s="4">
        <v>0.3</v>
      </c>
      <c r="BV379" s="4">
        <v>996.79992700000003</v>
      </c>
      <c r="BW379" s="4">
        <v>0.01</v>
      </c>
      <c r="BX379" s="5"/>
      <c r="BY379" s="5"/>
      <c r="BZ379" s="5"/>
      <c r="CA379" s="5"/>
    </row>
    <row r="380" spans="1:79" x14ac:dyDescent="0.3">
      <c r="A380" s="4" t="s">
        <v>232</v>
      </c>
      <c r="B380" s="4">
        <v>0.9</v>
      </c>
      <c r="C380" s="4">
        <v>0.5</v>
      </c>
      <c r="D380" s="4">
        <v>0.6</v>
      </c>
      <c r="E380" s="4">
        <v>0.3</v>
      </c>
      <c r="F380" s="6">
        <v>779.52960199999995</v>
      </c>
      <c r="G380" s="4">
        <v>3.0000000000000001E-3</v>
      </c>
      <c r="I380" s="4" t="s">
        <v>232</v>
      </c>
      <c r="J380" s="4">
        <v>0.9</v>
      </c>
      <c r="K380" s="4">
        <v>0.5</v>
      </c>
      <c r="L380" s="4">
        <v>0.6</v>
      </c>
      <c r="M380" s="4">
        <v>0.34</v>
      </c>
      <c r="N380" s="4">
        <v>834.81066899999996</v>
      </c>
      <c r="O380" s="4">
        <v>2E-3</v>
      </c>
      <c r="P380" s="5"/>
      <c r="Q380" s="5"/>
      <c r="R380" s="5"/>
      <c r="S380" s="5"/>
      <c r="U380" s="4" t="s">
        <v>232</v>
      </c>
      <c r="V380" s="4">
        <v>0.9</v>
      </c>
      <c r="W380" s="4">
        <v>0.5</v>
      </c>
      <c r="X380" s="4">
        <v>0.6</v>
      </c>
      <c r="Y380" s="4">
        <v>0.3</v>
      </c>
      <c r="Z380" s="6">
        <v>765.20343000000003</v>
      </c>
      <c r="AA380" s="4">
        <v>3.0000000000000001E-3</v>
      </c>
      <c r="AC380" s="4" t="s">
        <v>232</v>
      </c>
      <c r="AD380" s="4">
        <v>0.9</v>
      </c>
      <c r="AE380" s="4">
        <v>0.5</v>
      </c>
      <c r="AF380" s="4">
        <v>0.6</v>
      </c>
      <c r="AG380" s="4">
        <v>0.32</v>
      </c>
      <c r="AH380" s="4">
        <v>793.48400900000001</v>
      </c>
      <c r="AI380" s="4">
        <v>2E-3</v>
      </c>
      <c r="AJ380" s="5"/>
      <c r="AK380" s="5"/>
      <c r="AL380" s="5"/>
      <c r="AM380" s="5"/>
      <c r="AO380" s="4" t="s">
        <v>233</v>
      </c>
      <c r="AP380" s="4">
        <v>0.9</v>
      </c>
      <c r="AQ380" s="4">
        <v>0.5</v>
      </c>
      <c r="AR380" s="4">
        <v>0.6</v>
      </c>
      <c r="AS380" s="4">
        <v>0.3</v>
      </c>
      <c r="AT380" s="4">
        <v>1038.423096</v>
      </c>
      <c r="AU380" s="4">
        <v>1.2E-2</v>
      </c>
      <c r="AW380" s="4" t="s">
        <v>233</v>
      </c>
      <c r="AX380" s="4">
        <v>0.9</v>
      </c>
      <c r="AY380" s="4">
        <v>0.5</v>
      </c>
      <c r="AZ380" s="4">
        <v>0.6</v>
      </c>
      <c r="BA380" s="4">
        <v>0.33</v>
      </c>
      <c r="BB380" s="6">
        <v>1027.197144</v>
      </c>
      <c r="BC380" s="4">
        <v>1.0999999999999999E-2</v>
      </c>
      <c r="BD380" s="5"/>
      <c r="BE380" s="5"/>
      <c r="BF380" s="5"/>
      <c r="BG380" s="5"/>
      <c r="BI380" s="4" t="s">
        <v>233</v>
      </c>
      <c r="BJ380" s="4">
        <v>0.9</v>
      </c>
      <c r="BK380" s="4">
        <v>0.5</v>
      </c>
      <c r="BL380" s="4">
        <v>0.6</v>
      </c>
      <c r="BM380" s="4">
        <v>0.3</v>
      </c>
      <c r="BN380" s="6">
        <v>988.76812700000005</v>
      </c>
      <c r="BO380" s="4">
        <v>8.0000000000000002E-3</v>
      </c>
      <c r="BQ380" s="4" t="s">
        <v>233</v>
      </c>
      <c r="BR380" s="4">
        <v>0.9</v>
      </c>
      <c r="BS380" s="4">
        <v>0.5</v>
      </c>
      <c r="BT380" s="4">
        <v>0.6</v>
      </c>
      <c r="BU380" s="4">
        <v>0.36</v>
      </c>
      <c r="BV380" s="4">
        <v>1052.099365</v>
      </c>
      <c r="BW380" s="4">
        <v>1.6E-2</v>
      </c>
      <c r="BX380" s="5"/>
      <c r="BY380" s="5"/>
      <c r="BZ380" s="5"/>
      <c r="CA380" s="5"/>
    </row>
    <row r="381" spans="1:79" x14ac:dyDescent="0.3">
      <c r="A381" s="4" t="s">
        <v>234</v>
      </c>
      <c r="B381" s="4">
        <v>0.9</v>
      </c>
      <c r="C381" s="4">
        <v>0.5</v>
      </c>
      <c r="D381" s="4">
        <v>0.6</v>
      </c>
      <c r="E381" s="4">
        <v>0.3</v>
      </c>
      <c r="F381" s="6">
        <v>731.55694600000004</v>
      </c>
      <c r="G381" s="4">
        <v>3.0000000000000001E-3</v>
      </c>
      <c r="I381" s="4" t="s">
        <v>234</v>
      </c>
      <c r="J381" s="4">
        <v>0.9</v>
      </c>
      <c r="K381" s="4">
        <v>0.5</v>
      </c>
      <c r="L381" s="4">
        <v>0.6</v>
      </c>
      <c r="M381" s="4">
        <v>0.3</v>
      </c>
      <c r="N381" s="4">
        <v>745.58471699999996</v>
      </c>
      <c r="O381" s="4">
        <v>3.0000000000000001E-3</v>
      </c>
      <c r="P381" s="5"/>
      <c r="Q381" s="5"/>
      <c r="R381" s="5"/>
      <c r="S381" s="5"/>
      <c r="U381" s="4" t="s">
        <v>234</v>
      </c>
      <c r="V381" s="4">
        <v>0.9</v>
      </c>
      <c r="W381" s="4">
        <v>0.5</v>
      </c>
      <c r="X381" s="4">
        <v>0.6</v>
      </c>
      <c r="Y381" s="4">
        <v>0.3</v>
      </c>
      <c r="Z381" s="6">
        <v>726.13848900000005</v>
      </c>
      <c r="AA381" s="4">
        <v>3.0000000000000001E-3</v>
      </c>
      <c r="AC381" s="4" t="s">
        <v>234</v>
      </c>
      <c r="AD381" s="4">
        <v>0.9</v>
      </c>
      <c r="AE381" s="4">
        <v>0.5</v>
      </c>
      <c r="AF381" s="4">
        <v>0.6</v>
      </c>
      <c r="AG381" s="4">
        <v>0.33</v>
      </c>
      <c r="AH381" s="4">
        <v>741.73638900000003</v>
      </c>
      <c r="AI381" s="4">
        <v>3.0000000000000001E-3</v>
      </c>
      <c r="AJ381" s="5"/>
      <c r="AK381" s="5"/>
      <c r="AL381" s="5"/>
      <c r="AM381" s="5"/>
      <c r="AO381" s="4" t="s">
        <v>235</v>
      </c>
      <c r="AP381" s="4">
        <v>0.9</v>
      </c>
      <c r="AQ381" s="4">
        <v>0.5</v>
      </c>
      <c r="AR381" s="4">
        <v>0.6</v>
      </c>
      <c r="AS381" s="4">
        <v>0.3</v>
      </c>
      <c r="AT381" s="6">
        <v>1082.5665280000001</v>
      </c>
      <c r="AU381" s="4">
        <v>1.4E-2</v>
      </c>
      <c r="AW381" s="4" t="s">
        <v>235</v>
      </c>
      <c r="AX381" s="4">
        <v>0.9</v>
      </c>
      <c r="AY381" s="4">
        <v>0.5</v>
      </c>
      <c r="AZ381" s="4">
        <v>0.6</v>
      </c>
      <c r="BA381" s="4">
        <v>0.3</v>
      </c>
      <c r="BB381" s="4">
        <v>1101.2620850000001</v>
      </c>
      <c r="BC381" s="4">
        <v>1.2E-2</v>
      </c>
      <c r="BD381" s="5"/>
      <c r="BE381" s="5"/>
      <c r="BF381" s="5"/>
      <c r="BG381" s="5"/>
      <c r="BI381" s="4" t="s">
        <v>235</v>
      </c>
      <c r="BJ381" s="4">
        <v>0.9</v>
      </c>
      <c r="BK381" s="4">
        <v>0.5</v>
      </c>
      <c r="BL381" s="4">
        <v>0.6</v>
      </c>
      <c r="BM381" s="4">
        <v>0.3</v>
      </c>
      <c r="BN381" s="6">
        <v>1070.9417719999999</v>
      </c>
      <c r="BO381" s="4">
        <v>1.4E-2</v>
      </c>
      <c r="BQ381" s="4" t="s">
        <v>235</v>
      </c>
      <c r="BR381" s="4">
        <v>0.9</v>
      </c>
      <c r="BS381" s="4">
        <v>0.5</v>
      </c>
      <c r="BT381" s="4">
        <v>0.6</v>
      </c>
      <c r="BU381" s="4">
        <v>0.32</v>
      </c>
      <c r="BV381" s="4">
        <v>1092.3271480000001</v>
      </c>
      <c r="BW381" s="4">
        <v>0.01</v>
      </c>
      <c r="BX381" s="5"/>
      <c r="BY381" s="5"/>
      <c r="BZ381" s="5"/>
      <c r="CA381" s="5"/>
    </row>
    <row r="382" spans="1:79" x14ac:dyDescent="0.3">
      <c r="A382" s="4" t="s">
        <v>236</v>
      </c>
      <c r="B382" s="4">
        <v>0.9</v>
      </c>
      <c r="C382" s="4">
        <v>0.5</v>
      </c>
      <c r="D382" s="4">
        <v>0.6</v>
      </c>
      <c r="E382" s="4">
        <v>0.3</v>
      </c>
      <c r="F382" s="6">
        <v>753.32720900000004</v>
      </c>
      <c r="G382" s="4">
        <v>4.0000000000000001E-3</v>
      </c>
      <c r="I382" s="4" t="s">
        <v>236</v>
      </c>
      <c r="J382" s="4">
        <v>0.9</v>
      </c>
      <c r="K382" s="4">
        <v>0.5</v>
      </c>
      <c r="L382" s="4">
        <v>0.6</v>
      </c>
      <c r="M382" s="4">
        <v>0.32</v>
      </c>
      <c r="N382" s="4">
        <v>770.06750499999998</v>
      </c>
      <c r="O382" s="4">
        <v>3.0000000000000001E-3</v>
      </c>
      <c r="P382" s="5"/>
      <c r="Q382" s="5"/>
      <c r="R382" s="5"/>
      <c r="S382" s="5"/>
      <c r="U382" s="4" t="s">
        <v>236</v>
      </c>
      <c r="V382" s="4">
        <v>0.9</v>
      </c>
      <c r="W382" s="4">
        <v>0.5</v>
      </c>
      <c r="X382" s="4">
        <v>0.6</v>
      </c>
      <c r="Y382" s="4">
        <v>0.3</v>
      </c>
      <c r="Z382" s="6">
        <v>736.35382100000004</v>
      </c>
      <c r="AA382" s="4">
        <v>3.0000000000000001E-3</v>
      </c>
      <c r="AC382" s="4" t="s">
        <v>236</v>
      </c>
      <c r="AD382" s="4">
        <v>0.9</v>
      </c>
      <c r="AE382" s="4">
        <v>0.5</v>
      </c>
      <c r="AF382" s="4">
        <v>0.6</v>
      </c>
      <c r="AG382" s="4">
        <v>0.36</v>
      </c>
      <c r="AH382" s="4">
        <v>769.05053699999996</v>
      </c>
      <c r="AI382" s="4">
        <v>3.0000000000000001E-3</v>
      </c>
      <c r="AJ382" s="5"/>
      <c r="AK382" s="5"/>
      <c r="AL382" s="5"/>
      <c r="AM382" s="5"/>
      <c r="AO382" s="4" t="s">
        <v>237</v>
      </c>
      <c r="AP382" s="4">
        <v>0.9</v>
      </c>
      <c r="AQ382" s="4">
        <v>0.5</v>
      </c>
      <c r="AR382" s="4">
        <v>0.6</v>
      </c>
      <c r="AS382" s="4">
        <v>0.3</v>
      </c>
      <c r="AT382" s="6">
        <v>1092.003784</v>
      </c>
      <c r="AU382" s="4">
        <v>1.2E-2</v>
      </c>
      <c r="AW382" s="4" t="s">
        <v>237</v>
      </c>
      <c r="AX382" s="4">
        <v>0.9</v>
      </c>
      <c r="AY382" s="4">
        <v>0.5</v>
      </c>
      <c r="AZ382" s="4">
        <v>0.6</v>
      </c>
      <c r="BA382" s="4">
        <v>0.3</v>
      </c>
      <c r="BB382" s="4">
        <v>1121.518311</v>
      </c>
      <c r="BC382" s="4">
        <v>0.01</v>
      </c>
      <c r="BD382" s="5"/>
      <c r="BE382" s="5"/>
      <c r="BF382" s="5"/>
      <c r="BG382" s="5"/>
      <c r="BI382" s="4" t="s">
        <v>237</v>
      </c>
      <c r="BJ382" s="4">
        <v>0.9</v>
      </c>
      <c r="BK382" s="4">
        <v>0.5</v>
      </c>
      <c r="BL382" s="4">
        <v>0.6</v>
      </c>
      <c r="BM382" s="4">
        <v>0.3</v>
      </c>
      <c r="BN382" s="6">
        <v>1089.5878909999999</v>
      </c>
      <c r="BO382" s="4">
        <v>1.9E-2</v>
      </c>
      <c r="BQ382" s="4" t="s">
        <v>237</v>
      </c>
      <c r="BR382" s="4">
        <v>0.9</v>
      </c>
      <c r="BS382" s="4">
        <v>0.5</v>
      </c>
      <c r="BT382" s="4">
        <v>0.6</v>
      </c>
      <c r="BU382" s="4">
        <v>0.3</v>
      </c>
      <c r="BV382" s="4">
        <v>1102.1489260000001</v>
      </c>
      <c r="BW382" s="4">
        <v>0.01</v>
      </c>
      <c r="BX382" s="5"/>
      <c r="BY382" s="5"/>
      <c r="BZ382" s="5"/>
      <c r="CA382" s="5"/>
    </row>
    <row r="383" spans="1:79" x14ac:dyDescent="0.3">
      <c r="A383" s="4" t="s">
        <v>238</v>
      </c>
      <c r="B383" s="4">
        <v>0.9</v>
      </c>
      <c r="C383" s="4">
        <v>0.5</v>
      </c>
      <c r="D383" s="4">
        <v>0.6</v>
      </c>
      <c r="E383" s="4">
        <v>0.3</v>
      </c>
      <c r="F383" s="6">
        <v>738.862976</v>
      </c>
      <c r="G383" s="4">
        <v>4.0000000000000001E-3</v>
      </c>
      <c r="I383" s="4" t="s">
        <v>238</v>
      </c>
      <c r="J383" s="4">
        <v>0.9</v>
      </c>
      <c r="K383" s="4">
        <v>0.5</v>
      </c>
      <c r="L383" s="4">
        <v>0.6</v>
      </c>
      <c r="M383" s="4">
        <v>0.3</v>
      </c>
      <c r="N383" s="4">
        <v>761.16235400000005</v>
      </c>
      <c r="O383" s="4">
        <v>2E-3</v>
      </c>
      <c r="P383" s="5"/>
      <c r="Q383" s="5"/>
      <c r="R383" s="5"/>
      <c r="S383" s="5"/>
      <c r="U383" s="4" t="s">
        <v>238</v>
      </c>
      <c r="V383" s="4">
        <v>0.9</v>
      </c>
      <c r="W383" s="4">
        <v>0.5</v>
      </c>
      <c r="X383" s="4">
        <v>0.6</v>
      </c>
      <c r="Y383" s="4">
        <v>0.3</v>
      </c>
      <c r="Z383" s="4">
        <v>723.82745399999999</v>
      </c>
      <c r="AA383" s="4">
        <v>4.0000000000000001E-3</v>
      </c>
      <c r="AC383" s="4" t="s">
        <v>238</v>
      </c>
      <c r="AD383" s="4">
        <v>0.9</v>
      </c>
      <c r="AE383" s="4">
        <v>0.5</v>
      </c>
      <c r="AF383" s="4">
        <v>0.6</v>
      </c>
      <c r="AG383" s="4">
        <v>0.32</v>
      </c>
      <c r="AH383" s="6">
        <v>721.21795699999996</v>
      </c>
      <c r="AI383" s="4">
        <v>2E-3</v>
      </c>
      <c r="AJ383" s="5"/>
      <c r="AK383" s="5"/>
      <c r="AL383" s="5"/>
      <c r="AM383" s="5"/>
      <c r="AO383" s="4" t="s">
        <v>239</v>
      </c>
      <c r="AP383" s="4">
        <v>0.9</v>
      </c>
      <c r="AQ383" s="4">
        <v>0.5</v>
      </c>
      <c r="AR383" s="4">
        <v>0.6</v>
      </c>
      <c r="AS383" s="4">
        <v>0.3</v>
      </c>
      <c r="AT383" s="6">
        <v>1138.068481</v>
      </c>
      <c r="AU383" s="4">
        <v>1.4999999999999999E-2</v>
      </c>
      <c r="AW383" s="4" t="s">
        <v>239</v>
      </c>
      <c r="AX383" s="4">
        <v>0.9</v>
      </c>
      <c r="AY383" s="4">
        <v>0.5</v>
      </c>
      <c r="AZ383" s="4">
        <v>0.6</v>
      </c>
      <c r="BA383" s="4">
        <v>0.31</v>
      </c>
      <c r="BB383" s="4">
        <v>1164.193481</v>
      </c>
      <c r="BC383" s="4">
        <v>1.4999999999999999E-2</v>
      </c>
      <c r="BD383" s="5"/>
      <c r="BE383" s="5"/>
      <c r="BF383" s="5"/>
      <c r="BG383" s="5"/>
      <c r="BI383" s="4" t="s">
        <v>239</v>
      </c>
      <c r="BJ383" s="4">
        <v>0.9</v>
      </c>
      <c r="BK383" s="4">
        <v>0.5</v>
      </c>
      <c r="BL383" s="4">
        <v>0.6</v>
      </c>
      <c r="BM383" s="4">
        <v>0.3</v>
      </c>
      <c r="BN383" s="6">
        <v>1136.320068</v>
      </c>
      <c r="BO383" s="4">
        <v>1.0999999999999999E-2</v>
      </c>
      <c r="BQ383" s="4" t="s">
        <v>239</v>
      </c>
      <c r="BR383" s="4">
        <v>0.9</v>
      </c>
      <c r="BS383" s="4">
        <v>0.5</v>
      </c>
      <c r="BT383" s="4">
        <v>0.6</v>
      </c>
      <c r="BU383" s="4">
        <v>0.31</v>
      </c>
      <c r="BV383" s="4">
        <v>1143.275024</v>
      </c>
      <c r="BW383" s="4">
        <v>1.0999999999999999E-2</v>
      </c>
      <c r="BX383" s="5"/>
      <c r="BY383" s="5"/>
      <c r="BZ383" s="5"/>
      <c r="CA383" s="5"/>
    </row>
    <row r="384" spans="1:79" x14ac:dyDescent="0.3">
      <c r="A384" s="4" t="s">
        <v>240</v>
      </c>
      <c r="B384" s="4">
        <v>0.9</v>
      </c>
      <c r="C384" s="4">
        <v>0.5</v>
      </c>
      <c r="D384" s="4">
        <v>0.6</v>
      </c>
      <c r="E384" s="4">
        <v>0.3</v>
      </c>
      <c r="F384" s="6">
        <v>709.969604</v>
      </c>
      <c r="G384" s="4">
        <v>3.0000000000000001E-3</v>
      </c>
      <c r="I384" s="4" t="s">
        <v>240</v>
      </c>
      <c r="J384" s="4">
        <v>0.9</v>
      </c>
      <c r="K384" s="4">
        <v>0.5</v>
      </c>
      <c r="L384" s="4">
        <v>0.6</v>
      </c>
      <c r="M384" s="4">
        <v>0.31</v>
      </c>
      <c r="N384" s="4">
        <v>729.57824700000003</v>
      </c>
      <c r="O384" s="4">
        <v>3.0000000000000001E-3</v>
      </c>
      <c r="P384" s="5"/>
      <c r="Q384" s="5"/>
      <c r="R384" s="5"/>
      <c r="S384" s="5"/>
      <c r="U384" s="4" t="s">
        <v>240</v>
      </c>
      <c r="V384" s="4">
        <v>0.9</v>
      </c>
      <c r="W384" s="4">
        <v>0.5</v>
      </c>
      <c r="X384" s="4">
        <v>0.6</v>
      </c>
      <c r="Y384" s="4">
        <v>0.3</v>
      </c>
      <c r="Z384" s="6">
        <v>709.32336399999997</v>
      </c>
      <c r="AA384" s="4">
        <v>4.0000000000000001E-3</v>
      </c>
      <c r="AC384" s="4" t="s">
        <v>240</v>
      </c>
      <c r="AD384" s="4">
        <v>0.9</v>
      </c>
      <c r="AE384" s="4">
        <v>0.5</v>
      </c>
      <c r="AF384" s="4">
        <v>0.6</v>
      </c>
      <c r="AG384" s="4">
        <v>0.33</v>
      </c>
      <c r="AH384" s="4">
        <v>739.86419699999999</v>
      </c>
      <c r="AI384" s="4">
        <v>3.0000000000000001E-3</v>
      </c>
      <c r="AJ384" s="5"/>
      <c r="AK384" s="5"/>
      <c r="AL384" s="5"/>
      <c r="AM384" s="5"/>
      <c r="AO384" s="4" t="s">
        <v>241</v>
      </c>
      <c r="AP384" s="4">
        <v>0.9</v>
      </c>
      <c r="AQ384" s="4">
        <v>0.5</v>
      </c>
      <c r="AR384" s="4">
        <v>0.6</v>
      </c>
      <c r="AS384" s="4">
        <v>0.3</v>
      </c>
      <c r="AT384" s="6">
        <v>1078.2054439999999</v>
      </c>
      <c r="AU384" s="4">
        <v>8.9999999999999993E-3</v>
      </c>
      <c r="AW384" s="4" t="s">
        <v>241</v>
      </c>
      <c r="AX384" s="4">
        <v>0.9</v>
      </c>
      <c r="AY384" s="4">
        <v>0.5</v>
      </c>
      <c r="AZ384" s="4">
        <v>0.6</v>
      </c>
      <c r="BA384" s="4">
        <v>0.33</v>
      </c>
      <c r="BB384" s="8">
        <v>1078.7490230000001</v>
      </c>
      <c r="BC384" s="4">
        <v>1.2E-2</v>
      </c>
      <c r="BD384" s="5"/>
      <c r="BE384" s="5"/>
      <c r="BF384" s="5"/>
      <c r="BG384" s="5"/>
      <c r="BI384" s="4" t="s">
        <v>241</v>
      </c>
      <c r="BJ384" s="4">
        <v>0.9</v>
      </c>
      <c r="BK384" s="4">
        <v>0.5</v>
      </c>
      <c r="BL384" s="4">
        <v>0.6</v>
      </c>
      <c r="BM384" s="4">
        <v>0.3</v>
      </c>
      <c r="BN384" s="6">
        <v>1055.713379</v>
      </c>
      <c r="BO384" s="4">
        <v>8.9999999999999993E-3</v>
      </c>
      <c r="BQ384" s="4" t="s">
        <v>241</v>
      </c>
      <c r="BR384" s="4">
        <v>0.9</v>
      </c>
      <c r="BS384" s="4">
        <v>0.5</v>
      </c>
      <c r="BT384" s="4">
        <v>0.6</v>
      </c>
      <c r="BU384" s="4">
        <v>0.31</v>
      </c>
      <c r="BV384" s="4">
        <v>1084.6872559999999</v>
      </c>
      <c r="BW384" s="4">
        <v>8.9999999999999993E-3</v>
      </c>
      <c r="BX384" s="5"/>
      <c r="BY384" s="5"/>
      <c r="BZ384" s="5"/>
      <c r="CA384" s="5"/>
    </row>
    <row r="385" spans="1:79" x14ac:dyDescent="0.3">
      <c r="A385" s="4" t="s">
        <v>242</v>
      </c>
      <c r="B385" s="4">
        <v>0.9</v>
      </c>
      <c r="C385" s="4">
        <v>0.5</v>
      </c>
      <c r="D385" s="4">
        <v>0.6</v>
      </c>
      <c r="E385" s="4">
        <v>0.3</v>
      </c>
      <c r="F385" s="6">
        <v>716.10992399999998</v>
      </c>
      <c r="G385" s="4">
        <v>3.0000000000000001E-3</v>
      </c>
      <c r="I385" s="4" t="s">
        <v>242</v>
      </c>
      <c r="J385" s="4">
        <v>0.9</v>
      </c>
      <c r="K385" s="4">
        <v>0.5</v>
      </c>
      <c r="L385" s="4">
        <v>0.6</v>
      </c>
      <c r="M385" s="4">
        <v>0.36</v>
      </c>
      <c r="N385" s="4">
        <v>721.95477300000005</v>
      </c>
      <c r="O385" s="4">
        <v>3.0000000000000001E-3</v>
      </c>
      <c r="P385" s="5"/>
      <c r="Q385" s="5"/>
      <c r="R385" s="5"/>
      <c r="S385" s="5"/>
      <c r="U385" s="4" t="s">
        <v>242</v>
      </c>
      <c r="V385" s="4">
        <v>0.9</v>
      </c>
      <c r="W385" s="4">
        <v>0.5</v>
      </c>
      <c r="X385" s="4">
        <v>0.6</v>
      </c>
      <c r="Y385" s="4">
        <v>0.3</v>
      </c>
      <c r="Z385" s="6">
        <v>705.05310099999997</v>
      </c>
      <c r="AA385" s="4">
        <v>2E-3</v>
      </c>
      <c r="AC385" s="4" t="s">
        <v>242</v>
      </c>
      <c r="AD385" s="4">
        <v>0.9</v>
      </c>
      <c r="AE385" s="4">
        <v>0.5</v>
      </c>
      <c r="AF385" s="4">
        <v>0.6</v>
      </c>
      <c r="AG385" s="4">
        <v>0.3</v>
      </c>
      <c r="AH385" s="4">
        <v>707.37756300000001</v>
      </c>
      <c r="AI385" s="4">
        <v>3.0000000000000001E-3</v>
      </c>
      <c r="AJ385" s="5"/>
      <c r="AK385" s="5"/>
      <c r="AL385" s="5"/>
      <c r="AM385" s="5"/>
      <c r="AO385" s="4" t="s">
        <v>243</v>
      </c>
      <c r="AP385" s="4">
        <v>0.9</v>
      </c>
      <c r="AQ385" s="4">
        <v>0.5</v>
      </c>
      <c r="AR385" s="4">
        <v>0.6</v>
      </c>
      <c r="AS385" s="4">
        <v>0.3</v>
      </c>
      <c r="AT385" s="6">
        <v>1183.1057129999999</v>
      </c>
      <c r="AU385" s="4">
        <v>2.3E-2</v>
      </c>
      <c r="AW385" s="4" t="s">
        <v>243</v>
      </c>
      <c r="AX385" s="4">
        <v>0.9</v>
      </c>
      <c r="AY385" s="4">
        <v>0.5</v>
      </c>
      <c r="AZ385" s="4">
        <v>0.6</v>
      </c>
      <c r="BA385" s="4">
        <v>0.32</v>
      </c>
      <c r="BB385" s="4">
        <v>1231.8317870000001</v>
      </c>
      <c r="BC385" s="4">
        <v>1.7000000000000001E-2</v>
      </c>
      <c r="BD385" s="5"/>
      <c r="BE385" s="5"/>
      <c r="BF385" s="5"/>
      <c r="BG385" s="5"/>
      <c r="BI385" s="4" t="s">
        <v>243</v>
      </c>
      <c r="BJ385" s="4">
        <v>0.9</v>
      </c>
      <c r="BK385" s="4">
        <v>0.5</v>
      </c>
      <c r="BL385" s="4">
        <v>0.6</v>
      </c>
      <c r="BM385" s="4">
        <v>0.3</v>
      </c>
      <c r="BN385" s="6">
        <v>1166.8808590000001</v>
      </c>
      <c r="BO385" s="4">
        <v>1.0999999999999999E-2</v>
      </c>
      <c r="BQ385" s="4" t="s">
        <v>243</v>
      </c>
      <c r="BR385" s="4">
        <v>0.9</v>
      </c>
      <c r="BS385" s="4">
        <v>0.5</v>
      </c>
      <c r="BT385" s="4">
        <v>0.6</v>
      </c>
      <c r="BU385" s="4">
        <v>0.31</v>
      </c>
      <c r="BV385" s="4">
        <v>1222.6292719999999</v>
      </c>
      <c r="BW385" s="4">
        <v>1.9E-2</v>
      </c>
      <c r="BX385" s="5"/>
      <c r="BY385" s="5"/>
      <c r="BZ385" s="5"/>
      <c r="CA385" s="5"/>
    </row>
    <row r="386" spans="1:79" x14ac:dyDescent="0.3">
      <c r="A386" s="4" t="s">
        <v>244</v>
      </c>
      <c r="B386" s="4">
        <v>0.9</v>
      </c>
      <c r="C386" s="4">
        <v>0.5</v>
      </c>
      <c r="D386" s="4">
        <v>0.6</v>
      </c>
      <c r="E386" s="4">
        <v>0.3</v>
      </c>
      <c r="F386" s="6">
        <v>708.62890600000003</v>
      </c>
      <c r="G386" s="4">
        <v>3.0000000000000001E-3</v>
      </c>
      <c r="I386" s="4" t="s">
        <v>244</v>
      </c>
      <c r="J386" s="4">
        <v>0.9</v>
      </c>
      <c r="K386" s="4">
        <v>0.5</v>
      </c>
      <c r="L386" s="4">
        <v>0.6</v>
      </c>
      <c r="M386" s="4">
        <v>0.31</v>
      </c>
      <c r="N386" s="4">
        <v>723.19891399999995</v>
      </c>
      <c r="O386" s="4">
        <v>3.0000000000000001E-3</v>
      </c>
      <c r="P386" s="5"/>
      <c r="Q386" s="5"/>
      <c r="R386" s="5"/>
      <c r="S386" s="5"/>
      <c r="U386" s="4" t="s">
        <v>244</v>
      </c>
      <c r="V386" s="4">
        <v>0.9</v>
      </c>
      <c r="W386" s="4">
        <v>0.5</v>
      </c>
      <c r="X386" s="4">
        <v>0.6</v>
      </c>
      <c r="Y386" s="4">
        <v>0.3</v>
      </c>
      <c r="Z386" s="6">
        <v>718.08758499999999</v>
      </c>
      <c r="AA386" s="4">
        <v>4.0000000000000001E-3</v>
      </c>
      <c r="AC386" s="4" t="s">
        <v>244</v>
      </c>
      <c r="AD386" s="4">
        <v>0.9</v>
      </c>
      <c r="AE386" s="4">
        <v>0.5</v>
      </c>
      <c r="AF386" s="4">
        <v>0.6</v>
      </c>
      <c r="AG386" s="4">
        <v>0.3</v>
      </c>
      <c r="AH386" s="4">
        <v>722.26355000000001</v>
      </c>
      <c r="AI386" s="4">
        <v>3.0000000000000001E-3</v>
      </c>
      <c r="AJ386" s="5"/>
      <c r="AK386" s="5"/>
      <c r="AL386" s="5"/>
      <c r="AM386" s="5"/>
      <c r="AO386" s="4" t="s">
        <v>245</v>
      </c>
      <c r="AP386" s="4">
        <v>0.9</v>
      </c>
      <c r="AQ386" s="4">
        <v>0.5</v>
      </c>
      <c r="AR386" s="4">
        <v>0.6</v>
      </c>
      <c r="AS386" s="4">
        <v>0.3</v>
      </c>
      <c r="AT386" s="6">
        <v>1160.4848629999999</v>
      </c>
      <c r="AU386" s="4">
        <v>1.4E-2</v>
      </c>
      <c r="AW386" s="4" t="s">
        <v>245</v>
      </c>
      <c r="AX386" s="4">
        <v>0.9</v>
      </c>
      <c r="AY386" s="4">
        <v>0.5</v>
      </c>
      <c r="AZ386" s="4">
        <v>0.6</v>
      </c>
      <c r="BA386" s="4">
        <v>0.3</v>
      </c>
      <c r="BB386" s="4">
        <v>1210.883423</v>
      </c>
      <c r="BC386" s="4">
        <v>0.01</v>
      </c>
      <c r="BD386" s="5"/>
      <c r="BE386" s="5"/>
      <c r="BF386" s="5"/>
      <c r="BG386" s="5"/>
      <c r="BI386" s="4" t="s">
        <v>245</v>
      </c>
      <c r="BJ386" s="4">
        <v>0.9</v>
      </c>
      <c r="BK386" s="4">
        <v>0.5</v>
      </c>
      <c r="BL386" s="4">
        <v>0.6</v>
      </c>
      <c r="BM386" s="4">
        <v>0.3</v>
      </c>
      <c r="BN386" s="6">
        <v>1161.6685789999999</v>
      </c>
      <c r="BO386" s="4">
        <v>1.2E-2</v>
      </c>
      <c r="BQ386" s="4" t="s">
        <v>245</v>
      </c>
      <c r="BR386" s="4">
        <v>0.9</v>
      </c>
      <c r="BS386" s="4">
        <v>0.5</v>
      </c>
      <c r="BT386" s="4">
        <v>0.6</v>
      </c>
      <c r="BU386" s="4">
        <v>0.3</v>
      </c>
      <c r="BV386" s="4">
        <v>1207.5804439999999</v>
      </c>
      <c r="BW386" s="4">
        <v>1.6E-2</v>
      </c>
      <c r="BX386" s="5"/>
      <c r="BY386" s="5"/>
      <c r="BZ386" s="5"/>
      <c r="CA386" s="5"/>
    </row>
    <row r="387" spans="1:79" x14ac:dyDescent="0.3">
      <c r="A387" s="4" t="s">
        <v>246</v>
      </c>
      <c r="B387" s="4">
        <v>0.9</v>
      </c>
      <c r="C387" s="4">
        <v>0.5</v>
      </c>
      <c r="D387" s="4">
        <v>0.6</v>
      </c>
      <c r="E387" s="4">
        <v>0.3</v>
      </c>
      <c r="F387" s="6">
        <v>710.27606200000002</v>
      </c>
      <c r="G387" s="4">
        <v>3.0000000000000001E-3</v>
      </c>
      <c r="I387" s="4" t="s">
        <v>246</v>
      </c>
      <c r="J387" s="4">
        <v>0.9</v>
      </c>
      <c r="K387" s="4">
        <v>0.5</v>
      </c>
      <c r="L387" s="4">
        <v>0.6</v>
      </c>
      <c r="M387" s="4">
        <v>0.39</v>
      </c>
      <c r="N387" s="4">
        <v>733.02484100000004</v>
      </c>
      <c r="O387" s="4">
        <v>2E-3</v>
      </c>
      <c r="P387" s="5"/>
      <c r="Q387" s="5"/>
      <c r="R387" s="5"/>
      <c r="S387" s="5"/>
      <c r="U387" s="4" t="s">
        <v>246</v>
      </c>
      <c r="V387" s="4">
        <v>0.9</v>
      </c>
      <c r="W387" s="4">
        <v>0.5</v>
      </c>
      <c r="X387" s="4">
        <v>0.6</v>
      </c>
      <c r="Y387" s="4">
        <v>0.3</v>
      </c>
      <c r="Z387" s="4">
        <v>710.20068400000002</v>
      </c>
      <c r="AA387" s="4">
        <v>3.0000000000000001E-3</v>
      </c>
      <c r="AC387" s="4" t="s">
        <v>246</v>
      </c>
      <c r="AD387" s="4">
        <v>0.9</v>
      </c>
      <c r="AE387" s="4">
        <v>0.5</v>
      </c>
      <c r="AF387" s="4">
        <v>0.6</v>
      </c>
      <c r="AG387" s="4">
        <v>0.32</v>
      </c>
      <c r="AH387" s="6">
        <v>697.80108600000005</v>
      </c>
      <c r="AI387" s="4">
        <v>3.0000000000000001E-3</v>
      </c>
      <c r="AJ387" s="5"/>
      <c r="AK387" s="5"/>
      <c r="AL387" s="5"/>
      <c r="AM387" s="5"/>
      <c r="AO387" s="4" t="s">
        <v>247</v>
      </c>
      <c r="AP387" s="4">
        <v>0.9</v>
      </c>
      <c r="AQ387" s="4">
        <v>0.5</v>
      </c>
      <c r="AR387" s="4">
        <v>0.6</v>
      </c>
      <c r="AS387" s="4">
        <v>0.3</v>
      </c>
      <c r="AT387" s="6">
        <v>1037.850952</v>
      </c>
      <c r="AU387" s="4">
        <v>0.01</v>
      </c>
      <c r="AW387" s="4" t="s">
        <v>247</v>
      </c>
      <c r="AX387" s="4">
        <v>0.9</v>
      </c>
      <c r="AY387" s="4">
        <v>0.5</v>
      </c>
      <c r="AZ387" s="4">
        <v>0.6</v>
      </c>
      <c r="BA387" s="4">
        <v>0.31</v>
      </c>
      <c r="BB387" s="4">
        <v>1074.450439</v>
      </c>
      <c r="BC387" s="4">
        <v>8.0000000000000002E-3</v>
      </c>
      <c r="BD387" s="5"/>
      <c r="BE387" s="5"/>
      <c r="BF387" s="5"/>
      <c r="BG387" s="5"/>
      <c r="BI387" s="4" t="s">
        <v>247</v>
      </c>
      <c r="BJ387" s="4">
        <v>0.9</v>
      </c>
      <c r="BK387" s="4">
        <v>0.5</v>
      </c>
      <c r="BL387" s="4">
        <v>0.6</v>
      </c>
      <c r="BM387" s="4">
        <v>0.3</v>
      </c>
      <c r="BN387" s="6">
        <v>1025.4229740000001</v>
      </c>
      <c r="BO387" s="4">
        <v>8.0000000000000002E-3</v>
      </c>
      <c r="BQ387" s="4" t="s">
        <v>247</v>
      </c>
      <c r="BR387" s="4">
        <v>0.9</v>
      </c>
      <c r="BS387" s="4">
        <v>0.5</v>
      </c>
      <c r="BT387" s="4">
        <v>0.6</v>
      </c>
      <c r="BU387" s="4">
        <v>0.3</v>
      </c>
      <c r="BV387" s="4">
        <v>1062.734741</v>
      </c>
      <c r="BW387" s="4">
        <v>1.2E-2</v>
      </c>
      <c r="BX387" s="5"/>
      <c r="BY387" s="5"/>
      <c r="BZ387" s="5"/>
      <c r="CA387" s="5"/>
    </row>
    <row r="388" spans="1:79" x14ac:dyDescent="0.3">
      <c r="A388" s="4" t="s">
        <v>248</v>
      </c>
      <c r="B388" s="4">
        <v>0.9</v>
      </c>
      <c r="C388" s="4">
        <v>0.5</v>
      </c>
      <c r="D388" s="4">
        <v>0.6</v>
      </c>
      <c r="E388" s="4">
        <v>0.3</v>
      </c>
      <c r="F388" s="6">
        <v>748.12725799999998</v>
      </c>
      <c r="G388" s="4">
        <v>3.0000000000000001E-3</v>
      </c>
      <c r="I388" s="4" t="s">
        <v>248</v>
      </c>
      <c r="J388" s="4">
        <v>0.9</v>
      </c>
      <c r="K388" s="4">
        <v>0.5</v>
      </c>
      <c r="L388" s="4">
        <v>0.6</v>
      </c>
      <c r="M388" s="4">
        <v>0.3</v>
      </c>
      <c r="N388" s="4">
        <v>775.71508800000004</v>
      </c>
      <c r="O388" s="4">
        <v>5.0000000000000001E-3</v>
      </c>
      <c r="P388" s="5"/>
      <c r="Q388" s="5"/>
      <c r="R388" s="5"/>
      <c r="S388" s="5"/>
      <c r="U388" s="4" t="s">
        <v>248</v>
      </c>
      <c r="V388" s="4">
        <v>0.9</v>
      </c>
      <c r="W388" s="4">
        <v>0.5</v>
      </c>
      <c r="X388" s="4">
        <v>0.6</v>
      </c>
      <c r="Y388" s="4">
        <v>0.3</v>
      </c>
      <c r="Z388" s="6">
        <v>749.39605700000004</v>
      </c>
      <c r="AA388" s="4">
        <v>4.0000000000000001E-3</v>
      </c>
      <c r="AC388" s="4" t="s">
        <v>248</v>
      </c>
      <c r="AD388" s="4">
        <v>0.9</v>
      </c>
      <c r="AE388" s="4">
        <v>0.5</v>
      </c>
      <c r="AF388" s="4">
        <v>0.6</v>
      </c>
      <c r="AG388" s="4">
        <v>0.32</v>
      </c>
      <c r="AH388" s="4">
        <v>761.74340800000004</v>
      </c>
      <c r="AI388" s="4">
        <v>4.0000000000000001E-3</v>
      </c>
      <c r="AJ388" s="5"/>
      <c r="AK388" s="5"/>
      <c r="AL388" s="5"/>
      <c r="AM388" s="5"/>
      <c r="AO388" s="4" t="s">
        <v>249</v>
      </c>
      <c r="AP388" s="4">
        <v>0.9</v>
      </c>
      <c r="AQ388" s="4">
        <v>0.5</v>
      </c>
      <c r="AR388" s="4">
        <v>0.6</v>
      </c>
      <c r="AS388" s="4">
        <v>0.3</v>
      </c>
      <c r="AT388" s="6">
        <v>1125.3458250000001</v>
      </c>
      <c r="AU388" s="4">
        <v>1.2999999999999999E-2</v>
      </c>
      <c r="AW388" s="4" t="s">
        <v>249</v>
      </c>
      <c r="AX388" s="4">
        <v>0.9</v>
      </c>
      <c r="AY388" s="4">
        <v>0.5</v>
      </c>
      <c r="AZ388" s="4">
        <v>0.6</v>
      </c>
      <c r="BA388" s="4">
        <v>0.32</v>
      </c>
      <c r="BB388" s="4">
        <v>1164.7573239999999</v>
      </c>
      <c r="BC388" s="4">
        <v>0.01</v>
      </c>
      <c r="BD388" s="5"/>
      <c r="BE388" s="5"/>
      <c r="BF388" s="5"/>
      <c r="BG388" s="5"/>
      <c r="BI388" s="4" t="s">
        <v>249</v>
      </c>
      <c r="BJ388" s="4">
        <v>0.9</v>
      </c>
      <c r="BK388" s="4">
        <v>0.5</v>
      </c>
      <c r="BL388" s="4">
        <v>0.6</v>
      </c>
      <c r="BM388" s="4">
        <v>0.3</v>
      </c>
      <c r="BN388" s="6">
        <v>1109.891357</v>
      </c>
      <c r="BO388" s="4">
        <v>0.01</v>
      </c>
      <c r="BQ388" s="4" t="s">
        <v>249</v>
      </c>
      <c r="BR388" s="4">
        <v>0.9</v>
      </c>
      <c r="BS388" s="4">
        <v>0.5</v>
      </c>
      <c r="BT388" s="4">
        <v>0.6</v>
      </c>
      <c r="BU388" s="4">
        <v>0.3</v>
      </c>
      <c r="BV388" s="4">
        <v>1155.1701660000001</v>
      </c>
      <c r="BW388" s="4">
        <v>1.4E-2</v>
      </c>
      <c r="BX388" s="5"/>
      <c r="BY388" s="5"/>
      <c r="BZ388" s="5"/>
      <c r="CA388" s="5"/>
    </row>
    <row r="389" spans="1:79" x14ac:dyDescent="0.3">
      <c r="A389" s="4" t="s">
        <v>250</v>
      </c>
      <c r="B389" s="4">
        <v>0.9</v>
      </c>
      <c r="C389" s="4">
        <v>0.5</v>
      </c>
      <c r="D389" s="4">
        <v>0.6</v>
      </c>
      <c r="E389" s="4">
        <v>0.3</v>
      </c>
      <c r="F389" s="6">
        <v>757.387024</v>
      </c>
      <c r="G389" s="4">
        <v>3.0000000000000001E-3</v>
      </c>
      <c r="I389" s="4" t="s">
        <v>250</v>
      </c>
      <c r="J389" s="4">
        <v>0.9</v>
      </c>
      <c r="K389" s="4">
        <v>0.5</v>
      </c>
      <c r="L389" s="4">
        <v>0.6</v>
      </c>
      <c r="M389" s="4">
        <v>0.33</v>
      </c>
      <c r="N389" s="4">
        <v>803.352844</v>
      </c>
      <c r="O389" s="4">
        <v>3.0000000000000001E-3</v>
      </c>
      <c r="P389" s="5"/>
      <c r="Q389" s="5"/>
      <c r="R389" s="5"/>
      <c r="S389" s="5"/>
      <c r="U389" s="4" t="s">
        <v>250</v>
      </c>
      <c r="V389" s="4">
        <v>0.9</v>
      </c>
      <c r="W389" s="4">
        <v>0.5</v>
      </c>
      <c r="X389" s="4">
        <v>0.6</v>
      </c>
      <c r="Y389" s="4">
        <v>0.3</v>
      </c>
      <c r="Z389" s="6">
        <v>738.92260699999997</v>
      </c>
      <c r="AA389" s="4">
        <v>3.0000000000000001E-3</v>
      </c>
      <c r="AC389" s="4" t="s">
        <v>250</v>
      </c>
      <c r="AD389" s="4">
        <v>0.9</v>
      </c>
      <c r="AE389" s="4">
        <v>0.5</v>
      </c>
      <c r="AF389" s="4">
        <v>0.6</v>
      </c>
      <c r="AG389" s="4">
        <v>0.31</v>
      </c>
      <c r="AH389" s="4">
        <v>788.01348900000005</v>
      </c>
      <c r="AI389" s="4">
        <v>4.0000000000000001E-3</v>
      </c>
      <c r="AJ389" s="5"/>
      <c r="AK389" s="5"/>
      <c r="AL389" s="5"/>
      <c r="AM389" s="5"/>
      <c r="AO389" s="4" t="s">
        <v>251</v>
      </c>
      <c r="AP389" s="4">
        <v>0.9</v>
      </c>
      <c r="AQ389" s="4">
        <v>0.5</v>
      </c>
      <c r="AR389" s="4">
        <v>0.6</v>
      </c>
      <c r="AS389" s="4">
        <v>0.3</v>
      </c>
      <c r="AT389" s="6">
        <v>1135.869751</v>
      </c>
      <c r="AU389" s="4">
        <v>0.01</v>
      </c>
      <c r="AW389" s="4" t="s">
        <v>251</v>
      </c>
      <c r="AX389" s="4">
        <v>0.9</v>
      </c>
      <c r="AY389" s="4">
        <v>0.5</v>
      </c>
      <c r="AZ389" s="4">
        <v>0.6</v>
      </c>
      <c r="BA389" s="4">
        <v>0.3</v>
      </c>
      <c r="BB389" s="4">
        <v>1166.5805660000001</v>
      </c>
      <c r="BC389" s="4">
        <v>0.01</v>
      </c>
      <c r="BD389" s="5"/>
      <c r="BE389" s="5"/>
      <c r="BF389" s="5"/>
      <c r="BG389" s="5"/>
      <c r="BI389" s="4" t="s">
        <v>251</v>
      </c>
      <c r="BJ389" s="4">
        <v>0.9</v>
      </c>
      <c r="BK389" s="4">
        <v>0.5</v>
      </c>
      <c r="BL389" s="4">
        <v>0.6</v>
      </c>
      <c r="BM389" s="4">
        <v>0.3</v>
      </c>
      <c r="BN389" s="6">
        <v>1092.8017580000001</v>
      </c>
      <c r="BO389" s="4">
        <v>8.9999999999999993E-3</v>
      </c>
      <c r="BQ389" s="4" t="s">
        <v>251</v>
      </c>
      <c r="BR389" s="4">
        <v>0.9</v>
      </c>
      <c r="BS389" s="4">
        <v>0.5</v>
      </c>
      <c r="BT389" s="4">
        <v>0.6</v>
      </c>
      <c r="BU389" s="4">
        <v>0.3</v>
      </c>
      <c r="BV389" s="4">
        <v>1120.2071530000001</v>
      </c>
      <c r="BW389" s="4">
        <v>0.01</v>
      </c>
      <c r="BX389" s="5"/>
      <c r="BY389" s="5"/>
      <c r="BZ389" s="5"/>
      <c r="CA389" s="5"/>
    </row>
    <row r="390" spans="1:79" x14ac:dyDescent="0.3">
      <c r="A390" s="4" t="s">
        <v>252</v>
      </c>
      <c r="B390" s="4">
        <v>0.9</v>
      </c>
      <c r="C390" s="4">
        <v>0.5</v>
      </c>
      <c r="D390" s="4">
        <v>0.6</v>
      </c>
      <c r="E390" s="4">
        <v>0.3</v>
      </c>
      <c r="F390" s="6">
        <v>805.36737100000005</v>
      </c>
      <c r="G390" s="4">
        <v>4.0000000000000001E-3</v>
      </c>
      <c r="I390" s="4" t="s">
        <v>252</v>
      </c>
      <c r="J390" s="4">
        <v>0.9</v>
      </c>
      <c r="K390" s="4">
        <v>0.5</v>
      </c>
      <c r="L390" s="4">
        <v>0.6</v>
      </c>
      <c r="M390" s="4">
        <v>0.33</v>
      </c>
      <c r="N390" s="4">
        <v>848.34216300000003</v>
      </c>
      <c r="O390" s="4">
        <v>3.0000000000000001E-3</v>
      </c>
      <c r="P390" s="5"/>
      <c r="Q390" s="5"/>
      <c r="R390" s="5"/>
      <c r="S390" s="5"/>
      <c r="U390" s="4" t="s">
        <v>252</v>
      </c>
      <c r="V390" s="4">
        <v>0.9</v>
      </c>
      <c r="W390" s="4">
        <v>0.5</v>
      </c>
      <c r="X390" s="4">
        <v>0.6</v>
      </c>
      <c r="Y390" s="4">
        <v>0.3</v>
      </c>
      <c r="Z390" s="6">
        <v>788.23150599999997</v>
      </c>
      <c r="AA390" s="4">
        <v>4.0000000000000001E-3</v>
      </c>
      <c r="AC390" s="4" t="s">
        <v>252</v>
      </c>
      <c r="AD390" s="4">
        <v>0.9</v>
      </c>
      <c r="AE390" s="4">
        <v>0.5</v>
      </c>
      <c r="AF390" s="4">
        <v>0.6</v>
      </c>
      <c r="AG390" s="4">
        <v>0.32</v>
      </c>
      <c r="AH390" s="4">
        <v>805.73681599999998</v>
      </c>
      <c r="AI390" s="4">
        <v>3.0000000000000001E-3</v>
      </c>
      <c r="AJ390" s="5"/>
      <c r="AK390" s="5"/>
      <c r="AL390" s="5"/>
      <c r="AM390" s="5"/>
      <c r="AO390" s="4" t="s">
        <v>253</v>
      </c>
      <c r="AP390" s="4">
        <v>0.9</v>
      </c>
      <c r="AQ390" s="4">
        <v>0.5</v>
      </c>
      <c r="AR390" s="4">
        <v>0.6</v>
      </c>
      <c r="AS390" s="4">
        <v>0.3</v>
      </c>
      <c r="AT390" s="6">
        <v>1134.625</v>
      </c>
      <c r="AU390" s="4">
        <v>8.9999999999999993E-3</v>
      </c>
      <c r="AW390" s="4" t="s">
        <v>253</v>
      </c>
      <c r="AX390" s="4">
        <v>0.9</v>
      </c>
      <c r="AY390" s="4">
        <v>0.5</v>
      </c>
      <c r="AZ390" s="4">
        <v>0.6</v>
      </c>
      <c r="BA390" s="4">
        <v>0.31</v>
      </c>
      <c r="BB390" s="4">
        <v>1201.7536620000001</v>
      </c>
      <c r="BC390" s="4">
        <v>1.4E-2</v>
      </c>
      <c r="BD390" s="5"/>
      <c r="BE390" s="5"/>
      <c r="BF390" s="5"/>
      <c r="BG390" s="5"/>
      <c r="BI390" s="4" t="s">
        <v>253</v>
      </c>
      <c r="BJ390" s="4">
        <v>0.9</v>
      </c>
      <c r="BK390" s="4">
        <v>0.5</v>
      </c>
      <c r="BL390" s="4">
        <v>0.6</v>
      </c>
      <c r="BM390" s="4">
        <v>0.3</v>
      </c>
      <c r="BN390" s="6">
        <v>1150.7495120000001</v>
      </c>
      <c r="BO390" s="4">
        <v>8.9999999999999993E-3</v>
      </c>
      <c r="BQ390" s="4" t="s">
        <v>253</v>
      </c>
      <c r="BR390" s="4">
        <v>0.9</v>
      </c>
      <c r="BS390" s="4">
        <v>0.5</v>
      </c>
      <c r="BT390" s="4">
        <v>0.6</v>
      </c>
      <c r="BU390" s="4">
        <v>0.3</v>
      </c>
      <c r="BV390" s="4">
        <v>1193.2734379999999</v>
      </c>
      <c r="BW390" s="4">
        <v>0.01</v>
      </c>
      <c r="BX390" s="5"/>
      <c r="BY390" s="5"/>
      <c r="BZ390" s="5"/>
      <c r="CA390" s="5"/>
    </row>
    <row r="391" spans="1:79" x14ac:dyDescent="0.3">
      <c r="A391" s="14" t="s">
        <v>316</v>
      </c>
      <c r="E391" s="14">
        <f>AVERAGE(E361:E390)</f>
        <v>0.3</v>
      </c>
      <c r="I391" s="14" t="s">
        <v>316</v>
      </c>
      <c r="M391" s="14">
        <f>AVERAGE(M361:M390)</f>
        <v>0.3186666666666666</v>
      </c>
      <c r="P391" s="5"/>
      <c r="Q391" s="5"/>
      <c r="R391" s="5"/>
      <c r="S391" s="5"/>
      <c r="U391" s="14" t="s">
        <v>316</v>
      </c>
      <c r="Y391" s="14">
        <f>AVERAGE(Y361:Y390)</f>
        <v>0.3</v>
      </c>
      <c r="AC391" s="14" t="s">
        <v>316</v>
      </c>
      <c r="AG391" s="14">
        <f>AVERAGE(AG361:AG390)</f>
        <v>0.31966666666666671</v>
      </c>
      <c r="AJ391" s="5"/>
      <c r="AK391" s="5"/>
      <c r="AL391" s="5"/>
      <c r="AM391" s="5"/>
      <c r="AO391" s="14" t="s">
        <v>316</v>
      </c>
      <c r="AS391" s="14">
        <f>AVERAGE(AS361:AS390)</f>
        <v>0.3</v>
      </c>
      <c r="AW391" s="14" t="s">
        <v>316</v>
      </c>
      <c r="BA391" s="14">
        <f>AVERAGE(BA361:BA390)</f>
        <v>0.31766666666666671</v>
      </c>
      <c r="BD391" s="5"/>
      <c r="BE391" s="5"/>
      <c r="BF391" s="5"/>
      <c r="BG391" s="5"/>
      <c r="BI391" s="14" t="s">
        <v>316</v>
      </c>
      <c r="BM391" s="14">
        <f>AVERAGE(BM361:BM390)</f>
        <v>0.3</v>
      </c>
      <c r="BQ391" s="14" t="s">
        <v>316</v>
      </c>
      <c r="BU391" s="14">
        <f>AVERAGE(BU361:BU390)</f>
        <v>0.3126666666666667</v>
      </c>
      <c r="BX391" s="5"/>
      <c r="BY391" s="5"/>
      <c r="BZ391" s="5"/>
      <c r="CA391" s="5"/>
    </row>
    <row r="392" spans="1:79" x14ac:dyDescent="0.3">
      <c r="P392" s="5"/>
      <c r="Q392" s="5"/>
      <c r="R392" s="5"/>
      <c r="S392" s="5"/>
      <c r="AJ392" s="5"/>
      <c r="AK392" s="5"/>
      <c r="AL392" s="5"/>
      <c r="AM392" s="5"/>
      <c r="BD392" s="5"/>
      <c r="BE392" s="5"/>
      <c r="BF392" s="5"/>
      <c r="BG392" s="5"/>
      <c r="BX392" s="5"/>
      <c r="BY392" s="5"/>
      <c r="BZ392" s="5"/>
      <c r="CA392" s="5"/>
    </row>
    <row r="393" spans="1:79" x14ac:dyDescent="0.3">
      <c r="P393" s="5"/>
      <c r="Q393" s="5"/>
      <c r="R393" s="5"/>
      <c r="S393" s="5"/>
      <c r="AJ393" s="5"/>
      <c r="AK393" s="5"/>
      <c r="AL393" s="5"/>
      <c r="AM393" s="5"/>
      <c r="BD393" s="5"/>
      <c r="BE393" s="5"/>
      <c r="BF393" s="5"/>
      <c r="BG393" s="5"/>
      <c r="BX393" s="5"/>
      <c r="BY393" s="5"/>
      <c r="BZ393" s="5"/>
      <c r="CA393" s="5"/>
    </row>
    <row r="394" spans="1:79" x14ac:dyDescent="0.3">
      <c r="A394" s="23" t="s">
        <v>314</v>
      </c>
      <c r="B394" s="23"/>
      <c r="C394" s="23"/>
      <c r="D394" s="23"/>
      <c r="E394" s="23"/>
      <c r="F394" s="23"/>
      <c r="G394" s="23"/>
      <c r="I394" s="23" t="s">
        <v>314</v>
      </c>
      <c r="J394" s="23"/>
      <c r="K394" s="23"/>
      <c r="L394" s="23"/>
      <c r="M394" s="23"/>
      <c r="N394" s="23"/>
      <c r="O394" s="23"/>
      <c r="P394" s="11"/>
      <c r="Q394" s="11"/>
      <c r="R394" s="11"/>
      <c r="S394" s="11"/>
      <c r="U394" s="23" t="s">
        <v>314</v>
      </c>
      <c r="V394" s="23"/>
      <c r="W394" s="23"/>
      <c r="X394" s="23"/>
      <c r="Y394" s="23"/>
      <c r="Z394" s="23"/>
      <c r="AA394" s="23"/>
      <c r="AC394" s="23" t="s">
        <v>314</v>
      </c>
      <c r="AD394" s="23"/>
      <c r="AE394" s="23"/>
      <c r="AF394" s="23"/>
      <c r="AG394" s="23"/>
      <c r="AH394" s="23"/>
      <c r="AI394" s="23"/>
      <c r="AJ394" s="11"/>
      <c r="AK394" s="11"/>
      <c r="AL394" s="11"/>
      <c r="AM394" s="11"/>
      <c r="AO394" s="23" t="s">
        <v>314</v>
      </c>
      <c r="AP394" s="23"/>
      <c r="AQ394" s="23"/>
      <c r="AR394" s="23"/>
      <c r="AS394" s="23"/>
      <c r="AT394" s="23"/>
      <c r="AU394" s="23"/>
      <c r="AW394" s="23" t="s">
        <v>314</v>
      </c>
      <c r="AX394" s="23"/>
      <c r="AY394" s="23"/>
      <c r="AZ394" s="23"/>
      <c r="BA394" s="23"/>
      <c r="BB394" s="23"/>
      <c r="BC394" s="23"/>
      <c r="BD394" s="11"/>
      <c r="BE394" s="11"/>
      <c r="BF394" s="11"/>
      <c r="BG394" s="11"/>
      <c r="BI394" s="23" t="s">
        <v>314</v>
      </c>
      <c r="BJ394" s="23"/>
      <c r="BK394" s="23"/>
      <c r="BL394" s="23"/>
      <c r="BM394" s="23"/>
      <c r="BN394" s="23"/>
      <c r="BO394" s="23"/>
      <c r="BQ394" s="23" t="s">
        <v>314</v>
      </c>
      <c r="BR394" s="23"/>
      <c r="BS394" s="23"/>
      <c r="BT394" s="23"/>
      <c r="BU394" s="23"/>
      <c r="BV394" s="23"/>
      <c r="BW394" s="23"/>
      <c r="BX394" s="11"/>
      <c r="BY394" s="11"/>
      <c r="BZ394" s="11"/>
      <c r="CA394" s="11"/>
    </row>
    <row r="395" spans="1:79" x14ac:dyDescent="0.3">
      <c r="A395" s="4" t="s">
        <v>72</v>
      </c>
      <c r="B395" s="4"/>
      <c r="C395" s="4"/>
      <c r="D395" s="4"/>
      <c r="E395" s="4"/>
      <c r="F395" s="4"/>
      <c r="G395" s="4"/>
      <c r="I395" s="23" t="s">
        <v>72</v>
      </c>
      <c r="J395" s="23"/>
      <c r="K395" s="23"/>
      <c r="L395" s="23"/>
      <c r="M395" s="23"/>
      <c r="N395" s="23"/>
      <c r="O395" s="23"/>
      <c r="P395" s="5"/>
      <c r="Q395" s="5"/>
      <c r="R395" s="5"/>
      <c r="S395" s="5"/>
      <c r="U395" s="4" t="s">
        <v>73</v>
      </c>
      <c r="V395" s="4"/>
      <c r="W395" s="4"/>
      <c r="X395" s="4"/>
      <c r="Y395" s="4"/>
      <c r="Z395" s="4"/>
      <c r="AA395" s="4"/>
      <c r="AC395" s="23" t="s">
        <v>73</v>
      </c>
      <c r="AD395" s="23"/>
      <c r="AE395" s="23"/>
      <c r="AF395" s="23"/>
      <c r="AG395" s="23"/>
      <c r="AH395" s="23"/>
      <c r="AI395" s="23"/>
      <c r="AJ395" s="5"/>
      <c r="AK395" s="5"/>
      <c r="AL395" s="5"/>
      <c r="AM395" s="5"/>
      <c r="AO395" s="4" t="s">
        <v>72</v>
      </c>
      <c r="AP395" s="4"/>
      <c r="AQ395" s="4"/>
      <c r="AR395" s="4"/>
      <c r="AS395" s="4"/>
      <c r="AT395" s="4"/>
      <c r="AU395" s="4"/>
      <c r="AW395" s="23" t="s">
        <v>72</v>
      </c>
      <c r="AX395" s="23"/>
      <c r="AY395" s="23"/>
      <c r="AZ395" s="23"/>
      <c r="BA395" s="23"/>
      <c r="BB395" s="23"/>
      <c r="BC395" s="23"/>
      <c r="BD395" s="5"/>
      <c r="BE395" s="5"/>
      <c r="BF395" s="5"/>
      <c r="BG395" s="5"/>
      <c r="BI395" s="4" t="s">
        <v>73</v>
      </c>
      <c r="BJ395" s="4"/>
      <c r="BK395" s="4"/>
      <c r="BL395" s="4"/>
      <c r="BM395" s="4"/>
      <c r="BN395" s="4"/>
      <c r="BO395" s="4"/>
      <c r="BQ395" s="23" t="s">
        <v>73</v>
      </c>
      <c r="BR395" s="23"/>
      <c r="BS395" s="23"/>
      <c r="BT395" s="23"/>
      <c r="BU395" s="23"/>
      <c r="BV395" s="23"/>
      <c r="BW395" s="23"/>
      <c r="BX395" s="5"/>
      <c r="BY395" s="5"/>
      <c r="BZ395" s="5"/>
      <c r="CA395" s="5"/>
    </row>
    <row r="396" spans="1:79" x14ac:dyDescent="0.3">
      <c r="A396" s="4" t="s">
        <v>2</v>
      </c>
      <c r="B396" s="4" t="s">
        <v>3</v>
      </c>
      <c r="C396" s="4" t="s">
        <v>4</v>
      </c>
      <c r="D396" s="4" t="s">
        <v>5</v>
      </c>
      <c r="E396" s="4" t="s">
        <v>6</v>
      </c>
      <c r="F396" s="4" t="s">
        <v>7</v>
      </c>
      <c r="G396" s="4" t="s">
        <v>8</v>
      </c>
      <c r="I396" s="4" t="s">
        <v>2</v>
      </c>
      <c r="J396" s="4" t="s">
        <v>3</v>
      </c>
      <c r="K396" s="4" t="s">
        <v>4</v>
      </c>
      <c r="L396" s="4" t="s">
        <v>5</v>
      </c>
      <c r="M396" s="4" t="s">
        <v>6</v>
      </c>
      <c r="N396" s="4" t="s">
        <v>7</v>
      </c>
      <c r="O396" s="4" t="s">
        <v>8</v>
      </c>
      <c r="P396" s="3" t="s">
        <v>322</v>
      </c>
      <c r="Q396" s="3" t="s">
        <v>323</v>
      </c>
      <c r="R396" s="3" t="s">
        <v>322</v>
      </c>
      <c r="S396" s="3" t="s">
        <v>323</v>
      </c>
      <c r="U396" s="4" t="s">
        <v>2</v>
      </c>
      <c r="V396" s="4" t="s">
        <v>3</v>
      </c>
      <c r="W396" s="4" t="s">
        <v>4</v>
      </c>
      <c r="X396" s="4" t="s">
        <v>5</v>
      </c>
      <c r="Y396" s="4" t="s">
        <v>6</v>
      </c>
      <c r="Z396" s="4" t="s">
        <v>7</v>
      </c>
      <c r="AA396" s="4" t="s">
        <v>8</v>
      </c>
      <c r="AC396" s="4" t="s">
        <v>2</v>
      </c>
      <c r="AD396" s="4" t="s">
        <v>3</v>
      </c>
      <c r="AE396" s="4" t="s">
        <v>4</v>
      </c>
      <c r="AF396" s="4" t="s">
        <v>5</v>
      </c>
      <c r="AG396" s="4" t="s">
        <v>6</v>
      </c>
      <c r="AH396" s="4" t="s">
        <v>7</v>
      </c>
      <c r="AI396" s="4" t="s">
        <v>8</v>
      </c>
      <c r="AJ396" s="3" t="s">
        <v>322</v>
      </c>
      <c r="AK396" s="3" t="s">
        <v>323</v>
      </c>
      <c r="AL396" s="3" t="s">
        <v>322</v>
      </c>
      <c r="AM396" s="3" t="s">
        <v>323</v>
      </c>
      <c r="AO396" s="4" t="s">
        <v>2</v>
      </c>
      <c r="AP396" s="4" t="s">
        <v>3</v>
      </c>
      <c r="AQ396" s="4" t="s">
        <v>4</v>
      </c>
      <c r="AR396" s="4" t="s">
        <v>5</v>
      </c>
      <c r="AS396" s="4" t="s">
        <v>6</v>
      </c>
      <c r="AT396" s="4" t="s">
        <v>7</v>
      </c>
      <c r="AU396" s="4" t="s">
        <v>8</v>
      </c>
      <c r="AW396" s="4" t="s">
        <v>2</v>
      </c>
      <c r="AX396" s="4" t="s">
        <v>3</v>
      </c>
      <c r="AY396" s="4" t="s">
        <v>4</v>
      </c>
      <c r="AZ396" s="4" t="s">
        <v>5</v>
      </c>
      <c r="BA396" s="4" t="s">
        <v>6</v>
      </c>
      <c r="BB396" s="4" t="s">
        <v>7</v>
      </c>
      <c r="BC396" s="4" t="s">
        <v>8</v>
      </c>
      <c r="BD396" s="3" t="s">
        <v>322</v>
      </c>
      <c r="BE396" s="3" t="s">
        <v>323</v>
      </c>
      <c r="BF396" s="3" t="s">
        <v>322</v>
      </c>
      <c r="BG396" s="3" t="s">
        <v>323</v>
      </c>
      <c r="BI396" s="4" t="s">
        <v>2</v>
      </c>
      <c r="BJ396" s="4" t="s">
        <v>3</v>
      </c>
      <c r="BK396" s="4" t="s">
        <v>4</v>
      </c>
      <c r="BL396" s="4" t="s">
        <v>5</v>
      </c>
      <c r="BM396" s="4" t="s">
        <v>6</v>
      </c>
      <c r="BN396" s="4" t="s">
        <v>7</v>
      </c>
      <c r="BO396" s="4" t="s">
        <v>8</v>
      </c>
      <c r="BQ396" s="4" t="s">
        <v>2</v>
      </c>
      <c r="BR396" s="4" t="s">
        <v>3</v>
      </c>
      <c r="BS396" s="4" t="s">
        <v>4</v>
      </c>
      <c r="BT396" s="4" t="s">
        <v>5</v>
      </c>
      <c r="BU396" s="4" t="s">
        <v>6</v>
      </c>
      <c r="BV396" s="4" t="s">
        <v>7</v>
      </c>
      <c r="BW396" s="4" t="s">
        <v>8</v>
      </c>
      <c r="BX396" s="3" t="s">
        <v>322</v>
      </c>
      <c r="BY396" s="3" t="s">
        <v>323</v>
      </c>
      <c r="BZ396" s="3" t="s">
        <v>322</v>
      </c>
      <c r="CA396" s="3" t="s">
        <v>323</v>
      </c>
    </row>
    <row r="397" spans="1:79" x14ac:dyDescent="0.3">
      <c r="A397" s="4" t="s">
        <v>194</v>
      </c>
      <c r="B397" s="4">
        <v>0.9</v>
      </c>
      <c r="C397" s="4">
        <v>0.5</v>
      </c>
      <c r="D397" s="4">
        <v>0.6</v>
      </c>
      <c r="E397" s="4">
        <v>0.3</v>
      </c>
      <c r="F397" s="6">
        <v>677.85790999999995</v>
      </c>
      <c r="G397" s="4">
        <v>3.0000000000000001E-3</v>
      </c>
      <c r="I397" s="4" t="s">
        <v>194</v>
      </c>
      <c r="J397" s="4">
        <v>0.9</v>
      </c>
      <c r="K397" s="4">
        <v>0.5</v>
      </c>
      <c r="L397" s="4">
        <v>0.6</v>
      </c>
      <c r="M397" s="4">
        <v>0.38</v>
      </c>
      <c r="N397" s="4">
        <v>690.98492399999998</v>
      </c>
      <c r="O397" s="4">
        <v>3.0000000000000001E-3</v>
      </c>
      <c r="P397" s="4" t="s">
        <v>324</v>
      </c>
      <c r="Q397" s="4" t="s">
        <v>324</v>
      </c>
      <c r="R397" s="4" t="s">
        <v>325</v>
      </c>
      <c r="S397" s="4" t="s">
        <v>325</v>
      </c>
      <c r="U397" s="4" t="s">
        <v>194</v>
      </c>
      <c r="V397" s="4">
        <v>0.9</v>
      </c>
      <c r="W397" s="4">
        <v>0.5</v>
      </c>
      <c r="X397" s="4">
        <v>0.6</v>
      </c>
      <c r="Y397" s="4">
        <v>0.3</v>
      </c>
      <c r="Z397" s="6">
        <v>671.59240699999998</v>
      </c>
      <c r="AA397" s="4">
        <v>2E-3</v>
      </c>
      <c r="AC397" s="4" t="s">
        <v>194</v>
      </c>
      <c r="AD397" s="4">
        <v>0.9</v>
      </c>
      <c r="AE397" s="4">
        <v>0.5</v>
      </c>
      <c r="AF397" s="4">
        <v>0.6</v>
      </c>
      <c r="AG397" s="4">
        <v>0.3</v>
      </c>
      <c r="AH397" s="4">
        <v>680.66156000000001</v>
      </c>
      <c r="AI397" s="4">
        <v>3.0000000000000001E-3</v>
      </c>
      <c r="AJ397" s="4" t="s">
        <v>324</v>
      </c>
      <c r="AK397" s="4" t="s">
        <v>324</v>
      </c>
      <c r="AL397" s="4" t="s">
        <v>325</v>
      </c>
      <c r="AM397" s="4" t="s">
        <v>325</v>
      </c>
      <c r="AO397" s="4" t="s">
        <v>195</v>
      </c>
      <c r="AP397" s="4">
        <v>0.9</v>
      </c>
      <c r="AQ397" s="4">
        <v>0.5</v>
      </c>
      <c r="AR397" s="4">
        <v>0.6</v>
      </c>
      <c r="AS397" s="4">
        <v>0.3</v>
      </c>
      <c r="AT397" s="6">
        <v>989.65808100000004</v>
      </c>
      <c r="AU397" s="4">
        <v>1.2E-2</v>
      </c>
      <c r="AW397" s="4" t="s">
        <v>195</v>
      </c>
      <c r="AX397" s="4">
        <v>0.9</v>
      </c>
      <c r="AY397" s="4">
        <v>0.5</v>
      </c>
      <c r="AZ397" s="4">
        <v>0.6</v>
      </c>
      <c r="BA397" s="4">
        <v>0.35</v>
      </c>
      <c r="BB397" s="4">
        <v>1006.13147</v>
      </c>
      <c r="BC397" s="4">
        <v>0.01</v>
      </c>
      <c r="BD397" s="4" t="s">
        <v>324</v>
      </c>
      <c r="BE397" s="4" t="s">
        <v>324</v>
      </c>
      <c r="BF397" s="4" t="s">
        <v>325</v>
      </c>
      <c r="BG397" s="4" t="s">
        <v>325</v>
      </c>
      <c r="BI397" s="4" t="s">
        <v>195</v>
      </c>
      <c r="BJ397" s="4">
        <v>0.9</v>
      </c>
      <c r="BK397" s="4">
        <v>0.5</v>
      </c>
      <c r="BL397" s="4">
        <v>0.6</v>
      </c>
      <c r="BM397" s="4">
        <v>0.3</v>
      </c>
      <c r="BN397" s="6">
        <v>974.86596699999996</v>
      </c>
      <c r="BO397" s="4">
        <v>0.01</v>
      </c>
      <c r="BQ397" s="4" t="s">
        <v>195</v>
      </c>
      <c r="BR397" s="4">
        <v>0.9</v>
      </c>
      <c r="BS397" s="4">
        <v>0.5</v>
      </c>
      <c r="BT397" s="4">
        <v>0.6</v>
      </c>
      <c r="BU397" s="4">
        <v>0.3</v>
      </c>
      <c r="BV397" s="4">
        <v>1009.489136</v>
      </c>
      <c r="BW397" s="4">
        <v>7.0000000000000001E-3</v>
      </c>
      <c r="BX397" s="4" t="s">
        <v>324</v>
      </c>
      <c r="BY397" s="4" t="s">
        <v>324</v>
      </c>
      <c r="BZ397" s="4" t="s">
        <v>325</v>
      </c>
      <c r="CA397" s="4" t="s">
        <v>325</v>
      </c>
    </row>
    <row r="398" spans="1:79" x14ac:dyDescent="0.3">
      <c r="A398" s="4" t="s">
        <v>196</v>
      </c>
      <c r="B398" s="4">
        <v>0.9</v>
      </c>
      <c r="C398" s="4">
        <v>0.5</v>
      </c>
      <c r="D398" s="4">
        <v>0.6</v>
      </c>
      <c r="E398" s="4">
        <v>0.3</v>
      </c>
      <c r="F398" s="6">
        <v>653.50573699999995</v>
      </c>
      <c r="G398" s="4">
        <v>3.0000000000000001E-3</v>
      </c>
      <c r="I398" s="4" t="s">
        <v>196</v>
      </c>
      <c r="J398" s="4">
        <v>0.9</v>
      </c>
      <c r="K398" s="4">
        <v>0.5</v>
      </c>
      <c r="L398" s="4">
        <v>0.6</v>
      </c>
      <c r="M398" s="4">
        <v>0.3</v>
      </c>
      <c r="N398" s="4">
        <v>653.74194299999999</v>
      </c>
      <c r="O398" s="4">
        <v>2E-3</v>
      </c>
      <c r="P398" s="3">
        <f>COUNT(F397:F407,F409:F410,F412:F426)</f>
        <v>28</v>
      </c>
      <c r="Q398" s="3">
        <f>30-P398</f>
        <v>2</v>
      </c>
      <c r="R398" s="3">
        <f>COUNT(N408,N411,N417)</f>
        <v>3</v>
      </c>
      <c r="S398" s="3">
        <f>30-R398</f>
        <v>27</v>
      </c>
      <c r="U398" s="4" t="s">
        <v>196</v>
      </c>
      <c r="V398" s="4">
        <v>0.9</v>
      </c>
      <c r="W398" s="4">
        <v>0.5</v>
      </c>
      <c r="X398" s="4">
        <v>0.6</v>
      </c>
      <c r="Y398" s="4">
        <v>0.3</v>
      </c>
      <c r="Z398" s="6">
        <v>624.62707499999999</v>
      </c>
      <c r="AA398" s="4">
        <v>2E-3</v>
      </c>
      <c r="AC398" s="4" t="s">
        <v>196</v>
      </c>
      <c r="AD398" s="4">
        <v>0.9</v>
      </c>
      <c r="AE398" s="4">
        <v>0.5</v>
      </c>
      <c r="AF398" s="4">
        <v>0.6</v>
      </c>
      <c r="AG398" s="4">
        <v>0.31</v>
      </c>
      <c r="AH398" s="4">
        <v>652.37176499999998</v>
      </c>
      <c r="AI398" s="4">
        <v>4.0000000000000001E-3</v>
      </c>
      <c r="AJ398" s="3">
        <f>COUNT(Z397:Z403,Z405:Z411,Z413:Z420,Z422:Z423,Z425:Z426)</f>
        <v>26</v>
      </c>
      <c r="AK398" s="3">
        <f>30-AJ398</f>
        <v>4</v>
      </c>
      <c r="AL398" s="3">
        <f>COUNT(AH404,AH412,AH421,AH424)</f>
        <v>4</v>
      </c>
      <c r="AM398" s="3">
        <f>30-AL398</f>
        <v>26</v>
      </c>
      <c r="AO398" s="4" t="s">
        <v>197</v>
      </c>
      <c r="AP398" s="4">
        <v>0.9</v>
      </c>
      <c r="AQ398" s="4">
        <v>0.5</v>
      </c>
      <c r="AR398" s="4">
        <v>0.6</v>
      </c>
      <c r="AS398" s="4">
        <v>0.3</v>
      </c>
      <c r="AT398" s="6">
        <v>903.62652600000001</v>
      </c>
      <c r="AU398" s="4">
        <v>7.0000000000000001E-3</v>
      </c>
      <c r="AW398" s="4" t="s">
        <v>197</v>
      </c>
      <c r="AX398" s="4">
        <v>0.9</v>
      </c>
      <c r="AY398" s="4">
        <v>0.5</v>
      </c>
      <c r="AZ398" s="4">
        <v>0.6</v>
      </c>
      <c r="BA398" s="4">
        <v>0.32</v>
      </c>
      <c r="BB398" s="4">
        <v>964.77124000000003</v>
      </c>
      <c r="BC398" s="4">
        <v>1.0999999999999999E-2</v>
      </c>
      <c r="BD398" s="3">
        <f>COUNT(AT397:AT413,AT415:AT426)</f>
        <v>29</v>
      </c>
      <c r="BE398" s="3">
        <f>30-BD398</f>
        <v>1</v>
      </c>
      <c r="BF398" s="3">
        <f>COUNT(BB414)</f>
        <v>1</v>
      </c>
      <c r="BG398" s="3">
        <f>30-BF398</f>
        <v>29</v>
      </c>
      <c r="BI398" s="4" t="s">
        <v>197</v>
      </c>
      <c r="BJ398" s="4">
        <v>0.9</v>
      </c>
      <c r="BK398" s="4">
        <v>0.5</v>
      </c>
      <c r="BL398" s="4">
        <v>0.6</v>
      </c>
      <c r="BM398" s="4">
        <v>0.3</v>
      </c>
      <c r="BN398" s="6">
        <v>902.38568099999998</v>
      </c>
      <c r="BO398" s="4">
        <v>8.0000000000000002E-3</v>
      </c>
      <c r="BQ398" s="4" t="s">
        <v>197</v>
      </c>
      <c r="BR398" s="4">
        <v>0.9</v>
      </c>
      <c r="BS398" s="4">
        <v>0.5</v>
      </c>
      <c r="BT398" s="4">
        <v>0.6</v>
      </c>
      <c r="BU398" s="4">
        <v>0.31</v>
      </c>
      <c r="BV398" s="4">
        <v>933.74322500000005</v>
      </c>
      <c r="BW398" s="4">
        <v>7.0000000000000001E-3</v>
      </c>
      <c r="BX398" s="3">
        <f>COUNT(BN397:BN413,BN415:BN426)</f>
        <v>29</v>
      </c>
      <c r="BY398" s="3">
        <f>30-BX398</f>
        <v>1</v>
      </c>
      <c r="BZ398" s="3">
        <f>COUNT(BV414)</f>
        <v>1</v>
      </c>
      <c r="CA398" s="3">
        <f>30-BZ398</f>
        <v>29</v>
      </c>
    </row>
    <row r="399" spans="1:79" x14ac:dyDescent="0.3">
      <c r="A399" s="4" t="s">
        <v>198</v>
      </c>
      <c r="B399" s="4">
        <v>0.9</v>
      </c>
      <c r="C399" s="4">
        <v>0.5</v>
      </c>
      <c r="D399" s="4">
        <v>0.6</v>
      </c>
      <c r="E399" s="4">
        <v>0.3</v>
      </c>
      <c r="F399" s="6">
        <v>630.331726</v>
      </c>
      <c r="G399" s="4">
        <v>4.0000000000000001E-3</v>
      </c>
      <c r="I399" s="4" t="s">
        <v>198</v>
      </c>
      <c r="J399" s="4">
        <v>0.9</v>
      </c>
      <c r="K399" s="4">
        <v>0.5</v>
      </c>
      <c r="L399" s="4">
        <v>0.6</v>
      </c>
      <c r="M399" s="4">
        <v>0.32</v>
      </c>
      <c r="N399" s="4">
        <v>631.75915499999996</v>
      </c>
      <c r="O399" s="4">
        <v>2E-3</v>
      </c>
      <c r="P399" s="5"/>
      <c r="Q399" s="5"/>
      <c r="R399" s="5"/>
      <c r="S399" s="5"/>
      <c r="U399" s="4" t="s">
        <v>198</v>
      </c>
      <c r="V399" s="4">
        <v>0.9</v>
      </c>
      <c r="W399" s="4">
        <v>0.5</v>
      </c>
      <c r="X399" s="4">
        <v>0.6</v>
      </c>
      <c r="Y399" s="4">
        <v>0.3</v>
      </c>
      <c r="Z399" s="6">
        <v>623.92511000000002</v>
      </c>
      <c r="AA399" s="4">
        <v>2E-3</v>
      </c>
      <c r="AC399" s="4" t="s">
        <v>198</v>
      </c>
      <c r="AD399" s="4">
        <v>0.9</v>
      </c>
      <c r="AE399" s="4">
        <v>0.5</v>
      </c>
      <c r="AF399" s="4">
        <v>0.6</v>
      </c>
      <c r="AG399" s="4">
        <v>0.32</v>
      </c>
      <c r="AH399" s="4">
        <v>642.99670400000002</v>
      </c>
      <c r="AI399" s="4">
        <v>3.0000000000000001E-3</v>
      </c>
      <c r="AJ399" s="5"/>
      <c r="AK399" s="5"/>
      <c r="AL399" s="5"/>
      <c r="AM399" s="5"/>
      <c r="AO399" s="4" t="s">
        <v>199</v>
      </c>
      <c r="AP399" s="4">
        <v>0.9</v>
      </c>
      <c r="AQ399" s="4">
        <v>0.5</v>
      </c>
      <c r="AR399" s="4">
        <v>0.6</v>
      </c>
      <c r="AS399" s="4">
        <v>0.3</v>
      </c>
      <c r="AT399" s="6">
        <v>953.35882600000002</v>
      </c>
      <c r="AU399" s="4">
        <v>1.4E-2</v>
      </c>
      <c r="AW399" s="4" t="s">
        <v>199</v>
      </c>
      <c r="AX399" s="4">
        <v>0.9</v>
      </c>
      <c r="AY399" s="4">
        <v>0.5</v>
      </c>
      <c r="AZ399" s="4">
        <v>0.6</v>
      </c>
      <c r="BA399" s="4">
        <v>0.3</v>
      </c>
      <c r="BB399" s="4">
        <v>970.48962400000005</v>
      </c>
      <c r="BC399" s="4">
        <v>1.0999999999999999E-2</v>
      </c>
      <c r="BD399" s="5"/>
      <c r="BE399" s="5"/>
      <c r="BF399" s="5"/>
      <c r="BG399" s="5"/>
      <c r="BI399" s="4" t="s">
        <v>199</v>
      </c>
      <c r="BJ399" s="4">
        <v>0.9</v>
      </c>
      <c r="BK399" s="4">
        <v>0.5</v>
      </c>
      <c r="BL399" s="4">
        <v>0.6</v>
      </c>
      <c r="BM399" s="4">
        <v>0.3</v>
      </c>
      <c r="BN399" s="6">
        <v>938.87085000000002</v>
      </c>
      <c r="BO399" s="4">
        <v>1.2E-2</v>
      </c>
      <c r="BQ399" s="4" t="s">
        <v>199</v>
      </c>
      <c r="BR399" s="4">
        <v>0.9</v>
      </c>
      <c r="BS399" s="4">
        <v>0.5</v>
      </c>
      <c r="BT399" s="4">
        <v>0.6</v>
      </c>
      <c r="BU399" s="4">
        <v>0.3</v>
      </c>
      <c r="BV399" s="4">
        <v>964.15191700000003</v>
      </c>
      <c r="BW399" s="4">
        <v>7.0000000000000001E-3</v>
      </c>
      <c r="BX399" s="5"/>
      <c r="BY399" s="5"/>
      <c r="BZ399" s="5"/>
      <c r="CA399" s="5"/>
    </row>
    <row r="400" spans="1:79" x14ac:dyDescent="0.3">
      <c r="A400" s="4" t="s">
        <v>200</v>
      </c>
      <c r="B400" s="4">
        <v>0.9</v>
      </c>
      <c r="C400" s="4">
        <v>0.5</v>
      </c>
      <c r="D400" s="4">
        <v>0.6</v>
      </c>
      <c r="E400" s="4">
        <v>0.3</v>
      </c>
      <c r="F400" s="6">
        <v>598.18573000000004</v>
      </c>
      <c r="G400" s="4">
        <v>3.0000000000000001E-3</v>
      </c>
      <c r="I400" s="4" t="s">
        <v>200</v>
      </c>
      <c r="J400" s="4">
        <v>0.9</v>
      </c>
      <c r="K400" s="4">
        <v>0.5</v>
      </c>
      <c r="L400" s="4">
        <v>0.6</v>
      </c>
      <c r="M400" s="4">
        <v>0.3</v>
      </c>
      <c r="N400" s="4">
        <v>602.20471199999997</v>
      </c>
      <c r="O400" s="4">
        <v>2E-3</v>
      </c>
      <c r="P400" s="5"/>
      <c r="Q400" s="5"/>
      <c r="R400" s="5"/>
      <c r="S400" s="5"/>
      <c r="U400" s="4" t="s">
        <v>200</v>
      </c>
      <c r="V400" s="4">
        <v>0.9</v>
      </c>
      <c r="W400" s="4">
        <v>0.5</v>
      </c>
      <c r="X400" s="4">
        <v>0.6</v>
      </c>
      <c r="Y400" s="4">
        <v>0.3</v>
      </c>
      <c r="Z400" s="6">
        <v>573.83697500000005</v>
      </c>
      <c r="AA400" s="4">
        <v>2E-3</v>
      </c>
      <c r="AC400" s="4" t="s">
        <v>200</v>
      </c>
      <c r="AD400" s="4">
        <v>0.9</v>
      </c>
      <c r="AE400" s="4">
        <v>0.5</v>
      </c>
      <c r="AF400" s="4">
        <v>0.6</v>
      </c>
      <c r="AG400" s="4">
        <v>0.32</v>
      </c>
      <c r="AH400" s="4">
        <v>578.91381799999999</v>
      </c>
      <c r="AI400" s="4">
        <v>2E-3</v>
      </c>
      <c r="AJ400" s="5"/>
      <c r="AK400" s="5"/>
      <c r="AL400" s="5"/>
      <c r="AM400" s="5"/>
      <c r="AO400" s="4" t="s">
        <v>201</v>
      </c>
      <c r="AP400" s="4">
        <v>0.9</v>
      </c>
      <c r="AQ400" s="4">
        <v>0.5</v>
      </c>
      <c r="AR400" s="4">
        <v>0.6</v>
      </c>
      <c r="AS400" s="4">
        <v>0.3</v>
      </c>
      <c r="AT400" s="6">
        <v>993.21319600000004</v>
      </c>
      <c r="AU400" s="4">
        <v>7.0000000000000001E-3</v>
      </c>
      <c r="AW400" s="4" t="s">
        <v>201</v>
      </c>
      <c r="AX400" s="4">
        <v>0.9</v>
      </c>
      <c r="AY400" s="4">
        <v>0.5</v>
      </c>
      <c r="AZ400" s="4">
        <v>0.6</v>
      </c>
      <c r="BA400" s="4">
        <v>0.31</v>
      </c>
      <c r="BB400" s="4">
        <v>1031.9023440000001</v>
      </c>
      <c r="BC400" s="4">
        <v>8.9999999999999993E-3</v>
      </c>
      <c r="BD400" s="5"/>
      <c r="BE400" s="5"/>
      <c r="BF400" s="5"/>
      <c r="BG400" s="5"/>
      <c r="BI400" s="4" t="s">
        <v>201</v>
      </c>
      <c r="BJ400" s="4">
        <v>0.9</v>
      </c>
      <c r="BK400" s="4">
        <v>0.5</v>
      </c>
      <c r="BL400" s="4">
        <v>0.6</v>
      </c>
      <c r="BM400" s="4">
        <v>0.3</v>
      </c>
      <c r="BN400" s="6">
        <v>998.41039999999998</v>
      </c>
      <c r="BO400" s="4">
        <v>8.0000000000000002E-3</v>
      </c>
      <c r="BQ400" s="4" t="s">
        <v>201</v>
      </c>
      <c r="BR400" s="4">
        <v>0.9</v>
      </c>
      <c r="BS400" s="4">
        <v>0.5</v>
      </c>
      <c r="BT400" s="4">
        <v>0.6</v>
      </c>
      <c r="BU400" s="4">
        <v>0.31</v>
      </c>
      <c r="BV400" s="4">
        <v>1010.094299</v>
      </c>
      <c r="BW400" s="4">
        <v>7.0000000000000001E-3</v>
      </c>
      <c r="BX400" s="5"/>
      <c r="BY400" s="5"/>
      <c r="BZ400" s="5"/>
      <c r="CA400" s="5"/>
    </row>
    <row r="401" spans="1:79" x14ac:dyDescent="0.3">
      <c r="A401" s="4" t="s">
        <v>202</v>
      </c>
      <c r="B401" s="4">
        <v>0.9</v>
      </c>
      <c r="C401" s="4">
        <v>0.5</v>
      </c>
      <c r="D401" s="4">
        <v>0.6</v>
      </c>
      <c r="E401" s="4">
        <v>0.3</v>
      </c>
      <c r="F401" s="6">
        <v>590.22479199999998</v>
      </c>
      <c r="G401" s="4">
        <v>2E-3</v>
      </c>
      <c r="I401" s="4" t="s">
        <v>202</v>
      </c>
      <c r="J401" s="4">
        <v>0.9</v>
      </c>
      <c r="K401" s="4">
        <v>0.5</v>
      </c>
      <c r="L401" s="4">
        <v>0.6</v>
      </c>
      <c r="M401" s="4">
        <v>0.31</v>
      </c>
      <c r="N401" s="4">
        <v>605.50585899999999</v>
      </c>
      <c r="O401" s="4">
        <v>2E-3</v>
      </c>
      <c r="P401" s="5"/>
      <c r="Q401" s="5"/>
      <c r="R401" s="5"/>
      <c r="S401" s="5"/>
      <c r="U401" s="4" t="s">
        <v>202</v>
      </c>
      <c r="V401" s="4">
        <v>0.9</v>
      </c>
      <c r="W401" s="4">
        <v>0.5</v>
      </c>
      <c r="X401" s="4">
        <v>0.6</v>
      </c>
      <c r="Y401" s="4">
        <v>0.3</v>
      </c>
      <c r="Z401" s="6">
        <v>578.03008999999997</v>
      </c>
      <c r="AA401" s="4">
        <v>2E-3</v>
      </c>
      <c r="AC401" s="4" t="s">
        <v>202</v>
      </c>
      <c r="AD401" s="4">
        <v>0.9</v>
      </c>
      <c r="AE401" s="4">
        <v>0.5</v>
      </c>
      <c r="AF401" s="4">
        <v>0.6</v>
      </c>
      <c r="AG401" s="4">
        <v>0.3</v>
      </c>
      <c r="AH401" s="4">
        <v>593.99395800000002</v>
      </c>
      <c r="AI401" s="4">
        <v>2E-3</v>
      </c>
      <c r="AJ401" s="5"/>
      <c r="AK401" s="5"/>
      <c r="AL401" s="5"/>
      <c r="AM401" s="5"/>
      <c r="AO401" s="4" t="s">
        <v>203</v>
      </c>
      <c r="AP401" s="4">
        <v>0.9</v>
      </c>
      <c r="AQ401" s="4">
        <v>0.5</v>
      </c>
      <c r="AR401" s="4">
        <v>0.6</v>
      </c>
      <c r="AS401" s="4">
        <v>0.3</v>
      </c>
      <c r="AT401" s="6">
        <v>961.06109600000002</v>
      </c>
      <c r="AU401" s="4">
        <v>8.0000000000000002E-3</v>
      </c>
      <c r="AW401" s="4" t="s">
        <v>203</v>
      </c>
      <c r="AX401" s="4">
        <v>0.9</v>
      </c>
      <c r="AY401" s="4">
        <v>0.5</v>
      </c>
      <c r="AZ401" s="4">
        <v>0.6</v>
      </c>
      <c r="BA401" s="4">
        <v>0.3</v>
      </c>
      <c r="BB401" s="4">
        <v>980.80926499999998</v>
      </c>
      <c r="BC401" s="4">
        <v>8.0000000000000002E-3</v>
      </c>
      <c r="BD401" s="5"/>
      <c r="BE401" s="5"/>
      <c r="BF401" s="5"/>
      <c r="BG401" s="5"/>
      <c r="BI401" s="4" t="s">
        <v>203</v>
      </c>
      <c r="BJ401" s="4">
        <v>0.9</v>
      </c>
      <c r="BK401" s="4">
        <v>0.5</v>
      </c>
      <c r="BL401" s="4">
        <v>0.6</v>
      </c>
      <c r="BM401" s="4">
        <v>0.3</v>
      </c>
      <c r="BN401" s="6">
        <v>935.21215800000004</v>
      </c>
      <c r="BO401" s="4">
        <v>1.4E-2</v>
      </c>
      <c r="BQ401" s="4" t="s">
        <v>203</v>
      </c>
      <c r="BR401" s="4">
        <v>0.9</v>
      </c>
      <c r="BS401" s="4">
        <v>0.5</v>
      </c>
      <c r="BT401" s="4">
        <v>0.6</v>
      </c>
      <c r="BU401" s="4">
        <v>0.31</v>
      </c>
      <c r="BV401" s="4">
        <v>963.58496100000002</v>
      </c>
      <c r="BW401" s="4">
        <v>7.0000000000000001E-3</v>
      </c>
      <c r="BX401" s="5"/>
      <c r="BY401" s="5"/>
      <c r="BZ401" s="5"/>
      <c r="CA401" s="5"/>
    </row>
    <row r="402" spans="1:79" x14ac:dyDescent="0.3">
      <c r="A402" s="4" t="s">
        <v>204</v>
      </c>
      <c r="B402" s="4">
        <v>0.9</v>
      </c>
      <c r="C402" s="4">
        <v>0.5</v>
      </c>
      <c r="D402" s="4">
        <v>0.6</v>
      </c>
      <c r="E402" s="4">
        <v>0.3</v>
      </c>
      <c r="F402" s="6">
        <v>641.32995600000004</v>
      </c>
      <c r="G402" s="4">
        <v>3.0000000000000001E-3</v>
      </c>
      <c r="I402" s="4" t="s">
        <v>204</v>
      </c>
      <c r="J402" s="4">
        <v>0.9</v>
      </c>
      <c r="K402" s="4">
        <v>0.5</v>
      </c>
      <c r="L402" s="4">
        <v>0.6</v>
      </c>
      <c r="M402" s="4">
        <v>0.31</v>
      </c>
      <c r="N402" s="4">
        <v>645.97259499999996</v>
      </c>
      <c r="O402" s="4">
        <v>2E-3</v>
      </c>
      <c r="P402" s="5"/>
      <c r="Q402" s="5"/>
      <c r="R402" s="5"/>
      <c r="S402" s="5"/>
      <c r="U402" s="4" t="s">
        <v>204</v>
      </c>
      <c r="V402" s="4">
        <v>0.9</v>
      </c>
      <c r="W402" s="4">
        <v>0.5</v>
      </c>
      <c r="X402" s="4">
        <v>0.6</v>
      </c>
      <c r="Y402" s="4">
        <v>0.3</v>
      </c>
      <c r="Z402" s="6">
        <v>631.43969700000002</v>
      </c>
      <c r="AA402" s="4">
        <v>2E-3</v>
      </c>
      <c r="AC402" s="4" t="s">
        <v>204</v>
      </c>
      <c r="AD402" s="4">
        <v>0.9</v>
      </c>
      <c r="AE402" s="4">
        <v>0.5</v>
      </c>
      <c r="AF402" s="4">
        <v>0.6</v>
      </c>
      <c r="AG402" s="4">
        <v>0.31</v>
      </c>
      <c r="AH402" s="4">
        <v>643.25213599999995</v>
      </c>
      <c r="AI402" s="4">
        <v>3.0000000000000001E-3</v>
      </c>
      <c r="AJ402" s="5"/>
      <c r="AK402" s="5"/>
      <c r="AL402" s="5"/>
      <c r="AM402" s="5"/>
      <c r="AO402" s="4" t="s">
        <v>205</v>
      </c>
      <c r="AP402" s="4">
        <v>0.9</v>
      </c>
      <c r="AQ402" s="4">
        <v>0.5</v>
      </c>
      <c r="AR402" s="4">
        <v>0.6</v>
      </c>
      <c r="AS402" s="4">
        <v>0.3</v>
      </c>
      <c r="AT402" s="6">
        <v>977.34466599999996</v>
      </c>
      <c r="AU402" s="4">
        <v>1.2E-2</v>
      </c>
      <c r="AW402" s="4" t="s">
        <v>205</v>
      </c>
      <c r="AX402" s="4">
        <v>0.9</v>
      </c>
      <c r="AY402" s="4">
        <v>0.5</v>
      </c>
      <c r="AZ402" s="4">
        <v>0.6</v>
      </c>
      <c r="BA402" s="4">
        <v>0.33</v>
      </c>
      <c r="BB402" s="4">
        <v>989.51122999999995</v>
      </c>
      <c r="BC402" s="4">
        <v>0.01</v>
      </c>
      <c r="BD402" s="5"/>
      <c r="BE402" s="5"/>
      <c r="BF402" s="5"/>
      <c r="BG402" s="5"/>
      <c r="BI402" s="4" t="s">
        <v>205</v>
      </c>
      <c r="BJ402" s="4">
        <v>0.9</v>
      </c>
      <c r="BK402" s="4">
        <v>0.5</v>
      </c>
      <c r="BL402" s="4">
        <v>0.6</v>
      </c>
      <c r="BM402" s="4">
        <v>0.3</v>
      </c>
      <c r="BN402" s="6">
        <v>964.56774900000005</v>
      </c>
      <c r="BO402" s="4">
        <v>0.01</v>
      </c>
      <c r="BQ402" s="4" t="s">
        <v>205</v>
      </c>
      <c r="BR402" s="4">
        <v>0.9</v>
      </c>
      <c r="BS402" s="4">
        <v>0.5</v>
      </c>
      <c r="BT402" s="4">
        <v>0.6</v>
      </c>
      <c r="BU402" s="4">
        <v>0.31</v>
      </c>
      <c r="BV402" s="4">
        <v>988.44329800000003</v>
      </c>
      <c r="BW402" s="4">
        <v>7.0000000000000001E-3</v>
      </c>
      <c r="BX402" s="5"/>
      <c r="BY402" s="5"/>
      <c r="BZ402" s="5"/>
      <c r="CA402" s="5"/>
    </row>
    <row r="403" spans="1:79" x14ac:dyDescent="0.3">
      <c r="A403" s="4" t="s">
        <v>206</v>
      </c>
      <c r="B403" s="4">
        <v>0.9</v>
      </c>
      <c r="C403" s="4">
        <v>0.5</v>
      </c>
      <c r="D403" s="4">
        <v>0.6</v>
      </c>
      <c r="E403" s="4">
        <v>0.3</v>
      </c>
      <c r="F403" s="6">
        <v>656.63104199999998</v>
      </c>
      <c r="G403" s="4">
        <v>2E-3</v>
      </c>
      <c r="I403" s="4" t="s">
        <v>206</v>
      </c>
      <c r="J403" s="4">
        <v>0.9</v>
      </c>
      <c r="K403" s="4">
        <v>0.5</v>
      </c>
      <c r="L403" s="4">
        <v>0.6</v>
      </c>
      <c r="M403" s="4">
        <v>0.33</v>
      </c>
      <c r="N403" s="4">
        <v>664.94091800000001</v>
      </c>
      <c r="O403" s="4">
        <v>2E-3</v>
      </c>
      <c r="P403" s="5"/>
      <c r="Q403" s="5"/>
      <c r="R403" s="5"/>
      <c r="S403" s="5"/>
      <c r="U403" s="4" t="s">
        <v>206</v>
      </c>
      <c r="V403" s="4">
        <v>0.9</v>
      </c>
      <c r="W403" s="4">
        <v>0.5</v>
      </c>
      <c r="X403" s="4">
        <v>0.6</v>
      </c>
      <c r="Y403" s="4">
        <v>0.3</v>
      </c>
      <c r="Z403" s="6">
        <v>648.38720699999999</v>
      </c>
      <c r="AA403" s="4">
        <v>2E-3</v>
      </c>
      <c r="AC403" s="4" t="s">
        <v>206</v>
      </c>
      <c r="AD403" s="4">
        <v>0.9</v>
      </c>
      <c r="AE403" s="4">
        <v>0.5</v>
      </c>
      <c r="AF403" s="4">
        <v>0.6</v>
      </c>
      <c r="AG403" s="4">
        <v>0.36</v>
      </c>
      <c r="AH403" s="4">
        <v>655.68926999999996</v>
      </c>
      <c r="AI403" s="4">
        <v>4.0000000000000001E-3</v>
      </c>
      <c r="AJ403" s="5"/>
      <c r="AK403" s="5"/>
      <c r="AL403" s="5"/>
      <c r="AM403" s="5"/>
      <c r="AO403" s="4" t="s">
        <v>207</v>
      </c>
      <c r="AP403" s="4">
        <v>0.9</v>
      </c>
      <c r="AQ403" s="4">
        <v>0.5</v>
      </c>
      <c r="AR403" s="4">
        <v>0.6</v>
      </c>
      <c r="AS403" s="4">
        <v>0.3</v>
      </c>
      <c r="AT403" s="6">
        <v>875.20654300000001</v>
      </c>
      <c r="AU403" s="4">
        <v>7.0000000000000001E-3</v>
      </c>
      <c r="AW403" s="4" t="s">
        <v>207</v>
      </c>
      <c r="AX403" s="4">
        <v>0.9</v>
      </c>
      <c r="AY403" s="4">
        <v>0.5</v>
      </c>
      <c r="AZ403" s="4">
        <v>0.6</v>
      </c>
      <c r="BA403" s="4">
        <v>0.32</v>
      </c>
      <c r="BB403" s="4">
        <v>904.17785600000002</v>
      </c>
      <c r="BC403" s="4">
        <v>8.9999999999999993E-3</v>
      </c>
      <c r="BD403" s="5"/>
      <c r="BE403" s="5"/>
      <c r="BF403" s="5"/>
      <c r="BG403" s="5"/>
      <c r="BI403" s="4" t="s">
        <v>207</v>
      </c>
      <c r="BJ403" s="4">
        <v>0.9</v>
      </c>
      <c r="BK403" s="4">
        <v>0.5</v>
      </c>
      <c r="BL403" s="4">
        <v>0.6</v>
      </c>
      <c r="BM403" s="4">
        <v>0.3</v>
      </c>
      <c r="BN403" s="6">
        <v>852.660889</v>
      </c>
      <c r="BO403" s="4">
        <v>7.0000000000000001E-3</v>
      </c>
      <c r="BQ403" s="4" t="s">
        <v>207</v>
      </c>
      <c r="BR403" s="4">
        <v>0.9</v>
      </c>
      <c r="BS403" s="4">
        <v>0.5</v>
      </c>
      <c r="BT403" s="4">
        <v>0.6</v>
      </c>
      <c r="BU403" s="4">
        <v>0.3</v>
      </c>
      <c r="BV403" s="4">
        <v>877.715149</v>
      </c>
      <c r="BW403" s="4">
        <v>8.0000000000000002E-3</v>
      </c>
      <c r="BX403" s="5"/>
      <c r="BY403" s="5"/>
      <c r="BZ403" s="5"/>
      <c r="CA403" s="5"/>
    </row>
    <row r="404" spans="1:79" x14ac:dyDescent="0.3">
      <c r="A404" s="4" t="s">
        <v>208</v>
      </c>
      <c r="B404" s="4">
        <v>0.9</v>
      </c>
      <c r="C404" s="4">
        <v>0.5</v>
      </c>
      <c r="D404" s="4">
        <v>0.6</v>
      </c>
      <c r="E404" s="4">
        <v>0.3</v>
      </c>
      <c r="F404" s="6">
        <v>616.14959699999997</v>
      </c>
      <c r="G404" s="4">
        <v>2E-3</v>
      </c>
      <c r="I404" s="4" t="s">
        <v>208</v>
      </c>
      <c r="J404" s="4">
        <v>0.9</v>
      </c>
      <c r="K404" s="4">
        <v>0.5</v>
      </c>
      <c r="L404" s="4">
        <v>0.6</v>
      </c>
      <c r="M404" s="4">
        <v>0.33</v>
      </c>
      <c r="N404" s="4">
        <v>630.60375999999997</v>
      </c>
      <c r="O404" s="4">
        <v>2E-3</v>
      </c>
      <c r="P404" s="5"/>
      <c r="Q404" s="5"/>
      <c r="R404" s="5"/>
      <c r="S404" s="5"/>
      <c r="U404" s="4" t="s">
        <v>208</v>
      </c>
      <c r="V404" s="4">
        <v>0.9</v>
      </c>
      <c r="W404" s="4">
        <v>0.5</v>
      </c>
      <c r="X404" s="4">
        <v>0.6</v>
      </c>
      <c r="Y404" s="4">
        <v>0.3</v>
      </c>
      <c r="Z404" s="4">
        <v>604.82757600000002</v>
      </c>
      <c r="AA404" s="4">
        <v>2E-3</v>
      </c>
      <c r="AC404" s="4" t="s">
        <v>208</v>
      </c>
      <c r="AD404" s="4">
        <v>0.9</v>
      </c>
      <c r="AE404" s="4">
        <v>0.5</v>
      </c>
      <c r="AF404" s="4">
        <v>0.6</v>
      </c>
      <c r="AG404" s="4">
        <v>0.32</v>
      </c>
      <c r="AH404" s="6">
        <v>603.12085000000002</v>
      </c>
      <c r="AI404" s="4">
        <v>3.0000000000000001E-3</v>
      </c>
      <c r="AJ404" s="5"/>
      <c r="AK404" s="5"/>
      <c r="AL404" s="5"/>
      <c r="AM404" s="5"/>
      <c r="AO404" s="4" t="s">
        <v>209</v>
      </c>
      <c r="AP404" s="4">
        <v>0.9</v>
      </c>
      <c r="AQ404" s="4">
        <v>0.5</v>
      </c>
      <c r="AR404" s="4">
        <v>0.6</v>
      </c>
      <c r="AS404" s="4">
        <v>0.3</v>
      </c>
      <c r="AT404" s="6">
        <v>877.23193400000002</v>
      </c>
      <c r="AU404" s="4">
        <v>7.0000000000000001E-3</v>
      </c>
      <c r="AW404" s="4" t="s">
        <v>209</v>
      </c>
      <c r="AX404" s="4">
        <v>0.9</v>
      </c>
      <c r="AY404" s="4">
        <v>0.5</v>
      </c>
      <c r="AZ404" s="4">
        <v>0.6</v>
      </c>
      <c r="BA404" s="4">
        <v>0.3</v>
      </c>
      <c r="BB404" s="4">
        <v>918.49786400000005</v>
      </c>
      <c r="BC404" s="4">
        <v>8.0000000000000002E-3</v>
      </c>
      <c r="BD404" s="5"/>
      <c r="BE404" s="5"/>
      <c r="BF404" s="5"/>
      <c r="BG404" s="5"/>
      <c r="BI404" s="4" t="s">
        <v>209</v>
      </c>
      <c r="BJ404" s="4">
        <v>0.9</v>
      </c>
      <c r="BK404" s="4">
        <v>0.5</v>
      </c>
      <c r="BL404" s="4">
        <v>0.6</v>
      </c>
      <c r="BM404" s="4">
        <v>0.3</v>
      </c>
      <c r="BN404" s="6">
        <v>849.09204099999999</v>
      </c>
      <c r="BO404" s="4">
        <v>8.9999999999999993E-3</v>
      </c>
      <c r="BQ404" s="4" t="s">
        <v>209</v>
      </c>
      <c r="BR404" s="4">
        <v>0.9</v>
      </c>
      <c r="BS404" s="4">
        <v>0.5</v>
      </c>
      <c r="BT404" s="4">
        <v>0.6</v>
      </c>
      <c r="BU404" s="4">
        <v>0.3</v>
      </c>
      <c r="BV404" s="4">
        <v>889.044128</v>
      </c>
      <c r="BW404" s="4">
        <v>0.01</v>
      </c>
      <c r="BX404" s="5"/>
      <c r="BY404" s="5"/>
      <c r="BZ404" s="5"/>
      <c r="CA404" s="5"/>
    </row>
    <row r="405" spans="1:79" x14ac:dyDescent="0.3">
      <c r="A405" s="4" t="s">
        <v>210</v>
      </c>
      <c r="B405" s="4">
        <v>0.9</v>
      </c>
      <c r="C405" s="4">
        <v>0.5</v>
      </c>
      <c r="D405" s="4">
        <v>0.6</v>
      </c>
      <c r="E405" s="4">
        <v>0.3</v>
      </c>
      <c r="F405" s="6">
        <v>620.622253</v>
      </c>
      <c r="G405" s="4">
        <v>2E-3</v>
      </c>
      <c r="I405" s="4" t="s">
        <v>210</v>
      </c>
      <c r="J405" s="4">
        <v>0.9</v>
      </c>
      <c r="K405" s="4">
        <v>0.5</v>
      </c>
      <c r="L405" s="4">
        <v>0.6</v>
      </c>
      <c r="M405" s="4">
        <v>0.36</v>
      </c>
      <c r="N405" s="4">
        <v>627.99304199999995</v>
      </c>
      <c r="O405" s="4">
        <v>2E-3</v>
      </c>
      <c r="P405" s="5"/>
      <c r="Q405" s="5"/>
      <c r="R405" s="5"/>
      <c r="S405" s="5"/>
      <c r="U405" s="4" t="s">
        <v>210</v>
      </c>
      <c r="V405" s="4">
        <v>0.9</v>
      </c>
      <c r="W405" s="4">
        <v>0.5</v>
      </c>
      <c r="X405" s="4">
        <v>0.6</v>
      </c>
      <c r="Y405" s="4">
        <v>0.3</v>
      </c>
      <c r="Z405" s="6">
        <v>608.55609100000004</v>
      </c>
      <c r="AA405" s="4">
        <v>3.0000000000000001E-3</v>
      </c>
      <c r="AC405" s="4" t="s">
        <v>210</v>
      </c>
      <c r="AD405" s="4">
        <v>0.9</v>
      </c>
      <c r="AE405" s="4">
        <v>0.5</v>
      </c>
      <c r="AF405" s="4">
        <v>0.6</v>
      </c>
      <c r="AG405" s="4">
        <v>0.31</v>
      </c>
      <c r="AH405" s="4">
        <v>623.08642599999996</v>
      </c>
      <c r="AI405" s="4">
        <v>3.0000000000000001E-3</v>
      </c>
      <c r="AJ405" s="5"/>
      <c r="AK405" s="5"/>
      <c r="AL405" s="5"/>
      <c r="AM405" s="5"/>
      <c r="AO405" s="4" t="s">
        <v>211</v>
      </c>
      <c r="AP405" s="4">
        <v>0.9</v>
      </c>
      <c r="AQ405" s="4">
        <v>0.5</v>
      </c>
      <c r="AR405" s="4">
        <v>0.6</v>
      </c>
      <c r="AS405" s="4">
        <v>0.3</v>
      </c>
      <c r="AT405" s="6">
        <v>914.02734399999997</v>
      </c>
      <c r="AU405" s="4">
        <v>7.0000000000000001E-3</v>
      </c>
      <c r="AW405" s="4" t="s">
        <v>211</v>
      </c>
      <c r="AX405" s="4">
        <v>0.9</v>
      </c>
      <c r="AY405" s="4">
        <v>0.5</v>
      </c>
      <c r="AZ405" s="4">
        <v>0.6</v>
      </c>
      <c r="BA405" s="4">
        <v>0.32</v>
      </c>
      <c r="BB405" s="4">
        <v>937.16369599999996</v>
      </c>
      <c r="BC405" s="4">
        <v>7.0000000000000001E-3</v>
      </c>
      <c r="BD405" s="5"/>
      <c r="BE405" s="5"/>
      <c r="BF405" s="5"/>
      <c r="BG405" s="5"/>
      <c r="BI405" s="4" t="s">
        <v>211</v>
      </c>
      <c r="BJ405" s="4">
        <v>0.9</v>
      </c>
      <c r="BK405" s="4">
        <v>0.5</v>
      </c>
      <c r="BL405" s="4">
        <v>0.6</v>
      </c>
      <c r="BM405" s="4">
        <v>0.3</v>
      </c>
      <c r="BN405" s="6">
        <v>898.07720900000004</v>
      </c>
      <c r="BO405" s="4">
        <v>7.0000000000000001E-3</v>
      </c>
      <c r="BQ405" s="4" t="s">
        <v>211</v>
      </c>
      <c r="BR405" s="4">
        <v>0.9</v>
      </c>
      <c r="BS405" s="4">
        <v>0.5</v>
      </c>
      <c r="BT405" s="4">
        <v>0.6</v>
      </c>
      <c r="BU405" s="4">
        <v>0.33</v>
      </c>
      <c r="BV405" s="4">
        <v>919.93463099999997</v>
      </c>
      <c r="BW405" s="4">
        <v>7.0000000000000001E-3</v>
      </c>
      <c r="BX405" s="5"/>
      <c r="BY405" s="5"/>
      <c r="BZ405" s="5"/>
      <c r="CA405" s="5"/>
    </row>
    <row r="406" spans="1:79" x14ac:dyDescent="0.3">
      <c r="A406" s="4" t="s">
        <v>212</v>
      </c>
      <c r="B406" s="4">
        <v>0.9</v>
      </c>
      <c r="C406" s="4">
        <v>0.5</v>
      </c>
      <c r="D406" s="4">
        <v>0.6</v>
      </c>
      <c r="E406" s="4">
        <v>0.3</v>
      </c>
      <c r="F406" s="6">
        <v>636.93353300000001</v>
      </c>
      <c r="G406" s="4">
        <v>2E-3</v>
      </c>
      <c r="I406" s="4" t="s">
        <v>212</v>
      </c>
      <c r="J406" s="4">
        <v>0.9</v>
      </c>
      <c r="K406" s="4">
        <v>0.5</v>
      </c>
      <c r="L406" s="4">
        <v>0.6</v>
      </c>
      <c r="M406" s="4">
        <v>0.36</v>
      </c>
      <c r="N406" s="4">
        <v>644.41326900000001</v>
      </c>
      <c r="O406" s="4">
        <v>2E-3</v>
      </c>
      <c r="P406" s="5"/>
      <c r="Q406" s="5"/>
      <c r="R406" s="5"/>
      <c r="S406" s="5"/>
      <c r="U406" s="4" t="s">
        <v>212</v>
      </c>
      <c r="V406" s="4">
        <v>0.9</v>
      </c>
      <c r="W406" s="4">
        <v>0.5</v>
      </c>
      <c r="X406" s="4">
        <v>0.6</v>
      </c>
      <c r="Y406" s="4">
        <v>0.3</v>
      </c>
      <c r="Z406" s="6">
        <v>620.18176300000005</v>
      </c>
      <c r="AA406" s="4">
        <v>2E-3</v>
      </c>
      <c r="AC406" s="4" t="s">
        <v>212</v>
      </c>
      <c r="AD406" s="4">
        <v>0.9</v>
      </c>
      <c r="AE406" s="4">
        <v>0.5</v>
      </c>
      <c r="AF406" s="4">
        <v>0.6</v>
      </c>
      <c r="AG406" s="4">
        <v>0.31</v>
      </c>
      <c r="AH406" s="4">
        <v>627.95953399999996</v>
      </c>
      <c r="AI406" s="4">
        <v>2E-3</v>
      </c>
      <c r="AJ406" s="5"/>
      <c r="AK406" s="5"/>
      <c r="AL406" s="5"/>
      <c r="AM406" s="5"/>
      <c r="AO406" s="4" t="s">
        <v>213</v>
      </c>
      <c r="AP406" s="4">
        <v>0.9</v>
      </c>
      <c r="AQ406" s="4">
        <v>0.5</v>
      </c>
      <c r="AR406" s="4">
        <v>0.6</v>
      </c>
      <c r="AS406" s="4">
        <v>0.3</v>
      </c>
      <c r="AT406" s="6">
        <v>956.25885000000005</v>
      </c>
      <c r="AU406" s="4">
        <v>0.01</v>
      </c>
      <c r="AW406" s="4" t="s">
        <v>213</v>
      </c>
      <c r="AX406" s="4">
        <v>0.9</v>
      </c>
      <c r="AY406" s="4">
        <v>0.5</v>
      </c>
      <c r="AZ406" s="4">
        <v>0.6</v>
      </c>
      <c r="BA406" s="4">
        <v>0.33</v>
      </c>
      <c r="BB406" s="4">
        <v>973.58483899999999</v>
      </c>
      <c r="BC406" s="4">
        <v>8.0000000000000002E-3</v>
      </c>
      <c r="BD406" s="5"/>
      <c r="BE406" s="5"/>
      <c r="BF406" s="5"/>
      <c r="BG406" s="5"/>
      <c r="BI406" s="4" t="s">
        <v>213</v>
      </c>
      <c r="BJ406" s="4">
        <v>0.9</v>
      </c>
      <c r="BK406" s="4">
        <v>0.5</v>
      </c>
      <c r="BL406" s="4">
        <v>0.6</v>
      </c>
      <c r="BM406" s="4">
        <v>0.3</v>
      </c>
      <c r="BN406" s="6">
        <v>951.216003</v>
      </c>
      <c r="BO406" s="4">
        <v>7.0000000000000001E-3</v>
      </c>
      <c r="BQ406" s="4" t="s">
        <v>213</v>
      </c>
      <c r="BR406" s="4">
        <v>0.9</v>
      </c>
      <c r="BS406" s="4">
        <v>0.5</v>
      </c>
      <c r="BT406" s="4">
        <v>0.6</v>
      </c>
      <c r="BU406" s="4">
        <v>0.3</v>
      </c>
      <c r="BV406" s="4">
        <v>962.53991699999995</v>
      </c>
      <c r="BW406" s="4">
        <v>1.4E-2</v>
      </c>
      <c r="BX406" s="5"/>
      <c r="BY406" s="5"/>
      <c r="BZ406" s="5"/>
      <c r="CA406" s="5"/>
    </row>
    <row r="407" spans="1:79" x14ac:dyDescent="0.3">
      <c r="A407" s="4" t="s">
        <v>214</v>
      </c>
      <c r="B407" s="4">
        <v>0.9</v>
      </c>
      <c r="C407" s="4">
        <v>0.5</v>
      </c>
      <c r="D407" s="4">
        <v>0.6</v>
      </c>
      <c r="E407" s="4">
        <v>0.3</v>
      </c>
      <c r="F407" s="6">
        <v>642.42156999999997</v>
      </c>
      <c r="G407" s="4">
        <v>2E-3</v>
      </c>
      <c r="I407" s="4" t="s">
        <v>214</v>
      </c>
      <c r="J407" s="4">
        <v>0.9</v>
      </c>
      <c r="K407" s="4">
        <v>0.5</v>
      </c>
      <c r="L407" s="4">
        <v>0.6</v>
      </c>
      <c r="M407" s="4">
        <v>0.36</v>
      </c>
      <c r="N407" s="4">
        <v>669.15490699999998</v>
      </c>
      <c r="O407" s="4">
        <v>2E-3</v>
      </c>
      <c r="P407" s="5"/>
      <c r="Q407" s="5"/>
      <c r="R407" s="5"/>
      <c r="S407" s="5"/>
      <c r="U407" s="4" t="s">
        <v>214</v>
      </c>
      <c r="V407" s="4">
        <v>0.9</v>
      </c>
      <c r="W407" s="4">
        <v>0.5</v>
      </c>
      <c r="X407" s="4">
        <v>0.6</v>
      </c>
      <c r="Y407" s="4">
        <v>0.3</v>
      </c>
      <c r="Z407" s="6">
        <v>646.97271699999999</v>
      </c>
      <c r="AA407" s="4">
        <v>3.0000000000000001E-3</v>
      </c>
      <c r="AC407" s="4" t="s">
        <v>214</v>
      </c>
      <c r="AD407" s="4">
        <v>0.9</v>
      </c>
      <c r="AE407" s="4">
        <v>0.5</v>
      </c>
      <c r="AF407" s="4">
        <v>0.6</v>
      </c>
      <c r="AG407" s="4">
        <v>0.31</v>
      </c>
      <c r="AH407" s="4">
        <v>663.17529300000001</v>
      </c>
      <c r="AI407" s="4">
        <v>3.0000000000000001E-3</v>
      </c>
      <c r="AJ407" s="5"/>
      <c r="AK407" s="5"/>
      <c r="AL407" s="5"/>
      <c r="AM407" s="5"/>
      <c r="AO407" s="4" t="s">
        <v>215</v>
      </c>
      <c r="AP407" s="4">
        <v>0.9</v>
      </c>
      <c r="AQ407" s="4">
        <v>0.5</v>
      </c>
      <c r="AR407" s="4">
        <v>0.6</v>
      </c>
      <c r="AS407" s="4">
        <v>0.3</v>
      </c>
      <c r="AT407" s="6">
        <v>1023.178894</v>
      </c>
      <c r="AU407" s="4">
        <v>1.6E-2</v>
      </c>
      <c r="AW407" s="4" t="s">
        <v>215</v>
      </c>
      <c r="AX407" s="4">
        <v>0.9</v>
      </c>
      <c r="AY407" s="4">
        <v>0.5</v>
      </c>
      <c r="AZ407" s="4">
        <v>0.6</v>
      </c>
      <c r="BA407" s="4">
        <v>0.31</v>
      </c>
      <c r="BB407" s="4">
        <v>1056.9261469999999</v>
      </c>
      <c r="BC407" s="4">
        <v>0.01</v>
      </c>
      <c r="BD407" s="5"/>
      <c r="BE407" s="5"/>
      <c r="BF407" s="5"/>
      <c r="BG407" s="5"/>
      <c r="BI407" s="4" t="s">
        <v>215</v>
      </c>
      <c r="BJ407" s="4">
        <v>0.9</v>
      </c>
      <c r="BK407" s="4">
        <v>0.5</v>
      </c>
      <c r="BL407" s="4">
        <v>0.6</v>
      </c>
      <c r="BM407" s="4">
        <v>0.3</v>
      </c>
      <c r="BN407" s="6">
        <v>1023.651672</v>
      </c>
      <c r="BO407" s="4">
        <v>1.2E-2</v>
      </c>
      <c r="BQ407" s="4" t="s">
        <v>215</v>
      </c>
      <c r="BR407" s="4">
        <v>0.9</v>
      </c>
      <c r="BS407" s="4">
        <v>0.5</v>
      </c>
      <c r="BT407" s="4">
        <v>0.6</v>
      </c>
      <c r="BU407" s="4">
        <v>0.3</v>
      </c>
      <c r="BV407" s="4">
        <v>1032.849976</v>
      </c>
      <c r="BW407" s="4">
        <v>8.0000000000000002E-3</v>
      </c>
      <c r="BX407" s="5"/>
      <c r="BY407" s="5"/>
      <c r="BZ407" s="5"/>
      <c r="CA407" s="5"/>
    </row>
    <row r="408" spans="1:79" x14ac:dyDescent="0.3">
      <c r="A408" s="4" t="s">
        <v>216</v>
      </c>
      <c r="B408" s="4">
        <v>0.9</v>
      </c>
      <c r="C408" s="4">
        <v>0.5</v>
      </c>
      <c r="D408" s="4">
        <v>0.6</v>
      </c>
      <c r="E408" s="4">
        <v>0.3</v>
      </c>
      <c r="F408" s="4">
        <v>615.52948000000004</v>
      </c>
      <c r="G408" s="4">
        <v>2E-3</v>
      </c>
      <c r="I408" s="4" t="s">
        <v>216</v>
      </c>
      <c r="J408" s="4">
        <v>0.9</v>
      </c>
      <c r="K408" s="4">
        <v>0.5</v>
      </c>
      <c r="L408" s="4">
        <v>0.6</v>
      </c>
      <c r="M408" s="4">
        <v>0.3</v>
      </c>
      <c r="N408" s="6">
        <v>602.03106700000001</v>
      </c>
      <c r="O408" s="4">
        <v>2E-3</v>
      </c>
      <c r="P408" s="5"/>
      <c r="Q408" s="5"/>
      <c r="R408" s="5"/>
      <c r="S408" s="5"/>
      <c r="U408" s="4" t="s">
        <v>216</v>
      </c>
      <c r="V408" s="4">
        <v>0.9</v>
      </c>
      <c r="W408" s="4">
        <v>0.5</v>
      </c>
      <c r="X408" s="4">
        <v>0.6</v>
      </c>
      <c r="Y408" s="4">
        <v>0.3</v>
      </c>
      <c r="Z408" s="6">
        <v>591.88995399999999</v>
      </c>
      <c r="AA408" s="4">
        <v>2E-3</v>
      </c>
      <c r="AC408" s="4" t="s">
        <v>216</v>
      </c>
      <c r="AD408" s="4">
        <v>0.9</v>
      </c>
      <c r="AE408" s="4">
        <v>0.5</v>
      </c>
      <c r="AF408" s="4">
        <v>0.6</v>
      </c>
      <c r="AG408" s="4">
        <v>0.3</v>
      </c>
      <c r="AH408" s="4">
        <v>612.55316200000004</v>
      </c>
      <c r="AI408" s="4">
        <v>3.0000000000000001E-3</v>
      </c>
      <c r="AJ408" s="5"/>
      <c r="AK408" s="5"/>
      <c r="AL408" s="5"/>
      <c r="AM408" s="5"/>
      <c r="AO408" s="4" t="s">
        <v>217</v>
      </c>
      <c r="AP408" s="4">
        <v>0.9</v>
      </c>
      <c r="AQ408" s="4">
        <v>0.5</v>
      </c>
      <c r="AR408" s="4">
        <v>0.6</v>
      </c>
      <c r="AS408" s="4">
        <v>0.3</v>
      </c>
      <c r="AT408" s="6">
        <v>1031.7460940000001</v>
      </c>
      <c r="AU408" s="4">
        <v>1.0999999999999999E-2</v>
      </c>
      <c r="AW408" s="4" t="s">
        <v>217</v>
      </c>
      <c r="AX408" s="4">
        <v>0.9</v>
      </c>
      <c r="AY408" s="4">
        <v>0.5</v>
      </c>
      <c r="AZ408" s="4">
        <v>0.6</v>
      </c>
      <c r="BA408" s="4">
        <v>0.32</v>
      </c>
      <c r="BB408" s="4">
        <v>1089.185669</v>
      </c>
      <c r="BC408" s="4">
        <v>0.01</v>
      </c>
      <c r="BD408" s="5"/>
      <c r="BE408" s="5"/>
      <c r="BF408" s="5"/>
      <c r="BG408" s="5"/>
      <c r="BI408" s="4" t="s">
        <v>217</v>
      </c>
      <c r="BJ408" s="4">
        <v>0.9</v>
      </c>
      <c r="BK408" s="4">
        <v>0.5</v>
      </c>
      <c r="BL408" s="4">
        <v>0.6</v>
      </c>
      <c r="BM408" s="4">
        <v>0.3</v>
      </c>
      <c r="BN408" s="6">
        <v>1056.4921879999999</v>
      </c>
      <c r="BO408" s="4">
        <v>8.9999999999999993E-3</v>
      </c>
      <c r="BQ408" s="4" t="s">
        <v>217</v>
      </c>
      <c r="BR408" s="4">
        <v>0.9</v>
      </c>
      <c r="BS408" s="4">
        <v>0.5</v>
      </c>
      <c r="BT408" s="4">
        <v>0.6</v>
      </c>
      <c r="BU408" s="4">
        <v>0.33</v>
      </c>
      <c r="BV408" s="4">
        <v>1094.594971</v>
      </c>
      <c r="BW408" s="4">
        <v>8.0000000000000002E-3</v>
      </c>
      <c r="BX408" s="5"/>
      <c r="BY408" s="5"/>
      <c r="BZ408" s="5"/>
      <c r="CA408" s="5"/>
    </row>
    <row r="409" spans="1:79" x14ac:dyDescent="0.3">
      <c r="A409" s="4" t="s">
        <v>218</v>
      </c>
      <c r="B409" s="4">
        <v>0.9</v>
      </c>
      <c r="C409" s="4">
        <v>0.5</v>
      </c>
      <c r="D409" s="4">
        <v>0.6</v>
      </c>
      <c r="E409" s="4">
        <v>0.3</v>
      </c>
      <c r="F409" s="6">
        <v>673.25628700000004</v>
      </c>
      <c r="G409" s="4">
        <v>2E-3</v>
      </c>
      <c r="I409" s="4" t="s">
        <v>218</v>
      </c>
      <c r="J409" s="4">
        <v>0.9</v>
      </c>
      <c r="K409" s="4">
        <v>0.5</v>
      </c>
      <c r="L409" s="4">
        <v>0.6</v>
      </c>
      <c r="M409" s="4">
        <v>0.35</v>
      </c>
      <c r="N409" s="4">
        <v>677.421021</v>
      </c>
      <c r="O409" s="4">
        <v>3.0000000000000001E-3</v>
      </c>
      <c r="P409" s="5"/>
      <c r="Q409" s="5"/>
      <c r="R409" s="5"/>
      <c r="S409" s="5"/>
      <c r="U409" s="4" t="s">
        <v>218</v>
      </c>
      <c r="V409" s="4">
        <v>0.9</v>
      </c>
      <c r="W409" s="4">
        <v>0.5</v>
      </c>
      <c r="X409" s="4">
        <v>0.6</v>
      </c>
      <c r="Y409" s="4">
        <v>0.3</v>
      </c>
      <c r="Z409" s="6">
        <v>643.56225600000005</v>
      </c>
      <c r="AA409" s="4">
        <v>2E-3</v>
      </c>
      <c r="AC409" s="4" t="s">
        <v>218</v>
      </c>
      <c r="AD409" s="4">
        <v>0.9</v>
      </c>
      <c r="AE409" s="4">
        <v>0.5</v>
      </c>
      <c r="AF409" s="4">
        <v>0.6</v>
      </c>
      <c r="AG409" s="4">
        <v>0.31</v>
      </c>
      <c r="AH409" s="4">
        <v>675.46386700000005</v>
      </c>
      <c r="AI409" s="4">
        <v>4.0000000000000001E-3</v>
      </c>
      <c r="AJ409" s="5"/>
      <c r="AK409" s="5"/>
      <c r="AL409" s="5"/>
      <c r="AM409" s="5"/>
      <c r="AO409" s="4" t="s">
        <v>219</v>
      </c>
      <c r="AP409" s="4">
        <v>0.9</v>
      </c>
      <c r="AQ409" s="4">
        <v>0.5</v>
      </c>
      <c r="AR409" s="4">
        <v>0.6</v>
      </c>
      <c r="AS409" s="4">
        <v>0.3</v>
      </c>
      <c r="AT409" s="6">
        <v>1067.198975</v>
      </c>
      <c r="AU409" s="4">
        <v>0.01</v>
      </c>
      <c r="AW409" s="4" t="s">
        <v>219</v>
      </c>
      <c r="AX409" s="4">
        <v>0.9</v>
      </c>
      <c r="AY409" s="4">
        <v>0.5</v>
      </c>
      <c r="AZ409" s="4">
        <v>0.6</v>
      </c>
      <c r="BA409" s="4">
        <v>0.31</v>
      </c>
      <c r="BB409" s="4">
        <v>1082.0074460000001</v>
      </c>
      <c r="BC409" s="4">
        <v>0.01</v>
      </c>
      <c r="BD409" s="5"/>
      <c r="BE409" s="5"/>
      <c r="BF409" s="5"/>
      <c r="BG409" s="5"/>
      <c r="BI409" s="4" t="s">
        <v>219</v>
      </c>
      <c r="BJ409" s="4">
        <v>0.9</v>
      </c>
      <c r="BK409" s="4">
        <v>0.5</v>
      </c>
      <c r="BL409" s="4">
        <v>0.6</v>
      </c>
      <c r="BM409" s="4">
        <v>0.3</v>
      </c>
      <c r="BN409" s="6">
        <v>1065.800659</v>
      </c>
      <c r="BO409" s="4">
        <v>8.9999999999999993E-3</v>
      </c>
      <c r="BQ409" s="4" t="s">
        <v>219</v>
      </c>
      <c r="BR409" s="4">
        <v>0.9</v>
      </c>
      <c r="BS409" s="4">
        <v>0.5</v>
      </c>
      <c r="BT409" s="4">
        <v>0.6</v>
      </c>
      <c r="BU409" s="4">
        <v>0.31</v>
      </c>
      <c r="BV409" s="4">
        <v>1067.51062</v>
      </c>
      <c r="BW409" s="4">
        <v>7.0000000000000001E-3</v>
      </c>
      <c r="BX409" s="5"/>
      <c r="BY409" s="5"/>
      <c r="BZ409" s="5"/>
      <c r="CA409" s="5"/>
    </row>
    <row r="410" spans="1:79" x14ac:dyDescent="0.3">
      <c r="A410" s="4" t="s">
        <v>220</v>
      </c>
      <c r="B410" s="4">
        <v>0.9</v>
      </c>
      <c r="C410" s="4">
        <v>0.5</v>
      </c>
      <c r="D410" s="4">
        <v>0.6</v>
      </c>
      <c r="E410" s="4">
        <v>0.3</v>
      </c>
      <c r="F410" s="6">
        <v>678.98358199999996</v>
      </c>
      <c r="G410" s="4">
        <v>2E-3</v>
      </c>
      <c r="I410" s="4" t="s">
        <v>220</v>
      </c>
      <c r="J410" s="4">
        <v>0.9</v>
      </c>
      <c r="K410" s="4">
        <v>0.5</v>
      </c>
      <c r="L410" s="4">
        <v>0.6</v>
      </c>
      <c r="M410" s="4">
        <v>0.33</v>
      </c>
      <c r="N410" s="4">
        <v>694.41101100000003</v>
      </c>
      <c r="O410" s="4">
        <v>2E-3</v>
      </c>
      <c r="P410" s="5"/>
      <c r="Q410" s="5"/>
      <c r="R410" s="5"/>
      <c r="S410" s="5"/>
      <c r="U410" s="4" t="s">
        <v>220</v>
      </c>
      <c r="V410" s="4">
        <v>0.9</v>
      </c>
      <c r="W410" s="4">
        <v>0.5</v>
      </c>
      <c r="X410" s="4">
        <v>0.6</v>
      </c>
      <c r="Y410" s="4">
        <v>0.3</v>
      </c>
      <c r="Z410" s="6">
        <v>686.17370600000004</v>
      </c>
      <c r="AA410" s="4">
        <v>4.0000000000000001E-3</v>
      </c>
      <c r="AC410" s="4" t="s">
        <v>220</v>
      </c>
      <c r="AD410" s="4">
        <v>0.9</v>
      </c>
      <c r="AE410" s="4">
        <v>0.5</v>
      </c>
      <c r="AF410" s="4">
        <v>0.6</v>
      </c>
      <c r="AG410" s="4">
        <v>0.3</v>
      </c>
      <c r="AH410" s="4">
        <v>706.22186299999998</v>
      </c>
      <c r="AI410" s="4">
        <v>4.0000000000000001E-3</v>
      </c>
      <c r="AJ410" s="5"/>
      <c r="AK410" s="5"/>
      <c r="AL410" s="5"/>
      <c r="AM410" s="5"/>
      <c r="AO410" s="4" t="s">
        <v>221</v>
      </c>
      <c r="AP410" s="4">
        <v>0.9</v>
      </c>
      <c r="AQ410" s="4">
        <v>0.5</v>
      </c>
      <c r="AR410" s="4">
        <v>0.6</v>
      </c>
      <c r="AS410" s="4">
        <v>0.3</v>
      </c>
      <c r="AT410" s="6">
        <v>984.73730499999999</v>
      </c>
      <c r="AU410" s="4">
        <v>7.0000000000000001E-3</v>
      </c>
      <c r="AW410" s="4" t="s">
        <v>221</v>
      </c>
      <c r="AX410" s="4">
        <v>0.9</v>
      </c>
      <c r="AY410" s="4">
        <v>0.5</v>
      </c>
      <c r="AZ410" s="4">
        <v>0.6</v>
      </c>
      <c r="BA410" s="4">
        <v>0.3</v>
      </c>
      <c r="BB410" s="4">
        <v>1009.3783570000001</v>
      </c>
      <c r="BC410" s="4">
        <v>1.2E-2</v>
      </c>
      <c r="BD410" s="5"/>
      <c r="BE410" s="5"/>
      <c r="BF410" s="5"/>
      <c r="BG410" s="5"/>
      <c r="BI410" s="4" t="s">
        <v>221</v>
      </c>
      <c r="BJ410" s="4">
        <v>0.9</v>
      </c>
      <c r="BK410" s="4">
        <v>0.5</v>
      </c>
      <c r="BL410" s="4">
        <v>0.6</v>
      </c>
      <c r="BM410" s="4">
        <v>0.3</v>
      </c>
      <c r="BN410" s="6">
        <v>977.16546600000004</v>
      </c>
      <c r="BO410" s="4">
        <v>8.0000000000000002E-3</v>
      </c>
      <c r="BQ410" s="4" t="s">
        <v>221</v>
      </c>
      <c r="BR410" s="4">
        <v>0.9</v>
      </c>
      <c r="BS410" s="4">
        <v>0.5</v>
      </c>
      <c r="BT410" s="4">
        <v>0.6</v>
      </c>
      <c r="BU410" s="4">
        <v>0.34</v>
      </c>
      <c r="BV410" s="4">
        <v>1008.003601</v>
      </c>
      <c r="BW410" s="4">
        <v>7.0000000000000001E-3</v>
      </c>
      <c r="BX410" s="5"/>
      <c r="BY410" s="5"/>
      <c r="BZ410" s="5"/>
      <c r="CA410" s="5"/>
    </row>
    <row r="411" spans="1:79" x14ac:dyDescent="0.3">
      <c r="A411" s="4" t="s">
        <v>222</v>
      </c>
      <c r="B411" s="4">
        <v>0.9</v>
      </c>
      <c r="C411" s="4">
        <v>0.5</v>
      </c>
      <c r="D411" s="4">
        <v>0.6</v>
      </c>
      <c r="E411" s="4">
        <v>0.3</v>
      </c>
      <c r="F411" s="4">
        <v>700.60656700000004</v>
      </c>
      <c r="G411" s="4">
        <v>3.0000000000000001E-3</v>
      </c>
      <c r="I411" s="4" t="s">
        <v>222</v>
      </c>
      <c r="J411" s="4">
        <v>0.9</v>
      </c>
      <c r="K411" s="4">
        <v>0.5</v>
      </c>
      <c r="L411" s="4">
        <v>0.6</v>
      </c>
      <c r="M411" s="4">
        <v>0.32</v>
      </c>
      <c r="N411" s="6">
        <v>696.73492399999998</v>
      </c>
      <c r="O411" s="4">
        <v>3.0000000000000001E-3</v>
      </c>
      <c r="P411" s="5"/>
      <c r="Q411" s="5"/>
      <c r="R411" s="5"/>
      <c r="S411" s="5"/>
      <c r="U411" s="4" t="s">
        <v>222</v>
      </c>
      <c r="V411" s="4">
        <v>0.9</v>
      </c>
      <c r="W411" s="4">
        <v>0.5</v>
      </c>
      <c r="X411" s="4">
        <v>0.6</v>
      </c>
      <c r="Y411" s="4">
        <v>0.3</v>
      </c>
      <c r="Z411" s="6">
        <v>678.02447500000005</v>
      </c>
      <c r="AA411" s="4">
        <v>3.0000000000000001E-3</v>
      </c>
      <c r="AC411" s="4" t="s">
        <v>222</v>
      </c>
      <c r="AD411" s="4">
        <v>0.9</v>
      </c>
      <c r="AE411" s="4">
        <v>0.5</v>
      </c>
      <c r="AF411" s="4">
        <v>0.6</v>
      </c>
      <c r="AG411" s="4">
        <v>0.33</v>
      </c>
      <c r="AH411" s="4">
        <v>702.25817900000004</v>
      </c>
      <c r="AI411" s="4">
        <v>2E-3</v>
      </c>
      <c r="AJ411" s="5"/>
      <c r="AK411" s="5"/>
      <c r="AL411" s="5"/>
      <c r="AM411" s="5"/>
      <c r="AO411" s="4" t="s">
        <v>223</v>
      </c>
      <c r="AP411" s="4">
        <v>0.9</v>
      </c>
      <c r="AQ411" s="4">
        <v>0.5</v>
      </c>
      <c r="AR411" s="4">
        <v>0.6</v>
      </c>
      <c r="AS411" s="4">
        <v>0.3</v>
      </c>
      <c r="AT411" s="6">
        <v>1087.6243899999999</v>
      </c>
      <c r="AU411" s="4">
        <v>8.0000000000000002E-3</v>
      </c>
      <c r="AW411" s="4" t="s">
        <v>223</v>
      </c>
      <c r="AX411" s="4">
        <v>0.9</v>
      </c>
      <c r="AY411" s="4">
        <v>0.5</v>
      </c>
      <c r="AZ411" s="4">
        <v>0.6</v>
      </c>
      <c r="BA411" s="4">
        <v>0.31</v>
      </c>
      <c r="BB411" s="4">
        <v>1122.6850589999999</v>
      </c>
      <c r="BC411" s="4">
        <v>1.4E-2</v>
      </c>
      <c r="BD411" s="5"/>
      <c r="BE411" s="5"/>
      <c r="BF411" s="5"/>
      <c r="BG411" s="5"/>
      <c r="BI411" s="4" t="s">
        <v>223</v>
      </c>
      <c r="BJ411" s="4">
        <v>0.9</v>
      </c>
      <c r="BK411" s="4">
        <v>0.5</v>
      </c>
      <c r="BL411" s="4">
        <v>0.6</v>
      </c>
      <c r="BM411" s="4">
        <v>0.3</v>
      </c>
      <c r="BN411" s="6">
        <v>1093.0775149999999</v>
      </c>
      <c r="BO411" s="4">
        <v>1.2999999999999999E-2</v>
      </c>
      <c r="BQ411" s="4" t="s">
        <v>223</v>
      </c>
      <c r="BR411" s="4">
        <v>0.9</v>
      </c>
      <c r="BS411" s="4">
        <v>0.5</v>
      </c>
      <c r="BT411" s="4">
        <v>0.6</v>
      </c>
      <c r="BU411" s="4">
        <v>0.3</v>
      </c>
      <c r="BV411" s="4">
        <v>1121.720703</v>
      </c>
      <c r="BW411" s="4">
        <v>0.01</v>
      </c>
      <c r="BX411" s="5"/>
      <c r="BY411" s="5"/>
      <c r="BZ411" s="5"/>
      <c r="CA411" s="5"/>
    </row>
    <row r="412" spans="1:79" x14ac:dyDescent="0.3">
      <c r="A412" s="4" t="s">
        <v>224</v>
      </c>
      <c r="B412" s="4">
        <v>0.9</v>
      </c>
      <c r="C412" s="4">
        <v>0.5</v>
      </c>
      <c r="D412" s="4">
        <v>0.6</v>
      </c>
      <c r="E412" s="4">
        <v>0.3</v>
      </c>
      <c r="F412" s="6">
        <v>753.13653599999998</v>
      </c>
      <c r="G412" s="4">
        <v>2E-3</v>
      </c>
      <c r="I412" s="4" t="s">
        <v>224</v>
      </c>
      <c r="J412" s="4">
        <v>0.9</v>
      </c>
      <c r="K412" s="4">
        <v>0.5</v>
      </c>
      <c r="L412" s="4">
        <v>0.6</v>
      </c>
      <c r="M412" s="4">
        <v>0.3</v>
      </c>
      <c r="N412" s="4">
        <v>794.66101100000003</v>
      </c>
      <c r="O412" s="4">
        <v>3.0000000000000001E-3</v>
      </c>
      <c r="P412" s="5"/>
      <c r="Q412" s="5"/>
      <c r="R412" s="5"/>
      <c r="S412" s="5"/>
      <c r="U412" s="4" t="s">
        <v>224</v>
      </c>
      <c r="V412" s="4">
        <v>0.9</v>
      </c>
      <c r="W412" s="4">
        <v>0.5</v>
      </c>
      <c r="X412" s="4">
        <v>0.6</v>
      </c>
      <c r="Y412" s="4">
        <v>0.3</v>
      </c>
      <c r="Z412" s="4">
        <v>766.90704300000004</v>
      </c>
      <c r="AA412" s="4">
        <v>3.0000000000000001E-3</v>
      </c>
      <c r="AC412" s="4" t="s">
        <v>224</v>
      </c>
      <c r="AD412" s="4">
        <v>0.9</v>
      </c>
      <c r="AE412" s="4">
        <v>0.5</v>
      </c>
      <c r="AF412" s="4">
        <v>0.6</v>
      </c>
      <c r="AG412" s="4">
        <v>0.3</v>
      </c>
      <c r="AH412" s="6">
        <v>762.92364499999996</v>
      </c>
      <c r="AI412" s="4">
        <v>3.0000000000000001E-3</v>
      </c>
      <c r="AJ412" s="5"/>
      <c r="AK412" s="5"/>
      <c r="AL412" s="5"/>
      <c r="AM412" s="5"/>
      <c r="AO412" s="4" t="s">
        <v>225</v>
      </c>
      <c r="AP412" s="4">
        <v>0.9</v>
      </c>
      <c r="AQ412" s="4">
        <v>0.5</v>
      </c>
      <c r="AR412" s="4">
        <v>0.6</v>
      </c>
      <c r="AS412" s="4">
        <v>0.3</v>
      </c>
      <c r="AT412" s="6">
        <v>1000.747192</v>
      </c>
      <c r="AU412" s="4">
        <v>8.0000000000000002E-3</v>
      </c>
      <c r="AW412" s="4" t="s">
        <v>225</v>
      </c>
      <c r="AX412" s="4">
        <v>0.9</v>
      </c>
      <c r="AY412" s="4">
        <v>0.5</v>
      </c>
      <c r="AZ412" s="4">
        <v>0.6</v>
      </c>
      <c r="BA412" s="4">
        <v>0.3</v>
      </c>
      <c r="BB412" s="4">
        <v>1040.3481449999999</v>
      </c>
      <c r="BC412" s="4">
        <v>1.2E-2</v>
      </c>
      <c r="BD412" s="5"/>
      <c r="BE412" s="5"/>
      <c r="BF412" s="5"/>
      <c r="BG412" s="5"/>
      <c r="BI412" s="4" t="s">
        <v>225</v>
      </c>
      <c r="BJ412" s="4">
        <v>0.9</v>
      </c>
      <c r="BK412" s="4">
        <v>0.5</v>
      </c>
      <c r="BL412" s="4">
        <v>0.6</v>
      </c>
      <c r="BM412" s="4">
        <v>0.3</v>
      </c>
      <c r="BN412" s="6">
        <v>1002.990967</v>
      </c>
      <c r="BO412" s="4">
        <v>8.9999999999999993E-3</v>
      </c>
      <c r="BQ412" s="4" t="s">
        <v>225</v>
      </c>
      <c r="BR412" s="4">
        <v>0.9</v>
      </c>
      <c r="BS412" s="4">
        <v>0.5</v>
      </c>
      <c r="BT412" s="4">
        <v>0.6</v>
      </c>
      <c r="BU412" s="4">
        <v>0.34</v>
      </c>
      <c r="BV412" s="4">
        <v>1023.9169920000001</v>
      </c>
      <c r="BW412" s="4">
        <v>8.0000000000000002E-3</v>
      </c>
      <c r="BX412" s="5"/>
      <c r="BY412" s="5"/>
      <c r="BZ412" s="5"/>
      <c r="CA412" s="5"/>
    </row>
    <row r="413" spans="1:79" x14ac:dyDescent="0.3">
      <c r="A413" s="4" t="s">
        <v>226</v>
      </c>
      <c r="B413" s="4">
        <v>0.9</v>
      </c>
      <c r="C413" s="4">
        <v>0.5</v>
      </c>
      <c r="D413" s="4">
        <v>0.6</v>
      </c>
      <c r="E413" s="4">
        <v>0.3</v>
      </c>
      <c r="F413" s="6">
        <v>730.86334199999999</v>
      </c>
      <c r="G413" s="4">
        <v>2E-3</v>
      </c>
      <c r="I413" s="4" t="s">
        <v>226</v>
      </c>
      <c r="J413" s="4">
        <v>0.9</v>
      </c>
      <c r="K413" s="4">
        <v>0.5</v>
      </c>
      <c r="L413" s="4">
        <v>0.6</v>
      </c>
      <c r="M413" s="4">
        <v>0.38</v>
      </c>
      <c r="N413" s="4">
        <v>760.07000700000003</v>
      </c>
      <c r="O413" s="4">
        <v>2E-3</v>
      </c>
      <c r="P413" s="5"/>
      <c r="Q413" s="5"/>
      <c r="R413" s="5"/>
      <c r="S413" s="5"/>
      <c r="U413" s="4" t="s">
        <v>226</v>
      </c>
      <c r="V413" s="4">
        <v>0.9</v>
      </c>
      <c r="W413" s="4">
        <v>0.5</v>
      </c>
      <c r="X413" s="4">
        <v>0.6</v>
      </c>
      <c r="Y413" s="4">
        <v>0.3</v>
      </c>
      <c r="Z413" s="6">
        <v>732.142517</v>
      </c>
      <c r="AA413" s="4">
        <v>3.0000000000000001E-3</v>
      </c>
      <c r="AC413" s="4" t="s">
        <v>226</v>
      </c>
      <c r="AD413" s="4">
        <v>0.9</v>
      </c>
      <c r="AE413" s="4">
        <v>0.5</v>
      </c>
      <c r="AF413" s="4">
        <v>0.6</v>
      </c>
      <c r="AG413" s="4">
        <v>0.31</v>
      </c>
      <c r="AH413" s="4">
        <v>759.70599400000003</v>
      </c>
      <c r="AI413" s="4">
        <v>3.0000000000000001E-3</v>
      </c>
      <c r="AJ413" s="5"/>
      <c r="AK413" s="5"/>
      <c r="AL413" s="5"/>
      <c r="AM413" s="5"/>
      <c r="AO413" s="4" t="s">
        <v>227</v>
      </c>
      <c r="AP413" s="4">
        <v>0.9</v>
      </c>
      <c r="AQ413" s="4">
        <v>0.5</v>
      </c>
      <c r="AR413" s="4">
        <v>0.6</v>
      </c>
      <c r="AS413" s="4">
        <v>0.3</v>
      </c>
      <c r="AT413" s="6">
        <v>999.87982199999999</v>
      </c>
      <c r="AU413" s="4">
        <v>7.0000000000000001E-3</v>
      </c>
      <c r="AW413" s="4" t="s">
        <v>227</v>
      </c>
      <c r="AX413" s="4">
        <v>0.9</v>
      </c>
      <c r="AY413" s="4">
        <v>0.5</v>
      </c>
      <c r="AZ413" s="4">
        <v>0.6</v>
      </c>
      <c r="BA413" s="4">
        <v>0.31</v>
      </c>
      <c r="BB413" s="4">
        <v>1007.52655</v>
      </c>
      <c r="BC413" s="4">
        <v>1.4E-2</v>
      </c>
      <c r="BD413" s="5"/>
      <c r="BE413" s="5"/>
      <c r="BF413" s="5"/>
      <c r="BG413" s="5"/>
      <c r="BI413" s="4" t="s">
        <v>227</v>
      </c>
      <c r="BJ413" s="4">
        <v>0.9</v>
      </c>
      <c r="BK413" s="4">
        <v>0.5</v>
      </c>
      <c r="BL413" s="4">
        <v>0.6</v>
      </c>
      <c r="BM413" s="4">
        <v>0.3</v>
      </c>
      <c r="BN413" s="6">
        <v>995.50878899999998</v>
      </c>
      <c r="BO413" s="4">
        <v>1.7999999999999999E-2</v>
      </c>
      <c r="BQ413" s="4" t="s">
        <v>227</v>
      </c>
      <c r="BR413" s="4">
        <v>0.9</v>
      </c>
      <c r="BS413" s="4">
        <v>0.5</v>
      </c>
      <c r="BT413" s="4">
        <v>0.6</v>
      </c>
      <c r="BU413" s="4">
        <v>0.3</v>
      </c>
      <c r="BV413" s="4">
        <v>1001.3295900000001</v>
      </c>
      <c r="BW413" s="4">
        <v>8.9999999999999993E-3</v>
      </c>
      <c r="BX413" s="5"/>
      <c r="BY413" s="5"/>
      <c r="BZ413" s="5"/>
      <c r="CA413" s="5"/>
    </row>
    <row r="414" spans="1:79" x14ac:dyDescent="0.3">
      <c r="A414" s="4" t="s">
        <v>228</v>
      </c>
      <c r="B414" s="4">
        <v>0.9</v>
      </c>
      <c r="C414" s="4">
        <v>0.5</v>
      </c>
      <c r="D414" s="4">
        <v>0.6</v>
      </c>
      <c r="E414" s="4">
        <v>0.3</v>
      </c>
      <c r="F414" s="6">
        <v>649.32195999999999</v>
      </c>
      <c r="G414" s="4">
        <v>2E-3</v>
      </c>
      <c r="I414" s="4" t="s">
        <v>228</v>
      </c>
      <c r="J414" s="4">
        <v>0.9</v>
      </c>
      <c r="K414" s="4">
        <v>0.5</v>
      </c>
      <c r="L414" s="4">
        <v>0.6</v>
      </c>
      <c r="M414" s="4">
        <v>0.3</v>
      </c>
      <c r="N414" s="4">
        <v>663.35687299999995</v>
      </c>
      <c r="O414" s="4">
        <v>2E-3</v>
      </c>
      <c r="P414" s="5"/>
      <c r="Q414" s="5"/>
      <c r="R414" s="5"/>
      <c r="S414" s="5"/>
      <c r="U414" s="4" t="s">
        <v>228</v>
      </c>
      <c r="V414" s="4">
        <v>0.9</v>
      </c>
      <c r="W414" s="4">
        <v>0.5</v>
      </c>
      <c r="X414" s="4">
        <v>0.6</v>
      </c>
      <c r="Y414" s="4">
        <v>0.3</v>
      </c>
      <c r="Z414" s="6">
        <v>649.49273700000003</v>
      </c>
      <c r="AA414" s="4">
        <v>2E-3</v>
      </c>
      <c r="AC414" s="4" t="s">
        <v>228</v>
      </c>
      <c r="AD414" s="4">
        <v>0.9</v>
      </c>
      <c r="AE414" s="4">
        <v>0.5</v>
      </c>
      <c r="AF414" s="4">
        <v>0.6</v>
      </c>
      <c r="AG414" s="4">
        <v>0.35</v>
      </c>
      <c r="AH414" s="4">
        <v>659.28533900000002</v>
      </c>
      <c r="AI414" s="4">
        <v>4.0000000000000001E-3</v>
      </c>
      <c r="AJ414" s="5"/>
      <c r="AK414" s="5"/>
      <c r="AL414" s="5"/>
      <c r="AM414" s="5"/>
      <c r="AO414" s="4" t="s">
        <v>229</v>
      </c>
      <c r="AP414" s="4">
        <v>0.9</v>
      </c>
      <c r="AQ414" s="4">
        <v>0.5</v>
      </c>
      <c r="AR414" s="4">
        <v>0.6</v>
      </c>
      <c r="AS414" s="4">
        <v>0.3</v>
      </c>
      <c r="AT414" s="4">
        <v>1095.786255</v>
      </c>
      <c r="AU414" s="4">
        <v>7.0000000000000001E-3</v>
      </c>
      <c r="AW414" s="4" t="s">
        <v>229</v>
      </c>
      <c r="AX414" s="4">
        <v>0.9</v>
      </c>
      <c r="AY414" s="4">
        <v>0.5</v>
      </c>
      <c r="AZ414" s="4">
        <v>0.6</v>
      </c>
      <c r="BA414" s="4">
        <v>0.32</v>
      </c>
      <c r="BB414" s="6">
        <v>1067.2198490000001</v>
      </c>
      <c r="BC414" s="4">
        <v>1.2E-2</v>
      </c>
      <c r="BD414" s="5"/>
      <c r="BE414" s="5"/>
      <c r="BF414" s="5"/>
      <c r="BG414" s="5"/>
      <c r="BI414" s="4" t="s">
        <v>229</v>
      </c>
      <c r="BJ414" s="4">
        <v>0.9</v>
      </c>
      <c r="BK414" s="4">
        <v>0.5</v>
      </c>
      <c r="BL414" s="4">
        <v>0.6</v>
      </c>
      <c r="BM414" s="4">
        <v>0.3</v>
      </c>
      <c r="BN414" s="4">
        <v>1092.967163</v>
      </c>
      <c r="BO414" s="4">
        <v>2.5000000000000001E-2</v>
      </c>
      <c r="BQ414" s="4" t="s">
        <v>229</v>
      </c>
      <c r="BR414" s="4">
        <v>0.9</v>
      </c>
      <c r="BS414" s="4">
        <v>0.5</v>
      </c>
      <c r="BT414" s="4">
        <v>0.6</v>
      </c>
      <c r="BU414" s="4">
        <v>0.32</v>
      </c>
      <c r="BV414" s="6">
        <v>1042.124634</v>
      </c>
      <c r="BW414" s="4">
        <v>8.0000000000000002E-3</v>
      </c>
      <c r="BX414" s="5"/>
      <c r="BY414" s="5"/>
      <c r="BZ414" s="5"/>
      <c r="CA414" s="5"/>
    </row>
    <row r="415" spans="1:79" x14ac:dyDescent="0.3">
      <c r="A415" s="4" t="s">
        <v>230</v>
      </c>
      <c r="B415" s="4">
        <v>0.9</v>
      </c>
      <c r="C415" s="4">
        <v>0.5</v>
      </c>
      <c r="D415" s="4">
        <v>0.6</v>
      </c>
      <c r="E415" s="4">
        <v>0.3</v>
      </c>
      <c r="F415" s="6">
        <v>733.19274900000005</v>
      </c>
      <c r="G415" s="4">
        <v>2E-3</v>
      </c>
      <c r="I415" s="4" t="s">
        <v>230</v>
      </c>
      <c r="J415" s="4">
        <v>0.9</v>
      </c>
      <c r="K415" s="4">
        <v>0.5</v>
      </c>
      <c r="L415" s="4">
        <v>0.6</v>
      </c>
      <c r="M415" s="4">
        <v>0.3</v>
      </c>
      <c r="N415" s="4">
        <v>760.83404499999995</v>
      </c>
      <c r="O415" s="4">
        <v>2E-3</v>
      </c>
      <c r="P415" s="5"/>
      <c r="Q415" s="5"/>
      <c r="R415" s="5"/>
      <c r="S415" s="5"/>
      <c r="U415" s="4" t="s">
        <v>230</v>
      </c>
      <c r="V415" s="4">
        <v>0.9</v>
      </c>
      <c r="W415" s="4">
        <v>0.5</v>
      </c>
      <c r="X415" s="4">
        <v>0.6</v>
      </c>
      <c r="Y415" s="4">
        <v>0.3</v>
      </c>
      <c r="Z415" s="6">
        <v>732.14910899999995</v>
      </c>
      <c r="AA415" s="4">
        <v>3.0000000000000001E-3</v>
      </c>
      <c r="AC415" s="4" t="s">
        <v>230</v>
      </c>
      <c r="AD415" s="4">
        <v>0.9</v>
      </c>
      <c r="AE415" s="4">
        <v>0.5</v>
      </c>
      <c r="AF415" s="4">
        <v>0.6</v>
      </c>
      <c r="AG415" s="4">
        <v>0.36</v>
      </c>
      <c r="AH415" s="4">
        <v>759.19543499999997</v>
      </c>
      <c r="AI415" s="4">
        <v>4.0000000000000001E-3</v>
      </c>
      <c r="AJ415" s="5"/>
      <c r="AK415" s="5"/>
      <c r="AL415" s="5"/>
      <c r="AM415" s="5"/>
      <c r="AO415" s="4" t="s">
        <v>231</v>
      </c>
      <c r="AP415" s="4">
        <v>0.9</v>
      </c>
      <c r="AQ415" s="4">
        <v>0.5</v>
      </c>
      <c r="AR415" s="4">
        <v>0.6</v>
      </c>
      <c r="AS415" s="4">
        <v>0.3</v>
      </c>
      <c r="AT415" s="6">
        <v>969.95196499999997</v>
      </c>
      <c r="AU415" s="4">
        <v>7.0000000000000001E-3</v>
      </c>
      <c r="AW415" s="4" t="s">
        <v>231</v>
      </c>
      <c r="AX415" s="4">
        <v>0.9</v>
      </c>
      <c r="AY415" s="4">
        <v>0.5</v>
      </c>
      <c r="AZ415" s="4">
        <v>0.6</v>
      </c>
      <c r="BA415" s="4">
        <v>0.32</v>
      </c>
      <c r="BB415" s="4">
        <v>1002.0454099999999</v>
      </c>
      <c r="BC415" s="4">
        <v>8.9999999999999993E-3</v>
      </c>
      <c r="BD415" s="5"/>
      <c r="BE415" s="5"/>
      <c r="BF415" s="5"/>
      <c r="BG415" s="5"/>
      <c r="BI415" s="4" t="s">
        <v>231</v>
      </c>
      <c r="BJ415" s="4">
        <v>0.9</v>
      </c>
      <c r="BK415" s="4">
        <v>0.5</v>
      </c>
      <c r="BL415" s="4">
        <v>0.6</v>
      </c>
      <c r="BM415" s="4">
        <v>0.3</v>
      </c>
      <c r="BN415" s="6">
        <v>966.69476299999997</v>
      </c>
      <c r="BO415" s="4">
        <v>0.01</v>
      </c>
      <c r="BQ415" s="4" t="s">
        <v>231</v>
      </c>
      <c r="BR415" s="4">
        <v>0.9</v>
      </c>
      <c r="BS415" s="4">
        <v>0.5</v>
      </c>
      <c r="BT415" s="4">
        <v>0.6</v>
      </c>
      <c r="BU415" s="4">
        <v>0.3</v>
      </c>
      <c r="BV415" s="4">
        <v>987.16241500000001</v>
      </c>
      <c r="BW415" s="4">
        <v>8.0000000000000002E-3</v>
      </c>
      <c r="BX415" s="5"/>
      <c r="BY415" s="5"/>
      <c r="BZ415" s="5"/>
      <c r="CA415" s="5"/>
    </row>
    <row r="416" spans="1:79" x14ac:dyDescent="0.3">
      <c r="A416" s="4" t="s">
        <v>232</v>
      </c>
      <c r="B416" s="4">
        <v>0.9</v>
      </c>
      <c r="C416" s="4">
        <v>0.5</v>
      </c>
      <c r="D416" s="4">
        <v>0.6</v>
      </c>
      <c r="E416" s="4">
        <v>0.3</v>
      </c>
      <c r="F416" s="6">
        <v>776.92352300000005</v>
      </c>
      <c r="G416" s="4">
        <v>3.0000000000000001E-3</v>
      </c>
      <c r="I416" s="4" t="s">
        <v>232</v>
      </c>
      <c r="J416" s="4">
        <v>0.9</v>
      </c>
      <c r="K416" s="4">
        <v>0.5</v>
      </c>
      <c r="L416" s="4">
        <v>0.6</v>
      </c>
      <c r="M416" s="4">
        <v>0.31</v>
      </c>
      <c r="N416" s="4">
        <v>805.88342299999999</v>
      </c>
      <c r="O416" s="4">
        <v>2E-3</v>
      </c>
      <c r="P416" s="5"/>
      <c r="Q416" s="5"/>
      <c r="R416" s="5"/>
      <c r="S416" s="5"/>
      <c r="U416" s="4" t="s">
        <v>232</v>
      </c>
      <c r="V416" s="4">
        <v>0.9</v>
      </c>
      <c r="W416" s="4">
        <v>0.5</v>
      </c>
      <c r="X416" s="4">
        <v>0.6</v>
      </c>
      <c r="Y416" s="4">
        <v>0.3</v>
      </c>
      <c r="Z416" s="6">
        <v>766.44445800000005</v>
      </c>
      <c r="AA416" s="4">
        <v>2E-3</v>
      </c>
      <c r="AC416" s="4" t="s">
        <v>232</v>
      </c>
      <c r="AD416" s="4">
        <v>0.9</v>
      </c>
      <c r="AE416" s="4">
        <v>0.5</v>
      </c>
      <c r="AF416" s="4">
        <v>0.6</v>
      </c>
      <c r="AG416" s="4">
        <v>0.3</v>
      </c>
      <c r="AH416" s="4">
        <v>794.623108</v>
      </c>
      <c r="AI416" s="4">
        <v>3.0000000000000001E-3</v>
      </c>
      <c r="AJ416" s="5"/>
      <c r="AK416" s="5"/>
      <c r="AL416" s="5"/>
      <c r="AM416" s="5"/>
      <c r="AO416" s="4" t="s">
        <v>233</v>
      </c>
      <c r="AP416" s="4">
        <v>0.9</v>
      </c>
      <c r="AQ416" s="4">
        <v>0.5</v>
      </c>
      <c r="AR416" s="4">
        <v>0.6</v>
      </c>
      <c r="AS416" s="4">
        <v>0.3</v>
      </c>
      <c r="AT416" s="6">
        <v>1028.3670649999999</v>
      </c>
      <c r="AU416" s="4">
        <v>7.0000000000000001E-3</v>
      </c>
      <c r="AW416" s="4" t="s">
        <v>233</v>
      </c>
      <c r="AX416" s="4">
        <v>0.9</v>
      </c>
      <c r="AY416" s="4">
        <v>0.5</v>
      </c>
      <c r="AZ416" s="4">
        <v>0.6</v>
      </c>
      <c r="BA416" s="4">
        <v>0.3</v>
      </c>
      <c r="BB416" s="4">
        <v>1031.388794</v>
      </c>
      <c r="BC416" s="4">
        <v>8.0000000000000002E-3</v>
      </c>
      <c r="BD416" s="5"/>
      <c r="BE416" s="5"/>
      <c r="BF416" s="5"/>
      <c r="BG416" s="5"/>
      <c r="BI416" s="4" t="s">
        <v>233</v>
      </c>
      <c r="BJ416" s="4">
        <v>0.9</v>
      </c>
      <c r="BK416" s="4">
        <v>0.5</v>
      </c>
      <c r="BL416" s="4">
        <v>0.6</v>
      </c>
      <c r="BM416" s="4">
        <v>0.3</v>
      </c>
      <c r="BN416" s="6">
        <v>1045.015259</v>
      </c>
      <c r="BO416" s="4">
        <v>1.4999999999999999E-2</v>
      </c>
      <c r="BQ416" s="4" t="s">
        <v>233</v>
      </c>
      <c r="BR416" s="4">
        <v>0.9</v>
      </c>
      <c r="BS416" s="4">
        <v>0.5</v>
      </c>
      <c r="BT416" s="4">
        <v>0.6</v>
      </c>
      <c r="BU416" s="4">
        <v>0.3</v>
      </c>
      <c r="BV416" s="4">
        <v>1030.0489500000001</v>
      </c>
      <c r="BW416" s="4">
        <v>8.0000000000000002E-3</v>
      </c>
      <c r="BX416" s="5"/>
      <c r="BY416" s="5"/>
      <c r="BZ416" s="5"/>
      <c r="CA416" s="5"/>
    </row>
    <row r="417" spans="1:79" x14ac:dyDescent="0.3">
      <c r="A417" s="4" t="s">
        <v>234</v>
      </c>
      <c r="B417" s="4">
        <v>0.9</v>
      </c>
      <c r="C417" s="4">
        <v>0.5</v>
      </c>
      <c r="D417" s="4">
        <v>0.6</v>
      </c>
      <c r="E417" s="4">
        <v>0.3</v>
      </c>
      <c r="F417" s="8">
        <v>733.75695800000005</v>
      </c>
      <c r="G417" s="4">
        <v>3.0000000000000001E-3</v>
      </c>
      <c r="I417" s="4" t="s">
        <v>234</v>
      </c>
      <c r="J417" s="4">
        <v>0.9</v>
      </c>
      <c r="K417" s="4">
        <v>0.5</v>
      </c>
      <c r="L417" s="4">
        <v>0.6</v>
      </c>
      <c r="M417" s="4">
        <v>0.3</v>
      </c>
      <c r="N417" s="6">
        <v>733.27612299999998</v>
      </c>
      <c r="O417" s="4">
        <v>2E-3</v>
      </c>
      <c r="P417" s="5"/>
      <c r="Q417" s="5"/>
      <c r="R417" s="5"/>
      <c r="S417" s="5"/>
      <c r="U417" s="4" t="s">
        <v>234</v>
      </c>
      <c r="V417" s="4">
        <v>0.9</v>
      </c>
      <c r="W417" s="4">
        <v>0.5</v>
      </c>
      <c r="X417" s="4">
        <v>0.6</v>
      </c>
      <c r="Y417" s="4">
        <v>0.3</v>
      </c>
      <c r="Z417" s="6">
        <v>721.20867899999996</v>
      </c>
      <c r="AA417" s="4">
        <v>3.0000000000000001E-3</v>
      </c>
      <c r="AC417" s="4" t="s">
        <v>234</v>
      </c>
      <c r="AD417" s="4">
        <v>0.9</v>
      </c>
      <c r="AE417" s="4">
        <v>0.5</v>
      </c>
      <c r="AF417" s="4">
        <v>0.6</v>
      </c>
      <c r="AG417" s="4">
        <v>0.33</v>
      </c>
      <c r="AH417" s="4">
        <v>746.00958300000002</v>
      </c>
      <c r="AI417" s="4">
        <v>6.0000000000000001E-3</v>
      </c>
      <c r="AJ417" s="5"/>
      <c r="AK417" s="5"/>
      <c r="AL417" s="5"/>
      <c r="AM417" s="5"/>
      <c r="AO417" s="4" t="s">
        <v>235</v>
      </c>
      <c r="AP417" s="4">
        <v>0.9</v>
      </c>
      <c r="AQ417" s="4">
        <v>0.5</v>
      </c>
      <c r="AR417" s="4">
        <v>0.6</v>
      </c>
      <c r="AS417" s="4">
        <v>0.3</v>
      </c>
      <c r="AT417" s="6">
        <v>1095.1175539999999</v>
      </c>
      <c r="AU417" s="4">
        <v>8.0000000000000002E-3</v>
      </c>
      <c r="AW417" s="4" t="s">
        <v>235</v>
      </c>
      <c r="AX417" s="4">
        <v>0.9</v>
      </c>
      <c r="AY417" s="4">
        <v>0.5</v>
      </c>
      <c r="AZ417" s="4">
        <v>0.6</v>
      </c>
      <c r="BA417" s="4">
        <v>0.32</v>
      </c>
      <c r="BB417" s="4">
        <v>1129.613525</v>
      </c>
      <c r="BC417" s="4">
        <v>1.0999999999999999E-2</v>
      </c>
      <c r="BD417" s="5"/>
      <c r="BE417" s="5"/>
      <c r="BF417" s="5"/>
      <c r="BG417" s="5"/>
      <c r="BI417" s="4" t="s">
        <v>235</v>
      </c>
      <c r="BJ417" s="4">
        <v>0.9</v>
      </c>
      <c r="BK417" s="4">
        <v>0.5</v>
      </c>
      <c r="BL417" s="4">
        <v>0.6</v>
      </c>
      <c r="BM417" s="4">
        <v>0.3</v>
      </c>
      <c r="BN417" s="6">
        <v>1083.4185789999999</v>
      </c>
      <c r="BO417" s="4">
        <v>1.6E-2</v>
      </c>
      <c r="BQ417" s="4" t="s">
        <v>235</v>
      </c>
      <c r="BR417" s="4">
        <v>0.9</v>
      </c>
      <c r="BS417" s="4">
        <v>0.5</v>
      </c>
      <c r="BT417" s="4">
        <v>0.6</v>
      </c>
      <c r="BU417" s="4">
        <v>0.3</v>
      </c>
      <c r="BV417" s="4">
        <v>1123.4720460000001</v>
      </c>
      <c r="BW417" s="4">
        <v>8.0000000000000002E-3</v>
      </c>
      <c r="BX417" s="5"/>
      <c r="BY417" s="5"/>
      <c r="BZ417" s="5"/>
      <c r="CA417" s="5"/>
    </row>
    <row r="418" spans="1:79" x14ac:dyDescent="0.3">
      <c r="A418" s="4" t="s">
        <v>236</v>
      </c>
      <c r="B418" s="4">
        <v>0.9</v>
      </c>
      <c r="C418" s="4">
        <v>0.5</v>
      </c>
      <c r="D418" s="4">
        <v>0.6</v>
      </c>
      <c r="E418" s="4">
        <v>0.3</v>
      </c>
      <c r="F418" s="6">
        <v>751.06451400000003</v>
      </c>
      <c r="G418" s="4">
        <v>2E-3</v>
      </c>
      <c r="I418" s="4" t="s">
        <v>236</v>
      </c>
      <c r="J418" s="4">
        <v>0.9</v>
      </c>
      <c r="K418" s="4">
        <v>0.5</v>
      </c>
      <c r="L418" s="4">
        <v>0.6</v>
      </c>
      <c r="M418" s="4">
        <v>0.33</v>
      </c>
      <c r="N418" s="4">
        <v>773.08111599999995</v>
      </c>
      <c r="O418" s="4">
        <v>3.0000000000000001E-3</v>
      </c>
      <c r="P418" s="5"/>
      <c r="Q418" s="5"/>
      <c r="R418" s="5"/>
      <c r="S418" s="5"/>
      <c r="U418" s="4" t="s">
        <v>236</v>
      </c>
      <c r="V418" s="4">
        <v>0.9</v>
      </c>
      <c r="W418" s="4">
        <v>0.5</v>
      </c>
      <c r="X418" s="4">
        <v>0.6</v>
      </c>
      <c r="Y418" s="4">
        <v>0.3</v>
      </c>
      <c r="Z418" s="6">
        <v>761.99194299999999</v>
      </c>
      <c r="AA418" s="4">
        <v>4.0000000000000001E-3</v>
      </c>
      <c r="AC418" s="4" t="s">
        <v>236</v>
      </c>
      <c r="AD418" s="4">
        <v>0.9</v>
      </c>
      <c r="AE418" s="4">
        <v>0.5</v>
      </c>
      <c r="AF418" s="4">
        <v>0.6</v>
      </c>
      <c r="AG418" s="4">
        <v>0.31</v>
      </c>
      <c r="AH418" s="4">
        <v>775.997253</v>
      </c>
      <c r="AI418" s="4">
        <v>3.0000000000000001E-3</v>
      </c>
      <c r="AJ418" s="5"/>
      <c r="AK418" s="5"/>
      <c r="AL418" s="5"/>
      <c r="AM418" s="5"/>
      <c r="AO418" s="4" t="s">
        <v>237</v>
      </c>
      <c r="AP418" s="4">
        <v>0.9</v>
      </c>
      <c r="AQ418" s="4">
        <v>0.5</v>
      </c>
      <c r="AR418" s="4">
        <v>0.6</v>
      </c>
      <c r="AS418" s="4">
        <v>0.3</v>
      </c>
      <c r="AT418" s="6">
        <v>1099.5776370000001</v>
      </c>
      <c r="AU418" s="4">
        <v>8.0000000000000002E-3</v>
      </c>
      <c r="AW418" s="4" t="s">
        <v>237</v>
      </c>
      <c r="AX418" s="4">
        <v>0.9</v>
      </c>
      <c r="AY418" s="4">
        <v>0.5</v>
      </c>
      <c r="AZ418" s="4">
        <v>0.6</v>
      </c>
      <c r="BA418" s="4">
        <v>0.3</v>
      </c>
      <c r="BB418" s="4">
        <v>1117.229004</v>
      </c>
      <c r="BC418" s="4">
        <v>8.9999999999999993E-3</v>
      </c>
      <c r="BD418" s="5"/>
      <c r="BE418" s="5"/>
      <c r="BF418" s="5"/>
      <c r="BG418" s="5"/>
      <c r="BI418" s="4" t="s">
        <v>237</v>
      </c>
      <c r="BJ418" s="4">
        <v>0.9</v>
      </c>
      <c r="BK418" s="4">
        <v>0.5</v>
      </c>
      <c r="BL418" s="4">
        <v>0.6</v>
      </c>
      <c r="BM418" s="4">
        <v>0.3</v>
      </c>
      <c r="BN418" s="6">
        <v>1103.6365969999999</v>
      </c>
      <c r="BO418" s="4">
        <v>1.0999999999999999E-2</v>
      </c>
      <c r="BQ418" s="4" t="s">
        <v>237</v>
      </c>
      <c r="BR418" s="4">
        <v>0.9</v>
      </c>
      <c r="BS418" s="4">
        <v>0.5</v>
      </c>
      <c r="BT418" s="4">
        <v>0.6</v>
      </c>
      <c r="BU418" s="4">
        <v>0.31</v>
      </c>
      <c r="BV418" s="4">
        <v>1111.411987</v>
      </c>
      <c r="BW418" s="4">
        <v>8.9999999999999993E-3</v>
      </c>
      <c r="BX418" s="5"/>
      <c r="BY418" s="5"/>
      <c r="BZ418" s="5"/>
      <c r="CA418" s="5"/>
    </row>
    <row r="419" spans="1:79" x14ac:dyDescent="0.3">
      <c r="A419" s="4" t="s">
        <v>238</v>
      </c>
      <c r="B419" s="4">
        <v>0.9</v>
      </c>
      <c r="C419" s="4">
        <v>0.5</v>
      </c>
      <c r="D419" s="4">
        <v>0.6</v>
      </c>
      <c r="E419" s="4">
        <v>0.3</v>
      </c>
      <c r="F419" s="6">
        <v>726.26593000000003</v>
      </c>
      <c r="G419" s="4">
        <v>2E-3</v>
      </c>
      <c r="I419" s="4" t="s">
        <v>238</v>
      </c>
      <c r="J419" s="4">
        <v>0.9</v>
      </c>
      <c r="K419" s="4">
        <v>0.5</v>
      </c>
      <c r="L419" s="4">
        <v>0.6</v>
      </c>
      <c r="M419" s="4">
        <v>0.34</v>
      </c>
      <c r="N419" s="4">
        <v>754.29724099999999</v>
      </c>
      <c r="O419" s="4">
        <v>2E-3</v>
      </c>
      <c r="P419" s="5"/>
      <c r="Q419" s="5"/>
      <c r="R419" s="5"/>
      <c r="S419" s="5"/>
      <c r="U419" s="4" t="s">
        <v>238</v>
      </c>
      <c r="V419" s="4">
        <v>0.9</v>
      </c>
      <c r="W419" s="4">
        <v>0.5</v>
      </c>
      <c r="X419" s="4">
        <v>0.6</v>
      </c>
      <c r="Y419" s="4">
        <v>0.3</v>
      </c>
      <c r="Z419" s="6">
        <v>739.92211899999995</v>
      </c>
      <c r="AA419" s="4">
        <v>3.0000000000000001E-3</v>
      </c>
      <c r="AC419" s="4" t="s">
        <v>238</v>
      </c>
      <c r="AD419" s="4">
        <v>0.9</v>
      </c>
      <c r="AE419" s="4">
        <v>0.5</v>
      </c>
      <c r="AF419" s="4">
        <v>0.6</v>
      </c>
      <c r="AG419" s="4">
        <v>0.31</v>
      </c>
      <c r="AH419" s="4">
        <v>747.00591999999995</v>
      </c>
      <c r="AI419" s="4">
        <v>3.0000000000000001E-3</v>
      </c>
      <c r="AJ419" s="5"/>
      <c r="AK419" s="5"/>
      <c r="AL419" s="5"/>
      <c r="AM419" s="5"/>
      <c r="AO419" s="4" t="s">
        <v>239</v>
      </c>
      <c r="AP419" s="4">
        <v>0.9</v>
      </c>
      <c r="AQ419" s="4">
        <v>0.5</v>
      </c>
      <c r="AR419" s="4">
        <v>0.6</v>
      </c>
      <c r="AS419" s="4">
        <v>0.3</v>
      </c>
      <c r="AT419" s="6">
        <v>1138.590332</v>
      </c>
      <c r="AU419" s="4">
        <v>8.9999999999999993E-3</v>
      </c>
      <c r="AW419" s="4" t="s">
        <v>239</v>
      </c>
      <c r="AX419" s="4">
        <v>0.9</v>
      </c>
      <c r="AY419" s="4">
        <v>0.5</v>
      </c>
      <c r="AZ419" s="4">
        <v>0.6</v>
      </c>
      <c r="BA419" s="4">
        <v>0.35</v>
      </c>
      <c r="BB419" s="4">
        <v>1176.1669919999999</v>
      </c>
      <c r="BC419" s="4">
        <v>1.6E-2</v>
      </c>
      <c r="BD419" s="5"/>
      <c r="BE419" s="5"/>
      <c r="BF419" s="5"/>
      <c r="BG419" s="5"/>
      <c r="BI419" s="4" t="s">
        <v>239</v>
      </c>
      <c r="BJ419" s="4">
        <v>0.9</v>
      </c>
      <c r="BK419" s="4">
        <v>0.5</v>
      </c>
      <c r="BL419" s="4">
        <v>0.6</v>
      </c>
      <c r="BM419" s="4">
        <v>0.3</v>
      </c>
      <c r="BN419" s="6">
        <v>1141.830078</v>
      </c>
      <c r="BO419" s="4">
        <v>0.02</v>
      </c>
      <c r="BQ419" s="4" t="s">
        <v>239</v>
      </c>
      <c r="BR419" s="4">
        <v>0.9</v>
      </c>
      <c r="BS419" s="4">
        <v>0.5</v>
      </c>
      <c r="BT419" s="4">
        <v>0.6</v>
      </c>
      <c r="BU419" s="4">
        <v>0.31</v>
      </c>
      <c r="BV419" s="4">
        <v>1180.974487</v>
      </c>
      <c r="BW419" s="4">
        <v>1.0999999999999999E-2</v>
      </c>
      <c r="BX419" s="5"/>
      <c r="BY419" s="5"/>
      <c r="BZ419" s="5"/>
      <c r="CA419" s="5"/>
    </row>
    <row r="420" spans="1:79" x14ac:dyDescent="0.3">
      <c r="A420" s="4" t="s">
        <v>240</v>
      </c>
      <c r="B420" s="4">
        <v>0.9</v>
      </c>
      <c r="C420" s="4">
        <v>0.5</v>
      </c>
      <c r="D420" s="4">
        <v>0.6</v>
      </c>
      <c r="E420" s="4">
        <v>0.3</v>
      </c>
      <c r="F420" s="6">
        <v>711.07861300000002</v>
      </c>
      <c r="G420" s="4">
        <v>2E-3</v>
      </c>
      <c r="I420" s="4" t="s">
        <v>240</v>
      </c>
      <c r="J420" s="4">
        <v>0.9</v>
      </c>
      <c r="K420" s="4">
        <v>0.5</v>
      </c>
      <c r="L420" s="4">
        <v>0.6</v>
      </c>
      <c r="M420" s="4">
        <v>0.3</v>
      </c>
      <c r="N420" s="4">
        <v>742.89556900000002</v>
      </c>
      <c r="O420" s="4">
        <v>3.0000000000000001E-3</v>
      </c>
      <c r="P420" s="5"/>
      <c r="Q420" s="5"/>
      <c r="R420" s="5"/>
      <c r="S420" s="5"/>
      <c r="U420" s="4" t="s">
        <v>240</v>
      </c>
      <c r="V420" s="4">
        <v>0.9</v>
      </c>
      <c r="W420" s="4">
        <v>0.5</v>
      </c>
      <c r="X420" s="4">
        <v>0.6</v>
      </c>
      <c r="Y420" s="4">
        <v>0.3</v>
      </c>
      <c r="Z420" s="6">
        <v>717.62426800000003</v>
      </c>
      <c r="AA420" s="4">
        <v>3.0000000000000001E-3</v>
      </c>
      <c r="AC420" s="4" t="s">
        <v>240</v>
      </c>
      <c r="AD420" s="4">
        <v>0.9</v>
      </c>
      <c r="AE420" s="4">
        <v>0.5</v>
      </c>
      <c r="AF420" s="4">
        <v>0.6</v>
      </c>
      <c r="AG420" s="4">
        <v>0.3</v>
      </c>
      <c r="AH420" s="4">
        <v>728.898865</v>
      </c>
      <c r="AI420" s="4">
        <v>4.0000000000000001E-3</v>
      </c>
      <c r="AJ420" s="5"/>
      <c r="AK420" s="5"/>
      <c r="AL420" s="5"/>
      <c r="AM420" s="5"/>
      <c r="AO420" s="4" t="s">
        <v>241</v>
      </c>
      <c r="AP420" s="4">
        <v>0.9</v>
      </c>
      <c r="AQ420" s="4">
        <v>0.5</v>
      </c>
      <c r="AR420" s="4">
        <v>0.6</v>
      </c>
      <c r="AS420" s="4">
        <v>0.3</v>
      </c>
      <c r="AT420" s="6">
        <v>1074.911499</v>
      </c>
      <c r="AU420" s="4">
        <v>8.0000000000000002E-3</v>
      </c>
      <c r="AW420" s="4" t="s">
        <v>241</v>
      </c>
      <c r="AX420" s="4">
        <v>0.9</v>
      </c>
      <c r="AY420" s="4">
        <v>0.5</v>
      </c>
      <c r="AZ420" s="4">
        <v>0.6</v>
      </c>
      <c r="BA420" s="4">
        <v>0.31</v>
      </c>
      <c r="BB420" s="4">
        <v>1115.56665</v>
      </c>
      <c r="BC420" s="4">
        <v>1.0999999999999999E-2</v>
      </c>
      <c r="BD420" s="5"/>
      <c r="BE420" s="5"/>
      <c r="BF420" s="5"/>
      <c r="BG420" s="5"/>
      <c r="BI420" s="4" t="s">
        <v>241</v>
      </c>
      <c r="BJ420" s="4">
        <v>0.9</v>
      </c>
      <c r="BK420" s="4">
        <v>0.5</v>
      </c>
      <c r="BL420" s="4">
        <v>0.6</v>
      </c>
      <c r="BM420" s="4">
        <v>0.3</v>
      </c>
      <c r="BN420" s="6">
        <v>1078.6522219999999</v>
      </c>
      <c r="BO420" s="4">
        <v>1.7000000000000001E-2</v>
      </c>
      <c r="BQ420" s="4" t="s">
        <v>241</v>
      </c>
      <c r="BR420" s="4">
        <v>0.9</v>
      </c>
      <c r="BS420" s="4">
        <v>0.5</v>
      </c>
      <c r="BT420" s="4">
        <v>0.6</v>
      </c>
      <c r="BU420" s="4">
        <v>0.3</v>
      </c>
      <c r="BV420" s="4">
        <v>1113.616943</v>
      </c>
      <c r="BW420" s="4">
        <v>8.0000000000000002E-3</v>
      </c>
      <c r="BX420" s="5"/>
      <c r="BY420" s="5"/>
      <c r="BZ420" s="5"/>
      <c r="CA420" s="5"/>
    </row>
    <row r="421" spans="1:79" x14ac:dyDescent="0.3">
      <c r="A421" s="4" t="s">
        <v>242</v>
      </c>
      <c r="B421" s="4">
        <v>0.9</v>
      </c>
      <c r="C421" s="4">
        <v>0.5</v>
      </c>
      <c r="D421" s="4">
        <v>0.6</v>
      </c>
      <c r="E421" s="4">
        <v>0.3</v>
      </c>
      <c r="F421" s="6">
        <v>723.14031999999997</v>
      </c>
      <c r="G421" s="4">
        <v>2E-3</v>
      </c>
      <c r="I421" s="4" t="s">
        <v>242</v>
      </c>
      <c r="J421" s="4">
        <v>0.9</v>
      </c>
      <c r="K421" s="4">
        <v>0.5</v>
      </c>
      <c r="L421" s="4">
        <v>0.6</v>
      </c>
      <c r="M421" s="4">
        <v>0.3</v>
      </c>
      <c r="N421" s="4">
        <v>749.635986</v>
      </c>
      <c r="O421" s="4">
        <v>4.0000000000000001E-3</v>
      </c>
      <c r="P421" s="5"/>
      <c r="Q421" s="5"/>
      <c r="R421" s="5"/>
      <c r="S421" s="5"/>
      <c r="U421" s="4" t="s">
        <v>242</v>
      </c>
      <c r="V421" s="4">
        <v>0.9</v>
      </c>
      <c r="W421" s="4">
        <v>0.5</v>
      </c>
      <c r="X421" s="4">
        <v>0.6</v>
      </c>
      <c r="Y421" s="4">
        <v>0.3</v>
      </c>
      <c r="Z421" s="4">
        <v>729.13128700000004</v>
      </c>
      <c r="AA421" s="4">
        <v>4.0000000000000001E-3</v>
      </c>
      <c r="AC421" s="4" t="s">
        <v>242</v>
      </c>
      <c r="AD421" s="4">
        <v>0.9</v>
      </c>
      <c r="AE421" s="4">
        <v>0.5</v>
      </c>
      <c r="AF421" s="4">
        <v>0.6</v>
      </c>
      <c r="AG421" s="4">
        <v>0.32</v>
      </c>
      <c r="AH421" s="6">
        <v>712.61236599999995</v>
      </c>
      <c r="AI421" s="4">
        <v>3.0000000000000001E-3</v>
      </c>
      <c r="AJ421" s="5"/>
      <c r="AK421" s="5"/>
      <c r="AL421" s="5"/>
      <c r="AM421" s="5"/>
      <c r="AO421" s="4" t="s">
        <v>243</v>
      </c>
      <c r="AP421" s="4">
        <v>0.9</v>
      </c>
      <c r="AQ421" s="4">
        <v>0.5</v>
      </c>
      <c r="AR421" s="4">
        <v>0.6</v>
      </c>
      <c r="AS421" s="4">
        <v>0.3</v>
      </c>
      <c r="AT421" s="6">
        <v>1199.4197999999999</v>
      </c>
      <c r="AU421" s="4">
        <v>8.9999999999999993E-3</v>
      </c>
      <c r="AW421" s="4" t="s">
        <v>243</v>
      </c>
      <c r="AX421" s="4">
        <v>0.9</v>
      </c>
      <c r="AY421" s="4">
        <v>0.5</v>
      </c>
      <c r="AZ421" s="4">
        <v>0.6</v>
      </c>
      <c r="BA421" s="4">
        <v>0.32</v>
      </c>
      <c r="BB421" s="4">
        <v>1229.66626</v>
      </c>
      <c r="BC421" s="4">
        <v>1.4999999999999999E-2</v>
      </c>
      <c r="BD421" s="5"/>
      <c r="BE421" s="5"/>
      <c r="BF421" s="5"/>
      <c r="BG421" s="5"/>
      <c r="BI421" s="4" t="s">
        <v>243</v>
      </c>
      <c r="BJ421" s="4">
        <v>0.9</v>
      </c>
      <c r="BK421" s="4">
        <v>0.5</v>
      </c>
      <c r="BL421" s="4">
        <v>0.6</v>
      </c>
      <c r="BM421" s="4">
        <v>0.3</v>
      </c>
      <c r="BN421" s="6">
        <v>1173.4876710000001</v>
      </c>
      <c r="BO421" s="4">
        <v>0.01</v>
      </c>
      <c r="BQ421" s="4" t="s">
        <v>243</v>
      </c>
      <c r="BR421" s="4">
        <v>0.9</v>
      </c>
      <c r="BS421" s="4">
        <v>0.5</v>
      </c>
      <c r="BT421" s="4">
        <v>0.6</v>
      </c>
      <c r="BU421" s="4">
        <v>0.37</v>
      </c>
      <c r="BV421" s="4">
        <v>1210.153198</v>
      </c>
      <c r="BW421" s="4">
        <v>8.9999999999999993E-3</v>
      </c>
      <c r="BX421" s="5"/>
      <c r="BY421" s="5"/>
      <c r="BZ421" s="5"/>
      <c r="CA421" s="5"/>
    </row>
    <row r="422" spans="1:79" x14ac:dyDescent="0.3">
      <c r="A422" s="4" t="s">
        <v>244</v>
      </c>
      <c r="B422" s="4">
        <v>0.9</v>
      </c>
      <c r="C422" s="4">
        <v>0.5</v>
      </c>
      <c r="D422" s="4">
        <v>0.6</v>
      </c>
      <c r="E422" s="4">
        <v>0.3</v>
      </c>
      <c r="F422" s="6">
        <v>717.56317100000001</v>
      </c>
      <c r="G422" s="4">
        <v>2E-3</v>
      </c>
      <c r="I422" s="4" t="s">
        <v>244</v>
      </c>
      <c r="J422" s="4">
        <v>0.9</v>
      </c>
      <c r="K422" s="4">
        <v>0.5</v>
      </c>
      <c r="L422" s="4">
        <v>0.6</v>
      </c>
      <c r="M422" s="4">
        <v>0.3</v>
      </c>
      <c r="N422" s="4">
        <v>743.78338599999995</v>
      </c>
      <c r="O422" s="4">
        <v>4.0000000000000001E-3</v>
      </c>
      <c r="P422" s="5"/>
      <c r="Q422" s="5"/>
      <c r="R422" s="5"/>
      <c r="S422" s="5"/>
      <c r="U422" s="4" t="s">
        <v>244</v>
      </c>
      <c r="V422" s="4">
        <v>0.9</v>
      </c>
      <c r="W422" s="4">
        <v>0.5</v>
      </c>
      <c r="X422" s="4">
        <v>0.6</v>
      </c>
      <c r="Y422" s="4">
        <v>0.3</v>
      </c>
      <c r="Z422" s="6">
        <v>723.301331</v>
      </c>
      <c r="AA422" s="4">
        <v>4.0000000000000001E-3</v>
      </c>
      <c r="AC422" s="4" t="s">
        <v>244</v>
      </c>
      <c r="AD422" s="4">
        <v>0.9</v>
      </c>
      <c r="AE422" s="4">
        <v>0.5</v>
      </c>
      <c r="AF422" s="4">
        <v>0.6</v>
      </c>
      <c r="AG422" s="4">
        <v>0.32</v>
      </c>
      <c r="AH422" s="4">
        <v>726.90386999999998</v>
      </c>
      <c r="AI422" s="4">
        <v>3.0000000000000001E-3</v>
      </c>
      <c r="AJ422" s="5"/>
      <c r="AK422" s="5"/>
      <c r="AL422" s="5"/>
      <c r="AM422" s="5"/>
      <c r="AO422" s="4" t="s">
        <v>245</v>
      </c>
      <c r="AP422" s="4">
        <v>0.9</v>
      </c>
      <c r="AQ422" s="4">
        <v>0.5</v>
      </c>
      <c r="AR422" s="4">
        <v>0.6</v>
      </c>
      <c r="AS422" s="4">
        <v>0.3</v>
      </c>
      <c r="AT422" s="6">
        <v>1169.220703</v>
      </c>
      <c r="AU422" s="4">
        <v>0.01</v>
      </c>
      <c r="AW422" s="4" t="s">
        <v>245</v>
      </c>
      <c r="AX422" s="4">
        <v>0.9</v>
      </c>
      <c r="AY422" s="4">
        <v>0.5</v>
      </c>
      <c r="AZ422" s="4">
        <v>0.6</v>
      </c>
      <c r="BA422" s="4">
        <v>0.3</v>
      </c>
      <c r="BB422" s="4">
        <v>1222.9929199999999</v>
      </c>
      <c r="BC422" s="4">
        <v>1.6E-2</v>
      </c>
      <c r="BD422" s="5"/>
      <c r="BE422" s="5"/>
      <c r="BF422" s="5"/>
      <c r="BG422" s="5"/>
      <c r="BI422" s="4" t="s">
        <v>245</v>
      </c>
      <c r="BJ422" s="4">
        <v>0.9</v>
      </c>
      <c r="BK422" s="4">
        <v>0.5</v>
      </c>
      <c r="BL422" s="4">
        <v>0.6</v>
      </c>
      <c r="BM422" s="4">
        <v>0.3</v>
      </c>
      <c r="BN422" s="6">
        <v>1185.378418</v>
      </c>
      <c r="BO422" s="4">
        <v>1.2999999999999999E-2</v>
      </c>
      <c r="BQ422" s="4" t="s">
        <v>245</v>
      </c>
      <c r="BR422" s="4">
        <v>0.9</v>
      </c>
      <c r="BS422" s="4">
        <v>0.5</v>
      </c>
      <c r="BT422" s="4">
        <v>0.6</v>
      </c>
      <c r="BU422" s="4">
        <v>0.3</v>
      </c>
      <c r="BV422" s="4">
        <v>1211.0896</v>
      </c>
      <c r="BW422" s="4">
        <v>8.9999999999999993E-3</v>
      </c>
      <c r="BX422" s="5"/>
      <c r="BY422" s="5"/>
      <c r="BZ422" s="5"/>
      <c r="CA422" s="5"/>
    </row>
    <row r="423" spans="1:79" x14ac:dyDescent="0.3">
      <c r="A423" s="4" t="s">
        <v>246</v>
      </c>
      <c r="B423" s="4">
        <v>0.9</v>
      </c>
      <c r="C423" s="4">
        <v>0.5</v>
      </c>
      <c r="D423" s="4">
        <v>0.6</v>
      </c>
      <c r="E423" s="4">
        <v>0.3</v>
      </c>
      <c r="F423" s="6">
        <v>718.21673599999997</v>
      </c>
      <c r="G423" s="4">
        <v>3.0000000000000001E-3</v>
      </c>
      <c r="I423" s="4" t="s">
        <v>246</v>
      </c>
      <c r="J423" s="4">
        <v>0.9</v>
      </c>
      <c r="K423" s="4">
        <v>0.5</v>
      </c>
      <c r="L423" s="4">
        <v>0.6</v>
      </c>
      <c r="M423" s="4">
        <v>0.33</v>
      </c>
      <c r="N423" s="4">
        <v>762.73925799999995</v>
      </c>
      <c r="O423" s="4">
        <v>4.0000000000000001E-3</v>
      </c>
      <c r="P423" s="5"/>
      <c r="Q423" s="5"/>
      <c r="R423" s="5"/>
      <c r="S423" s="5"/>
      <c r="U423" s="4" t="s">
        <v>246</v>
      </c>
      <c r="V423" s="4">
        <v>0.9</v>
      </c>
      <c r="W423" s="4">
        <v>0.5</v>
      </c>
      <c r="X423" s="4">
        <v>0.6</v>
      </c>
      <c r="Y423" s="4">
        <v>0.3</v>
      </c>
      <c r="Z423" s="6">
        <v>707.99530000000004</v>
      </c>
      <c r="AA423" s="4">
        <v>3.0000000000000001E-3</v>
      </c>
      <c r="AC423" s="4" t="s">
        <v>246</v>
      </c>
      <c r="AD423" s="4">
        <v>0.9</v>
      </c>
      <c r="AE423" s="4">
        <v>0.5</v>
      </c>
      <c r="AF423" s="4">
        <v>0.6</v>
      </c>
      <c r="AG423" s="4">
        <v>0.33</v>
      </c>
      <c r="AH423" s="4">
        <v>749.83514400000001</v>
      </c>
      <c r="AI423" s="4">
        <v>3.0000000000000001E-3</v>
      </c>
      <c r="AJ423" s="5"/>
      <c r="AK423" s="5"/>
      <c r="AL423" s="5"/>
      <c r="AM423" s="5"/>
      <c r="AO423" s="4" t="s">
        <v>247</v>
      </c>
      <c r="AP423" s="4">
        <v>0.9</v>
      </c>
      <c r="AQ423" s="4">
        <v>0.5</v>
      </c>
      <c r="AR423" s="4">
        <v>0.6</v>
      </c>
      <c r="AS423" s="4">
        <v>0.3</v>
      </c>
      <c r="AT423" s="6">
        <v>1041.5257570000001</v>
      </c>
      <c r="AU423" s="4">
        <v>8.0000000000000002E-3</v>
      </c>
      <c r="AW423" s="4" t="s">
        <v>247</v>
      </c>
      <c r="AX423" s="4">
        <v>0.9</v>
      </c>
      <c r="AY423" s="4">
        <v>0.5</v>
      </c>
      <c r="AZ423" s="4">
        <v>0.6</v>
      </c>
      <c r="BA423" s="4">
        <v>0.33</v>
      </c>
      <c r="BB423" s="4">
        <v>1066.0054929999999</v>
      </c>
      <c r="BC423" s="4">
        <v>1.0999999999999999E-2</v>
      </c>
      <c r="BD423" s="5"/>
      <c r="BE423" s="5"/>
      <c r="BF423" s="5"/>
      <c r="BG423" s="5"/>
      <c r="BI423" s="4" t="s">
        <v>247</v>
      </c>
      <c r="BJ423" s="4">
        <v>0.9</v>
      </c>
      <c r="BK423" s="4">
        <v>0.5</v>
      </c>
      <c r="BL423" s="4">
        <v>0.6</v>
      </c>
      <c r="BM423" s="4">
        <v>0.3</v>
      </c>
      <c r="BN423" s="6">
        <v>1044.0048830000001</v>
      </c>
      <c r="BO423" s="4">
        <v>8.0000000000000002E-3</v>
      </c>
      <c r="BQ423" s="4" t="s">
        <v>247</v>
      </c>
      <c r="BR423" s="4">
        <v>0.9</v>
      </c>
      <c r="BS423" s="4">
        <v>0.5</v>
      </c>
      <c r="BT423" s="4">
        <v>0.6</v>
      </c>
      <c r="BU423" s="4">
        <v>0.3</v>
      </c>
      <c r="BV423" s="4">
        <v>1062.5947269999999</v>
      </c>
      <c r="BW423" s="4">
        <v>8.0000000000000002E-3</v>
      </c>
      <c r="BX423" s="5"/>
      <c r="BY423" s="5"/>
      <c r="BZ423" s="5"/>
      <c r="CA423" s="5"/>
    </row>
    <row r="424" spans="1:79" x14ac:dyDescent="0.3">
      <c r="A424" s="4" t="s">
        <v>248</v>
      </c>
      <c r="B424" s="4">
        <v>0.9</v>
      </c>
      <c r="C424" s="4">
        <v>0.5</v>
      </c>
      <c r="D424" s="4">
        <v>0.6</v>
      </c>
      <c r="E424" s="4">
        <v>0.3</v>
      </c>
      <c r="F424" s="6">
        <v>762.60406499999999</v>
      </c>
      <c r="G424" s="4">
        <v>2E-3</v>
      </c>
      <c r="I424" s="4" t="s">
        <v>248</v>
      </c>
      <c r="J424" s="4">
        <v>0.9</v>
      </c>
      <c r="K424" s="4">
        <v>0.5</v>
      </c>
      <c r="L424" s="4">
        <v>0.6</v>
      </c>
      <c r="M424" s="4">
        <v>0.31</v>
      </c>
      <c r="N424" s="4">
        <v>769.49926800000003</v>
      </c>
      <c r="O424" s="4">
        <v>4.0000000000000001E-3</v>
      </c>
      <c r="P424" s="5"/>
      <c r="Q424" s="5"/>
      <c r="R424" s="5"/>
      <c r="S424" s="5"/>
      <c r="U424" s="4" t="s">
        <v>248</v>
      </c>
      <c r="V424" s="4">
        <v>0.9</v>
      </c>
      <c r="W424" s="4">
        <v>0.5</v>
      </c>
      <c r="X424" s="4">
        <v>0.6</v>
      </c>
      <c r="Y424" s="4">
        <v>0.3</v>
      </c>
      <c r="Z424" s="4">
        <v>761.53265399999998</v>
      </c>
      <c r="AA424" s="4">
        <v>3.0000000000000001E-3</v>
      </c>
      <c r="AC424" s="4" t="s">
        <v>248</v>
      </c>
      <c r="AD424" s="4">
        <v>0.9</v>
      </c>
      <c r="AE424" s="4">
        <v>0.5</v>
      </c>
      <c r="AF424" s="4">
        <v>0.6</v>
      </c>
      <c r="AG424" s="4">
        <v>0.3</v>
      </c>
      <c r="AH424" s="6">
        <v>760.75531000000001</v>
      </c>
      <c r="AI424" s="4">
        <v>3.0000000000000001E-3</v>
      </c>
      <c r="AJ424" s="5"/>
      <c r="AK424" s="5"/>
      <c r="AL424" s="5"/>
      <c r="AM424" s="5"/>
      <c r="AO424" s="4" t="s">
        <v>249</v>
      </c>
      <c r="AP424" s="4">
        <v>0.9</v>
      </c>
      <c r="AQ424" s="4">
        <v>0.5</v>
      </c>
      <c r="AR424" s="4">
        <v>0.6</v>
      </c>
      <c r="AS424" s="4">
        <v>0.3</v>
      </c>
      <c r="AT424" s="6">
        <v>1115.2554929999999</v>
      </c>
      <c r="AU424" s="4">
        <v>8.9999999999999993E-3</v>
      </c>
      <c r="AW424" s="4" t="s">
        <v>249</v>
      </c>
      <c r="AX424" s="4">
        <v>0.9</v>
      </c>
      <c r="AY424" s="4">
        <v>0.5</v>
      </c>
      <c r="AZ424" s="4">
        <v>0.6</v>
      </c>
      <c r="BA424" s="4">
        <v>0.31</v>
      </c>
      <c r="BB424" s="4">
        <v>1160.0460210000001</v>
      </c>
      <c r="BC424" s="4">
        <v>8.9999999999999993E-3</v>
      </c>
      <c r="BD424" s="5"/>
      <c r="BE424" s="5"/>
      <c r="BF424" s="5"/>
      <c r="BG424" s="5"/>
      <c r="BI424" s="4" t="s">
        <v>249</v>
      </c>
      <c r="BJ424" s="4">
        <v>0.9</v>
      </c>
      <c r="BK424" s="4">
        <v>0.5</v>
      </c>
      <c r="BL424" s="4">
        <v>0.6</v>
      </c>
      <c r="BM424" s="4">
        <v>0.3</v>
      </c>
      <c r="BN424" s="6">
        <v>1128.3664550000001</v>
      </c>
      <c r="BO424" s="4">
        <v>1.0999999999999999E-2</v>
      </c>
      <c r="BQ424" s="4" t="s">
        <v>249</v>
      </c>
      <c r="BR424" s="4">
        <v>0.9</v>
      </c>
      <c r="BS424" s="4">
        <v>0.5</v>
      </c>
      <c r="BT424" s="4">
        <v>0.6</v>
      </c>
      <c r="BU424" s="4">
        <v>0.32</v>
      </c>
      <c r="BV424" s="4">
        <v>1151.263672</v>
      </c>
      <c r="BW424" s="4">
        <v>8.9999999999999993E-3</v>
      </c>
      <c r="BX424" s="5"/>
      <c r="BY424" s="5"/>
      <c r="BZ424" s="5"/>
      <c r="CA424" s="5"/>
    </row>
    <row r="425" spans="1:79" x14ac:dyDescent="0.3">
      <c r="A425" s="4" t="s">
        <v>250</v>
      </c>
      <c r="B425" s="4">
        <v>0.9</v>
      </c>
      <c r="C425" s="4">
        <v>0.5</v>
      </c>
      <c r="D425" s="4">
        <v>0.6</v>
      </c>
      <c r="E425" s="4">
        <v>0.3</v>
      </c>
      <c r="F425" s="6">
        <v>758.64093000000003</v>
      </c>
      <c r="G425" s="4">
        <v>2E-3</v>
      </c>
      <c r="I425" s="4" t="s">
        <v>250</v>
      </c>
      <c r="J425" s="4">
        <v>0.9</v>
      </c>
      <c r="K425" s="4">
        <v>0.5</v>
      </c>
      <c r="L425" s="4">
        <v>0.6</v>
      </c>
      <c r="M425" s="4">
        <v>0.32</v>
      </c>
      <c r="N425" s="4">
        <v>804.51269500000001</v>
      </c>
      <c r="O425" s="4">
        <v>6.0000000000000001E-3</v>
      </c>
      <c r="P425" s="5"/>
      <c r="Q425" s="5"/>
      <c r="R425" s="5"/>
      <c r="S425" s="5"/>
      <c r="U425" s="4" t="s">
        <v>250</v>
      </c>
      <c r="V425" s="4">
        <v>0.9</v>
      </c>
      <c r="W425" s="4">
        <v>0.5</v>
      </c>
      <c r="X425" s="4">
        <v>0.6</v>
      </c>
      <c r="Y425" s="4">
        <v>0.3</v>
      </c>
      <c r="Z425" s="6">
        <v>767.87957800000004</v>
      </c>
      <c r="AA425" s="4">
        <v>3.0000000000000001E-3</v>
      </c>
      <c r="AC425" s="4" t="s">
        <v>250</v>
      </c>
      <c r="AD425" s="4">
        <v>0.9</v>
      </c>
      <c r="AE425" s="4">
        <v>0.5</v>
      </c>
      <c r="AF425" s="4">
        <v>0.6</v>
      </c>
      <c r="AG425" s="4">
        <v>0.36</v>
      </c>
      <c r="AH425" s="4">
        <v>785.70080600000006</v>
      </c>
      <c r="AI425" s="4">
        <v>4.0000000000000001E-3</v>
      </c>
      <c r="AJ425" s="5"/>
      <c r="AK425" s="5"/>
      <c r="AL425" s="5"/>
      <c r="AM425" s="5"/>
      <c r="AO425" s="4" t="s">
        <v>251</v>
      </c>
      <c r="AP425" s="4">
        <v>0.9</v>
      </c>
      <c r="AQ425" s="4">
        <v>0.5</v>
      </c>
      <c r="AR425" s="4">
        <v>0.6</v>
      </c>
      <c r="AS425" s="4">
        <v>0.3</v>
      </c>
      <c r="AT425" s="6">
        <v>1105.2354740000001</v>
      </c>
      <c r="AU425" s="4">
        <v>8.0000000000000002E-3</v>
      </c>
      <c r="AW425" s="4" t="s">
        <v>251</v>
      </c>
      <c r="AX425" s="4">
        <v>0.9</v>
      </c>
      <c r="AY425" s="4">
        <v>0.5</v>
      </c>
      <c r="AZ425" s="4">
        <v>0.6</v>
      </c>
      <c r="BA425" s="4">
        <v>0.32</v>
      </c>
      <c r="BB425" s="4">
        <v>1160.551025</v>
      </c>
      <c r="BC425" s="4">
        <v>8.0000000000000002E-3</v>
      </c>
      <c r="BD425" s="5"/>
      <c r="BE425" s="5"/>
      <c r="BF425" s="5"/>
      <c r="BG425" s="5"/>
      <c r="BI425" s="4" t="s">
        <v>251</v>
      </c>
      <c r="BJ425" s="4">
        <v>0.9</v>
      </c>
      <c r="BK425" s="4">
        <v>0.5</v>
      </c>
      <c r="BL425" s="4">
        <v>0.6</v>
      </c>
      <c r="BM425" s="4">
        <v>0.3</v>
      </c>
      <c r="BN425" s="6">
        <v>1119.088745</v>
      </c>
      <c r="BO425" s="4">
        <v>5.6000000000000001E-2</v>
      </c>
      <c r="BQ425" s="4" t="s">
        <v>251</v>
      </c>
      <c r="BR425" s="4">
        <v>0.9</v>
      </c>
      <c r="BS425" s="4">
        <v>0.5</v>
      </c>
      <c r="BT425" s="4">
        <v>0.6</v>
      </c>
      <c r="BU425" s="4">
        <v>0.32</v>
      </c>
      <c r="BV425" s="4">
        <v>1132.860962</v>
      </c>
      <c r="BW425" s="4">
        <v>8.0000000000000002E-3</v>
      </c>
      <c r="BX425" s="5"/>
      <c r="BY425" s="5"/>
      <c r="BZ425" s="5"/>
      <c r="CA425" s="5"/>
    </row>
    <row r="426" spans="1:79" x14ac:dyDescent="0.3">
      <c r="A426" s="4" t="s">
        <v>252</v>
      </c>
      <c r="B426" s="4">
        <v>0.9</v>
      </c>
      <c r="C426" s="4">
        <v>0.5</v>
      </c>
      <c r="D426" s="4">
        <v>0.6</v>
      </c>
      <c r="E426" s="4">
        <v>0.3</v>
      </c>
      <c r="F426" s="6">
        <v>778.09826699999996</v>
      </c>
      <c r="G426" s="4">
        <v>3.0000000000000001E-3</v>
      </c>
      <c r="I426" s="4" t="s">
        <v>252</v>
      </c>
      <c r="J426" s="4">
        <v>0.9</v>
      </c>
      <c r="K426" s="4">
        <v>0.5</v>
      </c>
      <c r="L426" s="4">
        <v>0.6</v>
      </c>
      <c r="M426" s="4">
        <v>0.36</v>
      </c>
      <c r="N426" s="4">
        <v>838.30584699999997</v>
      </c>
      <c r="O426" s="4">
        <v>3.0000000000000001E-3</v>
      </c>
      <c r="P426" s="5"/>
      <c r="Q426" s="5"/>
      <c r="R426" s="5"/>
      <c r="S426" s="5"/>
      <c r="U426" s="4" t="s">
        <v>252</v>
      </c>
      <c r="V426" s="4">
        <v>0.9</v>
      </c>
      <c r="W426" s="4">
        <v>0.5</v>
      </c>
      <c r="X426" s="4">
        <v>0.6</v>
      </c>
      <c r="Y426" s="4">
        <v>0.3</v>
      </c>
      <c r="Z426" s="6">
        <v>787.66986099999997</v>
      </c>
      <c r="AA426" s="4">
        <v>3.0000000000000001E-3</v>
      </c>
      <c r="AC426" s="4" t="s">
        <v>252</v>
      </c>
      <c r="AD426" s="4">
        <v>0.9</v>
      </c>
      <c r="AE426" s="4">
        <v>0.5</v>
      </c>
      <c r="AF426" s="4">
        <v>0.6</v>
      </c>
      <c r="AG426" s="4">
        <v>0.34</v>
      </c>
      <c r="AH426" s="4">
        <v>838.12603799999999</v>
      </c>
      <c r="AI426" s="4">
        <v>8.0000000000000002E-3</v>
      </c>
      <c r="AJ426" s="5"/>
      <c r="AK426" s="5"/>
      <c r="AL426" s="5"/>
      <c r="AM426" s="5"/>
      <c r="AO426" s="4" t="s">
        <v>253</v>
      </c>
      <c r="AP426" s="4">
        <v>0.9</v>
      </c>
      <c r="AQ426" s="4">
        <v>0.5</v>
      </c>
      <c r="AR426" s="4">
        <v>0.6</v>
      </c>
      <c r="AS426" s="4">
        <v>0.3</v>
      </c>
      <c r="AT426" s="6">
        <v>1167.252686</v>
      </c>
      <c r="AU426" s="4">
        <v>0.01</v>
      </c>
      <c r="AW426" s="4" t="s">
        <v>253</v>
      </c>
      <c r="AX426" s="4">
        <v>0.9</v>
      </c>
      <c r="AY426" s="4">
        <v>0.5</v>
      </c>
      <c r="AZ426" s="4">
        <v>0.6</v>
      </c>
      <c r="BA426" s="4">
        <v>0.3</v>
      </c>
      <c r="BB426" s="4">
        <v>1187.6553960000001</v>
      </c>
      <c r="BC426" s="4">
        <v>8.9999999999999993E-3</v>
      </c>
      <c r="BD426" s="5"/>
      <c r="BE426" s="5"/>
      <c r="BF426" s="5"/>
      <c r="BG426" s="5"/>
      <c r="BI426" s="4" t="s">
        <v>253</v>
      </c>
      <c r="BJ426" s="4">
        <v>0.9</v>
      </c>
      <c r="BK426" s="4">
        <v>0.5</v>
      </c>
      <c r="BL426" s="4">
        <v>0.6</v>
      </c>
      <c r="BM426" s="4">
        <v>0.3</v>
      </c>
      <c r="BN426" s="6">
        <v>1158.178101</v>
      </c>
      <c r="BO426" s="4">
        <v>1.2999999999999999E-2</v>
      </c>
      <c r="BQ426" s="4" t="s">
        <v>253</v>
      </c>
      <c r="BR426" s="4">
        <v>0.9</v>
      </c>
      <c r="BS426" s="4">
        <v>0.5</v>
      </c>
      <c r="BT426" s="4">
        <v>0.6</v>
      </c>
      <c r="BU426" s="4">
        <v>0.31</v>
      </c>
      <c r="BV426" s="4">
        <v>1176.8751219999999</v>
      </c>
      <c r="BW426" s="4">
        <v>8.9999999999999993E-3</v>
      </c>
      <c r="BX426" s="5"/>
      <c r="BY426" s="5"/>
      <c r="BZ426" s="5"/>
      <c r="CA426" s="5"/>
    </row>
    <row r="427" spans="1:79" x14ac:dyDescent="0.3">
      <c r="A427" s="14" t="s">
        <v>316</v>
      </c>
      <c r="E427" s="14">
        <f>AVERAGE(E397:E426)</f>
        <v>0.3</v>
      </c>
      <c r="I427" s="14" t="s">
        <v>316</v>
      </c>
      <c r="M427" s="14">
        <f>AVERAGE(M397:M426)</f>
        <v>0.32466666666666666</v>
      </c>
      <c r="U427" s="14" t="s">
        <v>316</v>
      </c>
      <c r="Y427" s="14">
        <f>AVERAGE(Y397:Y426)</f>
        <v>0.3</v>
      </c>
      <c r="AC427" s="14" t="s">
        <v>316</v>
      </c>
      <c r="AG427" s="14">
        <f>AVERAGE(AG397:AG426)</f>
        <v>0.3183333333333333</v>
      </c>
      <c r="AO427" s="14" t="s">
        <v>316</v>
      </c>
      <c r="AS427" s="14">
        <f>AVERAGE(AS397:AS426)</f>
        <v>0.3</v>
      </c>
      <c r="AW427" s="14" t="s">
        <v>316</v>
      </c>
      <c r="BA427" s="14">
        <f>AVERAGE(BA397:BA426)</f>
        <v>0.31466666666666665</v>
      </c>
      <c r="BI427" s="14" t="s">
        <v>316</v>
      </c>
      <c r="BM427" s="14">
        <f>AVERAGE(BM397:BM426)</f>
        <v>0.3</v>
      </c>
      <c r="BQ427" s="14" t="s">
        <v>316</v>
      </c>
      <c r="BU427" s="14">
        <f>AVERAGE(BU397:BU426)</f>
        <v>0.31166666666666665</v>
      </c>
    </row>
    <row r="428" spans="1:79" s="1" customFormat="1" x14ac:dyDescent="0.3"/>
    <row r="429" spans="1:79" x14ac:dyDescent="0.3">
      <c r="A429" s="23" t="s">
        <v>314</v>
      </c>
      <c r="B429" s="23"/>
      <c r="C429" s="23"/>
      <c r="D429" s="23"/>
      <c r="E429" s="23"/>
      <c r="F429" s="23"/>
      <c r="G429" s="23"/>
      <c r="I429" s="23" t="s">
        <v>314</v>
      </c>
      <c r="J429" s="23"/>
      <c r="K429" s="23"/>
      <c r="L429" s="23"/>
      <c r="M429" s="23"/>
      <c r="N429" s="23"/>
      <c r="O429" s="23"/>
      <c r="P429" s="11"/>
      <c r="Q429" s="11"/>
      <c r="R429" s="11"/>
      <c r="S429" s="11"/>
      <c r="U429" s="23" t="s">
        <v>314</v>
      </c>
      <c r="V429" s="23"/>
      <c r="W429" s="23"/>
      <c r="X429" s="23"/>
      <c r="Y429" s="23"/>
      <c r="Z429" s="23"/>
      <c r="AA429" s="23"/>
      <c r="AC429" s="23" t="s">
        <v>314</v>
      </c>
      <c r="AD429" s="23"/>
      <c r="AE429" s="23"/>
      <c r="AF429" s="23"/>
      <c r="AG429" s="23"/>
      <c r="AH429" s="23"/>
      <c r="AI429" s="23"/>
      <c r="AJ429" s="11"/>
      <c r="AK429" s="11"/>
      <c r="AL429" s="11"/>
      <c r="AM429" s="11"/>
      <c r="AO429" s="23" t="s">
        <v>314</v>
      </c>
      <c r="AP429" s="23"/>
      <c r="AQ429" s="23"/>
      <c r="AR429" s="23"/>
      <c r="AS429" s="23"/>
      <c r="AT429" s="23"/>
      <c r="AU429" s="23"/>
      <c r="AW429" s="23" t="s">
        <v>314</v>
      </c>
      <c r="AX429" s="23"/>
      <c r="AY429" s="23"/>
      <c r="AZ429" s="23"/>
      <c r="BA429" s="23"/>
      <c r="BB429" s="23"/>
      <c r="BC429" s="23"/>
      <c r="BD429" s="11"/>
      <c r="BE429" s="11"/>
      <c r="BF429" s="11"/>
      <c r="BG429" s="11"/>
      <c r="BI429" s="23" t="s">
        <v>314</v>
      </c>
      <c r="BJ429" s="23"/>
      <c r="BK429" s="23"/>
      <c r="BL429" s="23"/>
      <c r="BM429" s="23"/>
      <c r="BN429" s="23"/>
      <c r="BO429" s="23"/>
      <c r="BQ429" s="23" t="s">
        <v>314</v>
      </c>
      <c r="BR429" s="23"/>
      <c r="BS429" s="23"/>
      <c r="BT429" s="23"/>
      <c r="BU429" s="23"/>
      <c r="BV429" s="23"/>
      <c r="BW429" s="23"/>
      <c r="BX429" s="11"/>
      <c r="BY429" s="11"/>
      <c r="BZ429" s="11"/>
      <c r="CA429" s="11"/>
    </row>
    <row r="430" spans="1:79" x14ac:dyDescent="0.3">
      <c r="A430" s="4" t="s">
        <v>0</v>
      </c>
      <c r="B430" s="4"/>
      <c r="C430" s="4"/>
      <c r="D430" s="4"/>
      <c r="E430" s="4"/>
      <c r="F430" s="4"/>
      <c r="G430" s="4"/>
      <c r="I430" s="23" t="s">
        <v>0</v>
      </c>
      <c r="J430" s="23"/>
      <c r="K430" s="23"/>
      <c r="L430" s="23"/>
      <c r="M430" s="23"/>
      <c r="N430" s="23"/>
      <c r="O430" s="23"/>
      <c r="P430" s="5"/>
      <c r="Q430" s="5"/>
      <c r="R430" s="5"/>
      <c r="S430" s="5"/>
      <c r="U430" s="4" t="s">
        <v>1</v>
      </c>
      <c r="V430" s="4"/>
      <c r="W430" s="4"/>
      <c r="X430" s="4"/>
      <c r="Y430" s="4"/>
      <c r="Z430" s="4"/>
      <c r="AA430" s="4"/>
      <c r="AC430" s="23" t="s">
        <v>1</v>
      </c>
      <c r="AD430" s="23"/>
      <c r="AE430" s="23"/>
      <c r="AF430" s="23"/>
      <c r="AG430" s="23"/>
      <c r="AH430" s="23"/>
      <c r="AI430" s="23"/>
      <c r="AJ430" s="5"/>
      <c r="AK430" s="5"/>
      <c r="AL430" s="5"/>
      <c r="AM430" s="5"/>
      <c r="AO430" s="4" t="s">
        <v>0</v>
      </c>
      <c r="AP430" s="4"/>
      <c r="AQ430" s="4"/>
      <c r="AR430" s="4"/>
      <c r="AS430" s="4"/>
      <c r="AT430" s="4"/>
      <c r="AU430" s="4"/>
      <c r="AW430" s="23" t="s">
        <v>0</v>
      </c>
      <c r="AX430" s="23"/>
      <c r="AY430" s="23"/>
      <c r="AZ430" s="23"/>
      <c r="BA430" s="23"/>
      <c r="BB430" s="23"/>
      <c r="BC430" s="23"/>
      <c r="BD430" s="5"/>
      <c r="BE430" s="5"/>
      <c r="BF430" s="5"/>
      <c r="BG430" s="5"/>
      <c r="BI430" s="4" t="s">
        <v>1</v>
      </c>
      <c r="BJ430" s="4"/>
      <c r="BK430" s="4"/>
      <c r="BL430" s="4"/>
      <c r="BM430" s="4"/>
      <c r="BN430" s="4"/>
      <c r="BO430" s="4"/>
      <c r="BQ430" s="23" t="s">
        <v>1</v>
      </c>
      <c r="BR430" s="23"/>
      <c r="BS430" s="23"/>
      <c r="BT430" s="23"/>
      <c r="BU430" s="23"/>
      <c r="BV430" s="23"/>
      <c r="BW430" s="23"/>
      <c r="BX430" s="5"/>
      <c r="BY430" s="5"/>
      <c r="BZ430" s="5"/>
      <c r="CA430" s="5"/>
    </row>
    <row r="431" spans="1:79" x14ac:dyDescent="0.3">
      <c r="A431" s="4" t="s">
        <v>2</v>
      </c>
      <c r="B431" s="4" t="s">
        <v>3</v>
      </c>
      <c r="C431" s="4" t="s">
        <v>4</v>
      </c>
      <c r="D431" s="4" t="s">
        <v>5</v>
      </c>
      <c r="E431" s="4" t="s">
        <v>6</v>
      </c>
      <c r="F431" s="4" t="s">
        <v>7</v>
      </c>
      <c r="G431" s="4" t="s">
        <v>8</v>
      </c>
      <c r="I431" s="4" t="s">
        <v>2</v>
      </c>
      <c r="J431" s="4" t="s">
        <v>3</v>
      </c>
      <c r="K431" s="4" t="s">
        <v>4</v>
      </c>
      <c r="L431" s="4" t="s">
        <v>5</v>
      </c>
      <c r="M431" s="4" t="s">
        <v>6</v>
      </c>
      <c r="N431" s="4" t="s">
        <v>7</v>
      </c>
      <c r="O431" s="4" t="s">
        <v>8</v>
      </c>
      <c r="P431" s="3" t="s">
        <v>322</v>
      </c>
      <c r="Q431" s="3" t="s">
        <v>323</v>
      </c>
      <c r="R431" s="3" t="s">
        <v>322</v>
      </c>
      <c r="S431" s="3" t="s">
        <v>323</v>
      </c>
      <c r="U431" s="4" t="s">
        <v>2</v>
      </c>
      <c r="V431" s="4" t="s">
        <v>3</v>
      </c>
      <c r="W431" s="4" t="s">
        <v>4</v>
      </c>
      <c r="X431" s="4" t="s">
        <v>5</v>
      </c>
      <c r="Y431" s="4" t="s">
        <v>6</v>
      </c>
      <c r="Z431" s="4" t="s">
        <v>7</v>
      </c>
      <c r="AA431" s="4" t="s">
        <v>8</v>
      </c>
      <c r="AC431" s="4" t="s">
        <v>2</v>
      </c>
      <c r="AD431" s="4" t="s">
        <v>3</v>
      </c>
      <c r="AE431" s="4" t="s">
        <v>4</v>
      </c>
      <c r="AF431" s="4" t="s">
        <v>5</v>
      </c>
      <c r="AG431" s="4" t="s">
        <v>6</v>
      </c>
      <c r="AH431" s="4" t="s">
        <v>7</v>
      </c>
      <c r="AI431" s="4" t="s">
        <v>8</v>
      </c>
      <c r="AJ431" s="3" t="s">
        <v>322</v>
      </c>
      <c r="AK431" s="3" t="s">
        <v>323</v>
      </c>
      <c r="AL431" s="3" t="s">
        <v>322</v>
      </c>
      <c r="AM431" s="3" t="s">
        <v>323</v>
      </c>
      <c r="AO431" s="4" t="s">
        <v>2</v>
      </c>
      <c r="AP431" s="4" t="s">
        <v>3</v>
      </c>
      <c r="AQ431" s="4" t="s">
        <v>4</v>
      </c>
      <c r="AR431" s="4" t="s">
        <v>5</v>
      </c>
      <c r="AS431" s="4" t="s">
        <v>6</v>
      </c>
      <c r="AT431" s="4" t="s">
        <v>7</v>
      </c>
      <c r="AU431" s="4" t="s">
        <v>8</v>
      </c>
      <c r="AW431" s="4" t="s">
        <v>2</v>
      </c>
      <c r="AX431" s="4" t="s">
        <v>3</v>
      </c>
      <c r="AY431" s="4" t="s">
        <v>4</v>
      </c>
      <c r="AZ431" s="4" t="s">
        <v>5</v>
      </c>
      <c r="BA431" s="4" t="s">
        <v>6</v>
      </c>
      <c r="BB431" s="4" t="s">
        <v>7</v>
      </c>
      <c r="BC431" s="4" t="s">
        <v>8</v>
      </c>
      <c r="BD431" s="3" t="s">
        <v>322</v>
      </c>
      <c r="BE431" s="3" t="s">
        <v>323</v>
      </c>
      <c r="BF431" s="3" t="s">
        <v>322</v>
      </c>
      <c r="BG431" s="3" t="s">
        <v>323</v>
      </c>
      <c r="BI431" s="4" t="s">
        <v>2</v>
      </c>
      <c r="BJ431" s="4" t="s">
        <v>3</v>
      </c>
      <c r="BK431" s="4" t="s">
        <v>4</v>
      </c>
      <c r="BL431" s="4" t="s">
        <v>5</v>
      </c>
      <c r="BM431" s="4" t="s">
        <v>6</v>
      </c>
      <c r="BN431" s="4" t="s">
        <v>7</v>
      </c>
      <c r="BO431" s="4" t="s">
        <v>8</v>
      </c>
      <c r="BQ431" s="4" t="s">
        <v>2</v>
      </c>
      <c r="BR431" s="4" t="s">
        <v>3</v>
      </c>
      <c r="BS431" s="4" t="s">
        <v>4</v>
      </c>
      <c r="BT431" s="4" t="s">
        <v>5</v>
      </c>
      <c r="BU431" s="4" t="s">
        <v>6</v>
      </c>
      <c r="BV431" s="4" t="s">
        <v>7</v>
      </c>
      <c r="BW431" s="4" t="s">
        <v>8</v>
      </c>
      <c r="BX431" s="3" t="s">
        <v>322</v>
      </c>
      <c r="BY431" s="3" t="s">
        <v>323</v>
      </c>
      <c r="BZ431" s="3" t="s">
        <v>322</v>
      </c>
      <c r="CA431" s="3" t="s">
        <v>323</v>
      </c>
    </row>
    <row r="432" spans="1:79" x14ac:dyDescent="0.3">
      <c r="A432" s="4" t="s">
        <v>254</v>
      </c>
      <c r="B432" s="4">
        <v>0.9</v>
      </c>
      <c r="C432" s="4">
        <v>0.5</v>
      </c>
      <c r="D432" s="4">
        <v>0.6</v>
      </c>
      <c r="E432" s="4">
        <v>0.3</v>
      </c>
      <c r="F432" s="6">
        <v>667.79949999999997</v>
      </c>
      <c r="G432" s="4">
        <v>3.0000000000000001E-3</v>
      </c>
      <c r="I432" s="4" t="s">
        <v>254</v>
      </c>
      <c r="J432" s="4">
        <v>0.9</v>
      </c>
      <c r="K432" s="4">
        <v>0.5</v>
      </c>
      <c r="L432" s="4">
        <v>0.6</v>
      </c>
      <c r="M432" s="4">
        <v>0.33</v>
      </c>
      <c r="N432" s="4">
        <v>679.59741199999996</v>
      </c>
      <c r="O432" s="4">
        <v>2E-3</v>
      </c>
      <c r="P432" s="4" t="s">
        <v>324</v>
      </c>
      <c r="Q432" s="4" t="s">
        <v>324</v>
      </c>
      <c r="R432" s="4" t="s">
        <v>325</v>
      </c>
      <c r="S432" s="4" t="s">
        <v>325</v>
      </c>
      <c r="U432" s="4" t="s">
        <v>254</v>
      </c>
      <c r="V432" s="4">
        <v>0.9</v>
      </c>
      <c r="W432" s="4">
        <v>0.5</v>
      </c>
      <c r="X432" s="4">
        <v>0.6</v>
      </c>
      <c r="Y432" s="4">
        <v>0.3</v>
      </c>
      <c r="Z432" s="6">
        <v>631.02233899999999</v>
      </c>
      <c r="AA432" s="4">
        <v>2E-3</v>
      </c>
      <c r="AC432" s="4" t="s">
        <v>254</v>
      </c>
      <c r="AD432" s="4">
        <v>0.9</v>
      </c>
      <c r="AE432" s="4">
        <v>0.5</v>
      </c>
      <c r="AF432" s="4">
        <v>0.6</v>
      </c>
      <c r="AG432" s="4">
        <v>0.3</v>
      </c>
      <c r="AH432" s="4">
        <v>635.75579800000003</v>
      </c>
      <c r="AI432" s="4">
        <v>3.0000000000000001E-3</v>
      </c>
      <c r="AJ432" s="4" t="s">
        <v>324</v>
      </c>
      <c r="AK432" s="4" t="s">
        <v>324</v>
      </c>
      <c r="AL432" s="4" t="s">
        <v>325</v>
      </c>
      <c r="AM432" s="4" t="s">
        <v>325</v>
      </c>
      <c r="AO432" s="4" t="s">
        <v>255</v>
      </c>
      <c r="AP432" s="4">
        <v>0.9</v>
      </c>
      <c r="AQ432" s="4">
        <v>0.5</v>
      </c>
      <c r="AR432" s="4">
        <v>0.6</v>
      </c>
      <c r="AS432" s="4">
        <v>0.3</v>
      </c>
      <c r="AT432" s="6">
        <v>1008.811523</v>
      </c>
      <c r="AU432" s="4">
        <v>1.2E-2</v>
      </c>
      <c r="AW432" s="4" t="s">
        <v>255</v>
      </c>
      <c r="AX432" s="4">
        <v>0.9</v>
      </c>
      <c r="AY432" s="4">
        <v>0.5</v>
      </c>
      <c r="AZ432" s="4">
        <v>0.6</v>
      </c>
      <c r="BA432" s="4">
        <v>0.33</v>
      </c>
      <c r="BB432" s="4">
        <v>1037.6391599999999</v>
      </c>
      <c r="BC432" s="4">
        <v>8.9999999999999993E-3</v>
      </c>
      <c r="BD432" s="4" t="s">
        <v>324</v>
      </c>
      <c r="BE432" s="4" t="s">
        <v>324</v>
      </c>
      <c r="BF432" s="4" t="s">
        <v>325</v>
      </c>
      <c r="BG432" s="4" t="s">
        <v>325</v>
      </c>
      <c r="BI432" s="4" t="s">
        <v>255</v>
      </c>
      <c r="BJ432" s="4">
        <v>0.9</v>
      </c>
      <c r="BK432" s="4">
        <v>0.5</v>
      </c>
      <c r="BL432" s="4">
        <v>0.6</v>
      </c>
      <c r="BM432" s="4">
        <v>0.3</v>
      </c>
      <c r="BN432" s="6">
        <v>953.12335199999995</v>
      </c>
      <c r="BO432" s="4">
        <v>8.0000000000000002E-3</v>
      </c>
      <c r="BQ432" s="4" t="s">
        <v>255</v>
      </c>
      <c r="BR432" s="4">
        <v>0.9</v>
      </c>
      <c r="BS432" s="4">
        <v>0.5</v>
      </c>
      <c r="BT432" s="4">
        <v>0.6</v>
      </c>
      <c r="BU432" s="4">
        <v>0.3</v>
      </c>
      <c r="BV432" s="4">
        <v>986.00732400000004</v>
      </c>
      <c r="BW432" s="4">
        <v>1.0999999999999999E-2</v>
      </c>
      <c r="BX432" s="4" t="s">
        <v>324</v>
      </c>
      <c r="BY432" s="4" t="s">
        <v>324</v>
      </c>
      <c r="BZ432" s="4" t="s">
        <v>325</v>
      </c>
      <c r="CA432" s="4" t="s">
        <v>325</v>
      </c>
    </row>
    <row r="433" spans="1:79" x14ac:dyDescent="0.3">
      <c r="A433" s="4" t="s">
        <v>256</v>
      </c>
      <c r="B433" s="4">
        <v>0.9</v>
      </c>
      <c r="C433" s="4">
        <v>0.5</v>
      </c>
      <c r="D433" s="4">
        <v>0.6</v>
      </c>
      <c r="E433" s="4">
        <v>0.3</v>
      </c>
      <c r="F433" s="6">
        <v>681.60968000000003</v>
      </c>
      <c r="G433" s="4">
        <v>3.0000000000000001E-3</v>
      </c>
      <c r="I433" s="4" t="s">
        <v>256</v>
      </c>
      <c r="J433" s="4">
        <v>0.9</v>
      </c>
      <c r="K433" s="4">
        <v>0.5</v>
      </c>
      <c r="L433" s="4">
        <v>0.6</v>
      </c>
      <c r="M433" s="4">
        <v>0.33</v>
      </c>
      <c r="N433" s="4">
        <v>705.68798800000002</v>
      </c>
      <c r="O433" s="4">
        <v>3.0000000000000001E-3</v>
      </c>
      <c r="P433" s="3">
        <f>COUNT(F432:F447,F449,F451:F454,F457:F461)</f>
        <v>26</v>
      </c>
      <c r="Q433" s="3">
        <f>30-P433</f>
        <v>4</v>
      </c>
      <c r="R433" s="3">
        <f>COUNT(N445,N448,N450,N455:N456)</f>
        <v>5</v>
      </c>
      <c r="S433" s="3">
        <f>30-R433</f>
        <v>25</v>
      </c>
      <c r="U433" s="4" t="s">
        <v>256</v>
      </c>
      <c r="V433" s="4">
        <v>0.9</v>
      </c>
      <c r="W433" s="4">
        <v>0.5</v>
      </c>
      <c r="X433" s="4">
        <v>0.6</v>
      </c>
      <c r="Y433" s="4">
        <v>0.3</v>
      </c>
      <c r="Z433" s="6">
        <v>648.01000999999997</v>
      </c>
      <c r="AA433" s="4">
        <v>2E-3</v>
      </c>
      <c r="AC433" s="4" t="s">
        <v>256</v>
      </c>
      <c r="AD433" s="4">
        <v>0.9</v>
      </c>
      <c r="AE433" s="4">
        <v>0.5</v>
      </c>
      <c r="AF433" s="4">
        <v>0.6</v>
      </c>
      <c r="AG433" s="4">
        <v>0.38</v>
      </c>
      <c r="AH433" s="4">
        <v>669.00976600000001</v>
      </c>
      <c r="AI433" s="4">
        <v>4.0000000000000001E-3</v>
      </c>
      <c r="AJ433" s="3">
        <f>COUNT(Z432:Z451,Z453:Z461)</f>
        <v>29</v>
      </c>
      <c r="AK433" s="3">
        <f>30-AJ433</f>
        <v>1</v>
      </c>
      <c r="AL433" s="3">
        <f>COUNT(AH452)</f>
        <v>1</v>
      </c>
      <c r="AM433" s="3">
        <f>30-AL433</f>
        <v>29</v>
      </c>
      <c r="AO433" s="4" t="s">
        <v>257</v>
      </c>
      <c r="AP433" s="4">
        <v>0.9</v>
      </c>
      <c r="AQ433" s="4">
        <v>0.5</v>
      </c>
      <c r="AR433" s="4">
        <v>0.6</v>
      </c>
      <c r="AS433" s="4">
        <v>0.3</v>
      </c>
      <c r="AT433" s="6">
        <v>980.29272500000002</v>
      </c>
      <c r="AU433" s="4">
        <v>1.4E-2</v>
      </c>
      <c r="AW433" s="4" t="s">
        <v>257</v>
      </c>
      <c r="AX433" s="4">
        <v>0.9</v>
      </c>
      <c r="AY433" s="4">
        <v>0.5</v>
      </c>
      <c r="AZ433" s="4">
        <v>0.6</v>
      </c>
      <c r="BA433" s="4">
        <v>0.3</v>
      </c>
      <c r="BB433" s="4">
        <v>1010.755615</v>
      </c>
      <c r="BC433" s="4">
        <v>8.9999999999999993E-3</v>
      </c>
      <c r="BD433" s="3">
        <f>COUNT(AT432:AT456,AT458:AT461)</f>
        <v>29</v>
      </c>
      <c r="BE433" s="3">
        <f>30-BD433</f>
        <v>1</v>
      </c>
      <c r="BF433" s="3">
        <f>COUNT(BB457)</f>
        <v>1</v>
      </c>
      <c r="BG433" s="3">
        <f>30-BF433</f>
        <v>29</v>
      </c>
      <c r="BI433" s="4" t="s">
        <v>257</v>
      </c>
      <c r="BJ433" s="4">
        <v>0.9</v>
      </c>
      <c r="BK433" s="4">
        <v>0.5</v>
      </c>
      <c r="BL433" s="4">
        <v>0.6</v>
      </c>
      <c r="BM433" s="4">
        <v>0.3</v>
      </c>
      <c r="BN433" s="6">
        <v>934.64373799999998</v>
      </c>
      <c r="BO433" s="4">
        <v>7.0000000000000001E-3</v>
      </c>
      <c r="BQ433" s="4" t="s">
        <v>257</v>
      </c>
      <c r="BR433" s="4">
        <v>0.9</v>
      </c>
      <c r="BS433" s="4">
        <v>0.5</v>
      </c>
      <c r="BT433" s="4">
        <v>0.6</v>
      </c>
      <c r="BU433" s="4">
        <v>0.36</v>
      </c>
      <c r="BV433" s="4">
        <v>937.88281199999994</v>
      </c>
      <c r="BW433" s="4">
        <v>0.01</v>
      </c>
      <c r="BX433" s="3">
        <f>COUNT(BN432:BN444,BN446:BN461)</f>
        <v>29</v>
      </c>
      <c r="BY433" s="3">
        <f>30-BX433</f>
        <v>1</v>
      </c>
      <c r="BZ433" s="3">
        <f>COUNT(BV445)</f>
        <v>1</v>
      </c>
      <c r="CA433" s="3">
        <f>30-BZ433</f>
        <v>29</v>
      </c>
    </row>
    <row r="434" spans="1:79" x14ac:dyDescent="0.3">
      <c r="A434" s="4" t="s">
        <v>258</v>
      </c>
      <c r="B434" s="4">
        <v>0.9</v>
      </c>
      <c r="C434" s="4">
        <v>0.5</v>
      </c>
      <c r="D434" s="4">
        <v>0.6</v>
      </c>
      <c r="E434" s="4">
        <v>0.3</v>
      </c>
      <c r="F434" s="6">
        <v>667.68158000000005</v>
      </c>
      <c r="G434" s="4">
        <v>2E-3</v>
      </c>
      <c r="I434" s="4" t="s">
        <v>258</v>
      </c>
      <c r="J434" s="4">
        <v>0.9</v>
      </c>
      <c r="K434" s="4">
        <v>0.5</v>
      </c>
      <c r="L434" s="4">
        <v>0.6</v>
      </c>
      <c r="M434" s="4">
        <v>0.3</v>
      </c>
      <c r="N434" s="4">
        <v>680.71917699999995</v>
      </c>
      <c r="O434" s="4">
        <v>2E-3</v>
      </c>
      <c r="P434" s="5"/>
      <c r="Q434" s="5"/>
      <c r="R434" s="5"/>
      <c r="S434" s="5"/>
      <c r="U434" s="4" t="s">
        <v>258</v>
      </c>
      <c r="V434" s="4">
        <v>0.9</v>
      </c>
      <c r="W434" s="4">
        <v>0.5</v>
      </c>
      <c r="X434" s="4">
        <v>0.6</v>
      </c>
      <c r="Y434" s="4">
        <v>0.3</v>
      </c>
      <c r="Z434" s="6">
        <v>634.08477800000003</v>
      </c>
      <c r="AA434" s="4">
        <v>2E-3</v>
      </c>
      <c r="AC434" s="4" t="s">
        <v>258</v>
      </c>
      <c r="AD434" s="4">
        <v>0.9</v>
      </c>
      <c r="AE434" s="4">
        <v>0.5</v>
      </c>
      <c r="AF434" s="4">
        <v>0.6</v>
      </c>
      <c r="AG434" s="4">
        <v>0.32</v>
      </c>
      <c r="AH434" s="4">
        <v>643.89947500000005</v>
      </c>
      <c r="AI434" s="4">
        <v>2E-3</v>
      </c>
      <c r="AJ434" s="5"/>
      <c r="AK434" s="5"/>
      <c r="AL434" s="5"/>
      <c r="AM434" s="5"/>
      <c r="AO434" s="4" t="s">
        <v>259</v>
      </c>
      <c r="AP434" s="4">
        <v>0.9</v>
      </c>
      <c r="AQ434" s="4">
        <v>0.5</v>
      </c>
      <c r="AR434" s="4">
        <v>0.6</v>
      </c>
      <c r="AS434" s="4">
        <v>0.3</v>
      </c>
      <c r="AT434" s="6">
        <v>1012.203796</v>
      </c>
      <c r="AU434" s="4">
        <v>0.01</v>
      </c>
      <c r="AW434" s="4" t="s">
        <v>259</v>
      </c>
      <c r="AX434" s="4">
        <v>0.9</v>
      </c>
      <c r="AY434" s="4">
        <v>0.5</v>
      </c>
      <c r="AZ434" s="4">
        <v>0.6</v>
      </c>
      <c r="BA434" s="4">
        <v>0.35</v>
      </c>
      <c r="BB434" s="4">
        <v>1025.7624510000001</v>
      </c>
      <c r="BC434" s="4">
        <v>8.0000000000000002E-3</v>
      </c>
      <c r="BD434" s="5"/>
      <c r="BE434" s="5"/>
      <c r="BF434" s="5"/>
      <c r="BG434" s="5"/>
      <c r="BI434" s="4" t="s">
        <v>259</v>
      </c>
      <c r="BJ434" s="4">
        <v>0.9</v>
      </c>
      <c r="BK434" s="4">
        <v>0.5</v>
      </c>
      <c r="BL434" s="4">
        <v>0.6</v>
      </c>
      <c r="BM434" s="4">
        <v>0.3</v>
      </c>
      <c r="BN434" s="6">
        <v>940.53692599999999</v>
      </c>
      <c r="BO434" s="4">
        <v>7.0000000000000001E-3</v>
      </c>
      <c r="BQ434" s="4" t="s">
        <v>259</v>
      </c>
      <c r="BR434" s="4">
        <v>0.9</v>
      </c>
      <c r="BS434" s="4">
        <v>0.5</v>
      </c>
      <c r="BT434" s="4">
        <v>0.6</v>
      </c>
      <c r="BU434" s="4">
        <v>0.3</v>
      </c>
      <c r="BV434" s="4">
        <v>979.68316700000003</v>
      </c>
      <c r="BW434" s="4">
        <v>1.2999999999999999E-2</v>
      </c>
      <c r="BX434" s="5"/>
      <c r="BY434" s="5"/>
      <c r="BZ434" s="5"/>
      <c r="CA434" s="5"/>
    </row>
    <row r="435" spans="1:79" x14ac:dyDescent="0.3">
      <c r="A435" s="4" t="s">
        <v>260</v>
      </c>
      <c r="B435" s="4">
        <v>0.9</v>
      </c>
      <c r="C435" s="4">
        <v>0.5</v>
      </c>
      <c r="D435" s="4">
        <v>0.6</v>
      </c>
      <c r="E435" s="4">
        <v>0.3</v>
      </c>
      <c r="F435" s="6">
        <v>693.871399</v>
      </c>
      <c r="G435" s="4">
        <v>2E-3</v>
      </c>
      <c r="I435" s="4" t="s">
        <v>260</v>
      </c>
      <c r="J435" s="4">
        <v>0.9</v>
      </c>
      <c r="K435" s="4">
        <v>0.5</v>
      </c>
      <c r="L435" s="4">
        <v>0.6</v>
      </c>
      <c r="M435" s="4">
        <v>0.36</v>
      </c>
      <c r="N435" s="4">
        <v>716.15741000000003</v>
      </c>
      <c r="O435" s="4">
        <v>2E-3</v>
      </c>
      <c r="P435" s="5"/>
      <c r="Q435" s="5"/>
      <c r="R435" s="5"/>
      <c r="S435" s="5"/>
      <c r="U435" s="4" t="s">
        <v>260</v>
      </c>
      <c r="V435" s="4">
        <v>0.9</v>
      </c>
      <c r="W435" s="4">
        <v>0.5</v>
      </c>
      <c r="X435" s="4">
        <v>0.6</v>
      </c>
      <c r="Y435" s="4">
        <v>0.3</v>
      </c>
      <c r="Z435" s="6">
        <v>678.21752900000001</v>
      </c>
      <c r="AA435" s="4">
        <v>2E-3</v>
      </c>
      <c r="AC435" s="4" t="s">
        <v>260</v>
      </c>
      <c r="AD435" s="4">
        <v>0.9</v>
      </c>
      <c r="AE435" s="4">
        <v>0.5</v>
      </c>
      <c r="AF435" s="4">
        <v>0.6</v>
      </c>
      <c r="AG435" s="4">
        <v>0.43</v>
      </c>
      <c r="AH435" s="4">
        <v>694.00067100000001</v>
      </c>
      <c r="AI435" s="4">
        <v>6.0000000000000001E-3</v>
      </c>
      <c r="AJ435" s="5"/>
      <c r="AK435" s="5"/>
      <c r="AL435" s="5"/>
      <c r="AM435" s="5"/>
      <c r="AO435" s="4" t="s">
        <v>261</v>
      </c>
      <c r="AP435" s="4">
        <v>0.9</v>
      </c>
      <c r="AQ435" s="4">
        <v>0.5</v>
      </c>
      <c r="AR435" s="4">
        <v>0.6</v>
      </c>
      <c r="AS435" s="4">
        <v>0.3</v>
      </c>
      <c r="AT435" s="6">
        <v>970.21673599999997</v>
      </c>
      <c r="AU435" s="4">
        <v>0.01</v>
      </c>
      <c r="AW435" s="4" t="s">
        <v>261</v>
      </c>
      <c r="AX435" s="4">
        <v>0.9</v>
      </c>
      <c r="AY435" s="4">
        <v>0.5</v>
      </c>
      <c r="AZ435" s="4">
        <v>0.6</v>
      </c>
      <c r="BA435" s="4">
        <v>0.34</v>
      </c>
      <c r="BB435" s="4">
        <v>997.81982400000004</v>
      </c>
      <c r="BC435" s="4">
        <v>8.0000000000000002E-3</v>
      </c>
      <c r="BD435" s="5"/>
      <c r="BE435" s="5"/>
      <c r="BF435" s="5"/>
      <c r="BG435" s="5"/>
      <c r="BI435" s="4" t="s">
        <v>261</v>
      </c>
      <c r="BJ435" s="4">
        <v>0.9</v>
      </c>
      <c r="BK435" s="4">
        <v>0.5</v>
      </c>
      <c r="BL435" s="4">
        <v>0.6</v>
      </c>
      <c r="BM435" s="4">
        <v>0.3</v>
      </c>
      <c r="BN435" s="6">
        <v>898.05310099999997</v>
      </c>
      <c r="BO435" s="4">
        <v>7.0000000000000001E-3</v>
      </c>
      <c r="BQ435" s="4" t="s">
        <v>261</v>
      </c>
      <c r="BR435" s="4">
        <v>0.9</v>
      </c>
      <c r="BS435" s="4">
        <v>0.5</v>
      </c>
      <c r="BT435" s="4">
        <v>0.6</v>
      </c>
      <c r="BU435" s="4">
        <v>0.31</v>
      </c>
      <c r="BV435" s="4">
        <v>914.20495600000004</v>
      </c>
      <c r="BW435" s="4">
        <v>8.0000000000000002E-3</v>
      </c>
      <c r="BX435" s="5"/>
      <c r="BY435" s="5"/>
      <c r="BZ435" s="5"/>
      <c r="CA435" s="5"/>
    </row>
    <row r="436" spans="1:79" x14ac:dyDescent="0.3">
      <c r="A436" s="4" t="s">
        <v>262</v>
      </c>
      <c r="B436" s="4">
        <v>0.9</v>
      </c>
      <c r="C436" s="4">
        <v>0.5</v>
      </c>
      <c r="D436" s="4">
        <v>0.6</v>
      </c>
      <c r="E436" s="4">
        <v>0.3</v>
      </c>
      <c r="F436" s="6">
        <v>726.36029099999996</v>
      </c>
      <c r="G436" s="4">
        <v>2E-3</v>
      </c>
      <c r="I436" s="4" t="s">
        <v>262</v>
      </c>
      <c r="J436" s="4">
        <v>0.9</v>
      </c>
      <c r="K436" s="4">
        <v>0.5</v>
      </c>
      <c r="L436" s="4">
        <v>0.6</v>
      </c>
      <c r="M436" s="4">
        <v>0.39</v>
      </c>
      <c r="N436" s="4">
        <v>734.45800799999995</v>
      </c>
      <c r="O436" s="4">
        <v>3.0000000000000001E-3</v>
      </c>
      <c r="P436" s="5"/>
      <c r="Q436" s="5"/>
      <c r="R436" s="5"/>
      <c r="S436" s="5"/>
      <c r="U436" s="4" t="s">
        <v>262</v>
      </c>
      <c r="V436" s="4">
        <v>0.9</v>
      </c>
      <c r="W436" s="4">
        <v>0.5</v>
      </c>
      <c r="X436" s="4">
        <v>0.6</v>
      </c>
      <c r="Y436" s="4">
        <v>0.3</v>
      </c>
      <c r="Z436" s="6">
        <v>712.57800299999997</v>
      </c>
      <c r="AA436" s="4">
        <v>3.0000000000000001E-3</v>
      </c>
      <c r="AC436" s="4" t="s">
        <v>262</v>
      </c>
      <c r="AD436" s="4">
        <v>0.9</v>
      </c>
      <c r="AE436" s="4">
        <v>0.5</v>
      </c>
      <c r="AF436" s="4">
        <v>0.6</v>
      </c>
      <c r="AG436" s="4">
        <v>0.3</v>
      </c>
      <c r="AH436" s="4">
        <v>722.524902</v>
      </c>
      <c r="AI436" s="4">
        <v>4.0000000000000001E-3</v>
      </c>
      <c r="AJ436" s="5"/>
      <c r="AK436" s="5"/>
      <c r="AL436" s="5"/>
      <c r="AM436" s="5"/>
      <c r="AO436" s="4" t="s">
        <v>263</v>
      </c>
      <c r="AP436" s="4">
        <v>0.9</v>
      </c>
      <c r="AQ436" s="4">
        <v>0.5</v>
      </c>
      <c r="AR436" s="4">
        <v>0.6</v>
      </c>
      <c r="AS436" s="4">
        <v>0.3</v>
      </c>
      <c r="AT436" s="6">
        <v>999.74517800000001</v>
      </c>
      <c r="AU436" s="4">
        <v>8.0000000000000002E-3</v>
      </c>
      <c r="AW436" s="4" t="s">
        <v>263</v>
      </c>
      <c r="AX436" s="4">
        <v>0.9</v>
      </c>
      <c r="AY436" s="4">
        <v>0.5</v>
      </c>
      <c r="AZ436" s="4">
        <v>0.6</v>
      </c>
      <c r="BA436" s="4">
        <v>0.31</v>
      </c>
      <c r="BB436" s="4">
        <v>1017.228394</v>
      </c>
      <c r="BC436" s="4">
        <v>8.0000000000000002E-3</v>
      </c>
      <c r="BD436" s="5"/>
      <c r="BE436" s="5"/>
      <c r="BF436" s="5"/>
      <c r="BG436" s="5"/>
      <c r="BI436" s="4" t="s">
        <v>263</v>
      </c>
      <c r="BJ436" s="4">
        <v>0.9</v>
      </c>
      <c r="BK436" s="4">
        <v>0.5</v>
      </c>
      <c r="BL436" s="4">
        <v>0.6</v>
      </c>
      <c r="BM436" s="4">
        <v>0.3</v>
      </c>
      <c r="BN436" s="6">
        <v>944.19555700000001</v>
      </c>
      <c r="BO436" s="4">
        <v>8.0000000000000002E-3</v>
      </c>
      <c r="BQ436" s="4" t="s">
        <v>263</v>
      </c>
      <c r="BR436" s="4">
        <v>0.9</v>
      </c>
      <c r="BS436" s="4">
        <v>0.5</v>
      </c>
      <c r="BT436" s="4">
        <v>0.6</v>
      </c>
      <c r="BU436" s="4">
        <v>0.32</v>
      </c>
      <c r="BV436" s="4">
        <v>985.99969499999997</v>
      </c>
      <c r="BW436" s="4">
        <v>0.01</v>
      </c>
      <c r="BX436" s="5"/>
      <c r="BY436" s="5"/>
      <c r="BZ436" s="5"/>
      <c r="CA436" s="5"/>
    </row>
    <row r="437" spans="1:79" x14ac:dyDescent="0.3">
      <c r="A437" s="4" t="s">
        <v>264</v>
      </c>
      <c r="B437" s="4">
        <v>0.9</v>
      </c>
      <c r="C437" s="4">
        <v>0.5</v>
      </c>
      <c r="D437" s="4">
        <v>0.6</v>
      </c>
      <c r="E437" s="4">
        <v>0.3</v>
      </c>
      <c r="F437" s="6">
        <v>717.70611599999995</v>
      </c>
      <c r="G437" s="4">
        <v>2E-3</v>
      </c>
      <c r="I437" s="4" t="s">
        <v>264</v>
      </c>
      <c r="J437" s="4">
        <v>0.9</v>
      </c>
      <c r="K437" s="4">
        <v>0.5</v>
      </c>
      <c r="L437" s="4">
        <v>0.6</v>
      </c>
      <c r="M437" s="4">
        <v>0.33</v>
      </c>
      <c r="N437" s="4">
        <v>734.08807400000001</v>
      </c>
      <c r="O437" s="4">
        <v>3.0000000000000001E-3</v>
      </c>
      <c r="P437" s="5"/>
      <c r="Q437" s="5"/>
      <c r="R437" s="5"/>
      <c r="S437" s="5"/>
      <c r="U437" s="4" t="s">
        <v>264</v>
      </c>
      <c r="V437" s="4">
        <v>0.9</v>
      </c>
      <c r="W437" s="4">
        <v>0.5</v>
      </c>
      <c r="X437" s="4">
        <v>0.6</v>
      </c>
      <c r="Y437" s="4">
        <v>0.3</v>
      </c>
      <c r="Z437" s="6">
        <v>668.43518100000006</v>
      </c>
      <c r="AA437" s="4">
        <v>3.0000000000000001E-3</v>
      </c>
      <c r="AC437" s="4" t="s">
        <v>264</v>
      </c>
      <c r="AD437" s="4">
        <v>0.9</v>
      </c>
      <c r="AE437" s="4">
        <v>0.5</v>
      </c>
      <c r="AF437" s="4">
        <v>0.6</v>
      </c>
      <c r="AG437" s="4">
        <v>0.3</v>
      </c>
      <c r="AH437" s="4">
        <v>701.66107199999999</v>
      </c>
      <c r="AI437" s="4">
        <v>5.0000000000000001E-3</v>
      </c>
      <c r="AJ437" s="5"/>
      <c r="AK437" s="5"/>
      <c r="AL437" s="5"/>
      <c r="AM437" s="5"/>
      <c r="AO437" s="4" t="s">
        <v>265</v>
      </c>
      <c r="AP437" s="4">
        <v>0.9</v>
      </c>
      <c r="AQ437" s="4">
        <v>0.5</v>
      </c>
      <c r="AR437" s="4">
        <v>0.6</v>
      </c>
      <c r="AS437" s="4">
        <v>0.3</v>
      </c>
      <c r="AT437" s="6">
        <v>968.73394800000005</v>
      </c>
      <c r="AU437" s="4">
        <v>8.0000000000000002E-3</v>
      </c>
      <c r="AW437" s="4" t="s">
        <v>265</v>
      </c>
      <c r="AX437" s="4">
        <v>0.9</v>
      </c>
      <c r="AY437" s="4">
        <v>0.5</v>
      </c>
      <c r="AZ437" s="4">
        <v>0.6</v>
      </c>
      <c r="BA437" s="4">
        <v>0.3</v>
      </c>
      <c r="BB437" s="4">
        <v>971.59637499999997</v>
      </c>
      <c r="BC437" s="4">
        <v>8.0000000000000002E-3</v>
      </c>
      <c r="BD437" s="5"/>
      <c r="BE437" s="5"/>
      <c r="BF437" s="5"/>
      <c r="BG437" s="5"/>
      <c r="BI437" s="4" t="s">
        <v>265</v>
      </c>
      <c r="BJ437" s="4">
        <v>0.9</v>
      </c>
      <c r="BK437" s="4">
        <v>0.5</v>
      </c>
      <c r="BL437" s="4">
        <v>0.6</v>
      </c>
      <c r="BM437" s="4">
        <v>0.3</v>
      </c>
      <c r="BN437" s="6">
        <v>925.17773399999999</v>
      </c>
      <c r="BO437" s="4">
        <v>8.0000000000000002E-3</v>
      </c>
      <c r="BQ437" s="4" t="s">
        <v>265</v>
      </c>
      <c r="BR437" s="4">
        <v>0.9</v>
      </c>
      <c r="BS437" s="4">
        <v>0.5</v>
      </c>
      <c r="BT437" s="4">
        <v>0.6</v>
      </c>
      <c r="BU437" s="4">
        <v>0.3</v>
      </c>
      <c r="BV437" s="4">
        <v>926.19329800000003</v>
      </c>
      <c r="BW437" s="4">
        <v>0.01</v>
      </c>
      <c r="BX437" s="5"/>
      <c r="BY437" s="5"/>
      <c r="BZ437" s="5"/>
      <c r="CA437" s="5"/>
    </row>
    <row r="438" spans="1:79" x14ac:dyDescent="0.3">
      <c r="A438" s="4" t="s">
        <v>266</v>
      </c>
      <c r="B438" s="4">
        <v>0.9</v>
      </c>
      <c r="C438" s="4">
        <v>0.5</v>
      </c>
      <c r="D438" s="4">
        <v>0.6</v>
      </c>
      <c r="E438" s="4">
        <v>0.3</v>
      </c>
      <c r="F438" s="6">
        <v>649.94958499999996</v>
      </c>
      <c r="G438" s="4">
        <v>2E-3</v>
      </c>
      <c r="I438" s="4" t="s">
        <v>266</v>
      </c>
      <c r="J438" s="4">
        <v>0.9</v>
      </c>
      <c r="K438" s="4">
        <v>0.5</v>
      </c>
      <c r="L438" s="4">
        <v>0.6</v>
      </c>
      <c r="M438" s="4">
        <v>0.3</v>
      </c>
      <c r="N438" s="4">
        <v>652.95642099999998</v>
      </c>
      <c r="O438" s="4">
        <v>2E-3</v>
      </c>
      <c r="P438" s="5"/>
      <c r="Q438" s="5"/>
      <c r="R438" s="5"/>
      <c r="S438" s="5"/>
      <c r="U438" s="4" t="s">
        <v>266</v>
      </c>
      <c r="V438" s="4">
        <v>0.9</v>
      </c>
      <c r="W438" s="4">
        <v>0.5</v>
      </c>
      <c r="X438" s="4">
        <v>0.6</v>
      </c>
      <c r="Y438" s="4">
        <v>0.3</v>
      </c>
      <c r="Z438" s="6">
        <v>583.96441700000003</v>
      </c>
      <c r="AA438" s="4">
        <v>2E-3</v>
      </c>
      <c r="AC438" s="4" t="s">
        <v>266</v>
      </c>
      <c r="AD438" s="4">
        <v>0.9</v>
      </c>
      <c r="AE438" s="4">
        <v>0.5</v>
      </c>
      <c r="AF438" s="4">
        <v>0.6</v>
      </c>
      <c r="AG438" s="4">
        <v>0.3</v>
      </c>
      <c r="AH438" s="4">
        <v>592.70361300000002</v>
      </c>
      <c r="AI438" s="4">
        <v>3.0000000000000001E-3</v>
      </c>
      <c r="AJ438" s="5"/>
      <c r="AK438" s="5"/>
      <c r="AL438" s="5"/>
      <c r="AM438" s="5"/>
      <c r="AO438" s="4" t="s">
        <v>267</v>
      </c>
      <c r="AP438" s="4">
        <v>0.9</v>
      </c>
      <c r="AQ438" s="4">
        <v>0.5</v>
      </c>
      <c r="AR438" s="4">
        <v>0.6</v>
      </c>
      <c r="AS438" s="4">
        <v>0.3</v>
      </c>
      <c r="AT438" s="6">
        <v>1004.809021</v>
      </c>
      <c r="AU438" s="4">
        <v>8.0000000000000002E-3</v>
      </c>
      <c r="AW438" s="4" t="s">
        <v>267</v>
      </c>
      <c r="AX438" s="4">
        <v>0.9</v>
      </c>
      <c r="AY438" s="4">
        <v>0.5</v>
      </c>
      <c r="AZ438" s="4">
        <v>0.6</v>
      </c>
      <c r="BA438" s="4">
        <v>0.32</v>
      </c>
      <c r="BB438" s="4">
        <v>1041.963501</v>
      </c>
      <c r="BC438" s="4">
        <v>8.9999999999999993E-3</v>
      </c>
      <c r="BD438" s="5"/>
      <c r="BE438" s="5"/>
      <c r="BF438" s="5"/>
      <c r="BG438" s="5"/>
      <c r="BI438" s="4" t="s">
        <v>267</v>
      </c>
      <c r="BJ438" s="4">
        <v>0.9</v>
      </c>
      <c r="BK438" s="4">
        <v>0.5</v>
      </c>
      <c r="BL438" s="4">
        <v>0.6</v>
      </c>
      <c r="BM438" s="4">
        <v>0.3</v>
      </c>
      <c r="BN438" s="6">
        <v>979.26892099999998</v>
      </c>
      <c r="BO438" s="4">
        <v>1.4E-2</v>
      </c>
      <c r="BQ438" s="4" t="s">
        <v>267</v>
      </c>
      <c r="BR438" s="4">
        <v>0.9</v>
      </c>
      <c r="BS438" s="4">
        <v>0.5</v>
      </c>
      <c r="BT438" s="4">
        <v>0.6</v>
      </c>
      <c r="BU438" s="4">
        <v>0.3</v>
      </c>
      <c r="BV438" s="4">
        <v>1003.553345</v>
      </c>
      <c r="BW438" s="4">
        <v>0.01</v>
      </c>
      <c r="BX438" s="5"/>
      <c r="BY438" s="5"/>
      <c r="BZ438" s="5"/>
      <c r="CA438" s="5"/>
    </row>
    <row r="439" spans="1:79" x14ac:dyDescent="0.3">
      <c r="A439" s="4" t="s">
        <v>268</v>
      </c>
      <c r="B439" s="4">
        <v>0.9</v>
      </c>
      <c r="C439" s="4">
        <v>0.5</v>
      </c>
      <c r="D439" s="4">
        <v>0.6</v>
      </c>
      <c r="E439" s="4">
        <v>0.3</v>
      </c>
      <c r="F439" s="6">
        <v>711.54626499999995</v>
      </c>
      <c r="G439" s="4">
        <v>3.0000000000000001E-3</v>
      </c>
      <c r="I439" s="4" t="s">
        <v>268</v>
      </c>
      <c r="J439" s="4">
        <v>0.9</v>
      </c>
      <c r="K439" s="4">
        <v>0.5</v>
      </c>
      <c r="L439" s="4">
        <v>0.6</v>
      </c>
      <c r="M439" s="4">
        <v>0.33</v>
      </c>
      <c r="N439" s="4">
        <v>723.39947500000005</v>
      </c>
      <c r="O439" s="4">
        <v>3.0000000000000001E-3</v>
      </c>
      <c r="P439" s="5"/>
      <c r="Q439" s="5"/>
      <c r="R439" s="5"/>
      <c r="S439" s="5"/>
      <c r="U439" s="4" t="s">
        <v>268</v>
      </c>
      <c r="V439" s="4">
        <v>0.9</v>
      </c>
      <c r="W439" s="4">
        <v>0.5</v>
      </c>
      <c r="X439" s="4">
        <v>0.6</v>
      </c>
      <c r="Y439" s="4">
        <v>0.3</v>
      </c>
      <c r="Z439" s="6">
        <v>673.80835000000002</v>
      </c>
      <c r="AA439" s="4">
        <v>2E-3</v>
      </c>
      <c r="AC439" s="4" t="s">
        <v>268</v>
      </c>
      <c r="AD439" s="4">
        <v>0.9</v>
      </c>
      <c r="AE439" s="4">
        <v>0.5</v>
      </c>
      <c r="AF439" s="4">
        <v>0.6</v>
      </c>
      <c r="AG439" s="4">
        <v>0.37</v>
      </c>
      <c r="AH439" s="4">
        <v>682.29632600000002</v>
      </c>
      <c r="AI439" s="4">
        <v>4.0000000000000001E-3</v>
      </c>
      <c r="AJ439" s="5"/>
      <c r="AK439" s="5"/>
      <c r="AL439" s="5"/>
      <c r="AM439" s="5"/>
      <c r="AO439" s="4" t="s">
        <v>269</v>
      </c>
      <c r="AP439" s="4">
        <v>0.9</v>
      </c>
      <c r="AQ439" s="4">
        <v>0.5</v>
      </c>
      <c r="AR439" s="4">
        <v>0.6</v>
      </c>
      <c r="AS439" s="4">
        <v>0.3</v>
      </c>
      <c r="AT439" s="6">
        <v>971.93811000000005</v>
      </c>
      <c r="AU439" s="4">
        <v>8.0000000000000002E-3</v>
      </c>
      <c r="AW439" s="4" t="s">
        <v>269</v>
      </c>
      <c r="AX439" s="4">
        <v>0.9</v>
      </c>
      <c r="AY439" s="4">
        <v>0.5</v>
      </c>
      <c r="AZ439" s="4">
        <v>0.6</v>
      </c>
      <c r="BA439" s="4">
        <v>0.34</v>
      </c>
      <c r="BB439" s="4">
        <v>996.51062000000002</v>
      </c>
      <c r="BC439" s="4">
        <v>8.9999999999999993E-3</v>
      </c>
      <c r="BD439" s="5"/>
      <c r="BE439" s="5"/>
      <c r="BF439" s="5"/>
      <c r="BG439" s="5"/>
      <c r="BI439" s="4" t="s">
        <v>269</v>
      </c>
      <c r="BJ439" s="4">
        <v>0.9</v>
      </c>
      <c r="BK439" s="4">
        <v>0.5</v>
      </c>
      <c r="BL439" s="4">
        <v>0.6</v>
      </c>
      <c r="BM439" s="4">
        <v>0.3</v>
      </c>
      <c r="BN439" s="6">
        <v>921.38079800000003</v>
      </c>
      <c r="BO439" s="4">
        <v>8.0000000000000002E-3</v>
      </c>
      <c r="BQ439" s="4" t="s">
        <v>269</v>
      </c>
      <c r="BR439" s="4">
        <v>0.9</v>
      </c>
      <c r="BS439" s="4">
        <v>0.5</v>
      </c>
      <c r="BT439" s="4">
        <v>0.6</v>
      </c>
      <c r="BU439" s="4">
        <v>0.3</v>
      </c>
      <c r="BV439" s="4">
        <v>939.22564699999998</v>
      </c>
      <c r="BW439" s="4">
        <v>0.01</v>
      </c>
      <c r="BX439" s="5"/>
      <c r="BY439" s="5"/>
      <c r="BZ439" s="5"/>
      <c r="CA439" s="5"/>
    </row>
    <row r="440" spans="1:79" x14ac:dyDescent="0.3">
      <c r="A440" s="4" t="s">
        <v>270</v>
      </c>
      <c r="B440" s="4">
        <v>0.9</v>
      </c>
      <c r="C440" s="4">
        <v>0.5</v>
      </c>
      <c r="D440" s="4">
        <v>0.6</v>
      </c>
      <c r="E440" s="4">
        <v>0.3</v>
      </c>
      <c r="F440" s="6">
        <v>616.49487299999998</v>
      </c>
      <c r="G440" s="4">
        <v>2E-3</v>
      </c>
      <c r="I440" s="4" t="s">
        <v>270</v>
      </c>
      <c r="J440" s="4">
        <v>0.9</v>
      </c>
      <c r="K440" s="4">
        <v>0.5</v>
      </c>
      <c r="L440" s="4">
        <v>0.6</v>
      </c>
      <c r="M440" s="4">
        <v>0.3</v>
      </c>
      <c r="N440" s="4">
        <v>626.87487799999997</v>
      </c>
      <c r="O440" s="4">
        <v>3.0000000000000001E-3</v>
      </c>
      <c r="P440" s="5"/>
      <c r="Q440" s="5"/>
      <c r="R440" s="5"/>
      <c r="S440" s="5"/>
      <c r="U440" s="4" t="s">
        <v>270</v>
      </c>
      <c r="V440" s="4">
        <v>0.9</v>
      </c>
      <c r="W440" s="4">
        <v>0.5</v>
      </c>
      <c r="X440" s="4">
        <v>0.6</v>
      </c>
      <c r="Y440" s="4">
        <v>0.3</v>
      </c>
      <c r="Z440" s="6">
        <v>533.94268799999998</v>
      </c>
      <c r="AA440" s="4">
        <v>2E-3</v>
      </c>
      <c r="AC440" s="4" t="s">
        <v>270</v>
      </c>
      <c r="AD440" s="4">
        <v>0.9</v>
      </c>
      <c r="AE440" s="4">
        <v>0.5</v>
      </c>
      <c r="AF440" s="4">
        <v>0.6</v>
      </c>
      <c r="AG440" s="4">
        <v>0.31</v>
      </c>
      <c r="AH440" s="4">
        <v>568.68505900000002</v>
      </c>
      <c r="AI440" s="4">
        <v>3.0000000000000001E-3</v>
      </c>
      <c r="AJ440" s="5"/>
      <c r="AK440" s="5"/>
      <c r="AL440" s="5"/>
      <c r="AM440" s="5"/>
      <c r="AO440" s="4" t="s">
        <v>271</v>
      </c>
      <c r="AP440" s="4">
        <v>0.9</v>
      </c>
      <c r="AQ440" s="4">
        <v>0.5</v>
      </c>
      <c r="AR440" s="4">
        <v>0.6</v>
      </c>
      <c r="AS440" s="4">
        <v>0.3</v>
      </c>
      <c r="AT440" s="6">
        <v>966.34582499999999</v>
      </c>
      <c r="AU440" s="4">
        <v>8.0000000000000002E-3</v>
      </c>
      <c r="AW440" s="4" t="s">
        <v>271</v>
      </c>
      <c r="AX440" s="4">
        <v>0.9</v>
      </c>
      <c r="AY440" s="4">
        <v>0.5</v>
      </c>
      <c r="AZ440" s="4">
        <v>0.6</v>
      </c>
      <c r="BA440" s="4">
        <v>0.3</v>
      </c>
      <c r="BB440" s="4">
        <v>997.76251200000002</v>
      </c>
      <c r="BC440" s="4">
        <v>8.9999999999999993E-3</v>
      </c>
      <c r="BD440" s="5"/>
      <c r="BE440" s="5"/>
      <c r="BF440" s="5"/>
      <c r="BG440" s="5"/>
      <c r="BI440" s="4" t="s">
        <v>271</v>
      </c>
      <c r="BJ440" s="4">
        <v>0.9</v>
      </c>
      <c r="BK440" s="4">
        <v>0.5</v>
      </c>
      <c r="BL440" s="4">
        <v>0.6</v>
      </c>
      <c r="BM440" s="4">
        <v>0.3</v>
      </c>
      <c r="BN440" s="6">
        <v>913.469604</v>
      </c>
      <c r="BO440" s="4">
        <v>7.0000000000000001E-3</v>
      </c>
      <c r="BQ440" s="4" t="s">
        <v>271</v>
      </c>
      <c r="BR440" s="4">
        <v>0.9</v>
      </c>
      <c r="BS440" s="4">
        <v>0.5</v>
      </c>
      <c r="BT440" s="4">
        <v>0.6</v>
      </c>
      <c r="BU440" s="4">
        <v>0.3</v>
      </c>
      <c r="BV440" s="4">
        <v>963.63671899999997</v>
      </c>
      <c r="BW440" s="4">
        <v>0.01</v>
      </c>
      <c r="BX440" s="5"/>
      <c r="BY440" s="5"/>
      <c r="BZ440" s="5"/>
      <c r="CA440" s="5"/>
    </row>
    <row r="441" spans="1:79" x14ac:dyDescent="0.3">
      <c r="A441" s="4" t="s">
        <v>272</v>
      </c>
      <c r="B441" s="4">
        <v>0.9</v>
      </c>
      <c r="C441" s="4">
        <v>0.5</v>
      </c>
      <c r="D441" s="4">
        <v>0.6</v>
      </c>
      <c r="E441" s="4">
        <v>0.3</v>
      </c>
      <c r="F441" s="6">
        <v>746.62152100000003</v>
      </c>
      <c r="G441" s="4">
        <v>3.0000000000000001E-3</v>
      </c>
      <c r="I441" s="4" t="s">
        <v>272</v>
      </c>
      <c r="J441" s="4">
        <v>0.9</v>
      </c>
      <c r="K441" s="4">
        <v>0.5</v>
      </c>
      <c r="L441" s="4">
        <v>0.6</v>
      </c>
      <c r="M441" s="4">
        <v>0.3</v>
      </c>
      <c r="N441" s="4">
        <v>778.91326900000001</v>
      </c>
      <c r="O441" s="4">
        <v>3.0000000000000001E-3</v>
      </c>
      <c r="P441" s="5"/>
      <c r="Q441" s="5"/>
      <c r="R441" s="5"/>
      <c r="S441" s="5"/>
      <c r="U441" s="4" t="s">
        <v>272</v>
      </c>
      <c r="V441" s="4">
        <v>0.9</v>
      </c>
      <c r="W441" s="4">
        <v>0.5</v>
      </c>
      <c r="X441" s="4">
        <v>0.6</v>
      </c>
      <c r="Y441" s="4">
        <v>0.3</v>
      </c>
      <c r="Z441" s="6">
        <v>726.84210199999995</v>
      </c>
      <c r="AA441" s="4">
        <v>3.0000000000000001E-3</v>
      </c>
      <c r="AC441" s="4" t="s">
        <v>272</v>
      </c>
      <c r="AD441" s="4">
        <v>0.9</v>
      </c>
      <c r="AE441" s="4">
        <v>0.5</v>
      </c>
      <c r="AF441" s="4">
        <v>0.6</v>
      </c>
      <c r="AG441" s="4">
        <v>0.33</v>
      </c>
      <c r="AH441" s="4">
        <v>754.27893100000006</v>
      </c>
      <c r="AI441" s="4">
        <v>4.0000000000000001E-3</v>
      </c>
      <c r="AJ441" s="5"/>
      <c r="AK441" s="5"/>
      <c r="AL441" s="5"/>
      <c r="AM441" s="5"/>
      <c r="AO441" s="4" t="s">
        <v>273</v>
      </c>
      <c r="AP441" s="4">
        <v>0.9</v>
      </c>
      <c r="AQ441" s="4">
        <v>0.5</v>
      </c>
      <c r="AR441" s="4">
        <v>0.6</v>
      </c>
      <c r="AS441" s="4">
        <v>0.3</v>
      </c>
      <c r="AT441" s="6">
        <v>992.40039100000001</v>
      </c>
      <c r="AU441" s="4">
        <v>8.0000000000000002E-3</v>
      </c>
      <c r="AW441" s="4" t="s">
        <v>273</v>
      </c>
      <c r="AX441" s="4">
        <v>0.9</v>
      </c>
      <c r="AY441" s="4">
        <v>0.5</v>
      </c>
      <c r="AZ441" s="4">
        <v>0.6</v>
      </c>
      <c r="BA441" s="4">
        <v>0.3</v>
      </c>
      <c r="BB441" s="4">
        <v>1019.4774169999999</v>
      </c>
      <c r="BC441" s="4">
        <v>8.0000000000000002E-3</v>
      </c>
      <c r="BD441" s="5"/>
      <c r="BE441" s="5"/>
      <c r="BF441" s="5"/>
      <c r="BG441" s="5"/>
      <c r="BI441" s="4" t="s">
        <v>273</v>
      </c>
      <c r="BJ441" s="4">
        <v>0.9</v>
      </c>
      <c r="BK441" s="4">
        <v>0.5</v>
      </c>
      <c r="BL441" s="4">
        <v>0.6</v>
      </c>
      <c r="BM441" s="4">
        <v>0.3</v>
      </c>
      <c r="BN441" s="6">
        <v>970.71710199999995</v>
      </c>
      <c r="BO441" s="4">
        <v>8.0000000000000002E-3</v>
      </c>
      <c r="BQ441" s="4" t="s">
        <v>273</v>
      </c>
      <c r="BR441" s="4">
        <v>0.9</v>
      </c>
      <c r="BS441" s="4">
        <v>0.5</v>
      </c>
      <c r="BT441" s="4">
        <v>0.6</v>
      </c>
      <c r="BU441" s="4">
        <v>0.33</v>
      </c>
      <c r="BV441" s="4">
        <v>977.91729699999996</v>
      </c>
      <c r="BW441" s="4">
        <v>0.01</v>
      </c>
      <c r="BX441" s="5"/>
      <c r="BY441" s="5"/>
      <c r="BZ441" s="5"/>
      <c r="CA441" s="5"/>
    </row>
    <row r="442" spans="1:79" x14ac:dyDescent="0.3">
      <c r="A442" s="4" t="s">
        <v>274</v>
      </c>
      <c r="B442" s="4">
        <v>0.9</v>
      </c>
      <c r="C442" s="4">
        <v>0.5</v>
      </c>
      <c r="D442" s="4">
        <v>0.6</v>
      </c>
      <c r="E442" s="4">
        <v>0.3</v>
      </c>
      <c r="F442" s="6">
        <v>809.118652</v>
      </c>
      <c r="G442" s="4">
        <v>3.0000000000000001E-3</v>
      </c>
      <c r="I442" s="4" t="s">
        <v>274</v>
      </c>
      <c r="J442" s="4">
        <v>0.9</v>
      </c>
      <c r="K442" s="4">
        <v>0.5</v>
      </c>
      <c r="L442" s="4">
        <v>0.6</v>
      </c>
      <c r="M442" s="4">
        <v>0.3</v>
      </c>
      <c r="N442" s="4">
        <v>840.44274900000005</v>
      </c>
      <c r="O442" s="4">
        <v>3.0000000000000001E-3</v>
      </c>
      <c r="P442" s="5"/>
      <c r="Q442" s="5"/>
      <c r="R442" s="5"/>
      <c r="S442" s="5"/>
      <c r="U442" s="4" t="s">
        <v>274</v>
      </c>
      <c r="V442" s="4">
        <v>0.9</v>
      </c>
      <c r="W442" s="4">
        <v>0.5</v>
      </c>
      <c r="X442" s="4">
        <v>0.6</v>
      </c>
      <c r="Y442" s="4">
        <v>0.3</v>
      </c>
      <c r="Z442" s="6">
        <v>787.33538799999997</v>
      </c>
      <c r="AA442" s="4">
        <v>3.0000000000000001E-3</v>
      </c>
      <c r="AC442" s="4" t="s">
        <v>274</v>
      </c>
      <c r="AD442" s="4">
        <v>0.9</v>
      </c>
      <c r="AE442" s="4">
        <v>0.5</v>
      </c>
      <c r="AF442" s="4">
        <v>0.6</v>
      </c>
      <c r="AG442" s="4">
        <v>0.3</v>
      </c>
      <c r="AH442" s="4">
        <v>804.92425500000002</v>
      </c>
      <c r="AI442" s="4">
        <v>5.0000000000000001E-3</v>
      </c>
      <c r="AJ442" s="5"/>
      <c r="AK442" s="5"/>
      <c r="AL442" s="5"/>
      <c r="AM442" s="5"/>
      <c r="AO442" s="4" t="s">
        <v>275</v>
      </c>
      <c r="AP442" s="4">
        <v>0.9</v>
      </c>
      <c r="AQ442" s="4">
        <v>0.5</v>
      </c>
      <c r="AR442" s="4">
        <v>0.6</v>
      </c>
      <c r="AS442" s="4">
        <v>0.3</v>
      </c>
      <c r="AT442" s="6">
        <v>1093.102539</v>
      </c>
      <c r="AU442" s="4">
        <v>8.9999999999999993E-3</v>
      </c>
      <c r="AW442" s="4" t="s">
        <v>275</v>
      </c>
      <c r="AX442" s="4">
        <v>0.9</v>
      </c>
      <c r="AY442" s="4">
        <v>0.5</v>
      </c>
      <c r="AZ442" s="4">
        <v>0.6</v>
      </c>
      <c r="BA442" s="4">
        <v>0.3</v>
      </c>
      <c r="BB442" s="4">
        <v>1122.4039310000001</v>
      </c>
      <c r="BC442" s="4">
        <v>0.01</v>
      </c>
      <c r="BD442" s="5"/>
      <c r="BE442" s="5"/>
      <c r="BF442" s="5"/>
      <c r="BG442" s="5"/>
      <c r="BI442" s="4" t="s">
        <v>275</v>
      </c>
      <c r="BJ442" s="4">
        <v>0.9</v>
      </c>
      <c r="BK442" s="4">
        <v>0.5</v>
      </c>
      <c r="BL442" s="4">
        <v>0.6</v>
      </c>
      <c r="BM442" s="4">
        <v>0.3</v>
      </c>
      <c r="BN442" s="6">
        <v>1077.3591309999999</v>
      </c>
      <c r="BO442" s="4">
        <v>8.9999999999999993E-3</v>
      </c>
      <c r="BQ442" s="4" t="s">
        <v>275</v>
      </c>
      <c r="BR442" s="4">
        <v>0.9</v>
      </c>
      <c r="BS442" s="4">
        <v>0.5</v>
      </c>
      <c r="BT442" s="4">
        <v>0.6</v>
      </c>
      <c r="BU442" s="4">
        <v>0.33</v>
      </c>
      <c r="BV442" s="4">
        <v>1116.7292480000001</v>
      </c>
      <c r="BW442" s="4">
        <v>1.4E-2</v>
      </c>
      <c r="BX442" s="5"/>
      <c r="BY442" s="5"/>
      <c r="BZ442" s="5"/>
      <c r="CA442" s="5"/>
    </row>
    <row r="443" spans="1:79" x14ac:dyDescent="0.3">
      <c r="A443" s="4" t="s">
        <v>276</v>
      </c>
      <c r="B443" s="4">
        <v>0.9</v>
      </c>
      <c r="C443" s="4">
        <v>0.5</v>
      </c>
      <c r="D443" s="4">
        <v>0.6</v>
      </c>
      <c r="E443" s="4">
        <v>0.3</v>
      </c>
      <c r="F443" s="6">
        <v>703.81774900000005</v>
      </c>
      <c r="G443" s="4">
        <v>3.0000000000000001E-3</v>
      </c>
      <c r="I443" s="4" t="s">
        <v>276</v>
      </c>
      <c r="J443" s="4">
        <v>0.9</v>
      </c>
      <c r="K443" s="4">
        <v>0.5</v>
      </c>
      <c r="L443" s="4">
        <v>0.6</v>
      </c>
      <c r="M443" s="4">
        <v>0.31</v>
      </c>
      <c r="N443" s="4">
        <v>719.23742700000003</v>
      </c>
      <c r="O443" s="4">
        <v>3.0000000000000001E-3</v>
      </c>
      <c r="P443" s="5"/>
      <c r="Q443" s="5"/>
      <c r="R443" s="5"/>
      <c r="S443" s="5"/>
      <c r="U443" s="4" t="s">
        <v>276</v>
      </c>
      <c r="V443" s="4">
        <v>0.9</v>
      </c>
      <c r="W443" s="4">
        <v>0.5</v>
      </c>
      <c r="X443" s="4">
        <v>0.6</v>
      </c>
      <c r="Y443" s="4">
        <v>0.3</v>
      </c>
      <c r="Z443" s="6">
        <v>669.49890100000005</v>
      </c>
      <c r="AA443" s="4">
        <v>3.0000000000000001E-3</v>
      </c>
      <c r="AC443" s="4" t="s">
        <v>276</v>
      </c>
      <c r="AD443" s="4">
        <v>0.9</v>
      </c>
      <c r="AE443" s="4">
        <v>0.5</v>
      </c>
      <c r="AF443" s="4">
        <v>0.6</v>
      </c>
      <c r="AG443" s="4">
        <v>0.31</v>
      </c>
      <c r="AH443" s="4">
        <v>689.91351299999997</v>
      </c>
      <c r="AI443" s="4">
        <v>4.0000000000000001E-3</v>
      </c>
      <c r="AJ443" s="5"/>
      <c r="AK443" s="5"/>
      <c r="AL443" s="5"/>
      <c r="AM443" s="5"/>
      <c r="AO443" s="4" t="s">
        <v>277</v>
      </c>
      <c r="AP443" s="4">
        <v>0.9</v>
      </c>
      <c r="AQ443" s="4">
        <v>0.5</v>
      </c>
      <c r="AR443" s="4">
        <v>0.6</v>
      </c>
      <c r="AS443" s="4">
        <v>0.3</v>
      </c>
      <c r="AT443" s="6">
        <v>1000.099976</v>
      </c>
      <c r="AU443" s="4">
        <v>8.0000000000000002E-3</v>
      </c>
      <c r="AW443" s="4" t="s">
        <v>277</v>
      </c>
      <c r="AX443" s="4">
        <v>0.9</v>
      </c>
      <c r="AY443" s="4">
        <v>0.5</v>
      </c>
      <c r="AZ443" s="4">
        <v>0.6</v>
      </c>
      <c r="BA443" s="4">
        <v>0.34</v>
      </c>
      <c r="BB443" s="4">
        <v>1045.659058</v>
      </c>
      <c r="BC443" s="4">
        <v>8.9999999999999993E-3</v>
      </c>
      <c r="BD443" s="5"/>
      <c r="BE443" s="5"/>
      <c r="BF443" s="5"/>
      <c r="BG443" s="5"/>
      <c r="BI443" s="4" t="s">
        <v>277</v>
      </c>
      <c r="BJ443" s="4">
        <v>0.9</v>
      </c>
      <c r="BK443" s="4">
        <v>0.5</v>
      </c>
      <c r="BL443" s="4">
        <v>0.6</v>
      </c>
      <c r="BM443" s="4">
        <v>0.3</v>
      </c>
      <c r="BN443" s="6">
        <v>976.66980000000001</v>
      </c>
      <c r="BO443" s="4">
        <v>8.0000000000000002E-3</v>
      </c>
      <c r="BQ443" s="4" t="s">
        <v>277</v>
      </c>
      <c r="BR443" s="4">
        <v>0.9</v>
      </c>
      <c r="BS443" s="4">
        <v>0.5</v>
      </c>
      <c r="BT443" s="4">
        <v>0.6</v>
      </c>
      <c r="BU443" s="4">
        <v>0.3</v>
      </c>
      <c r="BV443" s="4">
        <v>1001.184631</v>
      </c>
      <c r="BW443" s="4">
        <v>1.2999999999999999E-2</v>
      </c>
      <c r="BX443" s="5"/>
      <c r="BY443" s="5"/>
      <c r="BZ443" s="5"/>
      <c r="CA443" s="5"/>
    </row>
    <row r="444" spans="1:79" x14ac:dyDescent="0.3">
      <c r="A444" s="4" t="s">
        <v>278</v>
      </c>
      <c r="B444" s="4">
        <v>0.9</v>
      </c>
      <c r="C444" s="4">
        <v>0.5</v>
      </c>
      <c r="D444" s="4">
        <v>0.6</v>
      </c>
      <c r="E444" s="4">
        <v>0.3</v>
      </c>
      <c r="F444" s="6">
        <v>656.89190699999995</v>
      </c>
      <c r="G444" s="4">
        <v>3.0000000000000001E-3</v>
      </c>
      <c r="I444" s="4" t="s">
        <v>278</v>
      </c>
      <c r="J444" s="4">
        <v>0.9</v>
      </c>
      <c r="K444" s="4">
        <v>0.5</v>
      </c>
      <c r="L444" s="4">
        <v>0.6</v>
      </c>
      <c r="M444" s="4">
        <v>0.32</v>
      </c>
      <c r="N444" s="4">
        <v>658.73046899999997</v>
      </c>
      <c r="O444" s="4">
        <v>3.0000000000000001E-3</v>
      </c>
      <c r="P444" s="5"/>
      <c r="Q444" s="5"/>
      <c r="R444" s="5"/>
      <c r="S444" s="5"/>
      <c r="U444" s="4" t="s">
        <v>278</v>
      </c>
      <c r="V444" s="4">
        <v>0.9</v>
      </c>
      <c r="W444" s="4">
        <v>0.5</v>
      </c>
      <c r="X444" s="4">
        <v>0.6</v>
      </c>
      <c r="Y444" s="4">
        <v>0.3</v>
      </c>
      <c r="Z444" s="6">
        <v>629.56555200000003</v>
      </c>
      <c r="AA444" s="4">
        <v>2E-3</v>
      </c>
      <c r="AC444" s="4" t="s">
        <v>278</v>
      </c>
      <c r="AD444" s="4">
        <v>0.9</v>
      </c>
      <c r="AE444" s="4">
        <v>0.5</v>
      </c>
      <c r="AF444" s="4">
        <v>0.6</v>
      </c>
      <c r="AG444" s="4">
        <v>0.33</v>
      </c>
      <c r="AH444" s="4">
        <v>652.54681400000004</v>
      </c>
      <c r="AI444" s="4">
        <v>5.0000000000000001E-3</v>
      </c>
      <c r="AJ444" s="5"/>
      <c r="AK444" s="5"/>
      <c r="AL444" s="5"/>
      <c r="AM444" s="5"/>
      <c r="AO444" s="4" t="s">
        <v>279</v>
      </c>
      <c r="AP444" s="4">
        <v>0.9</v>
      </c>
      <c r="AQ444" s="4">
        <v>0.5</v>
      </c>
      <c r="AR444" s="4">
        <v>0.6</v>
      </c>
      <c r="AS444" s="4">
        <v>0.3</v>
      </c>
      <c r="AT444" s="6">
        <v>1119.3903809999999</v>
      </c>
      <c r="AU444" s="4">
        <v>8.9999999999999993E-3</v>
      </c>
      <c r="AW444" s="4" t="s">
        <v>279</v>
      </c>
      <c r="AX444" s="4">
        <v>0.9</v>
      </c>
      <c r="AY444" s="4">
        <v>0.5</v>
      </c>
      <c r="AZ444" s="4">
        <v>0.6</v>
      </c>
      <c r="BA444" s="4">
        <v>0.3</v>
      </c>
      <c r="BB444" s="4">
        <v>1152.423828</v>
      </c>
      <c r="BC444" s="4">
        <v>8.9999999999999993E-3</v>
      </c>
      <c r="BD444" s="5"/>
      <c r="BE444" s="5"/>
      <c r="BF444" s="5"/>
      <c r="BG444" s="5"/>
      <c r="BI444" s="4" t="s">
        <v>279</v>
      </c>
      <c r="BJ444" s="4">
        <v>0.9</v>
      </c>
      <c r="BK444" s="4">
        <v>0.5</v>
      </c>
      <c r="BL444" s="4">
        <v>0.6</v>
      </c>
      <c r="BM444" s="4">
        <v>0.3</v>
      </c>
      <c r="BN444" s="6">
        <v>1082.3125</v>
      </c>
      <c r="BO444" s="4">
        <v>8.9999999999999993E-3</v>
      </c>
      <c r="BQ444" s="4" t="s">
        <v>279</v>
      </c>
      <c r="BR444" s="4">
        <v>0.9</v>
      </c>
      <c r="BS444" s="4">
        <v>0.5</v>
      </c>
      <c r="BT444" s="4">
        <v>0.6</v>
      </c>
      <c r="BU444" s="4">
        <v>0.31</v>
      </c>
      <c r="BV444" s="4">
        <v>1124.4938959999999</v>
      </c>
      <c r="BW444" s="4">
        <v>1.0999999999999999E-2</v>
      </c>
      <c r="BX444" s="5"/>
      <c r="BY444" s="5"/>
      <c r="BZ444" s="5"/>
      <c r="CA444" s="5"/>
    </row>
    <row r="445" spans="1:79" x14ac:dyDescent="0.3">
      <c r="A445" s="4" t="s">
        <v>280</v>
      </c>
      <c r="B445" s="4">
        <v>0.9</v>
      </c>
      <c r="C445" s="4">
        <v>0.5</v>
      </c>
      <c r="D445" s="4">
        <v>0.6</v>
      </c>
      <c r="E445" s="4">
        <v>0.3</v>
      </c>
      <c r="F445" s="8">
        <v>890.07775900000001</v>
      </c>
      <c r="G445" s="4">
        <v>3.0000000000000001E-3</v>
      </c>
      <c r="I445" s="4" t="s">
        <v>280</v>
      </c>
      <c r="J445" s="4">
        <v>0.9</v>
      </c>
      <c r="K445" s="4">
        <v>0.5</v>
      </c>
      <c r="L445" s="4">
        <v>0.6</v>
      </c>
      <c r="M445" s="4">
        <v>0.32</v>
      </c>
      <c r="N445" s="6">
        <v>890.16619900000001</v>
      </c>
      <c r="O445" s="4">
        <v>3.0000000000000001E-3</v>
      </c>
      <c r="P445" s="5"/>
      <c r="Q445" s="5"/>
      <c r="R445" s="5"/>
      <c r="S445" s="5"/>
      <c r="U445" s="4" t="s">
        <v>280</v>
      </c>
      <c r="V445" s="4">
        <v>0.9</v>
      </c>
      <c r="W445" s="4">
        <v>0.5</v>
      </c>
      <c r="X445" s="4">
        <v>0.6</v>
      </c>
      <c r="Y445" s="4">
        <v>0.3</v>
      </c>
      <c r="Z445" s="6">
        <v>857.32629399999996</v>
      </c>
      <c r="AA445" s="4">
        <v>3.0000000000000001E-3</v>
      </c>
      <c r="AC445" s="4" t="s">
        <v>280</v>
      </c>
      <c r="AD445" s="4">
        <v>0.9</v>
      </c>
      <c r="AE445" s="4">
        <v>0.5</v>
      </c>
      <c r="AF445" s="4">
        <v>0.6</v>
      </c>
      <c r="AG445" s="4">
        <v>0.3</v>
      </c>
      <c r="AH445" s="4">
        <v>901.171875</v>
      </c>
      <c r="AI445" s="4">
        <v>5.0000000000000001E-3</v>
      </c>
      <c r="AJ445" s="5"/>
      <c r="AK445" s="5"/>
      <c r="AL445" s="5"/>
      <c r="AM445" s="5"/>
      <c r="AO445" s="4" t="s">
        <v>281</v>
      </c>
      <c r="AP445" s="4">
        <v>0.9</v>
      </c>
      <c r="AQ445" s="4">
        <v>0.5</v>
      </c>
      <c r="AR445" s="4">
        <v>0.6</v>
      </c>
      <c r="AS445" s="4">
        <v>0.3</v>
      </c>
      <c r="AT445" s="6">
        <v>1037.487183</v>
      </c>
      <c r="AU445" s="4">
        <v>8.9999999999999993E-3</v>
      </c>
      <c r="AW445" s="4" t="s">
        <v>281</v>
      </c>
      <c r="AX445" s="4">
        <v>0.9</v>
      </c>
      <c r="AY445" s="4">
        <v>0.5</v>
      </c>
      <c r="AZ445" s="4">
        <v>0.6</v>
      </c>
      <c r="BA445" s="4">
        <v>0.32</v>
      </c>
      <c r="BB445" s="4">
        <v>1085.137939</v>
      </c>
      <c r="BC445" s="4">
        <v>1.0999999999999999E-2</v>
      </c>
      <c r="BD445" s="5"/>
      <c r="BE445" s="5"/>
      <c r="BF445" s="5"/>
      <c r="BG445" s="5"/>
      <c r="BI445" s="4" t="s">
        <v>281</v>
      </c>
      <c r="BJ445" s="4">
        <v>0.9</v>
      </c>
      <c r="BK445" s="4">
        <v>0.5</v>
      </c>
      <c r="BL445" s="4">
        <v>0.6</v>
      </c>
      <c r="BM445" s="4">
        <v>0.3</v>
      </c>
      <c r="BN445" s="4">
        <v>1048.6263429999999</v>
      </c>
      <c r="BO445" s="4">
        <v>8.9999999999999993E-3</v>
      </c>
      <c r="BQ445" s="4" t="s">
        <v>281</v>
      </c>
      <c r="BR445" s="4">
        <v>0.9</v>
      </c>
      <c r="BS445" s="4">
        <v>0.5</v>
      </c>
      <c r="BT445" s="4">
        <v>0.6</v>
      </c>
      <c r="BU445" s="4">
        <v>0.3</v>
      </c>
      <c r="BV445" s="6">
        <v>1047.301025</v>
      </c>
      <c r="BW445" s="4">
        <v>1.4999999999999999E-2</v>
      </c>
      <c r="BX445" s="5"/>
      <c r="BY445" s="5"/>
      <c r="BZ445" s="5"/>
      <c r="CA445" s="5"/>
    </row>
    <row r="446" spans="1:79" x14ac:dyDescent="0.3">
      <c r="A446" s="4" t="s">
        <v>282</v>
      </c>
      <c r="B446" s="4">
        <v>0.9</v>
      </c>
      <c r="C446" s="4">
        <v>0.5</v>
      </c>
      <c r="D446" s="4">
        <v>0.6</v>
      </c>
      <c r="E446" s="4">
        <v>0.3</v>
      </c>
      <c r="F446" s="6">
        <v>752.175476</v>
      </c>
      <c r="G446" s="4">
        <v>3.0000000000000001E-3</v>
      </c>
      <c r="I446" s="4" t="s">
        <v>282</v>
      </c>
      <c r="J446" s="4">
        <v>0.9</v>
      </c>
      <c r="K446" s="4">
        <v>0.5</v>
      </c>
      <c r="L446" s="4">
        <v>0.6</v>
      </c>
      <c r="M446" s="4">
        <v>0.3</v>
      </c>
      <c r="N446" s="4">
        <v>798.13403300000004</v>
      </c>
      <c r="O446" s="4">
        <v>4.0000000000000001E-3</v>
      </c>
      <c r="P446" s="5"/>
      <c r="Q446" s="5"/>
      <c r="R446" s="5"/>
      <c r="S446" s="5"/>
      <c r="U446" s="4" t="s">
        <v>282</v>
      </c>
      <c r="V446" s="4">
        <v>0.9</v>
      </c>
      <c r="W446" s="4">
        <v>0.5</v>
      </c>
      <c r="X446" s="4">
        <v>0.6</v>
      </c>
      <c r="Y446" s="4">
        <v>0.3</v>
      </c>
      <c r="Z446" s="6">
        <v>761.81066899999996</v>
      </c>
      <c r="AA446" s="4">
        <v>3.0000000000000001E-3</v>
      </c>
      <c r="AC446" s="4" t="s">
        <v>282</v>
      </c>
      <c r="AD446" s="4">
        <v>0.9</v>
      </c>
      <c r="AE446" s="4">
        <v>0.5</v>
      </c>
      <c r="AF446" s="4">
        <v>0.6</v>
      </c>
      <c r="AG446" s="4">
        <v>0.33</v>
      </c>
      <c r="AH446" s="4">
        <v>783.89025900000001</v>
      </c>
      <c r="AI446" s="4">
        <v>6.0000000000000001E-3</v>
      </c>
      <c r="AJ446" s="5"/>
      <c r="AK446" s="5"/>
      <c r="AL446" s="5"/>
      <c r="AM446" s="5"/>
      <c r="AO446" s="4" t="s">
        <v>283</v>
      </c>
      <c r="AP446" s="4">
        <v>0.9</v>
      </c>
      <c r="AQ446" s="4">
        <v>0.5</v>
      </c>
      <c r="AR446" s="4">
        <v>0.6</v>
      </c>
      <c r="AS446" s="4">
        <v>0.3</v>
      </c>
      <c r="AT446" s="6">
        <v>1025.665283</v>
      </c>
      <c r="AU446" s="4">
        <v>8.0000000000000002E-3</v>
      </c>
      <c r="AW446" s="4" t="s">
        <v>283</v>
      </c>
      <c r="AX446" s="4">
        <v>0.9</v>
      </c>
      <c r="AY446" s="4">
        <v>0.5</v>
      </c>
      <c r="AZ446" s="4">
        <v>0.6</v>
      </c>
      <c r="BA446" s="4">
        <v>0.37</v>
      </c>
      <c r="BB446" s="4">
        <v>1043.223999</v>
      </c>
      <c r="BC446" s="4">
        <v>8.9999999999999993E-3</v>
      </c>
      <c r="BD446" s="5"/>
      <c r="BE446" s="5"/>
      <c r="BF446" s="5"/>
      <c r="BG446" s="5"/>
      <c r="BI446" s="4" t="s">
        <v>283</v>
      </c>
      <c r="BJ446" s="4">
        <v>0.9</v>
      </c>
      <c r="BK446" s="4">
        <v>0.5</v>
      </c>
      <c r="BL446" s="4">
        <v>0.6</v>
      </c>
      <c r="BM446" s="4">
        <v>0.3</v>
      </c>
      <c r="BN446" s="6">
        <v>989.90777600000001</v>
      </c>
      <c r="BO446" s="4">
        <v>1.4E-2</v>
      </c>
      <c r="BQ446" s="4" t="s">
        <v>283</v>
      </c>
      <c r="BR446" s="4">
        <v>0.9</v>
      </c>
      <c r="BS446" s="4">
        <v>0.5</v>
      </c>
      <c r="BT446" s="4">
        <v>0.6</v>
      </c>
      <c r="BU446" s="4">
        <v>0.3</v>
      </c>
      <c r="BV446" s="4">
        <v>1029.793457</v>
      </c>
      <c r="BW446" s="4">
        <v>1.0999999999999999E-2</v>
      </c>
      <c r="BX446" s="5"/>
      <c r="BY446" s="5"/>
      <c r="BZ446" s="5"/>
      <c r="CA446" s="5"/>
    </row>
    <row r="447" spans="1:79" x14ac:dyDescent="0.3">
      <c r="A447" s="4" t="s">
        <v>284</v>
      </c>
      <c r="B447" s="4">
        <v>0.9</v>
      </c>
      <c r="C447" s="4">
        <v>0.5</v>
      </c>
      <c r="D447" s="4">
        <v>0.6</v>
      </c>
      <c r="E447" s="4">
        <v>0.3</v>
      </c>
      <c r="F447" s="6">
        <v>822.80920400000002</v>
      </c>
      <c r="G447" s="4">
        <v>3.0000000000000001E-3</v>
      </c>
      <c r="I447" s="4" t="s">
        <v>284</v>
      </c>
      <c r="J447" s="4">
        <v>0.9</v>
      </c>
      <c r="K447" s="4">
        <v>0.5</v>
      </c>
      <c r="L447" s="4">
        <v>0.6</v>
      </c>
      <c r="M447" s="4">
        <v>0.31</v>
      </c>
      <c r="N447" s="4">
        <v>854.74890100000005</v>
      </c>
      <c r="O447" s="4">
        <v>3.0000000000000001E-3</v>
      </c>
      <c r="P447" s="5"/>
      <c r="Q447" s="5"/>
      <c r="R447" s="5"/>
      <c r="S447" s="5"/>
      <c r="U447" s="4" t="s">
        <v>284</v>
      </c>
      <c r="V447" s="4">
        <v>0.9</v>
      </c>
      <c r="W447" s="4">
        <v>0.5</v>
      </c>
      <c r="X447" s="4">
        <v>0.6</v>
      </c>
      <c r="Y447" s="4">
        <v>0.3</v>
      </c>
      <c r="Z447" s="6">
        <v>798.51879899999994</v>
      </c>
      <c r="AA447" s="4">
        <v>3.0000000000000001E-3</v>
      </c>
      <c r="AC447" s="4" t="s">
        <v>284</v>
      </c>
      <c r="AD447" s="4">
        <v>0.9</v>
      </c>
      <c r="AE447" s="4">
        <v>0.5</v>
      </c>
      <c r="AF447" s="4">
        <v>0.6</v>
      </c>
      <c r="AG447" s="4">
        <v>0.31</v>
      </c>
      <c r="AH447" s="4">
        <v>828.31011999999998</v>
      </c>
      <c r="AI447" s="4">
        <v>4.0000000000000001E-3</v>
      </c>
      <c r="AJ447" s="5"/>
      <c r="AK447" s="5"/>
      <c r="AL447" s="5"/>
      <c r="AM447" s="5"/>
      <c r="AO447" s="4" t="s">
        <v>285</v>
      </c>
      <c r="AP447" s="4">
        <v>0.9</v>
      </c>
      <c r="AQ447" s="4">
        <v>0.5</v>
      </c>
      <c r="AR447" s="4">
        <v>0.6</v>
      </c>
      <c r="AS447" s="4">
        <v>0.3</v>
      </c>
      <c r="AT447" s="6">
        <v>1104.69165</v>
      </c>
      <c r="AU447" s="4">
        <v>8.9999999999999993E-3</v>
      </c>
      <c r="AW447" s="4" t="s">
        <v>285</v>
      </c>
      <c r="AX447" s="4">
        <v>0.9</v>
      </c>
      <c r="AY447" s="4">
        <v>0.5</v>
      </c>
      <c r="AZ447" s="4">
        <v>0.6</v>
      </c>
      <c r="BA447" s="4">
        <v>0.31</v>
      </c>
      <c r="BB447" s="4">
        <v>1129.9895019999999</v>
      </c>
      <c r="BC447" s="4">
        <v>0.01</v>
      </c>
      <c r="BD447" s="5"/>
      <c r="BE447" s="5"/>
      <c r="BF447" s="5"/>
      <c r="BG447" s="5"/>
      <c r="BI447" s="4" t="s">
        <v>285</v>
      </c>
      <c r="BJ447" s="4">
        <v>0.9</v>
      </c>
      <c r="BK447" s="4">
        <v>0.5</v>
      </c>
      <c r="BL447" s="4">
        <v>0.6</v>
      </c>
      <c r="BM447" s="4">
        <v>0.3</v>
      </c>
      <c r="BN447" s="6">
        <v>1070.1198730000001</v>
      </c>
      <c r="BO447" s="4">
        <v>8.9999999999999993E-3</v>
      </c>
      <c r="BQ447" s="4" t="s">
        <v>285</v>
      </c>
      <c r="BR447" s="4">
        <v>0.9</v>
      </c>
      <c r="BS447" s="4">
        <v>0.5</v>
      </c>
      <c r="BT447" s="4">
        <v>0.6</v>
      </c>
      <c r="BU447" s="4">
        <v>0.32</v>
      </c>
      <c r="BV447" s="4">
        <v>1075.7574460000001</v>
      </c>
      <c r="BW447" s="4">
        <v>0.01</v>
      </c>
      <c r="BX447" s="5"/>
      <c r="BY447" s="5"/>
      <c r="BZ447" s="5"/>
      <c r="CA447" s="5"/>
    </row>
    <row r="448" spans="1:79" x14ac:dyDescent="0.3">
      <c r="A448" s="4" t="s">
        <v>286</v>
      </c>
      <c r="B448" s="4">
        <v>0.9</v>
      </c>
      <c r="C448" s="4">
        <v>0.5</v>
      </c>
      <c r="D448" s="4">
        <v>0.6</v>
      </c>
      <c r="E448" s="4">
        <v>0.3</v>
      </c>
      <c r="F448" s="4">
        <v>705.66223100000002</v>
      </c>
      <c r="G448" s="4">
        <v>3.0000000000000001E-3</v>
      </c>
      <c r="I448" s="4" t="s">
        <v>286</v>
      </c>
      <c r="J448" s="4">
        <v>0.9</v>
      </c>
      <c r="K448" s="4">
        <v>0.5</v>
      </c>
      <c r="L448" s="4">
        <v>0.6</v>
      </c>
      <c r="M448" s="4">
        <v>0.3</v>
      </c>
      <c r="N448" s="6">
        <v>700.37646500000005</v>
      </c>
      <c r="O448" s="4">
        <v>3.0000000000000001E-3</v>
      </c>
      <c r="P448" s="5"/>
      <c r="Q448" s="5"/>
      <c r="R448" s="5"/>
      <c r="S448" s="5"/>
      <c r="U448" s="4" t="s">
        <v>286</v>
      </c>
      <c r="V448" s="4">
        <v>0.9</v>
      </c>
      <c r="W448" s="4">
        <v>0.5</v>
      </c>
      <c r="X448" s="4">
        <v>0.6</v>
      </c>
      <c r="Y448" s="4">
        <v>0.3</v>
      </c>
      <c r="Z448" s="6">
        <v>681.83734100000004</v>
      </c>
      <c r="AA448" s="4">
        <v>3.0000000000000001E-3</v>
      </c>
      <c r="AC448" s="4" t="s">
        <v>286</v>
      </c>
      <c r="AD448" s="4">
        <v>0.9</v>
      </c>
      <c r="AE448" s="4">
        <v>0.5</v>
      </c>
      <c r="AF448" s="4">
        <v>0.6</v>
      </c>
      <c r="AG448" s="4">
        <v>0.35</v>
      </c>
      <c r="AH448" s="4">
        <v>716.60058600000002</v>
      </c>
      <c r="AI448" s="4">
        <v>7.0000000000000001E-3</v>
      </c>
      <c r="AJ448" s="5"/>
      <c r="AK448" s="5"/>
      <c r="AL448" s="5"/>
      <c r="AM448" s="5"/>
      <c r="AO448" s="4" t="s">
        <v>287</v>
      </c>
      <c r="AP448" s="4">
        <v>0.9</v>
      </c>
      <c r="AQ448" s="4">
        <v>0.5</v>
      </c>
      <c r="AR448" s="4">
        <v>0.6</v>
      </c>
      <c r="AS448" s="4">
        <v>0.3</v>
      </c>
      <c r="AT448" s="6">
        <v>1015.790588</v>
      </c>
      <c r="AU448" s="4">
        <v>8.9999999999999993E-3</v>
      </c>
      <c r="AW448" s="4" t="s">
        <v>287</v>
      </c>
      <c r="AX448" s="4">
        <v>0.9</v>
      </c>
      <c r="AY448" s="4">
        <v>0.5</v>
      </c>
      <c r="AZ448" s="4">
        <v>0.6</v>
      </c>
      <c r="BA448" s="4">
        <v>0.3</v>
      </c>
      <c r="BB448" s="4">
        <v>1043.369385</v>
      </c>
      <c r="BC448" s="4">
        <v>0.01</v>
      </c>
      <c r="BD448" s="5"/>
      <c r="BE448" s="5"/>
      <c r="BF448" s="5"/>
      <c r="BG448" s="5"/>
      <c r="BI448" s="4" t="s">
        <v>287</v>
      </c>
      <c r="BJ448" s="4">
        <v>0.9</v>
      </c>
      <c r="BK448" s="4">
        <v>0.5</v>
      </c>
      <c r="BL448" s="4">
        <v>0.6</v>
      </c>
      <c r="BM448" s="4">
        <v>0.3</v>
      </c>
      <c r="BN448" s="6">
        <v>981.06658900000002</v>
      </c>
      <c r="BO448" s="4">
        <v>8.0000000000000002E-3</v>
      </c>
      <c r="BQ448" s="4" t="s">
        <v>287</v>
      </c>
      <c r="BR448" s="4">
        <v>0.9</v>
      </c>
      <c r="BS448" s="4">
        <v>0.5</v>
      </c>
      <c r="BT448" s="4">
        <v>0.6</v>
      </c>
      <c r="BU448" s="4">
        <v>0.3</v>
      </c>
      <c r="BV448" s="4">
        <v>1021.953186</v>
      </c>
      <c r="BW448" s="4">
        <v>1.2999999999999999E-2</v>
      </c>
      <c r="BX448" s="5"/>
      <c r="BY448" s="5"/>
      <c r="BZ448" s="5"/>
      <c r="CA448" s="5"/>
    </row>
    <row r="449" spans="1:79" x14ac:dyDescent="0.3">
      <c r="A449" s="4" t="s">
        <v>288</v>
      </c>
      <c r="B449" s="4">
        <v>0.9</v>
      </c>
      <c r="C449" s="4">
        <v>0.5</v>
      </c>
      <c r="D449" s="4">
        <v>0.6</v>
      </c>
      <c r="E449" s="4">
        <v>0.3</v>
      </c>
      <c r="F449" s="6">
        <v>703.54693599999996</v>
      </c>
      <c r="G449" s="4">
        <v>3.0000000000000001E-3</v>
      </c>
      <c r="I449" s="4" t="s">
        <v>288</v>
      </c>
      <c r="J449" s="4">
        <v>0.9</v>
      </c>
      <c r="K449" s="4">
        <v>0.5</v>
      </c>
      <c r="L449" s="4">
        <v>0.6</v>
      </c>
      <c r="M449" s="4">
        <v>0.31</v>
      </c>
      <c r="N449" s="4">
        <v>731.27569600000004</v>
      </c>
      <c r="O449" s="4">
        <v>3.0000000000000001E-3</v>
      </c>
      <c r="P449" s="5"/>
      <c r="Q449" s="5"/>
      <c r="R449" s="5"/>
      <c r="S449" s="5"/>
      <c r="U449" s="4" t="s">
        <v>288</v>
      </c>
      <c r="V449" s="4">
        <v>0.9</v>
      </c>
      <c r="W449" s="4">
        <v>0.5</v>
      </c>
      <c r="X449" s="4">
        <v>0.6</v>
      </c>
      <c r="Y449" s="4">
        <v>0.3</v>
      </c>
      <c r="Z449" s="6">
        <v>694.50860599999999</v>
      </c>
      <c r="AA449" s="4">
        <v>3.0000000000000001E-3</v>
      </c>
      <c r="AC449" s="4" t="s">
        <v>288</v>
      </c>
      <c r="AD449" s="4">
        <v>0.9</v>
      </c>
      <c r="AE449" s="4">
        <v>0.5</v>
      </c>
      <c r="AF449" s="4">
        <v>0.6</v>
      </c>
      <c r="AG449" s="4">
        <v>0.3</v>
      </c>
      <c r="AH449" s="4">
        <v>715.69598399999995</v>
      </c>
      <c r="AI449" s="4">
        <v>6.0000000000000001E-3</v>
      </c>
      <c r="AJ449" s="5"/>
      <c r="AK449" s="5"/>
      <c r="AL449" s="5"/>
      <c r="AM449" s="5"/>
      <c r="AO449" s="4" t="s">
        <v>289</v>
      </c>
      <c r="AP449" s="4">
        <v>0.9</v>
      </c>
      <c r="AQ449" s="4">
        <v>0.5</v>
      </c>
      <c r="AR449" s="4">
        <v>0.6</v>
      </c>
      <c r="AS449" s="4">
        <v>0.3</v>
      </c>
      <c r="AT449" s="6">
        <v>1085.334961</v>
      </c>
      <c r="AU449" s="4">
        <v>0.01</v>
      </c>
      <c r="AW449" s="4" t="s">
        <v>289</v>
      </c>
      <c r="AX449" s="4">
        <v>0.9</v>
      </c>
      <c r="AY449" s="4">
        <v>0.5</v>
      </c>
      <c r="AZ449" s="4">
        <v>0.6</v>
      </c>
      <c r="BA449" s="4">
        <v>0.31</v>
      </c>
      <c r="BB449" s="4">
        <v>1120.6949460000001</v>
      </c>
      <c r="BC449" s="4">
        <v>0.01</v>
      </c>
      <c r="BD449" s="5"/>
      <c r="BE449" s="5"/>
      <c r="BF449" s="5"/>
      <c r="BG449" s="5"/>
      <c r="BI449" s="4" t="s">
        <v>289</v>
      </c>
      <c r="BJ449" s="4">
        <v>0.9</v>
      </c>
      <c r="BK449" s="4">
        <v>0.5</v>
      </c>
      <c r="BL449" s="4">
        <v>0.6</v>
      </c>
      <c r="BM449" s="4">
        <v>0.3</v>
      </c>
      <c r="BN449" s="6">
        <v>1045.226807</v>
      </c>
      <c r="BO449" s="4">
        <v>0.01</v>
      </c>
      <c r="BQ449" s="4" t="s">
        <v>289</v>
      </c>
      <c r="BR449" s="4">
        <v>0.9</v>
      </c>
      <c r="BS449" s="4">
        <v>0.5</v>
      </c>
      <c r="BT449" s="4">
        <v>0.6</v>
      </c>
      <c r="BU449" s="4">
        <v>0.3</v>
      </c>
      <c r="BV449" s="4">
        <v>1090.7886960000001</v>
      </c>
      <c r="BW449" s="4">
        <v>1.2999999999999999E-2</v>
      </c>
      <c r="BX449" s="5"/>
      <c r="BY449" s="5"/>
      <c r="BZ449" s="5"/>
      <c r="CA449" s="5"/>
    </row>
    <row r="450" spans="1:79" x14ac:dyDescent="0.3">
      <c r="A450" s="4" t="s">
        <v>290</v>
      </c>
      <c r="B450" s="4">
        <v>0.9</v>
      </c>
      <c r="C450" s="4">
        <v>0.5</v>
      </c>
      <c r="D450" s="4">
        <v>0.6</v>
      </c>
      <c r="E450" s="4">
        <v>0.3</v>
      </c>
      <c r="F450" s="4">
        <v>714.00268600000004</v>
      </c>
      <c r="G450" s="4">
        <v>3.0000000000000001E-3</v>
      </c>
      <c r="I450" s="4" t="s">
        <v>290</v>
      </c>
      <c r="J450" s="4">
        <v>0.9</v>
      </c>
      <c r="K450" s="4">
        <v>0.5</v>
      </c>
      <c r="L450" s="4">
        <v>0.6</v>
      </c>
      <c r="M450" s="4">
        <v>0.3</v>
      </c>
      <c r="N450" s="6">
        <v>709.20977800000003</v>
      </c>
      <c r="O450" s="4">
        <v>3.0000000000000001E-3</v>
      </c>
      <c r="P450" s="5"/>
      <c r="Q450" s="5"/>
      <c r="R450" s="5"/>
      <c r="S450" s="5"/>
      <c r="U450" s="4" t="s">
        <v>290</v>
      </c>
      <c r="V450" s="4">
        <v>0.9</v>
      </c>
      <c r="W450" s="4">
        <v>0.5</v>
      </c>
      <c r="X450" s="4">
        <v>0.6</v>
      </c>
      <c r="Y450" s="4">
        <v>0.3</v>
      </c>
      <c r="Z450" s="6">
        <v>678.03265399999998</v>
      </c>
      <c r="AA450" s="4">
        <v>3.0000000000000001E-3</v>
      </c>
      <c r="AC450" s="4" t="s">
        <v>290</v>
      </c>
      <c r="AD450" s="4">
        <v>0.9</v>
      </c>
      <c r="AE450" s="4">
        <v>0.5</v>
      </c>
      <c r="AF450" s="4">
        <v>0.6</v>
      </c>
      <c r="AG450" s="4">
        <v>0.3</v>
      </c>
      <c r="AH450" s="4">
        <v>724.55358899999999</v>
      </c>
      <c r="AI450" s="4">
        <v>3.0000000000000001E-3</v>
      </c>
      <c r="AJ450" s="5"/>
      <c r="AK450" s="5"/>
      <c r="AL450" s="5"/>
      <c r="AM450" s="5"/>
      <c r="AO450" s="4" t="s">
        <v>291</v>
      </c>
      <c r="AP450" s="4">
        <v>0.9</v>
      </c>
      <c r="AQ450" s="4">
        <v>0.5</v>
      </c>
      <c r="AR450" s="4">
        <v>0.6</v>
      </c>
      <c r="AS450" s="4">
        <v>0.3</v>
      </c>
      <c r="AT450" s="6">
        <v>1031.612427</v>
      </c>
      <c r="AU450" s="4">
        <v>8.0000000000000002E-3</v>
      </c>
      <c r="AW450" s="4" t="s">
        <v>291</v>
      </c>
      <c r="AX450" s="4">
        <v>0.9</v>
      </c>
      <c r="AY450" s="4">
        <v>0.5</v>
      </c>
      <c r="AZ450" s="4">
        <v>0.6</v>
      </c>
      <c r="BA450" s="4">
        <v>0.3</v>
      </c>
      <c r="BB450" s="4">
        <v>1086.064453</v>
      </c>
      <c r="BC450" s="4">
        <v>8.9999999999999993E-3</v>
      </c>
      <c r="BD450" s="5"/>
      <c r="BE450" s="5"/>
      <c r="BF450" s="5"/>
      <c r="BG450" s="5"/>
      <c r="BI450" s="4" t="s">
        <v>291</v>
      </c>
      <c r="BJ450" s="4">
        <v>0.9</v>
      </c>
      <c r="BK450" s="4">
        <v>0.5</v>
      </c>
      <c r="BL450" s="4">
        <v>0.6</v>
      </c>
      <c r="BM450" s="4">
        <v>0.3</v>
      </c>
      <c r="BN450" s="6">
        <v>1010.8967290000001</v>
      </c>
      <c r="BO450" s="4">
        <v>8.0000000000000002E-3</v>
      </c>
      <c r="BQ450" s="4" t="s">
        <v>291</v>
      </c>
      <c r="BR450" s="4">
        <v>0.9</v>
      </c>
      <c r="BS450" s="4">
        <v>0.5</v>
      </c>
      <c r="BT450" s="4">
        <v>0.6</v>
      </c>
      <c r="BU450" s="4">
        <v>0.33</v>
      </c>
      <c r="BV450" s="4">
        <v>1018.702393</v>
      </c>
      <c r="BW450" s="4">
        <v>1.2999999999999999E-2</v>
      </c>
      <c r="BX450" s="5"/>
      <c r="BY450" s="5"/>
      <c r="BZ450" s="5"/>
      <c r="CA450" s="5"/>
    </row>
    <row r="451" spans="1:79" x14ac:dyDescent="0.3">
      <c r="A451" s="4" t="s">
        <v>292</v>
      </c>
      <c r="B451" s="4">
        <v>0.9</v>
      </c>
      <c r="C451" s="4">
        <v>0.5</v>
      </c>
      <c r="D451" s="4">
        <v>0.6</v>
      </c>
      <c r="E451" s="4">
        <v>0.3</v>
      </c>
      <c r="F451" s="6">
        <v>768.80255099999999</v>
      </c>
      <c r="G451" s="4">
        <v>3.0000000000000001E-3</v>
      </c>
      <c r="I451" s="4" t="s">
        <v>292</v>
      </c>
      <c r="J451" s="4">
        <v>0.9</v>
      </c>
      <c r="K451" s="4">
        <v>0.5</v>
      </c>
      <c r="L451" s="4">
        <v>0.6</v>
      </c>
      <c r="M451" s="4">
        <v>0.31</v>
      </c>
      <c r="N451" s="4">
        <v>788.55554199999995</v>
      </c>
      <c r="O451" s="4">
        <v>3.0000000000000001E-3</v>
      </c>
      <c r="P451" s="5"/>
      <c r="Q451" s="5"/>
      <c r="R451" s="5"/>
      <c r="S451" s="5"/>
      <c r="U451" s="4" t="s">
        <v>292</v>
      </c>
      <c r="V451" s="4">
        <v>0.9</v>
      </c>
      <c r="W451" s="4">
        <v>0.5</v>
      </c>
      <c r="X451" s="4">
        <v>0.6</v>
      </c>
      <c r="Y451" s="4">
        <v>0.3</v>
      </c>
      <c r="Z451" s="6">
        <v>716.13555899999994</v>
      </c>
      <c r="AA451" s="4">
        <v>4.0000000000000001E-3</v>
      </c>
      <c r="AC451" s="4" t="s">
        <v>292</v>
      </c>
      <c r="AD451" s="4">
        <v>0.9</v>
      </c>
      <c r="AE451" s="4">
        <v>0.5</v>
      </c>
      <c r="AF451" s="4">
        <v>0.6</v>
      </c>
      <c r="AG451" s="4">
        <v>0.33</v>
      </c>
      <c r="AH451" s="4">
        <v>756.22851600000001</v>
      </c>
      <c r="AI451" s="4">
        <v>6.0000000000000001E-3</v>
      </c>
      <c r="AJ451" s="5"/>
      <c r="AK451" s="5"/>
      <c r="AL451" s="5"/>
      <c r="AM451" s="5"/>
      <c r="AO451" s="4" t="s">
        <v>293</v>
      </c>
      <c r="AP451" s="4">
        <v>0.9</v>
      </c>
      <c r="AQ451" s="4">
        <v>0.5</v>
      </c>
      <c r="AR451" s="4">
        <v>0.6</v>
      </c>
      <c r="AS451" s="4">
        <v>0.3</v>
      </c>
      <c r="AT451" s="6">
        <v>1084.9381100000001</v>
      </c>
      <c r="AU451" s="4">
        <v>8.9999999999999993E-3</v>
      </c>
      <c r="AW451" s="4" t="s">
        <v>293</v>
      </c>
      <c r="AX451" s="4">
        <v>0.9</v>
      </c>
      <c r="AY451" s="4">
        <v>0.5</v>
      </c>
      <c r="AZ451" s="4">
        <v>0.6</v>
      </c>
      <c r="BA451" s="4">
        <v>0.31</v>
      </c>
      <c r="BB451" s="4">
        <v>1133.8759769999999</v>
      </c>
      <c r="BC451" s="4">
        <v>1.0999999999999999E-2</v>
      </c>
      <c r="BD451" s="5"/>
      <c r="BE451" s="5"/>
      <c r="BF451" s="5"/>
      <c r="BG451" s="5"/>
      <c r="BI451" s="4" t="s">
        <v>293</v>
      </c>
      <c r="BJ451" s="4">
        <v>0.9</v>
      </c>
      <c r="BK451" s="4">
        <v>0.5</v>
      </c>
      <c r="BL451" s="4">
        <v>0.6</v>
      </c>
      <c r="BM451" s="4">
        <v>0.3</v>
      </c>
      <c r="BN451" s="6">
        <v>1077.2680660000001</v>
      </c>
      <c r="BO451" s="4">
        <v>0.01</v>
      </c>
      <c r="BQ451" s="4" t="s">
        <v>293</v>
      </c>
      <c r="BR451" s="4">
        <v>0.9</v>
      </c>
      <c r="BS451" s="4">
        <v>0.5</v>
      </c>
      <c r="BT451" s="4">
        <v>0.6</v>
      </c>
      <c r="BU451" s="4">
        <v>0.31</v>
      </c>
      <c r="BV451" s="4">
        <v>1115.4436040000001</v>
      </c>
      <c r="BW451" s="4">
        <v>1.0999999999999999E-2</v>
      </c>
      <c r="BX451" s="5"/>
      <c r="BY451" s="5"/>
      <c r="BZ451" s="5"/>
      <c r="CA451" s="5"/>
    </row>
    <row r="452" spans="1:79" x14ac:dyDescent="0.3">
      <c r="A452" s="4" t="s">
        <v>294</v>
      </c>
      <c r="B452" s="4">
        <v>0.9</v>
      </c>
      <c r="C452" s="4">
        <v>0.5</v>
      </c>
      <c r="D452" s="4">
        <v>0.6</v>
      </c>
      <c r="E452" s="4">
        <v>0.3</v>
      </c>
      <c r="F452" s="6">
        <v>899.08355700000004</v>
      </c>
      <c r="G452" s="4">
        <v>3.0000000000000001E-3</v>
      </c>
      <c r="I452" s="4" t="s">
        <v>294</v>
      </c>
      <c r="J452" s="4">
        <v>0.9</v>
      </c>
      <c r="K452" s="4">
        <v>0.5</v>
      </c>
      <c r="L452" s="4">
        <v>0.6</v>
      </c>
      <c r="M452" s="4">
        <v>0.31</v>
      </c>
      <c r="N452" s="4">
        <v>941.94207800000004</v>
      </c>
      <c r="O452" s="4">
        <v>4.0000000000000001E-3</v>
      </c>
      <c r="P452" s="5"/>
      <c r="Q452" s="5"/>
      <c r="R452" s="5"/>
      <c r="S452" s="5"/>
      <c r="U452" s="4" t="s">
        <v>294</v>
      </c>
      <c r="V452" s="4">
        <v>0.9</v>
      </c>
      <c r="W452" s="4">
        <v>0.5</v>
      </c>
      <c r="X452" s="4">
        <v>0.6</v>
      </c>
      <c r="Y452" s="4">
        <v>0.3</v>
      </c>
      <c r="Z452" s="4">
        <v>901.90832499999999</v>
      </c>
      <c r="AA452" s="4">
        <v>3.0000000000000001E-3</v>
      </c>
      <c r="AC452" s="4" t="s">
        <v>294</v>
      </c>
      <c r="AD452" s="4">
        <v>0.9</v>
      </c>
      <c r="AE452" s="4">
        <v>0.5</v>
      </c>
      <c r="AF452" s="4">
        <v>0.6</v>
      </c>
      <c r="AG452" s="4">
        <v>0.34</v>
      </c>
      <c r="AH452" s="6">
        <v>889.37524399999995</v>
      </c>
      <c r="AI452" s="4">
        <v>8.0000000000000002E-3</v>
      </c>
      <c r="AJ452" s="5"/>
      <c r="AK452" s="5"/>
      <c r="AL452" s="5"/>
      <c r="AM452" s="5"/>
      <c r="AO452" s="4" t="s">
        <v>295</v>
      </c>
      <c r="AP452" s="4">
        <v>0.9</v>
      </c>
      <c r="AQ452" s="4">
        <v>0.5</v>
      </c>
      <c r="AR452" s="4">
        <v>0.6</v>
      </c>
      <c r="AS452" s="4">
        <v>0.3</v>
      </c>
      <c r="AT452" s="6">
        <v>1158.315918</v>
      </c>
      <c r="AU452" s="4">
        <v>0.01</v>
      </c>
      <c r="AW452" s="4" t="s">
        <v>295</v>
      </c>
      <c r="AX452" s="4">
        <v>0.9</v>
      </c>
      <c r="AY452" s="4">
        <v>0.5</v>
      </c>
      <c r="AZ452" s="4">
        <v>0.6</v>
      </c>
      <c r="BA452" s="4">
        <v>0.31</v>
      </c>
      <c r="BB452" s="4">
        <v>1234.1866460000001</v>
      </c>
      <c r="BC452" s="4">
        <v>1.0999999999999999E-2</v>
      </c>
      <c r="BD452" s="5"/>
      <c r="BE452" s="5"/>
      <c r="BF452" s="5"/>
      <c r="BG452" s="5"/>
      <c r="BI452" s="4" t="s">
        <v>295</v>
      </c>
      <c r="BJ452" s="4">
        <v>0.9</v>
      </c>
      <c r="BK452" s="4">
        <v>0.5</v>
      </c>
      <c r="BL452" s="4">
        <v>0.6</v>
      </c>
      <c r="BM452" s="4">
        <v>0.3</v>
      </c>
      <c r="BN452" s="6">
        <v>1157.179077</v>
      </c>
      <c r="BO452" s="4">
        <v>1.4E-2</v>
      </c>
      <c r="BQ452" s="4" t="s">
        <v>295</v>
      </c>
      <c r="BR452" s="4">
        <v>0.9</v>
      </c>
      <c r="BS452" s="4">
        <v>0.5</v>
      </c>
      <c r="BT452" s="4">
        <v>0.6</v>
      </c>
      <c r="BU452" s="4">
        <v>0.3</v>
      </c>
      <c r="BV452" s="4">
        <v>1207.9178469999999</v>
      </c>
      <c r="BW452" s="4">
        <v>1.0999999999999999E-2</v>
      </c>
      <c r="BX452" s="5"/>
      <c r="BY452" s="5"/>
      <c r="BZ452" s="5"/>
      <c r="CA452" s="5"/>
    </row>
    <row r="453" spans="1:79" x14ac:dyDescent="0.3">
      <c r="A453" s="4" t="s">
        <v>296</v>
      </c>
      <c r="B453" s="4">
        <v>0.9</v>
      </c>
      <c r="C453" s="4">
        <v>0.5</v>
      </c>
      <c r="D453" s="4">
        <v>0.6</v>
      </c>
      <c r="E453" s="4">
        <v>0.3</v>
      </c>
      <c r="F453" s="6">
        <v>908.45929000000001</v>
      </c>
      <c r="G453" s="4">
        <v>3.0000000000000001E-3</v>
      </c>
      <c r="I453" s="4" t="s">
        <v>296</v>
      </c>
      <c r="J453" s="4">
        <v>0.9</v>
      </c>
      <c r="K453" s="4">
        <v>0.5</v>
      </c>
      <c r="L453" s="4">
        <v>0.6</v>
      </c>
      <c r="M453" s="4">
        <v>0.3</v>
      </c>
      <c r="N453" s="4">
        <v>914.62988299999995</v>
      </c>
      <c r="O453" s="4">
        <v>4.0000000000000001E-3</v>
      </c>
      <c r="P453" s="5"/>
      <c r="Q453" s="5"/>
      <c r="R453" s="5"/>
      <c r="S453" s="5"/>
      <c r="U453" s="4" t="s">
        <v>296</v>
      </c>
      <c r="V453" s="4">
        <v>0.9</v>
      </c>
      <c r="W453" s="4">
        <v>0.5</v>
      </c>
      <c r="X453" s="4">
        <v>0.6</v>
      </c>
      <c r="Y453" s="4">
        <v>0.3</v>
      </c>
      <c r="Z453" s="6">
        <v>873.49133300000005</v>
      </c>
      <c r="AA453" s="4">
        <v>3.0000000000000001E-3</v>
      </c>
      <c r="AC453" s="4" t="s">
        <v>296</v>
      </c>
      <c r="AD453" s="4">
        <v>0.9</v>
      </c>
      <c r="AE453" s="4">
        <v>0.5</v>
      </c>
      <c r="AF453" s="4">
        <v>0.6</v>
      </c>
      <c r="AG453" s="4">
        <v>0.4</v>
      </c>
      <c r="AH453" s="4">
        <v>883.94293200000004</v>
      </c>
      <c r="AI453" s="4">
        <v>6.0000000000000001E-3</v>
      </c>
      <c r="AJ453" s="5"/>
      <c r="AK453" s="5"/>
      <c r="AL453" s="5"/>
      <c r="AM453" s="5"/>
      <c r="AO453" s="4" t="s">
        <v>297</v>
      </c>
      <c r="AP453" s="4">
        <v>0.9</v>
      </c>
      <c r="AQ453" s="4">
        <v>0.5</v>
      </c>
      <c r="AR453" s="4">
        <v>0.6</v>
      </c>
      <c r="AS453" s="4">
        <v>0.3</v>
      </c>
      <c r="AT453" s="6">
        <v>1145.6191409999999</v>
      </c>
      <c r="AU453" s="4">
        <v>0.01</v>
      </c>
      <c r="AW453" s="4" t="s">
        <v>297</v>
      </c>
      <c r="AX453" s="4">
        <v>0.9</v>
      </c>
      <c r="AY453" s="4">
        <v>0.5</v>
      </c>
      <c r="AZ453" s="4">
        <v>0.6</v>
      </c>
      <c r="BA453" s="4">
        <v>0.3</v>
      </c>
      <c r="BB453" s="4">
        <v>1162.0289310000001</v>
      </c>
      <c r="BC453" s="4">
        <v>1.9E-2</v>
      </c>
      <c r="BD453" s="5"/>
      <c r="BE453" s="5"/>
      <c r="BF453" s="5"/>
      <c r="BG453" s="5"/>
      <c r="BI453" s="4" t="s">
        <v>297</v>
      </c>
      <c r="BJ453" s="4">
        <v>0.9</v>
      </c>
      <c r="BK453" s="4">
        <v>0.5</v>
      </c>
      <c r="BL453" s="4">
        <v>0.6</v>
      </c>
      <c r="BM453" s="4">
        <v>0.3</v>
      </c>
      <c r="BN453" s="6">
        <v>1113.9879149999999</v>
      </c>
      <c r="BO453" s="4">
        <v>1.0999999999999999E-2</v>
      </c>
      <c r="BQ453" s="4" t="s">
        <v>297</v>
      </c>
      <c r="BR453" s="4">
        <v>0.9</v>
      </c>
      <c r="BS453" s="4">
        <v>0.5</v>
      </c>
      <c r="BT453" s="4">
        <v>0.6</v>
      </c>
      <c r="BU453" s="4">
        <v>0.31</v>
      </c>
      <c r="BV453" s="4">
        <v>1132.02478</v>
      </c>
      <c r="BW453" s="4">
        <v>1.2E-2</v>
      </c>
      <c r="BX453" s="5"/>
      <c r="BY453" s="5"/>
      <c r="BZ453" s="5"/>
      <c r="CA453" s="5"/>
    </row>
    <row r="454" spans="1:79" x14ac:dyDescent="0.3">
      <c r="A454" s="4" t="s">
        <v>298</v>
      </c>
      <c r="B454" s="4">
        <v>0.9</v>
      </c>
      <c r="C454" s="4">
        <v>0.5</v>
      </c>
      <c r="D454" s="4">
        <v>0.6</v>
      </c>
      <c r="E454" s="4">
        <v>0.3</v>
      </c>
      <c r="F454" s="6">
        <v>756.75805700000001</v>
      </c>
      <c r="G454" s="4">
        <v>3.0000000000000001E-3</v>
      </c>
      <c r="I454" s="4" t="s">
        <v>298</v>
      </c>
      <c r="J454" s="4">
        <v>0.9</v>
      </c>
      <c r="K454" s="4">
        <v>0.5</v>
      </c>
      <c r="L454" s="4">
        <v>0.6</v>
      </c>
      <c r="M454" s="4">
        <v>0.34</v>
      </c>
      <c r="N454" s="4">
        <v>776.42480499999999</v>
      </c>
      <c r="O454" s="4">
        <v>3.0000000000000001E-3</v>
      </c>
      <c r="P454" s="5"/>
      <c r="Q454" s="5"/>
      <c r="R454" s="5"/>
      <c r="S454" s="5"/>
      <c r="U454" s="4" t="s">
        <v>298</v>
      </c>
      <c r="V454" s="4">
        <v>0.9</v>
      </c>
      <c r="W454" s="4">
        <v>0.5</v>
      </c>
      <c r="X454" s="4">
        <v>0.6</v>
      </c>
      <c r="Y454" s="4">
        <v>0.3</v>
      </c>
      <c r="Z454" s="6">
        <v>732.67370600000004</v>
      </c>
      <c r="AA454" s="4">
        <v>4.0000000000000001E-3</v>
      </c>
      <c r="AC454" s="4" t="s">
        <v>298</v>
      </c>
      <c r="AD454" s="4">
        <v>0.9</v>
      </c>
      <c r="AE454" s="4">
        <v>0.5</v>
      </c>
      <c r="AF454" s="4">
        <v>0.6</v>
      </c>
      <c r="AG454" s="4">
        <v>0.3</v>
      </c>
      <c r="AH454" s="4">
        <v>762.967896</v>
      </c>
      <c r="AI454" s="4">
        <v>6.0000000000000001E-3</v>
      </c>
      <c r="AJ454" s="5"/>
      <c r="AK454" s="5"/>
      <c r="AL454" s="5"/>
      <c r="AM454" s="5"/>
      <c r="AO454" s="4" t="s">
        <v>299</v>
      </c>
      <c r="AP454" s="4">
        <v>0.9</v>
      </c>
      <c r="AQ454" s="4">
        <v>0.5</v>
      </c>
      <c r="AR454" s="4">
        <v>0.6</v>
      </c>
      <c r="AS454" s="4">
        <v>0.3</v>
      </c>
      <c r="AT454" s="6">
        <v>1152.8292240000001</v>
      </c>
      <c r="AU454" s="4">
        <v>0.01</v>
      </c>
      <c r="AW454" s="4" t="s">
        <v>299</v>
      </c>
      <c r="AX454" s="4">
        <v>0.9</v>
      </c>
      <c r="AY454" s="4">
        <v>0.5</v>
      </c>
      <c r="AZ454" s="4">
        <v>0.6</v>
      </c>
      <c r="BA454" s="4">
        <v>0.31</v>
      </c>
      <c r="BB454" s="4">
        <v>1209.7729489999999</v>
      </c>
      <c r="BC454" s="4">
        <v>1.2E-2</v>
      </c>
      <c r="BD454" s="5"/>
      <c r="BE454" s="5"/>
      <c r="BF454" s="5"/>
      <c r="BG454" s="5"/>
      <c r="BI454" s="4" t="s">
        <v>299</v>
      </c>
      <c r="BJ454" s="4">
        <v>0.9</v>
      </c>
      <c r="BK454" s="4">
        <v>0.5</v>
      </c>
      <c r="BL454" s="4">
        <v>0.6</v>
      </c>
      <c r="BM454" s="4">
        <v>0.3</v>
      </c>
      <c r="BN454" s="6">
        <v>1140.228638</v>
      </c>
      <c r="BO454" s="4">
        <v>1.0999999999999999E-2</v>
      </c>
      <c r="BQ454" s="4" t="s">
        <v>299</v>
      </c>
      <c r="BR454" s="4">
        <v>0.9</v>
      </c>
      <c r="BS454" s="4">
        <v>0.5</v>
      </c>
      <c r="BT454" s="4">
        <v>0.6</v>
      </c>
      <c r="BU454" s="4">
        <v>0.31</v>
      </c>
      <c r="BV454" s="4">
        <v>1157.506592</v>
      </c>
      <c r="BW454" s="4">
        <v>1.7000000000000001E-2</v>
      </c>
      <c r="BX454" s="5"/>
      <c r="BY454" s="5"/>
      <c r="BZ454" s="5"/>
      <c r="CA454" s="5"/>
    </row>
    <row r="455" spans="1:79" x14ac:dyDescent="0.3">
      <c r="A455" s="4" t="s">
        <v>300</v>
      </c>
      <c r="B455" s="4">
        <v>0.9</v>
      </c>
      <c r="C455" s="4">
        <v>0.5</v>
      </c>
      <c r="D455" s="4">
        <v>0.6</v>
      </c>
      <c r="E455" s="4">
        <v>0.3</v>
      </c>
      <c r="F455" s="4">
        <v>830.800659</v>
      </c>
      <c r="G455" s="4">
        <v>3.0000000000000001E-3</v>
      </c>
      <c r="I455" s="4" t="s">
        <v>300</v>
      </c>
      <c r="J455" s="4">
        <v>0.9</v>
      </c>
      <c r="K455" s="4">
        <v>0.5</v>
      </c>
      <c r="L455" s="4">
        <v>0.6</v>
      </c>
      <c r="M455" s="4">
        <v>0.3</v>
      </c>
      <c r="N455" s="6">
        <v>822.65850799999998</v>
      </c>
      <c r="O455" s="4">
        <v>4.0000000000000001E-3</v>
      </c>
      <c r="P455" s="5"/>
      <c r="Q455" s="5"/>
      <c r="R455" s="5"/>
      <c r="S455" s="5"/>
      <c r="U455" s="4" t="s">
        <v>300</v>
      </c>
      <c r="V455" s="4">
        <v>0.9</v>
      </c>
      <c r="W455" s="4">
        <v>0.5</v>
      </c>
      <c r="X455" s="4">
        <v>0.6</v>
      </c>
      <c r="Y455" s="4">
        <v>0.3</v>
      </c>
      <c r="Z455" s="6">
        <v>810.80395499999997</v>
      </c>
      <c r="AA455" s="4">
        <v>3.0000000000000001E-3</v>
      </c>
      <c r="AC455" s="4" t="s">
        <v>300</v>
      </c>
      <c r="AD455" s="4">
        <v>0.9</v>
      </c>
      <c r="AE455" s="4">
        <v>0.5</v>
      </c>
      <c r="AF455" s="4">
        <v>0.6</v>
      </c>
      <c r="AG455" s="4">
        <v>0.3</v>
      </c>
      <c r="AH455" s="4">
        <v>816.18353300000001</v>
      </c>
      <c r="AI455" s="4">
        <v>4.0000000000000001E-3</v>
      </c>
      <c r="AJ455" s="5"/>
      <c r="AK455" s="5"/>
      <c r="AL455" s="5"/>
      <c r="AM455" s="5"/>
      <c r="AO455" s="4" t="s">
        <v>301</v>
      </c>
      <c r="AP455" s="4">
        <v>0.9</v>
      </c>
      <c r="AQ455" s="4">
        <v>0.5</v>
      </c>
      <c r="AR455" s="4">
        <v>0.6</v>
      </c>
      <c r="AS455" s="4">
        <v>0.3</v>
      </c>
      <c r="AT455" s="6">
        <v>1150.8237300000001</v>
      </c>
      <c r="AU455" s="4">
        <v>0.01</v>
      </c>
      <c r="AW455" s="4" t="s">
        <v>301</v>
      </c>
      <c r="AX455" s="4">
        <v>0.9</v>
      </c>
      <c r="AY455" s="4">
        <v>0.5</v>
      </c>
      <c r="AZ455" s="4">
        <v>0.6</v>
      </c>
      <c r="BA455" s="4">
        <v>0.31</v>
      </c>
      <c r="BB455" s="4">
        <v>1180.2524410000001</v>
      </c>
      <c r="BC455" s="4">
        <v>1.4E-2</v>
      </c>
      <c r="BD455" s="5"/>
      <c r="BE455" s="5"/>
      <c r="BF455" s="5"/>
      <c r="BG455" s="5"/>
      <c r="BI455" s="4" t="s">
        <v>301</v>
      </c>
      <c r="BJ455" s="4">
        <v>0.9</v>
      </c>
      <c r="BK455" s="4">
        <v>0.5</v>
      </c>
      <c r="BL455" s="4">
        <v>0.6</v>
      </c>
      <c r="BM455" s="4">
        <v>0.3</v>
      </c>
      <c r="BN455" s="6">
        <v>1129.999268</v>
      </c>
      <c r="BO455" s="4">
        <v>0.01</v>
      </c>
      <c r="BQ455" s="4" t="s">
        <v>301</v>
      </c>
      <c r="BR455" s="4">
        <v>0.9</v>
      </c>
      <c r="BS455" s="4">
        <v>0.5</v>
      </c>
      <c r="BT455" s="4">
        <v>0.6</v>
      </c>
      <c r="BU455" s="4">
        <v>0.41</v>
      </c>
      <c r="BV455" s="4">
        <v>1155.839111</v>
      </c>
      <c r="BW455" s="4">
        <v>1.2E-2</v>
      </c>
      <c r="BX455" s="5"/>
      <c r="BY455" s="5"/>
      <c r="BZ455" s="5"/>
      <c r="CA455" s="5"/>
    </row>
    <row r="456" spans="1:79" x14ac:dyDescent="0.3">
      <c r="A456" s="4" t="s">
        <v>302</v>
      </c>
      <c r="B456" s="4">
        <v>0.9</v>
      </c>
      <c r="C456" s="4">
        <v>0.5</v>
      </c>
      <c r="D456" s="4">
        <v>0.6</v>
      </c>
      <c r="E456" s="4">
        <v>0.3</v>
      </c>
      <c r="F456" s="4">
        <v>776.28753700000004</v>
      </c>
      <c r="G456" s="4">
        <v>3.0000000000000001E-3</v>
      </c>
      <c r="I456" s="4" t="s">
        <v>302</v>
      </c>
      <c r="J456" s="4">
        <v>0.9</v>
      </c>
      <c r="K456" s="4">
        <v>0.5</v>
      </c>
      <c r="L456" s="4">
        <v>0.6</v>
      </c>
      <c r="M456" s="4">
        <v>0.32</v>
      </c>
      <c r="N456" s="6">
        <v>774.51800500000002</v>
      </c>
      <c r="O456" s="4">
        <v>3.0000000000000001E-3</v>
      </c>
      <c r="P456" s="5"/>
      <c r="Q456" s="5"/>
      <c r="R456" s="5"/>
      <c r="S456" s="5"/>
      <c r="U456" s="4" t="s">
        <v>302</v>
      </c>
      <c r="V456" s="4">
        <v>0.9</v>
      </c>
      <c r="W456" s="4">
        <v>0.5</v>
      </c>
      <c r="X456" s="4">
        <v>0.6</v>
      </c>
      <c r="Y456" s="4">
        <v>0.3</v>
      </c>
      <c r="Z456" s="6">
        <v>759.16583300000002</v>
      </c>
      <c r="AA456" s="4">
        <v>3.0000000000000001E-3</v>
      </c>
      <c r="AC456" s="4" t="s">
        <v>302</v>
      </c>
      <c r="AD456" s="4">
        <v>0.9</v>
      </c>
      <c r="AE456" s="4">
        <v>0.5</v>
      </c>
      <c r="AF456" s="4">
        <v>0.6</v>
      </c>
      <c r="AG456" s="4">
        <v>0.3</v>
      </c>
      <c r="AH456" s="4">
        <v>822.40704300000004</v>
      </c>
      <c r="AI456" s="4">
        <v>4.0000000000000001E-3</v>
      </c>
      <c r="AJ456" s="5"/>
      <c r="AK456" s="5"/>
      <c r="AL456" s="5"/>
      <c r="AM456" s="5"/>
      <c r="AO456" s="4" t="s">
        <v>303</v>
      </c>
      <c r="AP456" s="4">
        <v>0.9</v>
      </c>
      <c r="AQ456" s="4">
        <v>0.5</v>
      </c>
      <c r="AR456" s="4">
        <v>0.6</v>
      </c>
      <c r="AS456" s="4">
        <v>0.3</v>
      </c>
      <c r="AT456" s="6">
        <v>1112.4289550000001</v>
      </c>
      <c r="AU456" s="4">
        <v>0.01</v>
      </c>
      <c r="AW456" s="4" t="s">
        <v>303</v>
      </c>
      <c r="AX456" s="4">
        <v>0.9</v>
      </c>
      <c r="AY456" s="4">
        <v>0.5</v>
      </c>
      <c r="AZ456" s="4">
        <v>0.6</v>
      </c>
      <c r="BA456" s="4">
        <v>0.3</v>
      </c>
      <c r="BB456" s="4">
        <v>1147.559082</v>
      </c>
      <c r="BC456" s="4">
        <v>1.4E-2</v>
      </c>
      <c r="BD456" s="5"/>
      <c r="BE456" s="5"/>
      <c r="BF456" s="5"/>
      <c r="BG456" s="5"/>
      <c r="BI456" s="4" t="s">
        <v>303</v>
      </c>
      <c r="BJ456" s="4">
        <v>0.9</v>
      </c>
      <c r="BK456" s="4">
        <v>0.5</v>
      </c>
      <c r="BL456" s="4">
        <v>0.6</v>
      </c>
      <c r="BM456" s="4">
        <v>0.3</v>
      </c>
      <c r="BN456" s="6">
        <v>1100.8920900000001</v>
      </c>
      <c r="BO456" s="4">
        <v>0.01</v>
      </c>
      <c r="BQ456" s="4" t="s">
        <v>303</v>
      </c>
      <c r="BR456" s="4">
        <v>0.9</v>
      </c>
      <c r="BS456" s="4">
        <v>0.5</v>
      </c>
      <c r="BT456" s="4">
        <v>0.6</v>
      </c>
      <c r="BU456" s="4">
        <v>0.32</v>
      </c>
      <c r="BV456" s="4">
        <v>1111.9857179999999</v>
      </c>
      <c r="BW456" s="4">
        <v>1.4999999999999999E-2</v>
      </c>
      <c r="BX456" s="5"/>
      <c r="BY456" s="5"/>
      <c r="BZ456" s="5"/>
      <c r="CA456" s="5"/>
    </row>
    <row r="457" spans="1:79" x14ac:dyDescent="0.3">
      <c r="A457" s="4" t="s">
        <v>304</v>
      </c>
      <c r="B457" s="4">
        <v>0.9</v>
      </c>
      <c r="C457" s="4">
        <v>0.5</v>
      </c>
      <c r="D457" s="4">
        <v>0.6</v>
      </c>
      <c r="E457" s="4">
        <v>0.3</v>
      </c>
      <c r="F457" s="6">
        <v>890.46331799999996</v>
      </c>
      <c r="G457" s="4">
        <v>4.0000000000000001E-3</v>
      </c>
      <c r="I457" s="4" t="s">
        <v>304</v>
      </c>
      <c r="J457" s="4">
        <v>0.9</v>
      </c>
      <c r="K457" s="4">
        <v>0.5</v>
      </c>
      <c r="L457" s="4">
        <v>0.6</v>
      </c>
      <c r="M457" s="4">
        <v>0.3</v>
      </c>
      <c r="N457" s="4">
        <v>932.87658699999997</v>
      </c>
      <c r="O457" s="4">
        <v>4.0000000000000001E-3</v>
      </c>
      <c r="P457" s="5"/>
      <c r="Q457" s="5"/>
      <c r="R457" s="5"/>
      <c r="S457" s="5"/>
      <c r="U457" s="4" t="s">
        <v>304</v>
      </c>
      <c r="V457" s="4">
        <v>0.9</v>
      </c>
      <c r="W457" s="4">
        <v>0.5</v>
      </c>
      <c r="X457" s="4">
        <v>0.6</v>
      </c>
      <c r="Y457" s="4">
        <v>0.3</v>
      </c>
      <c r="Z457" s="6">
        <v>887.97289999999998</v>
      </c>
      <c r="AA457" s="4">
        <v>4.0000000000000001E-3</v>
      </c>
      <c r="AC457" s="4" t="s">
        <v>304</v>
      </c>
      <c r="AD457" s="4">
        <v>0.9</v>
      </c>
      <c r="AE457" s="4">
        <v>0.5</v>
      </c>
      <c r="AF457" s="4">
        <v>0.6</v>
      </c>
      <c r="AG457" s="4">
        <v>0.31</v>
      </c>
      <c r="AH457" s="4">
        <v>918.285706</v>
      </c>
      <c r="AI457" s="4">
        <v>5.0000000000000001E-3</v>
      </c>
      <c r="AJ457" s="5"/>
      <c r="AK457" s="5"/>
      <c r="AL457" s="5"/>
      <c r="AM457" s="5"/>
      <c r="AO457" s="4" t="s">
        <v>305</v>
      </c>
      <c r="AP457" s="4">
        <v>0.9</v>
      </c>
      <c r="AQ457" s="4">
        <v>0.5</v>
      </c>
      <c r="AR457" s="4">
        <v>0.6</v>
      </c>
      <c r="AS457" s="4">
        <v>0.3</v>
      </c>
      <c r="AT457" s="4">
        <v>1176.265625</v>
      </c>
      <c r="AU457" s="4">
        <v>1.2E-2</v>
      </c>
      <c r="AW457" s="4" t="s">
        <v>305</v>
      </c>
      <c r="AX457" s="4">
        <v>0.9</v>
      </c>
      <c r="AY457" s="4">
        <v>0.5</v>
      </c>
      <c r="AZ457" s="4">
        <v>0.6</v>
      </c>
      <c r="BA457" s="4">
        <v>0.31</v>
      </c>
      <c r="BB457" s="6">
        <v>1173.3295900000001</v>
      </c>
      <c r="BC457" s="4">
        <v>0.02</v>
      </c>
      <c r="BD457" s="5"/>
      <c r="BE457" s="5"/>
      <c r="BF457" s="5"/>
      <c r="BG457" s="5"/>
      <c r="BI457" s="4" t="s">
        <v>305</v>
      </c>
      <c r="BJ457" s="4">
        <v>0.9</v>
      </c>
      <c r="BK457" s="4">
        <v>0.5</v>
      </c>
      <c r="BL457" s="4">
        <v>0.6</v>
      </c>
      <c r="BM457" s="4">
        <v>0.3</v>
      </c>
      <c r="BN457" s="6">
        <v>1155.4279790000001</v>
      </c>
      <c r="BO457" s="4">
        <v>1.0999999999999999E-2</v>
      </c>
      <c r="BQ457" s="4" t="s">
        <v>305</v>
      </c>
      <c r="BR457" s="4">
        <v>0.9</v>
      </c>
      <c r="BS457" s="4">
        <v>0.5</v>
      </c>
      <c r="BT457" s="4">
        <v>0.6</v>
      </c>
      <c r="BU457" s="4">
        <v>0.31</v>
      </c>
      <c r="BV457" s="4">
        <v>1180.694092</v>
      </c>
      <c r="BW457" s="4">
        <v>1.2E-2</v>
      </c>
      <c r="BX457" s="5"/>
      <c r="BY457" s="5"/>
      <c r="BZ457" s="5"/>
      <c r="CA457" s="5"/>
    </row>
    <row r="458" spans="1:79" x14ac:dyDescent="0.3">
      <c r="A458" s="4" t="s">
        <v>306</v>
      </c>
      <c r="B458" s="4">
        <v>0.9</v>
      </c>
      <c r="C458" s="4">
        <v>0.5</v>
      </c>
      <c r="D458" s="4">
        <v>0.6</v>
      </c>
      <c r="E458" s="4">
        <v>0.3</v>
      </c>
      <c r="F458" s="6">
        <v>923.43670699999996</v>
      </c>
      <c r="G458" s="4">
        <v>4.0000000000000001E-3</v>
      </c>
      <c r="I458" s="4" t="s">
        <v>306</v>
      </c>
      <c r="J458" s="4">
        <v>0.9</v>
      </c>
      <c r="K458" s="4">
        <v>0.5</v>
      </c>
      <c r="L458" s="4">
        <v>0.6</v>
      </c>
      <c r="M458" s="4">
        <v>0.36</v>
      </c>
      <c r="N458" s="4">
        <v>954.70245399999999</v>
      </c>
      <c r="O458" s="4">
        <v>4.0000000000000001E-3</v>
      </c>
      <c r="P458" s="5"/>
      <c r="Q458" s="5"/>
      <c r="R458" s="5"/>
      <c r="S458" s="5"/>
      <c r="U458" s="4" t="s">
        <v>306</v>
      </c>
      <c r="V458" s="4">
        <v>0.9</v>
      </c>
      <c r="W458" s="4">
        <v>0.5</v>
      </c>
      <c r="X458" s="4">
        <v>0.6</v>
      </c>
      <c r="Y458" s="4">
        <v>0.3</v>
      </c>
      <c r="Z458" s="6">
        <v>892.57385299999999</v>
      </c>
      <c r="AA458" s="4">
        <v>4.0000000000000001E-3</v>
      </c>
      <c r="AC458" s="4" t="s">
        <v>306</v>
      </c>
      <c r="AD458" s="4">
        <v>0.9</v>
      </c>
      <c r="AE458" s="4">
        <v>0.5</v>
      </c>
      <c r="AF458" s="4">
        <v>0.6</v>
      </c>
      <c r="AG458" s="4">
        <v>0.3</v>
      </c>
      <c r="AH458" s="4">
        <v>925.18499799999995</v>
      </c>
      <c r="AI458" s="4">
        <v>6.0000000000000001E-3</v>
      </c>
      <c r="AJ458" s="5"/>
      <c r="AK458" s="5"/>
      <c r="AL458" s="5"/>
      <c r="AM458" s="5"/>
      <c r="AO458" s="4" t="s">
        <v>307</v>
      </c>
      <c r="AP458" s="4">
        <v>0.9</v>
      </c>
      <c r="AQ458" s="4">
        <v>0.5</v>
      </c>
      <c r="AR458" s="4">
        <v>0.6</v>
      </c>
      <c r="AS458" s="4">
        <v>0.3</v>
      </c>
      <c r="AT458" s="6">
        <v>1111.2813719999999</v>
      </c>
      <c r="AU458" s="4">
        <v>8.9999999999999993E-3</v>
      </c>
      <c r="AW458" s="4" t="s">
        <v>307</v>
      </c>
      <c r="AX458" s="4">
        <v>0.9</v>
      </c>
      <c r="AY458" s="4">
        <v>0.5</v>
      </c>
      <c r="AZ458" s="4">
        <v>0.6</v>
      </c>
      <c r="BA458" s="4">
        <v>0.3</v>
      </c>
      <c r="BB458" s="4">
        <v>1183.7196039999999</v>
      </c>
      <c r="BC458" s="4">
        <v>1.9E-2</v>
      </c>
      <c r="BD458" s="5"/>
      <c r="BE458" s="5"/>
      <c r="BF458" s="5"/>
      <c r="BG458" s="5"/>
      <c r="BI458" s="4" t="s">
        <v>307</v>
      </c>
      <c r="BJ458" s="4">
        <v>0.9</v>
      </c>
      <c r="BK458" s="4">
        <v>0.5</v>
      </c>
      <c r="BL458" s="4">
        <v>0.6</v>
      </c>
      <c r="BM458" s="4">
        <v>0.3</v>
      </c>
      <c r="BN458" s="6">
        <v>1110.2373050000001</v>
      </c>
      <c r="BO458" s="4">
        <v>0.01</v>
      </c>
      <c r="BQ458" s="4" t="s">
        <v>307</v>
      </c>
      <c r="BR458" s="4">
        <v>0.9</v>
      </c>
      <c r="BS458" s="4">
        <v>0.5</v>
      </c>
      <c r="BT458" s="4">
        <v>0.6</v>
      </c>
      <c r="BU458" s="4">
        <v>0.31</v>
      </c>
      <c r="BV458" s="4">
        <v>1158.8789059999999</v>
      </c>
      <c r="BW458" s="4">
        <v>1.2999999999999999E-2</v>
      </c>
      <c r="BX458" s="5"/>
      <c r="BY458" s="5"/>
      <c r="BZ458" s="5"/>
      <c r="CA458" s="5"/>
    </row>
    <row r="459" spans="1:79" x14ac:dyDescent="0.3">
      <c r="A459" s="4" t="s">
        <v>308</v>
      </c>
      <c r="B459" s="4">
        <v>0.9</v>
      </c>
      <c r="C459" s="4">
        <v>0.5</v>
      </c>
      <c r="D459" s="4">
        <v>0.6</v>
      </c>
      <c r="E459" s="4">
        <v>0.3</v>
      </c>
      <c r="F459" s="6">
        <v>931.49578899999995</v>
      </c>
      <c r="G459" s="4">
        <v>4.0000000000000001E-3</v>
      </c>
      <c r="I459" s="4" t="s">
        <v>308</v>
      </c>
      <c r="J459" s="4">
        <v>0.9</v>
      </c>
      <c r="K459" s="4">
        <v>0.5</v>
      </c>
      <c r="L459" s="4">
        <v>0.6</v>
      </c>
      <c r="M459" s="4">
        <v>0.31</v>
      </c>
      <c r="N459" s="4">
        <v>943.503601</v>
      </c>
      <c r="O459" s="4">
        <v>3.0000000000000001E-3</v>
      </c>
      <c r="P459" s="5"/>
      <c r="Q459" s="5"/>
      <c r="R459" s="5"/>
      <c r="S459" s="5"/>
      <c r="U459" s="4" t="s">
        <v>308</v>
      </c>
      <c r="V459" s="4">
        <v>0.9</v>
      </c>
      <c r="W459" s="4">
        <v>0.5</v>
      </c>
      <c r="X459" s="4">
        <v>0.6</v>
      </c>
      <c r="Y459" s="4">
        <v>0.3</v>
      </c>
      <c r="Z459" s="6">
        <v>872.46868900000004</v>
      </c>
      <c r="AA459" s="4">
        <v>3.0000000000000001E-3</v>
      </c>
      <c r="AC459" s="4" t="s">
        <v>308</v>
      </c>
      <c r="AD459" s="4">
        <v>0.9</v>
      </c>
      <c r="AE459" s="4">
        <v>0.5</v>
      </c>
      <c r="AF459" s="4">
        <v>0.6</v>
      </c>
      <c r="AG459" s="4">
        <v>0.44</v>
      </c>
      <c r="AH459" s="4">
        <v>930.16992200000004</v>
      </c>
      <c r="AI459" s="4">
        <v>4.0000000000000001E-3</v>
      </c>
      <c r="AJ459" s="5"/>
      <c r="AK459" s="5"/>
      <c r="AL459" s="5"/>
      <c r="AM459" s="5"/>
      <c r="AO459" s="4" t="s">
        <v>309</v>
      </c>
      <c r="AP459" s="4">
        <v>0.9</v>
      </c>
      <c r="AQ459" s="4">
        <v>0.5</v>
      </c>
      <c r="AR459" s="4">
        <v>0.6</v>
      </c>
      <c r="AS459" s="4">
        <v>0.3</v>
      </c>
      <c r="AT459" s="6">
        <v>1150.1397710000001</v>
      </c>
      <c r="AU459" s="4">
        <v>0.01</v>
      </c>
      <c r="AW459" s="4" t="s">
        <v>309</v>
      </c>
      <c r="AX459" s="4">
        <v>0.9</v>
      </c>
      <c r="AY459" s="4">
        <v>0.5</v>
      </c>
      <c r="AZ459" s="4">
        <v>0.6</v>
      </c>
      <c r="BA459" s="4">
        <v>0.31</v>
      </c>
      <c r="BB459" s="4">
        <v>1180.5083010000001</v>
      </c>
      <c r="BC459" s="4">
        <v>1.2999999999999999E-2</v>
      </c>
      <c r="BD459" s="5"/>
      <c r="BE459" s="5"/>
      <c r="BF459" s="5"/>
      <c r="BG459" s="5"/>
      <c r="BI459" s="4" t="s">
        <v>309</v>
      </c>
      <c r="BJ459" s="4">
        <v>0.9</v>
      </c>
      <c r="BK459" s="4">
        <v>0.5</v>
      </c>
      <c r="BL459" s="4">
        <v>0.6</v>
      </c>
      <c r="BM459" s="4">
        <v>0.3</v>
      </c>
      <c r="BN459" s="6">
        <v>1142.370361</v>
      </c>
      <c r="BO459" s="4">
        <v>0.01</v>
      </c>
      <c r="BQ459" s="4" t="s">
        <v>309</v>
      </c>
      <c r="BR459" s="4">
        <v>0.9</v>
      </c>
      <c r="BS459" s="4">
        <v>0.5</v>
      </c>
      <c r="BT459" s="4">
        <v>0.6</v>
      </c>
      <c r="BU459" s="4">
        <v>0.33</v>
      </c>
      <c r="BV459" s="4">
        <v>1169.4304199999999</v>
      </c>
      <c r="BW459" s="4">
        <v>1.6E-2</v>
      </c>
      <c r="BX459" s="5"/>
      <c r="BY459" s="5"/>
      <c r="BZ459" s="5"/>
      <c r="CA459" s="5"/>
    </row>
    <row r="460" spans="1:79" x14ac:dyDescent="0.3">
      <c r="A460" s="4" t="s">
        <v>310</v>
      </c>
      <c r="B460" s="4">
        <v>0.9</v>
      </c>
      <c r="C460" s="4">
        <v>0.5</v>
      </c>
      <c r="D460" s="4">
        <v>0.6</v>
      </c>
      <c r="E460" s="4">
        <v>0.3</v>
      </c>
      <c r="F460" s="6">
        <v>892.61016800000004</v>
      </c>
      <c r="G460" s="4">
        <v>4.0000000000000001E-3</v>
      </c>
      <c r="I460" s="4" t="s">
        <v>310</v>
      </c>
      <c r="J460" s="4">
        <v>0.9</v>
      </c>
      <c r="K460" s="4">
        <v>0.5</v>
      </c>
      <c r="L460" s="4">
        <v>0.6</v>
      </c>
      <c r="M460" s="4">
        <v>0.3</v>
      </c>
      <c r="N460" s="4">
        <v>911.02453600000001</v>
      </c>
      <c r="O460" s="4">
        <v>4.0000000000000001E-3</v>
      </c>
      <c r="P460" s="5"/>
      <c r="Q460" s="5"/>
      <c r="R460" s="5"/>
      <c r="S460" s="5"/>
      <c r="U460" s="4" t="s">
        <v>310</v>
      </c>
      <c r="V460" s="4">
        <v>0.9</v>
      </c>
      <c r="W460" s="4">
        <v>0.5</v>
      </c>
      <c r="X460" s="4">
        <v>0.6</v>
      </c>
      <c r="Y460" s="4">
        <v>0.3</v>
      </c>
      <c r="Z460" s="6">
        <v>860.10101299999997</v>
      </c>
      <c r="AA460" s="4">
        <v>3.0000000000000001E-3</v>
      </c>
      <c r="AC460" s="4" t="s">
        <v>310</v>
      </c>
      <c r="AD460" s="4">
        <v>0.9</v>
      </c>
      <c r="AE460" s="4">
        <v>0.5</v>
      </c>
      <c r="AF460" s="4">
        <v>0.6</v>
      </c>
      <c r="AG460" s="4">
        <v>0.31</v>
      </c>
      <c r="AH460" s="4">
        <v>876.787598</v>
      </c>
      <c r="AI460" s="4">
        <v>4.0000000000000001E-3</v>
      </c>
      <c r="AJ460" s="5"/>
      <c r="AK460" s="5"/>
      <c r="AL460" s="5"/>
      <c r="AM460" s="5"/>
      <c r="AO460" s="4" t="s">
        <v>311</v>
      </c>
      <c r="AP460" s="4">
        <v>0.9</v>
      </c>
      <c r="AQ460" s="4">
        <v>0.5</v>
      </c>
      <c r="AR460" s="4">
        <v>0.6</v>
      </c>
      <c r="AS460" s="4">
        <v>0.3</v>
      </c>
      <c r="AT460" s="6">
        <v>1187.9727780000001</v>
      </c>
      <c r="AU460" s="4">
        <v>0.01</v>
      </c>
      <c r="AW460" s="4" t="s">
        <v>311</v>
      </c>
      <c r="AX460" s="4">
        <v>0.9</v>
      </c>
      <c r="AY460" s="4">
        <v>0.5</v>
      </c>
      <c r="AZ460" s="4">
        <v>0.6</v>
      </c>
      <c r="BA460" s="4">
        <v>0.3</v>
      </c>
      <c r="BB460" s="4">
        <v>1230.4323730000001</v>
      </c>
      <c r="BC460" s="4">
        <v>1.7000000000000001E-2</v>
      </c>
      <c r="BD460" s="5"/>
      <c r="BE460" s="5"/>
      <c r="BF460" s="5"/>
      <c r="BG460" s="5"/>
      <c r="BI460" s="4" t="s">
        <v>311</v>
      </c>
      <c r="BJ460" s="4">
        <v>0.9</v>
      </c>
      <c r="BK460" s="4">
        <v>0.5</v>
      </c>
      <c r="BL460" s="4">
        <v>0.6</v>
      </c>
      <c r="BM460" s="4">
        <v>0.3</v>
      </c>
      <c r="BN460" s="6">
        <v>1152.407837</v>
      </c>
      <c r="BO460" s="4">
        <v>8.9999999999999993E-3</v>
      </c>
      <c r="BQ460" s="4" t="s">
        <v>311</v>
      </c>
      <c r="BR460" s="4">
        <v>0.9</v>
      </c>
      <c r="BS460" s="4">
        <v>0.5</v>
      </c>
      <c r="BT460" s="4">
        <v>0.6</v>
      </c>
      <c r="BU460" s="4">
        <v>0.31</v>
      </c>
      <c r="BV460" s="4">
        <v>1191.03772</v>
      </c>
      <c r="BW460" s="4">
        <v>1.0999999999999999E-2</v>
      </c>
      <c r="BX460" s="5"/>
      <c r="BY460" s="5"/>
      <c r="BZ460" s="5"/>
      <c r="CA460" s="5"/>
    </row>
    <row r="461" spans="1:79" x14ac:dyDescent="0.3">
      <c r="A461" s="4" t="s">
        <v>312</v>
      </c>
      <c r="B461" s="4">
        <v>0.9</v>
      </c>
      <c r="C461" s="4">
        <v>0.5</v>
      </c>
      <c r="D461" s="4">
        <v>0.6</v>
      </c>
      <c r="E461" s="4">
        <v>0.3</v>
      </c>
      <c r="F461" s="6">
        <v>853.23504600000001</v>
      </c>
      <c r="G461" s="4">
        <v>3.0000000000000001E-3</v>
      </c>
      <c r="I461" s="4" t="s">
        <v>312</v>
      </c>
      <c r="J461" s="4">
        <v>0.9</v>
      </c>
      <c r="K461" s="4">
        <v>0.5</v>
      </c>
      <c r="L461" s="4">
        <v>0.6</v>
      </c>
      <c r="M461" s="4">
        <v>0.31</v>
      </c>
      <c r="N461" s="4">
        <v>904.13647500000002</v>
      </c>
      <c r="O461" s="4">
        <v>4.0000000000000001E-3</v>
      </c>
      <c r="P461" s="5"/>
      <c r="Q461" s="5"/>
      <c r="R461" s="5"/>
      <c r="S461" s="5"/>
      <c r="U461" s="4" t="s">
        <v>312</v>
      </c>
      <c r="V461" s="4">
        <v>0.9</v>
      </c>
      <c r="W461" s="4">
        <v>0.5</v>
      </c>
      <c r="X461" s="4">
        <v>0.6</v>
      </c>
      <c r="Y461" s="4">
        <v>0.3</v>
      </c>
      <c r="Z461" s="6">
        <v>805.71893299999999</v>
      </c>
      <c r="AA461" s="4">
        <v>3.0000000000000001E-3</v>
      </c>
      <c r="AC461" s="4" t="s">
        <v>312</v>
      </c>
      <c r="AD461" s="4">
        <v>0.9</v>
      </c>
      <c r="AE461" s="4">
        <v>0.5</v>
      </c>
      <c r="AF461" s="4">
        <v>0.6</v>
      </c>
      <c r="AG461" s="4">
        <v>0.31</v>
      </c>
      <c r="AH461" s="4">
        <v>867.81793200000004</v>
      </c>
      <c r="AI461" s="4">
        <v>6.0000000000000001E-3</v>
      </c>
      <c r="AJ461" s="5"/>
      <c r="AK461" s="5"/>
      <c r="AL461" s="5"/>
      <c r="AM461" s="5"/>
      <c r="AO461" s="4" t="s">
        <v>313</v>
      </c>
      <c r="AP461" s="4">
        <v>0.9</v>
      </c>
      <c r="AQ461" s="4">
        <v>0.5</v>
      </c>
      <c r="AR461" s="4">
        <v>0.6</v>
      </c>
      <c r="AS461" s="4">
        <v>0.3</v>
      </c>
      <c r="AT461" s="6">
        <v>1163.534058</v>
      </c>
      <c r="AU461" s="4">
        <v>8.9999999999999993E-3</v>
      </c>
      <c r="AW461" s="4" t="s">
        <v>313</v>
      </c>
      <c r="AX461" s="4">
        <v>0.9</v>
      </c>
      <c r="AY461" s="4">
        <v>0.5</v>
      </c>
      <c r="AZ461" s="4">
        <v>0.6</v>
      </c>
      <c r="BA461" s="4">
        <v>0.36</v>
      </c>
      <c r="BB461" s="4">
        <v>1189.364624</v>
      </c>
      <c r="BC461" s="4">
        <v>1.4E-2</v>
      </c>
      <c r="BD461" s="5"/>
      <c r="BE461" s="5"/>
      <c r="BF461" s="5"/>
      <c r="BG461" s="5"/>
      <c r="BI461" s="4" t="s">
        <v>313</v>
      </c>
      <c r="BJ461" s="4">
        <v>0.9</v>
      </c>
      <c r="BK461" s="4">
        <v>0.5</v>
      </c>
      <c r="BL461" s="4">
        <v>0.6</v>
      </c>
      <c r="BM461" s="4">
        <v>0.3</v>
      </c>
      <c r="BN461" s="6">
        <v>1146.206909</v>
      </c>
      <c r="BO461" s="4">
        <v>0.01</v>
      </c>
      <c r="BQ461" s="4" t="s">
        <v>313</v>
      </c>
      <c r="BR461" s="4">
        <v>0.9</v>
      </c>
      <c r="BS461" s="4">
        <v>0.5</v>
      </c>
      <c r="BT461" s="4">
        <v>0.6</v>
      </c>
      <c r="BU461" s="4">
        <v>0.3</v>
      </c>
      <c r="BV461" s="4">
        <v>1189.4600829999999</v>
      </c>
      <c r="BW461" s="4">
        <v>0.01</v>
      </c>
      <c r="BX461" s="5"/>
      <c r="BY461" s="5"/>
      <c r="BZ461" s="5"/>
      <c r="CA461" s="5"/>
    </row>
    <row r="462" spans="1:79" x14ac:dyDescent="0.3">
      <c r="A462" s="14" t="s">
        <v>316</v>
      </c>
      <c r="E462" s="14">
        <f>AVERAGE(E432:E461)</f>
        <v>0.3</v>
      </c>
      <c r="I462" s="14" t="s">
        <v>316</v>
      </c>
      <c r="M462" s="14">
        <f>AVERAGE(M432:M461)</f>
        <v>0.3166666666666666</v>
      </c>
      <c r="P462" s="5"/>
      <c r="Q462" s="5"/>
      <c r="R462" s="5"/>
      <c r="S462" s="5"/>
      <c r="U462" s="14" t="s">
        <v>316</v>
      </c>
      <c r="Y462" s="14">
        <f>AVERAGE(Y432:Y461)</f>
        <v>0.3</v>
      </c>
      <c r="AC462" s="14" t="s">
        <v>316</v>
      </c>
      <c r="AG462" s="14">
        <f>AVERAGE(AG432:AG461)</f>
        <v>0.32700000000000001</v>
      </c>
      <c r="AJ462" s="5"/>
      <c r="AK462" s="5"/>
      <c r="AL462" s="5"/>
      <c r="AM462" s="5"/>
      <c r="AO462" s="14" t="s">
        <v>316</v>
      </c>
      <c r="AS462" s="14">
        <f>AVERAGE(AS432:AS461)</f>
        <v>0.3</v>
      </c>
      <c r="AW462" s="14" t="s">
        <v>316</v>
      </c>
      <c r="BA462" s="14">
        <f>AVERAGE(BA432:BA461)</f>
        <v>0.31533333333333324</v>
      </c>
      <c r="BD462" s="5"/>
      <c r="BE462" s="5"/>
      <c r="BF462" s="5"/>
      <c r="BG462" s="5"/>
      <c r="BI462" s="14" t="s">
        <v>316</v>
      </c>
      <c r="BM462" s="14">
        <f>AVERAGE(BM432:BM461)</f>
        <v>0.3</v>
      </c>
      <c r="BQ462" s="14" t="s">
        <v>316</v>
      </c>
      <c r="BU462" s="14">
        <f>AVERAGE(BU432:BU461)</f>
        <v>0.3143333333333333</v>
      </c>
      <c r="BX462" s="5"/>
      <c r="BY462" s="5"/>
      <c r="BZ462" s="5"/>
      <c r="CA462" s="5"/>
    </row>
    <row r="463" spans="1:79" x14ac:dyDescent="0.3">
      <c r="P463" s="5"/>
      <c r="Q463" s="5"/>
      <c r="R463" s="5"/>
      <c r="S463" s="5"/>
      <c r="AJ463" s="5"/>
      <c r="AK463" s="5"/>
      <c r="AL463" s="5"/>
      <c r="AM463" s="5"/>
      <c r="BD463" s="5"/>
      <c r="BE463" s="5"/>
      <c r="BF463" s="5"/>
      <c r="BG463" s="5"/>
      <c r="BX463" s="5"/>
      <c r="BY463" s="5"/>
      <c r="BZ463" s="5"/>
      <c r="CA463" s="5"/>
    </row>
    <row r="464" spans="1:79" x14ac:dyDescent="0.3">
      <c r="P464" s="5"/>
      <c r="Q464" s="5"/>
      <c r="R464" s="5"/>
      <c r="S464" s="5"/>
      <c r="AJ464" s="5"/>
      <c r="AK464" s="5"/>
      <c r="AL464" s="5"/>
      <c r="AM464" s="5"/>
      <c r="BD464" s="5"/>
      <c r="BE464" s="5"/>
      <c r="BF464" s="5"/>
      <c r="BG464" s="5"/>
      <c r="BX464" s="5"/>
      <c r="BY464" s="5"/>
      <c r="BZ464" s="5"/>
      <c r="CA464" s="5"/>
    </row>
    <row r="465" spans="1:79" x14ac:dyDescent="0.3">
      <c r="A465" s="23" t="s">
        <v>314</v>
      </c>
      <c r="B465" s="23"/>
      <c r="C465" s="23"/>
      <c r="D465" s="23"/>
      <c r="E465" s="23"/>
      <c r="F465" s="23"/>
      <c r="G465" s="23"/>
      <c r="I465" s="23" t="s">
        <v>314</v>
      </c>
      <c r="J465" s="23"/>
      <c r="K465" s="23"/>
      <c r="L465" s="23"/>
      <c r="M465" s="23"/>
      <c r="N465" s="23"/>
      <c r="O465" s="23"/>
      <c r="P465" s="11"/>
      <c r="Q465" s="11"/>
      <c r="R465" s="11"/>
      <c r="S465" s="11"/>
      <c r="U465" s="23" t="s">
        <v>314</v>
      </c>
      <c r="V465" s="23"/>
      <c r="W465" s="23"/>
      <c r="X465" s="23"/>
      <c r="Y465" s="23"/>
      <c r="Z465" s="23"/>
      <c r="AA465" s="23"/>
      <c r="AC465" s="23" t="s">
        <v>314</v>
      </c>
      <c r="AD465" s="23"/>
      <c r="AE465" s="23"/>
      <c r="AF465" s="23"/>
      <c r="AG465" s="23"/>
      <c r="AH465" s="23"/>
      <c r="AI465" s="23"/>
      <c r="AJ465" s="11"/>
      <c r="AK465" s="11"/>
      <c r="AL465" s="11"/>
      <c r="AM465" s="11"/>
      <c r="AO465" s="23" t="s">
        <v>314</v>
      </c>
      <c r="AP465" s="23"/>
      <c r="AQ465" s="23"/>
      <c r="AR465" s="23"/>
      <c r="AS465" s="23"/>
      <c r="AT465" s="23"/>
      <c r="AU465" s="23"/>
      <c r="AW465" s="23" t="s">
        <v>314</v>
      </c>
      <c r="AX465" s="23"/>
      <c r="AY465" s="23"/>
      <c r="AZ465" s="23"/>
      <c r="BA465" s="23"/>
      <c r="BB465" s="23"/>
      <c r="BC465" s="23"/>
      <c r="BD465" s="11"/>
      <c r="BE465" s="11"/>
      <c r="BF465" s="11"/>
      <c r="BG465" s="11"/>
      <c r="BI465" s="23" t="s">
        <v>314</v>
      </c>
      <c r="BJ465" s="23"/>
      <c r="BK465" s="23"/>
      <c r="BL465" s="23"/>
      <c r="BM465" s="23"/>
      <c r="BN465" s="23"/>
      <c r="BO465" s="23"/>
      <c r="BQ465" s="23" t="s">
        <v>314</v>
      </c>
      <c r="BR465" s="23"/>
      <c r="BS465" s="23"/>
      <c r="BT465" s="23"/>
      <c r="BU465" s="23"/>
      <c r="BV465" s="23"/>
      <c r="BW465" s="23"/>
      <c r="BX465" s="11"/>
      <c r="BY465" s="11"/>
      <c r="BZ465" s="11"/>
      <c r="CA465" s="11"/>
    </row>
    <row r="466" spans="1:79" x14ac:dyDescent="0.3">
      <c r="A466" s="4" t="s">
        <v>70</v>
      </c>
      <c r="B466" s="4"/>
      <c r="C466" s="4"/>
      <c r="D466" s="4"/>
      <c r="E466" s="4"/>
      <c r="F466" s="4"/>
      <c r="G466" s="4"/>
      <c r="I466" s="23" t="s">
        <v>70</v>
      </c>
      <c r="J466" s="23"/>
      <c r="K466" s="23"/>
      <c r="L466" s="23"/>
      <c r="M466" s="23"/>
      <c r="N466" s="23"/>
      <c r="O466" s="23"/>
      <c r="P466" s="5"/>
      <c r="Q466" s="5"/>
      <c r="R466" s="5"/>
      <c r="S466" s="5"/>
      <c r="U466" s="4" t="s">
        <v>71</v>
      </c>
      <c r="V466" s="4"/>
      <c r="W466" s="4"/>
      <c r="X466" s="4"/>
      <c r="Y466" s="4"/>
      <c r="Z466" s="4"/>
      <c r="AA466" s="4"/>
      <c r="AC466" s="23" t="s">
        <v>71</v>
      </c>
      <c r="AD466" s="23"/>
      <c r="AE466" s="23"/>
      <c r="AF466" s="23"/>
      <c r="AG466" s="23"/>
      <c r="AH466" s="23"/>
      <c r="AI466" s="23"/>
      <c r="AJ466" s="5"/>
      <c r="AK466" s="5"/>
      <c r="AL466" s="5"/>
      <c r="AM466" s="5"/>
      <c r="AO466" s="4" t="s">
        <v>70</v>
      </c>
      <c r="AP466" s="4"/>
      <c r="AQ466" s="4"/>
      <c r="AR466" s="4"/>
      <c r="AS466" s="4"/>
      <c r="AT466" s="4"/>
      <c r="AU466" s="4"/>
      <c r="AW466" s="23" t="s">
        <v>70</v>
      </c>
      <c r="AX466" s="23"/>
      <c r="AY466" s="23"/>
      <c r="AZ466" s="23"/>
      <c r="BA466" s="23"/>
      <c r="BB466" s="23"/>
      <c r="BC466" s="23"/>
      <c r="BD466" s="5"/>
      <c r="BE466" s="5"/>
      <c r="BF466" s="5"/>
      <c r="BG466" s="5"/>
      <c r="BI466" s="4" t="s">
        <v>71</v>
      </c>
      <c r="BJ466" s="4"/>
      <c r="BK466" s="4"/>
      <c r="BL466" s="4"/>
      <c r="BM466" s="4"/>
      <c r="BN466" s="4"/>
      <c r="BO466" s="4"/>
      <c r="BQ466" s="23" t="s">
        <v>71</v>
      </c>
      <c r="BR466" s="23"/>
      <c r="BS466" s="23"/>
      <c r="BT466" s="23"/>
      <c r="BU466" s="23"/>
      <c r="BV466" s="23"/>
      <c r="BW466" s="23"/>
      <c r="BX466" s="5"/>
      <c r="BY466" s="5"/>
      <c r="BZ466" s="5"/>
      <c r="CA466" s="5"/>
    </row>
    <row r="467" spans="1:79" x14ac:dyDescent="0.3">
      <c r="A467" s="4" t="s">
        <v>2</v>
      </c>
      <c r="B467" s="4" t="s">
        <v>3</v>
      </c>
      <c r="C467" s="4" t="s">
        <v>4</v>
      </c>
      <c r="D467" s="4" t="s">
        <v>5</v>
      </c>
      <c r="E467" s="4" t="s">
        <v>6</v>
      </c>
      <c r="F467" s="4" t="s">
        <v>7</v>
      </c>
      <c r="G467" s="4" t="s">
        <v>8</v>
      </c>
      <c r="I467" s="4" t="s">
        <v>2</v>
      </c>
      <c r="J467" s="4" t="s">
        <v>3</v>
      </c>
      <c r="K467" s="4" t="s">
        <v>4</v>
      </c>
      <c r="L467" s="4" t="s">
        <v>5</v>
      </c>
      <c r="M467" s="4" t="s">
        <v>6</v>
      </c>
      <c r="N467" s="4" t="s">
        <v>7</v>
      </c>
      <c r="O467" s="4" t="s">
        <v>8</v>
      </c>
      <c r="P467" s="3" t="s">
        <v>322</v>
      </c>
      <c r="Q467" s="3" t="s">
        <v>323</v>
      </c>
      <c r="R467" s="3" t="s">
        <v>322</v>
      </c>
      <c r="S467" s="3" t="s">
        <v>323</v>
      </c>
      <c r="U467" s="4" t="s">
        <v>2</v>
      </c>
      <c r="V467" s="4" t="s">
        <v>3</v>
      </c>
      <c r="W467" s="4" t="s">
        <v>4</v>
      </c>
      <c r="X467" s="4" t="s">
        <v>5</v>
      </c>
      <c r="Y467" s="4" t="s">
        <v>6</v>
      </c>
      <c r="Z467" s="4" t="s">
        <v>7</v>
      </c>
      <c r="AA467" s="4" t="s">
        <v>8</v>
      </c>
      <c r="AC467" s="4" t="s">
        <v>2</v>
      </c>
      <c r="AD467" s="4" t="s">
        <v>3</v>
      </c>
      <c r="AE467" s="4" t="s">
        <v>4</v>
      </c>
      <c r="AF467" s="4" t="s">
        <v>5</v>
      </c>
      <c r="AG467" s="4" t="s">
        <v>6</v>
      </c>
      <c r="AH467" s="4" t="s">
        <v>7</v>
      </c>
      <c r="AI467" s="4" t="s">
        <v>8</v>
      </c>
      <c r="AJ467" s="3" t="s">
        <v>322</v>
      </c>
      <c r="AK467" s="3" t="s">
        <v>323</v>
      </c>
      <c r="AL467" s="3" t="s">
        <v>322</v>
      </c>
      <c r="AM467" s="3" t="s">
        <v>323</v>
      </c>
      <c r="AO467" s="4" t="s">
        <v>2</v>
      </c>
      <c r="AP467" s="4" t="s">
        <v>3</v>
      </c>
      <c r="AQ467" s="4" t="s">
        <v>4</v>
      </c>
      <c r="AR467" s="4" t="s">
        <v>5</v>
      </c>
      <c r="AS467" s="4" t="s">
        <v>6</v>
      </c>
      <c r="AT467" s="4" t="s">
        <v>7</v>
      </c>
      <c r="AU467" s="4" t="s">
        <v>8</v>
      </c>
      <c r="AW467" s="4" t="s">
        <v>2</v>
      </c>
      <c r="AX467" s="4" t="s">
        <v>3</v>
      </c>
      <c r="AY467" s="4" t="s">
        <v>4</v>
      </c>
      <c r="AZ467" s="4" t="s">
        <v>5</v>
      </c>
      <c r="BA467" s="4" t="s">
        <v>6</v>
      </c>
      <c r="BB467" s="4" t="s">
        <v>7</v>
      </c>
      <c r="BC467" s="4" t="s">
        <v>8</v>
      </c>
      <c r="BD467" s="3" t="s">
        <v>322</v>
      </c>
      <c r="BE467" s="3" t="s">
        <v>323</v>
      </c>
      <c r="BF467" s="3" t="s">
        <v>322</v>
      </c>
      <c r="BG467" s="3" t="s">
        <v>323</v>
      </c>
      <c r="BI467" s="4" t="s">
        <v>2</v>
      </c>
      <c r="BJ467" s="4" t="s">
        <v>3</v>
      </c>
      <c r="BK467" s="4" t="s">
        <v>4</v>
      </c>
      <c r="BL467" s="4" t="s">
        <v>5</v>
      </c>
      <c r="BM467" s="4" t="s">
        <v>6</v>
      </c>
      <c r="BN467" s="4" t="s">
        <v>7</v>
      </c>
      <c r="BO467" s="4" t="s">
        <v>8</v>
      </c>
      <c r="BQ467" s="4" t="s">
        <v>2</v>
      </c>
      <c r="BR467" s="4" t="s">
        <v>3</v>
      </c>
      <c r="BS467" s="4" t="s">
        <v>4</v>
      </c>
      <c r="BT467" s="4" t="s">
        <v>5</v>
      </c>
      <c r="BU467" s="4" t="s">
        <v>6</v>
      </c>
      <c r="BV467" s="4" t="s">
        <v>7</v>
      </c>
      <c r="BW467" s="4" t="s">
        <v>8</v>
      </c>
      <c r="BX467" s="3" t="s">
        <v>322</v>
      </c>
      <c r="BY467" s="3" t="s">
        <v>323</v>
      </c>
      <c r="BZ467" s="3" t="s">
        <v>322</v>
      </c>
      <c r="CA467" s="3" t="s">
        <v>323</v>
      </c>
    </row>
    <row r="468" spans="1:79" x14ac:dyDescent="0.3">
      <c r="A468" s="4" t="s">
        <v>254</v>
      </c>
      <c r="B468" s="4">
        <v>0.9</v>
      </c>
      <c r="C468" s="4">
        <v>0.5</v>
      </c>
      <c r="D468" s="4">
        <v>0.6</v>
      </c>
      <c r="E468" s="4">
        <v>0.3</v>
      </c>
      <c r="F468" s="8">
        <v>670.93890399999998</v>
      </c>
      <c r="G468" s="4">
        <v>3.0000000000000001E-3</v>
      </c>
      <c r="I468" s="4" t="s">
        <v>254</v>
      </c>
      <c r="J468" s="4">
        <v>0.9</v>
      </c>
      <c r="K468" s="4">
        <v>0.5</v>
      </c>
      <c r="L468" s="4">
        <v>0.6</v>
      </c>
      <c r="M468" s="4">
        <v>0.31</v>
      </c>
      <c r="N468" s="6">
        <v>670.92675799999995</v>
      </c>
      <c r="O468" s="4">
        <v>3.0000000000000001E-3</v>
      </c>
      <c r="P468" s="4" t="s">
        <v>324</v>
      </c>
      <c r="Q468" s="4" t="s">
        <v>324</v>
      </c>
      <c r="R468" s="4" t="s">
        <v>325</v>
      </c>
      <c r="S468" s="4" t="s">
        <v>325</v>
      </c>
      <c r="U468" s="4" t="s">
        <v>254</v>
      </c>
      <c r="V468" s="4">
        <v>0.9</v>
      </c>
      <c r="W468" s="4">
        <v>0.5</v>
      </c>
      <c r="X468" s="4">
        <v>0.6</v>
      </c>
      <c r="Y468" s="4">
        <v>0.3</v>
      </c>
      <c r="Z468" s="6">
        <v>648.05926499999998</v>
      </c>
      <c r="AA468" s="4">
        <v>2E-3</v>
      </c>
      <c r="AC468" s="4" t="s">
        <v>254</v>
      </c>
      <c r="AD468" s="4">
        <v>0.9</v>
      </c>
      <c r="AE468" s="4">
        <v>0.5</v>
      </c>
      <c r="AF468" s="4">
        <v>0.6</v>
      </c>
      <c r="AG468" s="4">
        <v>0.32</v>
      </c>
      <c r="AH468" s="4">
        <v>656.78845200000001</v>
      </c>
      <c r="AI468" s="4">
        <v>3.0000000000000001E-3</v>
      </c>
      <c r="AJ468" s="4" t="s">
        <v>324</v>
      </c>
      <c r="AK468" s="4" t="s">
        <v>324</v>
      </c>
      <c r="AL468" s="4" t="s">
        <v>325</v>
      </c>
      <c r="AM468" s="4" t="s">
        <v>325</v>
      </c>
      <c r="AO468" s="4" t="s">
        <v>255</v>
      </c>
      <c r="AP468" s="4">
        <v>0.9</v>
      </c>
      <c r="AQ468" s="4">
        <v>0.5</v>
      </c>
      <c r="AR468" s="4">
        <v>0.6</v>
      </c>
      <c r="AS468" s="4">
        <v>0.3</v>
      </c>
      <c r="AT468" s="6">
        <v>1018.932068</v>
      </c>
      <c r="AU468" s="4">
        <v>8.9999999999999993E-3</v>
      </c>
      <c r="AW468" s="4" t="s">
        <v>255</v>
      </c>
      <c r="AX468" s="4">
        <v>0.9</v>
      </c>
      <c r="AY468" s="4">
        <v>0.5</v>
      </c>
      <c r="AZ468" s="4">
        <v>0.6</v>
      </c>
      <c r="BA468" s="4">
        <v>0.31</v>
      </c>
      <c r="BB468" s="4">
        <v>1029.7028809999999</v>
      </c>
      <c r="BC468" s="4">
        <v>8.9999999999999993E-3</v>
      </c>
      <c r="BD468" s="4" t="s">
        <v>324</v>
      </c>
      <c r="BE468" s="4" t="s">
        <v>324</v>
      </c>
      <c r="BF468" s="4" t="s">
        <v>325</v>
      </c>
      <c r="BG468" s="4" t="s">
        <v>325</v>
      </c>
      <c r="BI468" s="4" t="s">
        <v>255</v>
      </c>
      <c r="BJ468" s="4">
        <v>0.9</v>
      </c>
      <c r="BK468" s="4">
        <v>0.5</v>
      </c>
      <c r="BL468" s="4">
        <v>0.6</v>
      </c>
      <c r="BM468" s="4">
        <v>0.3</v>
      </c>
      <c r="BN468" s="6">
        <v>989.39483600000005</v>
      </c>
      <c r="BO468" s="4">
        <v>1.2999999999999999E-2</v>
      </c>
      <c r="BQ468" s="4" t="s">
        <v>255</v>
      </c>
      <c r="BR468" s="4">
        <v>0.9</v>
      </c>
      <c r="BS468" s="4">
        <v>0.5</v>
      </c>
      <c r="BT468" s="4">
        <v>0.6</v>
      </c>
      <c r="BU468" s="4">
        <v>0.3</v>
      </c>
      <c r="BV468" s="4">
        <v>1013.872009</v>
      </c>
      <c r="BW468" s="4">
        <v>8.9999999999999993E-3</v>
      </c>
      <c r="BX468" s="4" t="s">
        <v>324</v>
      </c>
      <c r="BY468" s="4" t="s">
        <v>324</v>
      </c>
      <c r="BZ468" s="4" t="s">
        <v>325</v>
      </c>
      <c r="CA468" s="4" t="s">
        <v>325</v>
      </c>
    </row>
    <row r="469" spans="1:79" x14ac:dyDescent="0.3">
      <c r="A469" s="4" t="s">
        <v>256</v>
      </c>
      <c r="B469" s="4">
        <v>0.9</v>
      </c>
      <c r="C469" s="4">
        <v>0.5</v>
      </c>
      <c r="D469" s="4">
        <v>0.6</v>
      </c>
      <c r="E469" s="4">
        <v>0.3</v>
      </c>
      <c r="F469" s="6">
        <v>685.86596699999996</v>
      </c>
      <c r="G469" s="4">
        <v>2E-3</v>
      </c>
      <c r="I469" s="4" t="s">
        <v>256</v>
      </c>
      <c r="J469" s="4">
        <v>0.9</v>
      </c>
      <c r="K469" s="4">
        <v>0.5</v>
      </c>
      <c r="L469" s="4">
        <v>0.6</v>
      </c>
      <c r="M469" s="4">
        <v>0.3</v>
      </c>
      <c r="N469" s="4">
        <v>686.52032499999996</v>
      </c>
      <c r="O469" s="4">
        <v>4.0000000000000001E-3</v>
      </c>
      <c r="P469" s="3">
        <f>COUNT(F468:F497)</f>
        <v>30</v>
      </c>
      <c r="Q469" s="3">
        <f>30-P469</f>
        <v>0</v>
      </c>
      <c r="R469" s="3">
        <f>COUNT(N468)</f>
        <v>1</v>
      </c>
      <c r="S469" s="3">
        <f>30-R469</f>
        <v>29</v>
      </c>
      <c r="U469" s="4" t="s">
        <v>256</v>
      </c>
      <c r="V469" s="4">
        <v>0.9</v>
      </c>
      <c r="W469" s="4">
        <v>0.5</v>
      </c>
      <c r="X469" s="4">
        <v>0.6</v>
      </c>
      <c r="Y469" s="4">
        <v>0.3</v>
      </c>
      <c r="Z469" s="6">
        <v>657.04418899999996</v>
      </c>
      <c r="AA469" s="4">
        <v>3.0000000000000001E-3</v>
      </c>
      <c r="AC469" s="4" t="s">
        <v>256</v>
      </c>
      <c r="AD469" s="4">
        <v>0.9</v>
      </c>
      <c r="AE469" s="4">
        <v>0.5</v>
      </c>
      <c r="AF469" s="4">
        <v>0.6</v>
      </c>
      <c r="AG469" s="4">
        <v>0.33</v>
      </c>
      <c r="AH469" s="4">
        <v>688.06756600000006</v>
      </c>
      <c r="AI469" s="4">
        <v>2E-3</v>
      </c>
      <c r="AJ469" s="3">
        <f>COUNT(Z468:Z476,Z478:Z483,Z485:Z497)</f>
        <v>28</v>
      </c>
      <c r="AK469" s="3">
        <f>30-AJ469</f>
        <v>2</v>
      </c>
      <c r="AL469" s="3">
        <f>COUNT(AH477,AH484)</f>
        <v>2</v>
      </c>
      <c r="AM469" s="3">
        <f>30-AL469</f>
        <v>28</v>
      </c>
      <c r="AO469" s="4" t="s">
        <v>257</v>
      </c>
      <c r="AP469" s="4">
        <v>0.9</v>
      </c>
      <c r="AQ469" s="4">
        <v>0.5</v>
      </c>
      <c r="AR469" s="4">
        <v>0.6</v>
      </c>
      <c r="AS469" s="4">
        <v>0.3</v>
      </c>
      <c r="AT469" s="6">
        <v>985.86834699999997</v>
      </c>
      <c r="AU469" s="4">
        <v>8.9999999999999993E-3</v>
      </c>
      <c r="AW469" s="4" t="s">
        <v>257</v>
      </c>
      <c r="AX469" s="4">
        <v>0.9</v>
      </c>
      <c r="AY469" s="4">
        <v>0.5</v>
      </c>
      <c r="AZ469" s="4">
        <v>0.6</v>
      </c>
      <c r="BA469" s="4">
        <v>0.3</v>
      </c>
      <c r="BB469" s="4">
        <v>1010.942139</v>
      </c>
      <c r="BC469" s="4">
        <v>1.4999999999999999E-2</v>
      </c>
      <c r="BD469" s="3">
        <f>COUNT(AT468:AT478,AT480:AT491,AT493:AT497)</f>
        <v>28</v>
      </c>
      <c r="BE469" s="3">
        <f>30-BD469</f>
        <v>2</v>
      </c>
      <c r="BF469" s="3">
        <f>COUNT(BB479,BB492)</f>
        <v>2</v>
      </c>
      <c r="BG469" s="3">
        <f>30-BF469</f>
        <v>28</v>
      </c>
      <c r="BI469" s="4" t="s">
        <v>257</v>
      </c>
      <c r="BJ469" s="4">
        <v>0.9</v>
      </c>
      <c r="BK469" s="4">
        <v>0.5</v>
      </c>
      <c r="BL469" s="4">
        <v>0.6</v>
      </c>
      <c r="BM469" s="4">
        <v>0.3</v>
      </c>
      <c r="BN469" s="6">
        <v>958.109375</v>
      </c>
      <c r="BO469" s="4">
        <v>0.01</v>
      </c>
      <c r="BQ469" s="4" t="s">
        <v>257</v>
      </c>
      <c r="BR469" s="4">
        <v>0.9</v>
      </c>
      <c r="BS469" s="4">
        <v>0.5</v>
      </c>
      <c r="BT469" s="4">
        <v>0.6</v>
      </c>
      <c r="BU469" s="4">
        <v>0.3</v>
      </c>
      <c r="BV469" s="4">
        <v>967.50408900000002</v>
      </c>
      <c r="BW469" s="4">
        <v>8.9999999999999993E-3</v>
      </c>
      <c r="BX469" s="3">
        <f>COUNT(BN468:BN482,BN484:BN497)</f>
        <v>29</v>
      </c>
      <c r="BY469" s="3">
        <f>30-BX469</f>
        <v>1</v>
      </c>
      <c r="BZ469" s="3">
        <f>COUNT(BV483)</f>
        <v>1</v>
      </c>
      <c r="CA469" s="3">
        <f>30-BZ469</f>
        <v>29</v>
      </c>
    </row>
    <row r="470" spans="1:79" x14ac:dyDescent="0.3">
      <c r="A470" s="4" t="s">
        <v>258</v>
      </c>
      <c r="B470" s="4">
        <v>0.9</v>
      </c>
      <c r="C470" s="4">
        <v>0.5</v>
      </c>
      <c r="D470" s="4">
        <v>0.6</v>
      </c>
      <c r="E470" s="4">
        <v>0.3</v>
      </c>
      <c r="F470" s="6">
        <v>671.47015399999998</v>
      </c>
      <c r="G470" s="4">
        <v>3.0000000000000001E-3</v>
      </c>
      <c r="I470" s="4" t="s">
        <v>258</v>
      </c>
      <c r="J470" s="4">
        <v>0.9</v>
      </c>
      <c r="K470" s="4">
        <v>0.5</v>
      </c>
      <c r="L470" s="4">
        <v>0.6</v>
      </c>
      <c r="M470" s="4">
        <v>0.33</v>
      </c>
      <c r="N470" s="4">
        <v>688.43078600000001</v>
      </c>
      <c r="O470" s="4">
        <v>3.0000000000000001E-3</v>
      </c>
      <c r="P470" s="5"/>
      <c r="Q470" s="5"/>
      <c r="R470" s="5"/>
      <c r="S470" s="5"/>
      <c r="U470" s="4" t="s">
        <v>258</v>
      </c>
      <c r="V470" s="4">
        <v>0.9</v>
      </c>
      <c r="W470" s="4">
        <v>0.5</v>
      </c>
      <c r="X470" s="4">
        <v>0.6</v>
      </c>
      <c r="Y470" s="4">
        <v>0.3</v>
      </c>
      <c r="Z470" s="6">
        <v>652.54858400000001</v>
      </c>
      <c r="AA470" s="4">
        <v>3.0000000000000001E-3</v>
      </c>
      <c r="AC470" s="4" t="s">
        <v>258</v>
      </c>
      <c r="AD470" s="4">
        <v>0.9</v>
      </c>
      <c r="AE470" s="4">
        <v>0.5</v>
      </c>
      <c r="AF470" s="4">
        <v>0.6</v>
      </c>
      <c r="AG470" s="4">
        <v>0.3</v>
      </c>
      <c r="AH470" s="4">
        <v>665.29711899999995</v>
      </c>
      <c r="AI470" s="4">
        <v>2E-3</v>
      </c>
      <c r="AJ470" s="5"/>
      <c r="AK470" s="5"/>
      <c r="AL470" s="5"/>
      <c r="AM470" s="5"/>
      <c r="AO470" s="4" t="s">
        <v>259</v>
      </c>
      <c r="AP470" s="4">
        <v>0.9</v>
      </c>
      <c r="AQ470" s="4">
        <v>0.5</v>
      </c>
      <c r="AR470" s="4">
        <v>0.6</v>
      </c>
      <c r="AS470" s="4">
        <v>0.3</v>
      </c>
      <c r="AT470" s="6">
        <v>1007.91394</v>
      </c>
      <c r="AU470" s="4">
        <v>1.2E-2</v>
      </c>
      <c r="AW470" s="4" t="s">
        <v>259</v>
      </c>
      <c r="AX470" s="4">
        <v>0.9</v>
      </c>
      <c r="AY470" s="4">
        <v>0.5</v>
      </c>
      <c r="AZ470" s="4">
        <v>0.6</v>
      </c>
      <c r="BA470" s="4">
        <v>0.31</v>
      </c>
      <c r="BB470" s="4">
        <v>1011.5105589999999</v>
      </c>
      <c r="BC470" s="4">
        <v>0.01</v>
      </c>
      <c r="BD470" s="5"/>
      <c r="BE470" s="5"/>
      <c r="BF470" s="5"/>
      <c r="BG470" s="5"/>
      <c r="BI470" s="4" t="s">
        <v>259</v>
      </c>
      <c r="BJ470" s="4">
        <v>0.9</v>
      </c>
      <c r="BK470" s="4">
        <v>0.5</v>
      </c>
      <c r="BL470" s="4">
        <v>0.6</v>
      </c>
      <c r="BM470" s="4">
        <v>0.3</v>
      </c>
      <c r="BN470" s="6">
        <v>983.394226</v>
      </c>
      <c r="BO470" s="4">
        <v>0.01</v>
      </c>
      <c r="BQ470" s="4" t="s">
        <v>259</v>
      </c>
      <c r="BR470" s="4">
        <v>0.9</v>
      </c>
      <c r="BS470" s="4">
        <v>0.5</v>
      </c>
      <c r="BT470" s="4">
        <v>0.6</v>
      </c>
      <c r="BU470" s="4">
        <v>0.42</v>
      </c>
      <c r="BV470" s="4">
        <v>1008.706726</v>
      </c>
      <c r="BW470" s="4">
        <v>8.0000000000000002E-3</v>
      </c>
      <c r="BX470" s="5"/>
      <c r="BY470" s="5"/>
      <c r="BZ470" s="5"/>
      <c r="CA470" s="5"/>
    </row>
    <row r="471" spans="1:79" x14ac:dyDescent="0.3">
      <c r="A471" s="4" t="s">
        <v>260</v>
      </c>
      <c r="B471" s="4">
        <v>0.9</v>
      </c>
      <c r="C471" s="4">
        <v>0.5</v>
      </c>
      <c r="D471" s="4">
        <v>0.6</v>
      </c>
      <c r="E471" s="4">
        <v>0.3</v>
      </c>
      <c r="F471" s="6">
        <v>697.96142599999996</v>
      </c>
      <c r="G471" s="4">
        <v>2E-3</v>
      </c>
      <c r="I471" s="4" t="s">
        <v>260</v>
      </c>
      <c r="J471" s="4">
        <v>0.9</v>
      </c>
      <c r="K471" s="4">
        <v>0.5</v>
      </c>
      <c r="L471" s="4">
        <v>0.6</v>
      </c>
      <c r="M471" s="4">
        <v>0.32</v>
      </c>
      <c r="N471" s="4">
        <v>716.754639</v>
      </c>
      <c r="O471" s="4">
        <v>3.0000000000000001E-3</v>
      </c>
      <c r="P471" s="5"/>
      <c r="Q471" s="5"/>
      <c r="R471" s="5"/>
      <c r="S471" s="5"/>
      <c r="U471" s="4" t="s">
        <v>260</v>
      </c>
      <c r="V471" s="4">
        <v>0.9</v>
      </c>
      <c r="W471" s="4">
        <v>0.5</v>
      </c>
      <c r="X471" s="4">
        <v>0.6</v>
      </c>
      <c r="Y471" s="4">
        <v>0.3</v>
      </c>
      <c r="Z471" s="6">
        <v>683.41851799999995</v>
      </c>
      <c r="AA471" s="4">
        <v>3.0000000000000001E-3</v>
      </c>
      <c r="AC471" s="4" t="s">
        <v>260</v>
      </c>
      <c r="AD471" s="4">
        <v>0.9</v>
      </c>
      <c r="AE471" s="4">
        <v>0.5</v>
      </c>
      <c r="AF471" s="4">
        <v>0.6</v>
      </c>
      <c r="AG471" s="4">
        <v>0.31</v>
      </c>
      <c r="AH471" s="4">
        <v>701.87750200000005</v>
      </c>
      <c r="AI471" s="4">
        <v>3.0000000000000001E-3</v>
      </c>
      <c r="AJ471" s="5"/>
      <c r="AK471" s="5"/>
      <c r="AL471" s="5"/>
      <c r="AM471" s="5"/>
      <c r="AO471" s="4" t="s">
        <v>261</v>
      </c>
      <c r="AP471" s="4">
        <v>0.9</v>
      </c>
      <c r="AQ471" s="4">
        <v>0.5</v>
      </c>
      <c r="AR471" s="4">
        <v>0.6</v>
      </c>
      <c r="AS471" s="4">
        <v>0.3</v>
      </c>
      <c r="AT471" s="6">
        <v>962.80932600000006</v>
      </c>
      <c r="AU471" s="4">
        <v>8.0000000000000002E-3</v>
      </c>
      <c r="AW471" s="4" t="s">
        <v>261</v>
      </c>
      <c r="AX471" s="4">
        <v>0.9</v>
      </c>
      <c r="AY471" s="4">
        <v>0.5</v>
      </c>
      <c r="AZ471" s="4">
        <v>0.6</v>
      </c>
      <c r="BA471" s="4">
        <v>0.3</v>
      </c>
      <c r="BB471" s="4">
        <v>995.90124500000002</v>
      </c>
      <c r="BC471" s="4">
        <v>1.2E-2</v>
      </c>
      <c r="BD471" s="5"/>
      <c r="BE471" s="5"/>
      <c r="BF471" s="5"/>
      <c r="BG471" s="5"/>
      <c r="BI471" s="4" t="s">
        <v>261</v>
      </c>
      <c r="BJ471" s="4">
        <v>0.9</v>
      </c>
      <c r="BK471" s="4">
        <v>0.5</v>
      </c>
      <c r="BL471" s="4">
        <v>0.6</v>
      </c>
      <c r="BM471" s="4">
        <v>0.3</v>
      </c>
      <c r="BN471" s="6">
        <v>924.55017099999998</v>
      </c>
      <c r="BO471" s="4">
        <v>8.9999999999999993E-3</v>
      </c>
      <c r="BQ471" s="4" t="s">
        <v>261</v>
      </c>
      <c r="BR471" s="4">
        <v>0.9</v>
      </c>
      <c r="BS471" s="4">
        <v>0.5</v>
      </c>
      <c r="BT471" s="4">
        <v>0.6</v>
      </c>
      <c r="BU471" s="4">
        <v>0.33</v>
      </c>
      <c r="BV471" s="4">
        <v>950.37536599999999</v>
      </c>
      <c r="BW471" s="4">
        <v>8.0000000000000002E-3</v>
      </c>
      <c r="BX471" s="5"/>
      <c r="BY471" s="5"/>
      <c r="BZ471" s="5"/>
      <c r="CA471" s="5"/>
    </row>
    <row r="472" spans="1:79" x14ac:dyDescent="0.3">
      <c r="A472" s="4" t="s">
        <v>262</v>
      </c>
      <c r="B472" s="4">
        <v>0.9</v>
      </c>
      <c r="C472" s="4">
        <v>0.5</v>
      </c>
      <c r="D472" s="4">
        <v>0.6</v>
      </c>
      <c r="E472" s="4">
        <v>0.3</v>
      </c>
      <c r="F472" s="6">
        <v>734.44390899999996</v>
      </c>
      <c r="G472" s="4">
        <v>3.0000000000000001E-3</v>
      </c>
      <c r="I472" s="4" t="s">
        <v>262</v>
      </c>
      <c r="J472" s="4">
        <v>0.9</v>
      </c>
      <c r="K472" s="4">
        <v>0.5</v>
      </c>
      <c r="L472" s="4">
        <v>0.6</v>
      </c>
      <c r="M472" s="4">
        <v>0.3</v>
      </c>
      <c r="N472" s="4">
        <v>753.54058799999996</v>
      </c>
      <c r="O472" s="4">
        <v>4.0000000000000001E-3</v>
      </c>
      <c r="P472" s="5"/>
      <c r="Q472" s="5"/>
      <c r="R472" s="5"/>
      <c r="S472" s="5"/>
      <c r="U472" s="4" t="s">
        <v>262</v>
      </c>
      <c r="V472" s="4">
        <v>0.9</v>
      </c>
      <c r="W472" s="4">
        <v>0.5</v>
      </c>
      <c r="X472" s="4">
        <v>0.6</v>
      </c>
      <c r="Y472" s="4">
        <v>0.3</v>
      </c>
      <c r="Z472" s="6">
        <v>719.38476600000001</v>
      </c>
      <c r="AA472" s="4">
        <v>5.0000000000000001E-3</v>
      </c>
      <c r="AC472" s="4" t="s">
        <v>262</v>
      </c>
      <c r="AD472" s="4">
        <v>0.9</v>
      </c>
      <c r="AE472" s="4">
        <v>0.5</v>
      </c>
      <c r="AF472" s="4">
        <v>0.6</v>
      </c>
      <c r="AG472" s="4">
        <v>0.3</v>
      </c>
      <c r="AH472" s="4">
        <v>737.22241199999996</v>
      </c>
      <c r="AI472" s="4">
        <v>3.0000000000000001E-3</v>
      </c>
      <c r="AJ472" s="5"/>
      <c r="AK472" s="5"/>
      <c r="AL472" s="5"/>
      <c r="AM472" s="5"/>
      <c r="AO472" s="4" t="s">
        <v>263</v>
      </c>
      <c r="AP472" s="4">
        <v>0.9</v>
      </c>
      <c r="AQ472" s="4">
        <v>0.5</v>
      </c>
      <c r="AR472" s="4">
        <v>0.6</v>
      </c>
      <c r="AS472" s="4">
        <v>0.3</v>
      </c>
      <c r="AT472" s="6">
        <v>1004.8526000000001</v>
      </c>
      <c r="AU472" s="4">
        <v>1.0999999999999999E-2</v>
      </c>
      <c r="AW472" s="4" t="s">
        <v>263</v>
      </c>
      <c r="AX472" s="4">
        <v>0.9</v>
      </c>
      <c r="AY472" s="4">
        <v>0.5</v>
      </c>
      <c r="AZ472" s="4">
        <v>0.6</v>
      </c>
      <c r="BA472" s="4">
        <v>0.3</v>
      </c>
      <c r="BB472" s="4">
        <v>1019.43042</v>
      </c>
      <c r="BC472" s="4">
        <v>8.0000000000000002E-3</v>
      </c>
      <c r="BD472" s="5"/>
      <c r="BE472" s="5"/>
      <c r="BF472" s="5"/>
      <c r="BG472" s="5"/>
      <c r="BI472" s="4" t="s">
        <v>263</v>
      </c>
      <c r="BJ472" s="4">
        <v>0.9</v>
      </c>
      <c r="BK472" s="4">
        <v>0.5</v>
      </c>
      <c r="BL472" s="4">
        <v>0.6</v>
      </c>
      <c r="BM472" s="4">
        <v>0.3</v>
      </c>
      <c r="BN472" s="6">
        <v>973.24841300000003</v>
      </c>
      <c r="BO472" s="4">
        <v>8.9999999999999993E-3</v>
      </c>
      <c r="BQ472" s="4" t="s">
        <v>263</v>
      </c>
      <c r="BR472" s="4">
        <v>0.9</v>
      </c>
      <c r="BS472" s="4">
        <v>0.5</v>
      </c>
      <c r="BT472" s="4">
        <v>0.6</v>
      </c>
      <c r="BU472" s="4">
        <v>0.31</v>
      </c>
      <c r="BV472" s="4">
        <v>1001.333923</v>
      </c>
      <c r="BW472" s="4">
        <v>8.0000000000000002E-3</v>
      </c>
      <c r="BX472" s="5"/>
      <c r="BY472" s="5"/>
      <c r="BZ472" s="5"/>
      <c r="CA472" s="5"/>
    </row>
    <row r="473" spans="1:79" x14ac:dyDescent="0.3">
      <c r="A473" s="4" t="s">
        <v>264</v>
      </c>
      <c r="B473" s="4">
        <v>0.9</v>
      </c>
      <c r="C473" s="4">
        <v>0.5</v>
      </c>
      <c r="D473" s="4">
        <v>0.6</v>
      </c>
      <c r="E473" s="4">
        <v>0.3</v>
      </c>
      <c r="F473" s="6">
        <v>718.62316899999996</v>
      </c>
      <c r="G473" s="4">
        <v>2E-3</v>
      </c>
      <c r="I473" s="4" t="s">
        <v>264</v>
      </c>
      <c r="J473" s="4">
        <v>0.9</v>
      </c>
      <c r="K473" s="4">
        <v>0.5</v>
      </c>
      <c r="L473" s="4">
        <v>0.6</v>
      </c>
      <c r="M473" s="4">
        <v>0.34</v>
      </c>
      <c r="N473" s="4">
        <v>734.376892</v>
      </c>
      <c r="O473" s="4">
        <v>3.0000000000000001E-3</v>
      </c>
      <c r="P473" s="5"/>
      <c r="Q473" s="5"/>
      <c r="R473" s="5"/>
      <c r="S473" s="5"/>
      <c r="U473" s="4" t="s">
        <v>264</v>
      </c>
      <c r="V473" s="4">
        <v>0.9</v>
      </c>
      <c r="W473" s="4">
        <v>0.5</v>
      </c>
      <c r="X473" s="4">
        <v>0.6</v>
      </c>
      <c r="Y473" s="4">
        <v>0.3</v>
      </c>
      <c r="Z473" s="6">
        <v>709.68646200000001</v>
      </c>
      <c r="AA473" s="4">
        <v>3.0000000000000001E-3</v>
      </c>
      <c r="AC473" s="4" t="s">
        <v>264</v>
      </c>
      <c r="AD473" s="4">
        <v>0.9</v>
      </c>
      <c r="AE473" s="4">
        <v>0.5</v>
      </c>
      <c r="AF473" s="4">
        <v>0.6</v>
      </c>
      <c r="AG473" s="4">
        <v>0.3</v>
      </c>
      <c r="AH473" s="4">
        <v>712.62994400000002</v>
      </c>
      <c r="AI473" s="4">
        <v>3.0000000000000001E-3</v>
      </c>
      <c r="AJ473" s="5"/>
      <c r="AK473" s="5"/>
      <c r="AL473" s="5"/>
      <c r="AM473" s="5"/>
      <c r="AO473" s="4" t="s">
        <v>265</v>
      </c>
      <c r="AP473" s="4">
        <v>0.9</v>
      </c>
      <c r="AQ473" s="4">
        <v>0.5</v>
      </c>
      <c r="AR473" s="4">
        <v>0.6</v>
      </c>
      <c r="AS473" s="4">
        <v>0.3</v>
      </c>
      <c r="AT473" s="6">
        <v>988.555969</v>
      </c>
      <c r="AU473" s="4">
        <v>8.9999999999999993E-3</v>
      </c>
      <c r="AW473" s="4" t="s">
        <v>265</v>
      </c>
      <c r="AX473" s="4">
        <v>0.9</v>
      </c>
      <c r="AY473" s="4">
        <v>0.5</v>
      </c>
      <c r="AZ473" s="4">
        <v>0.6</v>
      </c>
      <c r="BA473" s="4">
        <v>0.31</v>
      </c>
      <c r="BB473" s="4">
        <v>1003.853394</v>
      </c>
      <c r="BC473" s="4">
        <v>0.02</v>
      </c>
      <c r="BD473" s="5"/>
      <c r="BE473" s="5"/>
      <c r="BF473" s="5"/>
      <c r="BG473" s="5"/>
      <c r="BI473" s="4" t="s">
        <v>265</v>
      </c>
      <c r="BJ473" s="4">
        <v>0.9</v>
      </c>
      <c r="BK473" s="4">
        <v>0.5</v>
      </c>
      <c r="BL473" s="4">
        <v>0.6</v>
      </c>
      <c r="BM473" s="4">
        <v>0.3</v>
      </c>
      <c r="BN473" s="6">
        <v>941.50958300000002</v>
      </c>
      <c r="BO473" s="4">
        <v>8.0000000000000002E-3</v>
      </c>
      <c r="BQ473" s="4" t="s">
        <v>265</v>
      </c>
      <c r="BR473" s="4">
        <v>0.9</v>
      </c>
      <c r="BS473" s="4">
        <v>0.5</v>
      </c>
      <c r="BT473" s="4">
        <v>0.6</v>
      </c>
      <c r="BU473" s="4">
        <v>0.32</v>
      </c>
      <c r="BV473" s="4">
        <v>965.18951400000003</v>
      </c>
      <c r="BW473" s="4">
        <v>8.0000000000000002E-3</v>
      </c>
      <c r="BX473" s="5"/>
      <c r="BY473" s="5"/>
      <c r="BZ473" s="5"/>
      <c r="CA473" s="5"/>
    </row>
    <row r="474" spans="1:79" x14ac:dyDescent="0.3">
      <c r="A474" s="4" t="s">
        <v>266</v>
      </c>
      <c r="B474" s="4">
        <v>0.9</v>
      </c>
      <c r="C474" s="4">
        <v>0.5</v>
      </c>
      <c r="D474" s="4">
        <v>0.6</v>
      </c>
      <c r="E474" s="4">
        <v>0.3</v>
      </c>
      <c r="F474" s="6">
        <v>637.82653800000003</v>
      </c>
      <c r="G474" s="4">
        <v>3.0000000000000001E-3</v>
      </c>
      <c r="I474" s="4" t="s">
        <v>266</v>
      </c>
      <c r="J474" s="4">
        <v>0.9</v>
      </c>
      <c r="K474" s="4">
        <v>0.5</v>
      </c>
      <c r="L474" s="4">
        <v>0.6</v>
      </c>
      <c r="M474" s="4">
        <v>0.38</v>
      </c>
      <c r="N474" s="4">
        <v>664.18463099999997</v>
      </c>
      <c r="O474" s="4">
        <v>3.0000000000000001E-3</v>
      </c>
      <c r="P474" s="5"/>
      <c r="Q474" s="5"/>
      <c r="R474" s="5"/>
      <c r="S474" s="5"/>
      <c r="U474" s="4" t="s">
        <v>266</v>
      </c>
      <c r="V474" s="4">
        <v>0.9</v>
      </c>
      <c r="W474" s="4">
        <v>0.5</v>
      </c>
      <c r="X474" s="4">
        <v>0.6</v>
      </c>
      <c r="Y474" s="4">
        <v>0.3</v>
      </c>
      <c r="Z474" s="6">
        <v>615.61096199999997</v>
      </c>
      <c r="AA474" s="4">
        <v>3.0000000000000001E-3</v>
      </c>
      <c r="AC474" s="4" t="s">
        <v>266</v>
      </c>
      <c r="AD474" s="4">
        <v>0.9</v>
      </c>
      <c r="AE474" s="4">
        <v>0.5</v>
      </c>
      <c r="AF474" s="4">
        <v>0.6</v>
      </c>
      <c r="AG474" s="4">
        <v>0.32</v>
      </c>
      <c r="AH474" s="4">
        <v>634.85668899999996</v>
      </c>
      <c r="AI474" s="4">
        <v>2E-3</v>
      </c>
      <c r="AJ474" s="5"/>
      <c r="AK474" s="5"/>
      <c r="AL474" s="5"/>
      <c r="AM474" s="5"/>
      <c r="AO474" s="4" t="s">
        <v>267</v>
      </c>
      <c r="AP474" s="4">
        <v>0.9</v>
      </c>
      <c r="AQ474" s="4">
        <v>0.5</v>
      </c>
      <c r="AR474" s="4">
        <v>0.6</v>
      </c>
      <c r="AS474" s="4">
        <v>0.3</v>
      </c>
      <c r="AT474" s="6">
        <v>1027.5726320000001</v>
      </c>
      <c r="AU474" s="4">
        <v>1.2999999999999999E-2</v>
      </c>
      <c r="AW474" s="4" t="s">
        <v>267</v>
      </c>
      <c r="AX474" s="4">
        <v>0.9</v>
      </c>
      <c r="AY474" s="4">
        <v>0.5</v>
      </c>
      <c r="AZ474" s="4">
        <v>0.6</v>
      </c>
      <c r="BA474" s="4">
        <v>0.31</v>
      </c>
      <c r="BB474" s="4">
        <v>1049.55603</v>
      </c>
      <c r="BC474" s="4">
        <v>1.0999999999999999E-2</v>
      </c>
      <c r="BD474" s="5"/>
      <c r="BE474" s="5"/>
      <c r="BF474" s="5"/>
      <c r="BG474" s="5"/>
      <c r="BI474" s="4" t="s">
        <v>267</v>
      </c>
      <c r="BJ474" s="4">
        <v>0.9</v>
      </c>
      <c r="BK474" s="4">
        <v>0.5</v>
      </c>
      <c r="BL474" s="4">
        <v>0.6</v>
      </c>
      <c r="BM474" s="4">
        <v>0.3</v>
      </c>
      <c r="BN474" s="6">
        <v>988.90533400000004</v>
      </c>
      <c r="BO474" s="4">
        <v>1.2E-2</v>
      </c>
      <c r="BQ474" s="4" t="s">
        <v>267</v>
      </c>
      <c r="BR474" s="4">
        <v>0.9</v>
      </c>
      <c r="BS474" s="4">
        <v>0.5</v>
      </c>
      <c r="BT474" s="4">
        <v>0.6</v>
      </c>
      <c r="BU474" s="4">
        <v>0.33</v>
      </c>
      <c r="BV474" s="4">
        <v>1013.558899</v>
      </c>
      <c r="BW474" s="4">
        <v>8.0000000000000002E-3</v>
      </c>
      <c r="BX474" s="5"/>
      <c r="BY474" s="5"/>
      <c r="BZ474" s="5"/>
      <c r="CA474" s="5"/>
    </row>
    <row r="475" spans="1:79" x14ac:dyDescent="0.3">
      <c r="A475" s="4" t="s">
        <v>268</v>
      </c>
      <c r="B475" s="4">
        <v>0.9</v>
      </c>
      <c r="C475" s="4">
        <v>0.5</v>
      </c>
      <c r="D475" s="4">
        <v>0.6</v>
      </c>
      <c r="E475" s="4">
        <v>0.3</v>
      </c>
      <c r="F475" s="6">
        <v>712.04998799999998</v>
      </c>
      <c r="G475" s="4">
        <v>2E-3</v>
      </c>
      <c r="I475" s="4" t="s">
        <v>268</v>
      </c>
      <c r="J475" s="4">
        <v>0.9</v>
      </c>
      <c r="K475" s="4">
        <v>0.5</v>
      </c>
      <c r="L475" s="4">
        <v>0.6</v>
      </c>
      <c r="M475" s="4">
        <v>0.3</v>
      </c>
      <c r="N475" s="4">
        <v>727.42108199999996</v>
      </c>
      <c r="O475" s="4">
        <v>3.0000000000000001E-3</v>
      </c>
      <c r="P475" s="5"/>
      <c r="Q475" s="5"/>
      <c r="R475" s="5"/>
      <c r="S475" s="5"/>
      <c r="U475" s="4" t="s">
        <v>268</v>
      </c>
      <c r="V475" s="4">
        <v>0.9</v>
      </c>
      <c r="W475" s="4">
        <v>0.5</v>
      </c>
      <c r="X475" s="4">
        <v>0.6</v>
      </c>
      <c r="Y475" s="4">
        <v>0.3</v>
      </c>
      <c r="Z475" s="6">
        <v>690.87085000000002</v>
      </c>
      <c r="AA475" s="4">
        <v>4.0000000000000001E-3</v>
      </c>
      <c r="AC475" s="4" t="s">
        <v>268</v>
      </c>
      <c r="AD475" s="4">
        <v>0.9</v>
      </c>
      <c r="AE475" s="4">
        <v>0.5</v>
      </c>
      <c r="AF475" s="4">
        <v>0.6</v>
      </c>
      <c r="AG475" s="4">
        <v>0.38</v>
      </c>
      <c r="AH475" s="4">
        <v>705.80127000000005</v>
      </c>
      <c r="AI475" s="4">
        <v>2E-3</v>
      </c>
      <c r="AJ475" s="5"/>
      <c r="AK475" s="5"/>
      <c r="AL475" s="5"/>
      <c r="AM475" s="5"/>
      <c r="AO475" s="4" t="s">
        <v>269</v>
      </c>
      <c r="AP475" s="4">
        <v>0.9</v>
      </c>
      <c r="AQ475" s="4">
        <v>0.5</v>
      </c>
      <c r="AR475" s="4">
        <v>0.6</v>
      </c>
      <c r="AS475" s="4">
        <v>0.3</v>
      </c>
      <c r="AT475" s="6">
        <v>969.58935499999995</v>
      </c>
      <c r="AU475" s="4">
        <v>8.9999999999999993E-3</v>
      </c>
      <c r="AW475" s="4" t="s">
        <v>269</v>
      </c>
      <c r="AX475" s="4">
        <v>0.9</v>
      </c>
      <c r="AY475" s="4">
        <v>0.5</v>
      </c>
      <c r="AZ475" s="4">
        <v>0.6</v>
      </c>
      <c r="BA475" s="4">
        <v>0.3</v>
      </c>
      <c r="BB475" s="4">
        <v>995.05761700000005</v>
      </c>
      <c r="BC475" s="4">
        <v>0.01</v>
      </c>
      <c r="BD475" s="5"/>
      <c r="BE475" s="5"/>
      <c r="BF475" s="5"/>
      <c r="BG475" s="5"/>
      <c r="BI475" s="4" t="s">
        <v>269</v>
      </c>
      <c r="BJ475" s="4">
        <v>0.9</v>
      </c>
      <c r="BK475" s="4">
        <v>0.5</v>
      </c>
      <c r="BL475" s="4">
        <v>0.6</v>
      </c>
      <c r="BM475" s="4">
        <v>0.3</v>
      </c>
      <c r="BN475" s="6">
        <v>949.79840100000001</v>
      </c>
      <c r="BO475" s="4">
        <v>1.2999999999999999E-2</v>
      </c>
      <c r="BQ475" s="4" t="s">
        <v>269</v>
      </c>
      <c r="BR475" s="4">
        <v>0.9</v>
      </c>
      <c r="BS475" s="4">
        <v>0.5</v>
      </c>
      <c r="BT475" s="4">
        <v>0.6</v>
      </c>
      <c r="BU475" s="4">
        <v>0.3</v>
      </c>
      <c r="BV475" s="4">
        <v>958.09942599999999</v>
      </c>
      <c r="BW475" s="4">
        <v>8.0000000000000002E-3</v>
      </c>
      <c r="BX475" s="5"/>
      <c r="BY475" s="5"/>
      <c r="BZ475" s="5"/>
      <c r="CA475" s="5"/>
    </row>
    <row r="476" spans="1:79" x14ac:dyDescent="0.3">
      <c r="A476" s="4" t="s">
        <v>270</v>
      </c>
      <c r="B476" s="4">
        <v>0.9</v>
      </c>
      <c r="C476" s="4">
        <v>0.5</v>
      </c>
      <c r="D476" s="4">
        <v>0.6</v>
      </c>
      <c r="E476" s="4">
        <v>0.3</v>
      </c>
      <c r="F476" s="6">
        <v>622.64617899999996</v>
      </c>
      <c r="G476" s="4">
        <v>3.0000000000000001E-3</v>
      </c>
      <c r="I476" s="4" t="s">
        <v>270</v>
      </c>
      <c r="J476" s="4">
        <v>0.9</v>
      </c>
      <c r="K476" s="4">
        <v>0.5</v>
      </c>
      <c r="L476" s="4">
        <v>0.6</v>
      </c>
      <c r="M476" s="4">
        <v>0.32</v>
      </c>
      <c r="N476" s="4">
        <v>630.65563999999995</v>
      </c>
      <c r="O476" s="4">
        <v>3.0000000000000001E-3</v>
      </c>
      <c r="P476" s="5"/>
      <c r="Q476" s="5"/>
      <c r="R476" s="5"/>
      <c r="S476" s="5"/>
      <c r="U476" s="4" t="s">
        <v>270</v>
      </c>
      <c r="V476" s="4">
        <v>0.9</v>
      </c>
      <c r="W476" s="4">
        <v>0.5</v>
      </c>
      <c r="X476" s="4">
        <v>0.6</v>
      </c>
      <c r="Y476" s="4">
        <v>0.3</v>
      </c>
      <c r="Z476" s="6">
        <v>581.98962400000005</v>
      </c>
      <c r="AA476" s="4">
        <v>3.0000000000000001E-3</v>
      </c>
      <c r="AC476" s="4" t="s">
        <v>270</v>
      </c>
      <c r="AD476" s="4">
        <v>0.9</v>
      </c>
      <c r="AE476" s="4">
        <v>0.5</v>
      </c>
      <c r="AF476" s="4">
        <v>0.6</v>
      </c>
      <c r="AG476" s="4">
        <v>0.34</v>
      </c>
      <c r="AH476" s="4">
        <v>591.30731200000002</v>
      </c>
      <c r="AI476" s="4">
        <v>2E-3</v>
      </c>
      <c r="AJ476" s="5"/>
      <c r="AK476" s="5"/>
      <c r="AL476" s="5"/>
      <c r="AM476" s="5"/>
      <c r="AO476" s="4" t="s">
        <v>271</v>
      </c>
      <c r="AP476" s="4">
        <v>0.9</v>
      </c>
      <c r="AQ476" s="4">
        <v>0.5</v>
      </c>
      <c r="AR476" s="4">
        <v>0.6</v>
      </c>
      <c r="AS476" s="4">
        <v>0.3</v>
      </c>
      <c r="AT476" s="6">
        <v>986.65966800000001</v>
      </c>
      <c r="AU476" s="4">
        <v>1.2E-2</v>
      </c>
      <c r="AW476" s="4" t="s">
        <v>271</v>
      </c>
      <c r="AX476" s="4">
        <v>0.9</v>
      </c>
      <c r="AY476" s="4">
        <v>0.5</v>
      </c>
      <c r="AZ476" s="4">
        <v>0.6</v>
      </c>
      <c r="BA476" s="4">
        <v>0.31</v>
      </c>
      <c r="BB476" s="4">
        <v>1007.261719</v>
      </c>
      <c r="BC476" s="4">
        <v>8.9999999999999993E-3</v>
      </c>
      <c r="BD476" s="5"/>
      <c r="BE476" s="5"/>
      <c r="BF476" s="5"/>
      <c r="BG476" s="5"/>
      <c r="BI476" s="4" t="s">
        <v>271</v>
      </c>
      <c r="BJ476" s="4">
        <v>0.9</v>
      </c>
      <c r="BK476" s="4">
        <v>0.5</v>
      </c>
      <c r="BL476" s="4">
        <v>0.6</v>
      </c>
      <c r="BM476" s="4">
        <v>0.3</v>
      </c>
      <c r="BN476" s="6">
        <v>952.22113000000002</v>
      </c>
      <c r="BO476" s="4">
        <v>1.6E-2</v>
      </c>
      <c r="BQ476" s="4" t="s">
        <v>271</v>
      </c>
      <c r="BR476" s="4">
        <v>0.9</v>
      </c>
      <c r="BS476" s="4">
        <v>0.5</v>
      </c>
      <c r="BT476" s="4">
        <v>0.6</v>
      </c>
      <c r="BU476" s="4">
        <v>0.31</v>
      </c>
      <c r="BV476" s="4">
        <v>981.47357199999999</v>
      </c>
      <c r="BW476" s="4">
        <v>8.9999999999999993E-3</v>
      </c>
      <c r="BX476" s="5"/>
      <c r="BY476" s="5"/>
      <c r="BZ476" s="5"/>
      <c r="CA476" s="5"/>
    </row>
    <row r="477" spans="1:79" x14ac:dyDescent="0.3">
      <c r="A477" s="4" t="s">
        <v>272</v>
      </c>
      <c r="B477" s="4">
        <v>0.9</v>
      </c>
      <c r="C477" s="4">
        <v>0.5</v>
      </c>
      <c r="D477" s="4">
        <v>0.6</v>
      </c>
      <c r="E477" s="4">
        <v>0.3</v>
      </c>
      <c r="F477" s="6">
        <v>755.72161900000003</v>
      </c>
      <c r="G477" s="4">
        <v>2E-3</v>
      </c>
      <c r="I477" s="4" t="s">
        <v>272</v>
      </c>
      <c r="J477" s="4">
        <v>0.9</v>
      </c>
      <c r="K477" s="4">
        <v>0.5</v>
      </c>
      <c r="L477" s="4">
        <v>0.6</v>
      </c>
      <c r="M477" s="4">
        <v>0.35</v>
      </c>
      <c r="N477" s="4">
        <v>783.14379899999994</v>
      </c>
      <c r="O477" s="4">
        <v>8.0000000000000002E-3</v>
      </c>
      <c r="P477" s="5"/>
      <c r="Q477" s="5"/>
      <c r="R477" s="5"/>
      <c r="S477" s="5"/>
      <c r="U477" s="4" t="s">
        <v>272</v>
      </c>
      <c r="V477" s="4">
        <v>0.9</v>
      </c>
      <c r="W477" s="4">
        <v>0.5</v>
      </c>
      <c r="X477" s="4">
        <v>0.6</v>
      </c>
      <c r="Y477" s="4">
        <v>0.3</v>
      </c>
      <c r="Z477" s="4">
        <v>756.42785600000002</v>
      </c>
      <c r="AA477" s="4">
        <v>7.0000000000000001E-3</v>
      </c>
      <c r="AC477" s="4" t="s">
        <v>272</v>
      </c>
      <c r="AD477" s="4">
        <v>0.9</v>
      </c>
      <c r="AE477" s="4">
        <v>0.5</v>
      </c>
      <c r="AF477" s="4">
        <v>0.6</v>
      </c>
      <c r="AG477" s="4">
        <v>0.34</v>
      </c>
      <c r="AH477" s="6">
        <v>742.618652</v>
      </c>
      <c r="AI477" s="4">
        <v>3.0000000000000001E-3</v>
      </c>
      <c r="AJ477" s="5"/>
      <c r="AK477" s="5"/>
      <c r="AL477" s="5"/>
      <c r="AM477" s="5"/>
      <c r="AO477" s="4" t="s">
        <v>273</v>
      </c>
      <c r="AP477" s="4">
        <v>0.9</v>
      </c>
      <c r="AQ477" s="4">
        <v>0.5</v>
      </c>
      <c r="AR477" s="4">
        <v>0.6</v>
      </c>
      <c r="AS477" s="4">
        <v>0.3</v>
      </c>
      <c r="AT477" s="6">
        <v>1018.851196</v>
      </c>
      <c r="AU477" s="4">
        <v>1.2999999999999999E-2</v>
      </c>
      <c r="AW477" s="4" t="s">
        <v>273</v>
      </c>
      <c r="AX477" s="4">
        <v>0.9</v>
      </c>
      <c r="AY477" s="4">
        <v>0.5</v>
      </c>
      <c r="AZ477" s="4">
        <v>0.6</v>
      </c>
      <c r="BA477" s="4">
        <v>0.33</v>
      </c>
      <c r="BB477" s="4">
        <v>1024.8781739999999</v>
      </c>
      <c r="BC477" s="4">
        <v>1.4999999999999999E-2</v>
      </c>
      <c r="BD477" s="5"/>
      <c r="BE477" s="5"/>
      <c r="BF477" s="5"/>
      <c r="BG477" s="5"/>
      <c r="BI477" s="4" t="s">
        <v>273</v>
      </c>
      <c r="BJ477" s="4">
        <v>0.9</v>
      </c>
      <c r="BK477" s="4">
        <v>0.5</v>
      </c>
      <c r="BL477" s="4">
        <v>0.6</v>
      </c>
      <c r="BM477" s="4">
        <v>0.3</v>
      </c>
      <c r="BN477" s="6">
        <v>989.233521</v>
      </c>
      <c r="BO477" s="4">
        <v>1.2999999999999999E-2</v>
      </c>
      <c r="BQ477" s="4" t="s">
        <v>273</v>
      </c>
      <c r="BR477" s="4">
        <v>0.9</v>
      </c>
      <c r="BS477" s="4">
        <v>0.5</v>
      </c>
      <c r="BT477" s="4">
        <v>0.6</v>
      </c>
      <c r="BU477" s="4">
        <v>0.32</v>
      </c>
      <c r="BV477" s="4">
        <v>1012.478638</v>
      </c>
      <c r="BW477" s="4">
        <v>8.0000000000000002E-3</v>
      </c>
      <c r="BX477" s="5"/>
      <c r="BY477" s="5"/>
      <c r="BZ477" s="5"/>
      <c r="CA477" s="5"/>
    </row>
    <row r="478" spans="1:79" x14ac:dyDescent="0.3">
      <c r="A478" s="4" t="s">
        <v>274</v>
      </c>
      <c r="B478" s="4">
        <v>0.9</v>
      </c>
      <c r="C478" s="4">
        <v>0.5</v>
      </c>
      <c r="D478" s="4">
        <v>0.6</v>
      </c>
      <c r="E478" s="4">
        <v>0.3</v>
      </c>
      <c r="F478" s="6">
        <v>796.67962599999998</v>
      </c>
      <c r="G478" s="4">
        <v>3.0000000000000001E-3</v>
      </c>
      <c r="I478" s="4" t="s">
        <v>274</v>
      </c>
      <c r="J478" s="4">
        <v>0.9</v>
      </c>
      <c r="K478" s="4">
        <v>0.5</v>
      </c>
      <c r="L478" s="4">
        <v>0.6</v>
      </c>
      <c r="M478" s="4">
        <v>0.3</v>
      </c>
      <c r="N478" s="4">
        <v>833.07189900000003</v>
      </c>
      <c r="O478" s="4">
        <v>5.0000000000000001E-3</v>
      </c>
      <c r="P478" s="5"/>
      <c r="Q478" s="5"/>
      <c r="R478" s="5"/>
      <c r="S478" s="5"/>
      <c r="U478" s="4" t="s">
        <v>274</v>
      </c>
      <c r="V478" s="4">
        <v>0.9</v>
      </c>
      <c r="W478" s="4">
        <v>0.5</v>
      </c>
      <c r="X478" s="4">
        <v>0.6</v>
      </c>
      <c r="Y478" s="4">
        <v>0.3</v>
      </c>
      <c r="Z478" s="6">
        <v>813.49890100000005</v>
      </c>
      <c r="AA478" s="4">
        <v>4.0000000000000001E-3</v>
      </c>
      <c r="AC478" s="4" t="s">
        <v>274</v>
      </c>
      <c r="AD478" s="4">
        <v>0.9</v>
      </c>
      <c r="AE478" s="4">
        <v>0.5</v>
      </c>
      <c r="AF478" s="4">
        <v>0.6</v>
      </c>
      <c r="AG478" s="4">
        <v>0.32</v>
      </c>
      <c r="AH478" s="4">
        <v>822.37542699999995</v>
      </c>
      <c r="AI478" s="4">
        <v>3.0000000000000001E-3</v>
      </c>
      <c r="AJ478" s="5"/>
      <c r="AK478" s="5"/>
      <c r="AL478" s="5"/>
      <c r="AM478" s="5"/>
      <c r="AO478" s="4" t="s">
        <v>275</v>
      </c>
      <c r="AP478" s="4">
        <v>0.9</v>
      </c>
      <c r="AQ478" s="4">
        <v>0.5</v>
      </c>
      <c r="AR478" s="4">
        <v>0.6</v>
      </c>
      <c r="AS478" s="4">
        <v>0.3</v>
      </c>
      <c r="AT478" s="6">
        <v>1099.8032229999999</v>
      </c>
      <c r="AU478" s="4">
        <v>1.0999999999999999E-2</v>
      </c>
      <c r="AW478" s="4" t="s">
        <v>275</v>
      </c>
      <c r="AX478" s="4">
        <v>0.9</v>
      </c>
      <c r="AY478" s="4">
        <v>0.5</v>
      </c>
      <c r="AZ478" s="4">
        <v>0.6</v>
      </c>
      <c r="BA478" s="4">
        <v>0.3</v>
      </c>
      <c r="BB478" s="4">
        <v>1138.2301030000001</v>
      </c>
      <c r="BC478" s="4">
        <v>1.0999999999999999E-2</v>
      </c>
      <c r="BD478" s="5"/>
      <c r="BE478" s="5"/>
      <c r="BF478" s="5"/>
      <c r="BG478" s="5"/>
      <c r="BI478" s="4" t="s">
        <v>275</v>
      </c>
      <c r="BJ478" s="4">
        <v>0.9</v>
      </c>
      <c r="BK478" s="4">
        <v>0.5</v>
      </c>
      <c r="BL478" s="4">
        <v>0.6</v>
      </c>
      <c r="BM478" s="4">
        <v>0.3</v>
      </c>
      <c r="BN478" s="6">
        <v>1084.2973629999999</v>
      </c>
      <c r="BO478" s="4">
        <v>1.2999999999999999E-2</v>
      </c>
      <c r="BQ478" s="4" t="s">
        <v>275</v>
      </c>
      <c r="BR478" s="4">
        <v>0.9</v>
      </c>
      <c r="BS478" s="4">
        <v>0.5</v>
      </c>
      <c r="BT478" s="4">
        <v>0.6</v>
      </c>
      <c r="BU478" s="4">
        <v>0.31</v>
      </c>
      <c r="BV478" s="4">
        <v>1118.424438</v>
      </c>
      <c r="BW478" s="4">
        <v>8.9999999999999993E-3</v>
      </c>
      <c r="BX478" s="5"/>
      <c r="BY478" s="5"/>
      <c r="BZ478" s="5"/>
      <c r="CA478" s="5"/>
    </row>
    <row r="479" spans="1:79" x14ac:dyDescent="0.3">
      <c r="A479" s="4" t="s">
        <v>276</v>
      </c>
      <c r="B479" s="4">
        <v>0.9</v>
      </c>
      <c r="C479" s="4">
        <v>0.5</v>
      </c>
      <c r="D479" s="4">
        <v>0.6</v>
      </c>
      <c r="E479" s="4">
        <v>0.3</v>
      </c>
      <c r="F479" s="6">
        <v>690.06048599999997</v>
      </c>
      <c r="G479" s="4">
        <v>3.0000000000000001E-3</v>
      </c>
      <c r="I479" s="4" t="s">
        <v>276</v>
      </c>
      <c r="J479" s="4">
        <v>0.9</v>
      </c>
      <c r="K479" s="4">
        <v>0.5</v>
      </c>
      <c r="L479" s="4">
        <v>0.6</v>
      </c>
      <c r="M479" s="4">
        <v>0.3</v>
      </c>
      <c r="N479" s="4">
        <v>720.60504200000003</v>
      </c>
      <c r="O479" s="4">
        <v>4.0000000000000001E-3</v>
      </c>
      <c r="P479" s="5"/>
      <c r="Q479" s="5"/>
      <c r="R479" s="5"/>
      <c r="S479" s="5"/>
      <c r="U479" s="4" t="s">
        <v>276</v>
      </c>
      <c r="V479" s="4">
        <v>0.9</v>
      </c>
      <c r="W479" s="4">
        <v>0.5</v>
      </c>
      <c r="X479" s="4">
        <v>0.6</v>
      </c>
      <c r="Y479" s="4">
        <v>0.3</v>
      </c>
      <c r="Z479" s="6">
        <v>687.54638699999998</v>
      </c>
      <c r="AA479" s="4">
        <v>4.0000000000000001E-3</v>
      </c>
      <c r="AC479" s="4" t="s">
        <v>276</v>
      </c>
      <c r="AD479" s="4">
        <v>0.9</v>
      </c>
      <c r="AE479" s="4">
        <v>0.5</v>
      </c>
      <c r="AF479" s="4">
        <v>0.6</v>
      </c>
      <c r="AG479" s="4">
        <v>0.31</v>
      </c>
      <c r="AH479" s="4">
        <v>696.82617200000004</v>
      </c>
      <c r="AI479" s="4">
        <v>3.0000000000000001E-3</v>
      </c>
      <c r="AJ479" s="5"/>
      <c r="AK479" s="5"/>
      <c r="AL479" s="5"/>
      <c r="AM479" s="5"/>
      <c r="AO479" s="4" t="s">
        <v>277</v>
      </c>
      <c r="AP479" s="4">
        <v>0.9</v>
      </c>
      <c r="AQ479" s="4">
        <v>0.5</v>
      </c>
      <c r="AR479" s="4">
        <v>0.6</v>
      </c>
      <c r="AS479" s="4">
        <v>0.3</v>
      </c>
      <c r="AT479" s="4">
        <v>1019.437134</v>
      </c>
      <c r="AU479" s="4">
        <v>8.9999999999999993E-3</v>
      </c>
      <c r="AW479" s="4" t="s">
        <v>277</v>
      </c>
      <c r="AX479" s="4">
        <v>0.9</v>
      </c>
      <c r="AY479" s="4">
        <v>0.5</v>
      </c>
      <c r="AZ479" s="4">
        <v>0.6</v>
      </c>
      <c r="BA479" s="4">
        <v>0.3</v>
      </c>
      <c r="BB479" s="6">
        <v>1010.922607</v>
      </c>
      <c r="BC479" s="4">
        <v>1.0999999999999999E-2</v>
      </c>
      <c r="BD479" s="5"/>
      <c r="BE479" s="5"/>
      <c r="BF479" s="5"/>
      <c r="BG479" s="5"/>
      <c r="BI479" s="4" t="s">
        <v>277</v>
      </c>
      <c r="BJ479" s="4">
        <v>0.9</v>
      </c>
      <c r="BK479" s="4">
        <v>0.5</v>
      </c>
      <c r="BL479" s="4">
        <v>0.6</v>
      </c>
      <c r="BM479" s="4">
        <v>0.3</v>
      </c>
      <c r="BN479" s="6">
        <v>978.41937299999995</v>
      </c>
      <c r="BO479" s="4">
        <v>1.2E-2</v>
      </c>
      <c r="BQ479" s="4" t="s">
        <v>277</v>
      </c>
      <c r="BR479" s="4">
        <v>0.9</v>
      </c>
      <c r="BS479" s="4">
        <v>0.5</v>
      </c>
      <c r="BT479" s="4">
        <v>0.6</v>
      </c>
      <c r="BU479" s="4">
        <v>0.3</v>
      </c>
      <c r="BV479" s="4">
        <v>1003.68396</v>
      </c>
      <c r="BW479" s="4">
        <v>8.0000000000000002E-3</v>
      </c>
      <c r="BX479" s="5"/>
      <c r="BY479" s="5"/>
      <c r="BZ479" s="5"/>
      <c r="CA479" s="5"/>
    </row>
    <row r="480" spans="1:79" x14ac:dyDescent="0.3">
      <c r="A480" s="4" t="s">
        <v>278</v>
      </c>
      <c r="B480" s="4">
        <v>0.9</v>
      </c>
      <c r="C480" s="4">
        <v>0.5</v>
      </c>
      <c r="D480" s="4">
        <v>0.6</v>
      </c>
      <c r="E480" s="4">
        <v>0.3</v>
      </c>
      <c r="F480" s="6">
        <v>657.08612100000005</v>
      </c>
      <c r="G480" s="4">
        <v>2E-3</v>
      </c>
      <c r="I480" s="4" t="s">
        <v>278</v>
      </c>
      <c r="J480" s="4">
        <v>0.9</v>
      </c>
      <c r="K480" s="4">
        <v>0.5</v>
      </c>
      <c r="L480" s="4">
        <v>0.6</v>
      </c>
      <c r="M480" s="4">
        <v>0.31</v>
      </c>
      <c r="N480" s="4">
        <v>677.85064699999998</v>
      </c>
      <c r="O480" s="4">
        <v>3.0000000000000001E-3</v>
      </c>
      <c r="P480" s="5"/>
      <c r="Q480" s="5"/>
      <c r="R480" s="5"/>
      <c r="S480" s="5"/>
      <c r="U480" s="4" t="s">
        <v>278</v>
      </c>
      <c r="V480" s="4">
        <v>0.9</v>
      </c>
      <c r="W480" s="4">
        <v>0.5</v>
      </c>
      <c r="X480" s="4">
        <v>0.6</v>
      </c>
      <c r="Y480" s="4">
        <v>0.3</v>
      </c>
      <c r="Z480" s="6">
        <v>645.84277299999997</v>
      </c>
      <c r="AA480" s="4">
        <v>3.0000000000000001E-3</v>
      </c>
      <c r="AC480" s="4" t="s">
        <v>278</v>
      </c>
      <c r="AD480" s="4">
        <v>0.9</v>
      </c>
      <c r="AE480" s="4">
        <v>0.5</v>
      </c>
      <c r="AF480" s="4">
        <v>0.6</v>
      </c>
      <c r="AG480" s="4">
        <v>0.31</v>
      </c>
      <c r="AH480" s="4">
        <v>659.14538600000003</v>
      </c>
      <c r="AI480" s="4">
        <v>3.0000000000000001E-3</v>
      </c>
      <c r="AJ480" s="5"/>
      <c r="AK480" s="5"/>
      <c r="AL480" s="5"/>
      <c r="AM480" s="5"/>
      <c r="AO480" s="4" t="s">
        <v>279</v>
      </c>
      <c r="AP480" s="4">
        <v>0.9</v>
      </c>
      <c r="AQ480" s="4">
        <v>0.5</v>
      </c>
      <c r="AR480" s="4">
        <v>0.6</v>
      </c>
      <c r="AS480" s="4">
        <v>0.3</v>
      </c>
      <c r="AT480" s="6">
        <v>1127.593384</v>
      </c>
      <c r="AU480" s="4">
        <v>8.9999999999999993E-3</v>
      </c>
      <c r="AW480" s="4" t="s">
        <v>279</v>
      </c>
      <c r="AX480" s="4">
        <v>0.9</v>
      </c>
      <c r="AY480" s="4">
        <v>0.5</v>
      </c>
      <c r="AZ480" s="4">
        <v>0.6</v>
      </c>
      <c r="BA480" s="4">
        <v>0.3</v>
      </c>
      <c r="BB480" s="4">
        <v>1179.5954589999999</v>
      </c>
      <c r="BC480" s="4">
        <v>0.01</v>
      </c>
      <c r="BD480" s="5"/>
      <c r="BE480" s="5"/>
      <c r="BF480" s="5"/>
      <c r="BG480" s="5"/>
      <c r="BI480" s="4" t="s">
        <v>279</v>
      </c>
      <c r="BJ480" s="4">
        <v>0.9</v>
      </c>
      <c r="BK480" s="4">
        <v>0.5</v>
      </c>
      <c r="BL480" s="4">
        <v>0.6</v>
      </c>
      <c r="BM480" s="4">
        <v>0.3</v>
      </c>
      <c r="BN480" s="6">
        <v>1104.2052000000001</v>
      </c>
      <c r="BO480" s="4">
        <v>1.0999999999999999E-2</v>
      </c>
      <c r="BQ480" s="4" t="s">
        <v>279</v>
      </c>
      <c r="BR480" s="4">
        <v>0.9</v>
      </c>
      <c r="BS480" s="4">
        <v>0.5</v>
      </c>
      <c r="BT480" s="4">
        <v>0.6</v>
      </c>
      <c r="BU480" s="4">
        <v>0.33</v>
      </c>
      <c r="BV480" s="4">
        <v>1131.363159</v>
      </c>
      <c r="BW480" s="4">
        <v>8.9999999999999993E-3</v>
      </c>
      <c r="BX480" s="5"/>
      <c r="BY480" s="5"/>
      <c r="BZ480" s="5"/>
      <c r="CA480" s="5"/>
    </row>
    <row r="481" spans="1:79" x14ac:dyDescent="0.3">
      <c r="A481" s="4" t="s">
        <v>280</v>
      </c>
      <c r="B481" s="4">
        <v>0.9</v>
      </c>
      <c r="C481" s="4">
        <v>0.5</v>
      </c>
      <c r="D481" s="4">
        <v>0.6</v>
      </c>
      <c r="E481" s="4">
        <v>0.3</v>
      </c>
      <c r="F481" s="6">
        <v>897.22430399999996</v>
      </c>
      <c r="G481" s="4">
        <v>3.0000000000000001E-3</v>
      </c>
      <c r="I481" s="4" t="s">
        <v>280</v>
      </c>
      <c r="J481" s="4">
        <v>0.9</v>
      </c>
      <c r="K481" s="4">
        <v>0.5</v>
      </c>
      <c r="L481" s="4">
        <v>0.6</v>
      </c>
      <c r="M481" s="4">
        <v>0.3</v>
      </c>
      <c r="N481" s="4">
        <v>905.378784</v>
      </c>
      <c r="O481" s="4">
        <v>4.0000000000000001E-3</v>
      </c>
      <c r="P481" s="5"/>
      <c r="Q481" s="5"/>
      <c r="R481" s="5"/>
      <c r="S481" s="5"/>
      <c r="U481" s="4" t="s">
        <v>280</v>
      </c>
      <c r="V481" s="4">
        <v>0.9</v>
      </c>
      <c r="W481" s="4">
        <v>0.5</v>
      </c>
      <c r="X481" s="4">
        <v>0.6</v>
      </c>
      <c r="Y481" s="4">
        <v>0.3</v>
      </c>
      <c r="Z481" s="6">
        <v>875.97729500000003</v>
      </c>
      <c r="AA481" s="4">
        <v>3.0000000000000001E-3</v>
      </c>
      <c r="AC481" s="4" t="s">
        <v>280</v>
      </c>
      <c r="AD481" s="4">
        <v>0.9</v>
      </c>
      <c r="AE481" s="4">
        <v>0.5</v>
      </c>
      <c r="AF481" s="4">
        <v>0.6</v>
      </c>
      <c r="AG481" s="4">
        <v>0.3</v>
      </c>
      <c r="AH481" s="4">
        <v>918.597534</v>
      </c>
      <c r="AI481" s="4">
        <v>3.0000000000000001E-3</v>
      </c>
      <c r="AJ481" s="5"/>
      <c r="AK481" s="5"/>
      <c r="AL481" s="5"/>
      <c r="AM481" s="5"/>
      <c r="AO481" s="4" t="s">
        <v>281</v>
      </c>
      <c r="AP481" s="4">
        <v>0.9</v>
      </c>
      <c r="AQ481" s="4">
        <v>0.5</v>
      </c>
      <c r="AR481" s="4">
        <v>0.6</v>
      </c>
      <c r="AS481" s="4">
        <v>0.3</v>
      </c>
      <c r="AT481" s="6">
        <v>1063.694702</v>
      </c>
      <c r="AU481" s="4">
        <v>0.01</v>
      </c>
      <c r="AW481" s="4" t="s">
        <v>281</v>
      </c>
      <c r="AX481" s="4">
        <v>0.9</v>
      </c>
      <c r="AY481" s="4">
        <v>0.5</v>
      </c>
      <c r="AZ481" s="4">
        <v>0.6</v>
      </c>
      <c r="BA481" s="4">
        <v>0.32</v>
      </c>
      <c r="BB481" s="4">
        <v>1084.477783</v>
      </c>
      <c r="BC481" s="4">
        <v>1.2E-2</v>
      </c>
      <c r="BD481" s="5"/>
      <c r="BE481" s="5"/>
      <c r="BF481" s="5"/>
      <c r="BG481" s="5"/>
      <c r="BI481" s="4" t="s">
        <v>281</v>
      </c>
      <c r="BJ481" s="4">
        <v>0.9</v>
      </c>
      <c r="BK481" s="4">
        <v>0.5</v>
      </c>
      <c r="BL481" s="4">
        <v>0.6</v>
      </c>
      <c r="BM481" s="4">
        <v>0.3</v>
      </c>
      <c r="BN481" s="6">
        <v>1052.3801269999999</v>
      </c>
      <c r="BO481" s="4">
        <v>1.0999999999999999E-2</v>
      </c>
      <c r="BQ481" s="4" t="s">
        <v>281</v>
      </c>
      <c r="BR481" s="4">
        <v>0.9</v>
      </c>
      <c r="BS481" s="4">
        <v>0.5</v>
      </c>
      <c r="BT481" s="4">
        <v>0.6</v>
      </c>
      <c r="BU481" s="4">
        <v>0.33</v>
      </c>
      <c r="BV481" s="4">
        <v>1094.220947</v>
      </c>
      <c r="BW481" s="4">
        <v>0.01</v>
      </c>
      <c r="BX481" s="5"/>
      <c r="BY481" s="5"/>
      <c r="BZ481" s="5"/>
      <c r="CA481" s="5"/>
    </row>
    <row r="482" spans="1:79" x14ac:dyDescent="0.3">
      <c r="A482" s="4" t="s">
        <v>282</v>
      </c>
      <c r="B482" s="4">
        <v>0.9</v>
      </c>
      <c r="C482" s="4">
        <v>0.5</v>
      </c>
      <c r="D482" s="4">
        <v>0.6</v>
      </c>
      <c r="E482" s="4">
        <v>0.3</v>
      </c>
      <c r="F482" s="6">
        <v>755.32135000000005</v>
      </c>
      <c r="G482" s="4">
        <v>3.0000000000000001E-3</v>
      </c>
      <c r="I482" s="4" t="s">
        <v>282</v>
      </c>
      <c r="J482" s="4">
        <v>0.9</v>
      </c>
      <c r="K482" s="4">
        <v>0.5</v>
      </c>
      <c r="L482" s="4">
        <v>0.6</v>
      </c>
      <c r="M482" s="4">
        <v>0.31</v>
      </c>
      <c r="N482" s="4">
        <v>830.02734399999997</v>
      </c>
      <c r="O482" s="4">
        <v>7.0000000000000001E-3</v>
      </c>
      <c r="P482" s="5"/>
      <c r="Q482" s="5"/>
      <c r="R482" s="5"/>
      <c r="S482" s="5"/>
      <c r="U482" s="4" t="s">
        <v>282</v>
      </c>
      <c r="V482" s="4">
        <v>0.9</v>
      </c>
      <c r="W482" s="4">
        <v>0.5</v>
      </c>
      <c r="X482" s="4">
        <v>0.6</v>
      </c>
      <c r="Y482" s="4">
        <v>0.3</v>
      </c>
      <c r="Z482" s="6">
        <v>776.64282200000002</v>
      </c>
      <c r="AA482" s="4">
        <v>5.0000000000000001E-3</v>
      </c>
      <c r="AC482" s="4" t="s">
        <v>282</v>
      </c>
      <c r="AD482" s="4">
        <v>0.9</v>
      </c>
      <c r="AE482" s="4">
        <v>0.5</v>
      </c>
      <c r="AF482" s="4">
        <v>0.6</v>
      </c>
      <c r="AG482" s="4">
        <v>0.32</v>
      </c>
      <c r="AH482" s="4">
        <v>794.37683100000004</v>
      </c>
      <c r="AI482" s="4">
        <v>3.0000000000000001E-3</v>
      </c>
      <c r="AJ482" s="5"/>
      <c r="AK482" s="5"/>
      <c r="AL482" s="5"/>
      <c r="AM482" s="5"/>
      <c r="AO482" s="4" t="s">
        <v>283</v>
      </c>
      <c r="AP482" s="4">
        <v>0.9</v>
      </c>
      <c r="AQ482" s="4">
        <v>0.5</v>
      </c>
      <c r="AR482" s="4">
        <v>0.6</v>
      </c>
      <c r="AS482" s="4">
        <v>0.3</v>
      </c>
      <c r="AT482" s="6">
        <v>1041.6770019999999</v>
      </c>
      <c r="AU482" s="4">
        <v>0.01</v>
      </c>
      <c r="AW482" s="4" t="s">
        <v>283</v>
      </c>
      <c r="AX482" s="4">
        <v>0.9</v>
      </c>
      <c r="AY482" s="4">
        <v>0.5</v>
      </c>
      <c r="AZ482" s="4">
        <v>0.6</v>
      </c>
      <c r="BA482" s="4">
        <v>0.33</v>
      </c>
      <c r="BB482" s="4">
        <v>1046.912476</v>
      </c>
      <c r="BC482" s="4">
        <v>1.6E-2</v>
      </c>
      <c r="BD482" s="5"/>
      <c r="BE482" s="5"/>
      <c r="BF482" s="5"/>
      <c r="BG482" s="5"/>
      <c r="BI482" s="4" t="s">
        <v>283</v>
      </c>
      <c r="BJ482" s="4">
        <v>0.9</v>
      </c>
      <c r="BK482" s="4">
        <v>0.5</v>
      </c>
      <c r="BL482" s="4">
        <v>0.6</v>
      </c>
      <c r="BM482" s="4">
        <v>0.3</v>
      </c>
      <c r="BN482" s="6">
        <v>1011.2282709999999</v>
      </c>
      <c r="BO482" s="4">
        <v>0.01</v>
      </c>
      <c r="BQ482" s="4" t="s">
        <v>283</v>
      </c>
      <c r="BR482" s="4">
        <v>0.9</v>
      </c>
      <c r="BS482" s="4">
        <v>0.5</v>
      </c>
      <c r="BT482" s="4">
        <v>0.6</v>
      </c>
      <c r="BU482" s="4">
        <v>0.3</v>
      </c>
      <c r="BV482" s="4">
        <v>1048.671875</v>
      </c>
      <c r="BW482" s="4">
        <v>1.0999999999999999E-2</v>
      </c>
      <c r="BX482" s="5"/>
      <c r="BY482" s="5"/>
      <c r="BZ482" s="5"/>
      <c r="CA482" s="5"/>
    </row>
    <row r="483" spans="1:79" x14ac:dyDescent="0.3">
      <c r="A483" s="4" t="s">
        <v>284</v>
      </c>
      <c r="B483" s="4">
        <v>0.9</v>
      </c>
      <c r="C483" s="4">
        <v>0.5</v>
      </c>
      <c r="D483" s="4">
        <v>0.6</v>
      </c>
      <c r="E483" s="4">
        <v>0.3</v>
      </c>
      <c r="F483" s="6">
        <v>853.20391800000004</v>
      </c>
      <c r="G483" s="4">
        <v>2E-3</v>
      </c>
      <c r="I483" s="4" t="s">
        <v>284</v>
      </c>
      <c r="J483" s="4">
        <v>0.9</v>
      </c>
      <c r="K483" s="4">
        <v>0.5</v>
      </c>
      <c r="L483" s="4">
        <v>0.6</v>
      </c>
      <c r="M483" s="4">
        <v>0.31</v>
      </c>
      <c r="N483" s="4">
        <v>880.04125999999997</v>
      </c>
      <c r="O483" s="4">
        <v>5.0000000000000001E-3</v>
      </c>
      <c r="P483" s="5"/>
      <c r="Q483" s="5"/>
      <c r="R483" s="5"/>
      <c r="S483" s="5"/>
      <c r="U483" s="4" t="s">
        <v>284</v>
      </c>
      <c r="V483" s="4">
        <v>0.9</v>
      </c>
      <c r="W483" s="4">
        <v>0.5</v>
      </c>
      <c r="X483" s="4">
        <v>0.6</v>
      </c>
      <c r="Y483" s="4">
        <v>0.3</v>
      </c>
      <c r="Z483" s="6">
        <v>821.77722200000005</v>
      </c>
      <c r="AA483" s="4">
        <v>5.0000000000000001E-3</v>
      </c>
      <c r="AC483" s="4" t="s">
        <v>284</v>
      </c>
      <c r="AD483" s="4">
        <v>0.9</v>
      </c>
      <c r="AE483" s="4">
        <v>0.5</v>
      </c>
      <c r="AF483" s="4">
        <v>0.6</v>
      </c>
      <c r="AG483" s="4">
        <v>0.3</v>
      </c>
      <c r="AH483" s="4">
        <v>844.53802499999995</v>
      </c>
      <c r="AI483" s="4">
        <v>3.0000000000000001E-3</v>
      </c>
      <c r="AJ483" s="5"/>
      <c r="AK483" s="5"/>
      <c r="AL483" s="5"/>
      <c r="AM483" s="5"/>
      <c r="AO483" s="4" t="s">
        <v>285</v>
      </c>
      <c r="AP483" s="4">
        <v>0.9</v>
      </c>
      <c r="AQ483" s="4">
        <v>0.5</v>
      </c>
      <c r="AR483" s="4">
        <v>0.6</v>
      </c>
      <c r="AS483" s="4">
        <v>0.3</v>
      </c>
      <c r="AT483" s="6">
        <v>1090.4702150000001</v>
      </c>
      <c r="AU483" s="4">
        <v>8.9999999999999993E-3</v>
      </c>
      <c r="AW483" s="4" t="s">
        <v>285</v>
      </c>
      <c r="AX483" s="4">
        <v>0.9</v>
      </c>
      <c r="AY483" s="4">
        <v>0.5</v>
      </c>
      <c r="AZ483" s="4">
        <v>0.6</v>
      </c>
      <c r="BA483" s="4">
        <v>0.31</v>
      </c>
      <c r="BB483" s="4">
        <v>1133.4798579999999</v>
      </c>
      <c r="BC483" s="4">
        <v>1.7000000000000001E-2</v>
      </c>
      <c r="BD483" s="5"/>
      <c r="BE483" s="5"/>
      <c r="BF483" s="5"/>
      <c r="BG483" s="5"/>
      <c r="BI483" s="4" t="s">
        <v>285</v>
      </c>
      <c r="BJ483" s="4">
        <v>0.9</v>
      </c>
      <c r="BK483" s="4">
        <v>0.5</v>
      </c>
      <c r="BL483" s="4">
        <v>0.6</v>
      </c>
      <c r="BM483" s="4">
        <v>0.3</v>
      </c>
      <c r="BN483" s="4">
        <v>1098.073975</v>
      </c>
      <c r="BO483" s="4">
        <v>1.2E-2</v>
      </c>
      <c r="BQ483" s="4" t="s">
        <v>285</v>
      </c>
      <c r="BR483" s="4">
        <v>0.9</v>
      </c>
      <c r="BS483" s="4">
        <v>0.5</v>
      </c>
      <c r="BT483" s="4">
        <v>0.6</v>
      </c>
      <c r="BU483" s="4">
        <v>0.3</v>
      </c>
      <c r="BV483" s="6">
        <v>1080.993408</v>
      </c>
      <c r="BW483" s="4">
        <v>0.01</v>
      </c>
      <c r="BX483" s="5"/>
      <c r="BY483" s="5"/>
      <c r="BZ483" s="5"/>
      <c r="CA483" s="5"/>
    </row>
    <row r="484" spans="1:79" x14ac:dyDescent="0.3">
      <c r="A484" s="4" t="s">
        <v>286</v>
      </c>
      <c r="B484" s="4">
        <v>0.9</v>
      </c>
      <c r="C484" s="4">
        <v>0.5</v>
      </c>
      <c r="D484" s="4">
        <v>0.6</v>
      </c>
      <c r="E484" s="4">
        <v>0.3</v>
      </c>
      <c r="F484" s="6">
        <v>710.39703399999996</v>
      </c>
      <c r="G484" s="4">
        <v>3.0000000000000001E-3</v>
      </c>
      <c r="I484" s="4" t="s">
        <v>286</v>
      </c>
      <c r="J484" s="4">
        <v>0.9</v>
      </c>
      <c r="K484" s="4">
        <v>0.5</v>
      </c>
      <c r="L484" s="4">
        <v>0.6</v>
      </c>
      <c r="M484" s="4">
        <v>0.32</v>
      </c>
      <c r="N484" s="4">
        <v>728.07934599999999</v>
      </c>
      <c r="O484" s="4">
        <v>4.0000000000000001E-3</v>
      </c>
      <c r="P484" s="5"/>
      <c r="Q484" s="5"/>
      <c r="R484" s="5"/>
      <c r="S484" s="5"/>
      <c r="U484" s="4" t="s">
        <v>286</v>
      </c>
      <c r="V484" s="4">
        <v>0.9</v>
      </c>
      <c r="W484" s="4">
        <v>0.5</v>
      </c>
      <c r="X484" s="4">
        <v>0.6</v>
      </c>
      <c r="Y484" s="4">
        <v>0.3</v>
      </c>
      <c r="Z484" s="4">
        <v>707.10632299999997</v>
      </c>
      <c r="AA484" s="4">
        <v>3.0000000000000001E-3</v>
      </c>
      <c r="AC484" s="4" t="s">
        <v>286</v>
      </c>
      <c r="AD484" s="4">
        <v>0.9</v>
      </c>
      <c r="AE484" s="4">
        <v>0.5</v>
      </c>
      <c r="AF484" s="4">
        <v>0.6</v>
      </c>
      <c r="AG484" s="4">
        <v>0.3</v>
      </c>
      <c r="AH484" s="6">
        <v>701.49176</v>
      </c>
      <c r="AI484" s="4">
        <v>3.0000000000000001E-3</v>
      </c>
      <c r="AJ484" s="5"/>
      <c r="AK484" s="5"/>
      <c r="AL484" s="5"/>
      <c r="AM484" s="5"/>
      <c r="AO484" s="4" t="s">
        <v>287</v>
      </c>
      <c r="AP484" s="4">
        <v>0.9</v>
      </c>
      <c r="AQ484" s="4">
        <v>0.5</v>
      </c>
      <c r="AR484" s="4">
        <v>0.6</v>
      </c>
      <c r="AS484" s="4">
        <v>0.3</v>
      </c>
      <c r="AT484" s="6">
        <v>1034.433716</v>
      </c>
      <c r="AU484" s="4">
        <v>1.0999999999999999E-2</v>
      </c>
      <c r="AW484" s="4" t="s">
        <v>287</v>
      </c>
      <c r="AX484" s="4">
        <v>0.9</v>
      </c>
      <c r="AY484" s="4">
        <v>0.5</v>
      </c>
      <c r="AZ484" s="4">
        <v>0.6</v>
      </c>
      <c r="BA484" s="4">
        <v>0.33</v>
      </c>
      <c r="BB484" s="4">
        <v>1058.607788</v>
      </c>
      <c r="BC484" s="4">
        <v>1.0999999999999999E-2</v>
      </c>
      <c r="BD484" s="5"/>
      <c r="BE484" s="5"/>
      <c r="BF484" s="5"/>
      <c r="BG484" s="5"/>
      <c r="BI484" s="4" t="s">
        <v>287</v>
      </c>
      <c r="BJ484" s="4">
        <v>0.9</v>
      </c>
      <c r="BK484" s="4">
        <v>0.5</v>
      </c>
      <c r="BL484" s="4">
        <v>0.6</v>
      </c>
      <c r="BM484" s="4">
        <v>0.3</v>
      </c>
      <c r="BN484" s="6">
        <v>1002.749207</v>
      </c>
      <c r="BO484" s="4">
        <v>1.2999999999999999E-2</v>
      </c>
      <c r="BQ484" s="4" t="s">
        <v>287</v>
      </c>
      <c r="BR484" s="4">
        <v>0.9</v>
      </c>
      <c r="BS484" s="4">
        <v>0.5</v>
      </c>
      <c r="BT484" s="4">
        <v>0.6</v>
      </c>
      <c r="BU484" s="4">
        <v>0.31</v>
      </c>
      <c r="BV484" s="4">
        <v>1049.001221</v>
      </c>
      <c r="BW484" s="4">
        <v>8.9999999999999993E-3</v>
      </c>
      <c r="BX484" s="5"/>
      <c r="BY484" s="5"/>
      <c r="BZ484" s="5"/>
      <c r="CA484" s="5"/>
    </row>
    <row r="485" spans="1:79" x14ac:dyDescent="0.3">
      <c r="A485" s="4" t="s">
        <v>288</v>
      </c>
      <c r="B485" s="4">
        <v>0.9</v>
      </c>
      <c r="C485" s="4">
        <v>0.5</v>
      </c>
      <c r="D485" s="4">
        <v>0.6</v>
      </c>
      <c r="E485" s="4">
        <v>0.3</v>
      </c>
      <c r="F485" s="6">
        <v>720.48278800000003</v>
      </c>
      <c r="G485" s="4">
        <v>3.0000000000000001E-3</v>
      </c>
      <c r="I485" s="4" t="s">
        <v>288</v>
      </c>
      <c r="J485" s="4">
        <v>0.9</v>
      </c>
      <c r="K485" s="4">
        <v>0.5</v>
      </c>
      <c r="L485" s="4">
        <v>0.6</v>
      </c>
      <c r="M485" s="4">
        <v>0.31</v>
      </c>
      <c r="N485" s="4">
        <v>738.00299099999995</v>
      </c>
      <c r="O485" s="4">
        <v>5.0000000000000001E-3</v>
      </c>
      <c r="P485" s="5"/>
      <c r="Q485" s="5"/>
      <c r="R485" s="5"/>
      <c r="S485" s="5"/>
      <c r="U485" s="4" t="s">
        <v>288</v>
      </c>
      <c r="V485" s="4">
        <v>0.9</v>
      </c>
      <c r="W485" s="4">
        <v>0.5</v>
      </c>
      <c r="X485" s="4">
        <v>0.6</v>
      </c>
      <c r="Y485" s="4">
        <v>0.3</v>
      </c>
      <c r="Z485" s="6">
        <v>692.97930899999994</v>
      </c>
      <c r="AA485" s="4">
        <v>3.0000000000000001E-3</v>
      </c>
      <c r="AC485" s="4" t="s">
        <v>288</v>
      </c>
      <c r="AD485" s="4">
        <v>0.9</v>
      </c>
      <c r="AE485" s="4">
        <v>0.5</v>
      </c>
      <c r="AF485" s="4">
        <v>0.6</v>
      </c>
      <c r="AG485" s="4">
        <v>0.31</v>
      </c>
      <c r="AH485" s="4">
        <v>737.00195299999996</v>
      </c>
      <c r="AI485" s="4">
        <v>3.0000000000000001E-3</v>
      </c>
      <c r="AJ485" s="5"/>
      <c r="AK485" s="5"/>
      <c r="AL485" s="5"/>
      <c r="AM485" s="5"/>
      <c r="AO485" s="4" t="s">
        <v>289</v>
      </c>
      <c r="AP485" s="4">
        <v>0.9</v>
      </c>
      <c r="AQ485" s="4">
        <v>0.5</v>
      </c>
      <c r="AR485" s="4">
        <v>0.6</v>
      </c>
      <c r="AS485" s="4">
        <v>0.3</v>
      </c>
      <c r="AT485" s="6">
        <v>1087.1956789999999</v>
      </c>
      <c r="AU485" s="4">
        <v>8.9999999999999993E-3</v>
      </c>
      <c r="AW485" s="4" t="s">
        <v>289</v>
      </c>
      <c r="AX485" s="4">
        <v>0.9</v>
      </c>
      <c r="AY485" s="4">
        <v>0.5</v>
      </c>
      <c r="AZ485" s="4">
        <v>0.6</v>
      </c>
      <c r="BA485" s="4">
        <v>0.3</v>
      </c>
      <c r="BB485" s="4">
        <v>1116.1123050000001</v>
      </c>
      <c r="BC485" s="4">
        <v>1.2E-2</v>
      </c>
      <c r="BD485" s="5"/>
      <c r="BE485" s="5"/>
      <c r="BF485" s="5"/>
      <c r="BG485" s="5"/>
      <c r="BI485" s="4" t="s">
        <v>289</v>
      </c>
      <c r="BJ485" s="4">
        <v>0.9</v>
      </c>
      <c r="BK485" s="4">
        <v>0.5</v>
      </c>
      <c r="BL485" s="4">
        <v>0.6</v>
      </c>
      <c r="BM485" s="4">
        <v>0.3</v>
      </c>
      <c r="BN485" s="6">
        <v>1085.960693</v>
      </c>
      <c r="BO485" s="4">
        <v>1.0999999999999999E-2</v>
      </c>
      <c r="BQ485" s="4" t="s">
        <v>289</v>
      </c>
      <c r="BR485" s="4">
        <v>0.9</v>
      </c>
      <c r="BS485" s="4">
        <v>0.5</v>
      </c>
      <c r="BT485" s="4">
        <v>0.6</v>
      </c>
      <c r="BU485" s="4">
        <v>0.31</v>
      </c>
      <c r="BV485" s="4">
        <v>1116.2773440000001</v>
      </c>
      <c r="BW485" s="4">
        <v>8.9999999999999993E-3</v>
      </c>
      <c r="BX485" s="5"/>
      <c r="BY485" s="5"/>
      <c r="BZ485" s="5"/>
      <c r="CA485" s="5"/>
    </row>
    <row r="486" spans="1:79" x14ac:dyDescent="0.3">
      <c r="A486" s="4" t="s">
        <v>290</v>
      </c>
      <c r="B486" s="4">
        <v>0.9</v>
      </c>
      <c r="C486" s="4">
        <v>0.5</v>
      </c>
      <c r="D486" s="4">
        <v>0.6</v>
      </c>
      <c r="E486" s="4">
        <v>0.3</v>
      </c>
      <c r="F486" s="6">
        <v>713.62298599999997</v>
      </c>
      <c r="G486" s="4">
        <v>3.0000000000000001E-3</v>
      </c>
      <c r="I486" s="4" t="s">
        <v>290</v>
      </c>
      <c r="J486" s="4">
        <v>0.9</v>
      </c>
      <c r="K486" s="4">
        <v>0.5</v>
      </c>
      <c r="L486" s="4">
        <v>0.6</v>
      </c>
      <c r="M486" s="4">
        <v>0.3</v>
      </c>
      <c r="N486" s="4">
        <v>740.64269999999999</v>
      </c>
      <c r="O486" s="4">
        <v>3.0000000000000001E-3</v>
      </c>
      <c r="P486" s="5"/>
      <c r="Q486" s="5"/>
      <c r="R486" s="5"/>
      <c r="S486" s="5"/>
      <c r="U486" s="4" t="s">
        <v>290</v>
      </c>
      <c r="V486" s="4">
        <v>0.9</v>
      </c>
      <c r="W486" s="4">
        <v>0.5</v>
      </c>
      <c r="X486" s="4">
        <v>0.6</v>
      </c>
      <c r="Y486" s="4">
        <v>0.3</v>
      </c>
      <c r="Z486" s="6">
        <v>708.43353300000001</v>
      </c>
      <c r="AA486" s="4">
        <v>3.0000000000000001E-3</v>
      </c>
      <c r="AC486" s="4" t="s">
        <v>290</v>
      </c>
      <c r="AD486" s="4">
        <v>0.9</v>
      </c>
      <c r="AE486" s="4">
        <v>0.5</v>
      </c>
      <c r="AF486" s="4">
        <v>0.6</v>
      </c>
      <c r="AG486" s="4">
        <v>0.31</v>
      </c>
      <c r="AH486" s="4">
        <v>728.834473</v>
      </c>
      <c r="AI486" s="4">
        <v>3.0000000000000001E-3</v>
      </c>
      <c r="AJ486" s="5"/>
      <c r="AK486" s="5"/>
      <c r="AL486" s="5"/>
      <c r="AM486" s="5"/>
      <c r="AO486" s="4" t="s">
        <v>291</v>
      </c>
      <c r="AP486" s="4">
        <v>0.9</v>
      </c>
      <c r="AQ486" s="4">
        <v>0.5</v>
      </c>
      <c r="AR486" s="4">
        <v>0.6</v>
      </c>
      <c r="AS486" s="4">
        <v>0.3</v>
      </c>
      <c r="AT486" s="6">
        <v>1058.1832280000001</v>
      </c>
      <c r="AU486" s="4">
        <v>0.01</v>
      </c>
      <c r="AW486" s="4" t="s">
        <v>291</v>
      </c>
      <c r="AX486" s="4">
        <v>0.9</v>
      </c>
      <c r="AY486" s="4">
        <v>0.5</v>
      </c>
      <c r="AZ486" s="4">
        <v>0.6</v>
      </c>
      <c r="BA486" s="4">
        <v>0.3</v>
      </c>
      <c r="BB486" s="4">
        <v>1097.5852050000001</v>
      </c>
      <c r="BC486" s="4">
        <v>0.01</v>
      </c>
      <c r="BD486" s="5"/>
      <c r="BE486" s="5"/>
      <c r="BF486" s="5"/>
      <c r="BG486" s="5"/>
      <c r="BI486" s="4" t="s">
        <v>291</v>
      </c>
      <c r="BJ486" s="4">
        <v>0.9</v>
      </c>
      <c r="BK486" s="4">
        <v>0.5</v>
      </c>
      <c r="BL486" s="4">
        <v>0.6</v>
      </c>
      <c r="BM486" s="4">
        <v>0.3</v>
      </c>
      <c r="BN486" s="6">
        <v>1027.645264</v>
      </c>
      <c r="BO486" s="4">
        <v>1.0999999999999999E-2</v>
      </c>
      <c r="BQ486" s="4" t="s">
        <v>291</v>
      </c>
      <c r="BR486" s="4">
        <v>0.9</v>
      </c>
      <c r="BS486" s="4">
        <v>0.5</v>
      </c>
      <c r="BT486" s="4">
        <v>0.6</v>
      </c>
      <c r="BU486" s="4">
        <v>0.32</v>
      </c>
      <c r="BV486" s="4">
        <v>1041.721558</v>
      </c>
      <c r="BW486" s="4">
        <v>8.9999999999999993E-3</v>
      </c>
      <c r="BX486" s="5"/>
      <c r="BY486" s="5"/>
      <c r="BZ486" s="5"/>
      <c r="CA486" s="5"/>
    </row>
    <row r="487" spans="1:79" x14ac:dyDescent="0.3">
      <c r="A487" s="4" t="s">
        <v>292</v>
      </c>
      <c r="B487" s="4">
        <v>0.9</v>
      </c>
      <c r="C487" s="4">
        <v>0.5</v>
      </c>
      <c r="D487" s="4">
        <v>0.6</v>
      </c>
      <c r="E487" s="4">
        <v>0.3</v>
      </c>
      <c r="F487" s="6">
        <v>774.61560099999997</v>
      </c>
      <c r="G487" s="4">
        <v>3.0000000000000001E-3</v>
      </c>
      <c r="I487" s="4" t="s">
        <v>292</v>
      </c>
      <c r="J487" s="4">
        <v>0.9</v>
      </c>
      <c r="K487" s="4">
        <v>0.5</v>
      </c>
      <c r="L487" s="4">
        <v>0.6</v>
      </c>
      <c r="M487" s="4">
        <v>0.3</v>
      </c>
      <c r="N487" s="4">
        <v>822.70788600000003</v>
      </c>
      <c r="O487" s="4">
        <v>7.0000000000000001E-3</v>
      </c>
      <c r="P487" s="5"/>
      <c r="Q487" s="5"/>
      <c r="R487" s="5"/>
      <c r="S487" s="5"/>
      <c r="U487" s="4" t="s">
        <v>292</v>
      </c>
      <c r="V487" s="4">
        <v>0.9</v>
      </c>
      <c r="W487" s="4">
        <v>0.5</v>
      </c>
      <c r="X487" s="4">
        <v>0.6</v>
      </c>
      <c r="Y487" s="4">
        <v>0.3</v>
      </c>
      <c r="Z487" s="6">
        <v>758.36389199999996</v>
      </c>
      <c r="AA487" s="4">
        <v>3.0000000000000001E-3</v>
      </c>
      <c r="AC487" s="4" t="s">
        <v>292</v>
      </c>
      <c r="AD487" s="4">
        <v>0.9</v>
      </c>
      <c r="AE487" s="4">
        <v>0.5</v>
      </c>
      <c r="AF487" s="4">
        <v>0.6</v>
      </c>
      <c r="AG487" s="4">
        <v>0.3</v>
      </c>
      <c r="AH487" s="4">
        <v>794.46606399999996</v>
      </c>
      <c r="AI487" s="4">
        <v>3.0000000000000001E-3</v>
      </c>
      <c r="AJ487" s="5"/>
      <c r="AK487" s="5"/>
      <c r="AL487" s="5"/>
      <c r="AM487" s="5"/>
      <c r="AO487" s="4" t="s">
        <v>293</v>
      </c>
      <c r="AP487" s="4">
        <v>0.9</v>
      </c>
      <c r="AQ487" s="4">
        <v>0.5</v>
      </c>
      <c r="AR487" s="4">
        <v>0.6</v>
      </c>
      <c r="AS487" s="4">
        <v>0.3</v>
      </c>
      <c r="AT487" s="6">
        <v>1105.636841</v>
      </c>
      <c r="AU487" s="4">
        <v>1.2E-2</v>
      </c>
      <c r="AW487" s="4" t="s">
        <v>293</v>
      </c>
      <c r="AX487" s="4">
        <v>0.9</v>
      </c>
      <c r="AY487" s="4">
        <v>0.5</v>
      </c>
      <c r="AZ487" s="4">
        <v>0.6</v>
      </c>
      <c r="BA487" s="4">
        <v>0.32</v>
      </c>
      <c r="BB487" s="4">
        <v>1132.5371090000001</v>
      </c>
      <c r="BC487" s="4">
        <v>1.6E-2</v>
      </c>
      <c r="BD487" s="5"/>
      <c r="BE487" s="5"/>
      <c r="BF487" s="5"/>
      <c r="BG487" s="5"/>
      <c r="BI487" s="4" t="s">
        <v>293</v>
      </c>
      <c r="BJ487" s="4">
        <v>0.9</v>
      </c>
      <c r="BK487" s="4">
        <v>0.5</v>
      </c>
      <c r="BL487" s="4">
        <v>0.6</v>
      </c>
      <c r="BM487" s="4">
        <v>0.3</v>
      </c>
      <c r="BN487" s="6">
        <v>1096.2033690000001</v>
      </c>
      <c r="BO487" s="4">
        <v>1.0999999999999999E-2</v>
      </c>
      <c r="BQ487" s="4" t="s">
        <v>293</v>
      </c>
      <c r="BR487" s="4">
        <v>0.9</v>
      </c>
      <c r="BS487" s="4">
        <v>0.5</v>
      </c>
      <c r="BT487" s="4">
        <v>0.6</v>
      </c>
      <c r="BU487" s="4">
        <v>0.31</v>
      </c>
      <c r="BV487" s="4">
        <v>1116.8828120000001</v>
      </c>
      <c r="BW487" s="4">
        <v>8.9999999999999993E-3</v>
      </c>
      <c r="BX487" s="5"/>
      <c r="BY487" s="5"/>
      <c r="BZ487" s="5"/>
      <c r="CA487" s="5"/>
    </row>
    <row r="488" spans="1:79" x14ac:dyDescent="0.3">
      <c r="A488" s="4" t="s">
        <v>294</v>
      </c>
      <c r="B488" s="4">
        <v>0.9</v>
      </c>
      <c r="C488" s="4">
        <v>0.5</v>
      </c>
      <c r="D488" s="4">
        <v>0.6</v>
      </c>
      <c r="E488" s="4">
        <v>0.3</v>
      </c>
      <c r="F488" s="6">
        <v>914.16272000000004</v>
      </c>
      <c r="G488" s="4">
        <v>4.0000000000000001E-3</v>
      </c>
      <c r="I488" s="4" t="s">
        <v>294</v>
      </c>
      <c r="J488" s="4">
        <v>0.9</v>
      </c>
      <c r="K488" s="4">
        <v>0.5</v>
      </c>
      <c r="L488" s="4">
        <v>0.6</v>
      </c>
      <c r="M488" s="4">
        <v>0.3</v>
      </c>
      <c r="N488" s="4">
        <v>944.66210899999999</v>
      </c>
      <c r="O488" s="4">
        <v>5.0000000000000001E-3</v>
      </c>
      <c r="P488" s="5"/>
      <c r="Q488" s="5"/>
      <c r="R488" s="5"/>
      <c r="S488" s="5"/>
      <c r="U488" s="4" t="s">
        <v>294</v>
      </c>
      <c r="V488" s="4">
        <v>0.9</v>
      </c>
      <c r="W488" s="4">
        <v>0.5</v>
      </c>
      <c r="X488" s="4">
        <v>0.6</v>
      </c>
      <c r="Y488" s="4">
        <v>0.3</v>
      </c>
      <c r="Z488" s="6">
        <v>905.15368699999999</v>
      </c>
      <c r="AA488" s="4">
        <v>7.0000000000000001E-3</v>
      </c>
      <c r="AC488" s="4" t="s">
        <v>294</v>
      </c>
      <c r="AD488" s="4">
        <v>0.9</v>
      </c>
      <c r="AE488" s="4">
        <v>0.5</v>
      </c>
      <c r="AF488" s="4">
        <v>0.6</v>
      </c>
      <c r="AG488" s="4">
        <v>0.31</v>
      </c>
      <c r="AH488" s="4">
        <v>906.38415499999996</v>
      </c>
      <c r="AI488" s="4">
        <v>3.0000000000000001E-3</v>
      </c>
      <c r="AJ488" s="5"/>
      <c r="AK488" s="5"/>
      <c r="AL488" s="5"/>
      <c r="AM488" s="5"/>
      <c r="AO488" s="4" t="s">
        <v>295</v>
      </c>
      <c r="AP488" s="4">
        <v>0.9</v>
      </c>
      <c r="AQ488" s="4">
        <v>0.5</v>
      </c>
      <c r="AR488" s="4">
        <v>0.6</v>
      </c>
      <c r="AS488" s="4">
        <v>0.3</v>
      </c>
      <c r="AT488" s="6">
        <v>1193.450317</v>
      </c>
      <c r="AU488" s="4">
        <v>1.2999999999999999E-2</v>
      </c>
      <c r="AW488" s="4" t="s">
        <v>295</v>
      </c>
      <c r="AX488" s="4">
        <v>0.9</v>
      </c>
      <c r="AY488" s="4">
        <v>0.5</v>
      </c>
      <c r="AZ488" s="4">
        <v>0.6</v>
      </c>
      <c r="BA488" s="4">
        <v>0.3</v>
      </c>
      <c r="BB488" s="4">
        <v>1220.599976</v>
      </c>
      <c r="BC488" s="4">
        <v>1.2E-2</v>
      </c>
      <c r="BD488" s="5"/>
      <c r="BE488" s="5"/>
      <c r="BF488" s="5"/>
      <c r="BG488" s="5"/>
      <c r="BI488" s="4" t="s">
        <v>295</v>
      </c>
      <c r="BJ488" s="4">
        <v>0.9</v>
      </c>
      <c r="BK488" s="4">
        <v>0.5</v>
      </c>
      <c r="BL488" s="4">
        <v>0.6</v>
      </c>
      <c r="BM488" s="4">
        <v>0.3</v>
      </c>
      <c r="BN488" s="6">
        <v>1188.8735349999999</v>
      </c>
      <c r="BO488" s="4">
        <v>1.4E-2</v>
      </c>
      <c r="BQ488" s="4" t="s">
        <v>295</v>
      </c>
      <c r="BR488" s="4">
        <v>0.9</v>
      </c>
      <c r="BS488" s="4">
        <v>0.5</v>
      </c>
      <c r="BT488" s="4">
        <v>0.6</v>
      </c>
      <c r="BU488" s="4">
        <v>0.3</v>
      </c>
      <c r="BV488" s="4">
        <v>1214.5576169999999</v>
      </c>
      <c r="BW488" s="4">
        <v>1.2E-2</v>
      </c>
      <c r="BX488" s="5"/>
      <c r="BY488" s="5"/>
      <c r="BZ488" s="5"/>
      <c r="CA488" s="5"/>
    </row>
    <row r="489" spans="1:79" x14ac:dyDescent="0.3">
      <c r="A489" s="4" t="s">
        <v>296</v>
      </c>
      <c r="B489" s="4">
        <v>0.9</v>
      </c>
      <c r="C489" s="4">
        <v>0.5</v>
      </c>
      <c r="D489" s="4">
        <v>0.6</v>
      </c>
      <c r="E489" s="4">
        <v>0.3</v>
      </c>
      <c r="F489" s="6">
        <v>893.09466599999996</v>
      </c>
      <c r="G489" s="4">
        <v>3.0000000000000001E-3</v>
      </c>
      <c r="I489" s="4" t="s">
        <v>296</v>
      </c>
      <c r="J489" s="4">
        <v>0.9</v>
      </c>
      <c r="K489" s="4">
        <v>0.5</v>
      </c>
      <c r="L489" s="4">
        <v>0.6</v>
      </c>
      <c r="M489" s="4">
        <v>0.32</v>
      </c>
      <c r="N489" s="4">
        <v>928.26263400000005</v>
      </c>
      <c r="O489" s="4">
        <v>3.0000000000000001E-3</v>
      </c>
      <c r="P489" s="5"/>
      <c r="Q489" s="5"/>
      <c r="R489" s="5"/>
      <c r="S489" s="5"/>
      <c r="U489" s="4" t="s">
        <v>296</v>
      </c>
      <c r="V489" s="4">
        <v>0.9</v>
      </c>
      <c r="W489" s="4">
        <v>0.5</v>
      </c>
      <c r="X489" s="4">
        <v>0.6</v>
      </c>
      <c r="Y489" s="4">
        <v>0.3</v>
      </c>
      <c r="Z489" s="6">
        <v>874.65167199999996</v>
      </c>
      <c r="AA489" s="4">
        <v>6.0000000000000001E-3</v>
      </c>
      <c r="AC489" s="4" t="s">
        <v>296</v>
      </c>
      <c r="AD489" s="4">
        <v>0.9</v>
      </c>
      <c r="AE489" s="4">
        <v>0.5</v>
      </c>
      <c r="AF489" s="4">
        <v>0.6</v>
      </c>
      <c r="AG489" s="4">
        <v>0.3</v>
      </c>
      <c r="AH489" s="4">
        <v>913.64996299999996</v>
      </c>
      <c r="AI489" s="4">
        <v>3.0000000000000001E-3</v>
      </c>
      <c r="AJ489" s="5"/>
      <c r="AK489" s="5"/>
      <c r="AL489" s="5"/>
      <c r="AM489" s="5"/>
      <c r="AO489" s="4" t="s">
        <v>297</v>
      </c>
      <c r="AP489" s="4">
        <v>0.9</v>
      </c>
      <c r="AQ489" s="4">
        <v>0.5</v>
      </c>
      <c r="AR489" s="4">
        <v>0.6</v>
      </c>
      <c r="AS489" s="4">
        <v>0.3</v>
      </c>
      <c r="AT489" s="6">
        <v>1149.255371</v>
      </c>
      <c r="AU489" s="4">
        <v>1.0999999999999999E-2</v>
      </c>
      <c r="AW489" s="4" t="s">
        <v>297</v>
      </c>
      <c r="AX489" s="4">
        <v>0.9</v>
      </c>
      <c r="AY489" s="4">
        <v>0.5</v>
      </c>
      <c r="AZ489" s="4">
        <v>0.6</v>
      </c>
      <c r="BA489" s="4">
        <v>0.3</v>
      </c>
      <c r="BB489" s="4">
        <v>1180.3618160000001</v>
      </c>
      <c r="BC489" s="4">
        <v>1.4999999999999999E-2</v>
      </c>
      <c r="BD489" s="5"/>
      <c r="BE489" s="5"/>
      <c r="BF489" s="5"/>
      <c r="BG489" s="5"/>
      <c r="BI489" s="4" t="s">
        <v>297</v>
      </c>
      <c r="BJ489" s="4">
        <v>0.9</v>
      </c>
      <c r="BK489" s="4">
        <v>0.5</v>
      </c>
      <c r="BL489" s="4">
        <v>0.6</v>
      </c>
      <c r="BM489" s="4">
        <v>0.3</v>
      </c>
      <c r="BN489" s="6">
        <v>1111.2010499999999</v>
      </c>
      <c r="BO489" s="4">
        <v>1.2999999999999999E-2</v>
      </c>
      <c r="BQ489" s="4" t="s">
        <v>297</v>
      </c>
      <c r="BR489" s="4">
        <v>0.9</v>
      </c>
      <c r="BS489" s="4">
        <v>0.5</v>
      </c>
      <c r="BT489" s="4">
        <v>0.6</v>
      </c>
      <c r="BU489" s="4">
        <v>0.34</v>
      </c>
      <c r="BV489" s="4">
        <v>1164.8603519999999</v>
      </c>
      <c r="BW489" s="4">
        <v>0.01</v>
      </c>
      <c r="BX489" s="5"/>
      <c r="BY489" s="5"/>
      <c r="BZ489" s="5"/>
      <c r="CA489" s="5"/>
    </row>
    <row r="490" spans="1:79" x14ac:dyDescent="0.3">
      <c r="A490" s="4" t="s">
        <v>298</v>
      </c>
      <c r="B490" s="4">
        <v>0.9</v>
      </c>
      <c r="C490" s="4">
        <v>0.5</v>
      </c>
      <c r="D490" s="4">
        <v>0.6</v>
      </c>
      <c r="E490" s="4">
        <v>0.3</v>
      </c>
      <c r="F490" s="6">
        <v>754.82855199999995</v>
      </c>
      <c r="G490" s="4">
        <v>3.0000000000000001E-3</v>
      </c>
      <c r="I490" s="4" t="s">
        <v>298</v>
      </c>
      <c r="J490" s="4">
        <v>0.9</v>
      </c>
      <c r="K490" s="4">
        <v>0.5</v>
      </c>
      <c r="L490" s="4">
        <v>0.6</v>
      </c>
      <c r="M490" s="4">
        <v>0.3</v>
      </c>
      <c r="N490" s="4">
        <v>798.21234100000004</v>
      </c>
      <c r="O490" s="4">
        <v>4.0000000000000001E-3</v>
      </c>
      <c r="P490" s="5"/>
      <c r="Q490" s="5"/>
      <c r="R490" s="5"/>
      <c r="S490" s="5"/>
      <c r="U490" s="4" t="s">
        <v>298</v>
      </c>
      <c r="V490" s="4">
        <v>0.9</v>
      </c>
      <c r="W490" s="4">
        <v>0.5</v>
      </c>
      <c r="X490" s="4">
        <v>0.6</v>
      </c>
      <c r="Y490" s="4">
        <v>0.3</v>
      </c>
      <c r="Z490" s="6">
        <v>769.587402</v>
      </c>
      <c r="AA490" s="4">
        <v>5.0000000000000001E-3</v>
      </c>
      <c r="AC490" s="4" t="s">
        <v>298</v>
      </c>
      <c r="AD490" s="4">
        <v>0.9</v>
      </c>
      <c r="AE490" s="4">
        <v>0.5</v>
      </c>
      <c r="AF490" s="4">
        <v>0.6</v>
      </c>
      <c r="AG490" s="4">
        <v>0.31</v>
      </c>
      <c r="AH490" s="4">
        <v>790.79315199999996</v>
      </c>
      <c r="AI490" s="4">
        <v>3.0000000000000001E-3</v>
      </c>
      <c r="AJ490" s="5"/>
      <c r="AK490" s="5"/>
      <c r="AL490" s="5"/>
      <c r="AM490" s="5"/>
      <c r="AO490" s="4" t="s">
        <v>299</v>
      </c>
      <c r="AP490" s="4">
        <v>0.9</v>
      </c>
      <c r="AQ490" s="4">
        <v>0.5</v>
      </c>
      <c r="AR490" s="4">
        <v>0.6</v>
      </c>
      <c r="AS490" s="4">
        <v>0.3</v>
      </c>
      <c r="AT490" s="6">
        <v>1175.9945070000001</v>
      </c>
      <c r="AU490" s="4">
        <v>1.0999999999999999E-2</v>
      </c>
      <c r="AW490" s="4" t="s">
        <v>299</v>
      </c>
      <c r="AX490" s="4">
        <v>0.9</v>
      </c>
      <c r="AY490" s="4">
        <v>0.5</v>
      </c>
      <c r="AZ490" s="4">
        <v>0.6</v>
      </c>
      <c r="BA490" s="4">
        <v>0.31</v>
      </c>
      <c r="BB490" s="4">
        <v>1197.708862</v>
      </c>
      <c r="BC490" s="4">
        <v>1.2E-2</v>
      </c>
      <c r="BD490" s="5"/>
      <c r="BE490" s="5"/>
      <c r="BF490" s="5"/>
      <c r="BG490" s="5"/>
      <c r="BI490" s="4" t="s">
        <v>299</v>
      </c>
      <c r="BJ490" s="4">
        <v>0.9</v>
      </c>
      <c r="BK490" s="4">
        <v>0.5</v>
      </c>
      <c r="BL490" s="4">
        <v>0.6</v>
      </c>
      <c r="BM490" s="4">
        <v>0.3</v>
      </c>
      <c r="BN490" s="6">
        <v>1160.5267329999999</v>
      </c>
      <c r="BO490" s="4">
        <v>1.7999999999999999E-2</v>
      </c>
      <c r="BQ490" s="4" t="s">
        <v>299</v>
      </c>
      <c r="BR490" s="4">
        <v>0.9</v>
      </c>
      <c r="BS490" s="4">
        <v>0.5</v>
      </c>
      <c r="BT490" s="4">
        <v>0.6</v>
      </c>
      <c r="BU490" s="4">
        <v>0.3</v>
      </c>
      <c r="BV490" s="4">
        <v>1205.012939</v>
      </c>
      <c r="BW490" s="4">
        <v>0.01</v>
      </c>
      <c r="BX490" s="5"/>
      <c r="BY490" s="5"/>
      <c r="BZ490" s="5"/>
      <c r="CA490" s="5"/>
    </row>
    <row r="491" spans="1:79" x14ac:dyDescent="0.3">
      <c r="A491" s="4" t="s">
        <v>300</v>
      </c>
      <c r="B491" s="4">
        <v>0.9</v>
      </c>
      <c r="C491" s="4">
        <v>0.5</v>
      </c>
      <c r="D491" s="4">
        <v>0.6</v>
      </c>
      <c r="E491" s="4">
        <v>0.3</v>
      </c>
      <c r="F491" s="6">
        <v>835.60382100000004</v>
      </c>
      <c r="G491" s="4">
        <v>3.0000000000000001E-3</v>
      </c>
      <c r="I491" s="4" t="s">
        <v>300</v>
      </c>
      <c r="J491" s="4">
        <v>0.9</v>
      </c>
      <c r="K491" s="4">
        <v>0.5</v>
      </c>
      <c r="L491" s="4">
        <v>0.6</v>
      </c>
      <c r="M491" s="4">
        <v>0.3</v>
      </c>
      <c r="N491" s="4">
        <v>868.07818599999996</v>
      </c>
      <c r="O491" s="4">
        <v>3.0000000000000001E-3</v>
      </c>
      <c r="P491" s="5"/>
      <c r="Q491" s="5"/>
      <c r="R491" s="5"/>
      <c r="S491" s="5"/>
      <c r="U491" s="4" t="s">
        <v>300</v>
      </c>
      <c r="V491" s="4">
        <v>0.9</v>
      </c>
      <c r="W491" s="4">
        <v>0.5</v>
      </c>
      <c r="X491" s="4">
        <v>0.6</v>
      </c>
      <c r="Y491" s="4">
        <v>0.3</v>
      </c>
      <c r="Z491" s="6">
        <v>822.50744599999996</v>
      </c>
      <c r="AA491" s="4">
        <v>5.0000000000000001E-3</v>
      </c>
      <c r="AC491" s="4" t="s">
        <v>300</v>
      </c>
      <c r="AD491" s="4">
        <v>0.9</v>
      </c>
      <c r="AE491" s="4">
        <v>0.5</v>
      </c>
      <c r="AF491" s="4">
        <v>0.6</v>
      </c>
      <c r="AG491" s="4">
        <v>0.34</v>
      </c>
      <c r="AH491" s="4">
        <v>861.31701699999996</v>
      </c>
      <c r="AI491" s="4">
        <v>3.0000000000000001E-3</v>
      </c>
      <c r="AJ491" s="5"/>
      <c r="AK491" s="5"/>
      <c r="AL491" s="5"/>
      <c r="AM491" s="5"/>
      <c r="AO491" s="4" t="s">
        <v>301</v>
      </c>
      <c r="AP491" s="4">
        <v>0.9</v>
      </c>
      <c r="AQ491" s="4">
        <v>0.5</v>
      </c>
      <c r="AR491" s="4">
        <v>0.6</v>
      </c>
      <c r="AS491" s="4">
        <v>0.3</v>
      </c>
      <c r="AT491" s="6">
        <v>1162.9406739999999</v>
      </c>
      <c r="AU491" s="4">
        <v>1.2E-2</v>
      </c>
      <c r="AW491" s="4" t="s">
        <v>301</v>
      </c>
      <c r="AX491" s="4">
        <v>0.9</v>
      </c>
      <c r="AY491" s="4">
        <v>0.5</v>
      </c>
      <c r="AZ491" s="4">
        <v>0.6</v>
      </c>
      <c r="BA491" s="4">
        <v>0.3</v>
      </c>
      <c r="BB491" s="4">
        <v>1192.068237</v>
      </c>
      <c r="BC491" s="4">
        <v>1.6E-2</v>
      </c>
      <c r="BD491" s="5"/>
      <c r="BE491" s="5"/>
      <c r="BF491" s="5"/>
      <c r="BG491" s="5"/>
      <c r="BI491" s="4" t="s">
        <v>301</v>
      </c>
      <c r="BJ491" s="4">
        <v>0.9</v>
      </c>
      <c r="BK491" s="4">
        <v>0.5</v>
      </c>
      <c r="BL491" s="4">
        <v>0.6</v>
      </c>
      <c r="BM491" s="4">
        <v>0.3</v>
      </c>
      <c r="BN491" s="6">
        <v>1134.4267580000001</v>
      </c>
      <c r="BO491" s="4">
        <v>1.0999999999999999E-2</v>
      </c>
      <c r="BQ491" s="4" t="s">
        <v>301</v>
      </c>
      <c r="BR491" s="4">
        <v>0.9</v>
      </c>
      <c r="BS491" s="4">
        <v>0.5</v>
      </c>
      <c r="BT491" s="4">
        <v>0.6</v>
      </c>
      <c r="BU491" s="4">
        <v>0.31</v>
      </c>
      <c r="BV491" s="4">
        <v>1175.271362</v>
      </c>
      <c r="BW491" s="4">
        <v>0.01</v>
      </c>
      <c r="BX491" s="5"/>
      <c r="BY491" s="5"/>
      <c r="BZ491" s="5"/>
      <c r="CA491" s="5"/>
    </row>
    <row r="492" spans="1:79" x14ac:dyDescent="0.3">
      <c r="A492" s="4" t="s">
        <v>302</v>
      </c>
      <c r="B492" s="4">
        <v>0.9</v>
      </c>
      <c r="C492" s="4">
        <v>0.5</v>
      </c>
      <c r="D492" s="4">
        <v>0.6</v>
      </c>
      <c r="E492" s="4">
        <v>0.3</v>
      </c>
      <c r="F492" s="6">
        <v>787.77703899999995</v>
      </c>
      <c r="G492" s="4">
        <v>3.0000000000000001E-3</v>
      </c>
      <c r="I492" s="4" t="s">
        <v>302</v>
      </c>
      <c r="J492" s="4">
        <v>0.9</v>
      </c>
      <c r="K492" s="4">
        <v>0.5</v>
      </c>
      <c r="L492" s="4">
        <v>0.6</v>
      </c>
      <c r="M492" s="4">
        <v>0.33</v>
      </c>
      <c r="N492" s="4">
        <v>793.82922399999995</v>
      </c>
      <c r="O492" s="4">
        <v>6.0000000000000001E-3</v>
      </c>
      <c r="P492" s="5"/>
      <c r="Q492" s="5"/>
      <c r="R492" s="5"/>
      <c r="S492" s="5"/>
      <c r="U492" s="4" t="s">
        <v>302</v>
      </c>
      <c r="V492" s="4">
        <v>0.9</v>
      </c>
      <c r="W492" s="4">
        <v>0.5</v>
      </c>
      <c r="X492" s="4">
        <v>0.6</v>
      </c>
      <c r="Y492" s="4">
        <v>0.3</v>
      </c>
      <c r="Z492" s="6">
        <v>782.71227999999996</v>
      </c>
      <c r="AA492" s="4">
        <v>8.9999999999999993E-3</v>
      </c>
      <c r="AC492" s="4" t="s">
        <v>302</v>
      </c>
      <c r="AD492" s="4">
        <v>0.9</v>
      </c>
      <c r="AE492" s="4">
        <v>0.5</v>
      </c>
      <c r="AF492" s="4">
        <v>0.6</v>
      </c>
      <c r="AG492" s="4">
        <v>0.37</v>
      </c>
      <c r="AH492" s="4">
        <v>833.92767300000003</v>
      </c>
      <c r="AI492" s="4">
        <v>3.0000000000000001E-3</v>
      </c>
      <c r="AJ492" s="5"/>
      <c r="AK492" s="5"/>
      <c r="AL492" s="5"/>
      <c r="AM492" s="5"/>
      <c r="AO492" s="4" t="s">
        <v>303</v>
      </c>
      <c r="AP492" s="4">
        <v>0.9</v>
      </c>
      <c r="AQ492" s="4">
        <v>0.5</v>
      </c>
      <c r="AR492" s="4">
        <v>0.6</v>
      </c>
      <c r="AS492" s="4">
        <v>0.3</v>
      </c>
      <c r="AT492" s="4">
        <v>1128.966797</v>
      </c>
      <c r="AU492" s="4">
        <v>1.2E-2</v>
      </c>
      <c r="AW492" s="4" t="s">
        <v>303</v>
      </c>
      <c r="AX492" s="4">
        <v>0.9</v>
      </c>
      <c r="AY492" s="4">
        <v>0.5</v>
      </c>
      <c r="AZ492" s="4">
        <v>0.6</v>
      </c>
      <c r="BA492" s="4">
        <v>0.3</v>
      </c>
      <c r="BB492" s="6">
        <v>1155.9343260000001</v>
      </c>
      <c r="BC492" s="4">
        <v>1.4999999999999999E-2</v>
      </c>
      <c r="BD492" s="5"/>
      <c r="BE492" s="5"/>
      <c r="BF492" s="5"/>
      <c r="BG492" s="5"/>
      <c r="BI492" s="4" t="s">
        <v>303</v>
      </c>
      <c r="BJ492" s="4">
        <v>0.9</v>
      </c>
      <c r="BK492" s="4">
        <v>0.5</v>
      </c>
      <c r="BL492" s="4">
        <v>0.6</v>
      </c>
      <c r="BM492" s="4">
        <v>0.3</v>
      </c>
      <c r="BN492" s="6">
        <v>1121.3630370000001</v>
      </c>
      <c r="BO492" s="4">
        <v>1.9E-2</v>
      </c>
      <c r="BQ492" s="4" t="s">
        <v>303</v>
      </c>
      <c r="BR492" s="4">
        <v>0.9</v>
      </c>
      <c r="BS492" s="4">
        <v>0.5</v>
      </c>
      <c r="BT492" s="4">
        <v>0.6</v>
      </c>
      <c r="BU492" s="4">
        <v>0.3</v>
      </c>
      <c r="BV492" s="4">
        <v>1160.2508539999999</v>
      </c>
      <c r="BW492" s="4">
        <v>1.0999999999999999E-2</v>
      </c>
      <c r="BX492" s="5"/>
      <c r="BY492" s="5"/>
      <c r="BZ492" s="5"/>
      <c r="CA492" s="5"/>
    </row>
    <row r="493" spans="1:79" x14ac:dyDescent="0.3">
      <c r="A493" s="4" t="s">
        <v>304</v>
      </c>
      <c r="B493" s="4">
        <v>0.9</v>
      </c>
      <c r="C493" s="4">
        <v>0.5</v>
      </c>
      <c r="D493" s="4">
        <v>0.6</v>
      </c>
      <c r="E493" s="4">
        <v>0.3</v>
      </c>
      <c r="F493" s="6">
        <v>899.57849099999999</v>
      </c>
      <c r="G493" s="4">
        <v>3.0000000000000001E-3</v>
      </c>
      <c r="I493" s="4" t="s">
        <v>304</v>
      </c>
      <c r="J493" s="4">
        <v>0.9</v>
      </c>
      <c r="K493" s="4">
        <v>0.5</v>
      </c>
      <c r="L493" s="4">
        <v>0.6</v>
      </c>
      <c r="M493" s="4">
        <v>0.32</v>
      </c>
      <c r="N493" s="4">
        <v>929.91241500000001</v>
      </c>
      <c r="O493" s="4">
        <v>4.0000000000000001E-3</v>
      </c>
      <c r="P493" s="5"/>
      <c r="Q493" s="5"/>
      <c r="R493" s="5"/>
      <c r="S493" s="5"/>
      <c r="U493" s="4" t="s">
        <v>304</v>
      </c>
      <c r="V493" s="4">
        <v>0.9</v>
      </c>
      <c r="W493" s="4">
        <v>0.5</v>
      </c>
      <c r="X493" s="4">
        <v>0.6</v>
      </c>
      <c r="Y493" s="4">
        <v>0.3</v>
      </c>
      <c r="Z493" s="6">
        <v>882.54406700000004</v>
      </c>
      <c r="AA493" s="4">
        <v>7.0000000000000001E-3</v>
      </c>
      <c r="AC493" s="4" t="s">
        <v>304</v>
      </c>
      <c r="AD493" s="4">
        <v>0.9</v>
      </c>
      <c r="AE493" s="4">
        <v>0.5</v>
      </c>
      <c r="AF493" s="4">
        <v>0.6</v>
      </c>
      <c r="AG493" s="4">
        <v>0.3</v>
      </c>
      <c r="AH493" s="4">
        <v>906.12994400000002</v>
      </c>
      <c r="AI493" s="4">
        <v>3.0000000000000001E-3</v>
      </c>
      <c r="AJ493" s="5"/>
      <c r="AK493" s="5"/>
      <c r="AL493" s="5"/>
      <c r="AM493" s="5"/>
      <c r="AO493" s="4" t="s">
        <v>305</v>
      </c>
      <c r="AP493" s="4">
        <v>0.9</v>
      </c>
      <c r="AQ493" s="4">
        <v>0.5</v>
      </c>
      <c r="AR493" s="4">
        <v>0.6</v>
      </c>
      <c r="AS493" s="4">
        <v>0.3</v>
      </c>
      <c r="AT493" s="6">
        <v>1170.610596</v>
      </c>
      <c r="AU493" s="4">
        <v>1.0999999999999999E-2</v>
      </c>
      <c r="AW493" s="4" t="s">
        <v>305</v>
      </c>
      <c r="AX493" s="4">
        <v>0.9</v>
      </c>
      <c r="AY493" s="4">
        <v>0.5</v>
      </c>
      <c r="AZ493" s="4">
        <v>0.6</v>
      </c>
      <c r="BA493" s="4">
        <v>0.3</v>
      </c>
      <c r="BB493" s="4">
        <v>1188.4019780000001</v>
      </c>
      <c r="BC493" s="4">
        <v>1.4E-2</v>
      </c>
      <c r="BD493" s="5"/>
      <c r="BE493" s="5"/>
      <c r="BF493" s="5"/>
      <c r="BG493" s="5"/>
      <c r="BI493" s="4" t="s">
        <v>305</v>
      </c>
      <c r="BJ493" s="4">
        <v>0.9</v>
      </c>
      <c r="BK493" s="4">
        <v>0.5</v>
      </c>
      <c r="BL493" s="4">
        <v>0.6</v>
      </c>
      <c r="BM493" s="4">
        <v>0.3</v>
      </c>
      <c r="BN493" s="6">
        <v>1167.3039550000001</v>
      </c>
      <c r="BO493" s="4">
        <v>1.2E-2</v>
      </c>
      <c r="BQ493" s="4" t="s">
        <v>305</v>
      </c>
      <c r="BR493" s="4">
        <v>0.9</v>
      </c>
      <c r="BS493" s="4">
        <v>0.5</v>
      </c>
      <c r="BT493" s="4">
        <v>0.6</v>
      </c>
      <c r="BU493" s="4">
        <v>0.31</v>
      </c>
      <c r="BV493" s="4">
        <v>1205.322876</v>
      </c>
      <c r="BW493" s="4">
        <v>1.2E-2</v>
      </c>
      <c r="BX493" s="5"/>
      <c r="BY493" s="5"/>
      <c r="BZ493" s="5"/>
      <c r="CA493" s="5"/>
    </row>
    <row r="494" spans="1:79" x14ac:dyDescent="0.3">
      <c r="A494" s="4" t="s">
        <v>306</v>
      </c>
      <c r="B494" s="4">
        <v>0.9</v>
      </c>
      <c r="C494" s="4">
        <v>0.5</v>
      </c>
      <c r="D494" s="4">
        <v>0.6</v>
      </c>
      <c r="E494" s="4">
        <v>0.3</v>
      </c>
      <c r="F494" s="6">
        <v>929.13562000000002</v>
      </c>
      <c r="G494" s="4">
        <v>3.0000000000000001E-3</v>
      </c>
      <c r="I494" s="4" t="s">
        <v>306</v>
      </c>
      <c r="J494" s="4">
        <v>0.9</v>
      </c>
      <c r="K494" s="4">
        <v>0.5</v>
      </c>
      <c r="L494" s="4">
        <v>0.6</v>
      </c>
      <c r="M494" s="4">
        <v>0.36</v>
      </c>
      <c r="N494" s="4">
        <v>957.875</v>
      </c>
      <c r="O494" s="4">
        <v>7.0000000000000001E-3</v>
      </c>
      <c r="P494" s="5"/>
      <c r="Q494" s="5"/>
      <c r="R494" s="5"/>
      <c r="S494" s="5"/>
      <c r="U494" s="4" t="s">
        <v>306</v>
      </c>
      <c r="V494" s="4">
        <v>0.9</v>
      </c>
      <c r="W494" s="4">
        <v>0.5</v>
      </c>
      <c r="X494" s="4">
        <v>0.6</v>
      </c>
      <c r="Y494" s="4">
        <v>0.3</v>
      </c>
      <c r="Z494" s="6">
        <v>913.94134499999996</v>
      </c>
      <c r="AA494" s="4">
        <v>3.0000000000000001E-3</v>
      </c>
      <c r="AC494" s="4" t="s">
        <v>306</v>
      </c>
      <c r="AD494" s="4">
        <v>0.9</v>
      </c>
      <c r="AE494" s="4">
        <v>0.5</v>
      </c>
      <c r="AF494" s="4">
        <v>0.6</v>
      </c>
      <c r="AG494" s="4">
        <v>0.32</v>
      </c>
      <c r="AH494" s="4">
        <v>919.946777</v>
      </c>
      <c r="AI494" s="4">
        <v>4.0000000000000001E-3</v>
      </c>
      <c r="AJ494" s="5"/>
      <c r="AK494" s="5"/>
      <c r="AL494" s="5"/>
      <c r="AM494" s="5"/>
      <c r="AO494" s="4" t="s">
        <v>307</v>
      </c>
      <c r="AP494" s="4">
        <v>0.9</v>
      </c>
      <c r="AQ494" s="4">
        <v>0.5</v>
      </c>
      <c r="AR494" s="4">
        <v>0.6</v>
      </c>
      <c r="AS494" s="4">
        <v>0.3</v>
      </c>
      <c r="AT494" s="6">
        <v>1117.85376</v>
      </c>
      <c r="AU494" s="4">
        <v>2.1000000000000001E-2</v>
      </c>
      <c r="AW494" s="4" t="s">
        <v>307</v>
      </c>
      <c r="AX494" s="4">
        <v>0.9</v>
      </c>
      <c r="AY494" s="4">
        <v>0.5</v>
      </c>
      <c r="AZ494" s="4">
        <v>0.6</v>
      </c>
      <c r="BA494" s="4">
        <v>0.31</v>
      </c>
      <c r="BB494" s="4">
        <v>1168.204712</v>
      </c>
      <c r="BC494" s="4">
        <v>1.7000000000000001E-2</v>
      </c>
      <c r="BD494" s="5"/>
      <c r="BE494" s="5"/>
      <c r="BF494" s="5"/>
      <c r="BG494" s="5"/>
      <c r="BI494" s="4" t="s">
        <v>307</v>
      </c>
      <c r="BJ494" s="4">
        <v>0.9</v>
      </c>
      <c r="BK494" s="4">
        <v>0.5</v>
      </c>
      <c r="BL494" s="4">
        <v>0.6</v>
      </c>
      <c r="BM494" s="4">
        <v>0.3</v>
      </c>
      <c r="BN494" s="6">
        <v>1123.4803469999999</v>
      </c>
      <c r="BO494" s="4">
        <v>1.4E-2</v>
      </c>
      <c r="BQ494" s="4" t="s">
        <v>307</v>
      </c>
      <c r="BR494" s="4">
        <v>0.9</v>
      </c>
      <c r="BS494" s="4">
        <v>0.5</v>
      </c>
      <c r="BT494" s="4">
        <v>0.6</v>
      </c>
      <c r="BU494" s="4">
        <v>0.33</v>
      </c>
      <c r="BV494" s="4">
        <v>1167.3831789999999</v>
      </c>
      <c r="BW494" s="4">
        <v>0.01</v>
      </c>
      <c r="BX494" s="5"/>
      <c r="BY494" s="5"/>
      <c r="BZ494" s="5"/>
      <c r="CA494" s="5"/>
    </row>
    <row r="495" spans="1:79" x14ac:dyDescent="0.3">
      <c r="A495" s="4" t="s">
        <v>308</v>
      </c>
      <c r="B495" s="4">
        <v>0.9</v>
      </c>
      <c r="C495" s="4">
        <v>0.5</v>
      </c>
      <c r="D495" s="4">
        <v>0.6</v>
      </c>
      <c r="E495" s="4">
        <v>0.3</v>
      </c>
      <c r="F495" s="6">
        <v>916.51580799999999</v>
      </c>
      <c r="G495" s="4">
        <v>4.0000000000000001E-3</v>
      </c>
      <c r="I495" s="4" t="s">
        <v>308</v>
      </c>
      <c r="J495" s="4">
        <v>0.9</v>
      </c>
      <c r="K495" s="4">
        <v>0.5</v>
      </c>
      <c r="L495" s="4">
        <v>0.6</v>
      </c>
      <c r="M495" s="4">
        <v>0.34</v>
      </c>
      <c r="N495" s="4">
        <v>954.61773700000003</v>
      </c>
      <c r="O495" s="4">
        <v>4.0000000000000001E-3</v>
      </c>
      <c r="P495" s="5"/>
      <c r="Q495" s="5"/>
      <c r="R495" s="5"/>
      <c r="S495" s="5"/>
      <c r="U495" s="4" t="s">
        <v>308</v>
      </c>
      <c r="V495" s="4">
        <v>0.9</v>
      </c>
      <c r="W495" s="4">
        <v>0.5</v>
      </c>
      <c r="X495" s="4">
        <v>0.6</v>
      </c>
      <c r="Y495" s="4">
        <v>0.3</v>
      </c>
      <c r="Z495" s="6">
        <v>913.86053500000003</v>
      </c>
      <c r="AA495" s="4">
        <v>6.0000000000000001E-3</v>
      </c>
      <c r="AC495" s="4" t="s">
        <v>308</v>
      </c>
      <c r="AD495" s="4">
        <v>0.9</v>
      </c>
      <c r="AE495" s="4">
        <v>0.5</v>
      </c>
      <c r="AF495" s="4">
        <v>0.6</v>
      </c>
      <c r="AG495" s="4">
        <v>0.32</v>
      </c>
      <c r="AH495" s="4">
        <v>931.02593999999999</v>
      </c>
      <c r="AI495" s="4">
        <v>4.0000000000000001E-3</v>
      </c>
      <c r="AJ495" s="5"/>
      <c r="AK495" s="5"/>
      <c r="AL495" s="5"/>
      <c r="AM495" s="5"/>
      <c r="AO495" s="4" t="s">
        <v>309</v>
      </c>
      <c r="AP495" s="4">
        <v>0.9</v>
      </c>
      <c r="AQ495" s="4">
        <v>0.5</v>
      </c>
      <c r="AR495" s="4">
        <v>0.6</v>
      </c>
      <c r="AS495" s="4">
        <v>0.3</v>
      </c>
      <c r="AT495" s="6">
        <v>1139.7379149999999</v>
      </c>
      <c r="AU495" s="4">
        <v>1.4E-2</v>
      </c>
      <c r="AW495" s="4" t="s">
        <v>309</v>
      </c>
      <c r="AX495" s="4">
        <v>0.9</v>
      </c>
      <c r="AY495" s="4">
        <v>0.5</v>
      </c>
      <c r="AZ495" s="4">
        <v>0.6</v>
      </c>
      <c r="BA495" s="4">
        <v>0.3</v>
      </c>
      <c r="BB495" s="4">
        <v>1154.349365</v>
      </c>
      <c r="BC495" s="4">
        <v>1.0999999999999999E-2</v>
      </c>
      <c r="BD495" s="5"/>
      <c r="BE495" s="5"/>
      <c r="BF495" s="5"/>
      <c r="BG495" s="5"/>
      <c r="BI495" s="4" t="s">
        <v>309</v>
      </c>
      <c r="BJ495" s="4">
        <v>0.9</v>
      </c>
      <c r="BK495" s="4">
        <v>0.5</v>
      </c>
      <c r="BL495" s="4">
        <v>0.6</v>
      </c>
      <c r="BM495" s="4">
        <v>0.3</v>
      </c>
      <c r="BN495" s="6">
        <v>1163.2923579999999</v>
      </c>
      <c r="BO495" s="4">
        <v>1.2999999999999999E-2</v>
      </c>
      <c r="BQ495" s="4" t="s">
        <v>309</v>
      </c>
      <c r="BR495" s="4">
        <v>0.9</v>
      </c>
      <c r="BS495" s="4">
        <v>0.5</v>
      </c>
      <c r="BT495" s="4">
        <v>0.6</v>
      </c>
      <c r="BU495" s="4">
        <v>0.33</v>
      </c>
      <c r="BV495" s="4">
        <v>1197.0397949999999</v>
      </c>
      <c r="BW495" s="4">
        <v>1.0999999999999999E-2</v>
      </c>
      <c r="BX495" s="5"/>
      <c r="BY495" s="5"/>
      <c r="BZ495" s="5"/>
      <c r="CA495" s="5"/>
    </row>
    <row r="496" spans="1:79" x14ac:dyDescent="0.3">
      <c r="A496" s="4" t="s">
        <v>310</v>
      </c>
      <c r="B496" s="4">
        <v>0.9</v>
      </c>
      <c r="C496" s="4">
        <v>0.5</v>
      </c>
      <c r="D496" s="4">
        <v>0.6</v>
      </c>
      <c r="E496" s="4">
        <v>0.3</v>
      </c>
      <c r="F496" s="6">
        <v>883.06671100000005</v>
      </c>
      <c r="G496" s="4">
        <v>3.0000000000000001E-3</v>
      </c>
      <c r="I496" s="4" t="s">
        <v>310</v>
      </c>
      <c r="J496" s="4">
        <v>0.9</v>
      </c>
      <c r="K496" s="4">
        <v>0.5</v>
      </c>
      <c r="L496" s="4">
        <v>0.6</v>
      </c>
      <c r="M496" s="4">
        <v>0.3</v>
      </c>
      <c r="N496" s="4">
        <v>928.96258499999999</v>
      </c>
      <c r="O496" s="4">
        <v>8.0000000000000002E-3</v>
      </c>
      <c r="P496" s="5"/>
      <c r="Q496" s="5"/>
      <c r="R496" s="5"/>
      <c r="S496" s="5"/>
      <c r="U496" s="4" t="s">
        <v>310</v>
      </c>
      <c r="V496" s="4">
        <v>0.9</v>
      </c>
      <c r="W496" s="4">
        <v>0.5</v>
      </c>
      <c r="X496" s="4">
        <v>0.6</v>
      </c>
      <c r="Y496" s="4">
        <v>0.3</v>
      </c>
      <c r="Z496" s="6">
        <v>863.62872300000004</v>
      </c>
      <c r="AA496" s="4">
        <v>3.0000000000000001E-3</v>
      </c>
      <c r="AC496" s="4" t="s">
        <v>310</v>
      </c>
      <c r="AD496" s="4">
        <v>0.9</v>
      </c>
      <c r="AE496" s="4">
        <v>0.5</v>
      </c>
      <c r="AF496" s="4">
        <v>0.6</v>
      </c>
      <c r="AG496" s="4">
        <v>0.33</v>
      </c>
      <c r="AH496" s="4">
        <v>908.57861300000002</v>
      </c>
      <c r="AI496" s="4">
        <v>4.0000000000000001E-3</v>
      </c>
      <c r="AJ496" s="5"/>
      <c r="AK496" s="5"/>
      <c r="AL496" s="5"/>
      <c r="AM496" s="5"/>
      <c r="AO496" s="4" t="s">
        <v>311</v>
      </c>
      <c r="AP496" s="4">
        <v>0.9</v>
      </c>
      <c r="AQ496" s="4">
        <v>0.5</v>
      </c>
      <c r="AR496" s="4">
        <v>0.6</v>
      </c>
      <c r="AS496" s="4">
        <v>0.3</v>
      </c>
      <c r="AT496" s="6">
        <v>1187.1453859999999</v>
      </c>
      <c r="AU496" s="4">
        <v>1.0999999999999999E-2</v>
      </c>
      <c r="AW496" s="4" t="s">
        <v>311</v>
      </c>
      <c r="AX496" s="4">
        <v>0.9</v>
      </c>
      <c r="AY496" s="4">
        <v>0.5</v>
      </c>
      <c r="AZ496" s="4">
        <v>0.6</v>
      </c>
      <c r="BA496" s="4">
        <v>0.3</v>
      </c>
      <c r="BB496" s="4">
        <v>1223.0201420000001</v>
      </c>
      <c r="BC496" s="4">
        <v>0.01</v>
      </c>
      <c r="BD496" s="5"/>
      <c r="BE496" s="5"/>
      <c r="BF496" s="5"/>
      <c r="BG496" s="5"/>
      <c r="BI496" s="4" t="s">
        <v>311</v>
      </c>
      <c r="BJ496" s="4">
        <v>0.9</v>
      </c>
      <c r="BK496" s="4">
        <v>0.5</v>
      </c>
      <c r="BL496" s="4">
        <v>0.6</v>
      </c>
      <c r="BM496" s="4">
        <v>0.3</v>
      </c>
      <c r="BN496" s="6">
        <v>1151.0008539999999</v>
      </c>
      <c r="BO496" s="4">
        <v>1.4999999999999999E-2</v>
      </c>
      <c r="BQ496" s="4" t="s">
        <v>311</v>
      </c>
      <c r="BR496" s="4">
        <v>0.9</v>
      </c>
      <c r="BS496" s="4">
        <v>0.5</v>
      </c>
      <c r="BT496" s="4">
        <v>0.6</v>
      </c>
      <c r="BU496" s="4">
        <v>0.32</v>
      </c>
      <c r="BV496" s="4">
        <v>1228.051025</v>
      </c>
      <c r="BW496" s="4">
        <v>0.01</v>
      </c>
      <c r="BX496" s="5"/>
      <c r="BY496" s="5"/>
      <c r="BZ496" s="5"/>
      <c r="CA496" s="5"/>
    </row>
    <row r="497" spans="1:79" x14ac:dyDescent="0.3">
      <c r="A497" s="4" t="s">
        <v>312</v>
      </c>
      <c r="B497" s="4">
        <v>0.9</v>
      </c>
      <c r="C497" s="4">
        <v>0.5</v>
      </c>
      <c r="D497" s="4">
        <v>0.6</v>
      </c>
      <c r="E497" s="4">
        <v>0.3</v>
      </c>
      <c r="F497" s="6">
        <v>877.53466800000001</v>
      </c>
      <c r="G497" s="4">
        <v>3.0000000000000001E-3</v>
      </c>
      <c r="I497" s="4" t="s">
        <v>312</v>
      </c>
      <c r="J497" s="4">
        <v>0.9</v>
      </c>
      <c r="K497" s="4">
        <v>0.5</v>
      </c>
      <c r="L497" s="4">
        <v>0.6</v>
      </c>
      <c r="M497" s="4">
        <v>0.3</v>
      </c>
      <c r="N497" s="4">
        <v>889.36700399999995</v>
      </c>
      <c r="O497" s="4">
        <v>6.0000000000000001E-3</v>
      </c>
      <c r="P497" s="5"/>
      <c r="Q497" s="5"/>
      <c r="R497" s="5"/>
      <c r="S497" s="5"/>
      <c r="U497" s="4" t="s">
        <v>312</v>
      </c>
      <c r="V497" s="4">
        <v>0.9</v>
      </c>
      <c r="W497" s="4">
        <v>0.5</v>
      </c>
      <c r="X497" s="4">
        <v>0.6</v>
      </c>
      <c r="Y497" s="4">
        <v>0.3</v>
      </c>
      <c r="Z497" s="6">
        <v>835.254456</v>
      </c>
      <c r="AA497" s="4">
        <v>3.0000000000000001E-3</v>
      </c>
      <c r="AC497" s="4" t="s">
        <v>312</v>
      </c>
      <c r="AD497" s="4">
        <v>0.9</v>
      </c>
      <c r="AE497" s="4">
        <v>0.5</v>
      </c>
      <c r="AF497" s="4">
        <v>0.6</v>
      </c>
      <c r="AG497" s="4">
        <v>0.31</v>
      </c>
      <c r="AH497" s="4">
        <v>867.36395300000004</v>
      </c>
      <c r="AI497" s="4">
        <v>3.0000000000000001E-3</v>
      </c>
      <c r="AJ497" s="5"/>
      <c r="AK497" s="5"/>
      <c r="AL497" s="5"/>
      <c r="AM497" s="5"/>
      <c r="AO497" s="4" t="s">
        <v>313</v>
      </c>
      <c r="AP497" s="4">
        <v>0.9</v>
      </c>
      <c r="AQ497" s="4">
        <v>0.5</v>
      </c>
      <c r="AR497" s="4">
        <v>0.6</v>
      </c>
      <c r="AS497" s="4">
        <v>0.3</v>
      </c>
      <c r="AT497" s="6">
        <v>1160.268433</v>
      </c>
      <c r="AU497" s="4">
        <v>1.4E-2</v>
      </c>
      <c r="AW497" s="4" t="s">
        <v>313</v>
      </c>
      <c r="AX497" s="4">
        <v>0.9</v>
      </c>
      <c r="AY497" s="4">
        <v>0.5</v>
      </c>
      <c r="AZ497" s="4">
        <v>0.6</v>
      </c>
      <c r="BA497" s="4">
        <v>0.31</v>
      </c>
      <c r="BB497" s="4">
        <v>1207.748169</v>
      </c>
      <c r="BC497" s="4">
        <v>8.9999999999999993E-3</v>
      </c>
      <c r="BD497" s="5"/>
      <c r="BE497" s="5"/>
      <c r="BF497" s="5"/>
      <c r="BG497" s="5"/>
      <c r="BI497" s="4" t="s">
        <v>313</v>
      </c>
      <c r="BJ497" s="4">
        <v>0.9</v>
      </c>
      <c r="BK497" s="4">
        <v>0.5</v>
      </c>
      <c r="BL497" s="4">
        <v>0.6</v>
      </c>
      <c r="BM497" s="4">
        <v>0.3</v>
      </c>
      <c r="BN497" s="6">
        <v>1167.5998540000001</v>
      </c>
      <c r="BO497" s="4">
        <v>1.4999999999999999E-2</v>
      </c>
      <c r="BQ497" s="4" t="s">
        <v>313</v>
      </c>
      <c r="BR497" s="4">
        <v>0.9</v>
      </c>
      <c r="BS497" s="4">
        <v>0.5</v>
      </c>
      <c r="BT497" s="4">
        <v>0.6</v>
      </c>
      <c r="BU497" s="4">
        <v>0.3</v>
      </c>
      <c r="BV497" s="4">
        <v>1200.739624</v>
      </c>
      <c r="BW497" s="4">
        <v>8.9999999999999993E-3</v>
      </c>
      <c r="BX497" s="5"/>
      <c r="BY497" s="5"/>
      <c r="BZ497" s="5"/>
      <c r="CA497" s="5"/>
    </row>
    <row r="498" spans="1:79" x14ac:dyDescent="0.3">
      <c r="A498" s="14" t="s">
        <v>316</v>
      </c>
      <c r="E498" s="14">
        <f>AVERAGE(E468:E497)</f>
        <v>0.3</v>
      </c>
      <c r="I498" s="14" t="s">
        <v>316</v>
      </c>
      <c r="M498" s="14">
        <f>AVERAGE(M468:M497)</f>
        <v>0.31599999999999995</v>
      </c>
      <c r="P498" s="5"/>
      <c r="Q498" s="5"/>
      <c r="R498" s="5"/>
      <c r="S498" s="5"/>
      <c r="U498" s="14" t="s">
        <v>316</v>
      </c>
      <c r="Y498" s="14">
        <f>AVERAGE(Y468:Y497)</f>
        <v>0.3</v>
      </c>
      <c r="AC498" s="14" t="s">
        <v>316</v>
      </c>
      <c r="AG498" s="14">
        <f>AVERAGE(AG468:AG497)</f>
        <v>0.31766666666666665</v>
      </c>
      <c r="AJ498" s="5"/>
      <c r="AK498" s="5"/>
      <c r="AL498" s="5"/>
      <c r="AM498" s="5"/>
      <c r="AO498" s="14" t="s">
        <v>316</v>
      </c>
      <c r="AS498" s="14">
        <f>AVERAGE(AS468:AS497)</f>
        <v>0.3</v>
      </c>
      <c r="AW498" s="14" t="s">
        <v>316</v>
      </c>
      <c r="BA498" s="14">
        <f>AVERAGE(BA468:BA497)</f>
        <v>0.30733333333333335</v>
      </c>
      <c r="BD498" s="5"/>
      <c r="BE498" s="5"/>
      <c r="BF498" s="5"/>
      <c r="BG498" s="5"/>
      <c r="BI498" s="14" t="s">
        <v>316</v>
      </c>
      <c r="BM498" s="14">
        <f>AVERAGE(BM468:BM497)</f>
        <v>0.3</v>
      </c>
      <c r="BQ498" s="14" t="s">
        <v>316</v>
      </c>
      <c r="BU498" s="14">
        <f>AVERAGE(BU468:BU497)</f>
        <v>0.3166666666666666</v>
      </c>
      <c r="BX498" s="5"/>
      <c r="BY498" s="5"/>
      <c r="BZ498" s="5"/>
      <c r="CA498" s="5"/>
    </row>
    <row r="499" spans="1:79" x14ac:dyDescent="0.3">
      <c r="P499" s="5"/>
      <c r="Q499" s="5"/>
      <c r="R499" s="5"/>
      <c r="S499" s="5"/>
      <c r="AJ499" s="5"/>
      <c r="AK499" s="5"/>
      <c r="AL499" s="5"/>
      <c r="AM499" s="5"/>
      <c r="BD499" s="5"/>
      <c r="BE499" s="5"/>
      <c r="BF499" s="5"/>
      <c r="BG499" s="5"/>
      <c r="BX499" s="5"/>
      <c r="BY499" s="5"/>
      <c r="BZ499" s="5"/>
      <c r="CA499" s="5"/>
    </row>
    <row r="500" spans="1:79" x14ac:dyDescent="0.3">
      <c r="P500" s="5"/>
      <c r="Q500" s="5"/>
      <c r="R500" s="5"/>
      <c r="S500" s="5"/>
      <c r="AJ500" s="5"/>
      <c r="AK500" s="5"/>
      <c r="AL500" s="5"/>
      <c r="AM500" s="5"/>
      <c r="BD500" s="5"/>
      <c r="BE500" s="5"/>
      <c r="BF500" s="5"/>
      <c r="BG500" s="5"/>
      <c r="BX500" s="5"/>
      <c r="BY500" s="5"/>
      <c r="BZ500" s="5"/>
      <c r="CA500" s="5"/>
    </row>
    <row r="501" spans="1:79" x14ac:dyDescent="0.3">
      <c r="A501" s="23" t="s">
        <v>314</v>
      </c>
      <c r="B501" s="23"/>
      <c r="C501" s="23"/>
      <c r="D501" s="23"/>
      <c r="E501" s="23"/>
      <c r="F501" s="23"/>
      <c r="G501" s="23"/>
      <c r="I501" s="23" t="s">
        <v>314</v>
      </c>
      <c r="J501" s="23"/>
      <c r="K501" s="23"/>
      <c r="L501" s="23"/>
      <c r="M501" s="23"/>
      <c r="N501" s="23"/>
      <c r="O501" s="23"/>
      <c r="P501" s="11"/>
      <c r="Q501" s="11"/>
      <c r="R501" s="11"/>
      <c r="S501" s="11"/>
      <c r="U501" s="23" t="s">
        <v>314</v>
      </c>
      <c r="V501" s="23"/>
      <c r="W501" s="23"/>
      <c r="X501" s="23"/>
      <c r="Y501" s="23"/>
      <c r="Z501" s="23"/>
      <c r="AA501" s="23"/>
      <c r="AC501" s="23" t="s">
        <v>314</v>
      </c>
      <c r="AD501" s="23"/>
      <c r="AE501" s="23"/>
      <c r="AF501" s="23"/>
      <c r="AG501" s="23"/>
      <c r="AH501" s="23"/>
      <c r="AI501" s="23"/>
      <c r="AJ501" s="11"/>
      <c r="AK501" s="11"/>
      <c r="AL501" s="11"/>
      <c r="AM501" s="11"/>
      <c r="AO501" s="23" t="s">
        <v>314</v>
      </c>
      <c r="AP501" s="23"/>
      <c r="AQ501" s="23"/>
      <c r="AR501" s="23"/>
      <c r="AS501" s="23"/>
      <c r="AT501" s="23"/>
      <c r="AU501" s="23"/>
      <c r="AW501" s="23" t="s">
        <v>314</v>
      </c>
      <c r="AX501" s="23"/>
      <c r="AY501" s="23"/>
      <c r="AZ501" s="23"/>
      <c r="BA501" s="23"/>
      <c r="BB501" s="23"/>
      <c r="BC501" s="23"/>
      <c r="BD501" s="11"/>
      <c r="BE501" s="11"/>
      <c r="BF501" s="11"/>
      <c r="BG501" s="11"/>
      <c r="BI501" s="23" t="s">
        <v>314</v>
      </c>
      <c r="BJ501" s="23"/>
      <c r="BK501" s="23"/>
      <c r="BL501" s="23"/>
      <c r="BM501" s="23"/>
      <c r="BN501" s="23"/>
      <c r="BO501" s="23"/>
      <c r="BQ501" s="23" t="s">
        <v>314</v>
      </c>
      <c r="BR501" s="23"/>
      <c r="BS501" s="23"/>
      <c r="BT501" s="23"/>
      <c r="BU501" s="23"/>
      <c r="BV501" s="23"/>
      <c r="BW501" s="23"/>
      <c r="BX501" s="11"/>
      <c r="BY501" s="11"/>
      <c r="BZ501" s="11"/>
      <c r="CA501" s="11"/>
    </row>
    <row r="502" spans="1:79" x14ac:dyDescent="0.3">
      <c r="A502" s="4" t="s">
        <v>72</v>
      </c>
      <c r="B502" s="4"/>
      <c r="C502" s="4"/>
      <c r="D502" s="4"/>
      <c r="E502" s="4"/>
      <c r="F502" s="4"/>
      <c r="G502" s="4"/>
      <c r="I502" s="23" t="s">
        <v>72</v>
      </c>
      <c r="J502" s="23"/>
      <c r="K502" s="23"/>
      <c r="L502" s="23"/>
      <c r="M502" s="23"/>
      <c r="N502" s="23"/>
      <c r="O502" s="23"/>
      <c r="P502" s="5"/>
      <c r="Q502" s="5"/>
      <c r="R502" s="5"/>
      <c r="S502" s="5"/>
      <c r="U502" s="4" t="s">
        <v>73</v>
      </c>
      <c r="V502" s="4"/>
      <c r="W502" s="4"/>
      <c r="X502" s="4"/>
      <c r="Y502" s="4"/>
      <c r="Z502" s="4"/>
      <c r="AA502" s="4"/>
      <c r="AC502" s="23" t="s">
        <v>73</v>
      </c>
      <c r="AD502" s="23"/>
      <c r="AE502" s="23"/>
      <c r="AF502" s="23"/>
      <c r="AG502" s="23"/>
      <c r="AH502" s="23"/>
      <c r="AI502" s="23"/>
      <c r="AJ502" s="5"/>
      <c r="AK502" s="5"/>
      <c r="AL502" s="5"/>
      <c r="AM502" s="5"/>
      <c r="AO502" s="4" t="s">
        <v>72</v>
      </c>
      <c r="AP502" s="4"/>
      <c r="AQ502" s="4"/>
      <c r="AR502" s="4"/>
      <c r="AS502" s="4"/>
      <c r="AT502" s="4"/>
      <c r="AU502" s="4"/>
      <c r="AW502" s="23" t="s">
        <v>72</v>
      </c>
      <c r="AX502" s="23"/>
      <c r="AY502" s="23"/>
      <c r="AZ502" s="23"/>
      <c r="BA502" s="23"/>
      <c r="BB502" s="23"/>
      <c r="BC502" s="23"/>
      <c r="BD502" s="5"/>
      <c r="BE502" s="5"/>
      <c r="BF502" s="5"/>
      <c r="BG502" s="5"/>
      <c r="BI502" s="4" t="s">
        <v>73</v>
      </c>
      <c r="BJ502" s="4"/>
      <c r="BK502" s="4"/>
      <c r="BL502" s="4"/>
      <c r="BM502" s="4"/>
      <c r="BN502" s="4"/>
      <c r="BO502" s="4"/>
      <c r="BQ502" s="23" t="s">
        <v>73</v>
      </c>
      <c r="BR502" s="23"/>
      <c r="BS502" s="23"/>
      <c r="BT502" s="23"/>
      <c r="BU502" s="23"/>
      <c r="BV502" s="23"/>
      <c r="BW502" s="23"/>
      <c r="BX502" s="5"/>
      <c r="BY502" s="5"/>
      <c r="BZ502" s="5"/>
      <c r="CA502" s="5"/>
    </row>
    <row r="503" spans="1:79" x14ac:dyDescent="0.3">
      <c r="A503" s="4" t="s">
        <v>2</v>
      </c>
      <c r="B503" s="4" t="s">
        <v>3</v>
      </c>
      <c r="C503" s="4" t="s">
        <v>4</v>
      </c>
      <c r="D503" s="4" t="s">
        <v>5</v>
      </c>
      <c r="E503" s="4" t="s">
        <v>6</v>
      </c>
      <c r="F503" s="4" t="s">
        <v>7</v>
      </c>
      <c r="G503" s="4" t="s">
        <v>8</v>
      </c>
      <c r="I503" s="4" t="s">
        <v>2</v>
      </c>
      <c r="J503" s="4" t="s">
        <v>3</v>
      </c>
      <c r="K503" s="4" t="s">
        <v>4</v>
      </c>
      <c r="L503" s="4" t="s">
        <v>5</v>
      </c>
      <c r="M503" s="4" t="s">
        <v>6</v>
      </c>
      <c r="N503" s="4" t="s">
        <v>7</v>
      </c>
      <c r="O503" s="4" t="s">
        <v>8</v>
      </c>
      <c r="P503" s="3" t="s">
        <v>322</v>
      </c>
      <c r="Q503" s="3" t="s">
        <v>323</v>
      </c>
      <c r="R503" s="3" t="s">
        <v>322</v>
      </c>
      <c r="S503" s="3" t="s">
        <v>323</v>
      </c>
      <c r="U503" s="4" t="s">
        <v>2</v>
      </c>
      <c r="V503" s="4" t="s">
        <v>3</v>
      </c>
      <c r="W503" s="4" t="s">
        <v>4</v>
      </c>
      <c r="X503" s="4" t="s">
        <v>5</v>
      </c>
      <c r="Y503" s="4" t="s">
        <v>6</v>
      </c>
      <c r="Z503" s="4" t="s">
        <v>7</v>
      </c>
      <c r="AA503" s="4" t="s">
        <v>8</v>
      </c>
      <c r="AC503" s="4" t="s">
        <v>2</v>
      </c>
      <c r="AD503" s="4" t="s">
        <v>3</v>
      </c>
      <c r="AE503" s="4" t="s">
        <v>4</v>
      </c>
      <c r="AF503" s="4" t="s">
        <v>5</v>
      </c>
      <c r="AG503" s="4" t="s">
        <v>6</v>
      </c>
      <c r="AH503" s="4" t="s">
        <v>7</v>
      </c>
      <c r="AI503" s="4" t="s">
        <v>8</v>
      </c>
      <c r="AJ503" s="3" t="s">
        <v>322</v>
      </c>
      <c r="AK503" s="3" t="s">
        <v>323</v>
      </c>
      <c r="AL503" s="3" t="s">
        <v>322</v>
      </c>
      <c r="AM503" s="3" t="s">
        <v>323</v>
      </c>
      <c r="AO503" s="4" t="s">
        <v>2</v>
      </c>
      <c r="AP503" s="4" t="s">
        <v>3</v>
      </c>
      <c r="AQ503" s="4" t="s">
        <v>4</v>
      </c>
      <c r="AR503" s="4" t="s">
        <v>5</v>
      </c>
      <c r="AS503" s="4" t="s">
        <v>6</v>
      </c>
      <c r="AT503" s="4" t="s">
        <v>7</v>
      </c>
      <c r="AU503" s="4" t="s">
        <v>8</v>
      </c>
      <c r="AW503" s="4" t="s">
        <v>2</v>
      </c>
      <c r="AX503" s="4" t="s">
        <v>3</v>
      </c>
      <c r="AY503" s="4" t="s">
        <v>4</v>
      </c>
      <c r="AZ503" s="4" t="s">
        <v>5</v>
      </c>
      <c r="BA503" s="4" t="s">
        <v>6</v>
      </c>
      <c r="BB503" s="4" t="s">
        <v>7</v>
      </c>
      <c r="BC503" s="4" t="s">
        <v>8</v>
      </c>
      <c r="BD503" s="3" t="s">
        <v>322</v>
      </c>
      <c r="BE503" s="3" t="s">
        <v>323</v>
      </c>
      <c r="BF503" s="3" t="s">
        <v>322</v>
      </c>
      <c r="BG503" s="3" t="s">
        <v>323</v>
      </c>
      <c r="BI503" s="4" t="s">
        <v>2</v>
      </c>
      <c r="BJ503" s="4" t="s">
        <v>3</v>
      </c>
      <c r="BK503" s="4" t="s">
        <v>4</v>
      </c>
      <c r="BL503" s="4" t="s">
        <v>5</v>
      </c>
      <c r="BM503" s="4" t="s">
        <v>6</v>
      </c>
      <c r="BN503" s="4" t="s">
        <v>7</v>
      </c>
      <c r="BO503" s="4" t="s">
        <v>8</v>
      </c>
      <c r="BQ503" s="4" t="s">
        <v>2</v>
      </c>
      <c r="BR503" s="4" t="s">
        <v>3</v>
      </c>
      <c r="BS503" s="4" t="s">
        <v>4</v>
      </c>
      <c r="BT503" s="4" t="s">
        <v>5</v>
      </c>
      <c r="BU503" s="4" t="s">
        <v>6</v>
      </c>
      <c r="BV503" s="4" t="s">
        <v>7</v>
      </c>
      <c r="BW503" s="4" t="s">
        <v>8</v>
      </c>
      <c r="BX503" s="3" t="s">
        <v>322</v>
      </c>
      <c r="BY503" s="3" t="s">
        <v>323</v>
      </c>
      <c r="BZ503" s="3" t="s">
        <v>322</v>
      </c>
      <c r="CA503" s="3" t="s">
        <v>323</v>
      </c>
    </row>
    <row r="504" spans="1:79" x14ac:dyDescent="0.3">
      <c r="A504" s="4" t="s">
        <v>254</v>
      </c>
      <c r="B504" s="4">
        <v>0.9</v>
      </c>
      <c r="C504" s="4">
        <v>0.5</v>
      </c>
      <c r="D504" s="4">
        <v>0.6</v>
      </c>
      <c r="E504" s="4">
        <v>0.3</v>
      </c>
      <c r="F504" s="6">
        <v>655.10363800000005</v>
      </c>
      <c r="G504" s="4">
        <v>3.0000000000000001E-3</v>
      </c>
      <c r="I504" s="4" t="s">
        <v>254</v>
      </c>
      <c r="J504" s="4">
        <v>0.9</v>
      </c>
      <c r="K504" s="4">
        <v>0.5</v>
      </c>
      <c r="L504" s="4">
        <v>0.6</v>
      </c>
      <c r="M504" s="4">
        <v>0.3</v>
      </c>
      <c r="N504" s="4">
        <v>679.70611599999995</v>
      </c>
      <c r="O504" s="4">
        <v>2E-3</v>
      </c>
      <c r="P504" s="4" t="s">
        <v>324</v>
      </c>
      <c r="Q504" s="4" t="s">
        <v>324</v>
      </c>
      <c r="R504" s="4" t="s">
        <v>325</v>
      </c>
      <c r="S504" s="4" t="s">
        <v>325</v>
      </c>
      <c r="U504" s="4" t="s">
        <v>254</v>
      </c>
      <c r="V504" s="4">
        <v>0.9</v>
      </c>
      <c r="W504" s="4">
        <v>0.5</v>
      </c>
      <c r="X504" s="4">
        <v>0.6</v>
      </c>
      <c r="Y504" s="4">
        <v>0.3</v>
      </c>
      <c r="Z504" s="6">
        <v>663.27514599999995</v>
      </c>
      <c r="AA504" s="4">
        <v>3.0000000000000001E-3</v>
      </c>
      <c r="AC504" s="4" t="s">
        <v>254</v>
      </c>
      <c r="AD504" s="4">
        <v>0.9</v>
      </c>
      <c r="AE504" s="4">
        <v>0.5</v>
      </c>
      <c r="AF504" s="4">
        <v>0.6</v>
      </c>
      <c r="AG504" s="4">
        <v>0.32</v>
      </c>
      <c r="AH504" s="4">
        <v>679.07751499999995</v>
      </c>
      <c r="AI504" s="4">
        <v>4.0000000000000001E-3</v>
      </c>
      <c r="AJ504" s="4" t="s">
        <v>324</v>
      </c>
      <c r="AK504" s="4" t="s">
        <v>324</v>
      </c>
      <c r="AL504" s="4" t="s">
        <v>325</v>
      </c>
      <c r="AM504" s="4" t="s">
        <v>325</v>
      </c>
      <c r="AO504" s="4" t="s">
        <v>255</v>
      </c>
      <c r="AP504" s="4">
        <v>0.9</v>
      </c>
      <c r="AQ504" s="4">
        <v>0.5</v>
      </c>
      <c r="AR504" s="4">
        <v>0.6</v>
      </c>
      <c r="AS504" s="4">
        <v>0.3</v>
      </c>
      <c r="AT504" s="6">
        <v>1020.847229</v>
      </c>
      <c r="AU504" s="4">
        <v>1.2999999999999999E-2</v>
      </c>
      <c r="AW504" s="4" t="s">
        <v>255</v>
      </c>
      <c r="AX504" s="4">
        <v>0.9</v>
      </c>
      <c r="AY504" s="4">
        <v>0.5</v>
      </c>
      <c r="AZ504" s="4">
        <v>0.6</v>
      </c>
      <c r="BA504" s="4">
        <v>0.3</v>
      </c>
      <c r="BB504" s="4">
        <v>1054.5460210000001</v>
      </c>
      <c r="BC504" s="4">
        <v>8.0000000000000002E-3</v>
      </c>
      <c r="BD504" s="4" t="s">
        <v>324</v>
      </c>
      <c r="BE504" s="4" t="s">
        <v>324</v>
      </c>
      <c r="BF504" s="4" t="s">
        <v>325</v>
      </c>
      <c r="BG504" s="4" t="s">
        <v>325</v>
      </c>
      <c r="BI504" s="4" t="s">
        <v>255</v>
      </c>
      <c r="BJ504" s="4">
        <v>0.9</v>
      </c>
      <c r="BK504" s="4">
        <v>0.5</v>
      </c>
      <c r="BL504" s="4">
        <v>0.6</v>
      </c>
      <c r="BM504" s="4">
        <v>0.3</v>
      </c>
      <c r="BN504" s="6">
        <v>997.941284</v>
      </c>
      <c r="BO504" s="4">
        <v>8.0000000000000002E-3</v>
      </c>
      <c r="BQ504" s="4" t="s">
        <v>255</v>
      </c>
      <c r="BR504" s="4">
        <v>0.9</v>
      </c>
      <c r="BS504" s="4">
        <v>0.5</v>
      </c>
      <c r="BT504" s="4">
        <v>0.6</v>
      </c>
      <c r="BU504" s="4">
        <v>0.31</v>
      </c>
      <c r="BV504" s="4">
        <v>1032.615845</v>
      </c>
      <c r="BW504" s="4">
        <v>1.7000000000000001E-2</v>
      </c>
      <c r="BX504" s="4" t="s">
        <v>324</v>
      </c>
      <c r="BY504" s="4" t="s">
        <v>324</v>
      </c>
      <c r="BZ504" s="4" t="s">
        <v>325</v>
      </c>
      <c r="CA504" s="4" t="s">
        <v>325</v>
      </c>
    </row>
    <row r="505" spans="1:79" x14ac:dyDescent="0.3">
      <c r="A505" s="4" t="s">
        <v>256</v>
      </c>
      <c r="B505" s="4">
        <v>0.9</v>
      </c>
      <c r="C505" s="4">
        <v>0.5</v>
      </c>
      <c r="D505" s="4">
        <v>0.6</v>
      </c>
      <c r="E505" s="4">
        <v>0.3</v>
      </c>
      <c r="F505" s="6">
        <v>680.90606700000001</v>
      </c>
      <c r="G505" s="4">
        <v>4.0000000000000001E-3</v>
      </c>
      <c r="I505" s="4" t="s">
        <v>256</v>
      </c>
      <c r="J505" s="4">
        <v>0.9</v>
      </c>
      <c r="K505" s="4">
        <v>0.5</v>
      </c>
      <c r="L505" s="4">
        <v>0.6</v>
      </c>
      <c r="M505" s="4">
        <v>0.31</v>
      </c>
      <c r="N505" s="4">
        <v>710.54901099999995</v>
      </c>
      <c r="O505" s="4">
        <v>3.0000000000000001E-3</v>
      </c>
      <c r="P505" s="3">
        <f>COUNT(F504:F510,F512:F533)</f>
        <v>29</v>
      </c>
      <c r="Q505" s="3">
        <f>30-P505</f>
        <v>1</v>
      </c>
      <c r="R505" s="3">
        <f>COUNT(N511)</f>
        <v>1</v>
      </c>
      <c r="S505" s="3">
        <f>30-R505</f>
        <v>29</v>
      </c>
      <c r="U505" s="4" t="s">
        <v>256</v>
      </c>
      <c r="V505" s="4">
        <v>0.9</v>
      </c>
      <c r="W505" s="4">
        <v>0.5</v>
      </c>
      <c r="X505" s="4">
        <v>0.6</v>
      </c>
      <c r="Y505" s="4">
        <v>0.3</v>
      </c>
      <c r="Z505" s="6">
        <v>671.90026899999998</v>
      </c>
      <c r="AA505" s="4">
        <v>2E-3</v>
      </c>
      <c r="AC505" s="4" t="s">
        <v>256</v>
      </c>
      <c r="AD505" s="4">
        <v>0.9</v>
      </c>
      <c r="AE505" s="4">
        <v>0.5</v>
      </c>
      <c r="AF505" s="4">
        <v>0.6</v>
      </c>
      <c r="AG505" s="4">
        <v>0.34</v>
      </c>
      <c r="AH505" s="4">
        <v>686.58764599999995</v>
      </c>
      <c r="AI505" s="4">
        <v>3.0000000000000001E-3</v>
      </c>
      <c r="AJ505" s="3">
        <f>COUNT(Z504:Z515,Z517:Z533)</f>
        <v>29</v>
      </c>
      <c r="AK505" s="3">
        <f>30-AJ505</f>
        <v>1</v>
      </c>
      <c r="AL505" s="3">
        <f>COUNT(AH516,AH527)</f>
        <v>2</v>
      </c>
      <c r="AM505" s="3">
        <f>30-AL505</f>
        <v>28</v>
      </c>
      <c r="AO505" s="4" t="s">
        <v>257</v>
      </c>
      <c r="AP505" s="4">
        <v>0.9</v>
      </c>
      <c r="AQ505" s="4">
        <v>0.5</v>
      </c>
      <c r="AR505" s="4">
        <v>0.6</v>
      </c>
      <c r="AS505" s="4">
        <v>0.3</v>
      </c>
      <c r="AT505" s="6">
        <v>996.73614499999996</v>
      </c>
      <c r="AU505" s="4">
        <v>8.0000000000000002E-3</v>
      </c>
      <c r="AW505" s="4" t="s">
        <v>257</v>
      </c>
      <c r="AX505" s="4">
        <v>0.9</v>
      </c>
      <c r="AY505" s="4">
        <v>0.5</v>
      </c>
      <c r="AZ505" s="4">
        <v>0.6</v>
      </c>
      <c r="BA505" s="4">
        <v>0.31</v>
      </c>
      <c r="BB505" s="4">
        <v>1014.87207</v>
      </c>
      <c r="BC505" s="4">
        <v>8.9999999999999993E-3</v>
      </c>
      <c r="BD505" s="3">
        <f>COUNT(AT504:AT533)</f>
        <v>30</v>
      </c>
      <c r="BE505" s="3">
        <f>30-BD505</f>
        <v>0</v>
      </c>
      <c r="BF505" s="3">
        <v>0</v>
      </c>
      <c r="BG505" s="3">
        <f>30-BF505</f>
        <v>30</v>
      </c>
      <c r="BI505" s="4" t="s">
        <v>257</v>
      </c>
      <c r="BJ505" s="4">
        <v>0.9</v>
      </c>
      <c r="BK505" s="4">
        <v>0.5</v>
      </c>
      <c r="BL505" s="4">
        <v>0.6</v>
      </c>
      <c r="BM505" s="4">
        <v>0.3</v>
      </c>
      <c r="BN505" s="6">
        <v>984.41357400000004</v>
      </c>
      <c r="BO505" s="4">
        <v>8.0000000000000002E-3</v>
      </c>
      <c r="BQ505" s="4" t="s">
        <v>257</v>
      </c>
      <c r="BR505" s="4">
        <v>0.9</v>
      </c>
      <c r="BS505" s="4">
        <v>0.5</v>
      </c>
      <c r="BT505" s="4">
        <v>0.6</v>
      </c>
      <c r="BU505" s="4">
        <v>0.31</v>
      </c>
      <c r="BV505" s="4">
        <v>986.72198500000002</v>
      </c>
      <c r="BW505" s="4">
        <v>0.01</v>
      </c>
      <c r="BX505" s="3">
        <f>COUNT(BN504:BN524,BN526:BN527,BN529:BN531,BN533)</f>
        <v>27</v>
      </c>
      <c r="BY505" s="3">
        <f>30-BX505</f>
        <v>3</v>
      </c>
      <c r="BZ505" s="3">
        <f>COUNT(BV525,BV529)</f>
        <v>2</v>
      </c>
      <c r="CA505" s="3">
        <f>30-BZ505</f>
        <v>28</v>
      </c>
    </row>
    <row r="506" spans="1:79" x14ac:dyDescent="0.3">
      <c r="A506" s="4" t="s">
        <v>258</v>
      </c>
      <c r="B506" s="4">
        <v>0.9</v>
      </c>
      <c r="C506" s="4">
        <v>0.5</v>
      </c>
      <c r="D506" s="4">
        <v>0.6</v>
      </c>
      <c r="E506" s="4">
        <v>0.3</v>
      </c>
      <c r="F506" s="6">
        <v>675.82568400000002</v>
      </c>
      <c r="G506" s="4">
        <v>4.0000000000000001E-3</v>
      </c>
      <c r="I506" s="4" t="s">
        <v>258</v>
      </c>
      <c r="J506" s="4">
        <v>0.9</v>
      </c>
      <c r="K506" s="4">
        <v>0.5</v>
      </c>
      <c r="L506" s="4">
        <v>0.6</v>
      </c>
      <c r="M506" s="4">
        <v>0.3</v>
      </c>
      <c r="N506" s="4">
        <v>687.29931599999998</v>
      </c>
      <c r="O506" s="4">
        <v>4.0000000000000001E-3</v>
      </c>
      <c r="P506" s="5"/>
      <c r="Q506" s="5"/>
      <c r="R506" s="5"/>
      <c r="S506" s="5"/>
      <c r="U506" s="4" t="s">
        <v>258</v>
      </c>
      <c r="V506" s="4">
        <v>0.9</v>
      </c>
      <c r="W506" s="4">
        <v>0.5</v>
      </c>
      <c r="X506" s="4">
        <v>0.6</v>
      </c>
      <c r="Y506" s="4">
        <v>0.3</v>
      </c>
      <c r="Z506" s="6">
        <v>658.38330099999996</v>
      </c>
      <c r="AA506" s="4">
        <v>4.0000000000000001E-3</v>
      </c>
      <c r="AC506" s="4" t="s">
        <v>258</v>
      </c>
      <c r="AD506" s="4">
        <v>0.9</v>
      </c>
      <c r="AE506" s="4">
        <v>0.5</v>
      </c>
      <c r="AF506" s="4">
        <v>0.6</v>
      </c>
      <c r="AG506" s="4">
        <v>0.31</v>
      </c>
      <c r="AH506" s="4">
        <v>670.76342799999998</v>
      </c>
      <c r="AI506" s="4">
        <v>3.0000000000000001E-3</v>
      </c>
      <c r="AJ506" s="5"/>
      <c r="AK506" s="5"/>
      <c r="AL506" s="5"/>
      <c r="AM506" s="5"/>
      <c r="AO506" s="4" t="s">
        <v>259</v>
      </c>
      <c r="AP506" s="4">
        <v>0.9</v>
      </c>
      <c r="AQ506" s="4">
        <v>0.5</v>
      </c>
      <c r="AR506" s="4">
        <v>0.6</v>
      </c>
      <c r="AS506" s="4">
        <v>0.3</v>
      </c>
      <c r="AT506" s="6">
        <v>1010.0382080000001</v>
      </c>
      <c r="AU506" s="4">
        <v>8.0000000000000002E-3</v>
      </c>
      <c r="AW506" s="4" t="s">
        <v>259</v>
      </c>
      <c r="AX506" s="4">
        <v>0.9</v>
      </c>
      <c r="AY506" s="4">
        <v>0.5</v>
      </c>
      <c r="AZ506" s="4">
        <v>0.6</v>
      </c>
      <c r="BA506" s="4">
        <v>0.3</v>
      </c>
      <c r="BB506" s="4">
        <v>1023.995911</v>
      </c>
      <c r="BC506" s="4">
        <v>8.0000000000000002E-3</v>
      </c>
      <c r="BD506" s="5"/>
      <c r="BE506" s="5"/>
      <c r="BF506" s="5"/>
      <c r="BG506" s="5"/>
      <c r="BI506" s="4" t="s">
        <v>259</v>
      </c>
      <c r="BJ506" s="4">
        <v>0.9</v>
      </c>
      <c r="BK506" s="4">
        <v>0.5</v>
      </c>
      <c r="BL506" s="4">
        <v>0.6</v>
      </c>
      <c r="BM506" s="4">
        <v>0.3</v>
      </c>
      <c r="BN506" s="6">
        <v>980.48718299999996</v>
      </c>
      <c r="BO506" s="4">
        <v>8.0000000000000002E-3</v>
      </c>
      <c r="BQ506" s="4" t="s">
        <v>259</v>
      </c>
      <c r="BR506" s="4">
        <v>0.9</v>
      </c>
      <c r="BS506" s="4">
        <v>0.5</v>
      </c>
      <c r="BT506" s="4">
        <v>0.6</v>
      </c>
      <c r="BU506" s="4">
        <v>0.3</v>
      </c>
      <c r="BV506" s="4">
        <v>1029.0161129999999</v>
      </c>
      <c r="BW506" s="4">
        <v>0.01</v>
      </c>
      <c r="BX506" s="5"/>
      <c r="BY506" s="5"/>
      <c r="BZ506" s="5"/>
      <c r="CA506" s="5"/>
    </row>
    <row r="507" spans="1:79" x14ac:dyDescent="0.3">
      <c r="A507" s="4" t="s">
        <v>260</v>
      </c>
      <c r="B507" s="4">
        <v>0.9</v>
      </c>
      <c r="C507" s="4">
        <v>0.5</v>
      </c>
      <c r="D507" s="4">
        <v>0.6</v>
      </c>
      <c r="E507" s="4">
        <v>0.3</v>
      </c>
      <c r="F507" s="6">
        <v>694.677368</v>
      </c>
      <c r="G507" s="4">
        <v>3.0000000000000001E-3</v>
      </c>
      <c r="I507" s="4" t="s">
        <v>260</v>
      </c>
      <c r="J507" s="4">
        <v>0.9</v>
      </c>
      <c r="K507" s="4">
        <v>0.5</v>
      </c>
      <c r="L507" s="4">
        <v>0.6</v>
      </c>
      <c r="M507" s="4">
        <v>0.35</v>
      </c>
      <c r="N507" s="4">
        <v>723.85162400000002</v>
      </c>
      <c r="O507" s="4">
        <v>3.0000000000000001E-3</v>
      </c>
      <c r="P507" s="5"/>
      <c r="Q507" s="5"/>
      <c r="R507" s="5"/>
      <c r="S507" s="5"/>
      <c r="U507" s="4" t="s">
        <v>260</v>
      </c>
      <c r="V507" s="4">
        <v>0.9</v>
      </c>
      <c r="W507" s="4">
        <v>0.5</v>
      </c>
      <c r="X507" s="4">
        <v>0.6</v>
      </c>
      <c r="Y507" s="4">
        <v>0.3</v>
      </c>
      <c r="Z507" s="6">
        <v>689.61328100000003</v>
      </c>
      <c r="AA507" s="4">
        <v>3.0000000000000001E-3</v>
      </c>
      <c r="AC507" s="4" t="s">
        <v>260</v>
      </c>
      <c r="AD507" s="4">
        <v>0.9</v>
      </c>
      <c r="AE507" s="4">
        <v>0.5</v>
      </c>
      <c r="AF507" s="4">
        <v>0.6</v>
      </c>
      <c r="AG507" s="4">
        <v>0.32</v>
      </c>
      <c r="AH507" s="4">
        <v>712.31542999999999</v>
      </c>
      <c r="AI507" s="4">
        <v>4.0000000000000001E-3</v>
      </c>
      <c r="AJ507" s="5"/>
      <c r="AK507" s="5"/>
      <c r="AL507" s="5"/>
      <c r="AM507" s="5"/>
      <c r="AO507" s="4" t="s">
        <v>261</v>
      </c>
      <c r="AP507" s="4">
        <v>0.9</v>
      </c>
      <c r="AQ507" s="4">
        <v>0.5</v>
      </c>
      <c r="AR507" s="4">
        <v>0.6</v>
      </c>
      <c r="AS507" s="4">
        <v>0.3</v>
      </c>
      <c r="AT507" s="6">
        <v>973.05468800000006</v>
      </c>
      <c r="AU507" s="4">
        <v>1.2E-2</v>
      </c>
      <c r="AW507" s="4" t="s">
        <v>261</v>
      </c>
      <c r="AX507" s="4">
        <v>0.9</v>
      </c>
      <c r="AY507" s="4">
        <v>0.5</v>
      </c>
      <c r="AZ507" s="4">
        <v>0.6</v>
      </c>
      <c r="BA507" s="4">
        <v>0.3</v>
      </c>
      <c r="BB507" s="4">
        <v>985.50390600000003</v>
      </c>
      <c r="BC507" s="4">
        <v>8.0000000000000002E-3</v>
      </c>
      <c r="BD507" s="5"/>
      <c r="BE507" s="5"/>
      <c r="BF507" s="5"/>
      <c r="BG507" s="5"/>
      <c r="BI507" s="4" t="s">
        <v>261</v>
      </c>
      <c r="BJ507" s="4">
        <v>0.9</v>
      </c>
      <c r="BK507" s="4">
        <v>0.5</v>
      </c>
      <c r="BL507" s="4">
        <v>0.6</v>
      </c>
      <c r="BM507" s="4">
        <v>0.3</v>
      </c>
      <c r="BN507" s="6">
        <v>949.00152600000001</v>
      </c>
      <c r="BO507" s="4">
        <v>7.0000000000000001E-3</v>
      </c>
      <c r="BQ507" s="4" t="s">
        <v>261</v>
      </c>
      <c r="BR507" s="4">
        <v>0.9</v>
      </c>
      <c r="BS507" s="4">
        <v>0.5</v>
      </c>
      <c r="BT507" s="4">
        <v>0.6</v>
      </c>
      <c r="BU507" s="4">
        <v>0.3</v>
      </c>
      <c r="BV507" s="4">
        <v>980.40490699999998</v>
      </c>
      <c r="BW507" s="4">
        <v>1.2E-2</v>
      </c>
      <c r="BX507" s="5"/>
      <c r="BY507" s="5"/>
      <c r="BZ507" s="5"/>
      <c r="CA507" s="5"/>
    </row>
    <row r="508" spans="1:79" x14ac:dyDescent="0.3">
      <c r="A508" s="4" t="s">
        <v>262</v>
      </c>
      <c r="B508" s="4">
        <v>0.9</v>
      </c>
      <c r="C508" s="4">
        <v>0.5</v>
      </c>
      <c r="D508" s="4">
        <v>0.6</v>
      </c>
      <c r="E508" s="4">
        <v>0.3</v>
      </c>
      <c r="F508" s="6">
        <v>741.83142099999998</v>
      </c>
      <c r="G508" s="4">
        <v>3.0000000000000001E-3</v>
      </c>
      <c r="I508" s="4" t="s">
        <v>262</v>
      </c>
      <c r="J508" s="4">
        <v>0.9</v>
      </c>
      <c r="K508" s="4">
        <v>0.5</v>
      </c>
      <c r="L508" s="4">
        <v>0.6</v>
      </c>
      <c r="M508" s="4">
        <v>0.31</v>
      </c>
      <c r="N508" s="4">
        <v>762.24292000000003</v>
      </c>
      <c r="O508" s="4">
        <v>4.0000000000000001E-3</v>
      </c>
      <c r="P508" s="5"/>
      <c r="Q508" s="5"/>
      <c r="R508" s="5"/>
      <c r="S508" s="5"/>
      <c r="U508" s="4" t="s">
        <v>262</v>
      </c>
      <c r="V508" s="4">
        <v>0.9</v>
      </c>
      <c r="W508" s="4">
        <v>0.5</v>
      </c>
      <c r="X508" s="4">
        <v>0.6</v>
      </c>
      <c r="Y508" s="4">
        <v>0.3</v>
      </c>
      <c r="Z508" s="6">
        <v>724.04480000000001</v>
      </c>
      <c r="AA508" s="4">
        <v>3.0000000000000001E-3</v>
      </c>
      <c r="AC508" s="4" t="s">
        <v>262</v>
      </c>
      <c r="AD508" s="4">
        <v>0.9</v>
      </c>
      <c r="AE508" s="4">
        <v>0.5</v>
      </c>
      <c r="AF508" s="4">
        <v>0.6</v>
      </c>
      <c r="AG508" s="4">
        <v>0.33</v>
      </c>
      <c r="AH508" s="4">
        <v>752.30993699999999</v>
      </c>
      <c r="AI508" s="4">
        <v>6.0000000000000001E-3</v>
      </c>
      <c r="AJ508" s="5"/>
      <c r="AK508" s="5"/>
      <c r="AL508" s="5"/>
      <c r="AM508" s="5"/>
      <c r="AO508" s="4" t="s">
        <v>263</v>
      </c>
      <c r="AP508" s="4">
        <v>0.9</v>
      </c>
      <c r="AQ508" s="4">
        <v>0.5</v>
      </c>
      <c r="AR508" s="4">
        <v>0.6</v>
      </c>
      <c r="AS508" s="4">
        <v>0.3</v>
      </c>
      <c r="AT508" s="6">
        <v>1008.017456</v>
      </c>
      <c r="AU508" s="4">
        <v>0.01</v>
      </c>
      <c r="AW508" s="4" t="s">
        <v>263</v>
      </c>
      <c r="AX508" s="4">
        <v>0.9</v>
      </c>
      <c r="AY508" s="4">
        <v>0.5</v>
      </c>
      <c r="AZ508" s="4">
        <v>0.6</v>
      </c>
      <c r="BA508" s="4">
        <v>0.3</v>
      </c>
      <c r="BB508" s="4">
        <v>1029.8436280000001</v>
      </c>
      <c r="BC508" s="4">
        <v>8.9999999999999993E-3</v>
      </c>
      <c r="BD508" s="5"/>
      <c r="BE508" s="5"/>
      <c r="BF508" s="5"/>
      <c r="BG508" s="5"/>
      <c r="BI508" s="4" t="s">
        <v>263</v>
      </c>
      <c r="BJ508" s="4">
        <v>0.9</v>
      </c>
      <c r="BK508" s="4">
        <v>0.5</v>
      </c>
      <c r="BL508" s="4">
        <v>0.6</v>
      </c>
      <c r="BM508" s="4">
        <v>0.3</v>
      </c>
      <c r="BN508" s="6">
        <v>997.88696300000004</v>
      </c>
      <c r="BO508" s="4">
        <v>8.0000000000000002E-3</v>
      </c>
      <c r="BQ508" s="4" t="s">
        <v>263</v>
      </c>
      <c r="BR508" s="4">
        <v>0.9</v>
      </c>
      <c r="BS508" s="4">
        <v>0.5</v>
      </c>
      <c r="BT508" s="4">
        <v>0.6</v>
      </c>
      <c r="BU508" s="4">
        <v>0.33</v>
      </c>
      <c r="BV508" s="4">
        <v>1009.391785</v>
      </c>
      <c r="BW508" s="4">
        <v>1.4E-2</v>
      </c>
      <c r="BX508" s="5"/>
      <c r="BY508" s="5"/>
      <c r="BZ508" s="5"/>
      <c r="CA508" s="5"/>
    </row>
    <row r="509" spans="1:79" x14ac:dyDescent="0.3">
      <c r="A509" s="4" t="s">
        <v>264</v>
      </c>
      <c r="B509" s="4">
        <v>0.9</v>
      </c>
      <c r="C509" s="4">
        <v>0.5</v>
      </c>
      <c r="D509" s="4">
        <v>0.6</v>
      </c>
      <c r="E509" s="4">
        <v>0.3</v>
      </c>
      <c r="F509" s="6">
        <v>715.06219499999997</v>
      </c>
      <c r="G509" s="4">
        <v>5.0000000000000001E-3</v>
      </c>
      <c r="I509" s="4" t="s">
        <v>264</v>
      </c>
      <c r="J509" s="4">
        <v>0.9</v>
      </c>
      <c r="K509" s="4">
        <v>0.5</v>
      </c>
      <c r="L509" s="4">
        <v>0.6</v>
      </c>
      <c r="M509" s="4">
        <v>0.35</v>
      </c>
      <c r="N509" s="4">
        <v>747.60601799999995</v>
      </c>
      <c r="O509" s="4">
        <v>3.0000000000000001E-3</v>
      </c>
      <c r="P509" s="5"/>
      <c r="Q509" s="5"/>
      <c r="R509" s="5"/>
      <c r="S509" s="5"/>
      <c r="U509" s="4" t="s">
        <v>264</v>
      </c>
      <c r="V509" s="4">
        <v>0.9</v>
      </c>
      <c r="W509" s="4">
        <v>0.5</v>
      </c>
      <c r="X509" s="4">
        <v>0.6</v>
      </c>
      <c r="Y509" s="4">
        <v>0.3</v>
      </c>
      <c r="Z509" s="6">
        <v>722.42163100000005</v>
      </c>
      <c r="AA509" s="4">
        <v>3.0000000000000001E-3</v>
      </c>
      <c r="AC509" s="4" t="s">
        <v>264</v>
      </c>
      <c r="AD509" s="4">
        <v>0.9</v>
      </c>
      <c r="AE509" s="4">
        <v>0.5</v>
      </c>
      <c r="AF509" s="4">
        <v>0.6</v>
      </c>
      <c r="AG509" s="4">
        <v>0.3</v>
      </c>
      <c r="AH509" s="4">
        <v>728.92211899999995</v>
      </c>
      <c r="AI509" s="4">
        <v>4.0000000000000001E-3</v>
      </c>
      <c r="AJ509" s="5"/>
      <c r="AK509" s="5"/>
      <c r="AL509" s="5"/>
      <c r="AM509" s="5"/>
      <c r="AO509" s="4" t="s">
        <v>265</v>
      </c>
      <c r="AP509" s="4">
        <v>0.9</v>
      </c>
      <c r="AQ509" s="4">
        <v>0.5</v>
      </c>
      <c r="AR509" s="4">
        <v>0.6</v>
      </c>
      <c r="AS509" s="4">
        <v>0.3</v>
      </c>
      <c r="AT509" s="6">
        <v>982.09576400000003</v>
      </c>
      <c r="AU509" s="4">
        <v>8.9999999999999993E-3</v>
      </c>
      <c r="AW509" s="4" t="s">
        <v>265</v>
      </c>
      <c r="AX509" s="4">
        <v>0.9</v>
      </c>
      <c r="AY509" s="4">
        <v>0.5</v>
      </c>
      <c r="AZ509" s="4">
        <v>0.6</v>
      </c>
      <c r="BA509" s="4">
        <v>0.3</v>
      </c>
      <c r="BB509" s="4">
        <v>1011.1942749999999</v>
      </c>
      <c r="BC509" s="4">
        <v>0.01</v>
      </c>
      <c r="BD509" s="5"/>
      <c r="BE509" s="5"/>
      <c r="BF509" s="5"/>
      <c r="BG509" s="5"/>
      <c r="BI509" s="4" t="s">
        <v>265</v>
      </c>
      <c r="BJ509" s="4">
        <v>0.9</v>
      </c>
      <c r="BK509" s="4">
        <v>0.5</v>
      </c>
      <c r="BL509" s="4">
        <v>0.6</v>
      </c>
      <c r="BM509" s="4">
        <v>0.3</v>
      </c>
      <c r="BN509" s="6">
        <v>967.89294400000006</v>
      </c>
      <c r="BO509" s="4">
        <v>8.0000000000000002E-3</v>
      </c>
      <c r="BQ509" s="4" t="s">
        <v>265</v>
      </c>
      <c r="BR509" s="4">
        <v>0.9</v>
      </c>
      <c r="BS509" s="4">
        <v>0.5</v>
      </c>
      <c r="BT509" s="4">
        <v>0.6</v>
      </c>
      <c r="BU509" s="4">
        <v>0.3</v>
      </c>
      <c r="BV509" s="4">
        <v>998.01739499999996</v>
      </c>
      <c r="BW509" s="4">
        <v>1.0999999999999999E-2</v>
      </c>
      <c r="BX509" s="5"/>
      <c r="BY509" s="5"/>
      <c r="BZ509" s="5"/>
      <c r="CA509" s="5"/>
    </row>
    <row r="510" spans="1:79" x14ac:dyDescent="0.3">
      <c r="A510" s="4" t="s">
        <v>266</v>
      </c>
      <c r="B510" s="4">
        <v>0.9</v>
      </c>
      <c r="C510" s="4">
        <v>0.5</v>
      </c>
      <c r="D510" s="4">
        <v>0.6</v>
      </c>
      <c r="E510" s="4">
        <v>0.3</v>
      </c>
      <c r="F510" s="6">
        <v>648.57183799999996</v>
      </c>
      <c r="G510" s="4">
        <v>8.0000000000000002E-3</v>
      </c>
      <c r="I510" s="4" t="s">
        <v>266</v>
      </c>
      <c r="J510" s="4">
        <v>0.9</v>
      </c>
      <c r="K510" s="4">
        <v>0.5</v>
      </c>
      <c r="L510" s="4">
        <v>0.6</v>
      </c>
      <c r="M510" s="4">
        <v>0.31</v>
      </c>
      <c r="N510" s="4">
        <v>658.08770800000002</v>
      </c>
      <c r="O510" s="4">
        <v>2E-3</v>
      </c>
      <c r="P510" s="5"/>
      <c r="Q510" s="5"/>
      <c r="R510" s="5"/>
      <c r="S510" s="5"/>
      <c r="U510" s="4" t="s">
        <v>266</v>
      </c>
      <c r="V510" s="4">
        <v>0.9</v>
      </c>
      <c r="W510" s="4">
        <v>0.5</v>
      </c>
      <c r="X510" s="4">
        <v>0.6</v>
      </c>
      <c r="Y510" s="4">
        <v>0.3</v>
      </c>
      <c r="Z510" s="6">
        <v>630.58752400000003</v>
      </c>
      <c r="AA510" s="4">
        <v>3.0000000000000001E-3</v>
      </c>
      <c r="AC510" s="4" t="s">
        <v>266</v>
      </c>
      <c r="AD510" s="4">
        <v>0.9</v>
      </c>
      <c r="AE510" s="4">
        <v>0.5</v>
      </c>
      <c r="AF510" s="4">
        <v>0.6</v>
      </c>
      <c r="AG510" s="4">
        <v>0.3</v>
      </c>
      <c r="AH510" s="4">
        <v>634.33019999999999</v>
      </c>
      <c r="AI510" s="4">
        <v>2E-3</v>
      </c>
      <c r="AJ510" s="5"/>
      <c r="AK510" s="5"/>
      <c r="AL510" s="5"/>
      <c r="AM510" s="5"/>
      <c r="AO510" s="4" t="s">
        <v>267</v>
      </c>
      <c r="AP510" s="4">
        <v>0.9</v>
      </c>
      <c r="AQ510" s="4">
        <v>0.5</v>
      </c>
      <c r="AR510" s="4">
        <v>0.6</v>
      </c>
      <c r="AS510" s="4">
        <v>0.3</v>
      </c>
      <c r="AT510" s="6">
        <v>1021.6235349999999</v>
      </c>
      <c r="AU510" s="4">
        <v>0.01</v>
      </c>
      <c r="AW510" s="4" t="s">
        <v>267</v>
      </c>
      <c r="AX510" s="4">
        <v>0.9</v>
      </c>
      <c r="AY510" s="4">
        <v>0.5</v>
      </c>
      <c r="AZ510" s="4">
        <v>0.6</v>
      </c>
      <c r="BA510" s="4">
        <v>0.3</v>
      </c>
      <c r="BB510" s="4">
        <v>1058.125</v>
      </c>
      <c r="BC510" s="4">
        <v>8.9999999999999993E-3</v>
      </c>
      <c r="BD510" s="5"/>
      <c r="BE510" s="5"/>
      <c r="BF510" s="5"/>
      <c r="BG510" s="5"/>
      <c r="BI510" s="4" t="s">
        <v>267</v>
      </c>
      <c r="BJ510" s="4">
        <v>0.9</v>
      </c>
      <c r="BK510" s="4">
        <v>0.5</v>
      </c>
      <c r="BL510" s="4">
        <v>0.6</v>
      </c>
      <c r="BM510" s="4">
        <v>0.3</v>
      </c>
      <c r="BN510" s="6">
        <v>1009.3192749999999</v>
      </c>
      <c r="BO510" s="4">
        <v>8.0000000000000002E-3</v>
      </c>
      <c r="BQ510" s="4" t="s">
        <v>267</v>
      </c>
      <c r="BR510" s="4">
        <v>0.9</v>
      </c>
      <c r="BS510" s="4">
        <v>0.5</v>
      </c>
      <c r="BT510" s="4">
        <v>0.6</v>
      </c>
      <c r="BU510" s="4">
        <v>0.31</v>
      </c>
      <c r="BV510" s="4">
        <v>1033.338379</v>
      </c>
      <c r="BW510" s="4">
        <v>1.2E-2</v>
      </c>
      <c r="BX510" s="5"/>
      <c r="BY510" s="5"/>
      <c r="BZ510" s="5"/>
      <c r="CA510" s="5"/>
    </row>
    <row r="511" spans="1:79" x14ac:dyDescent="0.3">
      <c r="A511" s="4" t="s">
        <v>268</v>
      </c>
      <c r="B511" s="4">
        <v>0.9</v>
      </c>
      <c r="C511" s="4">
        <v>0.5</v>
      </c>
      <c r="D511" s="4">
        <v>0.6</v>
      </c>
      <c r="E511" s="4">
        <v>0.3</v>
      </c>
      <c r="F511" s="4">
        <v>709.701233</v>
      </c>
      <c r="G511" s="4">
        <v>5.0000000000000001E-3</v>
      </c>
      <c r="I511" s="4" t="s">
        <v>268</v>
      </c>
      <c r="J511" s="4">
        <v>0.9</v>
      </c>
      <c r="K511" s="4">
        <v>0.5</v>
      </c>
      <c r="L511" s="4">
        <v>0.6</v>
      </c>
      <c r="M511" s="4">
        <v>0.31</v>
      </c>
      <c r="N511" s="6">
        <v>707.29949999999997</v>
      </c>
      <c r="O511" s="4">
        <v>3.0000000000000001E-3</v>
      </c>
      <c r="P511" s="5"/>
      <c r="Q511" s="5"/>
      <c r="R511" s="5"/>
      <c r="S511" s="5"/>
      <c r="U511" s="4" t="s">
        <v>268</v>
      </c>
      <c r="V511" s="4">
        <v>0.9</v>
      </c>
      <c r="W511" s="4">
        <v>0.5</v>
      </c>
      <c r="X511" s="4">
        <v>0.6</v>
      </c>
      <c r="Y511" s="4">
        <v>0.3</v>
      </c>
      <c r="Z511" s="6">
        <v>697.81646699999999</v>
      </c>
      <c r="AA511" s="4">
        <v>4.0000000000000001E-3</v>
      </c>
      <c r="AC511" s="4" t="s">
        <v>268</v>
      </c>
      <c r="AD511" s="4">
        <v>0.9</v>
      </c>
      <c r="AE511" s="4">
        <v>0.5</v>
      </c>
      <c r="AF511" s="4">
        <v>0.6</v>
      </c>
      <c r="AG511" s="4">
        <v>0.3</v>
      </c>
      <c r="AH511" s="4">
        <v>716.982483</v>
      </c>
      <c r="AI511" s="4">
        <v>3.0000000000000001E-3</v>
      </c>
      <c r="AJ511" s="5"/>
      <c r="AK511" s="5"/>
      <c r="AL511" s="5"/>
      <c r="AM511" s="5"/>
      <c r="AO511" s="4" t="s">
        <v>269</v>
      </c>
      <c r="AP511" s="4">
        <v>0.9</v>
      </c>
      <c r="AQ511" s="4">
        <v>0.5</v>
      </c>
      <c r="AR511" s="4">
        <v>0.6</v>
      </c>
      <c r="AS511" s="4">
        <v>0.3</v>
      </c>
      <c r="AT511" s="6">
        <v>969.22955300000001</v>
      </c>
      <c r="AU511" s="4">
        <v>8.9999999999999993E-3</v>
      </c>
      <c r="AW511" s="4" t="s">
        <v>269</v>
      </c>
      <c r="AX511" s="4">
        <v>0.9</v>
      </c>
      <c r="AY511" s="4">
        <v>0.5</v>
      </c>
      <c r="AZ511" s="4">
        <v>0.6</v>
      </c>
      <c r="BA511" s="4">
        <v>0.32</v>
      </c>
      <c r="BB511" s="4">
        <v>973.14160200000003</v>
      </c>
      <c r="BC511" s="4">
        <v>8.0000000000000002E-3</v>
      </c>
      <c r="BD511" s="5"/>
      <c r="BE511" s="5"/>
      <c r="BF511" s="5"/>
      <c r="BG511" s="5"/>
      <c r="BI511" s="4" t="s">
        <v>269</v>
      </c>
      <c r="BJ511" s="4">
        <v>0.9</v>
      </c>
      <c r="BK511" s="4">
        <v>0.5</v>
      </c>
      <c r="BL511" s="4">
        <v>0.6</v>
      </c>
      <c r="BM511" s="4">
        <v>0.3</v>
      </c>
      <c r="BN511" s="6">
        <v>956.60247800000002</v>
      </c>
      <c r="BO511" s="4">
        <v>8.0000000000000002E-3</v>
      </c>
      <c r="BQ511" s="4" t="s">
        <v>269</v>
      </c>
      <c r="BR511" s="4">
        <v>0.9</v>
      </c>
      <c r="BS511" s="4">
        <v>0.5</v>
      </c>
      <c r="BT511" s="4">
        <v>0.6</v>
      </c>
      <c r="BU511" s="4">
        <v>0.3</v>
      </c>
      <c r="BV511" s="4">
        <v>986.68414299999995</v>
      </c>
      <c r="BW511" s="4">
        <v>8.9999999999999993E-3</v>
      </c>
      <c r="BX511" s="5"/>
      <c r="BY511" s="5"/>
      <c r="BZ511" s="5"/>
      <c r="CA511" s="5"/>
    </row>
    <row r="512" spans="1:79" x14ac:dyDescent="0.3">
      <c r="A512" s="4" t="s">
        <v>270</v>
      </c>
      <c r="B512" s="4">
        <v>0.9</v>
      </c>
      <c r="C512" s="4">
        <v>0.5</v>
      </c>
      <c r="D512" s="4">
        <v>0.6</v>
      </c>
      <c r="E512" s="4">
        <v>0.3</v>
      </c>
      <c r="F512" s="6">
        <v>621.15045199999997</v>
      </c>
      <c r="G512" s="4">
        <v>2E-3</v>
      </c>
      <c r="I512" s="4" t="s">
        <v>270</v>
      </c>
      <c r="J512" s="4">
        <v>0.9</v>
      </c>
      <c r="K512" s="4">
        <v>0.5</v>
      </c>
      <c r="L512" s="4">
        <v>0.6</v>
      </c>
      <c r="M512" s="4">
        <v>0.32</v>
      </c>
      <c r="N512" s="4">
        <v>627.78906199999994</v>
      </c>
      <c r="O512" s="4">
        <v>3.0000000000000001E-3</v>
      </c>
      <c r="P512" s="5"/>
      <c r="Q512" s="5"/>
      <c r="R512" s="5"/>
      <c r="S512" s="5"/>
      <c r="U512" s="4" t="s">
        <v>270</v>
      </c>
      <c r="V512" s="4">
        <v>0.9</v>
      </c>
      <c r="W512" s="4">
        <v>0.5</v>
      </c>
      <c r="X512" s="4">
        <v>0.6</v>
      </c>
      <c r="Y512" s="4">
        <v>0.3</v>
      </c>
      <c r="Z512" s="6">
        <v>599.91198699999995</v>
      </c>
      <c r="AA512" s="4">
        <v>4.0000000000000001E-3</v>
      </c>
      <c r="AC512" s="4" t="s">
        <v>270</v>
      </c>
      <c r="AD512" s="4">
        <v>0.9</v>
      </c>
      <c r="AE512" s="4">
        <v>0.5</v>
      </c>
      <c r="AF512" s="4">
        <v>0.6</v>
      </c>
      <c r="AG512" s="4">
        <v>0.3</v>
      </c>
      <c r="AH512" s="4">
        <v>608.10400400000003</v>
      </c>
      <c r="AI512" s="4">
        <v>4.0000000000000001E-3</v>
      </c>
      <c r="AJ512" s="5"/>
      <c r="AK512" s="5"/>
      <c r="AL512" s="5"/>
      <c r="AM512" s="5"/>
      <c r="AO512" s="4" t="s">
        <v>271</v>
      </c>
      <c r="AP512" s="4">
        <v>0.9</v>
      </c>
      <c r="AQ512" s="4">
        <v>0.5</v>
      </c>
      <c r="AR512" s="4">
        <v>0.6</v>
      </c>
      <c r="AS512" s="4">
        <v>0.3</v>
      </c>
      <c r="AT512" s="6">
        <v>992.293091</v>
      </c>
      <c r="AU512" s="4">
        <v>0.01</v>
      </c>
      <c r="AW512" s="4" t="s">
        <v>271</v>
      </c>
      <c r="AX512" s="4">
        <v>0.9</v>
      </c>
      <c r="AY512" s="4">
        <v>0.5</v>
      </c>
      <c r="AZ512" s="4">
        <v>0.6</v>
      </c>
      <c r="BA512" s="4">
        <v>0.3</v>
      </c>
      <c r="BB512" s="4">
        <v>984.66272000000004</v>
      </c>
      <c r="BC512" s="4">
        <v>8.0000000000000002E-3</v>
      </c>
      <c r="BD512" s="5"/>
      <c r="BE512" s="5"/>
      <c r="BF512" s="5"/>
      <c r="BG512" s="5"/>
      <c r="BI512" s="4" t="s">
        <v>271</v>
      </c>
      <c r="BJ512" s="4">
        <v>0.9</v>
      </c>
      <c r="BK512" s="4">
        <v>0.5</v>
      </c>
      <c r="BL512" s="4">
        <v>0.6</v>
      </c>
      <c r="BM512" s="4">
        <v>0.3</v>
      </c>
      <c r="BN512" s="6">
        <v>970.82843000000003</v>
      </c>
      <c r="BO512" s="4">
        <v>8.0000000000000002E-3</v>
      </c>
      <c r="BQ512" s="4" t="s">
        <v>271</v>
      </c>
      <c r="BR512" s="4">
        <v>0.9</v>
      </c>
      <c r="BS512" s="4">
        <v>0.5</v>
      </c>
      <c r="BT512" s="4">
        <v>0.6</v>
      </c>
      <c r="BU512" s="4">
        <v>0.3</v>
      </c>
      <c r="BV512" s="4">
        <v>997.90954599999998</v>
      </c>
      <c r="BW512" s="4">
        <v>1.2999999999999999E-2</v>
      </c>
      <c r="BX512" s="5"/>
      <c r="BY512" s="5"/>
      <c r="BZ512" s="5"/>
      <c r="CA512" s="5"/>
    </row>
    <row r="513" spans="1:79" x14ac:dyDescent="0.3">
      <c r="A513" s="4" t="s">
        <v>272</v>
      </c>
      <c r="B513" s="4">
        <v>0.9</v>
      </c>
      <c r="C513" s="4">
        <v>0.5</v>
      </c>
      <c r="D513" s="4">
        <v>0.6</v>
      </c>
      <c r="E513" s="4">
        <v>0.3</v>
      </c>
      <c r="F513" s="6">
        <v>763.63147000000004</v>
      </c>
      <c r="G513" s="4">
        <v>0.01</v>
      </c>
      <c r="I513" s="4" t="s">
        <v>272</v>
      </c>
      <c r="J513" s="4">
        <v>0.9</v>
      </c>
      <c r="K513" s="4">
        <v>0.5</v>
      </c>
      <c r="L513" s="4">
        <v>0.6</v>
      </c>
      <c r="M513" s="4">
        <v>0.31</v>
      </c>
      <c r="N513" s="4">
        <v>773.11444100000006</v>
      </c>
      <c r="O513" s="4">
        <v>3.0000000000000001E-3</v>
      </c>
      <c r="P513" s="5"/>
      <c r="Q513" s="5"/>
      <c r="R513" s="5"/>
      <c r="S513" s="5"/>
      <c r="U513" s="4" t="s">
        <v>272</v>
      </c>
      <c r="V513" s="4">
        <v>0.9</v>
      </c>
      <c r="W513" s="4">
        <v>0.5</v>
      </c>
      <c r="X513" s="4">
        <v>0.6</v>
      </c>
      <c r="Y513" s="4">
        <v>0.3</v>
      </c>
      <c r="Z513" s="6">
        <v>758.83270300000004</v>
      </c>
      <c r="AA513" s="4">
        <v>3.0000000000000001E-3</v>
      </c>
      <c r="AC513" s="4" t="s">
        <v>272</v>
      </c>
      <c r="AD513" s="4">
        <v>0.9</v>
      </c>
      <c r="AE513" s="4">
        <v>0.5</v>
      </c>
      <c r="AF513" s="4">
        <v>0.6</v>
      </c>
      <c r="AG513" s="4">
        <v>0.36</v>
      </c>
      <c r="AH513" s="4">
        <v>779.08752400000003</v>
      </c>
      <c r="AI513" s="4">
        <v>6.0000000000000001E-3</v>
      </c>
      <c r="AJ513" s="5"/>
      <c r="AK513" s="5"/>
      <c r="AL513" s="5"/>
      <c r="AM513" s="5"/>
      <c r="AO513" s="4" t="s">
        <v>273</v>
      </c>
      <c r="AP513" s="4">
        <v>0.9</v>
      </c>
      <c r="AQ513" s="4">
        <v>0.5</v>
      </c>
      <c r="AR513" s="4">
        <v>0.6</v>
      </c>
      <c r="AS513" s="4">
        <v>0.3</v>
      </c>
      <c r="AT513" s="6">
        <v>1011.3010860000001</v>
      </c>
      <c r="AU513" s="4">
        <v>1.2999999999999999E-2</v>
      </c>
      <c r="AW513" s="4" t="s">
        <v>273</v>
      </c>
      <c r="AX513" s="4">
        <v>0.9</v>
      </c>
      <c r="AY513" s="4">
        <v>0.5</v>
      </c>
      <c r="AZ513" s="4">
        <v>0.6</v>
      </c>
      <c r="BA513" s="4">
        <v>0.32</v>
      </c>
      <c r="BB513" s="4">
        <v>1040.2113039999999</v>
      </c>
      <c r="BC513" s="4">
        <v>8.0000000000000002E-3</v>
      </c>
      <c r="BD513" s="5"/>
      <c r="BE513" s="5"/>
      <c r="BF513" s="5"/>
      <c r="BG513" s="5"/>
      <c r="BI513" s="4" t="s">
        <v>273</v>
      </c>
      <c r="BJ513" s="4">
        <v>0.9</v>
      </c>
      <c r="BK513" s="4">
        <v>0.5</v>
      </c>
      <c r="BL513" s="4">
        <v>0.6</v>
      </c>
      <c r="BM513" s="4">
        <v>0.3</v>
      </c>
      <c r="BN513" s="6">
        <v>1009.639771</v>
      </c>
      <c r="BO513" s="4">
        <v>8.9999999999999993E-3</v>
      </c>
      <c r="BQ513" s="4" t="s">
        <v>273</v>
      </c>
      <c r="BR513" s="4">
        <v>0.9</v>
      </c>
      <c r="BS513" s="4">
        <v>0.5</v>
      </c>
      <c r="BT513" s="4">
        <v>0.6</v>
      </c>
      <c r="BU513" s="4">
        <v>0.31</v>
      </c>
      <c r="BV513" s="4">
        <v>1034.6964109999999</v>
      </c>
      <c r="BW513" s="4">
        <v>1.2E-2</v>
      </c>
      <c r="BX513" s="5"/>
      <c r="BY513" s="5"/>
      <c r="BZ513" s="5"/>
      <c r="CA513" s="5"/>
    </row>
    <row r="514" spans="1:79" x14ac:dyDescent="0.3">
      <c r="A514" s="4" t="s">
        <v>274</v>
      </c>
      <c r="B514" s="4">
        <v>0.9</v>
      </c>
      <c r="C514" s="4">
        <v>0.5</v>
      </c>
      <c r="D514" s="4">
        <v>0.6</v>
      </c>
      <c r="E514" s="4">
        <v>0.3</v>
      </c>
      <c r="F514" s="6">
        <v>803.24688700000002</v>
      </c>
      <c r="G514" s="4">
        <v>3.0000000000000001E-3</v>
      </c>
      <c r="I514" s="4" t="s">
        <v>274</v>
      </c>
      <c r="J514" s="4">
        <v>0.9</v>
      </c>
      <c r="K514" s="4">
        <v>0.5</v>
      </c>
      <c r="L514" s="4">
        <v>0.6</v>
      </c>
      <c r="M514" s="4">
        <v>0.3</v>
      </c>
      <c r="N514" s="4">
        <v>841.65661599999999</v>
      </c>
      <c r="O514" s="4">
        <v>3.0000000000000001E-3</v>
      </c>
      <c r="P514" s="5"/>
      <c r="Q514" s="5"/>
      <c r="R514" s="5"/>
      <c r="S514" s="5"/>
      <c r="U514" s="4" t="s">
        <v>274</v>
      </c>
      <c r="V514" s="4">
        <v>0.9</v>
      </c>
      <c r="W514" s="4">
        <v>0.5</v>
      </c>
      <c r="X514" s="4">
        <v>0.6</v>
      </c>
      <c r="Y514" s="4">
        <v>0.3</v>
      </c>
      <c r="Z514" s="6">
        <v>824.87976100000003</v>
      </c>
      <c r="AA514" s="4">
        <v>8.0000000000000002E-3</v>
      </c>
      <c r="AC514" s="4" t="s">
        <v>274</v>
      </c>
      <c r="AD514" s="4">
        <v>0.9</v>
      </c>
      <c r="AE514" s="4">
        <v>0.5</v>
      </c>
      <c r="AF514" s="4">
        <v>0.6</v>
      </c>
      <c r="AG514" s="4">
        <v>0.3</v>
      </c>
      <c r="AH514" s="4">
        <v>832.49505599999998</v>
      </c>
      <c r="AI514" s="4">
        <v>4.0000000000000001E-3</v>
      </c>
      <c r="AJ514" s="5"/>
      <c r="AK514" s="5"/>
      <c r="AL514" s="5"/>
      <c r="AM514" s="5"/>
      <c r="AO514" s="4" t="s">
        <v>275</v>
      </c>
      <c r="AP514" s="4">
        <v>0.9</v>
      </c>
      <c r="AQ514" s="4">
        <v>0.5</v>
      </c>
      <c r="AR514" s="4">
        <v>0.6</v>
      </c>
      <c r="AS514" s="4">
        <v>0.3</v>
      </c>
      <c r="AT514" s="6">
        <v>1104.543823</v>
      </c>
      <c r="AU514" s="4">
        <v>1.7000000000000001E-2</v>
      </c>
      <c r="AW514" s="4" t="s">
        <v>275</v>
      </c>
      <c r="AX514" s="4">
        <v>0.9</v>
      </c>
      <c r="AY514" s="4">
        <v>0.5</v>
      </c>
      <c r="AZ514" s="4">
        <v>0.6</v>
      </c>
      <c r="BA514" s="4">
        <v>0.31</v>
      </c>
      <c r="BB514" s="4">
        <v>1132.8203120000001</v>
      </c>
      <c r="BC514" s="4">
        <v>0.01</v>
      </c>
      <c r="BD514" s="5"/>
      <c r="BE514" s="5"/>
      <c r="BF514" s="5"/>
      <c r="BG514" s="5"/>
      <c r="BI514" s="4" t="s">
        <v>275</v>
      </c>
      <c r="BJ514" s="4">
        <v>0.9</v>
      </c>
      <c r="BK514" s="4">
        <v>0.5</v>
      </c>
      <c r="BL514" s="4">
        <v>0.6</v>
      </c>
      <c r="BM514" s="4">
        <v>0.3</v>
      </c>
      <c r="BN514" s="6">
        <v>1113.980957</v>
      </c>
      <c r="BO514" s="4">
        <v>8.9999999999999993E-3</v>
      </c>
      <c r="BQ514" s="4" t="s">
        <v>275</v>
      </c>
      <c r="BR514" s="4">
        <v>0.9</v>
      </c>
      <c r="BS514" s="4">
        <v>0.5</v>
      </c>
      <c r="BT514" s="4">
        <v>0.6</v>
      </c>
      <c r="BU514" s="4">
        <v>0.33</v>
      </c>
      <c r="BV514" s="4">
        <v>1135.067749</v>
      </c>
      <c r="BW514" s="4">
        <v>1.0999999999999999E-2</v>
      </c>
      <c r="BX514" s="5"/>
      <c r="BY514" s="5"/>
      <c r="BZ514" s="5"/>
      <c r="CA514" s="5"/>
    </row>
    <row r="515" spans="1:79" x14ac:dyDescent="0.3">
      <c r="A515" s="4" t="s">
        <v>276</v>
      </c>
      <c r="B515" s="4">
        <v>0.9</v>
      </c>
      <c r="C515" s="4">
        <v>0.5</v>
      </c>
      <c r="D515" s="4">
        <v>0.6</v>
      </c>
      <c r="E515" s="4">
        <v>0.3</v>
      </c>
      <c r="F515" s="6">
        <v>702.81957999999997</v>
      </c>
      <c r="G515" s="4">
        <v>3.0000000000000001E-3</v>
      </c>
      <c r="I515" s="4" t="s">
        <v>276</v>
      </c>
      <c r="J515" s="4">
        <v>0.9</v>
      </c>
      <c r="K515" s="4">
        <v>0.5</v>
      </c>
      <c r="L515" s="4">
        <v>0.6</v>
      </c>
      <c r="M515" s="4">
        <v>0.3</v>
      </c>
      <c r="N515" s="4">
        <v>719.25231900000006</v>
      </c>
      <c r="O515" s="4">
        <v>3.0000000000000001E-3</v>
      </c>
      <c r="P515" s="5"/>
      <c r="Q515" s="5"/>
      <c r="R515" s="5"/>
      <c r="S515" s="5"/>
      <c r="U515" s="4" t="s">
        <v>276</v>
      </c>
      <c r="V515" s="4">
        <v>0.9</v>
      </c>
      <c r="W515" s="4">
        <v>0.5</v>
      </c>
      <c r="X515" s="4">
        <v>0.6</v>
      </c>
      <c r="Y515" s="4">
        <v>0.3</v>
      </c>
      <c r="Z515" s="6">
        <v>698.92034899999999</v>
      </c>
      <c r="AA515" s="4">
        <v>2E-3</v>
      </c>
      <c r="AC515" s="4" t="s">
        <v>276</v>
      </c>
      <c r="AD515" s="4">
        <v>0.9</v>
      </c>
      <c r="AE515" s="4">
        <v>0.5</v>
      </c>
      <c r="AF515" s="4">
        <v>0.6</v>
      </c>
      <c r="AG515" s="4">
        <v>0.3</v>
      </c>
      <c r="AH515" s="4">
        <v>713.06512499999997</v>
      </c>
      <c r="AI515" s="4">
        <v>4.0000000000000001E-3</v>
      </c>
      <c r="AJ515" s="5"/>
      <c r="AK515" s="5"/>
      <c r="AL515" s="5"/>
      <c r="AM515" s="5"/>
      <c r="AO515" s="4" t="s">
        <v>277</v>
      </c>
      <c r="AP515" s="4">
        <v>0.9</v>
      </c>
      <c r="AQ515" s="4">
        <v>0.5</v>
      </c>
      <c r="AR515" s="4">
        <v>0.6</v>
      </c>
      <c r="AS515" s="4">
        <v>0.3</v>
      </c>
      <c r="AT515" s="6">
        <v>1007.628723</v>
      </c>
      <c r="AU515" s="4">
        <v>1.2E-2</v>
      </c>
      <c r="AW515" s="4" t="s">
        <v>277</v>
      </c>
      <c r="AX515" s="4">
        <v>0.9</v>
      </c>
      <c r="AY515" s="4">
        <v>0.5</v>
      </c>
      <c r="AZ515" s="4">
        <v>0.6</v>
      </c>
      <c r="BA515" s="4">
        <v>0.3</v>
      </c>
      <c r="BB515" s="4">
        <v>1038.733154</v>
      </c>
      <c r="BC515" s="4">
        <v>0.01</v>
      </c>
      <c r="BD515" s="5"/>
      <c r="BE515" s="5"/>
      <c r="BF515" s="5"/>
      <c r="BG515" s="5"/>
      <c r="BI515" s="4" t="s">
        <v>277</v>
      </c>
      <c r="BJ515" s="4">
        <v>0.9</v>
      </c>
      <c r="BK515" s="4">
        <v>0.5</v>
      </c>
      <c r="BL515" s="4">
        <v>0.6</v>
      </c>
      <c r="BM515" s="4">
        <v>0.3</v>
      </c>
      <c r="BN515" s="6">
        <v>991.24267599999996</v>
      </c>
      <c r="BO515" s="4">
        <v>8.9999999999999993E-3</v>
      </c>
      <c r="BQ515" s="4" t="s">
        <v>277</v>
      </c>
      <c r="BR515" s="4">
        <v>0.9</v>
      </c>
      <c r="BS515" s="4">
        <v>0.5</v>
      </c>
      <c r="BT515" s="4">
        <v>0.6</v>
      </c>
      <c r="BU515" s="4">
        <v>0.3</v>
      </c>
      <c r="BV515" s="4">
        <v>1045.997192</v>
      </c>
      <c r="BW515" s="4">
        <v>1.2999999999999999E-2</v>
      </c>
      <c r="BX515" s="5"/>
      <c r="BY515" s="5"/>
      <c r="BZ515" s="5"/>
      <c r="CA515" s="5"/>
    </row>
    <row r="516" spans="1:79" x14ac:dyDescent="0.3">
      <c r="A516" s="4" t="s">
        <v>278</v>
      </c>
      <c r="B516" s="4">
        <v>0.9</v>
      </c>
      <c r="C516" s="4">
        <v>0.5</v>
      </c>
      <c r="D516" s="4">
        <v>0.6</v>
      </c>
      <c r="E516" s="4">
        <v>0.3</v>
      </c>
      <c r="F516" s="6">
        <v>664.71575900000005</v>
      </c>
      <c r="G516" s="4">
        <v>6.0000000000000001E-3</v>
      </c>
      <c r="I516" s="4" t="s">
        <v>278</v>
      </c>
      <c r="J516" s="4">
        <v>0.9</v>
      </c>
      <c r="K516" s="4">
        <v>0.5</v>
      </c>
      <c r="L516" s="4">
        <v>0.6</v>
      </c>
      <c r="M516" s="4">
        <v>0.31</v>
      </c>
      <c r="N516" s="4">
        <v>685.23809800000004</v>
      </c>
      <c r="O516" s="4">
        <v>3.0000000000000001E-3</v>
      </c>
      <c r="P516" s="5"/>
      <c r="Q516" s="5"/>
      <c r="R516" s="5"/>
      <c r="S516" s="5"/>
      <c r="U516" s="4" t="s">
        <v>278</v>
      </c>
      <c r="V516" s="4">
        <v>0.9</v>
      </c>
      <c r="W516" s="4">
        <v>0.5</v>
      </c>
      <c r="X516" s="4">
        <v>0.6</v>
      </c>
      <c r="Y516" s="4">
        <v>0.3</v>
      </c>
      <c r="Z516" s="4">
        <v>653.32379200000003</v>
      </c>
      <c r="AA516" s="4">
        <v>3.0000000000000001E-3</v>
      </c>
      <c r="AC516" s="4" t="s">
        <v>278</v>
      </c>
      <c r="AD516" s="4">
        <v>0.9</v>
      </c>
      <c r="AE516" s="4">
        <v>0.5</v>
      </c>
      <c r="AF516" s="4">
        <v>0.6</v>
      </c>
      <c r="AG516" s="4">
        <v>0.3</v>
      </c>
      <c r="AH516" s="6">
        <v>651.11669900000004</v>
      </c>
      <c r="AI516" s="4">
        <v>4.0000000000000001E-3</v>
      </c>
      <c r="AJ516" s="5"/>
      <c r="AK516" s="5"/>
      <c r="AL516" s="5"/>
      <c r="AM516" s="5"/>
      <c r="AO516" s="4" t="s">
        <v>279</v>
      </c>
      <c r="AP516" s="4">
        <v>0.9</v>
      </c>
      <c r="AQ516" s="4">
        <v>0.5</v>
      </c>
      <c r="AR516" s="4">
        <v>0.6</v>
      </c>
      <c r="AS516" s="4">
        <v>0.3</v>
      </c>
      <c r="AT516" s="6">
        <v>1139.899658</v>
      </c>
      <c r="AU516" s="4">
        <v>1.4E-2</v>
      </c>
      <c r="AW516" s="4" t="s">
        <v>279</v>
      </c>
      <c r="AX516" s="4">
        <v>0.9</v>
      </c>
      <c r="AY516" s="4">
        <v>0.5</v>
      </c>
      <c r="AZ516" s="4">
        <v>0.6</v>
      </c>
      <c r="BA516" s="4">
        <v>0.3</v>
      </c>
      <c r="BB516" s="4">
        <v>1155.8629149999999</v>
      </c>
      <c r="BC516" s="4">
        <v>8.9999999999999993E-3</v>
      </c>
      <c r="BD516" s="5"/>
      <c r="BE516" s="5"/>
      <c r="BF516" s="5"/>
      <c r="BG516" s="5"/>
      <c r="BI516" s="4" t="s">
        <v>279</v>
      </c>
      <c r="BJ516" s="4">
        <v>0.9</v>
      </c>
      <c r="BK516" s="4">
        <v>0.5</v>
      </c>
      <c r="BL516" s="4">
        <v>0.6</v>
      </c>
      <c r="BM516" s="4">
        <v>0.3</v>
      </c>
      <c r="BN516" s="6">
        <v>1121.287231</v>
      </c>
      <c r="BO516" s="4">
        <v>8.9999999999999993E-3</v>
      </c>
      <c r="BQ516" s="4" t="s">
        <v>279</v>
      </c>
      <c r="BR516" s="4">
        <v>0.9</v>
      </c>
      <c r="BS516" s="4">
        <v>0.5</v>
      </c>
      <c r="BT516" s="4">
        <v>0.6</v>
      </c>
      <c r="BU516" s="4">
        <v>0.36</v>
      </c>
      <c r="BV516" s="4">
        <v>1156.5196530000001</v>
      </c>
      <c r="BW516" s="4">
        <v>0.01</v>
      </c>
      <c r="BX516" s="5"/>
      <c r="BY516" s="5"/>
      <c r="BZ516" s="5"/>
      <c r="CA516" s="5"/>
    </row>
    <row r="517" spans="1:79" x14ac:dyDescent="0.3">
      <c r="A517" s="4" t="s">
        <v>280</v>
      </c>
      <c r="B517" s="4">
        <v>0.9</v>
      </c>
      <c r="C517" s="4">
        <v>0.5</v>
      </c>
      <c r="D517" s="4">
        <v>0.6</v>
      </c>
      <c r="E517" s="4">
        <v>0.3</v>
      </c>
      <c r="F517" s="6">
        <v>925.68896500000005</v>
      </c>
      <c r="G517" s="4">
        <v>5.0000000000000001E-3</v>
      </c>
      <c r="I517" s="4" t="s">
        <v>280</v>
      </c>
      <c r="J517" s="4">
        <v>0.9</v>
      </c>
      <c r="K517" s="4">
        <v>0.5</v>
      </c>
      <c r="L517" s="4">
        <v>0.6</v>
      </c>
      <c r="M517" s="4">
        <v>0.34</v>
      </c>
      <c r="N517" s="4">
        <v>938.65411400000005</v>
      </c>
      <c r="O517" s="4">
        <v>3.0000000000000001E-3</v>
      </c>
      <c r="P517" s="5"/>
      <c r="Q517" s="5"/>
      <c r="R517" s="5"/>
      <c r="S517" s="5"/>
      <c r="U517" s="4" t="s">
        <v>280</v>
      </c>
      <c r="V517" s="4">
        <v>0.9</v>
      </c>
      <c r="W517" s="4">
        <v>0.5</v>
      </c>
      <c r="X517" s="4">
        <v>0.6</v>
      </c>
      <c r="Y517" s="4">
        <v>0.3</v>
      </c>
      <c r="Z517" s="6">
        <v>896.40033000000005</v>
      </c>
      <c r="AA517" s="4">
        <v>4.0000000000000001E-3</v>
      </c>
      <c r="AC517" s="4" t="s">
        <v>280</v>
      </c>
      <c r="AD517" s="4">
        <v>0.9</v>
      </c>
      <c r="AE517" s="4">
        <v>0.5</v>
      </c>
      <c r="AF517" s="4">
        <v>0.6</v>
      </c>
      <c r="AG517" s="4">
        <v>0.33</v>
      </c>
      <c r="AH517" s="4">
        <v>929.74395800000002</v>
      </c>
      <c r="AI517" s="4">
        <v>5.0000000000000001E-3</v>
      </c>
      <c r="AJ517" s="5"/>
      <c r="AK517" s="5"/>
      <c r="AL517" s="5"/>
      <c r="AM517" s="5"/>
      <c r="AO517" s="4" t="s">
        <v>281</v>
      </c>
      <c r="AP517" s="4">
        <v>0.9</v>
      </c>
      <c r="AQ517" s="4">
        <v>0.5</v>
      </c>
      <c r="AR517" s="4">
        <v>0.6</v>
      </c>
      <c r="AS517" s="4">
        <v>0.3</v>
      </c>
      <c r="AT517" s="6">
        <v>1073.1523440000001</v>
      </c>
      <c r="AU517" s="4">
        <v>2.1999999999999999E-2</v>
      </c>
      <c r="AW517" s="4" t="s">
        <v>281</v>
      </c>
      <c r="AX517" s="4">
        <v>0.9</v>
      </c>
      <c r="AY517" s="4">
        <v>0.5</v>
      </c>
      <c r="AZ517" s="4">
        <v>0.6</v>
      </c>
      <c r="BA517" s="4">
        <v>0.3</v>
      </c>
      <c r="BB517" s="4">
        <v>1112.176514</v>
      </c>
      <c r="BC517" s="4">
        <v>8.9999999999999993E-3</v>
      </c>
      <c r="BD517" s="5"/>
      <c r="BE517" s="5"/>
      <c r="BF517" s="5"/>
      <c r="BG517" s="5"/>
      <c r="BI517" s="4" t="s">
        <v>281</v>
      </c>
      <c r="BJ517" s="4">
        <v>0.9</v>
      </c>
      <c r="BK517" s="4">
        <v>0.5</v>
      </c>
      <c r="BL517" s="4">
        <v>0.6</v>
      </c>
      <c r="BM517" s="4">
        <v>0.3</v>
      </c>
      <c r="BN517" s="6">
        <v>1076.3323969999999</v>
      </c>
      <c r="BO517" s="4">
        <v>8.9999999999999993E-3</v>
      </c>
      <c r="BQ517" s="4" t="s">
        <v>281</v>
      </c>
      <c r="BR517" s="4">
        <v>0.9</v>
      </c>
      <c r="BS517" s="4">
        <v>0.5</v>
      </c>
      <c r="BT517" s="4">
        <v>0.6</v>
      </c>
      <c r="BU517" s="4">
        <v>0.3</v>
      </c>
      <c r="BV517" s="4">
        <v>1084.362427</v>
      </c>
      <c r="BW517" s="4">
        <v>1.0999999999999999E-2</v>
      </c>
      <c r="BX517" s="5"/>
      <c r="BY517" s="5"/>
      <c r="BZ517" s="5"/>
      <c r="CA517" s="5"/>
    </row>
    <row r="518" spans="1:79" x14ac:dyDescent="0.3">
      <c r="A518" s="4" t="s">
        <v>282</v>
      </c>
      <c r="B518" s="4">
        <v>0.9</v>
      </c>
      <c r="C518" s="4">
        <v>0.5</v>
      </c>
      <c r="D518" s="4">
        <v>0.6</v>
      </c>
      <c r="E518" s="4">
        <v>0.3</v>
      </c>
      <c r="F518" s="6">
        <v>775.99108899999999</v>
      </c>
      <c r="G518" s="4">
        <v>6.0000000000000001E-3</v>
      </c>
      <c r="I518" s="4" t="s">
        <v>282</v>
      </c>
      <c r="J518" s="4">
        <v>0.9</v>
      </c>
      <c r="K518" s="4">
        <v>0.5</v>
      </c>
      <c r="L518" s="4">
        <v>0.6</v>
      </c>
      <c r="M518" s="4">
        <v>0.32</v>
      </c>
      <c r="N518" s="4">
        <v>830.69946300000004</v>
      </c>
      <c r="O518" s="4">
        <v>3.0000000000000001E-3</v>
      </c>
      <c r="P518" s="5"/>
      <c r="Q518" s="5"/>
      <c r="R518" s="5"/>
      <c r="S518" s="5"/>
      <c r="U518" s="4" t="s">
        <v>282</v>
      </c>
      <c r="V518" s="4">
        <v>0.9</v>
      </c>
      <c r="W518" s="4">
        <v>0.5</v>
      </c>
      <c r="X518" s="4">
        <v>0.6</v>
      </c>
      <c r="Y518" s="4">
        <v>0.3</v>
      </c>
      <c r="Z518" s="6">
        <v>777.28002900000001</v>
      </c>
      <c r="AA518" s="4">
        <v>4.0000000000000001E-3</v>
      </c>
      <c r="AC518" s="4" t="s">
        <v>282</v>
      </c>
      <c r="AD518" s="4">
        <v>0.9</v>
      </c>
      <c r="AE518" s="4">
        <v>0.5</v>
      </c>
      <c r="AF518" s="4">
        <v>0.6</v>
      </c>
      <c r="AG518" s="4">
        <v>0.35</v>
      </c>
      <c r="AH518" s="4">
        <v>824.240723</v>
      </c>
      <c r="AI518" s="4">
        <v>6.0000000000000001E-3</v>
      </c>
      <c r="AJ518" s="5"/>
      <c r="AK518" s="5"/>
      <c r="AL518" s="5"/>
      <c r="AM518" s="5"/>
      <c r="AO518" s="4" t="s">
        <v>283</v>
      </c>
      <c r="AP518" s="4">
        <v>0.9</v>
      </c>
      <c r="AQ518" s="4">
        <v>0.5</v>
      </c>
      <c r="AR518" s="4">
        <v>0.6</v>
      </c>
      <c r="AS518" s="4">
        <v>0.3</v>
      </c>
      <c r="AT518" s="6">
        <v>1021.56073</v>
      </c>
      <c r="AU518" s="4">
        <v>0.01</v>
      </c>
      <c r="AW518" s="4" t="s">
        <v>283</v>
      </c>
      <c r="AX518" s="4">
        <v>0.9</v>
      </c>
      <c r="AY518" s="4">
        <v>0.5</v>
      </c>
      <c r="AZ518" s="4">
        <v>0.6</v>
      </c>
      <c r="BA518" s="4">
        <v>0.31</v>
      </c>
      <c r="BB518" s="4">
        <v>1061.742798</v>
      </c>
      <c r="BC518" s="4">
        <v>8.9999999999999993E-3</v>
      </c>
      <c r="BD518" s="5"/>
      <c r="BE518" s="5"/>
      <c r="BF518" s="5"/>
      <c r="BG518" s="5"/>
      <c r="BI518" s="4" t="s">
        <v>283</v>
      </c>
      <c r="BJ518" s="4">
        <v>0.9</v>
      </c>
      <c r="BK518" s="4">
        <v>0.5</v>
      </c>
      <c r="BL518" s="4">
        <v>0.6</v>
      </c>
      <c r="BM518" s="4">
        <v>0.3</v>
      </c>
      <c r="BN518" s="6">
        <v>1027.5946039999999</v>
      </c>
      <c r="BO518" s="4">
        <v>8.9999999999999993E-3</v>
      </c>
      <c r="BQ518" s="4" t="s">
        <v>283</v>
      </c>
      <c r="BR518" s="4">
        <v>0.9</v>
      </c>
      <c r="BS518" s="4">
        <v>0.5</v>
      </c>
      <c r="BT518" s="4">
        <v>0.6</v>
      </c>
      <c r="BU518" s="4">
        <v>0.32</v>
      </c>
      <c r="BV518" s="4">
        <v>1064.0543210000001</v>
      </c>
      <c r="BW518" s="4">
        <v>1.0999999999999999E-2</v>
      </c>
      <c r="BX518" s="5"/>
      <c r="BY518" s="5"/>
      <c r="BZ518" s="5"/>
      <c r="CA518" s="5"/>
    </row>
    <row r="519" spans="1:79" x14ac:dyDescent="0.3">
      <c r="A519" s="4" t="s">
        <v>284</v>
      </c>
      <c r="B519" s="4">
        <v>0.9</v>
      </c>
      <c r="C519" s="4">
        <v>0.5</v>
      </c>
      <c r="D519" s="4">
        <v>0.6</v>
      </c>
      <c r="E519" s="4">
        <v>0.3</v>
      </c>
      <c r="F519" s="6">
        <v>860.33441200000004</v>
      </c>
      <c r="G519" s="4">
        <v>5.0000000000000001E-3</v>
      </c>
      <c r="I519" s="4" t="s">
        <v>284</v>
      </c>
      <c r="J519" s="4">
        <v>0.9</v>
      </c>
      <c r="K519" s="4">
        <v>0.5</v>
      </c>
      <c r="L519" s="4">
        <v>0.6</v>
      </c>
      <c r="M519" s="4">
        <v>0.34</v>
      </c>
      <c r="N519" s="4">
        <v>900.30566399999998</v>
      </c>
      <c r="O519" s="4">
        <v>4.0000000000000001E-3</v>
      </c>
      <c r="P519" s="5"/>
      <c r="Q519" s="5"/>
      <c r="R519" s="5"/>
      <c r="S519" s="5"/>
      <c r="U519" s="4" t="s">
        <v>284</v>
      </c>
      <c r="V519" s="4">
        <v>0.9</v>
      </c>
      <c r="W519" s="4">
        <v>0.5</v>
      </c>
      <c r="X519" s="4">
        <v>0.6</v>
      </c>
      <c r="Y519" s="4">
        <v>0.3</v>
      </c>
      <c r="Z519" s="6">
        <v>840.94000200000005</v>
      </c>
      <c r="AA519" s="4">
        <v>3.0000000000000001E-3</v>
      </c>
      <c r="AC519" s="4" t="s">
        <v>284</v>
      </c>
      <c r="AD519" s="4">
        <v>0.9</v>
      </c>
      <c r="AE519" s="4">
        <v>0.5</v>
      </c>
      <c r="AF519" s="4">
        <v>0.6</v>
      </c>
      <c r="AG519" s="4">
        <v>0.35</v>
      </c>
      <c r="AH519" s="4">
        <v>869.80798300000004</v>
      </c>
      <c r="AI519" s="4">
        <v>6.0000000000000001E-3</v>
      </c>
      <c r="AJ519" s="5"/>
      <c r="AK519" s="5"/>
      <c r="AL519" s="5"/>
      <c r="AM519" s="5"/>
      <c r="AO519" s="4" t="s">
        <v>285</v>
      </c>
      <c r="AP519" s="4">
        <v>0.9</v>
      </c>
      <c r="AQ519" s="4">
        <v>0.5</v>
      </c>
      <c r="AR519" s="4">
        <v>0.6</v>
      </c>
      <c r="AS519" s="4">
        <v>0.3</v>
      </c>
      <c r="AT519" s="6">
        <v>1102.1442870000001</v>
      </c>
      <c r="AU519" s="4">
        <v>1.4999999999999999E-2</v>
      </c>
      <c r="AW519" s="4" t="s">
        <v>285</v>
      </c>
      <c r="AX519" s="4">
        <v>0.9</v>
      </c>
      <c r="AY519" s="4">
        <v>0.5</v>
      </c>
      <c r="AZ519" s="4">
        <v>0.6</v>
      </c>
      <c r="BA519" s="4">
        <v>0.32</v>
      </c>
      <c r="BB519" s="4">
        <v>1140.8946530000001</v>
      </c>
      <c r="BC519" s="4">
        <v>8.9999999999999993E-3</v>
      </c>
      <c r="BD519" s="5"/>
      <c r="BE519" s="5"/>
      <c r="BF519" s="5"/>
      <c r="BG519" s="5"/>
      <c r="BI519" s="4" t="s">
        <v>285</v>
      </c>
      <c r="BJ519" s="4">
        <v>0.9</v>
      </c>
      <c r="BK519" s="4">
        <v>0.5</v>
      </c>
      <c r="BL519" s="4">
        <v>0.6</v>
      </c>
      <c r="BM519" s="4">
        <v>0.3</v>
      </c>
      <c r="BN519" s="6">
        <v>1096.976807</v>
      </c>
      <c r="BO519" s="4">
        <v>0.01</v>
      </c>
      <c r="BQ519" s="4" t="s">
        <v>285</v>
      </c>
      <c r="BR519" s="4">
        <v>0.9</v>
      </c>
      <c r="BS519" s="4">
        <v>0.5</v>
      </c>
      <c r="BT519" s="4">
        <v>0.6</v>
      </c>
      <c r="BU519" s="4">
        <v>0.3</v>
      </c>
      <c r="BV519" s="4">
        <v>1135.616211</v>
      </c>
      <c r="BW519" s="4">
        <v>1.0999999999999999E-2</v>
      </c>
      <c r="BX519" s="5"/>
      <c r="BY519" s="5"/>
      <c r="BZ519" s="5"/>
      <c r="CA519" s="5"/>
    </row>
    <row r="520" spans="1:79" x14ac:dyDescent="0.3">
      <c r="A520" s="4" t="s">
        <v>286</v>
      </c>
      <c r="B520" s="4">
        <v>0.9</v>
      </c>
      <c r="C520" s="4">
        <v>0.5</v>
      </c>
      <c r="D520" s="4">
        <v>0.6</v>
      </c>
      <c r="E520" s="4">
        <v>0.3</v>
      </c>
      <c r="F520" s="6">
        <v>716.30224599999997</v>
      </c>
      <c r="G520" s="4">
        <v>5.0000000000000001E-3</v>
      </c>
      <c r="I520" s="4" t="s">
        <v>286</v>
      </c>
      <c r="J520" s="4">
        <v>0.9</v>
      </c>
      <c r="K520" s="4">
        <v>0.5</v>
      </c>
      <c r="L520" s="4">
        <v>0.6</v>
      </c>
      <c r="M520" s="4">
        <v>0.3</v>
      </c>
      <c r="N520" s="4">
        <v>736.14825399999995</v>
      </c>
      <c r="O520" s="4">
        <v>3.0000000000000001E-3</v>
      </c>
      <c r="P520" s="5"/>
      <c r="Q520" s="5"/>
      <c r="R520" s="5"/>
      <c r="S520" s="5"/>
      <c r="U520" s="4" t="s">
        <v>286</v>
      </c>
      <c r="V520" s="4">
        <v>0.9</v>
      </c>
      <c r="W520" s="4">
        <v>0.5</v>
      </c>
      <c r="X520" s="4">
        <v>0.6</v>
      </c>
      <c r="Y520" s="4">
        <v>0.3</v>
      </c>
      <c r="Z520" s="6">
        <v>713.91351299999997</v>
      </c>
      <c r="AA520" s="4">
        <v>3.0000000000000001E-3</v>
      </c>
      <c r="AC520" s="4" t="s">
        <v>286</v>
      </c>
      <c r="AD520" s="4">
        <v>0.9</v>
      </c>
      <c r="AE520" s="4">
        <v>0.5</v>
      </c>
      <c r="AF520" s="4">
        <v>0.6</v>
      </c>
      <c r="AG520" s="4">
        <v>0.32</v>
      </c>
      <c r="AH520" s="4">
        <v>738.36224400000003</v>
      </c>
      <c r="AI520" s="4">
        <v>4.0000000000000001E-3</v>
      </c>
      <c r="AJ520" s="5"/>
      <c r="AK520" s="5"/>
      <c r="AL520" s="5"/>
      <c r="AM520" s="5"/>
      <c r="AO520" s="4" t="s">
        <v>287</v>
      </c>
      <c r="AP520" s="4">
        <v>0.9</v>
      </c>
      <c r="AQ520" s="4">
        <v>0.5</v>
      </c>
      <c r="AR520" s="4">
        <v>0.6</v>
      </c>
      <c r="AS520" s="4">
        <v>0.3</v>
      </c>
      <c r="AT520" s="6">
        <v>1036.3553469999999</v>
      </c>
      <c r="AU520" s="4">
        <v>8.9999999999999993E-3</v>
      </c>
      <c r="AW520" s="4" t="s">
        <v>287</v>
      </c>
      <c r="AX520" s="4">
        <v>0.9</v>
      </c>
      <c r="AY520" s="4">
        <v>0.5</v>
      </c>
      <c r="AZ520" s="4">
        <v>0.6</v>
      </c>
      <c r="BA520" s="4">
        <v>0.31</v>
      </c>
      <c r="BB520" s="4">
        <v>1060.9051509999999</v>
      </c>
      <c r="BC520" s="4">
        <v>1.0999999999999999E-2</v>
      </c>
      <c r="BD520" s="5"/>
      <c r="BE520" s="5"/>
      <c r="BF520" s="5"/>
      <c r="BG520" s="5"/>
      <c r="BI520" s="4" t="s">
        <v>287</v>
      </c>
      <c r="BJ520" s="4">
        <v>0.9</v>
      </c>
      <c r="BK520" s="4">
        <v>0.5</v>
      </c>
      <c r="BL520" s="4">
        <v>0.6</v>
      </c>
      <c r="BM520" s="4">
        <v>0.3</v>
      </c>
      <c r="BN520" s="6">
        <v>1031.6014399999999</v>
      </c>
      <c r="BO520" s="4">
        <v>8.9999999999999993E-3</v>
      </c>
      <c r="BQ520" s="4" t="s">
        <v>287</v>
      </c>
      <c r="BR520" s="4">
        <v>0.9</v>
      </c>
      <c r="BS520" s="4">
        <v>0.5</v>
      </c>
      <c r="BT520" s="4">
        <v>0.6</v>
      </c>
      <c r="BU520" s="4">
        <v>0.32</v>
      </c>
      <c r="BV520" s="4">
        <v>1050.972168</v>
      </c>
      <c r="BW520" s="4">
        <v>1.2999999999999999E-2</v>
      </c>
      <c r="BX520" s="5"/>
      <c r="BY520" s="5"/>
      <c r="BZ520" s="5"/>
      <c r="CA520" s="5"/>
    </row>
    <row r="521" spans="1:79" x14ac:dyDescent="0.3">
      <c r="A521" s="4" t="s">
        <v>288</v>
      </c>
      <c r="B521" s="4">
        <v>0.9</v>
      </c>
      <c r="C521" s="4">
        <v>0.5</v>
      </c>
      <c r="D521" s="4">
        <v>0.6</v>
      </c>
      <c r="E521" s="4">
        <v>0.3</v>
      </c>
      <c r="F521" s="6">
        <v>707.13067599999999</v>
      </c>
      <c r="G521" s="4">
        <v>4.0000000000000001E-3</v>
      </c>
      <c r="I521" s="4" t="s">
        <v>288</v>
      </c>
      <c r="J521" s="4">
        <v>0.9</v>
      </c>
      <c r="K521" s="4">
        <v>0.5</v>
      </c>
      <c r="L521" s="4">
        <v>0.6</v>
      </c>
      <c r="M521" s="4">
        <v>0.3</v>
      </c>
      <c r="N521" s="4">
        <v>744.23571800000002</v>
      </c>
      <c r="O521" s="4">
        <v>3.0000000000000001E-3</v>
      </c>
      <c r="P521" s="5"/>
      <c r="Q521" s="5"/>
      <c r="R521" s="5"/>
      <c r="S521" s="5"/>
      <c r="U521" s="4" t="s">
        <v>288</v>
      </c>
      <c r="V521" s="4">
        <v>0.9</v>
      </c>
      <c r="W521" s="4">
        <v>0.5</v>
      </c>
      <c r="X521" s="4">
        <v>0.6</v>
      </c>
      <c r="Y521" s="4">
        <v>0.3</v>
      </c>
      <c r="Z521" s="6">
        <v>724.083618</v>
      </c>
      <c r="AA521" s="4">
        <v>4.0000000000000001E-3</v>
      </c>
      <c r="AC521" s="4" t="s">
        <v>288</v>
      </c>
      <c r="AD521" s="4">
        <v>0.9</v>
      </c>
      <c r="AE521" s="4">
        <v>0.5</v>
      </c>
      <c r="AF521" s="4">
        <v>0.6</v>
      </c>
      <c r="AG521" s="4">
        <v>0.32</v>
      </c>
      <c r="AH521" s="4">
        <v>739.30731200000002</v>
      </c>
      <c r="AI521" s="4">
        <v>6.0000000000000001E-3</v>
      </c>
      <c r="AJ521" s="5"/>
      <c r="AK521" s="5"/>
      <c r="AL521" s="5"/>
      <c r="AM521" s="5"/>
      <c r="AO521" s="4" t="s">
        <v>289</v>
      </c>
      <c r="AP521" s="4">
        <v>0.9</v>
      </c>
      <c r="AQ521" s="4">
        <v>0.5</v>
      </c>
      <c r="AR521" s="4">
        <v>0.6</v>
      </c>
      <c r="AS521" s="4">
        <v>0.3</v>
      </c>
      <c r="AT521" s="6">
        <v>1099.949707</v>
      </c>
      <c r="AU521" s="4">
        <v>0.01</v>
      </c>
      <c r="AW521" s="4" t="s">
        <v>289</v>
      </c>
      <c r="AX521" s="4">
        <v>0.9</v>
      </c>
      <c r="AY521" s="4">
        <v>0.5</v>
      </c>
      <c r="AZ521" s="4">
        <v>0.6</v>
      </c>
      <c r="BA521" s="4">
        <v>0.31</v>
      </c>
      <c r="BB521" s="4">
        <v>1120.913086</v>
      </c>
      <c r="BC521" s="4">
        <v>0.01</v>
      </c>
      <c r="BD521" s="5"/>
      <c r="BE521" s="5"/>
      <c r="BF521" s="5"/>
      <c r="BG521" s="5"/>
      <c r="BI521" s="4" t="s">
        <v>289</v>
      </c>
      <c r="BJ521" s="4">
        <v>0.9</v>
      </c>
      <c r="BK521" s="4">
        <v>0.5</v>
      </c>
      <c r="BL521" s="4">
        <v>0.6</v>
      </c>
      <c r="BM521" s="4">
        <v>0.3</v>
      </c>
      <c r="BN521" s="6">
        <v>1077.8588870000001</v>
      </c>
      <c r="BO521" s="4">
        <v>0.01</v>
      </c>
      <c r="BQ521" s="4" t="s">
        <v>289</v>
      </c>
      <c r="BR521" s="4">
        <v>0.9</v>
      </c>
      <c r="BS521" s="4">
        <v>0.5</v>
      </c>
      <c r="BT521" s="4">
        <v>0.6</v>
      </c>
      <c r="BU521" s="4">
        <v>0.3</v>
      </c>
      <c r="BV521" s="4">
        <v>1139.3154300000001</v>
      </c>
      <c r="BW521" s="4">
        <v>1.7000000000000001E-2</v>
      </c>
      <c r="BX521" s="5"/>
      <c r="BY521" s="5"/>
      <c r="BZ521" s="5"/>
      <c r="CA521" s="5"/>
    </row>
    <row r="522" spans="1:79" x14ac:dyDescent="0.3">
      <c r="A522" s="4" t="s">
        <v>290</v>
      </c>
      <c r="B522" s="4">
        <v>0.9</v>
      </c>
      <c r="C522" s="4">
        <v>0.5</v>
      </c>
      <c r="D522" s="4">
        <v>0.6</v>
      </c>
      <c r="E522" s="4">
        <v>0.3</v>
      </c>
      <c r="F522" s="6">
        <v>725.986267</v>
      </c>
      <c r="G522" s="4">
        <v>6.0000000000000001E-3</v>
      </c>
      <c r="I522" s="4" t="s">
        <v>290</v>
      </c>
      <c r="J522" s="4">
        <v>0.9</v>
      </c>
      <c r="K522" s="4">
        <v>0.5</v>
      </c>
      <c r="L522" s="4">
        <v>0.6</v>
      </c>
      <c r="M522" s="4">
        <v>0.34</v>
      </c>
      <c r="N522" s="4">
        <v>745.12347399999999</v>
      </c>
      <c r="O522" s="4">
        <v>3.0000000000000001E-3</v>
      </c>
      <c r="P522" s="5"/>
      <c r="Q522" s="5"/>
      <c r="R522" s="5"/>
      <c r="S522" s="5"/>
      <c r="U522" s="4" t="s">
        <v>290</v>
      </c>
      <c r="V522" s="4">
        <v>0.9</v>
      </c>
      <c r="W522" s="4">
        <v>0.5</v>
      </c>
      <c r="X522" s="4">
        <v>0.6</v>
      </c>
      <c r="Y522" s="4">
        <v>0.3</v>
      </c>
      <c r="Z522" s="6">
        <v>716.56597899999997</v>
      </c>
      <c r="AA522" s="4">
        <v>2E-3</v>
      </c>
      <c r="AC522" s="4" t="s">
        <v>290</v>
      </c>
      <c r="AD522" s="4">
        <v>0.9</v>
      </c>
      <c r="AE522" s="4">
        <v>0.5</v>
      </c>
      <c r="AF522" s="4">
        <v>0.6</v>
      </c>
      <c r="AG522" s="4">
        <v>0.31</v>
      </c>
      <c r="AH522" s="4">
        <v>746.68963599999995</v>
      </c>
      <c r="AI522" s="4">
        <v>6.0000000000000001E-3</v>
      </c>
      <c r="AJ522" s="5"/>
      <c r="AK522" s="5"/>
      <c r="AL522" s="5"/>
      <c r="AM522" s="5"/>
      <c r="AO522" s="4" t="s">
        <v>291</v>
      </c>
      <c r="AP522" s="4">
        <v>0.9</v>
      </c>
      <c r="AQ522" s="4">
        <v>0.5</v>
      </c>
      <c r="AR522" s="4">
        <v>0.6</v>
      </c>
      <c r="AS522" s="4">
        <v>0.3</v>
      </c>
      <c r="AT522" s="6">
        <v>1049.0333250000001</v>
      </c>
      <c r="AU522" s="4">
        <v>8.9999999999999993E-3</v>
      </c>
      <c r="AW522" s="4" t="s">
        <v>291</v>
      </c>
      <c r="AX522" s="4">
        <v>0.9</v>
      </c>
      <c r="AY522" s="4">
        <v>0.5</v>
      </c>
      <c r="AZ522" s="4">
        <v>0.6</v>
      </c>
      <c r="BA522" s="4">
        <v>0.3</v>
      </c>
      <c r="BB522" s="4">
        <v>1084.837769</v>
      </c>
      <c r="BC522" s="4">
        <v>8.9999999999999993E-3</v>
      </c>
      <c r="BD522" s="5"/>
      <c r="BE522" s="5"/>
      <c r="BF522" s="5"/>
      <c r="BG522" s="5"/>
      <c r="BI522" s="4" t="s">
        <v>291</v>
      </c>
      <c r="BJ522" s="4">
        <v>0.9</v>
      </c>
      <c r="BK522" s="4">
        <v>0.5</v>
      </c>
      <c r="BL522" s="4">
        <v>0.6</v>
      </c>
      <c r="BM522" s="4">
        <v>0.3</v>
      </c>
      <c r="BN522" s="6">
        <v>1047.573486</v>
      </c>
      <c r="BO522" s="4">
        <v>8.0000000000000002E-3</v>
      </c>
      <c r="BQ522" s="4" t="s">
        <v>291</v>
      </c>
      <c r="BR522" s="4">
        <v>0.9</v>
      </c>
      <c r="BS522" s="4">
        <v>0.5</v>
      </c>
      <c r="BT522" s="4">
        <v>0.6</v>
      </c>
      <c r="BU522" s="4">
        <v>0.3</v>
      </c>
      <c r="BV522" s="4">
        <v>1089.849731</v>
      </c>
      <c r="BW522" s="4">
        <v>1.4E-2</v>
      </c>
      <c r="BX522" s="5"/>
      <c r="BY522" s="5"/>
      <c r="BZ522" s="5"/>
      <c r="CA522" s="5"/>
    </row>
    <row r="523" spans="1:79" x14ac:dyDescent="0.3">
      <c r="A523" s="4" t="s">
        <v>292</v>
      </c>
      <c r="B523" s="4">
        <v>0.9</v>
      </c>
      <c r="C523" s="4">
        <v>0.5</v>
      </c>
      <c r="D523" s="4">
        <v>0.6</v>
      </c>
      <c r="E523" s="4">
        <v>0.3</v>
      </c>
      <c r="F523" s="6">
        <v>779.78997800000002</v>
      </c>
      <c r="G523" s="4">
        <v>6.0000000000000001E-3</v>
      </c>
      <c r="I523" s="4" t="s">
        <v>292</v>
      </c>
      <c r="J523" s="4">
        <v>0.9</v>
      </c>
      <c r="K523" s="4">
        <v>0.5</v>
      </c>
      <c r="L523" s="4">
        <v>0.6</v>
      </c>
      <c r="M523" s="4">
        <v>0.32</v>
      </c>
      <c r="N523" s="4">
        <v>803.55395499999997</v>
      </c>
      <c r="O523" s="4">
        <v>3.0000000000000001E-3</v>
      </c>
      <c r="P523" s="5"/>
      <c r="Q523" s="5"/>
      <c r="R523" s="5"/>
      <c r="S523" s="5"/>
      <c r="U523" s="4" t="s">
        <v>292</v>
      </c>
      <c r="V523" s="4">
        <v>0.9</v>
      </c>
      <c r="W523" s="4">
        <v>0.5</v>
      </c>
      <c r="X523" s="4">
        <v>0.6</v>
      </c>
      <c r="Y523" s="4">
        <v>0.3</v>
      </c>
      <c r="Z523" s="6">
        <v>764.698486</v>
      </c>
      <c r="AA523" s="4">
        <v>3.0000000000000001E-3</v>
      </c>
      <c r="AC523" s="4" t="s">
        <v>292</v>
      </c>
      <c r="AD523" s="4">
        <v>0.9</v>
      </c>
      <c r="AE523" s="4">
        <v>0.5</v>
      </c>
      <c r="AF523" s="4">
        <v>0.6</v>
      </c>
      <c r="AG523" s="4">
        <v>0.3</v>
      </c>
      <c r="AH523" s="4">
        <v>810.06994599999996</v>
      </c>
      <c r="AI523" s="4">
        <v>4.0000000000000001E-3</v>
      </c>
      <c r="AJ523" s="5"/>
      <c r="AK523" s="5"/>
      <c r="AL523" s="5"/>
      <c r="AM523" s="5"/>
      <c r="AO523" s="4" t="s">
        <v>293</v>
      </c>
      <c r="AP523" s="4">
        <v>0.9</v>
      </c>
      <c r="AQ523" s="4">
        <v>0.5</v>
      </c>
      <c r="AR523" s="4">
        <v>0.6</v>
      </c>
      <c r="AS523" s="4">
        <v>0.3</v>
      </c>
      <c r="AT523" s="6">
        <v>1117.083374</v>
      </c>
      <c r="AU523" s="4">
        <v>8.9999999999999993E-3</v>
      </c>
      <c r="AW523" s="4" t="s">
        <v>293</v>
      </c>
      <c r="AX523" s="4">
        <v>0.9</v>
      </c>
      <c r="AY523" s="4">
        <v>0.5</v>
      </c>
      <c r="AZ523" s="4">
        <v>0.6</v>
      </c>
      <c r="BA523" s="4">
        <v>0.32</v>
      </c>
      <c r="BB523" s="4">
        <v>1130.606567</v>
      </c>
      <c r="BC523" s="4">
        <v>0.01</v>
      </c>
      <c r="BD523" s="5"/>
      <c r="BE523" s="5"/>
      <c r="BF523" s="5"/>
      <c r="BG523" s="5"/>
      <c r="BI523" s="4" t="s">
        <v>293</v>
      </c>
      <c r="BJ523" s="4">
        <v>0.9</v>
      </c>
      <c r="BK523" s="4">
        <v>0.5</v>
      </c>
      <c r="BL523" s="4">
        <v>0.6</v>
      </c>
      <c r="BM523" s="4">
        <v>0.3</v>
      </c>
      <c r="BN523" s="6">
        <v>1105.300293</v>
      </c>
      <c r="BO523" s="4">
        <v>1.0999999999999999E-2</v>
      </c>
      <c r="BQ523" s="4" t="s">
        <v>293</v>
      </c>
      <c r="BR523" s="4">
        <v>0.9</v>
      </c>
      <c r="BS523" s="4">
        <v>0.5</v>
      </c>
      <c r="BT523" s="4">
        <v>0.6</v>
      </c>
      <c r="BU523" s="4">
        <v>0.3</v>
      </c>
      <c r="BV523" s="4">
        <v>1146.1613769999999</v>
      </c>
      <c r="BW523" s="4">
        <v>0.02</v>
      </c>
      <c r="BX523" s="5"/>
      <c r="BY523" s="5"/>
      <c r="BZ523" s="5"/>
      <c r="CA523" s="5"/>
    </row>
    <row r="524" spans="1:79" x14ac:dyDescent="0.3">
      <c r="A524" s="4" t="s">
        <v>294</v>
      </c>
      <c r="B524" s="4">
        <v>0.9</v>
      </c>
      <c r="C524" s="4">
        <v>0.5</v>
      </c>
      <c r="D524" s="4">
        <v>0.6</v>
      </c>
      <c r="E524" s="4">
        <v>0.3</v>
      </c>
      <c r="F524" s="6">
        <v>907.97131300000001</v>
      </c>
      <c r="G524" s="4">
        <v>4.0000000000000001E-3</v>
      </c>
      <c r="I524" s="4" t="s">
        <v>294</v>
      </c>
      <c r="J524" s="4">
        <v>0.9</v>
      </c>
      <c r="K524" s="4">
        <v>0.5</v>
      </c>
      <c r="L524" s="4">
        <v>0.6</v>
      </c>
      <c r="M524" s="4">
        <v>0.32</v>
      </c>
      <c r="N524" s="4">
        <v>962.00006099999996</v>
      </c>
      <c r="O524" s="4">
        <v>4.0000000000000001E-3</v>
      </c>
      <c r="P524" s="5"/>
      <c r="Q524" s="5"/>
      <c r="R524" s="5"/>
      <c r="S524" s="5"/>
      <c r="U524" s="4" t="s">
        <v>294</v>
      </c>
      <c r="V524" s="4">
        <v>0.9</v>
      </c>
      <c r="W524" s="4">
        <v>0.5</v>
      </c>
      <c r="X524" s="4">
        <v>0.6</v>
      </c>
      <c r="Y524" s="4">
        <v>0.3</v>
      </c>
      <c r="Z524" s="6">
        <v>899.681152</v>
      </c>
      <c r="AA524" s="4">
        <v>3.0000000000000001E-3</v>
      </c>
      <c r="AC524" s="4" t="s">
        <v>294</v>
      </c>
      <c r="AD524" s="4">
        <v>0.9</v>
      </c>
      <c r="AE524" s="4">
        <v>0.5</v>
      </c>
      <c r="AF524" s="4">
        <v>0.6</v>
      </c>
      <c r="AG524" s="4">
        <v>0.31</v>
      </c>
      <c r="AH524" s="4">
        <v>946.67114300000003</v>
      </c>
      <c r="AI524" s="4">
        <v>5.0000000000000001E-3</v>
      </c>
      <c r="AJ524" s="5"/>
      <c r="AK524" s="5"/>
      <c r="AL524" s="5"/>
      <c r="AM524" s="5"/>
      <c r="AO524" s="4" t="s">
        <v>295</v>
      </c>
      <c r="AP524" s="4">
        <v>0.9</v>
      </c>
      <c r="AQ524" s="4">
        <v>0.5</v>
      </c>
      <c r="AR524" s="4">
        <v>0.6</v>
      </c>
      <c r="AS524" s="4">
        <v>0.3</v>
      </c>
      <c r="AT524" s="6">
        <v>1205.282471</v>
      </c>
      <c r="AU524" s="4">
        <v>1.0999999999999999E-2</v>
      </c>
      <c r="AW524" s="4" t="s">
        <v>295</v>
      </c>
      <c r="AX524" s="4">
        <v>0.9</v>
      </c>
      <c r="AY524" s="4">
        <v>0.5</v>
      </c>
      <c r="AZ524" s="4">
        <v>0.6</v>
      </c>
      <c r="BA524" s="4">
        <v>0.31</v>
      </c>
      <c r="BB524" s="4">
        <v>1218.6689449999999</v>
      </c>
      <c r="BC524" s="4">
        <v>1.0999999999999999E-2</v>
      </c>
      <c r="BD524" s="5"/>
      <c r="BE524" s="5"/>
      <c r="BF524" s="5"/>
      <c r="BG524" s="5"/>
      <c r="BI524" s="4" t="s">
        <v>295</v>
      </c>
      <c r="BJ524" s="4">
        <v>0.9</v>
      </c>
      <c r="BK524" s="4">
        <v>0.5</v>
      </c>
      <c r="BL524" s="4">
        <v>0.6</v>
      </c>
      <c r="BM524" s="4">
        <v>0.3</v>
      </c>
      <c r="BN524" s="6">
        <v>1190.2852780000001</v>
      </c>
      <c r="BO524" s="4">
        <v>0.01</v>
      </c>
      <c r="BQ524" s="4" t="s">
        <v>295</v>
      </c>
      <c r="BR524" s="4">
        <v>0.9</v>
      </c>
      <c r="BS524" s="4">
        <v>0.5</v>
      </c>
      <c r="BT524" s="4">
        <v>0.6</v>
      </c>
      <c r="BU524" s="4">
        <v>0.32</v>
      </c>
      <c r="BV524" s="4">
        <v>1224.6313479999999</v>
      </c>
      <c r="BW524" s="4">
        <v>1.7000000000000001E-2</v>
      </c>
      <c r="BX524" s="5"/>
      <c r="BY524" s="5"/>
      <c r="BZ524" s="5"/>
      <c r="CA524" s="5"/>
    </row>
    <row r="525" spans="1:79" x14ac:dyDescent="0.3">
      <c r="A525" s="4" t="s">
        <v>296</v>
      </c>
      <c r="B525" s="4">
        <v>0.9</v>
      </c>
      <c r="C525" s="4">
        <v>0.5</v>
      </c>
      <c r="D525" s="4">
        <v>0.6</v>
      </c>
      <c r="E525" s="4">
        <v>0.3</v>
      </c>
      <c r="F525" s="6">
        <v>904.26300000000003</v>
      </c>
      <c r="G525" s="4">
        <v>6.0000000000000001E-3</v>
      </c>
      <c r="I525" s="4" t="s">
        <v>296</v>
      </c>
      <c r="J525" s="4">
        <v>0.9</v>
      </c>
      <c r="K525" s="4">
        <v>0.5</v>
      </c>
      <c r="L525" s="4">
        <v>0.6</v>
      </c>
      <c r="M525" s="4">
        <v>0.3</v>
      </c>
      <c r="N525" s="4">
        <v>925.25183100000004</v>
      </c>
      <c r="O525" s="4">
        <v>3.0000000000000001E-3</v>
      </c>
      <c r="P525" s="5"/>
      <c r="Q525" s="5"/>
      <c r="R525" s="5"/>
      <c r="S525" s="5"/>
      <c r="U525" s="4" t="s">
        <v>296</v>
      </c>
      <c r="V525" s="4">
        <v>0.9</v>
      </c>
      <c r="W525" s="4">
        <v>0.5</v>
      </c>
      <c r="X525" s="4">
        <v>0.6</v>
      </c>
      <c r="Y525" s="4">
        <v>0.3</v>
      </c>
      <c r="Z525" s="6">
        <v>903.75787400000002</v>
      </c>
      <c r="AA525" s="4">
        <v>4.0000000000000001E-3</v>
      </c>
      <c r="AC525" s="4" t="s">
        <v>296</v>
      </c>
      <c r="AD525" s="4">
        <v>0.9</v>
      </c>
      <c r="AE525" s="4">
        <v>0.5</v>
      </c>
      <c r="AF525" s="4">
        <v>0.6</v>
      </c>
      <c r="AG525" s="4">
        <v>0.31</v>
      </c>
      <c r="AH525" s="4">
        <v>949.22143600000004</v>
      </c>
      <c r="AI525" s="4">
        <v>7.0000000000000001E-3</v>
      </c>
      <c r="AJ525" s="5"/>
      <c r="AK525" s="5"/>
      <c r="AL525" s="5"/>
      <c r="AM525" s="5"/>
      <c r="AO525" s="4" t="s">
        <v>297</v>
      </c>
      <c r="AP525" s="4">
        <v>0.9</v>
      </c>
      <c r="AQ525" s="4">
        <v>0.5</v>
      </c>
      <c r="AR525" s="4">
        <v>0.6</v>
      </c>
      <c r="AS525" s="4">
        <v>0.3</v>
      </c>
      <c r="AT525" s="6">
        <v>1144.1813959999999</v>
      </c>
      <c r="AU525" s="4">
        <v>1.0999999999999999E-2</v>
      </c>
      <c r="AW525" s="4" t="s">
        <v>297</v>
      </c>
      <c r="AX525" s="4">
        <v>0.9</v>
      </c>
      <c r="AY525" s="4">
        <v>0.5</v>
      </c>
      <c r="AZ525" s="4">
        <v>0.6</v>
      </c>
      <c r="BA525" s="4">
        <v>0.32</v>
      </c>
      <c r="BB525" s="4">
        <v>1189.103638</v>
      </c>
      <c r="BC525" s="4">
        <v>8.9999999999999993E-3</v>
      </c>
      <c r="BD525" s="5"/>
      <c r="BE525" s="5"/>
      <c r="BF525" s="5"/>
      <c r="BG525" s="5"/>
      <c r="BI525" s="4" t="s">
        <v>297</v>
      </c>
      <c r="BJ525" s="4">
        <v>0.9</v>
      </c>
      <c r="BK525" s="4">
        <v>0.5</v>
      </c>
      <c r="BL525" s="4">
        <v>0.6</v>
      </c>
      <c r="BM525" s="4">
        <v>0.3</v>
      </c>
      <c r="BN525" s="4">
        <v>1133.3793949999999</v>
      </c>
      <c r="BO525" s="4">
        <v>0.01</v>
      </c>
      <c r="BQ525" s="4" t="s">
        <v>297</v>
      </c>
      <c r="BR525" s="4">
        <v>0.9</v>
      </c>
      <c r="BS525" s="4">
        <v>0.5</v>
      </c>
      <c r="BT525" s="4">
        <v>0.6</v>
      </c>
      <c r="BU525" s="4">
        <v>0.3</v>
      </c>
      <c r="BV525" s="6">
        <v>1117.4776609999999</v>
      </c>
      <c r="BW525" s="4">
        <v>1.6E-2</v>
      </c>
      <c r="BX525" s="5"/>
      <c r="BY525" s="5"/>
      <c r="BZ525" s="5"/>
      <c r="CA525" s="5"/>
    </row>
    <row r="526" spans="1:79" x14ac:dyDescent="0.3">
      <c r="A526" s="4" t="s">
        <v>298</v>
      </c>
      <c r="B526" s="4">
        <v>0.9</v>
      </c>
      <c r="C526" s="4">
        <v>0.5</v>
      </c>
      <c r="D526" s="4">
        <v>0.6</v>
      </c>
      <c r="E526" s="4">
        <v>0.3</v>
      </c>
      <c r="F526" s="6">
        <v>778.83667000000003</v>
      </c>
      <c r="G526" s="4">
        <v>4.0000000000000001E-3</v>
      </c>
      <c r="I526" s="4" t="s">
        <v>298</v>
      </c>
      <c r="J526" s="4">
        <v>0.9</v>
      </c>
      <c r="K526" s="4">
        <v>0.5</v>
      </c>
      <c r="L526" s="4">
        <v>0.6</v>
      </c>
      <c r="M526" s="4">
        <v>0.32</v>
      </c>
      <c r="N526" s="4">
        <v>795.98419200000001</v>
      </c>
      <c r="O526" s="4">
        <v>5.0000000000000001E-3</v>
      </c>
      <c r="P526" s="5"/>
      <c r="Q526" s="5"/>
      <c r="R526" s="5"/>
      <c r="S526" s="5"/>
      <c r="U526" s="4" t="s">
        <v>298</v>
      </c>
      <c r="V526" s="4">
        <v>0.9</v>
      </c>
      <c r="W526" s="4">
        <v>0.5</v>
      </c>
      <c r="X526" s="4">
        <v>0.6</v>
      </c>
      <c r="Y526" s="4">
        <v>0.3</v>
      </c>
      <c r="Z526" s="6">
        <v>775.21636999999998</v>
      </c>
      <c r="AA526" s="4">
        <v>3.0000000000000001E-3</v>
      </c>
      <c r="AC526" s="4" t="s">
        <v>298</v>
      </c>
      <c r="AD526" s="4">
        <v>0.9</v>
      </c>
      <c r="AE526" s="4">
        <v>0.5</v>
      </c>
      <c r="AF526" s="4">
        <v>0.6</v>
      </c>
      <c r="AG526" s="4">
        <v>0.3</v>
      </c>
      <c r="AH526" s="4">
        <v>797.88378899999998</v>
      </c>
      <c r="AI526" s="4">
        <v>5.0000000000000001E-3</v>
      </c>
      <c r="AJ526" s="5"/>
      <c r="AK526" s="5"/>
      <c r="AL526" s="5"/>
      <c r="AM526" s="5"/>
      <c r="AO526" s="4" t="s">
        <v>299</v>
      </c>
      <c r="AP526" s="4">
        <v>0.9</v>
      </c>
      <c r="AQ526" s="4">
        <v>0.5</v>
      </c>
      <c r="AR526" s="4">
        <v>0.6</v>
      </c>
      <c r="AS526" s="4">
        <v>0.3</v>
      </c>
      <c r="AT526" s="6">
        <v>1180.261475</v>
      </c>
      <c r="AU526" s="4">
        <v>1.0999999999999999E-2</v>
      </c>
      <c r="AW526" s="4" t="s">
        <v>299</v>
      </c>
      <c r="AX526" s="4">
        <v>0.9</v>
      </c>
      <c r="AY526" s="4">
        <v>0.5</v>
      </c>
      <c r="AZ526" s="4">
        <v>0.6</v>
      </c>
      <c r="BA526" s="4">
        <v>0.33</v>
      </c>
      <c r="BB526" s="4">
        <v>1195.5864260000001</v>
      </c>
      <c r="BC526" s="4">
        <v>0.01</v>
      </c>
      <c r="BD526" s="5"/>
      <c r="BE526" s="5"/>
      <c r="BF526" s="5"/>
      <c r="BG526" s="5"/>
      <c r="BI526" s="4" t="s">
        <v>299</v>
      </c>
      <c r="BJ526" s="4">
        <v>0.9</v>
      </c>
      <c r="BK526" s="4">
        <v>0.5</v>
      </c>
      <c r="BL526" s="4">
        <v>0.6</v>
      </c>
      <c r="BM526" s="4">
        <v>0.3</v>
      </c>
      <c r="BN526" s="6">
        <v>1170.878784</v>
      </c>
      <c r="BO526" s="4">
        <v>1.0999999999999999E-2</v>
      </c>
      <c r="BQ526" s="4" t="s">
        <v>299</v>
      </c>
      <c r="BR526" s="4">
        <v>0.9</v>
      </c>
      <c r="BS526" s="4">
        <v>0.5</v>
      </c>
      <c r="BT526" s="4">
        <v>0.6</v>
      </c>
      <c r="BU526" s="4">
        <v>0.3</v>
      </c>
      <c r="BV526" s="4">
        <v>1205.013672</v>
      </c>
      <c r="BW526" s="4">
        <v>1.2E-2</v>
      </c>
      <c r="BX526" s="5"/>
      <c r="BY526" s="5"/>
      <c r="BZ526" s="5"/>
      <c r="CA526" s="5"/>
    </row>
    <row r="527" spans="1:79" x14ac:dyDescent="0.3">
      <c r="A527" s="4" t="s">
        <v>300</v>
      </c>
      <c r="B527" s="4">
        <v>0.9</v>
      </c>
      <c r="C527" s="4">
        <v>0.5</v>
      </c>
      <c r="D527" s="4">
        <v>0.6</v>
      </c>
      <c r="E527" s="4">
        <v>0.3</v>
      </c>
      <c r="F527" s="6">
        <v>841.40374799999995</v>
      </c>
      <c r="G527" s="4">
        <v>3.0000000000000001E-3</v>
      </c>
      <c r="I527" s="4" t="s">
        <v>300</v>
      </c>
      <c r="J527" s="4">
        <v>0.9</v>
      </c>
      <c r="K527" s="4">
        <v>0.5</v>
      </c>
      <c r="L527" s="4">
        <v>0.6</v>
      </c>
      <c r="M527" s="4">
        <v>0.31</v>
      </c>
      <c r="N527" s="4">
        <v>859.44512899999995</v>
      </c>
      <c r="O527" s="4">
        <v>4.0000000000000001E-3</v>
      </c>
      <c r="P527" s="5"/>
      <c r="Q527" s="5"/>
      <c r="R527" s="5"/>
      <c r="S527" s="5"/>
      <c r="U527" s="4" t="s">
        <v>300</v>
      </c>
      <c r="V527" s="4">
        <v>0.9</v>
      </c>
      <c r="W527" s="4">
        <v>0.5</v>
      </c>
      <c r="X527" s="4">
        <v>0.6</v>
      </c>
      <c r="Y527" s="4">
        <v>0.3</v>
      </c>
      <c r="Z527" s="6">
        <v>832.43158000000005</v>
      </c>
      <c r="AA527" s="4">
        <v>4.0000000000000001E-3</v>
      </c>
      <c r="AC527" s="4" t="s">
        <v>300</v>
      </c>
      <c r="AD527" s="4">
        <v>0.9</v>
      </c>
      <c r="AE527" s="4">
        <v>0.5</v>
      </c>
      <c r="AF527" s="4">
        <v>0.6</v>
      </c>
      <c r="AG527" s="4">
        <v>0.35</v>
      </c>
      <c r="AH527" s="8">
        <v>832.82849099999999</v>
      </c>
      <c r="AI527" s="4">
        <v>3.0000000000000001E-3</v>
      </c>
      <c r="AJ527" s="5"/>
      <c r="AK527" s="5"/>
      <c r="AL527" s="5"/>
      <c r="AM527" s="5"/>
      <c r="AO527" s="4" t="s">
        <v>301</v>
      </c>
      <c r="AP527" s="4">
        <v>0.9</v>
      </c>
      <c r="AQ527" s="4">
        <v>0.5</v>
      </c>
      <c r="AR527" s="4">
        <v>0.6</v>
      </c>
      <c r="AS527" s="4">
        <v>0.3</v>
      </c>
      <c r="AT527" s="6">
        <v>1155.18335</v>
      </c>
      <c r="AU527" s="4">
        <v>0.01</v>
      </c>
      <c r="AW527" s="4" t="s">
        <v>301</v>
      </c>
      <c r="AX527" s="4">
        <v>0.9</v>
      </c>
      <c r="AY527" s="4">
        <v>0.5</v>
      </c>
      <c r="AZ527" s="4">
        <v>0.6</v>
      </c>
      <c r="BA527" s="4">
        <v>0.3</v>
      </c>
      <c r="BB527" s="4">
        <v>1195.0170900000001</v>
      </c>
      <c r="BC527" s="4">
        <v>8.9999999999999993E-3</v>
      </c>
      <c r="BD527" s="5"/>
      <c r="BE527" s="5"/>
      <c r="BF527" s="5"/>
      <c r="BG527" s="5"/>
      <c r="BI527" s="4" t="s">
        <v>301</v>
      </c>
      <c r="BJ527" s="4">
        <v>0.9</v>
      </c>
      <c r="BK527" s="4">
        <v>0.5</v>
      </c>
      <c r="BL527" s="4">
        <v>0.6</v>
      </c>
      <c r="BM527" s="4">
        <v>0.3</v>
      </c>
      <c r="BN527" s="6">
        <v>1139.4451899999999</v>
      </c>
      <c r="BO527" s="4">
        <v>0.01</v>
      </c>
      <c r="BQ527" s="4" t="s">
        <v>301</v>
      </c>
      <c r="BR527" s="4">
        <v>0.9</v>
      </c>
      <c r="BS527" s="4">
        <v>0.5</v>
      </c>
      <c r="BT527" s="4">
        <v>0.6</v>
      </c>
      <c r="BU527" s="4">
        <v>0.31</v>
      </c>
      <c r="BV527" s="4">
        <v>1159.2531739999999</v>
      </c>
      <c r="BW527" s="4">
        <v>1.6E-2</v>
      </c>
      <c r="BX527" s="5"/>
      <c r="BY527" s="5"/>
      <c r="BZ527" s="5"/>
      <c r="CA527" s="5"/>
    </row>
    <row r="528" spans="1:79" x14ac:dyDescent="0.3">
      <c r="A528" s="4" t="s">
        <v>302</v>
      </c>
      <c r="B528" s="4">
        <v>0.9</v>
      </c>
      <c r="C528" s="4">
        <v>0.5</v>
      </c>
      <c r="D528" s="4">
        <v>0.6</v>
      </c>
      <c r="E528" s="4">
        <v>0.3</v>
      </c>
      <c r="F528" s="6">
        <v>808.16650400000003</v>
      </c>
      <c r="G528" s="4">
        <v>8.0000000000000002E-3</v>
      </c>
      <c r="I528" s="4" t="s">
        <v>302</v>
      </c>
      <c r="J528" s="4">
        <v>0.9</v>
      </c>
      <c r="K528" s="4">
        <v>0.5</v>
      </c>
      <c r="L528" s="4">
        <v>0.6</v>
      </c>
      <c r="M528" s="4">
        <v>0.31</v>
      </c>
      <c r="N528" s="4">
        <v>838.38708499999996</v>
      </c>
      <c r="O528" s="4">
        <v>4.0000000000000001E-3</v>
      </c>
      <c r="P528" s="5"/>
      <c r="Q528" s="5"/>
      <c r="R528" s="5"/>
      <c r="S528" s="5"/>
      <c r="U528" s="4" t="s">
        <v>302</v>
      </c>
      <c r="V528" s="4">
        <v>0.9</v>
      </c>
      <c r="W528" s="4">
        <v>0.5</v>
      </c>
      <c r="X528" s="4">
        <v>0.6</v>
      </c>
      <c r="Y528" s="4">
        <v>0.3</v>
      </c>
      <c r="Z528" s="6">
        <v>782.599243</v>
      </c>
      <c r="AA528" s="4">
        <v>3.0000000000000001E-3</v>
      </c>
      <c r="AC528" s="4" t="s">
        <v>302</v>
      </c>
      <c r="AD528" s="4">
        <v>0.9</v>
      </c>
      <c r="AE528" s="4">
        <v>0.5</v>
      </c>
      <c r="AF528" s="4">
        <v>0.6</v>
      </c>
      <c r="AG528" s="4">
        <v>0.3</v>
      </c>
      <c r="AH528" s="4">
        <v>830.33563200000003</v>
      </c>
      <c r="AI528" s="4">
        <v>7.0000000000000001E-3</v>
      </c>
      <c r="AJ528" s="5"/>
      <c r="AK528" s="5"/>
      <c r="AL528" s="5"/>
      <c r="AM528" s="5"/>
      <c r="AO528" s="4" t="s">
        <v>303</v>
      </c>
      <c r="AP528" s="4">
        <v>0.9</v>
      </c>
      <c r="AQ528" s="4">
        <v>0.5</v>
      </c>
      <c r="AR528" s="4">
        <v>0.6</v>
      </c>
      <c r="AS528" s="4">
        <v>0.3</v>
      </c>
      <c r="AT528" s="6">
        <v>1117.393677</v>
      </c>
      <c r="AU528" s="4">
        <v>1.6E-2</v>
      </c>
      <c r="AW528" s="4" t="s">
        <v>303</v>
      </c>
      <c r="AX528" s="4">
        <v>0.9</v>
      </c>
      <c r="AY528" s="4">
        <v>0.5</v>
      </c>
      <c r="AZ528" s="4">
        <v>0.6</v>
      </c>
      <c r="BA528" s="4">
        <v>0.3</v>
      </c>
      <c r="BB528" s="4">
        <v>1161.1920170000001</v>
      </c>
      <c r="BC528" s="4">
        <v>0.01</v>
      </c>
      <c r="BD528" s="5"/>
      <c r="BE528" s="5"/>
      <c r="BF528" s="5"/>
      <c r="BG528" s="5"/>
      <c r="BI528" s="4" t="s">
        <v>303</v>
      </c>
      <c r="BJ528" s="4">
        <v>0.9</v>
      </c>
      <c r="BK528" s="4">
        <v>0.5</v>
      </c>
      <c r="BL528" s="4">
        <v>0.6</v>
      </c>
      <c r="BM528" s="4">
        <v>0.3</v>
      </c>
      <c r="BN528" s="4">
        <v>1135.7579350000001</v>
      </c>
      <c r="BO528" s="4">
        <v>0.01</v>
      </c>
      <c r="BQ528" s="4" t="s">
        <v>303</v>
      </c>
      <c r="BR528" s="4">
        <v>0.9</v>
      </c>
      <c r="BS528" s="4">
        <v>0.5</v>
      </c>
      <c r="BT528" s="4">
        <v>0.6</v>
      </c>
      <c r="BU528" s="4">
        <v>0.31</v>
      </c>
      <c r="BV528" s="4">
        <v>1131.8514399999999</v>
      </c>
      <c r="BW528" s="4">
        <v>1.2E-2</v>
      </c>
      <c r="BX528" s="5"/>
      <c r="BY528" s="5"/>
      <c r="BZ528" s="5"/>
      <c r="CA528" s="5"/>
    </row>
    <row r="529" spans="1:79" x14ac:dyDescent="0.3">
      <c r="A529" s="4" t="s">
        <v>304</v>
      </c>
      <c r="B529" s="4">
        <v>0.9</v>
      </c>
      <c r="C529" s="4">
        <v>0.5</v>
      </c>
      <c r="D529" s="4">
        <v>0.6</v>
      </c>
      <c r="E529" s="4">
        <v>0.3</v>
      </c>
      <c r="F529" s="6">
        <v>913.41308600000002</v>
      </c>
      <c r="G529" s="4">
        <v>3.0000000000000001E-3</v>
      </c>
      <c r="I529" s="4" t="s">
        <v>304</v>
      </c>
      <c r="J529" s="4">
        <v>0.9</v>
      </c>
      <c r="K529" s="4">
        <v>0.5</v>
      </c>
      <c r="L529" s="4">
        <v>0.6</v>
      </c>
      <c r="M529" s="4">
        <v>0.31</v>
      </c>
      <c r="N529" s="4">
        <v>924.9375</v>
      </c>
      <c r="O529" s="4">
        <v>4.0000000000000001E-3</v>
      </c>
      <c r="P529" s="5"/>
      <c r="Q529" s="5"/>
      <c r="R529" s="5"/>
      <c r="S529" s="5"/>
      <c r="U529" s="4" t="s">
        <v>304</v>
      </c>
      <c r="V529" s="4">
        <v>0.9</v>
      </c>
      <c r="W529" s="4">
        <v>0.5</v>
      </c>
      <c r="X529" s="4">
        <v>0.6</v>
      </c>
      <c r="Y529" s="4">
        <v>0.3</v>
      </c>
      <c r="Z529" s="6">
        <v>911.37353499999995</v>
      </c>
      <c r="AA529" s="4">
        <v>4.0000000000000001E-3</v>
      </c>
      <c r="AC529" s="4" t="s">
        <v>304</v>
      </c>
      <c r="AD529" s="4">
        <v>0.9</v>
      </c>
      <c r="AE529" s="4">
        <v>0.5</v>
      </c>
      <c r="AF529" s="4">
        <v>0.6</v>
      </c>
      <c r="AG529" s="4">
        <v>0.33</v>
      </c>
      <c r="AH529" s="4">
        <v>926.47937000000002</v>
      </c>
      <c r="AI529" s="4">
        <v>4.0000000000000001E-3</v>
      </c>
      <c r="AJ529" s="5"/>
      <c r="AK529" s="5"/>
      <c r="AL529" s="5"/>
      <c r="AM529" s="5"/>
      <c r="AO529" s="4" t="s">
        <v>305</v>
      </c>
      <c r="AP529" s="4">
        <v>0.9</v>
      </c>
      <c r="AQ529" s="4">
        <v>0.5</v>
      </c>
      <c r="AR529" s="4">
        <v>0.6</v>
      </c>
      <c r="AS529" s="4">
        <v>0.3</v>
      </c>
      <c r="AT529" s="6">
        <v>1183.9510499999999</v>
      </c>
      <c r="AU529" s="4">
        <v>1.0999999999999999E-2</v>
      </c>
      <c r="AW529" s="4" t="s">
        <v>305</v>
      </c>
      <c r="AX529" s="4">
        <v>0.9</v>
      </c>
      <c r="AY529" s="4">
        <v>0.5</v>
      </c>
      <c r="AZ529" s="4">
        <v>0.6</v>
      </c>
      <c r="BA529" s="4">
        <v>0.3</v>
      </c>
      <c r="BB529" s="4">
        <v>1173.6026609999999</v>
      </c>
      <c r="BC529" s="4">
        <v>0.01</v>
      </c>
      <c r="BD529" s="5"/>
      <c r="BE529" s="5"/>
      <c r="BF529" s="5"/>
      <c r="BG529" s="5"/>
      <c r="BI529" s="4" t="s">
        <v>305</v>
      </c>
      <c r="BJ529" s="4">
        <v>0.9</v>
      </c>
      <c r="BK529" s="4">
        <v>0.5</v>
      </c>
      <c r="BL529" s="4">
        <v>0.6</v>
      </c>
      <c r="BM529" s="4">
        <v>0.3</v>
      </c>
      <c r="BN529" s="6">
        <v>1171.799683</v>
      </c>
      <c r="BO529" s="4">
        <v>1.0999999999999999E-2</v>
      </c>
      <c r="BQ529" s="4" t="s">
        <v>305</v>
      </c>
      <c r="BR529" s="4">
        <v>0.9</v>
      </c>
      <c r="BS529" s="4">
        <v>0.5</v>
      </c>
      <c r="BT529" s="4">
        <v>0.6</v>
      </c>
      <c r="BU529" s="4">
        <v>0.3</v>
      </c>
      <c r="BV529" s="6">
        <v>1186.466797</v>
      </c>
      <c r="BW529" s="4">
        <v>2.3E-2</v>
      </c>
      <c r="BX529" s="5"/>
      <c r="BY529" s="5"/>
      <c r="BZ529" s="5"/>
      <c r="CA529" s="5"/>
    </row>
    <row r="530" spans="1:79" x14ac:dyDescent="0.3">
      <c r="A530" s="4" t="s">
        <v>306</v>
      </c>
      <c r="B530" s="4">
        <v>0.9</v>
      </c>
      <c r="C530" s="4">
        <v>0.5</v>
      </c>
      <c r="D530" s="4">
        <v>0.6</v>
      </c>
      <c r="E530" s="4">
        <v>0.3</v>
      </c>
      <c r="F530" s="6">
        <v>929.348206</v>
      </c>
      <c r="G530" s="4">
        <v>4.0000000000000001E-3</v>
      </c>
      <c r="I530" s="4" t="s">
        <v>306</v>
      </c>
      <c r="J530" s="4">
        <v>0.9</v>
      </c>
      <c r="K530" s="4">
        <v>0.5</v>
      </c>
      <c r="L530" s="4">
        <v>0.6</v>
      </c>
      <c r="M530" s="4">
        <v>0.32</v>
      </c>
      <c r="N530" s="4">
        <v>953.01605199999995</v>
      </c>
      <c r="O530" s="4">
        <v>3.0000000000000001E-3</v>
      </c>
      <c r="P530" s="5"/>
      <c r="Q530" s="5"/>
      <c r="R530" s="5"/>
      <c r="S530" s="5"/>
      <c r="U530" s="4" t="s">
        <v>306</v>
      </c>
      <c r="V530" s="4">
        <v>0.9</v>
      </c>
      <c r="W530" s="4">
        <v>0.5</v>
      </c>
      <c r="X530" s="4">
        <v>0.6</v>
      </c>
      <c r="Y530" s="4">
        <v>0.3</v>
      </c>
      <c r="Z530" s="6">
        <v>926.29583700000001</v>
      </c>
      <c r="AA530" s="4">
        <v>4.0000000000000001E-3</v>
      </c>
      <c r="AC530" s="4" t="s">
        <v>306</v>
      </c>
      <c r="AD530" s="4">
        <v>0.9</v>
      </c>
      <c r="AE530" s="4">
        <v>0.5</v>
      </c>
      <c r="AF530" s="4">
        <v>0.6</v>
      </c>
      <c r="AG530" s="4">
        <v>0.3</v>
      </c>
      <c r="AH530" s="4">
        <v>973.77099599999997</v>
      </c>
      <c r="AI530" s="4">
        <v>5.0000000000000001E-3</v>
      </c>
      <c r="AJ530" s="5"/>
      <c r="AK530" s="5"/>
      <c r="AL530" s="5"/>
      <c r="AM530" s="5"/>
      <c r="AO530" s="4" t="s">
        <v>307</v>
      </c>
      <c r="AP530" s="4">
        <v>0.9</v>
      </c>
      <c r="AQ530" s="4">
        <v>0.5</v>
      </c>
      <c r="AR530" s="4">
        <v>0.6</v>
      </c>
      <c r="AS530" s="4">
        <v>0.3</v>
      </c>
      <c r="AT530" s="6">
        <v>1153.028564</v>
      </c>
      <c r="AU530" s="4">
        <v>0.01</v>
      </c>
      <c r="AW530" s="4" t="s">
        <v>307</v>
      </c>
      <c r="AX530" s="4">
        <v>0.9</v>
      </c>
      <c r="AY530" s="4">
        <v>0.5</v>
      </c>
      <c r="AZ530" s="4">
        <v>0.6</v>
      </c>
      <c r="BA530" s="4">
        <v>0.31</v>
      </c>
      <c r="BB530" s="4">
        <v>1172.9764399999999</v>
      </c>
      <c r="BC530" s="4">
        <v>0.01</v>
      </c>
      <c r="BD530" s="5"/>
      <c r="BE530" s="5"/>
      <c r="BF530" s="5"/>
      <c r="BG530" s="5"/>
      <c r="BI530" s="4" t="s">
        <v>307</v>
      </c>
      <c r="BJ530" s="4">
        <v>0.9</v>
      </c>
      <c r="BK530" s="4">
        <v>0.5</v>
      </c>
      <c r="BL530" s="4">
        <v>0.6</v>
      </c>
      <c r="BM530" s="4">
        <v>0.3</v>
      </c>
      <c r="BN530" s="6">
        <v>1165.0874020000001</v>
      </c>
      <c r="BO530" s="4">
        <v>8.9999999999999993E-3</v>
      </c>
      <c r="BQ530" s="4" t="s">
        <v>307</v>
      </c>
      <c r="BR530" s="4">
        <v>0.9</v>
      </c>
      <c r="BS530" s="4">
        <v>0.5</v>
      </c>
      <c r="BT530" s="4">
        <v>0.6</v>
      </c>
      <c r="BU530" s="4">
        <v>0.31</v>
      </c>
      <c r="BV530" s="4">
        <v>1179.3845209999999</v>
      </c>
      <c r="BW530" s="4">
        <v>1.2E-2</v>
      </c>
      <c r="BX530" s="5"/>
      <c r="BY530" s="5"/>
      <c r="BZ530" s="5"/>
      <c r="CA530" s="5"/>
    </row>
    <row r="531" spans="1:79" x14ac:dyDescent="0.3">
      <c r="A531" s="4" t="s">
        <v>308</v>
      </c>
      <c r="B531" s="4">
        <v>0.9</v>
      </c>
      <c r="C531" s="4">
        <v>0.5</v>
      </c>
      <c r="D531" s="4">
        <v>0.6</v>
      </c>
      <c r="E531" s="4">
        <v>0.3</v>
      </c>
      <c r="F531" s="6">
        <v>881.85229500000003</v>
      </c>
      <c r="G531" s="4">
        <v>7.0000000000000001E-3</v>
      </c>
      <c r="I531" s="4" t="s">
        <v>308</v>
      </c>
      <c r="J531" s="4">
        <v>0.9</v>
      </c>
      <c r="K531" s="4">
        <v>0.5</v>
      </c>
      <c r="L531" s="4">
        <v>0.6</v>
      </c>
      <c r="M531" s="4">
        <v>0.31</v>
      </c>
      <c r="N531" s="4">
        <v>952.17028800000003</v>
      </c>
      <c r="O531" s="4">
        <v>5.0000000000000001E-3</v>
      </c>
      <c r="P531" s="5"/>
      <c r="Q531" s="5"/>
      <c r="R531" s="5"/>
      <c r="S531" s="5"/>
      <c r="U531" s="4" t="s">
        <v>308</v>
      </c>
      <c r="V531" s="4">
        <v>0.9</v>
      </c>
      <c r="W531" s="4">
        <v>0.5</v>
      </c>
      <c r="X531" s="4">
        <v>0.6</v>
      </c>
      <c r="Y531" s="4">
        <v>0.3</v>
      </c>
      <c r="Z531" s="6">
        <v>903.77130099999999</v>
      </c>
      <c r="AA531" s="4">
        <v>3.0000000000000001E-3</v>
      </c>
      <c r="AC531" s="4" t="s">
        <v>308</v>
      </c>
      <c r="AD531" s="4">
        <v>0.9</v>
      </c>
      <c r="AE531" s="4">
        <v>0.5</v>
      </c>
      <c r="AF531" s="4">
        <v>0.6</v>
      </c>
      <c r="AG531" s="4">
        <v>0.31</v>
      </c>
      <c r="AH531" s="4">
        <v>958.56872599999997</v>
      </c>
      <c r="AI531" s="4">
        <v>5.0000000000000001E-3</v>
      </c>
      <c r="AJ531" s="5"/>
      <c r="AK531" s="5"/>
      <c r="AL531" s="5"/>
      <c r="AM531" s="5"/>
      <c r="AO531" s="4" t="s">
        <v>309</v>
      </c>
      <c r="AP531" s="4">
        <v>0.9</v>
      </c>
      <c r="AQ531" s="4">
        <v>0.5</v>
      </c>
      <c r="AR531" s="4">
        <v>0.6</v>
      </c>
      <c r="AS531" s="4">
        <v>0.3</v>
      </c>
      <c r="AT531" s="6">
        <v>1154.3833010000001</v>
      </c>
      <c r="AU531" s="4">
        <v>1.0999999999999999E-2</v>
      </c>
      <c r="AW531" s="4" t="s">
        <v>309</v>
      </c>
      <c r="AX531" s="4">
        <v>0.9</v>
      </c>
      <c r="AY531" s="4">
        <v>0.5</v>
      </c>
      <c r="AZ531" s="4">
        <v>0.6</v>
      </c>
      <c r="BA531" s="4">
        <v>0.32</v>
      </c>
      <c r="BB531" s="4">
        <v>1164.185303</v>
      </c>
      <c r="BC531" s="4">
        <v>0.01</v>
      </c>
      <c r="BD531" s="5"/>
      <c r="BE531" s="5"/>
      <c r="BF531" s="5"/>
      <c r="BG531" s="5"/>
      <c r="BI531" s="4" t="s">
        <v>309</v>
      </c>
      <c r="BJ531" s="4">
        <v>0.9</v>
      </c>
      <c r="BK531" s="4">
        <v>0.5</v>
      </c>
      <c r="BL531" s="4">
        <v>0.6</v>
      </c>
      <c r="BM531" s="4">
        <v>0.3</v>
      </c>
      <c r="BN531" s="6">
        <v>1149.5954589999999</v>
      </c>
      <c r="BO531" s="4">
        <v>0.01</v>
      </c>
      <c r="BQ531" s="4" t="s">
        <v>309</v>
      </c>
      <c r="BR531" s="4">
        <v>0.9</v>
      </c>
      <c r="BS531" s="4">
        <v>0.5</v>
      </c>
      <c r="BT531" s="4">
        <v>0.6</v>
      </c>
      <c r="BU531" s="4">
        <v>0.31</v>
      </c>
      <c r="BV531" s="4">
        <v>1189.9210210000001</v>
      </c>
      <c r="BW531" s="4">
        <v>1.7999999999999999E-2</v>
      </c>
      <c r="BX531" s="5"/>
      <c r="BY531" s="5"/>
      <c r="BZ531" s="5"/>
      <c r="CA531" s="5"/>
    </row>
    <row r="532" spans="1:79" x14ac:dyDescent="0.3">
      <c r="A532" s="4" t="s">
        <v>310</v>
      </c>
      <c r="B532" s="4">
        <v>0.9</v>
      </c>
      <c r="C532" s="4">
        <v>0.5</v>
      </c>
      <c r="D532" s="4">
        <v>0.6</v>
      </c>
      <c r="E532" s="4">
        <v>0.3</v>
      </c>
      <c r="F532" s="6">
        <v>890.74408000000005</v>
      </c>
      <c r="G532" s="4">
        <v>4.0000000000000001E-3</v>
      </c>
      <c r="I532" s="4" t="s">
        <v>310</v>
      </c>
      <c r="J532" s="4">
        <v>0.9</v>
      </c>
      <c r="K532" s="4">
        <v>0.5</v>
      </c>
      <c r="L532" s="4">
        <v>0.6</v>
      </c>
      <c r="M532" s="4">
        <v>0.3</v>
      </c>
      <c r="N532" s="4">
        <v>905.31243900000004</v>
      </c>
      <c r="O532" s="4">
        <v>4.0000000000000001E-3</v>
      </c>
      <c r="P532" s="5"/>
      <c r="Q532" s="5"/>
      <c r="R532" s="5"/>
      <c r="S532" s="5"/>
      <c r="U532" s="4" t="s">
        <v>310</v>
      </c>
      <c r="V532" s="4">
        <v>0.9</v>
      </c>
      <c r="W532" s="4">
        <v>0.5</v>
      </c>
      <c r="X532" s="4">
        <v>0.6</v>
      </c>
      <c r="Y532" s="4">
        <v>0.3</v>
      </c>
      <c r="Z532" s="6">
        <v>894.91961700000002</v>
      </c>
      <c r="AA532" s="4">
        <v>3.0000000000000001E-3</v>
      </c>
      <c r="AC532" s="4" t="s">
        <v>310</v>
      </c>
      <c r="AD532" s="4">
        <v>0.9</v>
      </c>
      <c r="AE532" s="4">
        <v>0.5</v>
      </c>
      <c r="AF532" s="4">
        <v>0.6</v>
      </c>
      <c r="AG532" s="4">
        <v>0.33</v>
      </c>
      <c r="AH532" s="4">
        <v>926.10180700000001</v>
      </c>
      <c r="AI532" s="4">
        <v>6.0000000000000001E-3</v>
      </c>
      <c r="AJ532" s="5"/>
      <c r="AK532" s="5"/>
      <c r="AL532" s="5"/>
      <c r="AM532" s="5"/>
      <c r="AO532" s="4" t="s">
        <v>311</v>
      </c>
      <c r="AP532" s="4">
        <v>0.9</v>
      </c>
      <c r="AQ532" s="4">
        <v>0.5</v>
      </c>
      <c r="AR532" s="4">
        <v>0.6</v>
      </c>
      <c r="AS532" s="4">
        <v>0.3</v>
      </c>
      <c r="AT532" s="6">
        <v>1187.132568</v>
      </c>
      <c r="AU532" s="4">
        <v>0.01</v>
      </c>
      <c r="AW532" s="4" t="s">
        <v>311</v>
      </c>
      <c r="AX532" s="4">
        <v>0.9</v>
      </c>
      <c r="AY532" s="4">
        <v>0.5</v>
      </c>
      <c r="AZ532" s="4">
        <v>0.6</v>
      </c>
      <c r="BA532" s="4">
        <v>0.34</v>
      </c>
      <c r="BB532" s="4">
        <v>1197.119263</v>
      </c>
      <c r="BC532" s="4">
        <v>1.0999999999999999E-2</v>
      </c>
      <c r="BD532" s="5"/>
      <c r="BE532" s="5"/>
      <c r="BF532" s="5"/>
      <c r="BG532" s="5"/>
      <c r="BI532" s="4" t="s">
        <v>311</v>
      </c>
      <c r="BJ532" s="4">
        <v>0.9</v>
      </c>
      <c r="BK532" s="4">
        <v>0.5</v>
      </c>
      <c r="BL532" s="4">
        <v>0.6</v>
      </c>
      <c r="BM532" s="4">
        <v>0.3</v>
      </c>
      <c r="BN532" s="4">
        <v>1187.638428</v>
      </c>
      <c r="BO532" s="4">
        <v>0.01</v>
      </c>
      <c r="BQ532" s="4" t="s">
        <v>311</v>
      </c>
      <c r="BR532" s="4">
        <v>0.9</v>
      </c>
      <c r="BS532" s="4">
        <v>0.5</v>
      </c>
      <c r="BT532" s="4">
        <v>0.6</v>
      </c>
      <c r="BU532" s="4">
        <v>0.31</v>
      </c>
      <c r="BV532" s="6">
        <v>1181.4993899999999</v>
      </c>
      <c r="BW532" s="4">
        <v>1.2E-2</v>
      </c>
      <c r="BX532" s="5"/>
      <c r="BY532" s="5"/>
      <c r="BZ532" s="5"/>
      <c r="CA532" s="5"/>
    </row>
    <row r="533" spans="1:79" x14ac:dyDescent="0.3">
      <c r="A533" s="4" t="s">
        <v>312</v>
      </c>
      <c r="B533" s="4">
        <v>0.9</v>
      </c>
      <c r="C533" s="4">
        <v>0.5</v>
      </c>
      <c r="D533" s="4">
        <v>0.6</v>
      </c>
      <c r="E533" s="4">
        <v>0.3</v>
      </c>
      <c r="F533" s="6">
        <v>879.68768299999999</v>
      </c>
      <c r="G533" s="4">
        <v>4.0000000000000001E-3</v>
      </c>
      <c r="I533" s="4" t="s">
        <v>312</v>
      </c>
      <c r="J533" s="4">
        <v>0.9</v>
      </c>
      <c r="K533" s="4">
        <v>0.5</v>
      </c>
      <c r="L533" s="4">
        <v>0.6</v>
      </c>
      <c r="M533" s="4">
        <v>0.42</v>
      </c>
      <c r="N533" s="4">
        <v>921.28192100000001</v>
      </c>
      <c r="O533" s="4">
        <v>6.0000000000000001E-3</v>
      </c>
      <c r="P533" s="5"/>
      <c r="Q533" s="5"/>
      <c r="R533" s="5"/>
      <c r="S533" s="5"/>
      <c r="U533" s="4" t="s">
        <v>312</v>
      </c>
      <c r="V533" s="4">
        <v>0.9</v>
      </c>
      <c r="W533" s="4">
        <v>0.5</v>
      </c>
      <c r="X533" s="4">
        <v>0.6</v>
      </c>
      <c r="Y533" s="4">
        <v>0.3</v>
      </c>
      <c r="Z533" s="6">
        <v>874.54449499999998</v>
      </c>
      <c r="AA533" s="4">
        <v>3.0000000000000001E-3</v>
      </c>
      <c r="AC533" s="4" t="s">
        <v>312</v>
      </c>
      <c r="AD533" s="4">
        <v>0.9</v>
      </c>
      <c r="AE533" s="4">
        <v>0.5</v>
      </c>
      <c r="AF533" s="4">
        <v>0.6</v>
      </c>
      <c r="AG533" s="4">
        <v>0.37</v>
      </c>
      <c r="AH533" s="4">
        <v>906.011841</v>
      </c>
      <c r="AI533" s="4">
        <v>5.0000000000000001E-3</v>
      </c>
      <c r="AJ533" s="5"/>
      <c r="AK533" s="5"/>
      <c r="AL533" s="5"/>
      <c r="AM533" s="5"/>
      <c r="AO533" s="4" t="s">
        <v>313</v>
      </c>
      <c r="AP533" s="4">
        <v>0.9</v>
      </c>
      <c r="AQ533" s="4">
        <v>0.5</v>
      </c>
      <c r="AR533" s="4">
        <v>0.6</v>
      </c>
      <c r="AS533" s="4">
        <v>0.3</v>
      </c>
      <c r="AT533" s="6">
        <v>1171.845703</v>
      </c>
      <c r="AU533" s="4">
        <v>8.9999999999999993E-3</v>
      </c>
      <c r="AW533" s="4" t="s">
        <v>313</v>
      </c>
      <c r="AX533" s="4">
        <v>0.9</v>
      </c>
      <c r="AY533" s="4">
        <v>0.5</v>
      </c>
      <c r="AZ533" s="4">
        <v>0.6</v>
      </c>
      <c r="BA533" s="4">
        <v>0.39</v>
      </c>
      <c r="BB533" s="4">
        <v>1196.5538329999999</v>
      </c>
      <c r="BC533" s="4">
        <v>1.2E-2</v>
      </c>
      <c r="BD533" s="5"/>
      <c r="BE533" s="5"/>
      <c r="BF533" s="5"/>
      <c r="BG533" s="5"/>
      <c r="BI533" s="4" t="s">
        <v>313</v>
      </c>
      <c r="BJ533" s="4">
        <v>0.9</v>
      </c>
      <c r="BK533" s="4">
        <v>0.5</v>
      </c>
      <c r="BL533" s="4">
        <v>0.6</v>
      </c>
      <c r="BM533" s="4">
        <v>0.3</v>
      </c>
      <c r="BN533" s="6">
        <v>1161.4620359999999</v>
      </c>
      <c r="BO533" s="4">
        <v>0.01</v>
      </c>
      <c r="BQ533" s="4" t="s">
        <v>313</v>
      </c>
      <c r="BR533" s="4">
        <v>0.9</v>
      </c>
      <c r="BS533" s="4">
        <v>0.5</v>
      </c>
      <c r="BT533" s="4">
        <v>0.6</v>
      </c>
      <c r="BU533" s="4">
        <v>0.32</v>
      </c>
      <c r="BV533" s="4">
        <v>1205.542725</v>
      </c>
      <c r="BW533" s="4">
        <v>1.6E-2</v>
      </c>
      <c r="BX533" s="5"/>
      <c r="BY533" s="5"/>
      <c r="BZ533" s="5"/>
      <c r="CA533" s="5"/>
    </row>
    <row r="534" spans="1:79" x14ac:dyDescent="0.3">
      <c r="A534" s="14" t="s">
        <v>316</v>
      </c>
      <c r="E534" s="14">
        <f>AVERAGE(E504:E533)</f>
        <v>0.3</v>
      </c>
      <c r="I534" s="14" t="s">
        <v>316</v>
      </c>
      <c r="M534" s="14">
        <f>AVERAGE(M504:M533)</f>
        <v>0.31866666666666671</v>
      </c>
      <c r="U534" s="14" t="s">
        <v>316</v>
      </c>
      <c r="Y534" s="14">
        <f>AVERAGE(Y504:Y533)</f>
        <v>0.3</v>
      </c>
      <c r="AC534" s="14" t="s">
        <v>316</v>
      </c>
      <c r="AG534" s="14">
        <f>AVERAGE(AG504:AG533)</f>
        <v>0.31899999999999989</v>
      </c>
      <c r="AO534" s="14" t="s">
        <v>316</v>
      </c>
      <c r="AS534" s="14">
        <f>AVERAGE(AS504:AS533)</f>
        <v>0.3</v>
      </c>
      <c r="AW534" s="14" t="s">
        <v>316</v>
      </c>
      <c r="BA534" s="14">
        <f>AVERAGE(BA504:BA533)</f>
        <v>0.31166666666666659</v>
      </c>
      <c r="BI534" s="14" t="s">
        <v>316</v>
      </c>
      <c r="BM534" s="14">
        <f>AVERAGE(BM504:BM533)</f>
        <v>0.3</v>
      </c>
      <c r="BQ534" s="14" t="s">
        <v>316</v>
      </c>
      <c r="BU534" s="14">
        <f>AVERAGE(BU504:BU533)</f>
        <v>0.3096666666666667</v>
      </c>
    </row>
    <row r="535" spans="1:79" s="1" customFormat="1" x14ac:dyDescent="0.3"/>
  </sheetData>
  <mergeCells count="192">
    <mergeCell ref="I38:O38"/>
    <mergeCell ref="I73:O73"/>
    <mergeCell ref="I74:O74"/>
    <mergeCell ref="A252:G252"/>
    <mergeCell ref="A287:G287"/>
    <mergeCell ref="A288:G288"/>
    <mergeCell ref="A1:G1"/>
    <mergeCell ref="A2:G2"/>
    <mergeCell ref="A37:G37"/>
    <mergeCell ref="A38:G38"/>
    <mergeCell ref="A73:G73"/>
    <mergeCell ref="A74:G74"/>
    <mergeCell ref="A108:G108"/>
    <mergeCell ref="A109:G109"/>
    <mergeCell ref="A144:G144"/>
    <mergeCell ref="A145:G145"/>
    <mergeCell ref="A180:G180"/>
    <mergeCell ref="A181:G181"/>
    <mergeCell ref="I466:O466"/>
    <mergeCell ref="I501:O501"/>
    <mergeCell ref="I502:O502"/>
    <mergeCell ref="I322:O322"/>
    <mergeCell ref="I323:O323"/>
    <mergeCell ref="I358:O358"/>
    <mergeCell ref="I359:O359"/>
    <mergeCell ref="I394:O394"/>
    <mergeCell ref="I395:O395"/>
    <mergeCell ref="A322:G322"/>
    <mergeCell ref="A358:G358"/>
    <mergeCell ref="A394:G394"/>
    <mergeCell ref="A429:G429"/>
    <mergeCell ref="A465:G465"/>
    <mergeCell ref="A501:G501"/>
    <mergeCell ref="A215:G215"/>
    <mergeCell ref="A216:G216"/>
    <mergeCell ref="A251:G251"/>
    <mergeCell ref="U1:AA1"/>
    <mergeCell ref="U2:AA2"/>
    <mergeCell ref="U37:AA37"/>
    <mergeCell ref="U38:AA38"/>
    <mergeCell ref="U73:AA73"/>
    <mergeCell ref="U74:AA74"/>
    <mergeCell ref="I429:O429"/>
    <mergeCell ref="I430:O430"/>
    <mergeCell ref="I465:O465"/>
    <mergeCell ref="I215:O215"/>
    <mergeCell ref="I216:O216"/>
    <mergeCell ref="I251:O251"/>
    <mergeCell ref="I252:O252"/>
    <mergeCell ref="I287:O287"/>
    <mergeCell ref="I288:O288"/>
    <mergeCell ref="I108:O108"/>
    <mergeCell ref="I109:O109"/>
    <mergeCell ref="I144:O144"/>
    <mergeCell ref="I145:O145"/>
    <mergeCell ref="I180:O180"/>
    <mergeCell ref="I181:O181"/>
    <mergeCell ref="I1:O1"/>
    <mergeCell ref="I2:O2"/>
    <mergeCell ref="I37:O37"/>
    <mergeCell ref="U322:AA322"/>
    <mergeCell ref="U358:AA358"/>
    <mergeCell ref="U394:AA394"/>
    <mergeCell ref="U429:AA429"/>
    <mergeCell ref="U465:AA465"/>
    <mergeCell ref="U501:AA501"/>
    <mergeCell ref="U108:AA108"/>
    <mergeCell ref="U144:AA144"/>
    <mergeCell ref="U180:AA180"/>
    <mergeCell ref="U215:AA215"/>
    <mergeCell ref="U251:AA251"/>
    <mergeCell ref="U287:AA287"/>
    <mergeCell ref="AC108:AI108"/>
    <mergeCell ref="AC109:AI109"/>
    <mergeCell ref="AC144:AI144"/>
    <mergeCell ref="AC145:AI145"/>
    <mergeCell ref="AC180:AI180"/>
    <mergeCell ref="AC181:AI181"/>
    <mergeCell ref="AC1:AI1"/>
    <mergeCell ref="AC2:AI2"/>
    <mergeCell ref="AC37:AI37"/>
    <mergeCell ref="AC38:AI38"/>
    <mergeCell ref="AC73:AI73"/>
    <mergeCell ref="AC74:AI74"/>
    <mergeCell ref="AO144:AU144"/>
    <mergeCell ref="AO180:AU180"/>
    <mergeCell ref="AC429:AI429"/>
    <mergeCell ref="AC430:AI430"/>
    <mergeCell ref="AC465:AI465"/>
    <mergeCell ref="AC466:AI466"/>
    <mergeCell ref="AC501:AI501"/>
    <mergeCell ref="AC502:AI502"/>
    <mergeCell ref="AC322:AI322"/>
    <mergeCell ref="AC323:AI323"/>
    <mergeCell ref="AC358:AI358"/>
    <mergeCell ref="AC359:AI359"/>
    <mergeCell ref="AC394:AI394"/>
    <mergeCell ref="AC395:AI395"/>
    <mergeCell ref="AC215:AI215"/>
    <mergeCell ref="AC216:AI216"/>
    <mergeCell ref="AC251:AI251"/>
    <mergeCell ref="AC252:AI252"/>
    <mergeCell ref="AC287:AI287"/>
    <mergeCell ref="AC288:AI288"/>
    <mergeCell ref="AW145:BC145"/>
    <mergeCell ref="AW180:BC180"/>
    <mergeCell ref="AW181:BC181"/>
    <mergeCell ref="AW215:BC215"/>
    <mergeCell ref="AO429:AU429"/>
    <mergeCell ref="AO465:AU465"/>
    <mergeCell ref="AO501:AU501"/>
    <mergeCell ref="AW1:BC1"/>
    <mergeCell ref="AW2:BC2"/>
    <mergeCell ref="AW37:BC37"/>
    <mergeCell ref="AW38:BC38"/>
    <mergeCell ref="AW73:BC73"/>
    <mergeCell ref="AW74:BC74"/>
    <mergeCell ref="AW108:BC108"/>
    <mergeCell ref="AO215:AU215"/>
    <mergeCell ref="AO251:AU251"/>
    <mergeCell ref="AO287:AU287"/>
    <mergeCell ref="AO322:AU322"/>
    <mergeCell ref="AO358:AU358"/>
    <mergeCell ref="AO394:AU394"/>
    <mergeCell ref="AO1:AU1"/>
    <mergeCell ref="AO37:AU37"/>
    <mergeCell ref="AO73:AU73"/>
    <mergeCell ref="AO108:AU108"/>
    <mergeCell ref="AW430:BC430"/>
    <mergeCell ref="AW465:BC465"/>
    <mergeCell ref="AW466:BC466"/>
    <mergeCell ref="AW501:BC501"/>
    <mergeCell ref="AW502:BC502"/>
    <mergeCell ref="BI1:BO1"/>
    <mergeCell ref="BI37:BO37"/>
    <mergeCell ref="BI73:BO73"/>
    <mergeCell ref="BI108:BO108"/>
    <mergeCell ref="BI144:BO144"/>
    <mergeCell ref="AW323:BC323"/>
    <mergeCell ref="AW358:BC358"/>
    <mergeCell ref="AW359:BC359"/>
    <mergeCell ref="AW394:BC394"/>
    <mergeCell ref="AW395:BC395"/>
    <mergeCell ref="AW429:BC429"/>
    <mergeCell ref="AW216:BC216"/>
    <mergeCell ref="AW251:BC251"/>
    <mergeCell ref="AW252:BC252"/>
    <mergeCell ref="AW287:BC287"/>
    <mergeCell ref="AW288:BC288"/>
    <mergeCell ref="AW322:BC322"/>
    <mergeCell ref="AW109:BC109"/>
    <mergeCell ref="AW144:BC144"/>
    <mergeCell ref="BI394:BO394"/>
    <mergeCell ref="BI429:BO429"/>
    <mergeCell ref="BI465:BO465"/>
    <mergeCell ref="BI501:BO501"/>
    <mergeCell ref="BQ1:BW1"/>
    <mergeCell ref="BQ2:BW2"/>
    <mergeCell ref="BQ37:BW37"/>
    <mergeCell ref="BQ38:BW38"/>
    <mergeCell ref="BQ73:BW73"/>
    <mergeCell ref="BQ74:BW74"/>
    <mergeCell ref="BI180:BO180"/>
    <mergeCell ref="BI215:BO215"/>
    <mergeCell ref="BI251:BO251"/>
    <mergeCell ref="BI287:BO287"/>
    <mergeCell ref="BI322:BO322"/>
    <mergeCell ref="BI358:BO358"/>
    <mergeCell ref="BQ215:BW215"/>
    <mergeCell ref="BQ216:BW216"/>
    <mergeCell ref="BQ251:BW251"/>
    <mergeCell ref="BQ252:BW252"/>
    <mergeCell ref="BQ287:BW287"/>
    <mergeCell ref="BQ288:BW288"/>
    <mergeCell ref="BQ108:BW108"/>
    <mergeCell ref="BQ109:BW109"/>
    <mergeCell ref="BQ502:BW502"/>
    <mergeCell ref="BQ322:BW322"/>
    <mergeCell ref="BQ323:BW323"/>
    <mergeCell ref="BQ358:BW358"/>
    <mergeCell ref="BQ359:BW359"/>
    <mergeCell ref="BQ394:BW394"/>
    <mergeCell ref="BQ395:BW395"/>
    <mergeCell ref="BQ144:BW144"/>
    <mergeCell ref="BQ145:BW145"/>
    <mergeCell ref="BQ180:BW180"/>
    <mergeCell ref="BQ181:BW181"/>
    <mergeCell ref="BQ429:BW429"/>
    <mergeCell ref="BQ430:BW430"/>
    <mergeCell ref="BQ465:BW465"/>
    <mergeCell ref="BQ466:BW466"/>
    <mergeCell ref="BQ501:BW501"/>
  </mergeCells>
  <pageMargins left="0.7" right="0.7" top="0.75" bottom="0.75" header="0.3" footer="0.3"/>
  <ignoredErrors>
    <ignoredError sqref="P5 BD112" formulaRange="1"/>
    <ignoredError sqref="R5 R41 R77 R112 R148 R184 R219 R255 R291 R326 R362 R398 R433 R469 R505 AL505 AL469 AL433 AL398 AL362 AL326 AL291 AL255 AL219 AL184 AL112 AL77 BF112 BF148 BF219 BF255 BF291 BF326 BF362 BF398 BF433 BF469 BZ505 BZ469 BZ433 BZ398 BZ362 BZ326 BZ291 BZ255 BZ219 BZ148 BZ77 BZ41 BZ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534"/>
  <sheetViews>
    <sheetView zoomScaleNormal="100" workbookViewId="0">
      <selection sqref="A1:G1"/>
    </sheetView>
  </sheetViews>
  <sheetFormatPr baseColWidth="10" defaultRowHeight="14.4" x14ac:dyDescent="0.3"/>
  <cols>
    <col min="1" max="1" width="15.88671875" style="2" bestFit="1" customWidth="1"/>
    <col min="2" max="5" width="4.77734375" style="2" bestFit="1" customWidth="1"/>
    <col min="6" max="6" width="12.5546875" style="2" bestFit="1" customWidth="1"/>
    <col min="7" max="7" width="7" style="2" bestFit="1" customWidth="1"/>
    <col min="8" max="8" width="11.5546875" style="2"/>
    <col min="9" max="9" width="15.88671875" style="2" bestFit="1" customWidth="1"/>
    <col min="10" max="12" width="4.77734375" style="2" bestFit="1" customWidth="1"/>
    <col min="13" max="14" width="13.6640625" style="2" bestFit="1" customWidth="1"/>
    <col min="15" max="15" width="7" style="2" bestFit="1" customWidth="1"/>
    <col min="16" max="17" width="16.77734375" bestFit="1" customWidth="1"/>
    <col min="18" max="19" width="17.44140625" bestFit="1" customWidth="1"/>
    <col min="20" max="20" width="11.5546875" style="1"/>
    <col min="21" max="21" width="15.88671875" style="2" bestFit="1" customWidth="1"/>
    <col min="22" max="25" width="4.77734375" style="2" bestFit="1" customWidth="1"/>
    <col min="26" max="26" width="12.5546875" style="2" bestFit="1" customWidth="1"/>
    <col min="27" max="27" width="7" style="2" bestFit="1" customWidth="1"/>
    <col min="29" max="29" width="15.88671875" style="2" bestFit="1" customWidth="1"/>
    <col min="30" max="32" width="4.77734375" style="2" bestFit="1" customWidth="1"/>
    <col min="33" max="34" width="13.6640625" style="2" bestFit="1" customWidth="1"/>
    <col min="35" max="35" width="7" style="2" bestFit="1" customWidth="1"/>
    <col min="36" max="37" width="16.77734375" bestFit="1" customWidth="1"/>
    <col min="38" max="39" width="17.44140625" bestFit="1" customWidth="1"/>
    <col min="40" max="40" width="11.5546875" style="1"/>
    <col min="41" max="41" width="15.88671875" style="2" bestFit="1" customWidth="1"/>
    <col min="42" max="45" width="4.77734375" style="2" bestFit="1" customWidth="1"/>
    <col min="46" max="46" width="13.6640625" style="2" bestFit="1" customWidth="1"/>
    <col min="47" max="47" width="7" style="2" bestFit="1" customWidth="1"/>
    <col min="49" max="49" width="15.88671875" style="2" bestFit="1" customWidth="1"/>
    <col min="50" max="52" width="4.77734375" style="2" bestFit="1" customWidth="1"/>
    <col min="53" max="54" width="13.6640625" style="2" bestFit="1" customWidth="1"/>
    <col min="55" max="55" width="7" style="2" bestFit="1" customWidth="1"/>
    <col min="56" max="57" width="16.77734375" bestFit="1" customWidth="1"/>
    <col min="58" max="59" width="17.44140625" bestFit="1" customWidth="1"/>
    <col min="60" max="60" width="11.5546875" style="1"/>
    <col min="61" max="61" width="15.88671875" style="2" bestFit="1" customWidth="1"/>
    <col min="62" max="65" width="4.77734375" style="2" bestFit="1" customWidth="1"/>
    <col min="66" max="66" width="13.6640625" style="2" bestFit="1" customWidth="1"/>
    <col min="67" max="67" width="7" style="2" bestFit="1" customWidth="1"/>
    <col min="69" max="69" width="15.88671875" style="2" bestFit="1" customWidth="1"/>
    <col min="70" max="72" width="4.77734375" style="2" bestFit="1" customWidth="1"/>
    <col min="73" max="74" width="13.6640625" style="2" bestFit="1" customWidth="1"/>
    <col min="75" max="75" width="7" style="2" bestFit="1" customWidth="1"/>
    <col min="76" max="77" width="16.77734375" bestFit="1" customWidth="1"/>
    <col min="78" max="79" width="17.44140625" bestFit="1" customWidth="1"/>
  </cols>
  <sheetData>
    <row r="1" spans="1:79" x14ac:dyDescent="0.3">
      <c r="A1" s="23" t="s">
        <v>314</v>
      </c>
      <c r="B1" s="23"/>
      <c r="C1" s="23"/>
      <c r="D1" s="23"/>
      <c r="E1" s="23"/>
      <c r="F1" s="23"/>
      <c r="G1" s="23"/>
      <c r="I1" s="23" t="s">
        <v>314</v>
      </c>
      <c r="J1" s="23"/>
      <c r="K1" s="23"/>
      <c r="L1" s="23"/>
      <c r="M1" s="23"/>
      <c r="N1" s="23"/>
      <c r="O1" s="23"/>
      <c r="P1" s="11"/>
      <c r="Q1" s="11"/>
      <c r="R1" s="11"/>
      <c r="S1" s="11"/>
      <c r="U1" s="23" t="s">
        <v>314</v>
      </c>
      <c r="V1" s="23"/>
      <c r="W1" s="23"/>
      <c r="X1" s="23"/>
      <c r="Y1" s="23"/>
      <c r="Z1" s="23"/>
      <c r="AA1" s="23"/>
      <c r="AC1" s="23" t="s">
        <v>314</v>
      </c>
      <c r="AD1" s="23"/>
      <c r="AE1" s="23"/>
      <c r="AF1" s="23"/>
      <c r="AG1" s="23"/>
      <c r="AH1" s="23"/>
      <c r="AI1" s="23"/>
      <c r="AJ1" s="11"/>
      <c r="AK1" s="11"/>
      <c r="AL1" s="11"/>
      <c r="AM1" s="11"/>
      <c r="AO1" s="23" t="s">
        <v>314</v>
      </c>
      <c r="AP1" s="23"/>
      <c r="AQ1" s="23"/>
      <c r="AR1" s="23"/>
      <c r="AS1" s="23"/>
      <c r="AT1" s="23"/>
      <c r="AU1" s="23"/>
      <c r="AW1" s="23" t="s">
        <v>314</v>
      </c>
      <c r="AX1" s="23"/>
      <c r="AY1" s="23"/>
      <c r="AZ1" s="23"/>
      <c r="BA1" s="23"/>
      <c r="BB1" s="23"/>
      <c r="BC1" s="23"/>
      <c r="BD1" s="11"/>
      <c r="BE1" s="11"/>
      <c r="BF1" s="11"/>
      <c r="BG1" s="11"/>
      <c r="BI1" s="23" t="s">
        <v>314</v>
      </c>
      <c r="BJ1" s="23"/>
      <c r="BK1" s="23"/>
      <c r="BL1" s="23"/>
      <c r="BM1" s="23"/>
      <c r="BN1" s="23"/>
      <c r="BO1" s="23"/>
      <c r="BQ1" s="23" t="s">
        <v>314</v>
      </c>
      <c r="BR1" s="23"/>
      <c r="BS1" s="23"/>
      <c r="BT1" s="23"/>
      <c r="BU1" s="23"/>
      <c r="BV1" s="23"/>
      <c r="BW1" s="23"/>
      <c r="BX1" s="11"/>
      <c r="BY1" s="11"/>
      <c r="BZ1" s="11"/>
      <c r="CA1" s="11"/>
    </row>
    <row r="2" spans="1:79" x14ac:dyDescent="0.3">
      <c r="A2" s="24" t="s">
        <v>0</v>
      </c>
      <c r="B2" s="25"/>
      <c r="C2" s="25"/>
      <c r="D2" s="25"/>
      <c r="E2" s="25"/>
      <c r="F2" s="25"/>
      <c r="G2" s="26"/>
      <c r="I2" s="4" t="s">
        <v>0</v>
      </c>
      <c r="J2" s="4"/>
      <c r="K2" s="4"/>
      <c r="L2" s="4"/>
      <c r="M2" s="4"/>
      <c r="N2" s="4"/>
      <c r="O2" s="4"/>
      <c r="P2" s="11"/>
      <c r="Q2" s="11"/>
      <c r="R2" s="11"/>
      <c r="S2" s="11"/>
      <c r="U2" s="24" t="s">
        <v>1</v>
      </c>
      <c r="V2" s="25"/>
      <c r="W2" s="25"/>
      <c r="X2" s="25"/>
      <c r="Y2" s="25"/>
      <c r="Z2" s="25"/>
      <c r="AA2" s="26"/>
      <c r="AC2" s="4" t="s">
        <v>1</v>
      </c>
      <c r="AD2" s="4"/>
      <c r="AE2" s="4"/>
      <c r="AF2" s="4"/>
      <c r="AG2" s="4"/>
      <c r="AH2" s="4"/>
      <c r="AI2" s="4"/>
      <c r="AJ2" s="11"/>
      <c r="AK2" s="11"/>
      <c r="AL2" s="11"/>
      <c r="AM2" s="11"/>
      <c r="AO2" s="4" t="s">
        <v>0</v>
      </c>
      <c r="AP2" s="4"/>
      <c r="AQ2" s="4"/>
      <c r="AR2" s="4"/>
      <c r="AS2" s="4"/>
      <c r="AT2" s="4"/>
      <c r="AU2" s="4"/>
      <c r="AW2" s="4" t="s">
        <v>0</v>
      </c>
      <c r="AX2" s="4"/>
      <c r="AY2" s="4"/>
      <c r="AZ2" s="4"/>
      <c r="BA2" s="4"/>
      <c r="BB2" s="4"/>
      <c r="BC2" s="4"/>
      <c r="BD2" s="11"/>
      <c r="BE2" s="11"/>
      <c r="BF2" s="11"/>
      <c r="BG2" s="11"/>
      <c r="BI2" s="4" t="s">
        <v>1</v>
      </c>
      <c r="BJ2" s="4"/>
      <c r="BK2" s="4"/>
      <c r="BL2" s="4"/>
      <c r="BM2" s="4"/>
      <c r="BN2" s="4"/>
      <c r="BO2" s="4"/>
      <c r="BQ2" s="4" t="s">
        <v>1</v>
      </c>
      <c r="BR2" s="4"/>
      <c r="BS2" s="4"/>
      <c r="BT2" s="4"/>
      <c r="BU2" s="4"/>
      <c r="BV2" s="4"/>
      <c r="BW2" s="4"/>
      <c r="BX2" s="11"/>
      <c r="BY2" s="11"/>
      <c r="BZ2" s="11"/>
      <c r="CA2" s="11"/>
    </row>
    <row r="3" spans="1:79" x14ac:dyDescent="0.3">
      <c r="A3" s="4" t="s">
        <v>2</v>
      </c>
      <c r="B3" s="4" t="s">
        <v>3</v>
      </c>
      <c r="C3" s="4" t="s">
        <v>4</v>
      </c>
      <c r="D3" s="4" t="s">
        <v>5</v>
      </c>
      <c r="E3" s="4" t="s">
        <v>6</v>
      </c>
      <c r="F3" s="4" t="s">
        <v>7</v>
      </c>
      <c r="G3" s="4" t="s">
        <v>8</v>
      </c>
      <c r="I3" s="4" t="s">
        <v>2</v>
      </c>
      <c r="J3" s="4" t="s">
        <v>3</v>
      </c>
      <c r="K3" s="4" t="s">
        <v>4</v>
      </c>
      <c r="L3" s="4" t="s">
        <v>5</v>
      </c>
      <c r="M3" s="4" t="s">
        <v>6</v>
      </c>
      <c r="N3" s="4" t="s">
        <v>7</v>
      </c>
      <c r="O3" s="4" t="s">
        <v>8</v>
      </c>
      <c r="P3" s="3" t="s">
        <v>322</v>
      </c>
      <c r="Q3" s="3" t="s">
        <v>323</v>
      </c>
      <c r="R3" s="3" t="s">
        <v>322</v>
      </c>
      <c r="S3" s="3" t="s">
        <v>323</v>
      </c>
      <c r="U3" s="4" t="s">
        <v>2</v>
      </c>
      <c r="V3" s="4" t="s">
        <v>3</v>
      </c>
      <c r="W3" s="4" t="s">
        <v>4</v>
      </c>
      <c r="X3" s="4" t="s">
        <v>5</v>
      </c>
      <c r="Y3" s="4" t="s">
        <v>6</v>
      </c>
      <c r="Z3" s="4" t="s">
        <v>7</v>
      </c>
      <c r="AA3" s="4" t="s">
        <v>8</v>
      </c>
      <c r="AC3" s="4" t="s">
        <v>2</v>
      </c>
      <c r="AD3" s="4" t="s">
        <v>3</v>
      </c>
      <c r="AE3" s="4" t="s">
        <v>4</v>
      </c>
      <c r="AF3" s="4" t="s">
        <v>5</v>
      </c>
      <c r="AG3" s="4" t="s">
        <v>6</v>
      </c>
      <c r="AH3" s="4" t="s">
        <v>7</v>
      </c>
      <c r="AI3" s="4" t="s">
        <v>8</v>
      </c>
      <c r="AJ3" s="3" t="s">
        <v>322</v>
      </c>
      <c r="AK3" s="3" t="s">
        <v>323</v>
      </c>
      <c r="AL3" s="3" t="s">
        <v>322</v>
      </c>
      <c r="AM3" s="3" t="s">
        <v>323</v>
      </c>
      <c r="AO3" s="4" t="s">
        <v>2</v>
      </c>
      <c r="AP3" s="4" t="s">
        <v>3</v>
      </c>
      <c r="AQ3" s="4" t="s">
        <v>4</v>
      </c>
      <c r="AR3" s="4" t="s">
        <v>5</v>
      </c>
      <c r="AS3" s="4" t="s">
        <v>6</v>
      </c>
      <c r="AT3" s="4" t="s">
        <v>7</v>
      </c>
      <c r="AU3" s="4" t="s">
        <v>8</v>
      </c>
      <c r="AW3" s="4" t="s">
        <v>2</v>
      </c>
      <c r="AX3" s="4" t="s">
        <v>3</v>
      </c>
      <c r="AY3" s="4" t="s">
        <v>4</v>
      </c>
      <c r="AZ3" s="4" t="s">
        <v>5</v>
      </c>
      <c r="BA3" s="4" t="s">
        <v>6</v>
      </c>
      <c r="BB3" s="4" t="s">
        <v>7</v>
      </c>
      <c r="BC3" s="4" t="s">
        <v>8</v>
      </c>
      <c r="BD3" s="3" t="s">
        <v>322</v>
      </c>
      <c r="BE3" s="3" t="s">
        <v>323</v>
      </c>
      <c r="BF3" s="3" t="s">
        <v>322</v>
      </c>
      <c r="BG3" s="3" t="s">
        <v>323</v>
      </c>
      <c r="BI3" s="4" t="s">
        <v>2</v>
      </c>
      <c r="BJ3" s="4" t="s">
        <v>3</v>
      </c>
      <c r="BK3" s="4" t="s">
        <v>4</v>
      </c>
      <c r="BL3" s="4" t="s">
        <v>5</v>
      </c>
      <c r="BM3" s="4" t="s">
        <v>6</v>
      </c>
      <c r="BN3" s="4" t="s">
        <v>7</v>
      </c>
      <c r="BO3" s="4" t="s">
        <v>8</v>
      </c>
      <c r="BQ3" s="4" t="s">
        <v>2</v>
      </c>
      <c r="BR3" s="4" t="s">
        <v>3</v>
      </c>
      <c r="BS3" s="4" t="s">
        <v>4</v>
      </c>
      <c r="BT3" s="4" t="s">
        <v>5</v>
      </c>
      <c r="BU3" s="4" t="s">
        <v>6</v>
      </c>
      <c r="BV3" s="4" t="s">
        <v>7</v>
      </c>
      <c r="BW3" s="4" t="s">
        <v>8</v>
      </c>
      <c r="BX3" s="3" t="s">
        <v>322</v>
      </c>
      <c r="BY3" s="3" t="s">
        <v>323</v>
      </c>
      <c r="BZ3" s="3" t="s">
        <v>322</v>
      </c>
      <c r="CA3" s="3" t="s">
        <v>323</v>
      </c>
    </row>
    <row r="4" spans="1:79" x14ac:dyDescent="0.3">
      <c r="A4" s="4" t="s">
        <v>10</v>
      </c>
      <c r="B4" s="4">
        <v>0.9</v>
      </c>
      <c r="C4" s="4">
        <v>0.5</v>
      </c>
      <c r="D4" s="4">
        <v>0.6</v>
      </c>
      <c r="E4" s="4">
        <v>0.3</v>
      </c>
      <c r="F4" s="6">
        <v>382.83227499999998</v>
      </c>
      <c r="G4" s="4">
        <v>0</v>
      </c>
      <c r="I4" s="4" t="s">
        <v>10</v>
      </c>
      <c r="J4" s="4">
        <v>0.9</v>
      </c>
      <c r="K4" s="4">
        <v>0.5</v>
      </c>
      <c r="L4" s="4">
        <v>0.6</v>
      </c>
      <c r="M4" s="4">
        <v>0.01</v>
      </c>
      <c r="N4" s="4">
        <v>469.01501500000001</v>
      </c>
      <c r="O4" s="4">
        <v>1.6E-2</v>
      </c>
      <c r="P4" s="4" t="s">
        <v>324</v>
      </c>
      <c r="Q4" s="4" t="s">
        <v>324</v>
      </c>
      <c r="R4" s="4" t="s">
        <v>327</v>
      </c>
      <c r="S4" s="4" t="s">
        <v>327</v>
      </c>
      <c r="U4" s="4" t="s">
        <v>10</v>
      </c>
      <c r="V4" s="4">
        <v>0.9</v>
      </c>
      <c r="W4" s="4">
        <v>0.5</v>
      </c>
      <c r="X4" s="4">
        <v>0.6</v>
      </c>
      <c r="Y4" s="4">
        <v>0.3</v>
      </c>
      <c r="Z4" s="6">
        <v>356.94982900000002</v>
      </c>
      <c r="AA4" s="4">
        <v>0</v>
      </c>
      <c r="AC4" s="4" t="s">
        <v>10</v>
      </c>
      <c r="AD4" s="4">
        <v>0.9</v>
      </c>
      <c r="AE4" s="4">
        <v>0.5</v>
      </c>
      <c r="AF4" s="4">
        <v>0.6</v>
      </c>
      <c r="AG4" s="4">
        <v>0.01</v>
      </c>
      <c r="AH4" s="4">
        <v>431.67184400000002</v>
      </c>
      <c r="AI4" s="4">
        <v>1.2E-2</v>
      </c>
      <c r="AJ4" s="4" t="s">
        <v>324</v>
      </c>
      <c r="AK4" s="4" t="s">
        <v>324</v>
      </c>
      <c r="AL4" s="4" t="s">
        <v>327</v>
      </c>
      <c r="AM4" s="4" t="s">
        <v>327</v>
      </c>
      <c r="AO4" s="4" t="s">
        <v>11</v>
      </c>
      <c r="AP4" s="4">
        <v>0.9</v>
      </c>
      <c r="AQ4" s="4">
        <v>0.5</v>
      </c>
      <c r="AR4" s="4">
        <v>0.6</v>
      </c>
      <c r="AS4" s="4">
        <v>0.3</v>
      </c>
      <c r="AT4" s="4">
        <v>721.82312000000002</v>
      </c>
      <c r="AU4" s="4">
        <v>4.0000000000000001E-3</v>
      </c>
      <c r="AW4" s="4" t="s">
        <v>11</v>
      </c>
      <c r="AX4" s="4">
        <v>0.9</v>
      </c>
      <c r="AY4" s="4">
        <v>0.5</v>
      </c>
      <c r="AZ4" s="4">
        <v>0.6</v>
      </c>
      <c r="BA4" s="4">
        <v>0.01</v>
      </c>
      <c r="BB4" s="6">
        <v>711.196777</v>
      </c>
      <c r="BC4" s="4">
        <v>4.4999999999999998E-2</v>
      </c>
      <c r="BD4" s="4" t="s">
        <v>324</v>
      </c>
      <c r="BE4" s="4" t="s">
        <v>324</v>
      </c>
      <c r="BF4" s="4" t="s">
        <v>327</v>
      </c>
      <c r="BG4" s="4" t="s">
        <v>327</v>
      </c>
      <c r="BI4" s="4" t="s">
        <v>11</v>
      </c>
      <c r="BJ4" s="4">
        <v>0.9</v>
      </c>
      <c r="BK4" s="4">
        <v>0.5</v>
      </c>
      <c r="BL4" s="4">
        <v>0.6</v>
      </c>
      <c r="BM4" s="4">
        <v>0.3</v>
      </c>
      <c r="BN4" s="4">
        <v>705.15502900000001</v>
      </c>
      <c r="BO4" s="4">
        <v>3.0000000000000001E-3</v>
      </c>
      <c r="BQ4" s="4" t="s">
        <v>11</v>
      </c>
      <c r="BR4" s="4">
        <v>0.9</v>
      </c>
      <c r="BS4" s="4">
        <v>0.5</v>
      </c>
      <c r="BT4" s="4">
        <v>0.6</v>
      </c>
      <c r="BU4" s="4">
        <v>0.01</v>
      </c>
      <c r="BV4" s="6">
        <v>651.34509300000002</v>
      </c>
      <c r="BW4" s="4">
        <v>1.0999999999999999E-2</v>
      </c>
      <c r="BX4" s="4" t="s">
        <v>324</v>
      </c>
      <c r="BY4" s="4" t="s">
        <v>324</v>
      </c>
      <c r="BZ4" s="4" t="s">
        <v>327</v>
      </c>
      <c r="CA4" s="4" t="s">
        <v>327</v>
      </c>
    </row>
    <row r="5" spans="1:79" x14ac:dyDescent="0.3">
      <c r="A5" s="4" t="s">
        <v>12</v>
      </c>
      <c r="B5" s="4">
        <v>0.9</v>
      </c>
      <c r="C5" s="4">
        <v>0.5</v>
      </c>
      <c r="D5" s="4">
        <v>0.6</v>
      </c>
      <c r="E5" s="4">
        <v>0.3</v>
      </c>
      <c r="F5" s="6">
        <v>414.58303799999999</v>
      </c>
      <c r="G5" s="4">
        <v>0</v>
      </c>
      <c r="I5" s="4" t="s">
        <v>12</v>
      </c>
      <c r="J5" s="4">
        <v>0.9</v>
      </c>
      <c r="K5" s="4">
        <v>0.5</v>
      </c>
      <c r="L5" s="4">
        <v>0.6</v>
      </c>
      <c r="M5" s="4">
        <v>0.59</v>
      </c>
      <c r="N5" s="4">
        <v>427.772583</v>
      </c>
      <c r="O5" s="4">
        <v>1.7999999999999999E-2</v>
      </c>
      <c r="P5" s="3">
        <f>COUNT(F4:F33)</f>
        <v>30</v>
      </c>
      <c r="Q5" s="3">
        <f>30-P5</f>
        <v>0</v>
      </c>
      <c r="R5" s="3">
        <v>0</v>
      </c>
      <c r="S5" s="3">
        <f>30-R5</f>
        <v>30</v>
      </c>
      <c r="U5" s="4" t="s">
        <v>12</v>
      </c>
      <c r="V5" s="4">
        <v>0.9</v>
      </c>
      <c r="W5" s="4">
        <v>0.5</v>
      </c>
      <c r="X5" s="4">
        <v>0.6</v>
      </c>
      <c r="Y5" s="4">
        <v>0.3</v>
      </c>
      <c r="Z5" s="6">
        <v>400.56689499999999</v>
      </c>
      <c r="AA5" s="4">
        <v>1E-3</v>
      </c>
      <c r="AC5" s="4" t="s">
        <v>12</v>
      </c>
      <c r="AD5" s="4">
        <v>0.9</v>
      </c>
      <c r="AE5" s="4">
        <v>0.5</v>
      </c>
      <c r="AF5" s="4">
        <v>0.6</v>
      </c>
      <c r="AG5" s="4">
        <v>0.27</v>
      </c>
      <c r="AH5" s="4">
        <v>404.93225100000001</v>
      </c>
      <c r="AI5" s="4">
        <v>1.4E-2</v>
      </c>
      <c r="AJ5" s="3">
        <f>COUNT(Z4:Z33)</f>
        <v>30</v>
      </c>
      <c r="AK5" s="3">
        <f>30-AJ5</f>
        <v>0</v>
      </c>
      <c r="AL5" s="3">
        <f>COUNT(AH19,AH30)</f>
        <v>2</v>
      </c>
      <c r="AM5" s="3">
        <f>30-AL5</f>
        <v>28</v>
      </c>
      <c r="AO5" s="4" t="s">
        <v>13</v>
      </c>
      <c r="AP5" s="4">
        <v>0.9</v>
      </c>
      <c r="AQ5" s="4">
        <v>0.5</v>
      </c>
      <c r="AR5" s="4">
        <v>0.6</v>
      </c>
      <c r="AS5" s="4">
        <v>0.3</v>
      </c>
      <c r="AT5" s="6">
        <v>670.298767</v>
      </c>
      <c r="AU5" s="4">
        <v>3.0000000000000001E-3</v>
      </c>
      <c r="AW5" s="4" t="s">
        <v>13</v>
      </c>
      <c r="AX5" s="4">
        <v>0.9</v>
      </c>
      <c r="AY5" s="4">
        <v>0.5</v>
      </c>
      <c r="AZ5" s="4">
        <v>0.6</v>
      </c>
      <c r="BA5" s="4">
        <v>0.5</v>
      </c>
      <c r="BB5" s="4">
        <v>723.30432099999996</v>
      </c>
      <c r="BC5" s="4">
        <v>2.3E-2</v>
      </c>
      <c r="BD5" s="3">
        <f>COUNT(AT5:AT13,AT16,AT20:AT24,AT26:AT30,AT32)</f>
        <v>21</v>
      </c>
      <c r="BE5" s="3">
        <f>30-BD5</f>
        <v>9</v>
      </c>
      <c r="BF5" s="3">
        <f>COUNT(BB4,BB14:BB15,BB17:BB19,BB25,BB31,BB33)</f>
        <v>9</v>
      </c>
      <c r="BG5" s="3">
        <f>30-BF5</f>
        <v>21</v>
      </c>
      <c r="BI5" s="4" t="s">
        <v>13</v>
      </c>
      <c r="BJ5" s="4">
        <v>0.9</v>
      </c>
      <c r="BK5" s="4">
        <v>0.5</v>
      </c>
      <c r="BL5" s="4">
        <v>0.6</v>
      </c>
      <c r="BM5" s="4">
        <v>0.3</v>
      </c>
      <c r="BN5" s="6">
        <v>630.09008800000004</v>
      </c>
      <c r="BO5" s="4">
        <v>3.0000000000000001E-3</v>
      </c>
      <c r="BQ5" s="4" t="s">
        <v>13</v>
      </c>
      <c r="BR5" s="4">
        <v>0.9</v>
      </c>
      <c r="BS5" s="4">
        <v>0.5</v>
      </c>
      <c r="BT5" s="4">
        <v>0.6</v>
      </c>
      <c r="BU5" s="4">
        <v>0.78</v>
      </c>
      <c r="BV5" s="4">
        <v>732.751892</v>
      </c>
      <c r="BW5" s="4">
        <v>2.3E-2</v>
      </c>
      <c r="BX5" s="3">
        <f>COUNT(BN5:BN6,BN9:BN10,BN12:BN16,BN19,BN22:BN23,BN25,BN27:BN29,BN32)</f>
        <v>17</v>
      </c>
      <c r="BY5" s="3">
        <f>30-BX5</f>
        <v>13</v>
      </c>
      <c r="BZ5" s="3">
        <f>COUNT(BV4,BV7:BV8,BV11,BV17:BV18,BV20:BV21,BV24,BV26,BV30:BV31,BV33)</f>
        <v>13</v>
      </c>
      <c r="CA5" s="3">
        <f>30-BZ5</f>
        <v>17</v>
      </c>
    </row>
    <row r="6" spans="1:79" x14ac:dyDescent="0.3">
      <c r="A6" s="4" t="s">
        <v>14</v>
      </c>
      <c r="B6" s="4">
        <v>0.9</v>
      </c>
      <c r="C6" s="4">
        <v>0.5</v>
      </c>
      <c r="D6" s="4">
        <v>0.6</v>
      </c>
      <c r="E6" s="4">
        <v>0.3</v>
      </c>
      <c r="F6" s="6">
        <v>359.89016700000002</v>
      </c>
      <c r="G6" s="4">
        <v>2E-3</v>
      </c>
      <c r="I6" s="4" t="s">
        <v>14</v>
      </c>
      <c r="J6" s="4">
        <v>0.9</v>
      </c>
      <c r="K6" s="4">
        <v>0.5</v>
      </c>
      <c r="L6" s="4">
        <v>0.6</v>
      </c>
      <c r="M6" s="4">
        <v>0.26</v>
      </c>
      <c r="N6" s="4">
        <v>368.59149200000002</v>
      </c>
      <c r="O6" s="4">
        <v>0.01</v>
      </c>
      <c r="P6" s="5"/>
      <c r="Q6" s="5"/>
      <c r="R6" s="5"/>
      <c r="S6" s="5"/>
      <c r="U6" s="4" t="s">
        <v>14</v>
      </c>
      <c r="V6" s="4">
        <v>0.9</v>
      </c>
      <c r="W6" s="4">
        <v>0.5</v>
      </c>
      <c r="X6" s="4">
        <v>0.6</v>
      </c>
      <c r="Y6" s="4">
        <v>0.3</v>
      </c>
      <c r="Z6" s="6">
        <v>335.153503</v>
      </c>
      <c r="AA6" s="4">
        <v>1E-3</v>
      </c>
      <c r="AC6" s="4" t="s">
        <v>14</v>
      </c>
      <c r="AD6" s="4">
        <v>0.9</v>
      </c>
      <c r="AE6" s="4">
        <v>0.5</v>
      </c>
      <c r="AF6" s="4">
        <v>0.6</v>
      </c>
      <c r="AG6" s="4">
        <v>0.31</v>
      </c>
      <c r="AH6" s="4">
        <v>338.09899899999999</v>
      </c>
      <c r="AI6" s="4">
        <v>1.2E-2</v>
      </c>
      <c r="AJ6" s="5"/>
      <c r="AK6" s="5"/>
      <c r="AL6" s="5"/>
      <c r="AM6" s="5"/>
      <c r="AO6" s="4" t="s">
        <v>15</v>
      </c>
      <c r="AP6" s="4">
        <v>0.9</v>
      </c>
      <c r="AQ6" s="4">
        <v>0.5</v>
      </c>
      <c r="AR6" s="4">
        <v>0.6</v>
      </c>
      <c r="AS6" s="4">
        <v>0.3</v>
      </c>
      <c r="AT6" s="6">
        <v>719.17132600000002</v>
      </c>
      <c r="AU6" s="4">
        <v>3.0000000000000001E-3</v>
      </c>
      <c r="AW6" s="4" t="s">
        <v>15</v>
      </c>
      <c r="AX6" s="4">
        <v>0.9</v>
      </c>
      <c r="AY6" s="4">
        <v>0.5</v>
      </c>
      <c r="AZ6" s="4">
        <v>0.6</v>
      </c>
      <c r="BA6" s="4">
        <v>0.88</v>
      </c>
      <c r="BB6" s="4">
        <v>904.07055700000001</v>
      </c>
      <c r="BC6" s="4">
        <v>1.7999999999999999E-2</v>
      </c>
      <c r="BD6" s="5"/>
      <c r="BE6" s="5"/>
      <c r="BF6" s="5"/>
      <c r="BG6" s="5"/>
      <c r="BI6" s="4" t="s">
        <v>15</v>
      </c>
      <c r="BJ6" s="4">
        <v>0.9</v>
      </c>
      <c r="BK6" s="4">
        <v>0.5</v>
      </c>
      <c r="BL6" s="4">
        <v>0.6</v>
      </c>
      <c r="BM6" s="4">
        <v>0.3</v>
      </c>
      <c r="BN6" s="6">
        <v>673.50183100000004</v>
      </c>
      <c r="BO6" s="4">
        <v>4.0000000000000001E-3</v>
      </c>
      <c r="BQ6" s="4" t="s">
        <v>15</v>
      </c>
      <c r="BR6" s="4">
        <v>0.9</v>
      </c>
      <c r="BS6" s="4">
        <v>0.5</v>
      </c>
      <c r="BT6" s="4">
        <v>0.6</v>
      </c>
      <c r="BU6" s="4">
        <v>0.28000000000000003</v>
      </c>
      <c r="BV6" s="4">
        <v>674.43102999999996</v>
      </c>
      <c r="BW6" s="4">
        <v>1.7000000000000001E-2</v>
      </c>
      <c r="BX6" s="5"/>
      <c r="BY6" s="5"/>
      <c r="BZ6" s="5"/>
      <c r="CA6" s="5"/>
    </row>
    <row r="7" spans="1:79" x14ac:dyDescent="0.3">
      <c r="A7" s="4" t="s">
        <v>16</v>
      </c>
      <c r="B7" s="4">
        <v>0.9</v>
      </c>
      <c r="C7" s="4">
        <v>0.5</v>
      </c>
      <c r="D7" s="4">
        <v>0.6</v>
      </c>
      <c r="E7" s="4">
        <v>0.3</v>
      </c>
      <c r="F7" s="6">
        <v>386.27529900000002</v>
      </c>
      <c r="G7" s="4">
        <v>2E-3</v>
      </c>
      <c r="I7" s="4" t="s">
        <v>16</v>
      </c>
      <c r="J7" s="4">
        <v>0.9</v>
      </c>
      <c r="K7" s="4">
        <v>0.5</v>
      </c>
      <c r="L7" s="4">
        <v>0.6</v>
      </c>
      <c r="M7" s="4">
        <v>0.42</v>
      </c>
      <c r="N7" s="4">
        <v>401.51928700000002</v>
      </c>
      <c r="O7" s="4">
        <v>2.9000000000000001E-2</v>
      </c>
      <c r="P7" s="5"/>
      <c r="Q7" s="5"/>
      <c r="R7" s="5"/>
      <c r="S7" s="5"/>
      <c r="U7" s="4" t="s">
        <v>16</v>
      </c>
      <c r="V7" s="4">
        <v>0.9</v>
      </c>
      <c r="W7" s="4">
        <v>0.5</v>
      </c>
      <c r="X7" s="4">
        <v>0.6</v>
      </c>
      <c r="Y7" s="4">
        <v>0.3</v>
      </c>
      <c r="Z7" s="6">
        <v>368.649719</v>
      </c>
      <c r="AA7" s="4">
        <v>0</v>
      </c>
      <c r="AC7" s="4" t="s">
        <v>16</v>
      </c>
      <c r="AD7" s="4">
        <v>0.9</v>
      </c>
      <c r="AE7" s="4">
        <v>0.5</v>
      </c>
      <c r="AF7" s="4">
        <v>0.6</v>
      </c>
      <c r="AG7" s="4">
        <v>0.86</v>
      </c>
      <c r="AH7" s="4">
        <v>398.96127300000001</v>
      </c>
      <c r="AI7" s="4">
        <v>1.9E-2</v>
      </c>
      <c r="AJ7" s="5"/>
      <c r="AK7" s="5"/>
      <c r="AL7" s="5"/>
      <c r="AM7" s="5"/>
      <c r="AO7" s="4" t="s">
        <v>17</v>
      </c>
      <c r="AP7" s="4">
        <v>0.9</v>
      </c>
      <c r="AQ7" s="4">
        <v>0.5</v>
      </c>
      <c r="AR7" s="4">
        <v>0.6</v>
      </c>
      <c r="AS7" s="4">
        <v>0.3</v>
      </c>
      <c r="AT7" s="6">
        <v>699.62377900000001</v>
      </c>
      <c r="AU7" s="4">
        <v>4.0000000000000001E-3</v>
      </c>
      <c r="AW7" s="4" t="s">
        <v>17</v>
      </c>
      <c r="AX7" s="4">
        <v>0.9</v>
      </c>
      <c r="AY7" s="4">
        <v>0.5</v>
      </c>
      <c r="AZ7" s="4">
        <v>0.6</v>
      </c>
      <c r="BA7" s="4">
        <v>0.35</v>
      </c>
      <c r="BB7" s="4">
        <v>726.82226600000001</v>
      </c>
      <c r="BC7" s="4">
        <v>3.1E-2</v>
      </c>
      <c r="BD7" s="5"/>
      <c r="BE7" s="5"/>
      <c r="BF7" s="5"/>
      <c r="BG7" s="5"/>
      <c r="BI7" s="4" t="s">
        <v>17</v>
      </c>
      <c r="BJ7" s="4">
        <v>0.9</v>
      </c>
      <c r="BK7" s="4">
        <v>0.5</v>
      </c>
      <c r="BL7" s="4">
        <v>0.6</v>
      </c>
      <c r="BM7" s="4">
        <v>0.3</v>
      </c>
      <c r="BN7" s="4">
        <v>664.324341</v>
      </c>
      <c r="BO7" s="4">
        <v>3.0000000000000001E-3</v>
      </c>
      <c r="BQ7" s="4" t="s">
        <v>17</v>
      </c>
      <c r="BR7" s="4">
        <v>0.9</v>
      </c>
      <c r="BS7" s="4">
        <v>0.5</v>
      </c>
      <c r="BT7" s="4">
        <v>0.6</v>
      </c>
      <c r="BU7" s="4">
        <v>0.25</v>
      </c>
      <c r="BV7" s="6">
        <v>662.15063499999997</v>
      </c>
      <c r="BW7" s="4">
        <v>1.7000000000000001E-2</v>
      </c>
      <c r="BX7" s="5"/>
      <c r="BY7" s="5"/>
      <c r="BZ7" s="5"/>
      <c r="CA7" s="5"/>
    </row>
    <row r="8" spans="1:79" x14ac:dyDescent="0.3">
      <c r="A8" s="4" t="s">
        <v>18</v>
      </c>
      <c r="B8" s="4">
        <v>0.9</v>
      </c>
      <c r="C8" s="4">
        <v>0.5</v>
      </c>
      <c r="D8" s="4">
        <v>0.6</v>
      </c>
      <c r="E8" s="4">
        <v>0.3</v>
      </c>
      <c r="F8" s="6">
        <v>341.47854599999999</v>
      </c>
      <c r="G8" s="4">
        <v>2E-3</v>
      </c>
      <c r="I8" s="4" t="s">
        <v>18</v>
      </c>
      <c r="J8" s="4">
        <v>0.9</v>
      </c>
      <c r="K8" s="4">
        <v>0.5</v>
      </c>
      <c r="L8" s="4">
        <v>0.6</v>
      </c>
      <c r="M8" s="4">
        <v>0.9</v>
      </c>
      <c r="N8" s="4">
        <v>359.961792</v>
      </c>
      <c r="O8" s="4">
        <v>3.3000000000000002E-2</v>
      </c>
      <c r="P8" s="5"/>
      <c r="Q8" s="5"/>
      <c r="R8" s="5"/>
      <c r="S8" s="5"/>
      <c r="U8" s="4" t="s">
        <v>18</v>
      </c>
      <c r="V8" s="4">
        <v>0.9</v>
      </c>
      <c r="W8" s="4">
        <v>0.5</v>
      </c>
      <c r="X8" s="4">
        <v>0.6</v>
      </c>
      <c r="Y8" s="4">
        <v>0.3</v>
      </c>
      <c r="Z8" s="6">
        <v>318.64178500000003</v>
      </c>
      <c r="AA8" s="4">
        <v>1E-3</v>
      </c>
      <c r="AC8" s="4" t="s">
        <v>18</v>
      </c>
      <c r="AD8" s="4">
        <v>0.9</v>
      </c>
      <c r="AE8" s="4">
        <v>0.5</v>
      </c>
      <c r="AF8" s="4">
        <v>0.6</v>
      </c>
      <c r="AG8" s="4">
        <v>0.31</v>
      </c>
      <c r="AH8" s="4">
        <v>322.78381300000001</v>
      </c>
      <c r="AI8" s="4">
        <v>1.0999999999999999E-2</v>
      </c>
      <c r="AJ8" s="5"/>
      <c r="AK8" s="5"/>
      <c r="AL8" s="5"/>
      <c r="AM8" s="5"/>
      <c r="AO8" s="4" t="s">
        <v>19</v>
      </c>
      <c r="AP8" s="4">
        <v>0.9</v>
      </c>
      <c r="AQ8" s="4">
        <v>0.5</v>
      </c>
      <c r="AR8" s="4">
        <v>0.6</v>
      </c>
      <c r="AS8" s="4">
        <v>0.3</v>
      </c>
      <c r="AT8" s="6">
        <v>725.96997099999999</v>
      </c>
      <c r="AU8" s="4">
        <v>3.0000000000000001E-3</v>
      </c>
      <c r="AW8" s="4" t="s">
        <v>19</v>
      </c>
      <c r="AX8" s="4">
        <v>0.9</v>
      </c>
      <c r="AY8" s="4">
        <v>0.5</v>
      </c>
      <c r="AZ8" s="4">
        <v>0.6</v>
      </c>
      <c r="BA8" s="4">
        <v>0.94</v>
      </c>
      <c r="BB8" s="4">
        <v>891.04199200000005</v>
      </c>
      <c r="BC8" s="4">
        <v>2.5000000000000001E-2</v>
      </c>
      <c r="BD8" s="5"/>
      <c r="BE8" s="5"/>
      <c r="BF8" s="5"/>
      <c r="BG8" s="5"/>
      <c r="BI8" s="4" t="s">
        <v>19</v>
      </c>
      <c r="BJ8" s="4">
        <v>0.9</v>
      </c>
      <c r="BK8" s="4">
        <v>0.5</v>
      </c>
      <c r="BL8" s="4">
        <v>0.6</v>
      </c>
      <c r="BM8" s="4">
        <v>0.3</v>
      </c>
      <c r="BN8" s="4">
        <v>693.78283699999997</v>
      </c>
      <c r="BO8" s="4">
        <v>3.0000000000000001E-3</v>
      </c>
      <c r="BQ8" s="4" t="s">
        <v>19</v>
      </c>
      <c r="BR8" s="4">
        <v>0.9</v>
      </c>
      <c r="BS8" s="4">
        <v>0.5</v>
      </c>
      <c r="BT8" s="4">
        <v>0.6</v>
      </c>
      <c r="BU8" s="4">
        <v>0.05</v>
      </c>
      <c r="BV8" s="6">
        <v>631.02655000000004</v>
      </c>
      <c r="BW8" s="4">
        <v>1.9E-2</v>
      </c>
      <c r="BX8" s="5"/>
      <c r="BY8" s="5"/>
      <c r="BZ8" s="5"/>
      <c r="CA8" s="5"/>
    </row>
    <row r="9" spans="1:79" x14ac:dyDescent="0.3">
      <c r="A9" s="4" t="s">
        <v>20</v>
      </c>
      <c r="B9" s="4">
        <v>0.9</v>
      </c>
      <c r="C9" s="4">
        <v>0.5</v>
      </c>
      <c r="D9" s="4">
        <v>0.6</v>
      </c>
      <c r="E9" s="4">
        <v>0.3</v>
      </c>
      <c r="F9" s="6">
        <v>400.13763399999999</v>
      </c>
      <c r="G9" s="4">
        <v>1E-3</v>
      </c>
      <c r="I9" s="4" t="s">
        <v>20</v>
      </c>
      <c r="J9" s="4">
        <v>0.9</v>
      </c>
      <c r="K9" s="4">
        <v>0.5</v>
      </c>
      <c r="L9" s="4">
        <v>0.6</v>
      </c>
      <c r="M9" s="4">
        <v>0.51</v>
      </c>
      <c r="N9" s="4">
        <v>411.12417599999998</v>
      </c>
      <c r="O9" s="4">
        <v>1.9E-2</v>
      </c>
      <c r="P9" s="5"/>
      <c r="Q9" s="5"/>
      <c r="R9" s="5"/>
      <c r="S9" s="5"/>
      <c r="U9" s="4" t="s">
        <v>20</v>
      </c>
      <c r="V9" s="4">
        <v>0.9</v>
      </c>
      <c r="W9" s="4">
        <v>0.5</v>
      </c>
      <c r="X9" s="4">
        <v>0.6</v>
      </c>
      <c r="Y9" s="4">
        <v>0.3</v>
      </c>
      <c r="Z9" s="6">
        <v>384.309845</v>
      </c>
      <c r="AA9" s="4">
        <v>1E-3</v>
      </c>
      <c r="AC9" s="4" t="s">
        <v>20</v>
      </c>
      <c r="AD9" s="4">
        <v>0.9</v>
      </c>
      <c r="AE9" s="4">
        <v>0.5</v>
      </c>
      <c r="AF9" s="4">
        <v>0.6</v>
      </c>
      <c r="AG9" s="4">
        <v>0.33</v>
      </c>
      <c r="AH9" s="4">
        <v>385.83401500000002</v>
      </c>
      <c r="AI9" s="4">
        <v>1.2E-2</v>
      </c>
      <c r="AJ9" s="5"/>
      <c r="AK9" s="5"/>
      <c r="AL9" s="5"/>
      <c r="AM9" s="5"/>
      <c r="AO9" s="4" t="s">
        <v>21</v>
      </c>
      <c r="AP9" s="4">
        <v>0.9</v>
      </c>
      <c r="AQ9" s="4">
        <v>0.5</v>
      </c>
      <c r="AR9" s="4">
        <v>0.6</v>
      </c>
      <c r="AS9" s="4">
        <v>0.3</v>
      </c>
      <c r="AT9" s="6">
        <v>707.42553699999996</v>
      </c>
      <c r="AU9" s="4">
        <v>3.0000000000000001E-3</v>
      </c>
      <c r="AW9" s="4" t="s">
        <v>21</v>
      </c>
      <c r="AX9" s="4">
        <v>0.9</v>
      </c>
      <c r="AY9" s="4">
        <v>0.5</v>
      </c>
      <c r="AZ9" s="4">
        <v>0.6</v>
      </c>
      <c r="BA9" s="4">
        <v>0.83</v>
      </c>
      <c r="BB9" s="4">
        <v>921.168274</v>
      </c>
      <c r="BC9" s="4">
        <v>0.03</v>
      </c>
      <c r="BD9" s="5"/>
      <c r="BE9" s="5"/>
      <c r="BF9" s="5"/>
      <c r="BG9" s="5"/>
      <c r="BI9" s="4" t="s">
        <v>21</v>
      </c>
      <c r="BJ9" s="4">
        <v>0.9</v>
      </c>
      <c r="BK9" s="4">
        <v>0.5</v>
      </c>
      <c r="BL9" s="4">
        <v>0.6</v>
      </c>
      <c r="BM9" s="4">
        <v>0.3</v>
      </c>
      <c r="BN9" s="6">
        <v>671.61804199999995</v>
      </c>
      <c r="BO9" s="4">
        <v>4.0000000000000001E-3</v>
      </c>
      <c r="BQ9" s="4" t="s">
        <v>21</v>
      </c>
      <c r="BR9" s="4">
        <v>0.9</v>
      </c>
      <c r="BS9" s="4">
        <v>0.5</v>
      </c>
      <c r="BT9" s="4">
        <v>0.6</v>
      </c>
      <c r="BU9" s="4">
        <v>0.7</v>
      </c>
      <c r="BV9" s="4">
        <v>851.12951699999996</v>
      </c>
      <c r="BW9" s="4">
        <v>4.2000000000000003E-2</v>
      </c>
      <c r="BX9" s="5"/>
      <c r="BY9" s="5"/>
      <c r="BZ9" s="5"/>
      <c r="CA9" s="5"/>
    </row>
    <row r="10" spans="1:79" x14ac:dyDescent="0.3">
      <c r="A10" s="4" t="s">
        <v>22</v>
      </c>
      <c r="B10" s="4">
        <v>0.9</v>
      </c>
      <c r="C10" s="4">
        <v>0.5</v>
      </c>
      <c r="D10" s="4">
        <v>0.6</v>
      </c>
      <c r="E10" s="4">
        <v>0.3</v>
      </c>
      <c r="F10" s="6">
        <v>380.04760700000003</v>
      </c>
      <c r="G10" s="4">
        <v>1E-3</v>
      </c>
      <c r="I10" s="4" t="s">
        <v>22</v>
      </c>
      <c r="J10" s="4">
        <v>0.9</v>
      </c>
      <c r="K10" s="4">
        <v>0.5</v>
      </c>
      <c r="L10" s="4">
        <v>0.6</v>
      </c>
      <c r="M10" s="4">
        <v>0.32</v>
      </c>
      <c r="N10" s="4">
        <v>391.49529999999999</v>
      </c>
      <c r="O10" s="4">
        <v>2.5999999999999999E-2</v>
      </c>
      <c r="P10" s="5"/>
      <c r="Q10" s="5"/>
      <c r="R10" s="5"/>
      <c r="S10" s="5"/>
      <c r="U10" s="4" t="s">
        <v>22</v>
      </c>
      <c r="V10" s="4">
        <v>0.9</v>
      </c>
      <c r="W10" s="4">
        <v>0.5</v>
      </c>
      <c r="X10" s="4">
        <v>0.6</v>
      </c>
      <c r="Y10" s="4">
        <v>0.3</v>
      </c>
      <c r="Z10" s="6">
        <v>354.80401599999999</v>
      </c>
      <c r="AA10" s="4">
        <v>0</v>
      </c>
      <c r="AC10" s="4" t="s">
        <v>22</v>
      </c>
      <c r="AD10" s="4">
        <v>0.9</v>
      </c>
      <c r="AE10" s="4">
        <v>0.5</v>
      </c>
      <c r="AF10" s="4">
        <v>0.6</v>
      </c>
      <c r="AG10" s="4">
        <v>0.37</v>
      </c>
      <c r="AH10" s="4">
        <v>367.10611</v>
      </c>
      <c r="AI10" s="4">
        <v>1.6E-2</v>
      </c>
      <c r="AJ10" s="5"/>
      <c r="AK10" s="5"/>
      <c r="AL10" s="5"/>
      <c r="AM10" s="5"/>
      <c r="AO10" s="4" t="s">
        <v>23</v>
      </c>
      <c r="AP10" s="4">
        <v>0.9</v>
      </c>
      <c r="AQ10" s="4">
        <v>0.5</v>
      </c>
      <c r="AR10" s="4">
        <v>0.6</v>
      </c>
      <c r="AS10" s="4">
        <v>0.3</v>
      </c>
      <c r="AT10" s="6">
        <v>720.77105700000004</v>
      </c>
      <c r="AU10" s="4">
        <v>4.0000000000000001E-3</v>
      </c>
      <c r="AW10" s="4" t="s">
        <v>23</v>
      </c>
      <c r="AX10" s="4">
        <v>0.9</v>
      </c>
      <c r="AY10" s="4">
        <v>0.5</v>
      </c>
      <c r="AZ10" s="4">
        <v>0.6</v>
      </c>
      <c r="BA10" s="4">
        <v>0.55000000000000004</v>
      </c>
      <c r="BB10" s="4">
        <v>823.63378899999998</v>
      </c>
      <c r="BC10" s="4">
        <v>3.2000000000000001E-2</v>
      </c>
      <c r="BD10" s="5"/>
      <c r="BE10" s="5"/>
      <c r="BF10" s="5"/>
      <c r="BG10" s="5"/>
      <c r="BI10" s="4" t="s">
        <v>23</v>
      </c>
      <c r="BJ10" s="4">
        <v>0.9</v>
      </c>
      <c r="BK10" s="4">
        <v>0.5</v>
      </c>
      <c r="BL10" s="4">
        <v>0.6</v>
      </c>
      <c r="BM10" s="4">
        <v>0.3</v>
      </c>
      <c r="BN10" s="6">
        <v>692.03894000000003</v>
      </c>
      <c r="BO10" s="4">
        <v>3.0000000000000001E-3</v>
      </c>
      <c r="BQ10" s="4" t="s">
        <v>23</v>
      </c>
      <c r="BR10" s="4">
        <v>0.9</v>
      </c>
      <c r="BS10" s="4">
        <v>0.5</v>
      </c>
      <c r="BT10" s="4">
        <v>0.6</v>
      </c>
      <c r="BU10" s="4">
        <v>0.77</v>
      </c>
      <c r="BV10" s="4">
        <v>822.07428000000004</v>
      </c>
      <c r="BW10" s="4">
        <v>2.5999999999999999E-2</v>
      </c>
      <c r="BX10" s="5"/>
      <c r="BY10" s="5"/>
      <c r="BZ10" s="5"/>
      <c r="CA10" s="5"/>
    </row>
    <row r="11" spans="1:79" x14ac:dyDescent="0.3">
      <c r="A11" s="4" t="s">
        <v>24</v>
      </c>
      <c r="B11" s="4">
        <v>0.9</v>
      </c>
      <c r="C11" s="4">
        <v>0.5</v>
      </c>
      <c r="D11" s="4">
        <v>0.6</v>
      </c>
      <c r="E11" s="4">
        <v>0.3</v>
      </c>
      <c r="F11" s="6">
        <v>428.24426299999999</v>
      </c>
      <c r="G11" s="4">
        <v>1E-3</v>
      </c>
      <c r="I11" s="4" t="s">
        <v>24</v>
      </c>
      <c r="J11" s="4">
        <v>0.9</v>
      </c>
      <c r="K11" s="4">
        <v>0.5</v>
      </c>
      <c r="L11" s="4">
        <v>0.6</v>
      </c>
      <c r="M11" s="4">
        <v>0.88</v>
      </c>
      <c r="N11" s="4">
        <v>498.953033</v>
      </c>
      <c r="O11" s="4">
        <v>1.2E-2</v>
      </c>
      <c r="P11" s="5"/>
      <c r="Q11" s="5"/>
      <c r="R11" s="5"/>
      <c r="S11" s="5"/>
      <c r="U11" s="4" t="s">
        <v>24</v>
      </c>
      <c r="V11" s="4">
        <v>0.9</v>
      </c>
      <c r="W11" s="4">
        <v>0.5</v>
      </c>
      <c r="X11" s="4">
        <v>0.6</v>
      </c>
      <c r="Y11" s="4">
        <v>0.3</v>
      </c>
      <c r="Z11" s="6">
        <v>413.58767699999999</v>
      </c>
      <c r="AA11" s="4">
        <v>1E-3</v>
      </c>
      <c r="AC11" s="4" t="s">
        <v>24</v>
      </c>
      <c r="AD11" s="4">
        <v>0.9</v>
      </c>
      <c r="AE11" s="4">
        <v>0.5</v>
      </c>
      <c r="AF11" s="4">
        <v>0.6</v>
      </c>
      <c r="AG11" s="4">
        <v>0.99</v>
      </c>
      <c r="AH11" s="4">
        <v>433.86465500000003</v>
      </c>
      <c r="AI11" s="4">
        <v>0.03</v>
      </c>
      <c r="AJ11" s="5"/>
      <c r="AK11" s="5"/>
      <c r="AL11" s="5"/>
      <c r="AM11" s="5"/>
      <c r="AO11" s="4" t="s">
        <v>25</v>
      </c>
      <c r="AP11" s="4">
        <v>0.9</v>
      </c>
      <c r="AQ11" s="4">
        <v>0.5</v>
      </c>
      <c r="AR11" s="4">
        <v>0.6</v>
      </c>
      <c r="AS11" s="4">
        <v>0.3</v>
      </c>
      <c r="AT11" s="6">
        <v>733.290344</v>
      </c>
      <c r="AU11" s="4">
        <v>3.0000000000000001E-3</v>
      </c>
      <c r="AW11" s="4" t="s">
        <v>25</v>
      </c>
      <c r="AX11" s="4">
        <v>0.9</v>
      </c>
      <c r="AY11" s="4">
        <v>0.5</v>
      </c>
      <c r="AZ11" s="4">
        <v>0.6</v>
      </c>
      <c r="BA11" s="4">
        <v>0.79</v>
      </c>
      <c r="BB11" s="4">
        <v>878.49902299999997</v>
      </c>
      <c r="BC11" s="4">
        <v>2.5999999999999999E-2</v>
      </c>
      <c r="BD11" s="5"/>
      <c r="BE11" s="5"/>
      <c r="BF11" s="5"/>
      <c r="BG11" s="5"/>
      <c r="BI11" s="4" t="s">
        <v>25</v>
      </c>
      <c r="BJ11" s="4">
        <v>0.9</v>
      </c>
      <c r="BK11" s="4">
        <v>0.5</v>
      </c>
      <c r="BL11" s="4">
        <v>0.6</v>
      </c>
      <c r="BM11" s="4">
        <v>0.3</v>
      </c>
      <c r="BN11" s="4">
        <v>711.53033400000004</v>
      </c>
      <c r="BO11" s="4">
        <v>3.0000000000000001E-3</v>
      </c>
      <c r="BQ11" s="4" t="s">
        <v>25</v>
      </c>
      <c r="BR11" s="4">
        <v>0.9</v>
      </c>
      <c r="BS11" s="4">
        <v>0.5</v>
      </c>
      <c r="BT11" s="4">
        <v>0.6</v>
      </c>
      <c r="BU11" s="4">
        <v>0.24</v>
      </c>
      <c r="BV11" s="6">
        <v>696.77606200000002</v>
      </c>
      <c r="BW11" s="4">
        <v>2.5000000000000001E-2</v>
      </c>
      <c r="BX11" s="5"/>
      <c r="BY11" s="5"/>
      <c r="BZ11" s="5"/>
      <c r="CA11" s="5"/>
    </row>
    <row r="12" spans="1:79" x14ac:dyDescent="0.3">
      <c r="A12" s="4" t="s">
        <v>26</v>
      </c>
      <c r="B12" s="4">
        <v>0.9</v>
      </c>
      <c r="C12" s="4">
        <v>0.5</v>
      </c>
      <c r="D12" s="4">
        <v>0.6</v>
      </c>
      <c r="E12" s="4">
        <v>0.3</v>
      </c>
      <c r="F12" s="6">
        <v>411.07409699999999</v>
      </c>
      <c r="G12" s="4">
        <v>1E-3</v>
      </c>
      <c r="I12" s="4" t="s">
        <v>26</v>
      </c>
      <c r="J12" s="4">
        <v>0.9</v>
      </c>
      <c r="K12" s="4">
        <v>0.5</v>
      </c>
      <c r="L12" s="4">
        <v>0.6</v>
      </c>
      <c r="M12" s="4">
        <v>0.21</v>
      </c>
      <c r="N12" s="4">
        <v>418.77362099999999</v>
      </c>
      <c r="O12" s="4">
        <v>0.02</v>
      </c>
      <c r="P12" s="5"/>
      <c r="Q12" s="5"/>
      <c r="R12" s="5"/>
      <c r="S12" s="5"/>
      <c r="U12" s="4" t="s">
        <v>26</v>
      </c>
      <c r="V12" s="4">
        <v>0.9</v>
      </c>
      <c r="W12" s="4">
        <v>0.5</v>
      </c>
      <c r="X12" s="4">
        <v>0.6</v>
      </c>
      <c r="Y12" s="4">
        <v>0.3</v>
      </c>
      <c r="Z12" s="6">
        <v>387.96127300000001</v>
      </c>
      <c r="AA12" s="4">
        <v>1E-3</v>
      </c>
      <c r="AC12" s="4" t="s">
        <v>26</v>
      </c>
      <c r="AD12" s="4">
        <v>0.9</v>
      </c>
      <c r="AE12" s="4">
        <v>0.5</v>
      </c>
      <c r="AF12" s="4">
        <v>0.6</v>
      </c>
      <c r="AG12" s="4">
        <v>0.27</v>
      </c>
      <c r="AH12" s="4">
        <v>397.89511099999999</v>
      </c>
      <c r="AI12" s="4">
        <v>2.5999999999999999E-2</v>
      </c>
      <c r="AJ12" s="5"/>
      <c r="AK12" s="5"/>
      <c r="AL12" s="5"/>
      <c r="AM12" s="5"/>
      <c r="AO12" s="4" t="s">
        <v>27</v>
      </c>
      <c r="AP12" s="4">
        <v>0.9</v>
      </c>
      <c r="AQ12" s="4">
        <v>0.5</v>
      </c>
      <c r="AR12" s="4">
        <v>0.6</v>
      </c>
      <c r="AS12" s="4">
        <v>0.3</v>
      </c>
      <c r="AT12" s="6">
        <v>704.16943400000002</v>
      </c>
      <c r="AU12" s="4">
        <v>3.0000000000000001E-3</v>
      </c>
      <c r="AW12" s="4" t="s">
        <v>27</v>
      </c>
      <c r="AX12" s="4">
        <v>0.9</v>
      </c>
      <c r="AY12" s="4">
        <v>0.5</v>
      </c>
      <c r="AZ12" s="4">
        <v>0.6</v>
      </c>
      <c r="BA12" s="4">
        <v>0.93</v>
      </c>
      <c r="BB12" s="4">
        <v>879.67346199999997</v>
      </c>
      <c r="BC12" s="4">
        <v>2.5999999999999999E-2</v>
      </c>
      <c r="BD12" s="5"/>
      <c r="BE12" s="5"/>
      <c r="BF12" s="5"/>
      <c r="BG12" s="5"/>
      <c r="BI12" s="4" t="s">
        <v>27</v>
      </c>
      <c r="BJ12" s="4">
        <v>0.9</v>
      </c>
      <c r="BK12" s="4">
        <v>0.5</v>
      </c>
      <c r="BL12" s="4">
        <v>0.6</v>
      </c>
      <c r="BM12" s="4">
        <v>0.3</v>
      </c>
      <c r="BN12" s="6">
        <v>675.07019000000003</v>
      </c>
      <c r="BO12" s="4">
        <v>3.0000000000000001E-3</v>
      </c>
      <c r="BQ12" s="4" t="s">
        <v>27</v>
      </c>
      <c r="BR12" s="4">
        <v>0.9</v>
      </c>
      <c r="BS12" s="4">
        <v>0.5</v>
      </c>
      <c r="BT12" s="4">
        <v>0.6</v>
      </c>
      <c r="BU12" s="4">
        <v>0.42</v>
      </c>
      <c r="BV12" s="4">
        <v>726.48376499999995</v>
      </c>
      <c r="BW12" s="4">
        <v>2.5999999999999999E-2</v>
      </c>
      <c r="BX12" s="5"/>
      <c r="BY12" s="5"/>
      <c r="BZ12" s="5"/>
      <c r="CA12" s="5"/>
    </row>
    <row r="13" spans="1:79" x14ac:dyDescent="0.3">
      <c r="A13" s="4" t="s">
        <v>28</v>
      </c>
      <c r="B13" s="4">
        <v>0.9</v>
      </c>
      <c r="C13" s="4">
        <v>0.5</v>
      </c>
      <c r="D13" s="4">
        <v>0.6</v>
      </c>
      <c r="E13" s="4">
        <v>0.3</v>
      </c>
      <c r="F13" s="6">
        <v>338.95556599999998</v>
      </c>
      <c r="G13" s="4">
        <v>1E-3</v>
      </c>
      <c r="I13" s="4" t="s">
        <v>28</v>
      </c>
      <c r="J13" s="4">
        <v>0.9</v>
      </c>
      <c r="K13" s="4">
        <v>0.5</v>
      </c>
      <c r="L13" s="4">
        <v>0.6</v>
      </c>
      <c r="M13" s="4">
        <v>0.98</v>
      </c>
      <c r="N13" s="4">
        <v>376.05883799999998</v>
      </c>
      <c r="O13" s="4">
        <v>1.7000000000000001E-2</v>
      </c>
      <c r="P13" s="5"/>
      <c r="Q13" s="5"/>
      <c r="R13" s="5"/>
      <c r="S13" s="5"/>
      <c r="U13" s="4" t="s">
        <v>28</v>
      </c>
      <c r="V13" s="4">
        <v>0.9</v>
      </c>
      <c r="W13" s="4">
        <v>0.5</v>
      </c>
      <c r="X13" s="4">
        <v>0.6</v>
      </c>
      <c r="Y13" s="4">
        <v>0.3</v>
      </c>
      <c r="Z13" s="6">
        <v>311.57052599999997</v>
      </c>
      <c r="AA13" s="4">
        <v>1E-3</v>
      </c>
      <c r="AC13" s="4" t="s">
        <v>28</v>
      </c>
      <c r="AD13" s="4">
        <v>0.9</v>
      </c>
      <c r="AE13" s="4">
        <v>0.5</v>
      </c>
      <c r="AF13" s="4">
        <v>0.6</v>
      </c>
      <c r="AG13" s="4">
        <v>0.81</v>
      </c>
      <c r="AH13" s="4">
        <v>339.77645899999999</v>
      </c>
      <c r="AI13" s="4">
        <v>1.7999999999999999E-2</v>
      </c>
      <c r="AJ13" s="5"/>
      <c r="AK13" s="5"/>
      <c r="AL13" s="5"/>
      <c r="AM13" s="5"/>
      <c r="AO13" s="4" t="s">
        <v>29</v>
      </c>
      <c r="AP13" s="4">
        <v>0.9</v>
      </c>
      <c r="AQ13" s="4">
        <v>0.5</v>
      </c>
      <c r="AR13" s="4">
        <v>0.6</v>
      </c>
      <c r="AS13" s="4">
        <v>0.3</v>
      </c>
      <c r="AT13" s="6">
        <v>725.91839600000003</v>
      </c>
      <c r="AU13" s="4">
        <v>3.0000000000000001E-3</v>
      </c>
      <c r="AW13" s="4" t="s">
        <v>29</v>
      </c>
      <c r="AX13" s="4">
        <v>0.9</v>
      </c>
      <c r="AY13" s="4">
        <v>0.5</v>
      </c>
      <c r="AZ13" s="4">
        <v>0.6</v>
      </c>
      <c r="BA13" s="4">
        <v>0.72</v>
      </c>
      <c r="BB13" s="4">
        <v>886.31347700000003</v>
      </c>
      <c r="BC13" s="4">
        <v>3.2000000000000001E-2</v>
      </c>
      <c r="BD13" s="5"/>
      <c r="BE13" s="5"/>
      <c r="BF13" s="5"/>
      <c r="BG13" s="5"/>
      <c r="BI13" s="4" t="s">
        <v>29</v>
      </c>
      <c r="BJ13" s="4">
        <v>0.9</v>
      </c>
      <c r="BK13" s="4">
        <v>0.5</v>
      </c>
      <c r="BL13" s="4">
        <v>0.6</v>
      </c>
      <c r="BM13" s="4">
        <v>0.3</v>
      </c>
      <c r="BN13" s="6">
        <v>692.61828600000001</v>
      </c>
      <c r="BO13" s="4">
        <v>3.0000000000000001E-3</v>
      </c>
      <c r="BQ13" s="4" t="s">
        <v>29</v>
      </c>
      <c r="BR13" s="4">
        <v>0.9</v>
      </c>
      <c r="BS13" s="4">
        <v>0.5</v>
      </c>
      <c r="BT13" s="4">
        <v>0.6</v>
      </c>
      <c r="BU13" s="4">
        <v>0.59</v>
      </c>
      <c r="BV13" s="4">
        <v>805.082581</v>
      </c>
      <c r="BW13" s="4">
        <v>2.8000000000000001E-2</v>
      </c>
      <c r="BX13" s="5"/>
      <c r="BY13" s="5"/>
      <c r="BZ13" s="5"/>
      <c r="CA13" s="5"/>
    </row>
    <row r="14" spans="1:79" x14ac:dyDescent="0.3">
      <c r="A14" s="4" t="s">
        <v>30</v>
      </c>
      <c r="B14" s="4">
        <v>0.9</v>
      </c>
      <c r="C14" s="4">
        <v>0.5</v>
      </c>
      <c r="D14" s="4">
        <v>0.6</v>
      </c>
      <c r="E14" s="4">
        <v>0.3</v>
      </c>
      <c r="F14" s="6">
        <v>485.22625699999998</v>
      </c>
      <c r="G14" s="4">
        <v>1E-3</v>
      </c>
      <c r="I14" s="4" t="s">
        <v>30</v>
      </c>
      <c r="J14" s="4">
        <v>0.9</v>
      </c>
      <c r="K14" s="4">
        <v>0.5</v>
      </c>
      <c r="L14" s="4">
        <v>0.6</v>
      </c>
      <c r="M14" s="4">
        <v>0.53</v>
      </c>
      <c r="N14" s="4">
        <v>571.85943599999996</v>
      </c>
      <c r="O14" s="4">
        <v>1.0999999999999999E-2</v>
      </c>
      <c r="P14" s="5"/>
      <c r="Q14" s="5"/>
      <c r="R14" s="5"/>
      <c r="S14" s="5"/>
      <c r="U14" s="4" t="s">
        <v>30</v>
      </c>
      <c r="V14" s="4">
        <v>0.9</v>
      </c>
      <c r="W14" s="4">
        <v>0.5</v>
      </c>
      <c r="X14" s="4">
        <v>0.6</v>
      </c>
      <c r="Y14" s="4">
        <v>0.3</v>
      </c>
      <c r="Z14" s="6">
        <v>463.24887100000001</v>
      </c>
      <c r="AA14" s="4">
        <v>0</v>
      </c>
      <c r="AC14" s="4" t="s">
        <v>30</v>
      </c>
      <c r="AD14" s="4">
        <v>0.9</v>
      </c>
      <c r="AE14" s="4">
        <v>0.5</v>
      </c>
      <c r="AF14" s="4">
        <v>0.6</v>
      </c>
      <c r="AG14" s="4">
        <v>0.17</v>
      </c>
      <c r="AH14" s="4">
        <v>524.67742899999996</v>
      </c>
      <c r="AI14" s="4">
        <v>3.3000000000000002E-2</v>
      </c>
      <c r="AJ14" s="5"/>
      <c r="AK14" s="5"/>
      <c r="AL14" s="5"/>
      <c r="AM14" s="5"/>
      <c r="AO14" s="4" t="s">
        <v>31</v>
      </c>
      <c r="AP14" s="4">
        <v>0.9</v>
      </c>
      <c r="AQ14" s="4">
        <v>0.5</v>
      </c>
      <c r="AR14" s="4">
        <v>0.6</v>
      </c>
      <c r="AS14" s="4">
        <v>0.3</v>
      </c>
      <c r="AT14" s="4">
        <v>826.98053000000004</v>
      </c>
      <c r="AU14" s="4">
        <v>4.0000000000000001E-3</v>
      </c>
      <c r="AW14" s="4" t="s">
        <v>31</v>
      </c>
      <c r="AX14" s="4">
        <v>0.9</v>
      </c>
      <c r="AY14" s="4">
        <v>0.5</v>
      </c>
      <c r="AZ14" s="4">
        <v>0.6</v>
      </c>
      <c r="BA14" s="4">
        <v>0.01</v>
      </c>
      <c r="BB14" s="6">
        <v>713.79406700000004</v>
      </c>
      <c r="BC14" s="4">
        <v>1.7000000000000001E-2</v>
      </c>
      <c r="BD14" s="5"/>
      <c r="BE14" s="5"/>
      <c r="BF14" s="5"/>
      <c r="BG14" s="5"/>
      <c r="BI14" s="4" t="s">
        <v>31</v>
      </c>
      <c r="BJ14" s="4">
        <v>0.9</v>
      </c>
      <c r="BK14" s="4">
        <v>0.5</v>
      </c>
      <c r="BL14" s="4">
        <v>0.6</v>
      </c>
      <c r="BM14" s="4">
        <v>0.3</v>
      </c>
      <c r="BN14" s="6">
        <v>800.44757100000004</v>
      </c>
      <c r="BO14" s="4">
        <v>4.0000000000000001E-3</v>
      </c>
      <c r="BQ14" s="4" t="s">
        <v>31</v>
      </c>
      <c r="BR14" s="4">
        <v>0.9</v>
      </c>
      <c r="BS14" s="4">
        <v>0.5</v>
      </c>
      <c r="BT14" s="4">
        <v>0.6</v>
      </c>
      <c r="BU14" s="4">
        <v>0.4</v>
      </c>
      <c r="BV14" s="4">
        <v>874.93866000000003</v>
      </c>
      <c r="BW14" s="4">
        <v>2.1999999999999999E-2</v>
      </c>
      <c r="BX14" s="5"/>
      <c r="BY14" s="5"/>
      <c r="BZ14" s="5"/>
      <c r="CA14" s="5"/>
    </row>
    <row r="15" spans="1:79" x14ac:dyDescent="0.3">
      <c r="A15" s="4" t="s">
        <v>32</v>
      </c>
      <c r="B15" s="4">
        <v>0.9</v>
      </c>
      <c r="C15" s="4">
        <v>0.5</v>
      </c>
      <c r="D15" s="4">
        <v>0.6</v>
      </c>
      <c r="E15" s="4">
        <v>0.3</v>
      </c>
      <c r="F15" s="6">
        <v>448.001282</v>
      </c>
      <c r="G15" s="4">
        <v>1E-3</v>
      </c>
      <c r="I15" s="4" t="s">
        <v>32</v>
      </c>
      <c r="J15" s="4">
        <v>0.9</v>
      </c>
      <c r="K15" s="4">
        <v>0.5</v>
      </c>
      <c r="L15" s="4">
        <v>0.6</v>
      </c>
      <c r="M15" s="4">
        <v>0.01</v>
      </c>
      <c r="N15" s="4">
        <v>471.94580100000002</v>
      </c>
      <c r="O15" s="4">
        <v>1.7000000000000001E-2</v>
      </c>
      <c r="P15" s="5"/>
      <c r="Q15" s="5"/>
      <c r="R15" s="5"/>
      <c r="S15" s="5"/>
      <c r="U15" s="4" t="s">
        <v>32</v>
      </c>
      <c r="V15" s="4">
        <v>0.9</v>
      </c>
      <c r="W15" s="4">
        <v>0.5</v>
      </c>
      <c r="X15" s="4">
        <v>0.6</v>
      </c>
      <c r="Y15" s="4">
        <v>0.3</v>
      </c>
      <c r="Z15" s="6">
        <v>425.74417099999999</v>
      </c>
      <c r="AA15" s="4">
        <v>1E-3</v>
      </c>
      <c r="AC15" s="4" t="s">
        <v>32</v>
      </c>
      <c r="AD15" s="4">
        <v>0.9</v>
      </c>
      <c r="AE15" s="4">
        <v>0.5</v>
      </c>
      <c r="AF15" s="4">
        <v>0.6</v>
      </c>
      <c r="AG15" s="4">
        <v>0.05</v>
      </c>
      <c r="AH15" s="4">
        <v>435.87612899999999</v>
      </c>
      <c r="AI15" s="4">
        <v>3.0000000000000001E-3</v>
      </c>
      <c r="AJ15" s="5"/>
      <c r="AK15" s="5"/>
      <c r="AL15" s="5"/>
      <c r="AM15" s="5"/>
      <c r="AO15" s="4" t="s">
        <v>33</v>
      </c>
      <c r="AP15" s="4">
        <v>0.9</v>
      </c>
      <c r="AQ15" s="4">
        <v>0.5</v>
      </c>
      <c r="AR15" s="4">
        <v>0.6</v>
      </c>
      <c r="AS15" s="4">
        <v>0.3</v>
      </c>
      <c r="AT15" s="4">
        <v>759.88958700000001</v>
      </c>
      <c r="AU15" s="4">
        <v>3.0000000000000001E-3</v>
      </c>
      <c r="AW15" s="4" t="s">
        <v>33</v>
      </c>
      <c r="AX15" s="4">
        <v>0.9</v>
      </c>
      <c r="AY15" s="4">
        <v>0.5</v>
      </c>
      <c r="AZ15" s="4">
        <v>0.6</v>
      </c>
      <c r="BA15" s="4">
        <v>0.17</v>
      </c>
      <c r="BB15" s="6">
        <v>719.89679000000001</v>
      </c>
      <c r="BC15" s="4">
        <v>2.4E-2</v>
      </c>
      <c r="BD15" s="5"/>
      <c r="BE15" s="5"/>
      <c r="BF15" s="5"/>
      <c r="BG15" s="5"/>
      <c r="BI15" s="4" t="s">
        <v>33</v>
      </c>
      <c r="BJ15" s="4">
        <v>0.9</v>
      </c>
      <c r="BK15" s="4">
        <v>0.5</v>
      </c>
      <c r="BL15" s="4">
        <v>0.6</v>
      </c>
      <c r="BM15" s="4">
        <v>0.3</v>
      </c>
      <c r="BN15" s="6">
        <v>725.22882100000004</v>
      </c>
      <c r="BO15" s="4">
        <v>4.0000000000000001E-3</v>
      </c>
      <c r="BQ15" s="4" t="s">
        <v>33</v>
      </c>
      <c r="BR15" s="4">
        <v>0.9</v>
      </c>
      <c r="BS15" s="4">
        <v>0.5</v>
      </c>
      <c r="BT15" s="4">
        <v>0.6</v>
      </c>
      <c r="BU15" s="4">
        <v>0.71</v>
      </c>
      <c r="BV15" s="4">
        <v>956.14782700000001</v>
      </c>
      <c r="BW15" s="4">
        <v>2.4E-2</v>
      </c>
      <c r="BX15" s="5"/>
      <c r="BY15" s="5"/>
      <c r="BZ15" s="5"/>
      <c r="CA15" s="5"/>
    </row>
    <row r="16" spans="1:79" x14ac:dyDescent="0.3">
      <c r="A16" s="4" t="s">
        <v>34</v>
      </c>
      <c r="B16" s="4">
        <v>0.9</v>
      </c>
      <c r="C16" s="4">
        <v>0.5</v>
      </c>
      <c r="D16" s="4">
        <v>0.6</v>
      </c>
      <c r="E16" s="4">
        <v>0.3</v>
      </c>
      <c r="F16" s="6">
        <v>402.28042599999998</v>
      </c>
      <c r="G16" s="4">
        <v>1E-3</v>
      </c>
      <c r="I16" s="4" t="s">
        <v>34</v>
      </c>
      <c r="J16" s="4">
        <v>0.9</v>
      </c>
      <c r="K16" s="4">
        <v>0.5</v>
      </c>
      <c r="L16" s="4">
        <v>0.6</v>
      </c>
      <c r="M16" s="4">
        <v>0.78</v>
      </c>
      <c r="N16" s="4">
        <v>463.67385899999999</v>
      </c>
      <c r="O16" s="4">
        <v>1.2E-2</v>
      </c>
      <c r="P16" s="5"/>
      <c r="Q16" s="5"/>
      <c r="R16" s="5"/>
      <c r="S16" s="5"/>
      <c r="U16" s="4" t="s">
        <v>34</v>
      </c>
      <c r="V16" s="4">
        <v>0.9</v>
      </c>
      <c r="W16" s="4">
        <v>0.5</v>
      </c>
      <c r="X16" s="4">
        <v>0.6</v>
      </c>
      <c r="Y16" s="4">
        <v>0.3</v>
      </c>
      <c r="Z16" s="6">
        <v>393.565247</v>
      </c>
      <c r="AA16" s="4">
        <v>0</v>
      </c>
      <c r="AC16" s="4" t="s">
        <v>34</v>
      </c>
      <c r="AD16" s="4">
        <v>0.9</v>
      </c>
      <c r="AE16" s="4">
        <v>0.5</v>
      </c>
      <c r="AF16" s="4">
        <v>0.6</v>
      </c>
      <c r="AG16" s="4">
        <v>0.93</v>
      </c>
      <c r="AH16" s="4">
        <v>460.62802099999999</v>
      </c>
      <c r="AI16" s="4">
        <v>1.4999999999999999E-2</v>
      </c>
      <c r="AJ16" s="5"/>
      <c r="AK16" s="5"/>
      <c r="AL16" s="5"/>
      <c r="AM16" s="5"/>
      <c r="AO16" s="4" t="s">
        <v>35</v>
      </c>
      <c r="AP16" s="4">
        <v>0.9</v>
      </c>
      <c r="AQ16" s="4">
        <v>0.5</v>
      </c>
      <c r="AR16" s="4">
        <v>0.6</v>
      </c>
      <c r="AS16" s="4">
        <v>0.3</v>
      </c>
      <c r="AT16" s="6">
        <v>779.29614300000003</v>
      </c>
      <c r="AU16" s="4">
        <v>4.0000000000000001E-3</v>
      </c>
      <c r="AW16" s="4" t="s">
        <v>35</v>
      </c>
      <c r="AX16" s="4">
        <v>0.9</v>
      </c>
      <c r="AY16" s="4">
        <v>0.5</v>
      </c>
      <c r="AZ16" s="4">
        <v>0.6</v>
      </c>
      <c r="BA16" s="4">
        <v>0.33</v>
      </c>
      <c r="BB16" s="4">
        <v>805.95459000000005</v>
      </c>
      <c r="BC16" s="4">
        <v>2.9000000000000001E-2</v>
      </c>
      <c r="BD16" s="5"/>
      <c r="BE16" s="5"/>
      <c r="BF16" s="5"/>
      <c r="BG16" s="5"/>
      <c r="BI16" s="4" t="s">
        <v>35</v>
      </c>
      <c r="BJ16" s="4">
        <v>0.9</v>
      </c>
      <c r="BK16" s="4">
        <v>0.5</v>
      </c>
      <c r="BL16" s="4">
        <v>0.6</v>
      </c>
      <c r="BM16" s="4">
        <v>0.3</v>
      </c>
      <c r="BN16" s="6">
        <v>758.28533900000002</v>
      </c>
      <c r="BO16" s="4">
        <v>4.0000000000000001E-3</v>
      </c>
      <c r="BQ16" s="4" t="s">
        <v>35</v>
      </c>
      <c r="BR16" s="4">
        <v>0.9</v>
      </c>
      <c r="BS16" s="4">
        <v>0.5</v>
      </c>
      <c r="BT16" s="4">
        <v>0.6</v>
      </c>
      <c r="BU16" s="4">
        <v>0.49</v>
      </c>
      <c r="BV16" s="4">
        <v>889.19586200000003</v>
      </c>
      <c r="BW16" s="4">
        <v>1.4E-2</v>
      </c>
      <c r="BX16" s="5"/>
      <c r="BY16" s="5"/>
      <c r="BZ16" s="5"/>
      <c r="CA16" s="5"/>
    </row>
    <row r="17" spans="1:79" x14ac:dyDescent="0.3">
      <c r="A17" s="4" t="s">
        <v>36</v>
      </c>
      <c r="B17" s="4">
        <v>0.9</v>
      </c>
      <c r="C17" s="4">
        <v>0.5</v>
      </c>
      <c r="D17" s="4">
        <v>0.6</v>
      </c>
      <c r="E17" s="4">
        <v>0.3</v>
      </c>
      <c r="F17" s="6">
        <v>474.96545400000002</v>
      </c>
      <c r="G17" s="4">
        <v>0</v>
      </c>
      <c r="I17" s="4" t="s">
        <v>36</v>
      </c>
      <c r="J17" s="4">
        <v>0.9</v>
      </c>
      <c r="K17" s="4">
        <v>0.5</v>
      </c>
      <c r="L17" s="4">
        <v>0.6</v>
      </c>
      <c r="M17" s="4">
        <v>0.96</v>
      </c>
      <c r="N17" s="4">
        <v>581.48138400000005</v>
      </c>
      <c r="O17" s="4">
        <v>8.0000000000000002E-3</v>
      </c>
      <c r="P17" s="5"/>
      <c r="Q17" s="5"/>
      <c r="R17" s="5"/>
      <c r="S17" s="5"/>
      <c r="U17" s="4" t="s">
        <v>36</v>
      </c>
      <c r="V17" s="4">
        <v>0.9</v>
      </c>
      <c r="W17" s="4">
        <v>0.5</v>
      </c>
      <c r="X17" s="4">
        <v>0.6</v>
      </c>
      <c r="Y17" s="4">
        <v>0.3</v>
      </c>
      <c r="Z17" s="6">
        <v>447.39724699999999</v>
      </c>
      <c r="AA17" s="4">
        <v>1E-3</v>
      </c>
      <c r="AC17" s="4" t="s">
        <v>36</v>
      </c>
      <c r="AD17" s="4">
        <v>0.9</v>
      </c>
      <c r="AE17" s="4">
        <v>0.5</v>
      </c>
      <c r="AF17" s="4">
        <v>0.6</v>
      </c>
      <c r="AG17" s="4">
        <v>0.11</v>
      </c>
      <c r="AH17" s="4">
        <v>471.11056500000001</v>
      </c>
      <c r="AI17" s="4">
        <v>8.9999999999999993E-3</v>
      </c>
      <c r="AJ17" s="5"/>
      <c r="AK17" s="5"/>
      <c r="AL17" s="5"/>
      <c r="AM17" s="5"/>
      <c r="AO17" s="4" t="s">
        <v>37</v>
      </c>
      <c r="AP17" s="4">
        <v>0.9</v>
      </c>
      <c r="AQ17" s="4">
        <v>0.5</v>
      </c>
      <c r="AR17" s="4">
        <v>0.6</v>
      </c>
      <c r="AS17" s="4">
        <v>0.3</v>
      </c>
      <c r="AT17" s="4">
        <v>771.72601299999997</v>
      </c>
      <c r="AU17" s="4">
        <v>3.0000000000000001E-3</v>
      </c>
      <c r="AW17" s="4" t="s">
        <v>37</v>
      </c>
      <c r="AX17" s="4">
        <v>0.9</v>
      </c>
      <c r="AY17" s="4">
        <v>0.5</v>
      </c>
      <c r="AZ17" s="4">
        <v>0.6</v>
      </c>
      <c r="BA17" s="4">
        <v>0.17</v>
      </c>
      <c r="BB17" s="6">
        <v>742.49468999999999</v>
      </c>
      <c r="BC17" s="4">
        <v>0.02</v>
      </c>
      <c r="BD17" s="5"/>
      <c r="BE17" s="5"/>
      <c r="BF17" s="5"/>
      <c r="BG17" s="5"/>
      <c r="BI17" s="4" t="s">
        <v>37</v>
      </c>
      <c r="BJ17" s="4">
        <v>0.9</v>
      </c>
      <c r="BK17" s="4">
        <v>0.5</v>
      </c>
      <c r="BL17" s="4">
        <v>0.6</v>
      </c>
      <c r="BM17" s="4">
        <v>0.3</v>
      </c>
      <c r="BN17" s="4">
        <v>760.30242899999996</v>
      </c>
      <c r="BO17" s="4">
        <v>4.0000000000000001E-3</v>
      </c>
      <c r="BQ17" s="4" t="s">
        <v>37</v>
      </c>
      <c r="BR17" s="4">
        <v>0.9</v>
      </c>
      <c r="BS17" s="4">
        <v>0.5</v>
      </c>
      <c r="BT17" s="4">
        <v>0.6</v>
      </c>
      <c r="BU17" s="4">
        <v>0.19</v>
      </c>
      <c r="BV17" s="6">
        <v>707.02404799999999</v>
      </c>
      <c r="BW17" s="4">
        <v>3.9E-2</v>
      </c>
      <c r="BX17" s="5"/>
      <c r="BY17" s="5"/>
      <c r="BZ17" s="5"/>
      <c r="CA17" s="5"/>
    </row>
    <row r="18" spans="1:79" x14ac:dyDescent="0.3">
      <c r="A18" s="4" t="s">
        <v>38</v>
      </c>
      <c r="B18" s="4">
        <v>0.9</v>
      </c>
      <c r="C18" s="4">
        <v>0.5</v>
      </c>
      <c r="D18" s="4">
        <v>0.6</v>
      </c>
      <c r="E18" s="4">
        <v>0.3</v>
      </c>
      <c r="F18" s="6">
        <v>434.000427</v>
      </c>
      <c r="G18" s="4">
        <v>0</v>
      </c>
      <c r="I18" s="4" t="s">
        <v>38</v>
      </c>
      <c r="J18" s="4">
        <v>0.9</v>
      </c>
      <c r="K18" s="4">
        <v>0.5</v>
      </c>
      <c r="L18" s="4">
        <v>0.6</v>
      </c>
      <c r="M18" s="4">
        <v>0.08</v>
      </c>
      <c r="N18" s="4">
        <v>471.74896200000001</v>
      </c>
      <c r="O18" s="4">
        <v>2.1999999999999999E-2</v>
      </c>
      <c r="P18" s="5"/>
      <c r="Q18" s="5"/>
      <c r="R18" s="5"/>
      <c r="S18" s="5"/>
      <c r="U18" s="4" t="s">
        <v>38</v>
      </c>
      <c r="V18" s="4">
        <v>0.9</v>
      </c>
      <c r="W18" s="4">
        <v>0.5</v>
      </c>
      <c r="X18" s="4">
        <v>0.6</v>
      </c>
      <c r="Y18" s="4">
        <v>0.3</v>
      </c>
      <c r="Z18" s="6">
        <v>420.77505500000001</v>
      </c>
      <c r="AA18" s="4">
        <v>0</v>
      </c>
      <c r="AC18" s="4" t="s">
        <v>38</v>
      </c>
      <c r="AD18" s="4">
        <v>0.9</v>
      </c>
      <c r="AE18" s="4">
        <v>0.5</v>
      </c>
      <c r="AF18" s="4">
        <v>0.6</v>
      </c>
      <c r="AG18" s="4">
        <v>0.57999999999999996</v>
      </c>
      <c r="AH18" s="4">
        <v>457.28793300000001</v>
      </c>
      <c r="AI18" s="4">
        <v>8.0000000000000002E-3</v>
      </c>
      <c r="AJ18" s="5"/>
      <c r="AK18" s="5"/>
      <c r="AL18" s="5"/>
      <c r="AM18" s="5"/>
      <c r="AO18" s="4" t="s">
        <v>39</v>
      </c>
      <c r="AP18" s="4">
        <v>0.9</v>
      </c>
      <c r="AQ18" s="4">
        <v>0.5</v>
      </c>
      <c r="AR18" s="4">
        <v>0.6</v>
      </c>
      <c r="AS18" s="4">
        <v>0.3</v>
      </c>
      <c r="AT18" s="4">
        <v>770.44561799999997</v>
      </c>
      <c r="AU18" s="4">
        <v>3.0000000000000001E-3</v>
      </c>
      <c r="AW18" s="4" t="s">
        <v>39</v>
      </c>
      <c r="AX18" s="4">
        <v>0.9</v>
      </c>
      <c r="AY18" s="4">
        <v>0.5</v>
      </c>
      <c r="AZ18" s="4">
        <v>0.6</v>
      </c>
      <c r="BA18" s="4">
        <v>0.1</v>
      </c>
      <c r="BB18" s="6">
        <v>709.44702099999995</v>
      </c>
      <c r="BC18" s="4">
        <v>1.9E-2</v>
      </c>
      <c r="BD18" s="5"/>
      <c r="BE18" s="5"/>
      <c r="BF18" s="5"/>
      <c r="BG18" s="5"/>
      <c r="BI18" s="4" t="s">
        <v>39</v>
      </c>
      <c r="BJ18" s="4">
        <v>0.9</v>
      </c>
      <c r="BK18" s="4">
        <v>0.5</v>
      </c>
      <c r="BL18" s="4">
        <v>0.6</v>
      </c>
      <c r="BM18" s="4">
        <v>0.3</v>
      </c>
      <c r="BN18" s="4">
        <v>746.59356700000001</v>
      </c>
      <c r="BO18" s="4">
        <v>4.0000000000000001E-3</v>
      </c>
      <c r="BQ18" s="4" t="s">
        <v>39</v>
      </c>
      <c r="BR18" s="4">
        <v>0.9</v>
      </c>
      <c r="BS18" s="4">
        <v>0.5</v>
      </c>
      <c r="BT18" s="4">
        <v>0.6</v>
      </c>
      <c r="BU18" s="4">
        <v>0.09</v>
      </c>
      <c r="BV18" s="6">
        <v>681.59057600000006</v>
      </c>
      <c r="BW18" s="4">
        <v>2.7E-2</v>
      </c>
      <c r="BX18" s="5"/>
      <c r="BY18" s="5"/>
      <c r="BZ18" s="5"/>
      <c r="CA18" s="5"/>
    </row>
    <row r="19" spans="1:79" x14ac:dyDescent="0.3">
      <c r="A19" s="4" t="s">
        <v>40</v>
      </c>
      <c r="B19" s="4">
        <v>0.9</v>
      </c>
      <c r="C19" s="4">
        <v>0.5</v>
      </c>
      <c r="D19" s="4">
        <v>0.6</v>
      </c>
      <c r="E19" s="4">
        <v>0.3</v>
      </c>
      <c r="F19" s="6">
        <v>399.08822600000002</v>
      </c>
      <c r="G19" s="4">
        <v>1E-3</v>
      </c>
      <c r="I19" s="4" t="s">
        <v>40</v>
      </c>
      <c r="J19" s="4">
        <v>0.9</v>
      </c>
      <c r="K19" s="4">
        <v>0.5</v>
      </c>
      <c r="L19" s="4">
        <v>0.6</v>
      </c>
      <c r="M19" s="4">
        <v>0.95</v>
      </c>
      <c r="N19" s="4">
        <v>465.63330100000002</v>
      </c>
      <c r="O19" s="4">
        <v>1.4999999999999999E-2</v>
      </c>
      <c r="P19" s="5"/>
      <c r="Q19" s="5"/>
      <c r="R19" s="5"/>
      <c r="S19" s="5"/>
      <c r="U19" s="4" t="s">
        <v>40</v>
      </c>
      <c r="V19" s="4">
        <v>0.9</v>
      </c>
      <c r="W19" s="4">
        <v>0.5</v>
      </c>
      <c r="X19" s="4">
        <v>0.6</v>
      </c>
      <c r="Y19" s="4">
        <v>0.3</v>
      </c>
      <c r="Z19" s="6">
        <v>380.45025600000002</v>
      </c>
      <c r="AA19" s="4">
        <v>1E-3</v>
      </c>
      <c r="AC19" s="4" t="s">
        <v>40</v>
      </c>
      <c r="AD19" s="4">
        <v>0.9</v>
      </c>
      <c r="AE19" s="4">
        <v>0.5</v>
      </c>
      <c r="AF19" s="4">
        <v>0.6</v>
      </c>
      <c r="AG19" s="4">
        <v>0.5</v>
      </c>
      <c r="AH19" s="6">
        <v>380.45025600000002</v>
      </c>
      <c r="AI19" s="4">
        <v>1.0999999999999999E-2</v>
      </c>
      <c r="AJ19" s="5"/>
      <c r="AK19" s="5"/>
      <c r="AL19" s="5"/>
      <c r="AM19" s="5"/>
      <c r="AO19" s="4" t="s">
        <v>41</v>
      </c>
      <c r="AP19" s="4">
        <v>0.9</v>
      </c>
      <c r="AQ19" s="4">
        <v>0.5</v>
      </c>
      <c r="AR19" s="4">
        <v>0.6</v>
      </c>
      <c r="AS19" s="4">
        <v>0.3</v>
      </c>
      <c r="AT19" s="4">
        <v>860.73877000000005</v>
      </c>
      <c r="AU19" s="4">
        <v>4.0000000000000001E-3</v>
      </c>
      <c r="AW19" s="4" t="s">
        <v>41</v>
      </c>
      <c r="AX19" s="4">
        <v>0.9</v>
      </c>
      <c r="AY19" s="4">
        <v>0.5</v>
      </c>
      <c r="AZ19" s="4">
        <v>0.6</v>
      </c>
      <c r="BA19" s="4">
        <v>0.16</v>
      </c>
      <c r="BB19" s="6">
        <v>779.53704800000003</v>
      </c>
      <c r="BC19" s="4">
        <v>0.02</v>
      </c>
      <c r="BD19" s="5"/>
      <c r="BE19" s="5"/>
      <c r="BF19" s="5"/>
      <c r="BG19" s="5"/>
      <c r="BI19" s="4" t="s">
        <v>41</v>
      </c>
      <c r="BJ19" s="4">
        <v>0.9</v>
      </c>
      <c r="BK19" s="4">
        <v>0.5</v>
      </c>
      <c r="BL19" s="4">
        <v>0.6</v>
      </c>
      <c r="BM19" s="4">
        <v>0.3</v>
      </c>
      <c r="BN19" s="6">
        <v>852.54357900000002</v>
      </c>
      <c r="BO19" s="4">
        <v>4.0000000000000001E-3</v>
      </c>
      <c r="BQ19" s="4" t="s">
        <v>41</v>
      </c>
      <c r="BR19" s="4">
        <v>0.9</v>
      </c>
      <c r="BS19" s="4">
        <v>0.5</v>
      </c>
      <c r="BT19" s="4">
        <v>0.6</v>
      </c>
      <c r="BU19" s="4">
        <v>0.89</v>
      </c>
      <c r="BV19" s="4">
        <v>1050.3919679999999</v>
      </c>
      <c r="BW19" s="4">
        <v>2.4E-2</v>
      </c>
      <c r="BX19" s="5"/>
      <c r="BY19" s="5"/>
      <c r="BZ19" s="5"/>
      <c r="CA19" s="5"/>
    </row>
    <row r="20" spans="1:79" x14ac:dyDescent="0.3">
      <c r="A20" s="4" t="s">
        <v>42</v>
      </c>
      <c r="B20" s="4">
        <v>0.9</v>
      </c>
      <c r="C20" s="4">
        <v>0.5</v>
      </c>
      <c r="D20" s="4">
        <v>0.6</v>
      </c>
      <c r="E20" s="4">
        <v>0.3</v>
      </c>
      <c r="F20" s="6">
        <v>412.92742900000002</v>
      </c>
      <c r="G20" s="4">
        <v>1E-3</v>
      </c>
      <c r="I20" s="4" t="s">
        <v>42</v>
      </c>
      <c r="J20" s="4">
        <v>0.9</v>
      </c>
      <c r="K20" s="4">
        <v>0.5</v>
      </c>
      <c r="L20" s="4">
        <v>0.6</v>
      </c>
      <c r="M20" s="4">
        <v>0.92</v>
      </c>
      <c r="N20" s="4">
        <v>471.45211799999998</v>
      </c>
      <c r="O20" s="4">
        <v>8.9999999999999993E-3</v>
      </c>
      <c r="P20" s="5"/>
      <c r="Q20" s="5"/>
      <c r="R20" s="5"/>
      <c r="S20" s="5"/>
      <c r="U20" s="4" t="s">
        <v>42</v>
      </c>
      <c r="V20" s="4">
        <v>0.9</v>
      </c>
      <c r="W20" s="4">
        <v>0.5</v>
      </c>
      <c r="X20" s="4">
        <v>0.6</v>
      </c>
      <c r="Y20" s="4">
        <v>0.3</v>
      </c>
      <c r="Z20" s="6">
        <v>400.96005200000002</v>
      </c>
      <c r="AA20" s="4">
        <v>1E-3</v>
      </c>
      <c r="AC20" s="4" t="s">
        <v>42</v>
      </c>
      <c r="AD20" s="4">
        <v>0.9</v>
      </c>
      <c r="AE20" s="4">
        <v>0.5</v>
      </c>
      <c r="AF20" s="4">
        <v>0.6</v>
      </c>
      <c r="AG20" s="4">
        <v>0.33</v>
      </c>
      <c r="AH20" s="4">
        <v>408.54623400000003</v>
      </c>
      <c r="AI20" s="4">
        <v>1.0999999999999999E-2</v>
      </c>
      <c r="AJ20" s="5"/>
      <c r="AK20" s="5"/>
      <c r="AL20" s="5"/>
      <c r="AM20" s="5"/>
      <c r="AO20" s="4" t="s">
        <v>43</v>
      </c>
      <c r="AP20" s="4">
        <v>0.9</v>
      </c>
      <c r="AQ20" s="4">
        <v>0.5</v>
      </c>
      <c r="AR20" s="4">
        <v>0.6</v>
      </c>
      <c r="AS20" s="4">
        <v>0.3</v>
      </c>
      <c r="AT20" s="6">
        <v>804.58306900000002</v>
      </c>
      <c r="AU20" s="4">
        <v>3.0000000000000001E-3</v>
      </c>
      <c r="AW20" s="4" t="s">
        <v>43</v>
      </c>
      <c r="AX20" s="4">
        <v>0.9</v>
      </c>
      <c r="AY20" s="4">
        <v>0.5</v>
      </c>
      <c r="AZ20" s="4">
        <v>0.6</v>
      </c>
      <c r="BA20" s="4">
        <v>0.69</v>
      </c>
      <c r="BB20" s="4">
        <v>964.67181400000004</v>
      </c>
      <c r="BC20" s="4">
        <v>2.1000000000000001E-2</v>
      </c>
      <c r="BD20" s="5"/>
      <c r="BE20" s="5"/>
      <c r="BF20" s="5"/>
      <c r="BG20" s="5"/>
      <c r="BI20" s="4" t="s">
        <v>43</v>
      </c>
      <c r="BJ20" s="4">
        <v>0.9</v>
      </c>
      <c r="BK20" s="4">
        <v>0.5</v>
      </c>
      <c r="BL20" s="4">
        <v>0.6</v>
      </c>
      <c r="BM20" s="4">
        <v>0.3</v>
      </c>
      <c r="BN20" s="4">
        <v>754.16351299999997</v>
      </c>
      <c r="BO20" s="4">
        <v>3.0000000000000001E-3</v>
      </c>
      <c r="BQ20" s="4" t="s">
        <v>43</v>
      </c>
      <c r="BR20" s="4">
        <v>0.9</v>
      </c>
      <c r="BS20" s="4">
        <v>0.5</v>
      </c>
      <c r="BT20" s="4">
        <v>0.6</v>
      </c>
      <c r="BU20" s="4">
        <v>0.24</v>
      </c>
      <c r="BV20" s="6">
        <v>744.63104199999998</v>
      </c>
      <c r="BW20" s="4">
        <v>1.7000000000000001E-2</v>
      </c>
      <c r="BX20" s="5"/>
      <c r="BY20" s="5"/>
      <c r="BZ20" s="5"/>
      <c r="CA20" s="5"/>
    </row>
    <row r="21" spans="1:79" x14ac:dyDescent="0.3">
      <c r="A21" s="4" t="s">
        <v>44</v>
      </c>
      <c r="B21" s="4">
        <v>0.9</v>
      </c>
      <c r="C21" s="4">
        <v>0.5</v>
      </c>
      <c r="D21" s="4">
        <v>0.6</v>
      </c>
      <c r="E21" s="4">
        <v>0.3</v>
      </c>
      <c r="F21" s="6">
        <v>478.829407</v>
      </c>
      <c r="G21" s="4">
        <v>0</v>
      </c>
      <c r="I21" s="4" t="s">
        <v>44</v>
      </c>
      <c r="J21" s="4">
        <v>0.9</v>
      </c>
      <c r="K21" s="4">
        <v>0.5</v>
      </c>
      <c r="L21" s="4">
        <v>0.6</v>
      </c>
      <c r="M21" s="4">
        <v>0.01</v>
      </c>
      <c r="N21" s="4">
        <v>530.40942399999994</v>
      </c>
      <c r="O21" s="4">
        <v>4.9000000000000002E-2</v>
      </c>
      <c r="P21" s="5"/>
      <c r="Q21" s="5"/>
      <c r="R21" s="5"/>
      <c r="S21" s="5"/>
      <c r="U21" s="4" t="s">
        <v>44</v>
      </c>
      <c r="V21" s="4">
        <v>0.9</v>
      </c>
      <c r="W21" s="4">
        <v>0.5</v>
      </c>
      <c r="X21" s="4">
        <v>0.6</v>
      </c>
      <c r="Y21" s="4">
        <v>0.3</v>
      </c>
      <c r="Z21" s="6">
        <v>448.69964599999997</v>
      </c>
      <c r="AA21" s="4">
        <v>0</v>
      </c>
      <c r="AC21" s="4" t="s">
        <v>44</v>
      </c>
      <c r="AD21" s="4">
        <v>0.9</v>
      </c>
      <c r="AE21" s="4">
        <v>0.5</v>
      </c>
      <c r="AF21" s="4">
        <v>0.6</v>
      </c>
      <c r="AG21" s="4">
        <v>0.61</v>
      </c>
      <c r="AH21" s="4">
        <v>548.02740500000004</v>
      </c>
      <c r="AI21" s="4">
        <v>1.2999999999999999E-2</v>
      </c>
      <c r="AJ21" s="5"/>
      <c r="AK21" s="5"/>
      <c r="AL21" s="5"/>
      <c r="AM21" s="5"/>
      <c r="AO21" s="4" t="s">
        <v>45</v>
      </c>
      <c r="AP21" s="4">
        <v>0.9</v>
      </c>
      <c r="AQ21" s="4">
        <v>0.5</v>
      </c>
      <c r="AR21" s="4">
        <v>0.6</v>
      </c>
      <c r="AS21" s="4">
        <v>0.3</v>
      </c>
      <c r="AT21" s="6">
        <v>817.59228499999995</v>
      </c>
      <c r="AU21" s="4">
        <v>4.0000000000000001E-3</v>
      </c>
      <c r="AW21" s="4" t="s">
        <v>45</v>
      </c>
      <c r="AX21" s="4">
        <v>0.9</v>
      </c>
      <c r="AY21" s="4">
        <v>0.5</v>
      </c>
      <c r="AZ21" s="4">
        <v>0.6</v>
      </c>
      <c r="BA21" s="4">
        <v>0.87</v>
      </c>
      <c r="BB21" s="4">
        <v>1056.284302</v>
      </c>
      <c r="BC21" s="4">
        <v>4.8000000000000001E-2</v>
      </c>
      <c r="BD21" s="5"/>
      <c r="BE21" s="5"/>
      <c r="BF21" s="5"/>
      <c r="BG21" s="5"/>
      <c r="BI21" s="4" t="s">
        <v>45</v>
      </c>
      <c r="BJ21" s="4">
        <v>0.9</v>
      </c>
      <c r="BK21" s="4">
        <v>0.5</v>
      </c>
      <c r="BL21" s="4">
        <v>0.6</v>
      </c>
      <c r="BM21" s="4">
        <v>0.3</v>
      </c>
      <c r="BN21" s="4">
        <v>808.13287400000002</v>
      </c>
      <c r="BO21" s="4">
        <v>4.0000000000000001E-3</v>
      </c>
      <c r="BQ21" s="4" t="s">
        <v>45</v>
      </c>
      <c r="BR21" s="4">
        <v>0.9</v>
      </c>
      <c r="BS21" s="4">
        <v>0.5</v>
      </c>
      <c r="BT21" s="4">
        <v>0.6</v>
      </c>
      <c r="BU21" s="4">
        <v>0.17</v>
      </c>
      <c r="BV21" s="6">
        <v>747.82495100000006</v>
      </c>
      <c r="BW21" s="4">
        <v>1.4999999999999999E-2</v>
      </c>
      <c r="BX21" s="5"/>
      <c r="BY21" s="5"/>
      <c r="BZ21" s="5"/>
      <c r="CA21" s="5"/>
    </row>
    <row r="22" spans="1:79" x14ac:dyDescent="0.3">
      <c r="A22" s="4" t="s">
        <v>46</v>
      </c>
      <c r="B22" s="4">
        <v>0.9</v>
      </c>
      <c r="C22" s="4">
        <v>0.5</v>
      </c>
      <c r="D22" s="4">
        <v>0.6</v>
      </c>
      <c r="E22" s="4">
        <v>0.3</v>
      </c>
      <c r="F22" s="6">
        <v>448.97653200000002</v>
      </c>
      <c r="G22" s="4">
        <v>1E-3</v>
      </c>
      <c r="I22" s="4" t="s">
        <v>46</v>
      </c>
      <c r="J22" s="4">
        <v>0.9</v>
      </c>
      <c r="K22" s="4">
        <v>0.5</v>
      </c>
      <c r="L22" s="4">
        <v>0.6</v>
      </c>
      <c r="M22" s="4">
        <v>0.75</v>
      </c>
      <c r="N22" s="4">
        <v>530.06219499999997</v>
      </c>
      <c r="O22" s="4">
        <v>1.4E-2</v>
      </c>
      <c r="P22" s="5"/>
      <c r="Q22" s="5"/>
      <c r="R22" s="5"/>
      <c r="S22" s="5"/>
      <c r="U22" s="4" t="s">
        <v>46</v>
      </c>
      <c r="V22" s="4">
        <v>0.9</v>
      </c>
      <c r="W22" s="4">
        <v>0.5</v>
      </c>
      <c r="X22" s="4">
        <v>0.6</v>
      </c>
      <c r="Y22" s="4">
        <v>0.3</v>
      </c>
      <c r="Z22" s="6">
        <v>431.74707000000001</v>
      </c>
      <c r="AA22" s="4">
        <v>0</v>
      </c>
      <c r="AC22" s="4" t="s">
        <v>46</v>
      </c>
      <c r="AD22" s="4">
        <v>0.9</v>
      </c>
      <c r="AE22" s="4">
        <v>0.5</v>
      </c>
      <c r="AF22" s="4">
        <v>0.6</v>
      </c>
      <c r="AG22" s="4">
        <v>0.55000000000000004</v>
      </c>
      <c r="AH22" s="4">
        <v>473.81469700000002</v>
      </c>
      <c r="AI22" s="4">
        <v>8.0000000000000002E-3</v>
      </c>
      <c r="AJ22" s="5"/>
      <c r="AK22" s="5"/>
      <c r="AL22" s="5"/>
      <c r="AM22" s="5"/>
      <c r="AO22" s="4" t="s">
        <v>47</v>
      </c>
      <c r="AP22" s="4">
        <v>0.9</v>
      </c>
      <c r="AQ22" s="4">
        <v>0.5</v>
      </c>
      <c r="AR22" s="4">
        <v>0.6</v>
      </c>
      <c r="AS22" s="4">
        <v>0.3</v>
      </c>
      <c r="AT22" s="6">
        <v>760.18048099999999</v>
      </c>
      <c r="AU22" s="4">
        <v>4.0000000000000001E-3</v>
      </c>
      <c r="AW22" s="4" t="s">
        <v>47</v>
      </c>
      <c r="AX22" s="4">
        <v>0.9</v>
      </c>
      <c r="AY22" s="4">
        <v>0.5</v>
      </c>
      <c r="AZ22" s="4">
        <v>0.6</v>
      </c>
      <c r="BA22" s="4">
        <v>0.51</v>
      </c>
      <c r="BB22" s="4">
        <v>896.92150900000001</v>
      </c>
      <c r="BC22" s="4">
        <v>3.3000000000000002E-2</v>
      </c>
      <c r="BD22" s="5"/>
      <c r="BE22" s="5"/>
      <c r="BF22" s="5"/>
      <c r="BG22" s="5"/>
      <c r="BI22" s="4" t="s">
        <v>47</v>
      </c>
      <c r="BJ22" s="4">
        <v>0.9</v>
      </c>
      <c r="BK22" s="4">
        <v>0.5</v>
      </c>
      <c r="BL22" s="4">
        <v>0.6</v>
      </c>
      <c r="BM22" s="4">
        <v>0.3</v>
      </c>
      <c r="BN22" s="6">
        <v>720.23138400000005</v>
      </c>
      <c r="BO22" s="4">
        <v>4.0000000000000001E-3</v>
      </c>
      <c r="BQ22" s="4" t="s">
        <v>47</v>
      </c>
      <c r="BR22" s="4">
        <v>0.9</v>
      </c>
      <c r="BS22" s="4">
        <v>0.5</v>
      </c>
      <c r="BT22" s="4">
        <v>0.6</v>
      </c>
      <c r="BU22" s="4">
        <v>0.8</v>
      </c>
      <c r="BV22" s="4">
        <v>920.77783199999999</v>
      </c>
      <c r="BW22" s="4">
        <v>1.9E-2</v>
      </c>
      <c r="BX22" s="5"/>
      <c r="BY22" s="5"/>
      <c r="BZ22" s="5"/>
      <c r="CA22" s="5"/>
    </row>
    <row r="23" spans="1:79" x14ac:dyDescent="0.3">
      <c r="A23" s="4" t="s">
        <v>48</v>
      </c>
      <c r="B23" s="4">
        <v>0.9</v>
      </c>
      <c r="C23" s="4">
        <v>0.5</v>
      </c>
      <c r="D23" s="4">
        <v>0.6</v>
      </c>
      <c r="E23" s="4">
        <v>0.3</v>
      </c>
      <c r="F23" s="6">
        <v>425.08618200000001</v>
      </c>
      <c r="G23" s="4">
        <v>1E-3</v>
      </c>
      <c r="I23" s="4" t="s">
        <v>48</v>
      </c>
      <c r="J23" s="4">
        <v>0.9</v>
      </c>
      <c r="K23" s="4">
        <v>0.5</v>
      </c>
      <c r="L23" s="4">
        <v>0.6</v>
      </c>
      <c r="M23" s="4">
        <v>0.71</v>
      </c>
      <c r="N23" s="4">
        <v>514.61462400000005</v>
      </c>
      <c r="O23" s="4">
        <v>1.4999999999999999E-2</v>
      </c>
      <c r="P23" s="5"/>
      <c r="Q23" s="5"/>
      <c r="R23" s="5"/>
      <c r="S23" s="5"/>
      <c r="U23" s="4" t="s">
        <v>48</v>
      </c>
      <c r="V23" s="4">
        <v>0.9</v>
      </c>
      <c r="W23" s="4">
        <v>0.5</v>
      </c>
      <c r="X23" s="4">
        <v>0.6</v>
      </c>
      <c r="Y23" s="4">
        <v>0.3</v>
      </c>
      <c r="Z23" s="6">
        <v>421.140533</v>
      </c>
      <c r="AA23" s="4">
        <v>1E-3</v>
      </c>
      <c r="AC23" s="4" t="s">
        <v>48</v>
      </c>
      <c r="AD23" s="4">
        <v>0.9</v>
      </c>
      <c r="AE23" s="4">
        <v>0.5</v>
      </c>
      <c r="AF23" s="4">
        <v>0.6</v>
      </c>
      <c r="AG23" s="4">
        <v>0.59</v>
      </c>
      <c r="AH23" s="4">
        <v>454.364441</v>
      </c>
      <c r="AI23" s="4">
        <v>1.4999999999999999E-2</v>
      </c>
      <c r="AJ23" s="5"/>
      <c r="AK23" s="5"/>
      <c r="AL23" s="5"/>
      <c r="AM23" s="5"/>
      <c r="AO23" s="4" t="s">
        <v>49</v>
      </c>
      <c r="AP23" s="4">
        <v>0.9</v>
      </c>
      <c r="AQ23" s="4">
        <v>0.5</v>
      </c>
      <c r="AR23" s="4">
        <v>0.6</v>
      </c>
      <c r="AS23" s="4">
        <v>0.3</v>
      </c>
      <c r="AT23" s="6">
        <v>833.87921100000005</v>
      </c>
      <c r="AU23" s="4">
        <v>4.0000000000000001E-3</v>
      </c>
      <c r="AW23" s="4" t="s">
        <v>49</v>
      </c>
      <c r="AX23" s="4">
        <v>0.9</v>
      </c>
      <c r="AY23" s="4">
        <v>0.5</v>
      </c>
      <c r="AZ23" s="4">
        <v>0.6</v>
      </c>
      <c r="BA23" s="4">
        <v>0.94</v>
      </c>
      <c r="BB23" s="4">
        <v>1004.4151000000001</v>
      </c>
      <c r="BC23" s="4">
        <v>3.4000000000000002E-2</v>
      </c>
      <c r="BD23" s="5"/>
      <c r="BE23" s="5"/>
      <c r="BF23" s="5"/>
      <c r="BG23" s="5"/>
      <c r="BI23" s="4" t="s">
        <v>49</v>
      </c>
      <c r="BJ23" s="4">
        <v>0.9</v>
      </c>
      <c r="BK23" s="4">
        <v>0.5</v>
      </c>
      <c r="BL23" s="4">
        <v>0.6</v>
      </c>
      <c r="BM23" s="4">
        <v>0.3</v>
      </c>
      <c r="BN23" s="6">
        <v>761.25433299999997</v>
      </c>
      <c r="BO23" s="4">
        <v>4.0000000000000001E-3</v>
      </c>
      <c r="BQ23" s="4" t="s">
        <v>49</v>
      </c>
      <c r="BR23" s="4">
        <v>0.9</v>
      </c>
      <c r="BS23" s="4">
        <v>0.5</v>
      </c>
      <c r="BT23" s="4">
        <v>0.6</v>
      </c>
      <c r="BU23" s="4">
        <v>0.3</v>
      </c>
      <c r="BV23" s="4">
        <v>773.03851299999997</v>
      </c>
      <c r="BW23" s="4">
        <v>1.7999999999999999E-2</v>
      </c>
      <c r="BX23" s="5"/>
      <c r="BY23" s="5"/>
      <c r="BZ23" s="5"/>
      <c r="CA23" s="5"/>
    </row>
    <row r="24" spans="1:79" x14ac:dyDescent="0.3">
      <c r="A24" s="4" t="s">
        <v>50</v>
      </c>
      <c r="B24" s="4">
        <v>0.9</v>
      </c>
      <c r="C24" s="4">
        <v>0.5</v>
      </c>
      <c r="D24" s="4">
        <v>0.6</v>
      </c>
      <c r="E24" s="4">
        <v>0.3</v>
      </c>
      <c r="F24" s="6">
        <v>424.86154199999999</v>
      </c>
      <c r="G24" s="4">
        <v>0</v>
      </c>
      <c r="I24" s="4" t="s">
        <v>50</v>
      </c>
      <c r="J24" s="4">
        <v>0.9</v>
      </c>
      <c r="K24" s="4">
        <v>0.5</v>
      </c>
      <c r="L24" s="4">
        <v>0.6</v>
      </c>
      <c r="M24" s="4">
        <v>0.28000000000000003</v>
      </c>
      <c r="N24" s="4">
        <v>461.79037499999998</v>
      </c>
      <c r="O24" s="4">
        <v>7.0000000000000001E-3</v>
      </c>
      <c r="P24" s="5"/>
      <c r="Q24" s="5"/>
      <c r="R24" s="5"/>
      <c r="S24" s="5"/>
      <c r="U24" s="4" t="s">
        <v>50</v>
      </c>
      <c r="V24" s="4">
        <v>0.9</v>
      </c>
      <c r="W24" s="4">
        <v>0.5</v>
      </c>
      <c r="X24" s="4">
        <v>0.6</v>
      </c>
      <c r="Y24" s="4">
        <v>0.3</v>
      </c>
      <c r="Z24" s="6">
        <v>421.97341899999998</v>
      </c>
      <c r="AA24" s="4">
        <v>1E-3</v>
      </c>
      <c r="AC24" s="4" t="s">
        <v>50</v>
      </c>
      <c r="AD24" s="4">
        <v>0.9</v>
      </c>
      <c r="AE24" s="4">
        <v>0.5</v>
      </c>
      <c r="AF24" s="4">
        <v>0.6</v>
      </c>
      <c r="AG24" s="4">
        <v>0.9</v>
      </c>
      <c r="AH24" s="4">
        <v>485.73327599999999</v>
      </c>
      <c r="AI24" s="4">
        <v>8.0000000000000002E-3</v>
      </c>
      <c r="AJ24" s="5"/>
      <c r="AK24" s="5"/>
      <c r="AL24" s="5"/>
      <c r="AM24" s="5"/>
      <c r="AO24" s="4" t="s">
        <v>51</v>
      </c>
      <c r="AP24" s="4">
        <v>0.9</v>
      </c>
      <c r="AQ24" s="4">
        <v>0.5</v>
      </c>
      <c r="AR24" s="4">
        <v>0.6</v>
      </c>
      <c r="AS24" s="4">
        <v>0.3</v>
      </c>
      <c r="AT24" s="6">
        <v>988.85766599999999</v>
      </c>
      <c r="AU24" s="4">
        <v>5.0000000000000001E-3</v>
      </c>
      <c r="AW24" s="4" t="s">
        <v>51</v>
      </c>
      <c r="AX24" s="4">
        <v>0.9</v>
      </c>
      <c r="AY24" s="4">
        <v>0.5</v>
      </c>
      <c r="AZ24" s="4">
        <v>0.6</v>
      </c>
      <c r="BA24" s="4">
        <v>0.59</v>
      </c>
      <c r="BB24" s="4">
        <v>1135.721802</v>
      </c>
      <c r="BC24" s="4">
        <v>0.03</v>
      </c>
      <c r="BD24" s="5"/>
      <c r="BE24" s="5"/>
      <c r="BF24" s="5"/>
      <c r="BG24" s="5"/>
      <c r="BI24" s="4" t="s">
        <v>51</v>
      </c>
      <c r="BJ24" s="4">
        <v>0.9</v>
      </c>
      <c r="BK24" s="4">
        <v>0.5</v>
      </c>
      <c r="BL24" s="4">
        <v>0.6</v>
      </c>
      <c r="BM24" s="4">
        <v>0.3</v>
      </c>
      <c r="BN24" s="4">
        <v>974.34124799999995</v>
      </c>
      <c r="BO24" s="4">
        <v>5.0000000000000001E-3</v>
      </c>
      <c r="BQ24" s="4" t="s">
        <v>51</v>
      </c>
      <c r="BR24" s="4">
        <v>0.9</v>
      </c>
      <c r="BS24" s="4">
        <v>0.5</v>
      </c>
      <c r="BT24" s="4">
        <v>0.6</v>
      </c>
      <c r="BU24" s="4">
        <v>0.13</v>
      </c>
      <c r="BV24" s="6">
        <v>858.52239999999995</v>
      </c>
      <c r="BW24" s="4">
        <v>2.8000000000000001E-2</v>
      </c>
      <c r="BX24" s="5"/>
      <c r="BY24" s="5"/>
      <c r="BZ24" s="5"/>
      <c r="CA24" s="5"/>
    </row>
    <row r="25" spans="1:79" x14ac:dyDescent="0.3">
      <c r="A25" s="4" t="s">
        <v>52</v>
      </c>
      <c r="B25" s="4">
        <v>0.9</v>
      </c>
      <c r="C25" s="4">
        <v>0.5</v>
      </c>
      <c r="D25" s="4">
        <v>0.6</v>
      </c>
      <c r="E25" s="4">
        <v>0.3</v>
      </c>
      <c r="F25" s="6">
        <v>434.88913000000002</v>
      </c>
      <c r="G25" s="4">
        <v>1E-3</v>
      </c>
      <c r="I25" s="4" t="s">
        <v>52</v>
      </c>
      <c r="J25" s="4">
        <v>0.9</v>
      </c>
      <c r="K25" s="4">
        <v>0.5</v>
      </c>
      <c r="L25" s="4">
        <v>0.6</v>
      </c>
      <c r="M25" s="4">
        <v>0.67</v>
      </c>
      <c r="N25" s="4">
        <v>465.930725</v>
      </c>
      <c r="O25" s="4">
        <v>0.03</v>
      </c>
      <c r="P25" s="5"/>
      <c r="Q25" s="5"/>
      <c r="R25" s="5"/>
      <c r="S25" s="5"/>
      <c r="U25" s="4" t="s">
        <v>52</v>
      </c>
      <c r="V25" s="4">
        <v>0.9</v>
      </c>
      <c r="W25" s="4">
        <v>0.5</v>
      </c>
      <c r="X25" s="4">
        <v>0.6</v>
      </c>
      <c r="Y25" s="4">
        <v>0.3</v>
      </c>
      <c r="Z25" s="6">
        <v>428.03668199999998</v>
      </c>
      <c r="AA25" s="4">
        <v>0</v>
      </c>
      <c r="AC25" s="4" t="s">
        <v>52</v>
      </c>
      <c r="AD25" s="4">
        <v>0.9</v>
      </c>
      <c r="AE25" s="4">
        <v>0.5</v>
      </c>
      <c r="AF25" s="4">
        <v>0.6</v>
      </c>
      <c r="AG25" s="4">
        <v>0.82</v>
      </c>
      <c r="AH25" s="4">
        <v>527.52667199999996</v>
      </c>
      <c r="AI25" s="4">
        <v>1.2999999999999999E-2</v>
      </c>
      <c r="AJ25" s="5"/>
      <c r="AK25" s="5"/>
      <c r="AL25" s="5"/>
      <c r="AM25" s="5"/>
      <c r="AO25" s="4" t="s">
        <v>53</v>
      </c>
      <c r="AP25" s="4">
        <v>0.9</v>
      </c>
      <c r="AQ25" s="4">
        <v>0.5</v>
      </c>
      <c r="AR25" s="4">
        <v>0.6</v>
      </c>
      <c r="AS25" s="4">
        <v>0.3</v>
      </c>
      <c r="AT25" s="4">
        <v>929.430969</v>
      </c>
      <c r="AU25" s="4">
        <v>4.0000000000000001E-3</v>
      </c>
      <c r="AW25" s="4" t="s">
        <v>53</v>
      </c>
      <c r="AX25" s="4">
        <v>0.9</v>
      </c>
      <c r="AY25" s="4">
        <v>0.5</v>
      </c>
      <c r="AZ25" s="4">
        <v>0.6</v>
      </c>
      <c r="BA25" s="4">
        <v>0.1</v>
      </c>
      <c r="BB25" s="6">
        <v>862.04901099999995</v>
      </c>
      <c r="BC25" s="4">
        <v>1.7999999999999999E-2</v>
      </c>
      <c r="BD25" s="5"/>
      <c r="BE25" s="5"/>
      <c r="BF25" s="5"/>
      <c r="BG25" s="5"/>
      <c r="BI25" s="4" t="s">
        <v>53</v>
      </c>
      <c r="BJ25" s="4">
        <v>0.9</v>
      </c>
      <c r="BK25" s="4">
        <v>0.5</v>
      </c>
      <c r="BL25" s="4">
        <v>0.6</v>
      </c>
      <c r="BM25" s="4">
        <v>0.3</v>
      </c>
      <c r="BN25" s="6">
        <v>919.803223</v>
      </c>
      <c r="BO25" s="4">
        <v>4.0000000000000001E-3</v>
      </c>
      <c r="BQ25" s="4" t="s">
        <v>53</v>
      </c>
      <c r="BR25" s="4">
        <v>0.9</v>
      </c>
      <c r="BS25" s="4">
        <v>0.5</v>
      </c>
      <c r="BT25" s="4">
        <v>0.6</v>
      </c>
      <c r="BU25" s="4">
        <v>0.73</v>
      </c>
      <c r="BV25" s="4">
        <v>1093.250732</v>
      </c>
      <c r="BW25" s="4">
        <v>3.2000000000000001E-2</v>
      </c>
      <c r="BX25" s="5"/>
      <c r="BY25" s="5"/>
      <c r="BZ25" s="5"/>
      <c r="CA25" s="5"/>
    </row>
    <row r="26" spans="1:79" x14ac:dyDescent="0.3">
      <c r="A26" s="4" t="s">
        <v>54</v>
      </c>
      <c r="B26" s="4">
        <v>0.9</v>
      </c>
      <c r="C26" s="4">
        <v>0.5</v>
      </c>
      <c r="D26" s="4">
        <v>0.6</v>
      </c>
      <c r="E26" s="4">
        <v>0.3</v>
      </c>
      <c r="F26" s="6">
        <v>513.51470900000004</v>
      </c>
      <c r="G26" s="4">
        <v>0</v>
      </c>
      <c r="I26" s="4" t="s">
        <v>54</v>
      </c>
      <c r="J26" s="4">
        <v>0.9</v>
      </c>
      <c r="K26" s="4">
        <v>0.5</v>
      </c>
      <c r="L26" s="4">
        <v>0.6</v>
      </c>
      <c r="M26" s="4">
        <v>0.7</v>
      </c>
      <c r="N26" s="4">
        <v>586.57788100000005</v>
      </c>
      <c r="O26" s="4">
        <v>1.9E-2</v>
      </c>
      <c r="P26" s="5"/>
      <c r="Q26" s="5"/>
      <c r="R26" s="5"/>
      <c r="S26" s="5"/>
      <c r="U26" s="4" t="s">
        <v>54</v>
      </c>
      <c r="V26" s="4">
        <v>0.9</v>
      </c>
      <c r="W26" s="4">
        <v>0.5</v>
      </c>
      <c r="X26" s="4">
        <v>0.6</v>
      </c>
      <c r="Y26" s="4">
        <v>0.3</v>
      </c>
      <c r="Z26" s="6">
        <v>492.53753699999999</v>
      </c>
      <c r="AA26" s="4">
        <v>0</v>
      </c>
      <c r="AC26" s="4" t="s">
        <v>54</v>
      </c>
      <c r="AD26" s="4">
        <v>0.9</v>
      </c>
      <c r="AE26" s="4">
        <v>0.5</v>
      </c>
      <c r="AF26" s="4">
        <v>0.6</v>
      </c>
      <c r="AG26" s="4">
        <v>0.22</v>
      </c>
      <c r="AH26" s="4">
        <v>535.27423099999999</v>
      </c>
      <c r="AI26" s="4">
        <v>8.9999999999999993E-3</v>
      </c>
      <c r="AJ26" s="5"/>
      <c r="AK26" s="5"/>
      <c r="AL26" s="5"/>
      <c r="AM26" s="5"/>
      <c r="AO26" s="4" t="s">
        <v>55</v>
      </c>
      <c r="AP26" s="4">
        <v>0.9</v>
      </c>
      <c r="AQ26" s="4">
        <v>0.5</v>
      </c>
      <c r="AR26" s="4">
        <v>0.6</v>
      </c>
      <c r="AS26" s="4">
        <v>0.3</v>
      </c>
      <c r="AT26" s="6">
        <v>939.490906</v>
      </c>
      <c r="AU26" s="4">
        <v>5.0000000000000001E-3</v>
      </c>
      <c r="AW26" s="4" t="s">
        <v>55</v>
      </c>
      <c r="AX26" s="4">
        <v>0.9</v>
      </c>
      <c r="AY26" s="4">
        <v>0.5</v>
      </c>
      <c r="AZ26" s="4">
        <v>0.6</v>
      </c>
      <c r="BA26" s="4">
        <v>0.51</v>
      </c>
      <c r="BB26" s="4">
        <v>1021.463928</v>
      </c>
      <c r="BC26" s="4">
        <v>4.1000000000000002E-2</v>
      </c>
      <c r="BD26" s="5"/>
      <c r="BE26" s="5"/>
      <c r="BF26" s="5"/>
      <c r="BG26" s="5"/>
      <c r="BI26" s="4" t="s">
        <v>55</v>
      </c>
      <c r="BJ26" s="4">
        <v>0.9</v>
      </c>
      <c r="BK26" s="4">
        <v>0.5</v>
      </c>
      <c r="BL26" s="4">
        <v>0.6</v>
      </c>
      <c r="BM26" s="4">
        <v>0.3</v>
      </c>
      <c r="BN26" s="4">
        <v>913.51196300000004</v>
      </c>
      <c r="BO26" s="4">
        <v>4.0000000000000001E-3</v>
      </c>
      <c r="BQ26" s="4" t="s">
        <v>55</v>
      </c>
      <c r="BR26" s="4">
        <v>0.9</v>
      </c>
      <c r="BS26" s="4">
        <v>0.5</v>
      </c>
      <c r="BT26" s="4">
        <v>0.6</v>
      </c>
      <c r="BU26" s="4">
        <v>0.17</v>
      </c>
      <c r="BV26" s="6">
        <v>843.37316899999996</v>
      </c>
      <c r="BW26" s="4">
        <v>1.7999999999999999E-2</v>
      </c>
      <c r="BX26" s="5"/>
      <c r="BY26" s="5"/>
      <c r="BZ26" s="5"/>
      <c r="CA26" s="5"/>
    </row>
    <row r="27" spans="1:79" x14ac:dyDescent="0.3">
      <c r="A27" s="4" t="s">
        <v>56</v>
      </c>
      <c r="B27" s="4">
        <v>0.9</v>
      </c>
      <c r="C27" s="4">
        <v>0.5</v>
      </c>
      <c r="D27" s="4">
        <v>0.6</v>
      </c>
      <c r="E27" s="4">
        <v>0.3</v>
      </c>
      <c r="F27" s="6">
        <v>426.96203600000001</v>
      </c>
      <c r="G27" s="4">
        <v>0</v>
      </c>
      <c r="I27" s="4" t="s">
        <v>56</v>
      </c>
      <c r="J27" s="4">
        <v>0.9</v>
      </c>
      <c r="K27" s="4">
        <v>0.5</v>
      </c>
      <c r="L27" s="4">
        <v>0.6</v>
      </c>
      <c r="M27" s="4">
        <v>0.14000000000000001</v>
      </c>
      <c r="N27" s="4">
        <v>451.63757299999997</v>
      </c>
      <c r="O27" s="4">
        <v>1.7000000000000001E-2</v>
      </c>
      <c r="P27" s="5"/>
      <c r="Q27" s="5"/>
      <c r="R27" s="5"/>
      <c r="S27" s="5"/>
      <c r="U27" s="4" t="s">
        <v>56</v>
      </c>
      <c r="V27" s="4">
        <v>0.9</v>
      </c>
      <c r="W27" s="4">
        <v>0.5</v>
      </c>
      <c r="X27" s="4">
        <v>0.6</v>
      </c>
      <c r="Y27" s="4">
        <v>0.3</v>
      </c>
      <c r="Z27" s="6">
        <v>423.43264799999997</v>
      </c>
      <c r="AA27" s="4">
        <v>1E-3</v>
      </c>
      <c r="AC27" s="4" t="s">
        <v>56</v>
      </c>
      <c r="AD27" s="4">
        <v>0.9</v>
      </c>
      <c r="AE27" s="4">
        <v>0.5</v>
      </c>
      <c r="AF27" s="4">
        <v>0.6</v>
      </c>
      <c r="AG27" s="4">
        <v>0.64</v>
      </c>
      <c r="AH27" s="4">
        <v>455.023346</v>
      </c>
      <c r="AI27" s="4">
        <v>8.0000000000000002E-3</v>
      </c>
      <c r="AJ27" s="5"/>
      <c r="AK27" s="5"/>
      <c r="AL27" s="5"/>
      <c r="AM27" s="5"/>
      <c r="AO27" s="4" t="s">
        <v>57</v>
      </c>
      <c r="AP27" s="4">
        <v>0.9</v>
      </c>
      <c r="AQ27" s="4">
        <v>0.5</v>
      </c>
      <c r="AR27" s="4">
        <v>0.6</v>
      </c>
      <c r="AS27" s="4">
        <v>0.3</v>
      </c>
      <c r="AT27" s="6">
        <v>918.15527299999997</v>
      </c>
      <c r="AU27" s="4">
        <v>4.0000000000000001E-3</v>
      </c>
      <c r="AW27" s="4" t="s">
        <v>57</v>
      </c>
      <c r="AX27" s="4">
        <v>0.9</v>
      </c>
      <c r="AY27" s="4">
        <v>0.5</v>
      </c>
      <c r="AZ27" s="4">
        <v>0.6</v>
      </c>
      <c r="BA27" s="4">
        <v>0.75</v>
      </c>
      <c r="BB27" s="4">
        <v>1111.0966800000001</v>
      </c>
      <c r="BC27" s="4">
        <v>2.3E-2</v>
      </c>
      <c r="BD27" s="5"/>
      <c r="BE27" s="5"/>
      <c r="BF27" s="5"/>
      <c r="BG27" s="5"/>
      <c r="BI27" s="4" t="s">
        <v>57</v>
      </c>
      <c r="BJ27" s="4">
        <v>0.9</v>
      </c>
      <c r="BK27" s="4">
        <v>0.5</v>
      </c>
      <c r="BL27" s="4">
        <v>0.6</v>
      </c>
      <c r="BM27" s="4">
        <v>0.3</v>
      </c>
      <c r="BN27" s="6">
        <v>895.49426300000005</v>
      </c>
      <c r="BO27" s="4">
        <v>4.0000000000000001E-3</v>
      </c>
      <c r="BQ27" s="4" t="s">
        <v>57</v>
      </c>
      <c r="BR27" s="4">
        <v>0.9</v>
      </c>
      <c r="BS27" s="4">
        <v>0.5</v>
      </c>
      <c r="BT27" s="4">
        <v>0.6</v>
      </c>
      <c r="BU27" s="4">
        <v>0.94</v>
      </c>
      <c r="BV27" s="4">
        <v>1138.8374020000001</v>
      </c>
      <c r="BW27" s="4">
        <v>1.7000000000000001E-2</v>
      </c>
      <c r="BX27" s="5"/>
      <c r="BY27" s="5"/>
      <c r="BZ27" s="5"/>
      <c r="CA27" s="5"/>
    </row>
    <row r="28" spans="1:79" x14ac:dyDescent="0.3">
      <c r="A28" s="4" t="s">
        <v>58</v>
      </c>
      <c r="B28" s="4">
        <v>0.9</v>
      </c>
      <c r="C28" s="4">
        <v>0.5</v>
      </c>
      <c r="D28" s="4">
        <v>0.6</v>
      </c>
      <c r="E28" s="4">
        <v>0.3</v>
      </c>
      <c r="F28" s="6">
        <v>440.15103099999999</v>
      </c>
      <c r="G28" s="4">
        <v>1E-3</v>
      </c>
      <c r="I28" s="4" t="s">
        <v>58</v>
      </c>
      <c r="J28" s="4">
        <v>0.9</v>
      </c>
      <c r="K28" s="4">
        <v>0.5</v>
      </c>
      <c r="L28" s="4">
        <v>0.6</v>
      </c>
      <c r="M28" s="4">
        <v>0.02</v>
      </c>
      <c r="N28" s="4">
        <v>487.14477499999998</v>
      </c>
      <c r="O28" s="4">
        <v>2.1999999999999999E-2</v>
      </c>
      <c r="P28" s="5"/>
      <c r="Q28" s="5"/>
      <c r="R28" s="5"/>
      <c r="S28" s="5"/>
      <c r="U28" s="4" t="s">
        <v>58</v>
      </c>
      <c r="V28" s="4">
        <v>0.9</v>
      </c>
      <c r="W28" s="4">
        <v>0.5</v>
      </c>
      <c r="X28" s="4">
        <v>0.6</v>
      </c>
      <c r="Y28" s="4">
        <v>0.3</v>
      </c>
      <c r="Z28" s="6">
        <v>428.45141599999999</v>
      </c>
      <c r="AA28" s="4">
        <v>1E-3</v>
      </c>
      <c r="AC28" s="4" t="s">
        <v>58</v>
      </c>
      <c r="AD28" s="4">
        <v>0.9</v>
      </c>
      <c r="AE28" s="4">
        <v>0.5</v>
      </c>
      <c r="AF28" s="4">
        <v>0.6</v>
      </c>
      <c r="AG28" s="4">
        <v>0.96</v>
      </c>
      <c r="AH28" s="4">
        <v>533.95043899999996</v>
      </c>
      <c r="AI28" s="4">
        <v>8.9999999999999993E-3</v>
      </c>
      <c r="AJ28" s="5"/>
      <c r="AK28" s="5"/>
      <c r="AL28" s="5"/>
      <c r="AM28" s="5"/>
      <c r="AO28" s="4" t="s">
        <v>59</v>
      </c>
      <c r="AP28" s="4">
        <v>0.9</v>
      </c>
      <c r="AQ28" s="4">
        <v>0.5</v>
      </c>
      <c r="AR28" s="4">
        <v>0.6</v>
      </c>
      <c r="AS28" s="4">
        <v>0.3</v>
      </c>
      <c r="AT28" s="6">
        <v>848.52801499999998</v>
      </c>
      <c r="AU28" s="4">
        <v>4.0000000000000001E-3</v>
      </c>
      <c r="AW28" s="4" t="s">
        <v>59</v>
      </c>
      <c r="AX28" s="4">
        <v>0.9</v>
      </c>
      <c r="AY28" s="4">
        <v>0.5</v>
      </c>
      <c r="AZ28" s="4">
        <v>0.6</v>
      </c>
      <c r="BA28" s="4">
        <v>0.28000000000000003</v>
      </c>
      <c r="BB28" s="4">
        <v>865.863831</v>
      </c>
      <c r="BC28" s="4">
        <v>2.5000000000000001E-2</v>
      </c>
      <c r="BD28" s="5"/>
      <c r="BE28" s="5"/>
      <c r="BF28" s="5"/>
      <c r="BG28" s="5"/>
      <c r="BI28" s="4" t="s">
        <v>59</v>
      </c>
      <c r="BJ28" s="4">
        <v>0.9</v>
      </c>
      <c r="BK28" s="4">
        <v>0.5</v>
      </c>
      <c r="BL28" s="4">
        <v>0.6</v>
      </c>
      <c r="BM28" s="4">
        <v>0.3</v>
      </c>
      <c r="BN28" s="6">
        <v>830.67932099999996</v>
      </c>
      <c r="BO28" s="4">
        <v>4.0000000000000001E-3</v>
      </c>
      <c r="BQ28" s="4" t="s">
        <v>59</v>
      </c>
      <c r="BR28" s="4">
        <v>0.9</v>
      </c>
      <c r="BS28" s="4">
        <v>0.5</v>
      </c>
      <c r="BT28" s="4">
        <v>0.6</v>
      </c>
      <c r="BU28" s="4">
        <v>0.35</v>
      </c>
      <c r="BV28" s="4">
        <v>881.48053000000004</v>
      </c>
      <c r="BW28" s="4">
        <v>1.0999999999999999E-2</v>
      </c>
      <c r="BX28" s="5"/>
      <c r="BY28" s="5"/>
      <c r="BZ28" s="5"/>
      <c r="CA28" s="5"/>
    </row>
    <row r="29" spans="1:79" x14ac:dyDescent="0.3">
      <c r="A29" s="4" t="s">
        <v>60</v>
      </c>
      <c r="B29" s="4">
        <v>0.9</v>
      </c>
      <c r="C29" s="4">
        <v>0.5</v>
      </c>
      <c r="D29" s="4">
        <v>0.6</v>
      </c>
      <c r="E29" s="4">
        <v>0.3</v>
      </c>
      <c r="F29" s="6">
        <v>564.98687700000005</v>
      </c>
      <c r="G29" s="4">
        <v>0</v>
      </c>
      <c r="I29" s="4" t="s">
        <v>60</v>
      </c>
      <c r="J29" s="4">
        <v>0.9</v>
      </c>
      <c r="K29" s="4">
        <v>0.5</v>
      </c>
      <c r="L29" s="4">
        <v>0.6</v>
      </c>
      <c r="M29" s="4">
        <v>0.96</v>
      </c>
      <c r="N29" s="4">
        <v>616.73663299999998</v>
      </c>
      <c r="O29" s="4">
        <v>0.02</v>
      </c>
      <c r="P29" s="5"/>
      <c r="Q29" s="5"/>
      <c r="R29" s="5"/>
      <c r="S29" s="5"/>
      <c r="U29" s="4" t="s">
        <v>60</v>
      </c>
      <c r="V29" s="4">
        <v>0.9</v>
      </c>
      <c r="W29" s="4">
        <v>0.5</v>
      </c>
      <c r="X29" s="4">
        <v>0.6</v>
      </c>
      <c r="Y29" s="4">
        <v>0.3</v>
      </c>
      <c r="Z29" s="6">
        <v>535.61114499999996</v>
      </c>
      <c r="AA29" s="4">
        <v>1E-3</v>
      </c>
      <c r="AC29" s="4" t="s">
        <v>60</v>
      </c>
      <c r="AD29" s="4">
        <v>0.9</v>
      </c>
      <c r="AE29" s="4">
        <v>0.5</v>
      </c>
      <c r="AF29" s="4">
        <v>0.6</v>
      </c>
      <c r="AG29" s="4">
        <v>0.03</v>
      </c>
      <c r="AH29" s="4">
        <v>613.99249299999997</v>
      </c>
      <c r="AI29" s="4">
        <v>1.4E-2</v>
      </c>
      <c r="AJ29" s="5"/>
      <c r="AK29" s="5"/>
      <c r="AL29" s="5"/>
      <c r="AM29" s="5"/>
      <c r="AO29" s="4" t="s">
        <v>61</v>
      </c>
      <c r="AP29" s="4">
        <v>0.9</v>
      </c>
      <c r="AQ29" s="4">
        <v>0.5</v>
      </c>
      <c r="AR29" s="4">
        <v>0.6</v>
      </c>
      <c r="AS29" s="4">
        <v>0.3</v>
      </c>
      <c r="AT29" s="6">
        <v>966.555969</v>
      </c>
      <c r="AU29" s="4">
        <v>5.0000000000000001E-3</v>
      </c>
      <c r="AW29" s="4" t="s">
        <v>61</v>
      </c>
      <c r="AX29" s="4">
        <v>0.9</v>
      </c>
      <c r="AY29" s="4">
        <v>0.5</v>
      </c>
      <c r="AZ29" s="4">
        <v>0.6</v>
      </c>
      <c r="BA29" s="4">
        <v>0.73</v>
      </c>
      <c r="BB29" s="4">
        <v>1201.4674070000001</v>
      </c>
      <c r="BC29" s="4">
        <v>4.4999999999999998E-2</v>
      </c>
      <c r="BD29" s="5"/>
      <c r="BE29" s="5"/>
      <c r="BF29" s="5"/>
      <c r="BG29" s="5"/>
      <c r="BI29" s="4" t="s">
        <v>61</v>
      </c>
      <c r="BJ29" s="4">
        <v>0.9</v>
      </c>
      <c r="BK29" s="4">
        <v>0.5</v>
      </c>
      <c r="BL29" s="4">
        <v>0.6</v>
      </c>
      <c r="BM29" s="4">
        <v>0.3</v>
      </c>
      <c r="BN29" s="6">
        <v>957.72546399999999</v>
      </c>
      <c r="BO29" s="4">
        <v>4.0000000000000001E-3</v>
      </c>
      <c r="BQ29" s="4" t="s">
        <v>61</v>
      </c>
      <c r="BR29" s="4">
        <v>0.9</v>
      </c>
      <c r="BS29" s="4">
        <v>0.5</v>
      </c>
      <c r="BT29" s="4">
        <v>0.6</v>
      </c>
      <c r="BU29" s="4">
        <v>0.56999999999999995</v>
      </c>
      <c r="BV29" s="4">
        <v>1103.3013920000001</v>
      </c>
      <c r="BW29" s="4">
        <v>2.3E-2</v>
      </c>
      <c r="BX29" s="5"/>
      <c r="BY29" s="5"/>
      <c r="BZ29" s="5"/>
      <c r="CA29" s="5"/>
    </row>
    <row r="30" spans="1:79" x14ac:dyDescent="0.3">
      <c r="A30" s="4" t="s">
        <v>62</v>
      </c>
      <c r="B30" s="4">
        <v>0.9</v>
      </c>
      <c r="C30" s="4">
        <v>0.5</v>
      </c>
      <c r="D30" s="4">
        <v>0.6</v>
      </c>
      <c r="E30" s="4">
        <v>0.3</v>
      </c>
      <c r="F30" s="6">
        <v>389.51574699999998</v>
      </c>
      <c r="G30" s="4">
        <v>0</v>
      </c>
      <c r="I30" s="4" t="s">
        <v>62</v>
      </c>
      <c r="J30" s="4">
        <v>0.9</v>
      </c>
      <c r="K30" s="4">
        <v>0.5</v>
      </c>
      <c r="L30" s="4">
        <v>0.6</v>
      </c>
      <c r="M30" s="4">
        <v>0.65</v>
      </c>
      <c r="N30" s="4">
        <v>415.38476600000001</v>
      </c>
      <c r="O30" s="4">
        <v>1.2999999999999999E-2</v>
      </c>
      <c r="P30" s="5"/>
      <c r="Q30" s="5"/>
      <c r="R30" s="5"/>
      <c r="S30" s="5"/>
      <c r="U30" s="4" t="s">
        <v>62</v>
      </c>
      <c r="V30" s="4">
        <v>0.9</v>
      </c>
      <c r="W30" s="4">
        <v>0.5</v>
      </c>
      <c r="X30" s="4">
        <v>0.6</v>
      </c>
      <c r="Y30" s="4">
        <v>0.3</v>
      </c>
      <c r="Z30" s="6">
        <v>380.51156600000002</v>
      </c>
      <c r="AA30" s="4">
        <v>1E-3</v>
      </c>
      <c r="AC30" s="4" t="s">
        <v>62</v>
      </c>
      <c r="AD30" s="4">
        <v>0.9</v>
      </c>
      <c r="AE30" s="4">
        <v>0.5</v>
      </c>
      <c r="AF30" s="4">
        <v>0.6</v>
      </c>
      <c r="AG30" s="4">
        <v>0.41</v>
      </c>
      <c r="AH30" s="6">
        <v>380.51156600000002</v>
      </c>
      <c r="AI30" s="4">
        <v>2.5999999999999999E-2</v>
      </c>
      <c r="AJ30" s="5"/>
      <c r="AK30" s="5"/>
      <c r="AL30" s="5"/>
      <c r="AM30" s="5"/>
      <c r="AO30" s="4" t="s">
        <v>63</v>
      </c>
      <c r="AP30" s="4">
        <v>0.9</v>
      </c>
      <c r="AQ30" s="4">
        <v>0.5</v>
      </c>
      <c r="AR30" s="4">
        <v>0.6</v>
      </c>
      <c r="AS30" s="4">
        <v>0.3</v>
      </c>
      <c r="AT30" s="6">
        <v>931.76428199999998</v>
      </c>
      <c r="AU30" s="4">
        <v>4.0000000000000001E-3</v>
      </c>
      <c r="AW30" s="4" t="s">
        <v>63</v>
      </c>
      <c r="AX30" s="4">
        <v>0.9</v>
      </c>
      <c r="AY30" s="4">
        <v>0.5</v>
      </c>
      <c r="AZ30" s="4">
        <v>0.6</v>
      </c>
      <c r="BA30" s="4">
        <v>0.79</v>
      </c>
      <c r="BB30" s="4">
        <v>1126.302856</v>
      </c>
      <c r="BC30" s="4">
        <v>1.4999999999999999E-2</v>
      </c>
      <c r="BD30" s="5"/>
      <c r="BE30" s="5"/>
      <c r="BF30" s="5"/>
      <c r="BG30" s="5"/>
      <c r="BI30" s="4" t="s">
        <v>63</v>
      </c>
      <c r="BJ30" s="4">
        <v>0.9</v>
      </c>
      <c r="BK30" s="4">
        <v>0.5</v>
      </c>
      <c r="BL30" s="4">
        <v>0.6</v>
      </c>
      <c r="BM30" s="4">
        <v>0.3</v>
      </c>
      <c r="BN30" s="4">
        <v>920.10382100000004</v>
      </c>
      <c r="BO30" s="4">
        <v>4.0000000000000001E-3</v>
      </c>
      <c r="BQ30" s="4" t="s">
        <v>63</v>
      </c>
      <c r="BR30" s="4">
        <v>0.9</v>
      </c>
      <c r="BS30" s="4">
        <v>0.5</v>
      </c>
      <c r="BT30" s="4">
        <v>0.6</v>
      </c>
      <c r="BU30" s="4">
        <v>0.18</v>
      </c>
      <c r="BV30" s="6">
        <v>815.48504600000001</v>
      </c>
      <c r="BW30" s="4">
        <v>1.0999999999999999E-2</v>
      </c>
      <c r="BX30" s="5"/>
      <c r="BY30" s="5"/>
      <c r="BZ30" s="5"/>
      <c r="CA30" s="5"/>
    </row>
    <row r="31" spans="1:79" x14ac:dyDescent="0.3">
      <c r="A31" s="4" t="s">
        <v>64</v>
      </c>
      <c r="B31" s="4">
        <v>0.9</v>
      </c>
      <c r="C31" s="4">
        <v>0.5</v>
      </c>
      <c r="D31" s="4">
        <v>0.6</v>
      </c>
      <c r="E31" s="4">
        <v>0.3</v>
      </c>
      <c r="F31" s="6">
        <v>548.00329599999998</v>
      </c>
      <c r="G31" s="4">
        <v>0</v>
      </c>
      <c r="I31" s="4" t="s">
        <v>64</v>
      </c>
      <c r="J31" s="4">
        <v>0.9</v>
      </c>
      <c r="K31" s="4">
        <v>0.5</v>
      </c>
      <c r="L31" s="4">
        <v>0.6</v>
      </c>
      <c r="M31" s="4">
        <v>0.06</v>
      </c>
      <c r="N31" s="4">
        <v>589.04247999999995</v>
      </c>
      <c r="O31" s="4">
        <v>7.0000000000000001E-3</v>
      </c>
      <c r="P31" s="5"/>
      <c r="Q31" s="5"/>
      <c r="R31" s="5"/>
      <c r="S31" s="5"/>
      <c r="U31" s="4" t="s">
        <v>64</v>
      </c>
      <c r="V31" s="4">
        <v>0.9</v>
      </c>
      <c r="W31" s="4">
        <v>0.5</v>
      </c>
      <c r="X31" s="4">
        <v>0.6</v>
      </c>
      <c r="Y31" s="4">
        <v>0.3</v>
      </c>
      <c r="Z31" s="6">
        <v>521.85815400000001</v>
      </c>
      <c r="AA31" s="4">
        <v>0</v>
      </c>
      <c r="AC31" s="4" t="s">
        <v>64</v>
      </c>
      <c r="AD31" s="4">
        <v>0.9</v>
      </c>
      <c r="AE31" s="4">
        <v>0.5</v>
      </c>
      <c r="AF31" s="4">
        <v>0.6</v>
      </c>
      <c r="AG31" s="4">
        <v>0.98</v>
      </c>
      <c r="AH31" s="4">
        <v>617.44872999999995</v>
      </c>
      <c r="AI31" s="4">
        <v>1.0999999999999999E-2</v>
      </c>
      <c r="AJ31" s="5"/>
      <c r="AK31" s="5"/>
      <c r="AL31" s="5"/>
      <c r="AM31" s="5"/>
      <c r="AO31" s="4" t="s">
        <v>65</v>
      </c>
      <c r="AP31" s="4">
        <v>0.9</v>
      </c>
      <c r="AQ31" s="4">
        <v>0.5</v>
      </c>
      <c r="AR31" s="4">
        <v>0.6</v>
      </c>
      <c r="AS31" s="4">
        <v>0.3</v>
      </c>
      <c r="AT31" s="4">
        <v>866.62243699999999</v>
      </c>
      <c r="AU31" s="4">
        <v>4.0000000000000001E-3</v>
      </c>
      <c r="AW31" s="4" t="s">
        <v>65</v>
      </c>
      <c r="AX31" s="4">
        <v>0.9</v>
      </c>
      <c r="AY31" s="4">
        <v>0.5</v>
      </c>
      <c r="AZ31" s="4">
        <v>0.6</v>
      </c>
      <c r="BA31" s="4">
        <v>0.16</v>
      </c>
      <c r="BB31" s="6">
        <v>839.11273200000005</v>
      </c>
      <c r="BC31" s="4">
        <v>1.2999999999999999E-2</v>
      </c>
      <c r="BD31" s="5"/>
      <c r="BE31" s="5"/>
      <c r="BF31" s="5"/>
      <c r="BG31" s="5"/>
      <c r="BI31" s="4" t="s">
        <v>65</v>
      </c>
      <c r="BJ31" s="4">
        <v>0.9</v>
      </c>
      <c r="BK31" s="4">
        <v>0.5</v>
      </c>
      <c r="BL31" s="4">
        <v>0.6</v>
      </c>
      <c r="BM31" s="4">
        <v>0.3</v>
      </c>
      <c r="BN31" s="4">
        <v>865.77734399999997</v>
      </c>
      <c r="BO31" s="4">
        <v>5.0000000000000001E-3</v>
      </c>
      <c r="BQ31" s="4" t="s">
        <v>65</v>
      </c>
      <c r="BR31" s="4">
        <v>0.9</v>
      </c>
      <c r="BS31" s="4">
        <v>0.5</v>
      </c>
      <c r="BT31" s="4">
        <v>0.6</v>
      </c>
      <c r="BU31" s="4">
        <v>0.04</v>
      </c>
      <c r="BV31" s="6">
        <v>766.56213400000001</v>
      </c>
      <c r="BW31" s="4">
        <v>1.7000000000000001E-2</v>
      </c>
      <c r="BX31" s="5"/>
      <c r="BY31" s="5"/>
      <c r="BZ31" s="5"/>
      <c r="CA31" s="5"/>
    </row>
    <row r="32" spans="1:79" x14ac:dyDescent="0.3">
      <c r="A32" s="4" t="s">
        <v>66</v>
      </c>
      <c r="B32" s="4">
        <v>0.9</v>
      </c>
      <c r="C32" s="4">
        <v>0.5</v>
      </c>
      <c r="D32" s="4">
        <v>0.6</v>
      </c>
      <c r="E32" s="4">
        <v>0.3</v>
      </c>
      <c r="F32" s="6">
        <v>475.90417500000001</v>
      </c>
      <c r="G32" s="4">
        <v>1E-3</v>
      </c>
      <c r="I32" s="4" t="s">
        <v>66</v>
      </c>
      <c r="J32" s="4">
        <v>0.9</v>
      </c>
      <c r="K32" s="4">
        <v>0.5</v>
      </c>
      <c r="L32" s="4">
        <v>0.6</v>
      </c>
      <c r="M32" s="4">
        <v>0.45</v>
      </c>
      <c r="N32" s="4">
        <v>526.229919</v>
      </c>
      <c r="O32" s="4">
        <v>1.2E-2</v>
      </c>
      <c r="P32" s="5"/>
      <c r="Q32" s="5"/>
      <c r="R32" s="5"/>
      <c r="S32" s="5"/>
      <c r="U32" s="4" t="s">
        <v>66</v>
      </c>
      <c r="V32" s="4">
        <v>0.9</v>
      </c>
      <c r="W32" s="4">
        <v>0.5</v>
      </c>
      <c r="X32" s="4">
        <v>0.6</v>
      </c>
      <c r="Y32" s="4">
        <v>0.3</v>
      </c>
      <c r="Z32" s="6">
        <v>445.788544</v>
      </c>
      <c r="AA32" s="4">
        <v>1E-3</v>
      </c>
      <c r="AC32" s="4" t="s">
        <v>66</v>
      </c>
      <c r="AD32" s="4">
        <v>0.9</v>
      </c>
      <c r="AE32" s="4">
        <v>0.5</v>
      </c>
      <c r="AF32" s="4">
        <v>0.6</v>
      </c>
      <c r="AG32" s="4">
        <v>0.56000000000000005</v>
      </c>
      <c r="AH32" s="4">
        <v>516.986267</v>
      </c>
      <c r="AI32" s="4">
        <v>1.4E-2</v>
      </c>
      <c r="AJ32" s="5"/>
      <c r="AK32" s="5"/>
      <c r="AL32" s="5"/>
      <c r="AM32" s="5"/>
      <c r="AO32" s="4" t="s">
        <v>67</v>
      </c>
      <c r="AP32" s="4">
        <v>0.9</v>
      </c>
      <c r="AQ32" s="4">
        <v>0.5</v>
      </c>
      <c r="AR32" s="4">
        <v>0.6</v>
      </c>
      <c r="AS32" s="4">
        <v>0.3</v>
      </c>
      <c r="AT32" s="6">
        <v>953.27716099999998</v>
      </c>
      <c r="AU32" s="4">
        <v>5.0000000000000001E-3</v>
      </c>
      <c r="AW32" s="4" t="s">
        <v>67</v>
      </c>
      <c r="AX32" s="4">
        <v>0.9</v>
      </c>
      <c r="AY32" s="4">
        <v>0.5</v>
      </c>
      <c r="AZ32" s="4">
        <v>0.6</v>
      </c>
      <c r="BA32" s="4">
        <v>0.59</v>
      </c>
      <c r="BB32" s="4">
        <v>1099.721802</v>
      </c>
      <c r="BC32" s="4">
        <v>0.02</v>
      </c>
      <c r="BD32" s="5"/>
      <c r="BE32" s="5"/>
      <c r="BF32" s="5"/>
      <c r="BG32" s="5"/>
      <c r="BI32" s="4" t="s">
        <v>67</v>
      </c>
      <c r="BJ32" s="4">
        <v>0.9</v>
      </c>
      <c r="BK32" s="4">
        <v>0.5</v>
      </c>
      <c r="BL32" s="4">
        <v>0.6</v>
      </c>
      <c r="BM32" s="4">
        <v>0.3</v>
      </c>
      <c r="BN32" s="6">
        <v>930.85375999999997</v>
      </c>
      <c r="BO32" s="4">
        <v>5.0000000000000001E-3</v>
      </c>
      <c r="BQ32" s="4" t="s">
        <v>67</v>
      </c>
      <c r="BR32" s="4">
        <v>0.9</v>
      </c>
      <c r="BS32" s="4">
        <v>0.5</v>
      </c>
      <c r="BT32" s="4">
        <v>0.6</v>
      </c>
      <c r="BU32" s="4">
        <v>0.97</v>
      </c>
      <c r="BV32" s="4">
        <v>1197.5217290000001</v>
      </c>
      <c r="BW32" s="4">
        <v>1.2E-2</v>
      </c>
      <c r="BX32" s="5"/>
      <c r="BY32" s="5"/>
      <c r="BZ32" s="5"/>
      <c r="CA32" s="5"/>
    </row>
    <row r="33" spans="1:79" x14ac:dyDescent="0.3">
      <c r="A33" s="4" t="s">
        <v>68</v>
      </c>
      <c r="B33" s="4">
        <v>0.9</v>
      </c>
      <c r="C33" s="4">
        <v>0.5</v>
      </c>
      <c r="D33" s="4">
        <v>0.6</v>
      </c>
      <c r="E33" s="4">
        <v>0.3</v>
      </c>
      <c r="F33" s="6">
        <v>394.50817899999998</v>
      </c>
      <c r="G33" s="4">
        <v>1E-3</v>
      </c>
      <c r="I33" s="4" t="s">
        <v>68</v>
      </c>
      <c r="J33" s="4">
        <v>0.9</v>
      </c>
      <c r="K33" s="4">
        <v>0.5</v>
      </c>
      <c r="L33" s="4">
        <v>0.6</v>
      </c>
      <c r="M33" s="4">
        <v>0.15</v>
      </c>
      <c r="N33" s="4">
        <v>397.60961900000001</v>
      </c>
      <c r="O33" s="4">
        <v>1.2999999999999999E-2</v>
      </c>
      <c r="P33" s="5"/>
      <c r="Q33" s="5"/>
      <c r="R33" s="5"/>
      <c r="S33" s="5"/>
      <c r="U33" s="4" t="s">
        <v>68</v>
      </c>
      <c r="V33" s="4">
        <v>0.9</v>
      </c>
      <c r="W33" s="4">
        <v>0.5</v>
      </c>
      <c r="X33" s="4">
        <v>0.6</v>
      </c>
      <c r="Y33" s="4">
        <v>0.3</v>
      </c>
      <c r="Z33" s="6">
        <v>375.28085299999998</v>
      </c>
      <c r="AA33" s="4">
        <v>3.0000000000000001E-3</v>
      </c>
      <c r="AC33" s="4" t="s">
        <v>68</v>
      </c>
      <c r="AD33" s="4">
        <v>0.9</v>
      </c>
      <c r="AE33" s="4">
        <v>0.5</v>
      </c>
      <c r="AF33" s="4">
        <v>0.6</v>
      </c>
      <c r="AG33" s="4">
        <v>0.56000000000000005</v>
      </c>
      <c r="AH33" s="4">
        <v>381.56494099999998</v>
      </c>
      <c r="AI33" s="4">
        <v>8.0000000000000002E-3</v>
      </c>
      <c r="AJ33" s="5"/>
      <c r="AK33" s="5"/>
      <c r="AL33" s="5"/>
      <c r="AM33" s="5"/>
      <c r="AO33" s="4" t="s">
        <v>69</v>
      </c>
      <c r="AP33" s="4">
        <v>0.9</v>
      </c>
      <c r="AQ33" s="4">
        <v>0.5</v>
      </c>
      <c r="AR33" s="4">
        <v>0.6</v>
      </c>
      <c r="AS33" s="4">
        <v>0.3</v>
      </c>
      <c r="AT33" s="4">
        <v>946.91510000000005</v>
      </c>
      <c r="AU33" s="4">
        <v>5.0000000000000001E-3</v>
      </c>
      <c r="AW33" s="4" t="s">
        <v>69</v>
      </c>
      <c r="AX33" s="4">
        <v>0.9</v>
      </c>
      <c r="AY33" s="4">
        <v>0.5</v>
      </c>
      <c r="AZ33" s="4">
        <v>0.6</v>
      </c>
      <c r="BA33" s="4">
        <v>0.03</v>
      </c>
      <c r="BB33" s="6">
        <v>761.84149200000002</v>
      </c>
      <c r="BC33" s="4">
        <v>3.5000000000000003E-2</v>
      </c>
      <c r="BD33" s="5"/>
      <c r="BE33" s="5"/>
      <c r="BF33" s="5"/>
      <c r="BG33" s="5"/>
      <c r="BI33" s="4" t="s">
        <v>69</v>
      </c>
      <c r="BJ33" s="4">
        <v>0.9</v>
      </c>
      <c r="BK33" s="4">
        <v>0.5</v>
      </c>
      <c r="BL33" s="4">
        <v>0.6</v>
      </c>
      <c r="BM33" s="4">
        <v>0.3</v>
      </c>
      <c r="BN33" s="4">
        <v>926.81298800000002</v>
      </c>
      <c r="BO33" s="4">
        <v>5.0000000000000001E-3</v>
      </c>
      <c r="BQ33" s="4" t="s">
        <v>69</v>
      </c>
      <c r="BR33" s="4">
        <v>0.9</v>
      </c>
      <c r="BS33" s="4">
        <v>0.5</v>
      </c>
      <c r="BT33" s="4">
        <v>0.6</v>
      </c>
      <c r="BU33" s="4">
        <v>0.28999999999999998</v>
      </c>
      <c r="BV33" s="6">
        <v>951.292236</v>
      </c>
      <c r="BW33" s="4">
        <v>1.2999999999999999E-2</v>
      </c>
      <c r="BX33" s="5"/>
      <c r="BY33" s="5"/>
      <c r="BZ33" s="5"/>
      <c r="CA33" s="5"/>
    </row>
    <row r="34" spans="1:79" x14ac:dyDescent="0.3">
      <c r="A34" s="14" t="s">
        <v>316</v>
      </c>
      <c r="E34" s="14">
        <f>AVERAGE(E4:E33)</f>
        <v>0.3</v>
      </c>
      <c r="I34" s="14" t="s">
        <v>316</v>
      </c>
      <c r="M34" s="14">
        <f>AVERAGE(M4:M33)</f>
        <v>0.49533333333333335</v>
      </c>
      <c r="P34" s="5"/>
      <c r="Q34" s="5"/>
      <c r="R34" s="5"/>
      <c r="S34" s="5"/>
      <c r="U34" s="14" t="s">
        <v>316</v>
      </c>
      <c r="Y34" s="14">
        <f>AVERAGE(Y4:Y33)</f>
        <v>0.3</v>
      </c>
      <c r="AC34" s="14" t="s">
        <v>316</v>
      </c>
      <c r="AG34" s="14">
        <f>AVERAGE(AG4:AG33)</f>
        <v>0.50100000000000011</v>
      </c>
      <c r="AJ34" s="5"/>
      <c r="AK34" s="5"/>
      <c r="AL34" s="5"/>
      <c r="AM34" s="5"/>
      <c r="AO34" s="14" t="s">
        <v>316</v>
      </c>
      <c r="AS34" s="14">
        <f>AVERAGE(AS4:AS33)</f>
        <v>0.3</v>
      </c>
      <c r="AW34" s="14" t="s">
        <v>316</v>
      </c>
      <c r="BA34" s="14">
        <f>AVERAGE(BA4:BA33)</f>
        <v>0.49933333333333318</v>
      </c>
      <c r="BD34" s="5"/>
      <c r="BE34" s="5"/>
      <c r="BF34" s="5"/>
      <c r="BG34" s="5"/>
      <c r="BI34" s="14" t="s">
        <v>316</v>
      </c>
      <c r="BM34" s="14">
        <f>AVERAGE(BM4:BM33)</f>
        <v>0.3</v>
      </c>
      <c r="BQ34" s="14" t="s">
        <v>316</v>
      </c>
      <c r="BU34" s="14">
        <f>AVERAGE(BU4:BU33)</f>
        <v>0.42466666666666669</v>
      </c>
      <c r="BX34" s="5"/>
      <c r="BY34" s="5"/>
      <c r="BZ34" s="5"/>
      <c r="CA34" s="5"/>
    </row>
    <row r="35" spans="1:79" x14ac:dyDescent="0.3">
      <c r="P35" s="5"/>
      <c r="Q35" s="5"/>
      <c r="R35" s="5"/>
      <c r="S35" s="5"/>
      <c r="AJ35" s="5"/>
      <c r="AK35" s="5"/>
      <c r="AL35" s="5"/>
      <c r="AM35" s="5"/>
      <c r="BD35" s="5"/>
      <c r="BE35" s="5"/>
      <c r="BF35" s="5"/>
      <c r="BG35" s="5"/>
      <c r="BX35" s="5"/>
      <c r="BY35" s="5"/>
      <c r="BZ35" s="5"/>
      <c r="CA35" s="5"/>
    </row>
    <row r="36" spans="1:79" x14ac:dyDescent="0.3">
      <c r="P36" s="5"/>
      <c r="Q36" s="5"/>
      <c r="R36" s="5"/>
      <c r="S36" s="5"/>
      <c r="AJ36" s="5"/>
      <c r="AK36" s="5"/>
      <c r="AL36" s="5"/>
      <c r="AM36" s="5"/>
      <c r="BD36" s="5"/>
      <c r="BE36" s="5"/>
      <c r="BF36" s="5"/>
      <c r="BG36" s="5"/>
      <c r="BX36" s="5"/>
      <c r="BY36" s="5"/>
      <c r="BZ36" s="5"/>
      <c r="CA36" s="5"/>
    </row>
    <row r="37" spans="1:79" x14ac:dyDescent="0.3">
      <c r="A37" s="23" t="s">
        <v>314</v>
      </c>
      <c r="B37" s="23"/>
      <c r="C37" s="23"/>
      <c r="D37" s="23"/>
      <c r="E37" s="23"/>
      <c r="F37" s="23"/>
      <c r="G37" s="23"/>
      <c r="I37" s="24" t="s">
        <v>314</v>
      </c>
      <c r="J37" s="25"/>
      <c r="K37" s="25"/>
      <c r="L37" s="25"/>
      <c r="M37" s="25"/>
      <c r="N37" s="25"/>
      <c r="O37" s="26"/>
      <c r="P37" s="11"/>
      <c r="Q37" s="11"/>
      <c r="R37" s="11"/>
      <c r="S37" s="11"/>
      <c r="U37" s="23" t="s">
        <v>314</v>
      </c>
      <c r="V37" s="23"/>
      <c r="W37" s="23"/>
      <c r="X37" s="23"/>
      <c r="Y37" s="23"/>
      <c r="Z37" s="23"/>
      <c r="AA37" s="23"/>
      <c r="AC37" s="24" t="s">
        <v>314</v>
      </c>
      <c r="AD37" s="25"/>
      <c r="AE37" s="25"/>
      <c r="AF37" s="25"/>
      <c r="AG37" s="25"/>
      <c r="AH37" s="25"/>
      <c r="AI37" s="26"/>
      <c r="AJ37" s="11"/>
      <c r="AK37" s="11"/>
      <c r="AL37" s="11"/>
      <c r="AM37" s="11"/>
      <c r="AO37" s="23" t="s">
        <v>314</v>
      </c>
      <c r="AP37" s="23"/>
      <c r="AQ37" s="23"/>
      <c r="AR37" s="23"/>
      <c r="AS37" s="23"/>
      <c r="AT37" s="23"/>
      <c r="AU37" s="23"/>
      <c r="AW37" s="24" t="s">
        <v>314</v>
      </c>
      <c r="AX37" s="25"/>
      <c r="AY37" s="25"/>
      <c r="AZ37" s="25"/>
      <c r="BA37" s="25"/>
      <c r="BB37" s="25"/>
      <c r="BC37" s="26"/>
      <c r="BD37" s="11"/>
      <c r="BE37" s="11"/>
      <c r="BF37" s="11"/>
      <c r="BG37" s="11"/>
      <c r="BI37" s="23" t="s">
        <v>314</v>
      </c>
      <c r="BJ37" s="23"/>
      <c r="BK37" s="23"/>
      <c r="BL37" s="23"/>
      <c r="BM37" s="23"/>
      <c r="BN37" s="23"/>
      <c r="BO37" s="23"/>
      <c r="BQ37" s="24" t="s">
        <v>314</v>
      </c>
      <c r="BR37" s="25"/>
      <c r="BS37" s="25"/>
      <c r="BT37" s="25"/>
      <c r="BU37" s="25"/>
      <c r="BV37" s="25"/>
      <c r="BW37" s="26"/>
      <c r="BX37" s="11"/>
      <c r="BY37" s="11"/>
      <c r="BZ37" s="11"/>
      <c r="CA37" s="11"/>
    </row>
    <row r="38" spans="1:79" x14ac:dyDescent="0.3">
      <c r="A38" s="24" t="s">
        <v>70</v>
      </c>
      <c r="B38" s="25"/>
      <c r="C38" s="25"/>
      <c r="D38" s="25"/>
      <c r="E38" s="25"/>
      <c r="F38" s="25"/>
      <c r="G38" s="26"/>
      <c r="I38" s="4" t="s">
        <v>70</v>
      </c>
      <c r="J38" s="4"/>
      <c r="K38" s="4"/>
      <c r="L38" s="4"/>
      <c r="M38" s="4"/>
      <c r="N38" s="4"/>
      <c r="O38" s="4"/>
      <c r="P38" s="11"/>
      <c r="Q38" s="11"/>
      <c r="R38" s="11"/>
      <c r="S38" s="11"/>
      <c r="U38" s="24" t="s">
        <v>71</v>
      </c>
      <c r="V38" s="25"/>
      <c r="W38" s="25"/>
      <c r="X38" s="25"/>
      <c r="Y38" s="25"/>
      <c r="Z38" s="25"/>
      <c r="AA38" s="26"/>
      <c r="AC38" s="4" t="s">
        <v>71</v>
      </c>
      <c r="AD38" s="4"/>
      <c r="AE38" s="4"/>
      <c r="AF38" s="4"/>
      <c r="AG38" s="4"/>
      <c r="AH38" s="4"/>
      <c r="AI38" s="4"/>
      <c r="AJ38" s="11"/>
      <c r="AK38" s="11"/>
      <c r="AL38" s="11"/>
      <c r="AM38" s="11"/>
      <c r="AO38" s="4" t="s">
        <v>70</v>
      </c>
      <c r="AP38" s="4"/>
      <c r="AQ38" s="4"/>
      <c r="AR38" s="4"/>
      <c r="AS38" s="4"/>
      <c r="AT38" s="4"/>
      <c r="AU38" s="4"/>
      <c r="AW38" s="4" t="s">
        <v>70</v>
      </c>
      <c r="AX38" s="4"/>
      <c r="AY38" s="4"/>
      <c r="AZ38" s="4"/>
      <c r="BA38" s="4"/>
      <c r="BB38" s="4"/>
      <c r="BC38" s="4"/>
      <c r="BD38" s="11"/>
      <c r="BE38" s="11"/>
      <c r="BF38" s="11"/>
      <c r="BG38" s="11"/>
      <c r="BI38" s="4" t="s">
        <v>71</v>
      </c>
      <c r="BJ38" s="4"/>
      <c r="BK38" s="4"/>
      <c r="BL38" s="4"/>
      <c r="BM38" s="4"/>
      <c r="BN38" s="4"/>
      <c r="BO38" s="4"/>
      <c r="BQ38" s="4" t="s">
        <v>71</v>
      </c>
      <c r="BR38" s="4"/>
      <c r="BS38" s="4"/>
      <c r="BT38" s="4"/>
      <c r="BU38" s="4"/>
      <c r="BV38" s="4"/>
      <c r="BW38" s="4"/>
      <c r="BX38" s="11"/>
      <c r="BY38" s="11"/>
      <c r="BZ38" s="11"/>
      <c r="CA38" s="11"/>
    </row>
    <row r="39" spans="1:79" x14ac:dyDescent="0.3">
      <c r="A39" s="4" t="s">
        <v>2</v>
      </c>
      <c r="B39" s="4" t="s">
        <v>3</v>
      </c>
      <c r="C39" s="4" t="s">
        <v>4</v>
      </c>
      <c r="D39" s="4" t="s">
        <v>5</v>
      </c>
      <c r="E39" s="4" t="s">
        <v>6</v>
      </c>
      <c r="F39" s="4" t="s">
        <v>7</v>
      </c>
      <c r="G39" s="4" t="s">
        <v>8</v>
      </c>
      <c r="I39" s="4" t="s">
        <v>2</v>
      </c>
      <c r="J39" s="4" t="s">
        <v>3</v>
      </c>
      <c r="K39" s="4" t="s">
        <v>4</v>
      </c>
      <c r="L39" s="4" t="s">
        <v>5</v>
      </c>
      <c r="M39" s="4" t="s">
        <v>6</v>
      </c>
      <c r="N39" s="4" t="s">
        <v>7</v>
      </c>
      <c r="O39" s="4" t="s">
        <v>8</v>
      </c>
      <c r="P39" s="3" t="s">
        <v>322</v>
      </c>
      <c r="Q39" s="3" t="s">
        <v>323</v>
      </c>
      <c r="R39" s="3" t="s">
        <v>322</v>
      </c>
      <c r="S39" s="3" t="s">
        <v>323</v>
      </c>
      <c r="U39" s="4" t="s">
        <v>2</v>
      </c>
      <c r="V39" s="4" t="s">
        <v>3</v>
      </c>
      <c r="W39" s="4" t="s">
        <v>4</v>
      </c>
      <c r="X39" s="4" t="s">
        <v>5</v>
      </c>
      <c r="Y39" s="4" t="s">
        <v>6</v>
      </c>
      <c r="Z39" s="4" t="s">
        <v>7</v>
      </c>
      <c r="AA39" s="4" t="s">
        <v>8</v>
      </c>
      <c r="AC39" s="4" t="s">
        <v>2</v>
      </c>
      <c r="AD39" s="4" t="s">
        <v>3</v>
      </c>
      <c r="AE39" s="4" t="s">
        <v>4</v>
      </c>
      <c r="AF39" s="4" t="s">
        <v>5</v>
      </c>
      <c r="AG39" s="4" t="s">
        <v>6</v>
      </c>
      <c r="AH39" s="4" t="s">
        <v>7</v>
      </c>
      <c r="AI39" s="4" t="s">
        <v>8</v>
      </c>
      <c r="AJ39" s="3" t="s">
        <v>322</v>
      </c>
      <c r="AK39" s="3" t="s">
        <v>323</v>
      </c>
      <c r="AL39" s="3" t="s">
        <v>322</v>
      </c>
      <c r="AM39" s="3" t="s">
        <v>323</v>
      </c>
      <c r="AO39" s="4" t="s">
        <v>2</v>
      </c>
      <c r="AP39" s="4" t="s">
        <v>3</v>
      </c>
      <c r="AQ39" s="4" t="s">
        <v>4</v>
      </c>
      <c r="AR39" s="4" t="s">
        <v>5</v>
      </c>
      <c r="AS39" s="4" t="s">
        <v>6</v>
      </c>
      <c r="AT39" s="4" t="s">
        <v>7</v>
      </c>
      <c r="AU39" s="4" t="s">
        <v>8</v>
      </c>
      <c r="AW39" s="4" t="s">
        <v>2</v>
      </c>
      <c r="AX39" s="4" t="s">
        <v>3</v>
      </c>
      <c r="AY39" s="4" t="s">
        <v>4</v>
      </c>
      <c r="AZ39" s="4" t="s">
        <v>5</v>
      </c>
      <c r="BA39" s="4" t="s">
        <v>6</v>
      </c>
      <c r="BB39" s="4" t="s">
        <v>7</v>
      </c>
      <c r="BC39" s="4" t="s">
        <v>8</v>
      </c>
      <c r="BD39" s="3" t="s">
        <v>322</v>
      </c>
      <c r="BE39" s="3" t="s">
        <v>323</v>
      </c>
      <c r="BF39" s="3" t="s">
        <v>322</v>
      </c>
      <c r="BG39" s="3" t="s">
        <v>323</v>
      </c>
      <c r="BI39" s="4" t="s">
        <v>2</v>
      </c>
      <c r="BJ39" s="4" t="s">
        <v>3</v>
      </c>
      <c r="BK39" s="4" t="s">
        <v>4</v>
      </c>
      <c r="BL39" s="4" t="s">
        <v>5</v>
      </c>
      <c r="BM39" s="4" t="s">
        <v>6</v>
      </c>
      <c r="BN39" s="4" t="s">
        <v>7</v>
      </c>
      <c r="BO39" s="4" t="s">
        <v>8</v>
      </c>
      <c r="BQ39" s="4" t="s">
        <v>2</v>
      </c>
      <c r="BR39" s="4" t="s">
        <v>3</v>
      </c>
      <c r="BS39" s="4" t="s">
        <v>4</v>
      </c>
      <c r="BT39" s="4" t="s">
        <v>5</v>
      </c>
      <c r="BU39" s="4" t="s">
        <v>6</v>
      </c>
      <c r="BV39" s="4" t="s">
        <v>7</v>
      </c>
      <c r="BW39" s="4" t="s">
        <v>8</v>
      </c>
      <c r="BX39" s="3" t="s">
        <v>322</v>
      </c>
      <c r="BY39" s="3" t="s">
        <v>323</v>
      </c>
      <c r="BZ39" s="3" t="s">
        <v>322</v>
      </c>
      <c r="CA39" s="3" t="s">
        <v>323</v>
      </c>
    </row>
    <row r="40" spans="1:79" x14ac:dyDescent="0.3">
      <c r="A40" s="4" t="s">
        <v>10</v>
      </c>
      <c r="B40" s="4">
        <v>0.9</v>
      </c>
      <c r="C40" s="4">
        <v>0.5</v>
      </c>
      <c r="D40" s="4">
        <v>0.6</v>
      </c>
      <c r="E40" s="4">
        <v>0.3</v>
      </c>
      <c r="F40" s="6">
        <v>389.73577899999998</v>
      </c>
      <c r="G40" s="4">
        <v>0</v>
      </c>
      <c r="I40" s="4" t="s">
        <v>10</v>
      </c>
      <c r="J40" s="4">
        <v>0.9</v>
      </c>
      <c r="K40" s="4">
        <v>0.5</v>
      </c>
      <c r="L40" s="4">
        <v>0.6</v>
      </c>
      <c r="M40" s="4">
        <v>0.01</v>
      </c>
      <c r="N40" s="4">
        <v>469.01501500000001</v>
      </c>
      <c r="O40" s="4">
        <v>1.6E-2</v>
      </c>
      <c r="P40" s="4" t="s">
        <v>324</v>
      </c>
      <c r="Q40" s="4" t="s">
        <v>324</v>
      </c>
      <c r="R40" s="4" t="s">
        <v>327</v>
      </c>
      <c r="S40" s="4" t="s">
        <v>327</v>
      </c>
      <c r="U40" s="4" t="s">
        <v>10</v>
      </c>
      <c r="V40" s="4">
        <v>0.9</v>
      </c>
      <c r="W40" s="4">
        <v>0.5</v>
      </c>
      <c r="X40" s="4">
        <v>0.6</v>
      </c>
      <c r="Y40" s="4">
        <v>0.3</v>
      </c>
      <c r="Z40" s="6">
        <v>370.99807700000002</v>
      </c>
      <c r="AA40" s="4">
        <v>1E-3</v>
      </c>
      <c r="AC40" s="4" t="s">
        <v>10</v>
      </c>
      <c r="AD40" s="4">
        <v>0.9</v>
      </c>
      <c r="AE40" s="4">
        <v>0.5</v>
      </c>
      <c r="AF40" s="4">
        <v>0.6</v>
      </c>
      <c r="AG40" s="4">
        <v>0.01</v>
      </c>
      <c r="AH40" s="4">
        <v>444.11608899999999</v>
      </c>
      <c r="AI40" s="4">
        <v>1.4999999999999999E-2</v>
      </c>
      <c r="AJ40" s="4" t="s">
        <v>324</v>
      </c>
      <c r="AK40" s="4" t="s">
        <v>324</v>
      </c>
      <c r="AL40" s="4" t="s">
        <v>327</v>
      </c>
      <c r="AM40" s="4" t="s">
        <v>327</v>
      </c>
      <c r="AO40" s="4" t="s">
        <v>11</v>
      </c>
      <c r="AP40" s="4">
        <v>0.9</v>
      </c>
      <c r="AQ40" s="4">
        <v>0.5</v>
      </c>
      <c r="AR40" s="4">
        <v>0.6</v>
      </c>
      <c r="AS40" s="4">
        <v>0.3</v>
      </c>
      <c r="AT40" s="4">
        <v>741.26623500000005</v>
      </c>
      <c r="AU40" s="4">
        <v>6.0000000000000001E-3</v>
      </c>
      <c r="AW40" s="4" t="s">
        <v>11</v>
      </c>
      <c r="AX40" s="4">
        <v>0.9</v>
      </c>
      <c r="AY40" s="4">
        <v>0.5</v>
      </c>
      <c r="AZ40" s="4">
        <v>0.6</v>
      </c>
      <c r="BA40" s="4">
        <v>0.01</v>
      </c>
      <c r="BB40" s="6">
        <v>714.58148200000005</v>
      </c>
      <c r="BC40" s="4">
        <v>1.2999999999999999E-2</v>
      </c>
      <c r="BD40" s="4" t="s">
        <v>324</v>
      </c>
      <c r="BE40" s="4" t="s">
        <v>324</v>
      </c>
      <c r="BF40" s="4" t="s">
        <v>327</v>
      </c>
      <c r="BG40" s="4" t="s">
        <v>327</v>
      </c>
      <c r="BI40" s="4" t="s">
        <v>11</v>
      </c>
      <c r="BJ40" s="4">
        <v>0.9</v>
      </c>
      <c r="BK40" s="4">
        <v>0.5</v>
      </c>
      <c r="BL40" s="4">
        <v>0.6</v>
      </c>
      <c r="BM40" s="4">
        <v>0.3</v>
      </c>
      <c r="BN40" s="4">
        <v>716.33593800000006</v>
      </c>
      <c r="BO40" s="4">
        <v>4.0000000000000001E-3</v>
      </c>
      <c r="BQ40" s="4" t="s">
        <v>11</v>
      </c>
      <c r="BR40" s="4">
        <v>0.9</v>
      </c>
      <c r="BS40" s="4">
        <v>0.5</v>
      </c>
      <c r="BT40" s="4">
        <v>0.6</v>
      </c>
      <c r="BU40" s="4">
        <v>0.01</v>
      </c>
      <c r="BV40" s="6">
        <v>665.46801800000003</v>
      </c>
      <c r="BW40" s="4">
        <v>2.1999999999999999E-2</v>
      </c>
      <c r="BX40" s="4" t="s">
        <v>324</v>
      </c>
      <c r="BY40" s="4" t="s">
        <v>324</v>
      </c>
      <c r="BZ40" s="4" t="s">
        <v>327</v>
      </c>
      <c r="CA40" s="4" t="s">
        <v>327</v>
      </c>
    </row>
    <row r="41" spans="1:79" x14ac:dyDescent="0.3">
      <c r="A41" s="4" t="s">
        <v>12</v>
      </c>
      <c r="B41" s="4">
        <v>0.9</v>
      </c>
      <c r="C41" s="4">
        <v>0.5</v>
      </c>
      <c r="D41" s="4">
        <v>0.6</v>
      </c>
      <c r="E41" s="4">
        <v>0.3</v>
      </c>
      <c r="F41" s="6">
        <v>420.49285900000001</v>
      </c>
      <c r="G41" s="4">
        <v>1E-3</v>
      </c>
      <c r="I41" s="4" t="s">
        <v>12</v>
      </c>
      <c r="J41" s="4">
        <v>0.9</v>
      </c>
      <c r="K41" s="4">
        <v>0.5</v>
      </c>
      <c r="L41" s="4">
        <v>0.6</v>
      </c>
      <c r="M41" s="4">
        <v>0.67</v>
      </c>
      <c r="N41" s="4">
        <v>463.97686800000002</v>
      </c>
      <c r="O41" s="4">
        <v>1.2999999999999999E-2</v>
      </c>
      <c r="P41" s="3">
        <f>COUNT(F40:F69)</f>
        <v>30</v>
      </c>
      <c r="Q41" s="3">
        <f>30-P41</f>
        <v>0</v>
      </c>
      <c r="R41" s="3">
        <f>COUNT(N49)</f>
        <v>1</v>
      </c>
      <c r="S41" s="3">
        <f>30-R41</f>
        <v>29</v>
      </c>
      <c r="U41" s="4" t="s">
        <v>12</v>
      </c>
      <c r="V41" s="4">
        <v>0.9</v>
      </c>
      <c r="W41" s="4">
        <v>0.5</v>
      </c>
      <c r="X41" s="4">
        <v>0.6</v>
      </c>
      <c r="Y41" s="4">
        <v>0.3</v>
      </c>
      <c r="Z41" s="6">
        <v>407.82238799999999</v>
      </c>
      <c r="AA41" s="4">
        <v>2E-3</v>
      </c>
      <c r="AC41" s="4" t="s">
        <v>12</v>
      </c>
      <c r="AD41" s="4">
        <v>0.9</v>
      </c>
      <c r="AE41" s="4">
        <v>0.5</v>
      </c>
      <c r="AF41" s="4">
        <v>0.6</v>
      </c>
      <c r="AG41" s="4">
        <v>0.22</v>
      </c>
      <c r="AH41" s="4">
        <v>417.50387599999999</v>
      </c>
      <c r="AI41" s="4">
        <v>1.7999999999999999E-2</v>
      </c>
      <c r="AJ41" s="3">
        <f>COUNT(Z40:Z56,Z58:Z69)</f>
        <v>29</v>
      </c>
      <c r="AK41" s="3">
        <f>30-AJ41</f>
        <v>1</v>
      </c>
      <c r="AL41" s="3">
        <f>COUNT(AH57,AH61)</f>
        <v>2</v>
      </c>
      <c r="AM41" s="3">
        <f>30-AL41</f>
        <v>28</v>
      </c>
      <c r="AO41" s="4" t="s">
        <v>13</v>
      </c>
      <c r="AP41" s="4">
        <v>0.9</v>
      </c>
      <c r="AQ41" s="4">
        <v>0.5</v>
      </c>
      <c r="AR41" s="4">
        <v>0.6</v>
      </c>
      <c r="AS41" s="4">
        <v>0.3</v>
      </c>
      <c r="AT41" s="6">
        <v>672.15130599999998</v>
      </c>
      <c r="AU41" s="4">
        <v>5.0000000000000001E-3</v>
      </c>
      <c r="AW41" s="4" t="s">
        <v>13</v>
      </c>
      <c r="AX41" s="4">
        <v>0.9</v>
      </c>
      <c r="AY41" s="4">
        <v>0.5</v>
      </c>
      <c r="AZ41" s="4">
        <v>0.6</v>
      </c>
      <c r="BA41" s="4">
        <v>0.68</v>
      </c>
      <c r="BB41" s="4">
        <v>770.78802499999995</v>
      </c>
      <c r="BC41" s="4">
        <v>1.7000000000000001E-2</v>
      </c>
      <c r="BD41" s="3">
        <f>COUNT(AT41:AT43,AT46:AT50,AT53,AT56:AT63,AT65:AT69)</f>
        <v>22</v>
      </c>
      <c r="BE41" s="3">
        <f>30-BD41</f>
        <v>8</v>
      </c>
      <c r="BF41" s="3">
        <f>COUNT(BB40,BB44:BB45,BB51:BB52,BB54:BB55,BB64)</f>
        <v>8</v>
      </c>
      <c r="BG41" s="3">
        <f>30-BF41</f>
        <v>22</v>
      </c>
      <c r="BI41" s="4" t="s">
        <v>13</v>
      </c>
      <c r="BJ41" s="4">
        <v>0.9</v>
      </c>
      <c r="BK41" s="4">
        <v>0.5</v>
      </c>
      <c r="BL41" s="4">
        <v>0.6</v>
      </c>
      <c r="BM41" s="4">
        <v>0.3</v>
      </c>
      <c r="BN41" s="4">
        <v>637.76678500000003</v>
      </c>
      <c r="BO41" s="4">
        <v>4.0000000000000001E-3</v>
      </c>
      <c r="BQ41" s="4" t="s">
        <v>13</v>
      </c>
      <c r="BR41" s="4">
        <v>0.9</v>
      </c>
      <c r="BS41" s="4">
        <v>0.5</v>
      </c>
      <c r="BT41" s="4">
        <v>0.6</v>
      </c>
      <c r="BU41" s="4">
        <v>0.06</v>
      </c>
      <c r="BV41" s="6">
        <v>577.810608</v>
      </c>
      <c r="BW41" s="4">
        <v>1.4999999999999999E-2</v>
      </c>
      <c r="BX41" s="3">
        <f>COUNT(BN43:BN44,BN47,BN50:BN52,BN54:BN56,BN58:BN66,BN69)</f>
        <v>19</v>
      </c>
      <c r="BY41" s="3">
        <f>30-BX41</f>
        <v>11</v>
      </c>
      <c r="BZ41" s="3">
        <f>COUNT(BV40:BV42,BV45:BV46,BV48:BV49,BV53,BV57,BV67:BV68)</f>
        <v>11</v>
      </c>
      <c r="CA41" s="3">
        <f>30-BZ41</f>
        <v>19</v>
      </c>
    </row>
    <row r="42" spans="1:79" x14ac:dyDescent="0.3">
      <c r="A42" s="4" t="s">
        <v>14</v>
      </c>
      <c r="B42" s="4">
        <v>0.9</v>
      </c>
      <c r="C42" s="4">
        <v>0.5</v>
      </c>
      <c r="D42" s="4">
        <v>0.6</v>
      </c>
      <c r="E42" s="4">
        <v>0.3</v>
      </c>
      <c r="F42" s="6">
        <v>365.81158399999998</v>
      </c>
      <c r="G42" s="4">
        <v>1E-3</v>
      </c>
      <c r="I42" s="4" t="s">
        <v>14</v>
      </c>
      <c r="J42" s="4">
        <v>0.9</v>
      </c>
      <c r="K42" s="4">
        <v>0.5</v>
      </c>
      <c r="L42" s="4">
        <v>0.6</v>
      </c>
      <c r="M42" s="4">
        <v>0.01</v>
      </c>
      <c r="N42" s="4">
        <v>407.78213499999998</v>
      </c>
      <c r="O42" s="4">
        <v>1.4999999999999999E-2</v>
      </c>
      <c r="P42" s="5"/>
      <c r="Q42" s="5"/>
      <c r="R42" s="5"/>
      <c r="S42" s="5"/>
      <c r="U42" s="4" t="s">
        <v>14</v>
      </c>
      <c r="V42" s="4">
        <v>0.9</v>
      </c>
      <c r="W42" s="4">
        <v>0.5</v>
      </c>
      <c r="X42" s="4">
        <v>0.6</v>
      </c>
      <c r="Y42" s="4">
        <v>0.3</v>
      </c>
      <c r="Z42" s="6">
        <v>342.63439899999997</v>
      </c>
      <c r="AA42" s="4">
        <v>1E-3</v>
      </c>
      <c r="AC42" s="4" t="s">
        <v>14</v>
      </c>
      <c r="AD42" s="4">
        <v>0.9</v>
      </c>
      <c r="AE42" s="4">
        <v>0.5</v>
      </c>
      <c r="AF42" s="4">
        <v>0.6</v>
      </c>
      <c r="AG42" s="4">
        <v>0.54</v>
      </c>
      <c r="AH42" s="4">
        <v>354.68279999999999</v>
      </c>
      <c r="AI42" s="4">
        <v>2.1999999999999999E-2</v>
      </c>
      <c r="AJ42" s="5"/>
      <c r="AK42" s="5"/>
      <c r="AL42" s="5"/>
      <c r="AM42" s="5"/>
      <c r="AO42" s="4" t="s">
        <v>15</v>
      </c>
      <c r="AP42" s="4">
        <v>0.9</v>
      </c>
      <c r="AQ42" s="4">
        <v>0.5</v>
      </c>
      <c r="AR42" s="4">
        <v>0.6</v>
      </c>
      <c r="AS42" s="4">
        <v>0.3</v>
      </c>
      <c r="AT42" s="6">
        <v>719.05767800000001</v>
      </c>
      <c r="AU42" s="4">
        <v>5.0000000000000001E-3</v>
      </c>
      <c r="AW42" s="4" t="s">
        <v>15</v>
      </c>
      <c r="AX42" s="4">
        <v>0.9</v>
      </c>
      <c r="AY42" s="4">
        <v>0.5</v>
      </c>
      <c r="AZ42" s="4">
        <v>0.6</v>
      </c>
      <c r="BA42" s="4">
        <v>0.57999999999999996</v>
      </c>
      <c r="BB42" s="4">
        <v>827.30084199999999</v>
      </c>
      <c r="BC42" s="4">
        <v>0.02</v>
      </c>
      <c r="BD42" s="5"/>
      <c r="BE42" s="5"/>
      <c r="BF42" s="5"/>
      <c r="BG42" s="5"/>
      <c r="BI42" s="4" t="s">
        <v>15</v>
      </c>
      <c r="BJ42" s="4">
        <v>0.9</v>
      </c>
      <c r="BK42" s="4">
        <v>0.5</v>
      </c>
      <c r="BL42" s="4">
        <v>0.6</v>
      </c>
      <c r="BM42" s="4">
        <v>0.3</v>
      </c>
      <c r="BN42" s="4">
        <v>692.91436799999997</v>
      </c>
      <c r="BO42" s="4">
        <v>7.0000000000000001E-3</v>
      </c>
      <c r="BQ42" s="4" t="s">
        <v>15</v>
      </c>
      <c r="BR42" s="4">
        <v>0.9</v>
      </c>
      <c r="BS42" s="4">
        <v>0.5</v>
      </c>
      <c r="BT42" s="4">
        <v>0.6</v>
      </c>
      <c r="BU42" s="4">
        <v>0.04</v>
      </c>
      <c r="BV42" s="6">
        <v>602.979736</v>
      </c>
      <c r="BW42" s="4">
        <v>1.4E-2</v>
      </c>
      <c r="BX42" s="5"/>
      <c r="BY42" s="5"/>
      <c r="BZ42" s="5"/>
      <c r="CA42" s="5"/>
    </row>
    <row r="43" spans="1:79" x14ac:dyDescent="0.3">
      <c r="A43" s="4" t="s">
        <v>16</v>
      </c>
      <c r="B43" s="4">
        <v>0.9</v>
      </c>
      <c r="C43" s="4">
        <v>0.5</v>
      </c>
      <c r="D43" s="4">
        <v>0.6</v>
      </c>
      <c r="E43" s="4">
        <v>0.3</v>
      </c>
      <c r="F43" s="6">
        <v>393.74658199999999</v>
      </c>
      <c r="G43" s="4">
        <v>0</v>
      </c>
      <c r="I43" s="4" t="s">
        <v>16</v>
      </c>
      <c r="J43" s="4">
        <v>0.9</v>
      </c>
      <c r="K43" s="4">
        <v>0.5</v>
      </c>
      <c r="L43" s="4">
        <v>0.6</v>
      </c>
      <c r="M43" s="4">
        <v>0.06</v>
      </c>
      <c r="N43" s="4">
        <v>398.10732999999999</v>
      </c>
      <c r="O43" s="4">
        <v>0.01</v>
      </c>
      <c r="P43" s="5"/>
      <c r="Q43" s="5"/>
      <c r="R43" s="5"/>
      <c r="S43" s="5"/>
      <c r="U43" s="4" t="s">
        <v>16</v>
      </c>
      <c r="V43" s="4">
        <v>0.9</v>
      </c>
      <c r="W43" s="4">
        <v>0.5</v>
      </c>
      <c r="X43" s="4">
        <v>0.6</v>
      </c>
      <c r="Y43" s="4">
        <v>0.3</v>
      </c>
      <c r="Z43" s="6">
        <v>375.51773100000003</v>
      </c>
      <c r="AA43" s="4">
        <v>0</v>
      </c>
      <c r="AC43" s="4" t="s">
        <v>16</v>
      </c>
      <c r="AD43" s="4">
        <v>0.9</v>
      </c>
      <c r="AE43" s="4">
        <v>0.5</v>
      </c>
      <c r="AF43" s="4">
        <v>0.6</v>
      </c>
      <c r="AG43" s="4">
        <v>0.41</v>
      </c>
      <c r="AH43" s="4">
        <v>392.34265099999999</v>
      </c>
      <c r="AI43" s="4">
        <v>1.2E-2</v>
      </c>
      <c r="AJ43" s="5"/>
      <c r="AK43" s="5"/>
      <c r="AL43" s="5"/>
      <c r="AM43" s="5"/>
      <c r="AO43" s="4" t="s">
        <v>17</v>
      </c>
      <c r="AP43" s="4">
        <v>0.9</v>
      </c>
      <c r="AQ43" s="4">
        <v>0.5</v>
      </c>
      <c r="AR43" s="4">
        <v>0.6</v>
      </c>
      <c r="AS43" s="4">
        <v>0.3</v>
      </c>
      <c r="AT43" s="6">
        <v>705.48370399999999</v>
      </c>
      <c r="AU43" s="4">
        <v>3.0000000000000001E-3</v>
      </c>
      <c r="AW43" s="4" t="s">
        <v>17</v>
      </c>
      <c r="AX43" s="4">
        <v>0.9</v>
      </c>
      <c r="AY43" s="4">
        <v>0.5</v>
      </c>
      <c r="AZ43" s="4">
        <v>0.6</v>
      </c>
      <c r="BA43" s="4">
        <v>0.93</v>
      </c>
      <c r="BB43" s="4">
        <v>886.31329300000004</v>
      </c>
      <c r="BC43" s="4">
        <v>1.4E-2</v>
      </c>
      <c r="BD43" s="5"/>
      <c r="BE43" s="5"/>
      <c r="BF43" s="5"/>
      <c r="BG43" s="5"/>
      <c r="BI43" s="4" t="s">
        <v>17</v>
      </c>
      <c r="BJ43" s="4">
        <v>0.9</v>
      </c>
      <c r="BK43" s="4">
        <v>0.5</v>
      </c>
      <c r="BL43" s="4">
        <v>0.6</v>
      </c>
      <c r="BM43" s="4">
        <v>0.3</v>
      </c>
      <c r="BN43" s="6">
        <v>683.88458300000002</v>
      </c>
      <c r="BO43" s="4">
        <v>1.4E-2</v>
      </c>
      <c r="BQ43" s="4" t="s">
        <v>17</v>
      </c>
      <c r="BR43" s="4">
        <v>0.9</v>
      </c>
      <c r="BS43" s="4">
        <v>0.5</v>
      </c>
      <c r="BT43" s="4">
        <v>0.6</v>
      </c>
      <c r="BU43" s="4">
        <v>0.76</v>
      </c>
      <c r="BV43" s="4">
        <v>831.582581</v>
      </c>
      <c r="BW43" s="4">
        <v>1.4E-2</v>
      </c>
      <c r="BX43" s="5"/>
      <c r="BY43" s="5"/>
      <c r="BZ43" s="5"/>
      <c r="CA43" s="5"/>
    </row>
    <row r="44" spans="1:79" x14ac:dyDescent="0.3">
      <c r="A44" s="4" t="s">
        <v>18</v>
      </c>
      <c r="B44" s="4">
        <v>0.9</v>
      </c>
      <c r="C44" s="4">
        <v>0.5</v>
      </c>
      <c r="D44" s="4">
        <v>0.6</v>
      </c>
      <c r="E44" s="4">
        <v>0.3</v>
      </c>
      <c r="F44" s="6">
        <v>343.11834700000003</v>
      </c>
      <c r="G44" s="4">
        <v>1E-3</v>
      </c>
      <c r="I44" s="4" t="s">
        <v>18</v>
      </c>
      <c r="J44" s="4">
        <v>0.9</v>
      </c>
      <c r="K44" s="4">
        <v>0.5</v>
      </c>
      <c r="L44" s="4">
        <v>0.6</v>
      </c>
      <c r="M44" s="4">
        <v>0.74</v>
      </c>
      <c r="N44" s="4">
        <v>365.83923299999998</v>
      </c>
      <c r="O44" s="4">
        <v>1.0999999999999999E-2</v>
      </c>
      <c r="P44" s="5"/>
      <c r="Q44" s="5"/>
      <c r="R44" s="5"/>
      <c r="S44" s="5"/>
      <c r="U44" s="4" t="s">
        <v>18</v>
      </c>
      <c r="V44" s="4">
        <v>0.9</v>
      </c>
      <c r="W44" s="4">
        <v>0.5</v>
      </c>
      <c r="X44" s="4">
        <v>0.6</v>
      </c>
      <c r="Y44" s="4">
        <v>0.3</v>
      </c>
      <c r="Z44" s="6">
        <v>326.76788299999998</v>
      </c>
      <c r="AA44" s="4">
        <v>1E-3</v>
      </c>
      <c r="AC44" s="4" t="s">
        <v>18</v>
      </c>
      <c r="AD44" s="4">
        <v>0.9</v>
      </c>
      <c r="AE44" s="4">
        <v>0.5</v>
      </c>
      <c r="AF44" s="4">
        <v>0.6</v>
      </c>
      <c r="AG44" s="4">
        <v>0.96</v>
      </c>
      <c r="AH44" s="4">
        <v>354.216339</v>
      </c>
      <c r="AI44" s="4">
        <v>0.01</v>
      </c>
      <c r="AJ44" s="5"/>
      <c r="AK44" s="5"/>
      <c r="AL44" s="5"/>
      <c r="AM44" s="5"/>
      <c r="AO44" s="4" t="s">
        <v>19</v>
      </c>
      <c r="AP44" s="4">
        <v>0.9</v>
      </c>
      <c r="AQ44" s="4">
        <v>0.5</v>
      </c>
      <c r="AR44" s="4">
        <v>0.6</v>
      </c>
      <c r="AS44" s="4">
        <v>0.3</v>
      </c>
      <c r="AT44" s="4">
        <v>732.04168700000002</v>
      </c>
      <c r="AU44" s="4">
        <v>3.0000000000000001E-3</v>
      </c>
      <c r="AW44" s="4" t="s">
        <v>19</v>
      </c>
      <c r="AX44" s="4">
        <v>0.9</v>
      </c>
      <c r="AY44" s="4">
        <v>0.5</v>
      </c>
      <c r="AZ44" s="4">
        <v>0.6</v>
      </c>
      <c r="BA44" s="4">
        <v>0.14000000000000001</v>
      </c>
      <c r="BB44" s="6">
        <v>697.42907700000001</v>
      </c>
      <c r="BC44" s="4">
        <v>1.7000000000000001E-2</v>
      </c>
      <c r="BD44" s="5"/>
      <c r="BE44" s="5"/>
      <c r="BF44" s="5"/>
      <c r="BG44" s="5"/>
      <c r="BI44" s="4" t="s">
        <v>19</v>
      </c>
      <c r="BJ44" s="4">
        <v>0.9</v>
      </c>
      <c r="BK44" s="4">
        <v>0.5</v>
      </c>
      <c r="BL44" s="4">
        <v>0.6</v>
      </c>
      <c r="BM44" s="4">
        <v>0.3</v>
      </c>
      <c r="BN44" s="6">
        <v>706.17315699999995</v>
      </c>
      <c r="BO44" s="4">
        <v>5.0000000000000001E-3</v>
      </c>
      <c r="BQ44" s="4" t="s">
        <v>19</v>
      </c>
      <c r="BR44" s="4">
        <v>0.9</v>
      </c>
      <c r="BS44" s="4">
        <v>0.5</v>
      </c>
      <c r="BT44" s="4">
        <v>0.6</v>
      </c>
      <c r="BU44" s="4">
        <v>0.56999999999999995</v>
      </c>
      <c r="BV44" s="4">
        <v>801.44714399999998</v>
      </c>
      <c r="BW44" s="4">
        <v>1.4999999999999999E-2</v>
      </c>
      <c r="BX44" s="5"/>
      <c r="BY44" s="5"/>
      <c r="BZ44" s="5"/>
      <c r="CA44" s="5"/>
    </row>
    <row r="45" spans="1:79" x14ac:dyDescent="0.3">
      <c r="A45" s="4" t="s">
        <v>20</v>
      </c>
      <c r="B45" s="4">
        <v>0.9</v>
      </c>
      <c r="C45" s="4">
        <v>0.5</v>
      </c>
      <c r="D45" s="4">
        <v>0.6</v>
      </c>
      <c r="E45" s="4">
        <v>0.3</v>
      </c>
      <c r="F45" s="6">
        <v>408.74941999999999</v>
      </c>
      <c r="G45" s="4">
        <v>0</v>
      </c>
      <c r="I45" s="4" t="s">
        <v>20</v>
      </c>
      <c r="J45" s="4">
        <v>0.9</v>
      </c>
      <c r="K45" s="4">
        <v>0.5</v>
      </c>
      <c r="L45" s="4">
        <v>0.6</v>
      </c>
      <c r="M45" s="4">
        <v>0.71</v>
      </c>
      <c r="N45" s="4">
        <v>416.73880000000003</v>
      </c>
      <c r="O45" s="4">
        <v>1.4E-2</v>
      </c>
      <c r="P45" s="5"/>
      <c r="Q45" s="5"/>
      <c r="R45" s="5"/>
      <c r="S45" s="5"/>
      <c r="U45" s="4" t="s">
        <v>20</v>
      </c>
      <c r="V45" s="4">
        <v>0.9</v>
      </c>
      <c r="W45" s="4">
        <v>0.5</v>
      </c>
      <c r="X45" s="4">
        <v>0.6</v>
      </c>
      <c r="Y45" s="4">
        <v>0.3</v>
      </c>
      <c r="Z45" s="6">
        <v>395.60012799999998</v>
      </c>
      <c r="AA45" s="4">
        <v>0</v>
      </c>
      <c r="AC45" s="4" t="s">
        <v>20</v>
      </c>
      <c r="AD45" s="4">
        <v>0.9</v>
      </c>
      <c r="AE45" s="4">
        <v>0.5</v>
      </c>
      <c r="AF45" s="4">
        <v>0.6</v>
      </c>
      <c r="AG45" s="4">
        <v>0.43</v>
      </c>
      <c r="AH45" s="4">
        <v>401.08624300000002</v>
      </c>
      <c r="AI45" s="4">
        <v>1.7999999999999999E-2</v>
      </c>
      <c r="AJ45" s="5"/>
      <c r="AK45" s="5"/>
      <c r="AL45" s="5"/>
      <c r="AM45" s="5"/>
      <c r="AO45" s="4" t="s">
        <v>21</v>
      </c>
      <c r="AP45" s="4">
        <v>0.9</v>
      </c>
      <c r="AQ45" s="4">
        <v>0.5</v>
      </c>
      <c r="AR45" s="4">
        <v>0.6</v>
      </c>
      <c r="AS45" s="4">
        <v>0.3</v>
      </c>
      <c r="AT45" s="4">
        <v>719.18890399999998</v>
      </c>
      <c r="AU45" s="4">
        <v>5.0000000000000001E-3</v>
      </c>
      <c r="AW45" s="4" t="s">
        <v>21</v>
      </c>
      <c r="AX45" s="4">
        <v>0.9</v>
      </c>
      <c r="AY45" s="4">
        <v>0.5</v>
      </c>
      <c r="AZ45" s="4">
        <v>0.6</v>
      </c>
      <c r="BA45" s="4">
        <v>0.01</v>
      </c>
      <c r="BB45" s="6">
        <v>668.41412400000002</v>
      </c>
      <c r="BC45" s="4">
        <v>1.4E-2</v>
      </c>
      <c r="BD45" s="5"/>
      <c r="BE45" s="5"/>
      <c r="BF45" s="5"/>
      <c r="BG45" s="5"/>
      <c r="BI45" s="4" t="s">
        <v>21</v>
      </c>
      <c r="BJ45" s="4">
        <v>0.9</v>
      </c>
      <c r="BK45" s="4">
        <v>0.5</v>
      </c>
      <c r="BL45" s="4">
        <v>0.6</v>
      </c>
      <c r="BM45" s="4">
        <v>0.3</v>
      </c>
      <c r="BN45" s="4">
        <v>709.180115</v>
      </c>
      <c r="BO45" s="4">
        <v>7.0000000000000001E-3</v>
      </c>
      <c r="BQ45" s="4" t="s">
        <v>21</v>
      </c>
      <c r="BR45" s="4">
        <v>0.9</v>
      </c>
      <c r="BS45" s="4">
        <v>0.5</v>
      </c>
      <c r="BT45" s="4">
        <v>0.6</v>
      </c>
      <c r="BU45" s="4">
        <v>0.16</v>
      </c>
      <c r="BV45" s="6">
        <v>663.37573199999997</v>
      </c>
      <c r="BW45" s="4">
        <v>1.0999999999999999E-2</v>
      </c>
      <c r="BX45" s="5"/>
      <c r="BY45" s="5"/>
      <c r="BZ45" s="5"/>
      <c r="CA45" s="5"/>
    </row>
    <row r="46" spans="1:79" x14ac:dyDescent="0.3">
      <c r="A46" s="4" t="s">
        <v>22</v>
      </c>
      <c r="B46" s="4">
        <v>0.9</v>
      </c>
      <c r="C46" s="4">
        <v>0.5</v>
      </c>
      <c r="D46" s="4">
        <v>0.6</v>
      </c>
      <c r="E46" s="4">
        <v>0.3</v>
      </c>
      <c r="F46" s="6">
        <v>384.91159099999999</v>
      </c>
      <c r="G46" s="4">
        <v>0</v>
      </c>
      <c r="I46" s="4" t="s">
        <v>22</v>
      </c>
      <c r="J46" s="4">
        <v>0.9</v>
      </c>
      <c r="K46" s="4">
        <v>0.5</v>
      </c>
      <c r="L46" s="4">
        <v>0.6</v>
      </c>
      <c r="M46" s="4">
        <v>0.02</v>
      </c>
      <c r="N46" s="4">
        <v>392.16110200000003</v>
      </c>
      <c r="O46" s="4">
        <v>1.9E-2</v>
      </c>
      <c r="P46" s="5"/>
      <c r="Q46" s="5"/>
      <c r="R46" s="5"/>
      <c r="S46" s="5"/>
      <c r="U46" s="4" t="s">
        <v>22</v>
      </c>
      <c r="V46" s="4">
        <v>0.9</v>
      </c>
      <c r="W46" s="4">
        <v>0.5</v>
      </c>
      <c r="X46" s="4">
        <v>0.6</v>
      </c>
      <c r="Y46" s="4">
        <v>0.3</v>
      </c>
      <c r="Z46" s="6">
        <v>366.73147599999999</v>
      </c>
      <c r="AA46" s="4">
        <v>0</v>
      </c>
      <c r="AC46" s="4" t="s">
        <v>22</v>
      </c>
      <c r="AD46" s="4">
        <v>0.9</v>
      </c>
      <c r="AE46" s="4">
        <v>0.5</v>
      </c>
      <c r="AF46" s="4">
        <v>0.6</v>
      </c>
      <c r="AG46" s="4">
        <v>0.98</v>
      </c>
      <c r="AH46" s="4">
        <v>390.95031699999998</v>
      </c>
      <c r="AI46" s="4">
        <v>1.0999999999999999E-2</v>
      </c>
      <c r="AJ46" s="5"/>
      <c r="AK46" s="5"/>
      <c r="AL46" s="5"/>
      <c r="AM46" s="5"/>
      <c r="AO46" s="4" t="s">
        <v>23</v>
      </c>
      <c r="AP46" s="4">
        <v>0.9</v>
      </c>
      <c r="AQ46" s="4">
        <v>0.5</v>
      </c>
      <c r="AR46" s="4">
        <v>0.6</v>
      </c>
      <c r="AS46" s="4">
        <v>0.3</v>
      </c>
      <c r="AT46" s="6">
        <v>717.97912599999995</v>
      </c>
      <c r="AU46" s="4">
        <v>3.0000000000000001E-3</v>
      </c>
      <c r="AW46" s="4" t="s">
        <v>23</v>
      </c>
      <c r="AX46" s="4">
        <v>0.9</v>
      </c>
      <c r="AY46" s="4">
        <v>0.5</v>
      </c>
      <c r="AZ46" s="4">
        <v>0.6</v>
      </c>
      <c r="BA46" s="4">
        <v>0.33</v>
      </c>
      <c r="BB46" s="4">
        <v>745.76147500000002</v>
      </c>
      <c r="BC46" s="4">
        <v>2.7E-2</v>
      </c>
      <c r="BD46" s="5"/>
      <c r="BE46" s="5"/>
      <c r="BF46" s="5"/>
      <c r="BG46" s="5"/>
      <c r="BI46" s="4" t="s">
        <v>23</v>
      </c>
      <c r="BJ46" s="4">
        <v>0.9</v>
      </c>
      <c r="BK46" s="4">
        <v>0.5</v>
      </c>
      <c r="BL46" s="4">
        <v>0.6</v>
      </c>
      <c r="BM46" s="4">
        <v>0.3</v>
      </c>
      <c r="BN46" s="4">
        <v>709.20135500000004</v>
      </c>
      <c r="BO46" s="4">
        <v>4.0000000000000001E-3</v>
      </c>
      <c r="BQ46" s="4" t="s">
        <v>23</v>
      </c>
      <c r="BR46" s="4">
        <v>0.9</v>
      </c>
      <c r="BS46" s="4">
        <v>0.5</v>
      </c>
      <c r="BT46" s="4">
        <v>0.6</v>
      </c>
      <c r="BU46" s="4">
        <v>0.18</v>
      </c>
      <c r="BV46" s="6">
        <v>677.18414299999995</v>
      </c>
      <c r="BW46" s="4">
        <v>1.9E-2</v>
      </c>
      <c r="BX46" s="5"/>
      <c r="BY46" s="5"/>
      <c r="BZ46" s="5"/>
      <c r="CA46" s="5"/>
    </row>
    <row r="47" spans="1:79" x14ac:dyDescent="0.3">
      <c r="A47" s="4" t="s">
        <v>24</v>
      </c>
      <c r="B47" s="4">
        <v>0.9</v>
      </c>
      <c r="C47" s="4">
        <v>0.5</v>
      </c>
      <c r="D47" s="4">
        <v>0.6</v>
      </c>
      <c r="E47" s="4">
        <v>0.3</v>
      </c>
      <c r="F47" s="6">
        <v>461.71353099999999</v>
      </c>
      <c r="G47" s="4">
        <v>1E-3</v>
      </c>
      <c r="I47" s="4" t="s">
        <v>24</v>
      </c>
      <c r="J47" s="4">
        <v>0.9</v>
      </c>
      <c r="K47" s="4">
        <v>0.5</v>
      </c>
      <c r="L47" s="4">
        <v>0.6</v>
      </c>
      <c r="M47" s="4">
        <v>0.41</v>
      </c>
      <c r="N47" s="4">
        <v>466.05148300000002</v>
      </c>
      <c r="O47" s="4">
        <v>1.4E-2</v>
      </c>
      <c r="P47" s="5"/>
      <c r="Q47" s="5"/>
      <c r="R47" s="5"/>
      <c r="S47" s="5"/>
      <c r="U47" s="4" t="s">
        <v>24</v>
      </c>
      <c r="V47" s="4">
        <v>0.9</v>
      </c>
      <c r="W47" s="4">
        <v>0.5</v>
      </c>
      <c r="X47" s="4">
        <v>0.6</v>
      </c>
      <c r="Y47" s="4">
        <v>0.3</v>
      </c>
      <c r="Z47" s="6">
        <v>427.68786599999999</v>
      </c>
      <c r="AA47" s="4">
        <v>0</v>
      </c>
      <c r="AC47" s="4" t="s">
        <v>24</v>
      </c>
      <c r="AD47" s="4">
        <v>0.9</v>
      </c>
      <c r="AE47" s="4">
        <v>0.5</v>
      </c>
      <c r="AF47" s="4">
        <v>0.6</v>
      </c>
      <c r="AG47" s="4">
        <v>7.0000000000000007E-2</v>
      </c>
      <c r="AH47" s="4">
        <v>442.87179600000002</v>
      </c>
      <c r="AI47" s="4">
        <v>1.4999999999999999E-2</v>
      </c>
      <c r="AJ47" s="5"/>
      <c r="AK47" s="5"/>
      <c r="AL47" s="5"/>
      <c r="AM47" s="5"/>
      <c r="AO47" s="4" t="s">
        <v>25</v>
      </c>
      <c r="AP47" s="4">
        <v>0.9</v>
      </c>
      <c r="AQ47" s="4">
        <v>0.5</v>
      </c>
      <c r="AR47" s="4">
        <v>0.6</v>
      </c>
      <c r="AS47" s="4">
        <v>0.3</v>
      </c>
      <c r="AT47" s="6">
        <v>748.07659899999999</v>
      </c>
      <c r="AU47" s="4">
        <v>6.0000000000000001E-3</v>
      </c>
      <c r="AW47" s="4" t="s">
        <v>25</v>
      </c>
      <c r="AX47" s="4">
        <v>0.9</v>
      </c>
      <c r="AY47" s="4">
        <v>0.5</v>
      </c>
      <c r="AZ47" s="4">
        <v>0.6</v>
      </c>
      <c r="BA47" s="4">
        <v>0.35</v>
      </c>
      <c r="BB47" s="4">
        <v>768.32745399999999</v>
      </c>
      <c r="BC47" s="4">
        <v>0.01</v>
      </c>
      <c r="BD47" s="5"/>
      <c r="BE47" s="5"/>
      <c r="BF47" s="5"/>
      <c r="BG47" s="5"/>
      <c r="BI47" s="4" t="s">
        <v>25</v>
      </c>
      <c r="BJ47" s="4">
        <v>0.9</v>
      </c>
      <c r="BK47" s="4">
        <v>0.5</v>
      </c>
      <c r="BL47" s="4">
        <v>0.6</v>
      </c>
      <c r="BM47" s="4">
        <v>0.3</v>
      </c>
      <c r="BN47" s="6">
        <v>727.69781499999999</v>
      </c>
      <c r="BO47" s="4">
        <v>3.0000000000000001E-3</v>
      </c>
      <c r="BQ47" s="4" t="s">
        <v>25</v>
      </c>
      <c r="BR47" s="4">
        <v>0.9</v>
      </c>
      <c r="BS47" s="4">
        <v>0.5</v>
      </c>
      <c r="BT47" s="4">
        <v>0.6</v>
      </c>
      <c r="BU47" s="4">
        <v>0.62</v>
      </c>
      <c r="BV47" s="4">
        <v>814.37048300000004</v>
      </c>
      <c r="BW47" s="4">
        <v>1.7999999999999999E-2</v>
      </c>
      <c r="BX47" s="5"/>
      <c r="BY47" s="5"/>
      <c r="BZ47" s="5"/>
      <c r="CA47" s="5"/>
    </row>
    <row r="48" spans="1:79" x14ac:dyDescent="0.3">
      <c r="A48" s="4" t="s">
        <v>26</v>
      </c>
      <c r="B48" s="4">
        <v>0.9</v>
      </c>
      <c r="C48" s="4">
        <v>0.5</v>
      </c>
      <c r="D48" s="4">
        <v>0.6</v>
      </c>
      <c r="E48" s="4">
        <v>0.3</v>
      </c>
      <c r="F48" s="6">
        <v>414.63421599999998</v>
      </c>
      <c r="G48" s="4">
        <v>1E-3</v>
      </c>
      <c r="I48" s="4" t="s">
        <v>26</v>
      </c>
      <c r="J48" s="4">
        <v>0.9</v>
      </c>
      <c r="K48" s="4">
        <v>0.5</v>
      </c>
      <c r="L48" s="4">
        <v>0.6</v>
      </c>
      <c r="M48" s="4">
        <v>0.55000000000000004</v>
      </c>
      <c r="N48" s="4">
        <v>429.30593900000002</v>
      </c>
      <c r="O48" s="4">
        <v>1.2E-2</v>
      </c>
      <c r="P48" s="5"/>
      <c r="Q48" s="5"/>
      <c r="R48" s="5"/>
      <c r="S48" s="5"/>
      <c r="U48" s="4" t="s">
        <v>26</v>
      </c>
      <c r="V48" s="4">
        <v>0.9</v>
      </c>
      <c r="W48" s="4">
        <v>0.5</v>
      </c>
      <c r="X48" s="4">
        <v>0.6</v>
      </c>
      <c r="Y48" s="4">
        <v>0.3</v>
      </c>
      <c r="Z48" s="6">
        <v>399.25683600000002</v>
      </c>
      <c r="AA48" s="4">
        <v>1E-3</v>
      </c>
      <c r="AC48" s="4" t="s">
        <v>26</v>
      </c>
      <c r="AD48" s="4">
        <v>0.9</v>
      </c>
      <c r="AE48" s="4">
        <v>0.5</v>
      </c>
      <c r="AF48" s="4">
        <v>0.6</v>
      </c>
      <c r="AG48" s="4">
        <v>0.46</v>
      </c>
      <c r="AH48" s="4">
        <v>409.87942500000003</v>
      </c>
      <c r="AI48" s="4">
        <v>0.06</v>
      </c>
      <c r="AJ48" s="5"/>
      <c r="AK48" s="5"/>
      <c r="AL48" s="5"/>
      <c r="AM48" s="5"/>
      <c r="AO48" s="4" t="s">
        <v>27</v>
      </c>
      <c r="AP48" s="4">
        <v>0.9</v>
      </c>
      <c r="AQ48" s="4">
        <v>0.5</v>
      </c>
      <c r="AR48" s="4">
        <v>0.6</v>
      </c>
      <c r="AS48" s="4">
        <v>0.3</v>
      </c>
      <c r="AT48" s="6">
        <v>714.16357400000004</v>
      </c>
      <c r="AU48" s="4">
        <v>4.0000000000000001E-3</v>
      </c>
      <c r="AW48" s="4" t="s">
        <v>27</v>
      </c>
      <c r="AX48" s="4">
        <v>0.9</v>
      </c>
      <c r="AY48" s="4">
        <v>0.5</v>
      </c>
      <c r="AZ48" s="4">
        <v>0.6</v>
      </c>
      <c r="BA48" s="4">
        <v>0.38</v>
      </c>
      <c r="BB48" s="4">
        <v>758.743652</v>
      </c>
      <c r="BC48" s="4">
        <v>0.01</v>
      </c>
      <c r="BD48" s="5"/>
      <c r="BE48" s="5"/>
      <c r="BF48" s="5"/>
      <c r="BG48" s="5"/>
      <c r="BI48" s="4" t="s">
        <v>27</v>
      </c>
      <c r="BJ48" s="4">
        <v>0.9</v>
      </c>
      <c r="BK48" s="4">
        <v>0.5</v>
      </c>
      <c r="BL48" s="4">
        <v>0.6</v>
      </c>
      <c r="BM48" s="4">
        <v>0.3</v>
      </c>
      <c r="BN48" s="4">
        <v>679.18762200000003</v>
      </c>
      <c r="BO48" s="4">
        <v>6.0000000000000001E-3</v>
      </c>
      <c r="BQ48" s="4" t="s">
        <v>27</v>
      </c>
      <c r="BR48" s="4">
        <v>0.9</v>
      </c>
      <c r="BS48" s="4">
        <v>0.5</v>
      </c>
      <c r="BT48" s="4">
        <v>0.6</v>
      </c>
      <c r="BU48" s="4">
        <v>0.17</v>
      </c>
      <c r="BV48" s="6">
        <v>643.71209699999997</v>
      </c>
      <c r="BW48" s="4">
        <v>1.0999999999999999E-2</v>
      </c>
      <c r="BX48" s="5"/>
      <c r="BY48" s="5"/>
      <c r="BZ48" s="5"/>
      <c r="CA48" s="5"/>
    </row>
    <row r="49" spans="1:79" x14ac:dyDescent="0.3">
      <c r="A49" s="4" t="s">
        <v>28</v>
      </c>
      <c r="B49" s="4">
        <v>0.9</v>
      </c>
      <c r="C49" s="4">
        <v>0.5</v>
      </c>
      <c r="D49" s="4">
        <v>0.6</v>
      </c>
      <c r="E49" s="4">
        <v>0.3</v>
      </c>
      <c r="F49" s="6">
        <v>342.79367100000002</v>
      </c>
      <c r="G49" s="4">
        <v>0</v>
      </c>
      <c r="I49" s="4" t="s">
        <v>28</v>
      </c>
      <c r="J49" s="4">
        <v>0.9</v>
      </c>
      <c r="K49" s="4">
        <v>0.5</v>
      </c>
      <c r="L49" s="4">
        <v>0.6</v>
      </c>
      <c r="M49" s="4">
        <v>0.09</v>
      </c>
      <c r="N49" s="8">
        <v>342.79367100000002</v>
      </c>
      <c r="O49" s="4">
        <v>1.0999999999999999E-2</v>
      </c>
      <c r="P49" s="5"/>
      <c r="Q49" s="5"/>
      <c r="R49" s="5"/>
      <c r="S49" s="5"/>
      <c r="U49" s="4" t="s">
        <v>28</v>
      </c>
      <c r="V49" s="4">
        <v>0.9</v>
      </c>
      <c r="W49" s="4">
        <v>0.5</v>
      </c>
      <c r="X49" s="4">
        <v>0.6</v>
      </c>
      <c r="Y49" s="4">
        <v>0.3</v>
      </c>
      <c r="Z49" s="6">
        <v>321.518372</v>
      </c>
      <c r="AA49" s="4">
        <v>1E-3</v>
      </c>
      <c r="AC49" s="4" t="s">
        <v>28</v>
      </c>
      <c r="AD49" s="4">
        <v>0.9</v>
      </c>
      <c r="AE49" s="4">
        <v>0.5</v>
      </c>
      <c r="AF49" s="4">
        <v>0.6</v>
      </c>
      <c r="AG49" s="4">
        <v>0.56000000000000005</v>
      </c>
      <c r="AH49" s="4">
        <v>336.56967200000003</v>
      </c>
      <c r="AI49" s="4">
        <v>1.6E-2</v>
      </c>
      <c r="AJ49" s="5"/>
      <c r="AK49" s="5"/>
      <c r="AL49" s="5"/>
      <c r="AM49" s="5"/>
      <c r="AO49" s="4" t="s">
        <v>29</v>
      </c>
      <c r="AP49" s="4">
        <v>0.9</v>
      </c>
      <c r="AQ49" s="4">
        <v>0.5</v>
      </c>
      <c r="AR49" s="4">
        <v>0.6</v>
      </c>
      <c r="AS49" s="4">
        <v>0.3</v>
      </c>
      <c r="AT49" s="6">
        <v>729.83819600000004</v>
      </c>
      <c r="AU49" s="4">
        <v>5.0000000000000001E-3</v>
      </c>
      <c r="AW49" s="4" t="s">
        <v>29</v>
      </c>
      <c r="AX49" s="4">
        <v>0.9</v>
      </c>
      <c r="AY49" s="4">
        <v>0.5</v>
      </c>
      <c r="AZ49" s="4">
        <v>0.6</v>
      </c>
      <c r="BA49" s="4">
        <v>0.34</v>
      </c>
      <c r="BB49" s="4">
        <v>765.08569299999999</v>
      </c>
      <c r="BC49" s="4">
        <v>1.2E-2</v>
      </c>
      <c r="BD49" s="5"/>
      <c r="BE49" s="5"/>
      <c r="BF49" s="5"/>
      <c r="BG49" s="5"/>
      <c r="BI49" s="4" t="s">
        <v>29</v>
      </c>
      <c r="BJ49" s="4">
        <v>0.9</v>
      </c>
      <c r="BK49" s="4">
        <v>0.5</v>
      </c>
      <c r="BL49" s="4">
        <v>0.6</v>
      </c>
      <c r="BM49" s="4">
        <v>0.3</v>
      </c>
      <c r="BN49" s="4">
        <v>717.11614999999995</v>
      </c>
      <c r="BO49" s="4">
        <v>6.0000000000000001E-3</v>
      </c>
      <c r="BQ49" s="4" t="s">
        <v>29</v>
      </c>
      <c r="BR49" s="4">
        <v>0.9</v>
      </c>
      <c r="BS49" s="4">
        <v>0.5</v>
      </c>
      <c r="BT49" s="4">
        <v>0.6</v>
      </c>
      <c r="BU49" s="4">
        <v>0.05</v>
      </c>
      <c r="BV49" s="6">
        <v>633.13159199999996</v>
      </c>
      <c r="BW49" s="4">
        <v>1.4E-2</v>
      </c>
      <c r="BX49" s="5"/>
      <c r="BY49" s="5"/>
      <c r="BZ49" s="5"/>
      <c r="CA49" s="5"/>
    </row>
    <row r="50" spans="1:79" x14ac:dyDescent="0.3">
      <c r="A50" s="4" t="s">
        <v>30</v>
      </c>
      <c r="B50" s="4">
        <v>0.9</v>
      </c>
      <c r="C50" s="4">
        <v>0.5</v>
      </c>
      <c r="D50" s="4">
        <v>0.6</v>
      </c>
      <c r="E50" s="4">
        <v>0.3</v>
      </c>
      <c r="F50" s="6">
        <v>506.13494900000001</v>
      </c>
      <c r="G50" s="4">
        <v>0</v>
      </c>
      <c r="I50" s="4" t="s">
        <v>30</v>
      </c>
      <c r="J50" s="4">
        <v>0.9</v>
      </c>
      <c r="K50" s="4">
        <v>0.5</v>
      </c>
      <c r="L50" s="4">
        <v>0.6</v>
      </c>
      <c r="M50" s="4">
        <v>0.95</v>
      </c>
      <c r="N50" s="4">
        <v>599.32690400000001</v>
      </c>
      <c r="O50" s="4">
        <v>1.0999999999999999E-2</v>
      </c>
      <c r="P50" s="5"/>
      <c r="Q50" s="5"/>
      <c r="R50" s="5"/>
      <c r="S50" s="5"/>
      <c r="U50" s="4" t="s">
        <v>30</v>
      </c>
      <c r="V50" s="4">
        <v>0.9</v>
      </c>
      <c r="W50" s="4">
        <v>0.5</v>
      </c>
      <c r="X50" s="4">
        <v>0.6</v>
      </c>
      <c r="Y50" s="4">
        <v>0.3</v>
      </c>
      <c r="Z50" s="6">
        <v>502.02572600000002</v>
      </c>
      <c r="AA50" s="4">
        <v>1E-3</v>
      </c>
      <c r="AC50" s="4" t="s">
        <v>30</v>
      </c>
      <c r="AD50" s="4">
        <v>0.9</v>
      </c>
      <c r="AE50" s="4">
        <v>0.5</v>
      </c>
      <c r="AF50" s="4">
        <v>0.6</v>
      </c>
      <c r="AG50" s="4">
        <v>0.87</v>
      </c>
      <c r="AH50" s="4">
        <v>593.26654099999996</v>
      </c>
      <c r="AI50" s="4">
        <v>1.2E-2</v>
      </c>
      <c r="AJ50" s="5"/>
      <c r="AK50" s="5"/>
      <c r="AL50" s="5"/>
      <c r="AM50" s="5"/>
      <c r="AO50" s="4" t="s">
        <v>31</v>
      </c>
      <c r="AP50" s="4">
        <v>0.9</v>
      </c>
      <c r="AQ50" s="4">
        <v>0.5</v>
      </c>
      <c r="AR50" s="4">
        <v>0.6</v>
      </c>
      <c r="AS50" s="4">
        <v>0.3</v>
      </c>
      <c r="AT50" s="6">
        <v>834.17846699999996</v>
      </c>
      <c r="AU50" s="4">
        <v>6.0000000000000001E-3</v>
      </c>
      <c r="AW50" s="4" t="s">
        <v>31</v>
      </c>
      <c r="AX50" s="4">
        <v>0.9</v>
      </c>
      <c r="AY50" s="4">
        <v>0.5</v>
      </c>
      <c r="AZ50" s="4">
        <v>0.6</v>
      </c>
      <c r="BA50" s="4">
        <v>0.56000000000000005</v>
      </c>
      <c r="BB50" s="4">
        <v>1003.76532</v>
      </c>
      <c r="BC50" s="4">
        <v>2.5000000000000001E-2</v>
      </c>
      <c r="BD50" s="5"/>
      <c r="BE50" s="5"/>
      <c r="BF50" s="5"/>
      <c r="BG50" s="5"/>
      <c r="BI50" s="4" t="s">
        <v>31</v>
      </c>
      <c r="BJ50" s="4">
        <v>0.9</v>
      </c>
      <c r="BK50" s="4">
        <v>0.5</v>
      </c>
      <c r="BL50" s="4">
        <v>0.6</v>
      </c>
      <c r="BM50" s="4">
        <v>0.3</v>
      </c>
      <c r="BN50" s="6">
        <v>823.67352300000005</v>
      </c>
      <c r="BO50" s="4">
        <v>6.0000000000000001E-3</v>
      </c>
      <c r="BQ50" s="4" t="s">
        <v>31</v>
      </c>
      <c r="BR50" s="4">
        <v>0.9</v>
      </c>
      <c r="BS50" s="4">
        <v>0.5</v>
      </c>
      <c r="BT50" s="4">
        <v>0.6</v>
      </c>
      <c r="BU50" s="4">
        <v>0.63</v>
      </c>
      <c r="BV50" s="4">
        <v>1017.88147</v>
      </c>
      <c r="BW50" s="4">
        <v>3.2000000000000001E-2</v>
      </c>
      <c r="BX50" s="5"/>
      <c r="BY50" s="5"/>
      <c r="BZ50" s="5"/>
      <c r="CA50" s="5"/>
    </row>
    <row r="51" spans="1:79" x14ac:dyDescent="0.3">
      <c r="A51" s="4" t="s">
        <v>32</v>
      </c>
      <c r="B51" s="4">
        <v>0.9</v>
      </c>
      <c r="C51" s="4">
        <v>0.5</v>
      </c>
      <c r="D51" s="4">
        <v>0.6</v>
      </c>
      <c r="E51" s="4">
        <v>0.3</v>
      </c>
      <c r="F51" s="6">
        <v>472.66668700000002</v>
      </c>
      <c r="G51" s="4">
        <v>1E-3</v>
      </c>
      <c r="I51" s="4" t="s">
        <v>32</v>
      </c>
      <c r="J51" s="4">
        <v>0.9</v>
      </c>
      <c r="K51" s="4">
        <v>0.5</v>
      </c>
      <c r="L51" s="4">
        <v>0.6</v>
      </c>
      <c r="M51" s="4">
        <v>0.39</v>
      </c>
      <c r="N51" s="4">
        <v>492.27050800000001</v>
      </c>
      <c r="O51" s="4">
        <v>0.01</v>
      </c>
      <c r="P51" s="5"/>
      <c r="Q51" s="5"/>
      <c r="R51" s="5"/>
      <c r="S51" s="5"/>
      <c r="U51" s="4" t="s">
        <v>32</v>
      </c>
      <c r="V51" s="4">
        <v>0.9</v>
      </c>
      <c r="W51" s="4">
        <v>0.5</v>
      </c>
      <c r="X51" s="4">
        <v>0.6</v>
      </c>
      <c r="Y51" s="4">
        <v>0.3</v>
      </c>
      <c r="Z51" s="6">
        <v>448.07614100000001</v>
      </c>
      <c r="AA51" s="4">
        <v>1E-3</v>
      </c>
      <c r="AC51" s="4" t="s">
        <v>32</v>
      </c>
      <c r="AD51" s="4">
        <v>0.9</v>
      </c>
      <c r="AE51" s="4">
        <v>0.5</v>
      </c>
      <c r="AF51" s="4">
        <v>0.6</v>
      </c>
      <c r="AG51" s="4">
        <v>0.42</v>
      </c>
      <c r="AH51" s="4">
        <v>451.13433800000001</v>
      </c>
      <c r="AI51" s="4">
        <v>3.5000000000000003E-2</v>
      </c>
      <c r="AJ51" s="5"/>
      <c r="AK51" s="5"/>
      <c r="AL51" s="5"/>
      <c r="AM51" s="5"/>
      <c r="AO51" s="4" t="s">
        <v>33</v>
      </c>
      <c r="AP51" s="4">
        <v>0.9</v>
      </c>
      <c r="AQ51" s="4">
        <v>0.5</v>
      </c>
      <c r="AR51" s="4">
        <v>0.6</v>
      </c>
      <c r="AS51" s="4">
        <v>0.3</v>
      </c>
      <c r="AT51" s="4">
        <v>788.60955799999999</v>
      </c>
      <c r="AU51" s="4">
        <v>6.0000000000000001E-3</v>
      </c>
      <c r="AW51" s="4" t="s">
        <v>33</v>
      </c>
      <c r="AX51" s="4">
        <v>0.9</v>
      </c>
      <c r="AY51" s="4">
        <v>0.5</v>
      </c>
      <c r="AZ51" s="4">
        <v>0.6</v>
      </c>
      <c r="BA51" s="4">
        <v>0.19</v>
      </c>
      <c r="BB51" s="6">
        <v>724.33154300000001</v>
      </c>
      <c r="BC51" s="4">
        <v>2.8000000000000001E-2</v>
      </c>
      <c r="BD51" s="5"/>
      <c r="BE51" s="5"/>
      <c r="BF51" s="5"/>
      <c r="BG51" s="5"/>
      <c r="BI51" s="4" t="s">
        <v>33</v>
      </c>
      <c r="BJ51" s="4">
        <v>0.9</v>
      </c>
      <c r="BK51" s="4">
        <v>0.5</v>
      </c>
      <c r="BL51" s="4">
        <v>0.6</v>
      </c>
      <c r="BM51" s="4">
        <v>0.3</v>
      </c>
      <c r="BN51" s="6">
        <v>737.20281999999997</v>
      </c>
      <c r="BO51" s="4">
        <v>7.0000000000000001E-3</v>
      </c>
      <c r="BQ51" s="4" t="s">
        <v>33</v>
      </c>
      <c r="BR51" s="4">
        <v>0.9</v>
      </c>
      <c r="BS51" s="4">
        <v>0.5</v>
      </c>
      <c r="BT51" s="4">
        <v>0.6</v>
      </c>
      <c r="BU51" s="4">
        <v>0.59</v>
      </c>
      <c r="BV51" s="4">
        <v>929.01080300000001</v>
      </c>
      <c r="BW51" s="4">
        <v>1.6E-2</v>
      </c>
      <c r="BX51" s="5"/>
      <c r="BY51" s="5"/>
      <c r="BZ51" s="5"/>
      <c r="CA51" s="5"/>
    </row>
    <row r="52" spans="1:79" x14ac:dyDescent="0.3">
      <c r="A52" s="4" t="s">
        <v>34</v>
      </c>
      <c r="B52" s="4">
        <v>0.9</v>
      </c>
      <c r="C52" s="4">
        <v>0.5</v>
      </c>
      <c r="D52" s="4">
        <v>0.6</v>
      </c>
      <c r="E52" s="4">
        <v>0.3</v>
      </c>
      <c r="F52" s="6">
        <v>410.317566</v>
      </c>
      <c r="G52" s="4">
        <v>2E-3</v>
      </c>
      <c r="I52" s="4" t="s">
        <v>34</v>
      </c>
      <c r="J52" s="4">
        <v>0.9</v>
      </c>
      <c r="K52" s="4">
        <v>0.5</v>
      </c>
      <c r="L52" s="4">
        <v>0.6</v>
      </c>
      <c r="M52" s="4">
        <v>0.93</v>
      </c>
      <c r="N52" s="4">
        <v>476.92193600000002</v>
      </c>
      <c r="O52" s="4">
        <v>0.02</v>
      </c>
      <c r="P52" s="5"/>
      <c r="Q52" s="5"/>
      <c r="R52" s="5"/>
      <c r="S52" s="5"/>
      <c r="U52" s="4" t="s">
        <v>34</v>
      </c>
      <c r="V52" s="4">
        <v>0.9</v>
      </c>
      <c r="W52" s="4">
        <v>0.5</v>
      </c>
      <c r="X52" s="4">
        <v>0.6</v>
      </c>
      <c r="Y52" s="4">
        <v>0.3</v>
      </c>
      <c r="Z52" s="6">
        <v>401.89041099999997</v>
      </c>
      <c r="AA52" s="4">
        <v>1E-3</v>
      </c>
      <c r="AC52" s="4" t="s">
        <v>34</v>
      </c>
      <c r="AD52" s="4">
        <v>0.9</v>
      </c>
      <c r="AE52" s="4">
        <v>0.5</v>
      </c>
      <c r="AF52" s="4">
        <v>0.6</v>
      </c>
      <c r="AG52" s="4">
        <v>0.66</v>
      </c>
      <c r="AH52" s="4">
        <v>411.86706500000003</v>
      </c>
      <c r="AI52" s="4">
        <v>3.4000000000000002E-2</v>
      </c>
      <c r="AJ52" s="5"/>
      <c r="AK52" s="5"/>
      <c r="AL52" s="5"/>
      <c r="AM52" s="5"/>
      <c r="AO52" s="4" t="s">
        <v>35</v>
      </c>
      <c r="AP52" s="4">
        <v>0.9</v>
      </c>
      <c r="AQ52" s="4">
        <v>0.5</v>
      </c>
      <c r="AR52" s="4">
        <v>0.6</v>
      </c>
      <c r="AS52" s="4">
        <v>0.3</v>
      </c>
      <c r="AT52" s="4">
        <v>771.27685499999995</v>
      </c>
      <c r="AU52" s="4">
        <v>5.0000000000000001E-3</v>
      </c>
      <c r="AW52" s="4" t="s">
        <v>35</v>
      </c>
      <c r="AX52" s="4">
        <v>0.9</v>
      </c>
      <c r="AY52" s="4">
        <v>0.5</v>
      </c>
      <c r="AZ52" s="4">
        <v>0.6</v>
      </c>
      <c r="BA52" s="4">
        <v>0.09</v>
      </c>
      <c r="BB52" s="6">
        <v>691.70568800000001</v>
      </c>
      <c r="BC52" s="4">
        <v>1.2E-2</v>
      </c>
      <c r="BD52" s="5"/>
      <c r="BE52" s="5"/>
      <c r="BF52" s="5"/>
      <c r="BG52" s="5"/>
      <c r="BI52" s="4" t="s">
        <v>35</v>
      </c>
      <c r="BJ52" s="4">
        <v>0.9</v>
      </c>
      <c r="BK52" s="4">
        <v>0.5</v>
      </c>
      <c r="BL52" s="4">
        <v>0.6</v>
      </c>
      <c r="BM52" s="4">
        <v>0.3</v>
      </c>
      <c r="BN52" s="6">
        <v>770.25097700000003</v>
      </c>
      <c r="BO52" s="4">
        <v>5.0000000000000001E-3</v>
      </c>
      <c r="BQ52" s="4" t="s">
        <v>35</v>
      </c>
      <c r="BR52" s="4">
        <v>0.9</v>
      </c>
      <c r="BS52" s="4">
        <v>0.5</v>
      </c>
      <c r="BT52" s="4">
        <v>0.6</v>
      </c>
      <c r="BU52" s="4">
        <v>0.62</v>
      </c>
      <c r="BV52" s="4">
        <v>969.627747</v>
      </c>
      <c r="BW52" s="4">
        <v>1.0999999999999999E-2</v>
      </c>
      <c r="BX52" s="5"/>
      <c r="BY52" s="5"/>
      <c r="BZ52" s="5"/>
      <c r="CA52" s="5"/>
    </row>
    <row r="53" spans="1:79" x14ac:dyDescent="0.3">
      <c r="A53" s="4" t="s">
        <v>36</v>
      </c>
      <c r="B53" s="4">
        <v>0.9</v>
      </c>
      <c r="C53" s="4">
        <v>0.5</v>
      </c>
      <c r="D53" s="4">
        <v>0.6</v>
      </c>
      <c r="E53" s="4">
        <v>0.3</v>
      </c>
      <c r="F53" s="6">
        <v>518.33227499999998</v>
      </c>
      <c r="G53" s="4">
        <v>1E-3</v>
      </c>
      <c r="I53" s="4" t="s">
        <v>36</v>
      </c>
      <c r="J53" s="4">
        <v>0.9</v>
      </c>
      <c r="K53" s="4">
        <v>0.5</v>
      </c>
      <c r="L53" s="4">
        <v>0.6</v>
      </c>
      <c r="M53" s="4">
        <v>0.05</v>
      </c>
      <c r="N53" s="4">
        <v>524.63445999999999</v>
      </c>
      <c r="O53" s="4">
        <v>1.7999999999999999E-2</v>
      </c>
      <c r="P53" s="5"/>
      <c r="Q53" s="5"/>
      <c r="R53" s="5"/>
      <c r="S53" s="5"/>
      <c r="U53" s="4" t="s">
        <v>36</v>
      </c>
      <c r="V53" s="4">
        <v>0.9</v>
      </c>
      <c r="W53" s="4">
        <v>0.5</v>
      </c>
      <c r="X53" s="4">
        <v>0.6</v>
      </c>
      <c r="Y53" s="4">
        <v>0.3</v>
      </c>
      <c r="Z53" s="6">
        <v>499.63275099999998</v>
      </c>
      <c r="AA53" s="4">
        <v>1E-3</v>
      </c>
      <c r="AC53" s="4" t="s">
        <v>36</v>
      </c>
      <c r="AD53" s="4">
        <v>0.9</v>
      </c>
      <c r="AE53" s="4">
        <v>0.5</v>
      </c>
      <c r="AF53" s="4">
        <v>0.6</v>
      </c>
      <c r="AG53" s="4">
        <v>0.32</v>
      </c>
      <c r="AH53" s="4">
        <v>515.84991500000001</v>
      </c>
      <c r="AI53" s="4">
        <v>1.4E-2</v>
      </c>
      <c r="AJ53" s="5"/>
      <c r="AK53" s="5"/>
      <c r="AL53" s="5"/>
      <c r="AM53" s="5"/>
      <c r="AO53" s="4" t="s">
        <v>37</v>
      </c>
      <c r="AP53" s="4">
        <v>0.9</v>
      </c>
      <c r="AQ53" s="4">
        <v>0.5</v>
      </c>
      <c r="AR53" s="4">
        <v>0.6</v>
      </c>
      <c r="AS53" s="4">
        <v>0.3</v>
      </c>
      <c r="AT53" s="6">
        <v>773.38836700000002</v>
      </c>
      <c r="AU53" s="4">
        <v>6.0000000000000001E-3</v>
      </c>
      <c r="AW53" s="4" t="s">
        <v>37</v>
      </c>
      <c r="AX53" s="4">
        <v>0.9</v>
      </c>
      <c r="AY53" s="4">
        <v>0.5</v>
      </c>
      <c r="AZ53" s="4">
        <v>0.6</v>
      </c>
      <c r="BA53" s="4">
        <v>0.69</v>
      </c>
      <c r="BB53" s="4">
        <v>958.21044900000004</v>
      </c>
      <c r="BC53" s="4">
        <v>1.7999999999999999E-2</v>
      </c>
      <c r="BD53" s="5"/>
      <c r="BE53" s="5"/>
      <c r="BF53" s="5"/>
      <c r="BG53" s="5"/>
      <c r="BI53" s="4" t="s">
        <v>37</v>
      </c>
      <c r="BJ53" s="4">
        <v>0.9</v>
      </c>
      <c r="BK53" s="4">
        <v>0.5</v>
      </c>
      <c r="BL53" s="4">
        <v>0.6</v>
      </c>
      <c r="BM53" s="4">
        <v>0.3</v>
      </c>
      <c r="BN53" s="4">
        <v>767.92303500000003</v>
      </c>
      <c r="BO53" s="4">
        <v>5.0000000000000001E-3</v>
      </c>
      <c r="BQ53" s="4" t="s">
        <v>37</v>
      </c>
      <c r="BR53" s="4">
        <v>0.9</v>
      </c>
      <c r="BS53" s="4">
        <v>0.5</v>
      </c>
      <c r="BT53" s="4">
        <v>0.6</v>
      </c>
      <c r="BU53" s="4">
        <v>0.02</v>
      </c>
      <c r="BV53" s="6">
        <v>688.94085700000005</v>
      </c>
      <c r="BW53" s="4">
        <v>1.7999999999999999E-2</v>
      </c>
      <c r="BX53" s="5"/>
      <c r="BY53" s="5"/>
      <c r="BZ53" s="5"/>
      <c r="CA53" s="5"/>
    </row>
    <row r="54" spans="1:79" x14ac:dyDescent="0.3">
      <c r="A54" s="4" t="s">
        <v>38</v>
      </c>
      <c r="B54" s="4">
        <v>0.9</v>
      </c>
      <c r="C54" s="4">
        <v>0.5</v>
      </c>
      <c r="D54" s="4">
        <v>0.6</v>
      </c>
      <c r="E54" s="4">
        <v>0.3</v>
      </c>
      <c r="F54" s="6">
        <v>434.67450000000002</v>
      </c>
      <c r="G54" s="4">
        <v>1E-3</v>
      </c>
      <c r="I54" s="4" t="s">
        <v>38</v>
      </c>
      <c r="J54" s="4">
        <v>0.9</v>
      </c>
      <c r="K54" s="4">
        <v>0.5</v>
      </c>
      <c r="L54" s="4">
        <v>0.6</v>
      </c>
      <c r="M54" s="4">
        <v>0.16</v>
      </c>
      <c r="N54" s="4">
        <v>460.70144699999997</v>
      </c>
      <c r="O54" s="4">
        <v>0.02</v>
      </c>
      <c r="P54" s="5"/>
      <c r="Q54" s="5"/>
      <c r="R54" s="5"/>
      <c r="S54" s="5"/>
      <c r="U54" s="4" t="s">
        <v>38</v>
      </c>
      <c r="V54" s="4">
        <v>0.9</v>
      </c>
      <c r="W54" s="4">
        <v>0.5</v>
      </c>
      <c r="X54" s="4">
        <v>0.6</v>
      </c>
      <c r="Y54" s="4">
        <v>0.3</v>
      </c>
      <c r="Z54" s="6">
        <v>438.17889400000001</v>
      </c>
      <c r="AA54" s="4">
        <v>1E-3</v>
      </c>
      <c r="AC54" s="4" t="s">
        <v>38</v>
      </c>
      <c r="AD54" s="4">
        <v>0.9</v>
      </c>
      <c r="AE54" s="4">
        <v>0.5</v>
      </c>
      <c r="AF54" s="4">
        <v>0.6</v>
      </c>
      <c r="AG54" s="4">
        <v>0.9</v>
      </c>
      <c r="AH54" s="4">
        <v>480.62985200000003</v>
      </c>
      <c r="AI54" s="4">
        <v>1.0999999999999999E-2</v>
      </c>
      <c r="AJ54" s="5"/>
      <c r="AK54" s="5"/>
      <c r="AL54" s="5"/>
      <c r="AM54" s="5"/>
      <c r="AO54" s="4" t="s">
        <v>39</v>
      </c>
      <c r="AP54" s="4">
        <v>0.9</v>
      </c>
      <c r="AQ54" s="4">
        <v>0.5</v>
      </c>
      <c r="AR54" s="4">
        <v>0.6</v>
      </c>
      <c r="AS54" s="4">
        <v>0.3</v>
      </c>
      <c r="AT54" s="4">
        <v>775.09356700000001</v>
      </c>
      <c r="AU54" s="4">
        <v>4.0000000000000001E-3</v>
      </c>
      <c r="AW54" s="4" t="s">
        <v>39</v>
      </c>
      <c r="AX54" s="4">
        <v>0.9</v>
      </c>
      <c r="AY54" s="4">
        <v>0.5</v>
      </c>
      <c r="AZ54" s="4">
        <v>0.6</v>
      </c>
      <c r="BA54" s="4">
        <v>0.08</v>
      </c>
      <c r="BB54" s="6">
        <v>712.37927200000001</v>
      </c>
      <c r="BC54" s="4">
        <v>8.9999999999999993E-3</v>
      </c>
      <c r="BD54" s="5"/>
      <c r="BE54" s="5"/>
      <c r="BF54" s="5"/>
      <c r="BG54" s="5"/>
      <c r="BI54" s="4" t="s">
        <v>39</v>
      </c>
      <c r="BJ54" s="4">
        <v>0.9</v>
      </c>
      <c r="BK54" s="4">
        <v>0.5</v>
      </c>
      <c r="BL54" s="4">
        <v>0.6</v>
      </c>
      <c r="BM54" s="4">
        <v>0.3</v>
      </c>
      <c r="BN54" s="6">
        <v>764.49444600000004</v>
      </c>
      <c r="BO54" s="4">
        <v>6.0000000000000001E-3</v>
      </c>
      <c r="BQ54" s="4" t="s">
        <v>39</v>
      </c>
      <c r="BR54" s="4">
        <v>0.9</v>
      </c>
      <c r="BS54" s="4">
        <v>0.5</v>
      </c>
      <c r="BT54" s="4">
        <v>0.6</v>
      </c>
      <c r="BU54" s="4">
        <v>0.4</v>
      </c>
      <c r="BV54" s="4">
        <v>794.63861099999997</v>
      </c>
      <c r="BW54" s="4">
        <v>1.2E-2</v>
      </c>
      <c r="BX54" s="5"/>
      <c r="BY54" s="5"/>
      <c r="BZ54" s="5"/>
      <c r="CA54" s="5"/>
    </row>
    <row r="55" spans="1:79" x14ac:dyDescent="0.3">
      <c r="A55" s="4" t="s">
        <v>40</v>
      </c>
      <c r="B55" s="4">
        <v>0.9</v>
      </c>
      <c r="C55" s="4">
        <v>0.5</v>
      </c>
      <c r="D55" s="4">
        <v>0.6</v>
      </c>
      <c r="E55" s="4">
        <v>0.3</v>
      </c>
      <c r="F55" s="6">
        <v>402.25769000000003</v>
      </c>
      <c r="G55" s="4">
        <v>1E-3</v>
      </c>
      <c r="I55" s="4" t="s">
        <v>40</v>
      </c>
      <c r="J55" s="4">
        <v>0.9</v>
      </c>
      <c r="K55" s="4">
        <v>0.5</v>
      </c>
      <c r="L55" s="4">
        <v>0.6</v>
      </c>
      <c r="M55" s="4">
        <v>0.44</v>
      </c>
      <c r="N55" s="4">
        <v>409.011078</v>
      </c>
      <c r="O55" s="4">
        <v>1.2E-2</v>
      </c>
      <c r="P55" s="5"/>
      <c r="Q55" s="5"/>
      <c r="R55" s="5"/>
      <c r="S55" s="5"/>
      <c r="U55" s="4" t="s">
        <v>40</v>
      </c>
      <c r="V55" s="4">
        <v>0.9</v>
      </c>
      <c r="W55" s="4">
        <v>0.5</v>
      </c>
      <c r="X55" s="4">
        <v>0.6</v>
      </c>
      <c r="Y55" s="4">
        <v>0.3</v>
      </c>
      <c r="Z55" s="6">
        <v>389.52652</v>
      </c>
      <c r="AA55" s="4">
        <v>0</v>
      </c>
      <c r="AC55" s="4" t="s">
        <v>40</v>
      </c>
      <c r="AD55" s="4">
        <v>0.9</v>
      </c>
      <c r="AE55" s="4">
        <v>0.5</v>
      </c>
      <c r="AF55" s="4">
        <v>0.6</v>
      </c>
      <c r="AG55" s="4">
        <v>0.55000000000000004</v>
      </c>
      <c r="AH55" s="4">
        <v>404.30941799999999</v>
      </c>
      <c r="AI55" s="4">
        <v>2.5999999999999999E-2</v>
      </c>
      <c r="AJ55" s="5"/>
      <c r="AK55" s="5"/>
      <c r="AL55" s="5"/>
      <c r="AM55" s="5"/>
      <c r="AO55" s="4" t="s">
        <v>41</v>
      </c>
      <c r="AP55" s="4">
        <v>0.9</v>
      </c>
      <c r="AQ55" s="4">
        <v>0.5</v>
      </c>
      <c r="AR55" s="4">
        <v>0.6</v>
      </c>
      <c r="AS55" s="4">
        <v>0.3</v>
      </c>
      <c r="AT55" s="4">
        <v>874.83953899999995</v>
      </c>
      <c r="AU55" s="4">
        <v>6.0000000000000001E-3</v>
      </c>
      <c r="AW55" s="4" t="s">
        <v>41</v>
      </c>
      <c r="AX55" s="4">
        <v>0.9</v>
      </c>
      <c r="AY55" s="4">
        <v>0.5</v>
      </c>
      <c r="AZ55" s="4">
        <v>0.6</v>
      </c>
      <c r="BA55" s="4">
        <v>0.04</v>
      </c>
      <c r="BB55" s="6">
        <v>741.34246800000005</v>
      </c>
      <c r="BC55" s="4">
        <v>1.6E-2</v>
      </c>
      <c r="BD55" s="5"/>
      <c r="BE55" s="5"/>
      <c r="BF55" s="5"/>
      <c r="BG55" s="5"/>
      <c r="BI55" s="4" t="s">
        <v>41</v>
      </c>
      <c r="BJ55" s="4">
        <v>0.9</v>
      </c>
      <c r="BK55" s="4">
        <v>0.5</v>
      </c>
      <c r="BL55" s="4">
        <v>0.6</v>
      </c>
      <c r="BM55" s="4">
        <v>0.3</v>
      </c>
      <c r="BN55" s="6">
        <v>860.56756600000006</v>
      </c>
      <c r="BO55" s="4">
        <v>8.0000000000000002E-3</v>
      </c>
      <c r="BQ55" s="4" t="s">
        <v>41</v>
      </c>
      <c r="BR55" s="4">
        <v>0.9</v>
      </c>
      <c r="BS55" s="4">
        <v>0.5</v>
      </c>
      <c r="BT55" s="4">
        <v>0.6</v>
      </c>
      <c r="BU55" s="4">
        <v>0.6</v>
      </c>
      <c r="BV55" s="4">
        <v>1023.988159</v>
      </c>
      <c r="BW55" s="4">
        <v>2.8000000000000001E-2</v>
      </c>
      <c r="BX55" s="5"/>
      <c r="BY55" s="5"/>
      <c r="BZ55" s="5"/>
      <c r="CA55" s="5"/>
    </row>
    <row r="56" spans="1:79" x14ac:dyDescent="0.3">
      <c r="A56" s="4" t="s">
        <v>42</v>
      </c>
      <c r="B56" s="4">
        <v>0.9</v>
      </c>
      <c r="C56" s="4">
        <v>0.5</v>
      </c>
      <c r="D56" s="4">
        <v>0.6</v>
      </c>
      <c r="E56" s="4">
        <v>0.3</v>
      </c>
      <c r="F56" s="6">
        <v>422.730591</v>
      </c>
      <c r="G56" s="4">
        <v>0</v>
      </c>
      <c r="I56" s="4" t="s">
        <v>42</v>
      </c>
      <c r="J56" s="4">
        <v>0.9</v>
      </c>
      <c r="K56" s="4">
        <v>0.5</v>
      </c>
      <c r="L56" s="4">
        <v>0.6</v>
      </c>
      <c r="M56" s="4">
        <v>0.47</v>
      </c>
      <c r="N56" s="4">
        <v>446.863831</v>
      </c>
      <c r="O56" s="4">
        <v>2.5999999999999999E-2</v>
      </c>
      <c r="P56" s="5"/>
      <c r="Q56" s="5"/>
      <c r="R56" s="5"/>
      <c r="S56" s="5"/>
      <c r="U56" s="4" t="s">
        <v>42</v>
      </c>
      <c r="V56" s="4">
        <v>0.9</v>
      </c>
      <c r="W56" s="4">
        <v>0.5</v>
      </c>
      <c r="X56" s="4">
        <v>0.6</v>
      </c>
      <c r="Y56" s="4">
        <v>0.3</v>
      </c>
      <c r="Z56" s="6">
        <v>409.86990400000002</v>
      </c>
      <c r="AA56" s="4">
        <v>0</v>
      </c>
      <c r="AC56" s="4" t="s">
        <v>42</v>
      </c>
      <c r="AD56" s="4">
        <v>0.9</v>
      </c>
      <c r="AE56" s="4">
        <v>0.5</v>
      </c>
      <c r="AF56" s="4">
        <v>0.6</v>
      </c>
      <c r="AG56" s="4">
        <v>0.79</v>
      </c>
      <c r="AH56" s="4">
        <v>466.98504600000001</v>
      </c>
      <c r="AI56" s="4">
        <v>1.2E-2</v>
      </c>
      <c r="AJ56" s="5"/>
      <c r="AK56" s="5"/>
      <c r="AL56" s="5"/>
      <c r="AM56" s="5"/>
      <c r="AO56" s="4" t="s">
        <v>43</v>
      </c>
      <c r="AP56" s="4">
        <v>0.9</v>
      </c>
      <c r="AQ56" s="4">
        <v>0.5</v>
      </c>
      <c r="AR56" s="4">
        <v>0.6</v>
      </c>
      <c r="AS56" s="4">
        <v>0.3</v>
      </c>
      <c r="AT56" s="6">
        <v>816.25408900000002</v>
      </c>
      <c r="AU56" s="4">
        <v>6.0000000000000001E-3</v>
      </c>
      <c r="AW56" s="4" t="s">
        <v>43</v>
      </c>
      <c r="AX56" s="4">
        <v>0.9</v>
      </c>
      <c r="AY56" s="4">
        <v>0.5</v>
      </c>
      <c r="AZ56" s="4">
        <v>0.6</v>
      </c>
      <c r="BA56" s="4">
        <v>0.88</v>
      </c>
      <c r="BB56" s="4">
        <v>983.80688499999997</v>
      </c>
      <c r="BC56" s="4">
        <v>1.4999999999999999E-2</v>
      </c>
      <c r="BD56" s="5"/>
      <c r="BE56" s="5"/>
      <c r="BF56" s="5"/>
      <c r="BG56" s="5"/>
      <c r="BI56" s="4" t="s">
        <v>43</v>
      </c>
      <c r="BJ56" s="4">
        <v>0.9</v>
      </c>
      <c r="BK56" s="4">
        <v>0.5</v>
      </c>
      <c r="BL56" s="4">
        <v>0.6</v>
      </c>
      <c r="BM56" s="4">
        <v>0.3</v>
      </c>
      <c r="BN56" s="6">
        <v>777.67456100000004</v>
      </c>
      <c r="BO56" s="4">
        <v>4.0000000000000001E-3</v>
      </c>
      <c r="BQ56" s="4" t="s">
        <v>43</v>
      </c>
      <c r="BR56" s="4">
        <v>0.9</v>
      </c>
      <c r="BS56" s="4">
        <v>0.5</v>
      </c>
      <c r="BT56" s="4">
        <v>0.6</v>
      </c>
      <c r="BU56" s="4">
        <v>0.52</v>
      </c>
      <c r="BV56" s="4">
        <v>888.82391399999995</v>
      </c>
      <c r="BW56" s="4">
        <v>1.2999999999999999E-2</v>
      </c>
      <c r="BX56" s="5"/>
      <c r="BY56" s="5"/>
      <c r="BZ56" s="5"/>
      <c r="CA56" s="5"/>
    </row>
    <row r="57" spans="1:79" x14ac:dyDescent="0.3">
      <c r="A57" s="4" t="s">
        <v>44</v>
      </c>
      <c r="B57" s="4">
        <v>0.9</v>
      </c>
      <c r="C57" s="4">
        <v>0.5</v>
      </c>
      <c r="D57" s="4">
        <v>0.6</v>
      </c>
      <c r="E57" s="4">
        <v>0.3</v>
      </c>
      <c r="F57" s="6">
        <v>491.69644199999999</v>
      </c>
      <c r="G57" s="4">
        <v>1E-3</v>
      </c>
      <c r="I57" s="4" t="s">
        <v>44</v>
      </c>
      <c r="J57" s="4">
        <v>0.9</v>
      </c>
      <c r="K57" s="4">
        <v>0.5</v>
      </c>
      <c r="L57" s="4">
        <v>0.6</v>
      </c>
      <c r="M57" s="4">
        <v>0.48</v>
      </c>
      <c r="N57" s="4">
        <v>540.86798099999999</v>
      </c>
      <c r="O57" s="4">
        <v>1.2E-2</v>
      </c>
      <c r="P57" s="5"/>
      <c r="Q57" s="5"/>
      <c r="R57" s="5"/>
      <c r="S57" s="5"/>
      <c r="U57" s="4" t="s">
        <v>44</v>
      </c>
      <c r="V57" s="4">
        <v>0.9</v>
      </c>
      <c r="W57" s="4">
        <v>0.5</v>
      </c>
      <c r="X57" s="4">
        <v>0.6</v>
      </c>
      <c r="Y57" s="4">
        <v>0.3</v>
      </c>
      <c r="Z57" s="4">
        <v>496.55496199999999</v>
      </c>
      <c r="AA57" s="4">
        <v>1E-3</v>
      </c>
      <c r="AC57" s="4" t="s">
        <v>44</v>
      </c>
      <c r="AD57" s="4">
        <v>0.9</v>
      </c>
      <c r="AE57" s="4">
        <v>0.5</v>
      </c>
      <c r="AF57" s="4">
        <v>0.6</v>
      </c>
      <c r="AG57" s="4">
        <v>0.08</v>
      </c>
      <c r="AH57" s="6">
        <v>493.68411300000002</v>
      </c>
      <c r="AI57" s="4">
        <v>1.4999999999999999E-2</v>
      </c>
      <c r="AJ57" s="5"/>
      <c r="AK57" s="5"/>
      <c r="AL57" s="5"/>
      <c r="AM57" s="5"/>
      <c r="AO57" s="4" t="s">
        <v>45</v>
      </c>
      <c r="AP57" s="4">
        <v>0.9</v>
      </c>
      <c r="AQ57" s="4">
        <v>0.5</v>
      </c>
      <c r="AR57" s="4">
        <v>0.6</v>
      </c>
      <c r="AS57" s="4">
        <v>0.3</v>
      </c>
      <c r="AT57" s="6">
        <v>842.04296899999997</v>
      </c>
      <c r="AU57" s="4">
        <v>5.0000000000000001E-3</v>
      </c>
      <c r="AW57" s="4" t="s">
        <v>45</v>
      </c>
      <c r="AX57" s="4">
        <v>0.9</v>
      </c>
      <c r="AY57" s="4">
        <v>0.5</v>
      </c>
      <c r="AZ57" s="4">
        <v>0.6</v>
      </c>
      <c r="BA57" s="4">
        <v>0.51</v>
      </c>
      <c r="BB57" s="4">
        <v>970.62969999999996</v>
      </c>
      <c r="BC57" s="4">
        <v>1.4999999999999999E-2</v>
      </c>
      <c r="BD57" s="5"/>
      <c r="BE57" s="5"/>
      <c r="BF57" s="5"/>
      <c r="BG57" s="5"/>
      <c r="BI57" s="4" t="s">
        <v>45</v>
      </c>
      <c r="BJ57" s="4">
        <v>0.9</v>
      </c>
      <c r="BK57" s="4">
        <v>0.5</v>
      </c>
      <c r="BL57" s="4">
        <v>0.6</v>
      </c>
      <c r="BM57" s="4">
        <v>0.3</v>
      </c>
      <c r="BN57" s="4">
        <v>822.73565699999995</v>
      </c>
      <c r="BO57" s="4">
        <v>5.0000000000000001E-3</v>
      </c>
      <c r="BQ57" s="4" t="s">
        <v>45</v>
      </c>
      <c r="BR57" s="4">
        <v>0.9</v>
      </c>
      <c r="BS57" s="4">
        <v>0.5</v>
      </c>
      <c r="BT57" s="4">
        <v>0.6</v>
      </c>
      <c r="BU57" s="4">
        <v>0.25</v>
      </c>
      <c r="BV57" s="6">
        <v>800.54461700000002</v>
      </c>
      <c r="BW57" s="4">
        <v>2.5000000000000001E-2</v>
      </c>
      <c r="BX57" s="5"/>
      <c r="BY57" s="5"/>
      <c r="BZ57" s="5"/>
      <c r="CA57" s="5"/>
    </row>
    <row r="58" spans="1:79" x14ac:dyDescent="0.3">
      <c r="A58" s="4" t="s">
        <v>46</v>
      </c>
      <c r="B58" s="4">
        <v>0.9</v>
      </c>
      <c r="C58" s="4">
        <v>0.5</v>
      </c>
      <c r="D58" s="4">
        <v>0.6</v>
      </c>
      <c r="E58" s="4">
        <v>0.3</v>
      </c>
      <c r="F58" s="6">
        <v>478.23291</v>
      </c>
      <c r="G58" s="4">
        <v>2E-3</v>
      </c>
      <c r="I58" s="4" t="s">
        <v>46</v>
      </c>
      <c r="J58" s="4">
        <v>0.9</v>
      </c>
      <c r="K58" s="4">
        <v>0.5</v>
      </c>
      <c r="L58" s="4">
        <v>0.6</v>
      </c>
      <c r="M58" s="4">
        <v>0.63</v>
      </c>
      <c r="N58" s="4">
        <v>496.26355000000001</v>
      </c>
      <c r="O58" s="4">
        <v>3.4000000000000002E-2</v>
      </c>
      <c r="P58" s="5"/>
      <c r="Q58" s="5"/>
      <c r="R58" s="5"/>
      <c r="S58" s="5"/>
      <c r="U58" s="4" t="s">
        <v>46</v>
      </c>
      <c r="V58" s="4">
        <v>0.9</v>
      </c>
      <c r="W58" s="4">
        <v>0.5</v>
      </c>
      <c r="X58" s="4">
        <v>0.6</v>
      </c>
      <c r="Y58" s="4">
        <v>0.3</v>
      </c>
      <c r="Z58" s="6">
        <v>472.42095899999998</v>
      </c>
      <c r="AA58" s="4">
        <v>1E-3</v>
      </c>
      <c r="AC58" s="4" t="s">
        <v>46</v>
      </c>
      <c r="AD58" s="4">
        <v>0.9</v>
      </c>
      <c r="AE58" s="4">
        <v>0.5</v>
      </c>
      <c r="AF58" s="4">
        <v>0.6</v>
      </c>
      <c r="AG58" s="4">
        <v>0.7</v>
      </c>
      <c r="AH58" s="4">
        <v>487.16113300000001</v>
      </c>
      <c r="AI58" s="4">
        <v>1.7999999999999999E-2</v>
      </c>
      <c r="AJ58" s="5"/>
      <c r="AK58" s="5"/>
      <c r="AL58" s="5"/>
      <c r="AM58" s="5"/>
      <c r="AO58" s="4" t="s">
        <v>47</v>
      </c>
      <c r="AP58" s="4">
        <v>0.9</v>
      </c>
      <c r="AQ58" s="4">
        <v>0.5</v>
      </c>
      <c r="AR58" s="4">
        <v>0.6</v>
      </c>
      <c r="AS58" s="4">
        <v>0.3</v>
      </c>
      <c r="AT58" s="6">
        <v>786.24267599999996</v>
      </c>
      <c r="AU58" s="4">
        <v>5.0000000000000001E-3</v>
      </c>
      <c r="AW58" s="4" t="s">
        <v>47</v>
      </c>
      <c r="AX58" s="4">
        <v>0.9</v>
      </c>
      <c r="AY58" s="4">
        <v>0.5</v>
      </c>
      <c r="AZ58" s="4">
        <v>0.6</v>
      </c>
      <c r="BA58" s="4">
        <v>0.98</v>
      </c>
      <c r="BB58" s="4">
        <v>987.79699700000003</v>
      </c>
      <c r="BC58" s="4">
        <v>2.5000000000000001E-2</v>
      </c>
      <c r="BD58" s="5"/>
      <c r="BE58" s="5"/>
      <c r="BF58" s="5"/>
      <c r="BG58" s="5"/>
      <c r="BI58" s="4" t="s">
        <v>47</v>
      </c>
      <c r="BJ58" s="4">
        <v>0.9</v>
      </c>
      <c r="BK58" s="4">
        <v>0.5</v>
      </c>
      <c r="BL58" s="4">
        <v>0.6</v>
      </c>
      <c r="BM58" s="4">
        <v>0.3</v>
      </c>
      <c r="BN58" s="6">
        <v>741.52844200000004</v>
      </c>
      <c r="BO58" s="4">
        <v>3.0000000000000001E-3</v>
      </c>
      <c r="BQ58" s="4" t="s">
        <v>47</v>
      </c>
      <c r="BR58" s="4">
        <v>0.9</v>
      </c>
      <c r="BS58" s="4">
        <v>0.5</v>
      </c>
      <c r="BT58" s="4">
        <v>0.6</v>
      </c>
      <c r="BU58" s="4">
        <v>0.73</v>
      </c>
      <c r="BV58" s="4">
        <v>935.40039100000001</v>
      </c>
      <c r="BW58" s="4">
        <v>0.01</v>
      </c>
      <c r="BX58" s="5"/>
      <c r="BY58" s="5"/>
      <c r="BZ58" s="5"/>
      <c r="CA58" s="5"/>
    </row>
    <row r="59" spans="1:79" x14ac:dyDescent="0.3">
      <c r="A59" s="4" t="s">
        <v>48</v>
      </c>
      <c r="B59" s="4">
        <v>0.9</v>
      </c>
      <c r="C59" s="4">
        <v>0.5</v>
      </c>
      <c r="D59" s="4">
        <v>0.6</v>
      </c>
      <c r="E59" s="4">
        <v>0.3</v>
      </c>
      <c r="F59" s="6">
        <v>453.16906699999998</v>
      </c>
      <c r="G59" s="4">
        <v>1E-3</v>
      </c>
      <c r="I59" s="4" t="s">
        <v>48</v>
      </c>
      <c r="J59" s="4">
        <v>0.9</v>
      </c>
      <c r="K59" s="4">
        <v>0.5</v>
      </c>
      <c r="L59" s="4">
        <v>0.6</v>
      </c>
      <c r="M59" s="4">
        <v>0.87</v>
      </c>
      <c r="N59" s="4">
        <v>505.35818499999999</v>
      </c>
      <c r="O59" s="4">
        <v>6.0000000000000001E-3</v>
      </c>
      <c r="P59" s="5"/>
      <c r="Q59" s="5"/>
      <c r="R59" s="5"/>
      <c r="S59" s="5"/>
      <c r="U59" s="4" t="s">
        <v>48</v>
      </c>
      <c r="V59" s="4">
        <v>0.9</v>
      </c>
      <c r="W59" s="4">
        <v>0.5</v>
      </c>
      <c r="X59" s="4">
        <v>0.6</v>
      </c>
      <c r="Y59" s="4">
        <v>0.3</v>
      </c>
      <c r="Z59" s="6">
        <v>435.15716600000002</v>
      </c>
      <c r="AA59" s="4">
        <v>1E-3</v>
      </c>
      <c r="AC59" s="4" t="s">
        <v>48</v>
      </c>
      <c r="AD59" s="4">
        <v>0.9</v>
      </c>
      <c r="AE59" s="4">
        <v>0.5</v>
      </c>
      <c r="AF59" s="4">
        <v>0.6</v>
      </c>
      <c r="AG59" s="4">
        <v>0.88</v>
      </c>
      <c r="AH59" s="4">
        <v>490.06985500000002</v>
      </c>
      <c r="AI59" s="4">
        <v>8.9999999999999993E-3</v>
      </c>
      <c r="AJ59" s="5"/>
      <c r="AK59" s="5"/>
      <c r="AL59" s="5"/>
      <c r="AM59" s="5"/>
      <c r="AO59" s="4" t="s">
        <v>49</v>
      </c>
      <c r="AP59" s="4">
        <v>0.9</v>
      </c>
      <c r="AQ59" s="4">
        <v>0.5</v>
      </c>
      <c r="AR59" s="4">
        <v>0.6</v>
      </c>
      <c r="AS59" s="4">
        <v>0.3</v>
      </c>
      <c r="AT59" s="6">
        <v>790.84118699999999</v>
      </c>
      <c r="AU59" s="4">
        <v>6.0000000000000001E-3</v>
      </c>
      <c r="AW59" s="4" t="s">
        <v>49</v>
      </c>
      <c r="AX59" s="4">
        <v>0.9</v>
      </c>
      <c r="AY59" s="4">
        <v>0.5</v>
      </c>
      <c r="AZ59" s="4">
        <v>0.6</v>
      </c>
      <c r="BA59" s="4">
        <v>0.31</v>
      </c>
      <c r="BB59" s="4">
        <v>823.80255099999999</v>
      </c>
      <c r="BC59" s="4">
        <v>1.4999999999999999E-2</v>
      </c>
      <c r="BD59" s="5"/>
      <c r="BE59" s="5"/>
      <c r="BF59" s="5"/>
      <c r="BG59" s="5"/>
      <c r="BI59" s="4" t="s">
        <v>49</v>
      </c>
      <c r="BJ59" s="4">
        <v>0.9</v>
      </c>
      <c r="BK59" s="4">
        <v>0.5</v>
      </c>
      <c r="BL59" s="4">
        <v>0.6</v>
      </c>
      <c r="BM59" s="4">
        <v>0.3</v>
      </c>
      <c r="BN59" s="6">
        <v>790.58966099999998</v>
      </c>
      <c r="BO59" s="4">
        <v>3.0000000000000001E-3</v>
      </c>
      <c r="BQ59" s="4" t="s">
        <v>49</v>
      </c>
      <c r="BR59" s="4">
        <v>0.9</v>
      </c>
      <c r="BS59" s="4">
        <v>0.5</v>
      </c>
      <c r="BT59" s="4">
        <v>0.6</v>
      </c>
      <c r="BU59" s="4">
        <v>0.56999999999999995</v>
      </c>
      <c r="BV59" s="4">
        <v>889.14404300000001</v>
      </c>
      <c r="BW59" s="4">
        <v>2.3E-2</v>
      </c>
      <c r="BX59" s="5"/>
      <c r="BY59" s="5"/>
      <c r="BZ59" s="5"/>
      <c r="CA59" s="5"/>
    </row>
    <row r="60" spans="1:79" x14ac:dyDescent="0.3">
      <c r="A60" s="4" t="s">
        <v>50</v>
      </c>
      <c r="B60" s="4">
        <v>0.9</v>
      </c>
      <c r="C60" s="4">
        <v>0.5</v>
      </c>
      <c r="D60" s="4">
        <v>0.6</v>
      </c>
      <c r="E60" s="4">
        <v>0.3</v>
      </c>
      <c r="F60" s="6">
        <v>431.25848400000001</v>
      </c>
      <c r="G60" s="4">
        <v>0</v>
      </c>
      <c r="I60" s="4" t="s">
        <v>50</v>
      </c>
      <c r="J60" s="4">
        <v>0.9</v>
      </c>
      <c r="K60" s="4">
        <v>0.5</v>
      </c>
      <c r="L60" s="4">
        <v>0.6</v>
      </c>
      <c r="M60" s="4">
        <v>0.69</v>
      </c>
      <c r="N60" s="4">
        <v>523.51831100000004</v>
      </c>
      <c r="O60" s="4">
        <v>1.0999999999999999E-2</v>
      </c>
      <c r="P60" s="5"/>
      <c r="Q60" s="5"/>
      <c r="R60" s="5"/>
      <c r="S60" s="5"/>
      <c r="U60" s="4" t="s">
        <v>50</v>
      </c>
      <c r="V60" s="4">
        <v>0.9</v>
      </c>
      <c r="W60" s="4">
        <v>0.5</v>
      </c>
      <c r="X60" s="4">
        <v>0.6</v>
      </c>
      <c r="Y60" s="4">
        <v>0.3</v>
      </c>
      <c r="Z60" s="6">
        <v>440.176941</v>
      </c>
      <c r="AA60" s="4">
        <v>1E-3</v>
      </c>
      <c r="AC60" s="4" t="s">
        <v>50</v>
      </c>
      <c r="AD60" s="4">
        <v>0.9</v>
      </c>
      <c r="AE60" s="4">
        <v>0.5</v>
      </c>
      <c r="AF60" s="4">
        <v>0.6</v>
      </c>
      <c r="AG60" s="4">
        <v>0.3</v>
      </c>
      <c r="AH60" s="4">
        <v>458.80484000000001</v>
      </c>
      <c r="AI60" s="4">
        <v>8.0000000000000002E-3</v>
      </c>
      <c r="AJ60" s="5"/>
      <c r="AK60" s="5"/>
      <c r="AL60" s="5"/>
      <c r="AM60" s="5"/>
      <c r="AO60" s="4" t="s">
        <v>51</v>
      </c>
      <c r="AP60" s="4">
        <v>0.9</v>
      </c>
      <c r="AQ60" s="4">
        <v>0.5</v>
      </c>
      <c r="AR60" s="4">
        <v>0.6</v>
      </c>
      <c r="AS60" s="4">
        <v>0.3</v>
      </c>
      <c r="AT60" s="6">
        <v>948.32336399999997</v>
      </c>
      <c r="AU60" s="4">
        <v>6.0000000000000001E-3</v>
      </c>
      <c r="AW60" s="4" t="s">
        <v>51</v>
      </c>
      <c r="AX60" s="4">
        <v>0.9</v>
      </c>
      <c r="AY60" s="4">
        <v>0.5</v>
      </c>
      <c r="AZ60" s="4">
        <v>0.6</v>
      </c>
      <c r="BA60" s="4">
        <v>0.6</v>
      </c>
      <c r="BB60" s="4">
        <v>1122.199707</v>
      </c>
      <c r="BC60" s="4">
        <v>2.1000000000000001E-2</v>
      </c>
      <c r="BD60" s="5"/>
      <c r="BE60" s="5"/>
      <c r="BF60" s="5"/>
      <c r="BG60" s="5"/>
      <c r="BI60" s="4" t="s">
        <v>51</v>
      </c>
      <c r="BJ60" s="4">
        <v>0.9</v>
      </c>
      <c r="BK60" s="4">
        <v>0.5</v>
      </c>
      <c r="BL60" s="4">
        <v>0.6</v>
      </c>
      <c r="BM60" s="4">
        <v>0.3</v>
      </c>
      <c r="BN60" s="6">
        <v>992.39739999999995</v>
      </c>
      <c r="BO60" s="4">
        <v>5.0000000000000001E-3</v>
      </c>
      <c r="BQ60" s="4" t="s">
        <v>51</v>
      </c>
      <c r="BR60" s="4">
        <v>0.9</v>
      </c>
      <c r="BS60" s="4">
        <v>0.5</v>
      </c>
      <c r="BT60" s="4">
        <v>0.6</v>
      </c>
      <c r="BU60" s="4">
        <v>0.97</v>
      </c>
      <c r="BV60" s="4">
        <v>1244.8831789999999</v>
      </c>
      <c r="BW60" s="4">
        <v>2.1000000000000001E-2</v>
      </c>
      <c r="BX60" s="5"/>
      <c r="BY60" s="5"/>
      <c r="BZ60" s="5"/>
      <c r="CA60" s="5"/>
    </row>
    <row r="61" spans="1:79" x14ac:dyDescent="0.3">
      <c r="A61" s="4" t="s">
        <v>52</v>
      </c>
      <c r="B61" s="4">
        <v>0.9</v>
      </c>
      <c r="C61" s="4">
        <v>0.5</v>
      </c>
      <c r="D61" s="4">
        <v>0.6</v>
      </c>
      <c r="E61" s="4">
        <v>0.3</v>
      </c>
      <c r="F61" s="6">
        <v>434.11999500000002</v>
      </c>
      <c r="G61" s="4">
        <v>0</v>
      </c>
      <c r="I61" s="4" t="s">
        <v>52</v>
      </c>
      <c r="J61" s="4">
        <v>0.9</v>
      </c>
      <c r="K61" s="4">
        <v>0.5</v>
      </c>
      <c r="L61" s="4">
        <v>0.6</v>
      </c>
      <c r="M61" s="4">
        <v>0.57999999999999996</v>
      </c>
      <c r="N61" s="4">
        <v>530.33508300000005</v>
      </c>
      <c r="O61" s="4">
        <v>1.2E-2</v>
      </c>
      <c r="P61" s="5"/>
      <c r="Q61" s="5"/>
      <c r="R61" s="5"/>
      <c r="S61" s="5"/>
      <c r="U61" s="4" t="s">
        <v>52</v>
      </c>
      <c r="V61" s="4">
        <v>0.9</v>
      </c>
      <c r="W61" s="4">
        <v>0.5</v>
      </c>
      <c r="X61" s="4">
        <v>0.6</v>
      </c>
      <c r="Y61" s="4">
        <v>0.3</v>
      </c>
      <c r="Z61" s="6">
        <v>459.364014</v>
      </c>
      <c r="AA61" s="4">
        <v>1E-3</v>
      </c>
      <c r="AC61" s="4" t="s">
        <v>52</v>
      </c>
      <c r="AD61" s="4">
        <v>0.9</v>
      </c>
      <c r="AE61" s="4">
        <v>0.5</v>
      </c>
      <c r="AF61" s="4">
        <v>0.6</v>
      </c>
      <c r="AG61" s="4">
        <v>0.23</v>
      </c>
      <c r="AH61" s="6">
        <v>459.364014</v>
      </c>
      <c r="AI61" s="4">
        <v>7.0000000000000001E-3</v>
      </c>
      <c r="AJ61" s="5"/>
      <c r="AK61" s="5"/>
      <c r="AL61" s="5"/>
      <c r="AM61" s="5"/>
      <c r="AO61" s="4" t="s">
        <v>53</v>
      </c>
      <c r="AP61" s="4">
        <v>0.9</v>
      </c>
      <c r="AQ61" s="4">
        <v>0.5</v>
      </c>
      <c r="AR61" s="4">
        <v>0.6</v>
      </c>
      <c r="AS61" s="4">
        <v>0.3</v>
      </c>
      <c r="AT61" s="6">
        <v>957.35632299999997</v>
      </c>
      <c r="AU61" s="4">
        <v>6.0000000000000001E-3</v>
      </c>
      <c r="AW61" s="4" t="s">
        <v>53</v>
      </c>
      <c r="AX61" s="4">
        <v>0.9</v>
      </c>
      <c r="AY61" s="4">
        <v>0.5</v>
      </c>
      <c r="AZ61" s="4">
        <v>0.6</v>
      </c>
      <c r="BA61" s="4">
        <v>0.82</v>
      </c>
      <c r="BB61" s="4">
        <v>1161.131592</v>
      </c>
      <c r="BC61" s="4">
        <v>1.7000000000000001E-2</v>
      </c>
      <c r="BD61" s="5"/>
      <c r="BE61" s="5"/>
      <c r="BF61" s="5"/>
      <c r="BG61" s="5"/>
      <c r="BI61" s="4" t="s">
        <v>53</v>
      </c>
      <c r="BJ61" s="4">
        <v>0.9</v>
      </c>
      <c r="BK61" s="4">
        <v>0.5</v>
      </c>
      <c r="BL61" s="4">
        <v>0.6</v>
      </c>
      <c r="BM61" s="4">
        <v>0.3</v>
      </c>
      <c r="BN61" s="6">
        <v>942.66168200000004</v>
      </c>
      <c r="BO61" s="4">
        <v>5.0000000000000001E-3</v>
      </c>
      <c r="BQ61" s="4" t="s">
        <v>53</v>
      </c>
      <c r="BR61" s="4">
        <v>0.9</v>
      </c>
      <c r="BS61" s="4">
        <v>0.5</v>
      </c>
      <c r="BT61" s="4">
        <v>0.6</v>
      </c>
      <c r="BU61" s="4">
        <v>0.44</v>
      </c>
      <c r="BV61" s="4">
        <v>997.14141800000004</v>
      </c>
      <c r="BW61" s="4">
        <v>2.3E-2</v>
      </c>
      <c r="BX61" s="5"/>
      <c r="BY61" s="5"/>
      <c r="BZ61" s="5"/>
      <c r="CA61" s="5"/>
    </row>
    <row r="62" spans="1:79" x14ac:dyDescent="0.3">
      <c r="A62" s="4" t="s">
        <v>54</v>
      </c>
      <c r="B62" s="4">
        <v>0.9</v>
      </c>
      <c r="C62" s="4">
        <v>0.5</v>
      </c>
      <c r="D62" s="4">
        <v>0.6</v>
      </c>
      <c r="E62" s="4">
        <v>0.3</v>
      </c>
      <c r="F62" s="6">
        <v>542.234375</v>
      </c>
      <c r="G62" s="4">
        <v>0</v>
      </c>
      <c r="I62" s="4" t="s">
        <v>54</v>
      </c>
      <c r="J62" s="4">
        <v>0.9</v>
      </c>
      <c r="K62" s="4">
        <v>0.5</v>
      </c>
      <c r="L62" s="4">
        <v>0.6</v>
      </c>
      <c r="M62" s="4">
        <v>0.01</v>
      </c>
      <c r="N62" s="4">
        <v>580.88555899999994</v>
      </c>
      <c r="O62" s="4">
        <v>2.7E-2</v>
      </c>
      <c r="P62" s="5"/>
      <c r="Q62" s="5"/>
      <c r="R62" s="5"/>
      <c r="S62" s="5"/>
      <c r="U62" s="4" t="s">
        <v>54</v>
      </c>
      <c r="V62" s="4">
        <v>0.9</v>
      </c>
      <c r="W62" s="4">
        <v>0.5</v>
      </c>
      <c r="X62" s="4">
        <v>0.6</v>
      </c>
      <c r="Y62" s="4">
        <v>0.3</v>
      </c>
      <c r="Z62" s="6">
        <v>545.28924600000005</v>
      </c>
      <c r="AA62" s="4">
        <v>1E-3</v>
      </c>
      <c r="AC62" s="4" t="s">
        <v>54</v>
      </c>
      <c r="AD62" s="4">
        <v>0.9</v>
      </c>
      <c r="AE62" s="4">
        <v>0.5</v>
      </c>
      <c r="AF62" s="4">
        <v>0.6</v>
      </c>
      <c r="AG62" s="4">
        <v>0.05</v>
      </c>
      <c r="AH62" s="4">
        <v>574.77880900000002</v>
      </c>
      <c r="AI62" s="4">
        <v>1.9E-2</v>
      </c>
      <c r="AJ62" s="5"/>
      <c r="AK62" s="5"/>
      <c r="AL62" s="5"/>
      <c r="AM62" s="5"/>
      <c r="AO62" s="4" t="s">
        <v>55</v>
      </c>
      <c r="AP62" s="4">
        <v>0.9</v>
      </c>
      <c r="AQ62" s="4">
        <v>0.5</v>
      </c>
      <c r="AR62" s="4">
        <v>0.6</v>
      </c>
      <c r="AS62" s="4">
        <v>0.3</v>
      </c>
      <c r="AT62" s="6">
        <v>947.66198699999995</v>
      </c>
      <c r="AU62" s="4">
        <v>4.0000000000000001E-3</v>
      </c>
      <c r="AW62" s="4" t="s">
        <v>55</v>
      </c>
      <c r="AX62" s="4">
        <v>0.9</v>
      </c>
      <c r="AY62" s="4">
        <v>0.5</v>
      </c>
      <c r="AZ62" s="4">
        <v>0.6</v>
      </c>
      <c r="BA62" s="4">
        <v>0.44</v>
      </c>
      <c r="BB62" s="4">
        <v>1015.68042</v>
      </c>
      <c r="BC62" s="4">
        <v>2.3E-2</v>
      </c>
      <c r="BD62" s="5"/>
      <c r="BE62" s="5"/>
      <c r="BF62" s="5"/>
      <c r="BG62" s="5"/>
      <c r="BI62" s="4" t="s">
        <v>55</v>
      </c>
      <c r="BJ62" s="4">
        <v>0.9</v>
      </c>
      <c r="BK62" s="4">
        <v>0.5</v>
      </c>
      <c r="BL62" s="4">
        <v>0.6</v>
      </c>
      <c r="BM62" s="4">
        <v>0.3</v>
      </c>
      <c r="BN62" s="6">
        <v>914.03625499999998</v>
      </c>
      <c r="BO62" s="4">
        <v>5.0000000000000001E-3</v>
      </c>
      <c r="BQ62" s="4" t="s">
        <v>55</v>
      </c>
      <c r="BR62" s="4">
        <v>0.9</v>
      </c>
      <c r="BS62" s="4">
        <v>0.5</v>
      </c>
      <c r="BT62" s="4">
        <v>0.6</v>
      </c>
      <c r="BU62" s="4">
        <v>0.93</v>
      </c>
      <c r="BV62" s="4">
        <v>1137.1789550000001</v>
      </c>
      <c r="BW62" s="4">
        <v>1.9E-2</v>
      </c>
      <c r="BX62" s="5"/>
      <c r="BY62" s="5"/>
      <c r="BZ62" s="5"/>
      <c r="CA62" s="5"/>
    </row>
    <row r="63" spans="1:79" x14ac:dyDescent="0.3">
      <c r="A63" s="4" t="s">
        <v>56</v>
      </c>
      <c r="B63" s="4">
        <v>0.9</v>
      </c>
      <c r="C63" s="4">
        <v>0.5</v>
      </c>
      <c r="D63" s="4">
        <v>0.6</v>
      </c>
      <c r="E63" s="4">
        <v>0.3</v>
      </c>
      <c r="F63" s="6">
        <v>434.32699600000001</v>
      </c>
      <c r="G63" s="4">
        <v>0</v>
      </c>
      <c r="I63" s="4" t="s">
        <v>56</v>
      </c>
      <c r="J63" s="4">
        <v>0.9</v>
      </c>
      <c r="K63" s="4">
        <v>0.5</v>
      </c>
      <c r="L63" s="4">
        <v>0.6</v>
      </c>
      <c r="M63" s="4">
        <v>0.93</v>
      </c>
      <c r="N63" s="4">
        <v>577.11499000000003</v>
      </c>
      <c r="O63" s="4">
        <v>8.9999999999999993E-3</v>
      </c>
      <c r="P63" s="5"/>
      <c r="Q63" s="5"/>
      <c r="R63" s="5"/>
      <c r="S63" s="5"/>
      <c r="U63" s="4" t="s">
        <v>56</v>
      </c>
      <c r="V63" s="4">
        <v>0.9</v>
      </c>
      <c r="W63" s="4">
        <v>0.5</v>
      </c>
      <c r="X63" s="4">
        <v>0.6</v>
      </c>
      <c r="Y63" s="4">
        <v>0.3</v>
      </c>
      <c r="Z63" s="6">
        <v>447.51660199999998</v>
      </c>
      <c r="AA63" s="4">
        <v>1E-3</v>
      </c>
      <c r="AC63" s="4" t="s">
        <v>56</v>
      </c>
      <c r="AD63" s="4">
        <v>0.9</v>
      </c>
      <c r="AE63" s="4">
        <v>0.5</v>
      </c>
      <c r="AF63" s="4">
        <v>0.6</v>
      </c>
      <c r="AG63" s="4">
        <v>0.09</v>
      </c>
      <c r="AH63" s="4">
        <v>454.64901700000001</v>
      </c>
      <c r="AI63" s="4">
        <v>2.5999999999999999E-2</v>
      </c>
      <c r="AJ63" s="5"/>
      <c r="AK63" s="5"/>
      <c r="AL63" s="5"/>
      <c r="AM63" s="5"/>
      <c r="AO63" s="4" t="s">
        <v>57</v>
      </c>
      <c r="AP63" s="4">
        <v>0.9</v>
      </c>
      <c r="AQ63" s="4">
        <v>0.5</v>
      </c>
      <c r="AR63" s="4">
        <v>0.6</v>
      </c>
      <c r="AS63" s="4">
        <v>0.3</v>
      </c>
      <c r="AT63" s="6">
        <v>921.82952899999998</v>
      </c>
      <c r="AU63" s="4">
        <v>5.0000000000000001E-3</v>
      </c>
      <c r="AW63" s="4" t="s">
        <v>57</v>
      </c>
      <c r="AX63" s="4">
        <v>0.9</v>
      </c>
      <c r="AY63" s="4">
        <v>0.5</v>
      </c>
      <c r="AZ63" s="4">
        <v>0.6</v>
      </c>
      <c r="BA63" s="4">
        <v>0.46</v>
      </c>
      <c r="BB63" s="4">
        <v>986.64843800000006</v>
      </c>
      <c r="BC63" s="4">
        <v>1.4E-2</v>
      </c>
      <c r="BD63" s="5"/>
      <c r="BE63" s="5"/>
      <c r="BF63" s="5"/>
      <c r="BG63" s="5"/>
      <c r="BI63" s="4" t="s">
        <v>57</v>
      </c>
      <c r="BJ63" s="4">
        <v>0.9</v>
      </c>
      <c r="BK63" s="4">
        <v>0.5</v>
      </c>
      <c r="BL63" s="4">
        <v>0.6</v>
      </c>
      <c r="BM63" s="4">
        <v>0.3</v>
      </c>
      <c r="BN63" s="6">
        <v>923.74011199999995</v>
      </c>
      <c r="BO63" s="4">
        <v>4.0000000000000001E-3</v>
      </c>
      <c r="BQ63" s="4" t="s">
        <v>57</v>
      </c>
      <c r="BR63" s="4">
        <v>0.9</v>
      </c>
      <c r="BS63" s="4">
        <v>0.5</v>
      </c>
      <c r="BT63" s="4">
        <v>0.6</v>
      </c>
      <c r="BU63" s="4">
        <v>0.39</v>
      </c>
      <c r="BV63" s="4">
        <v>978.18066399999998</v>
      </c>
      <c r="BW63" s="4">
        <v>2.3E-2</v>
      </c>
      <c r="BX63" s="5"/>
      <c r="BY63" s="5"/>
      <c r="BZ63" s="5"/>
      <c r="CA63" s="5"/>
    </row>
    <row r="64" spans="1:79" x14ac:dyDescent="0.3">
      <c r="A64" s="4" t="s">
        <v>58</v>
      </c>
      <c r="B64" s="4">
        <v>0.9</v>
      </c>
      <c r="C64" s="4">
        <v>0.5</v>
      </c>
      <c r="D64" s="4">
        <v>0.6</v>
      </c>
      <c r="E64" s="4">
        <v>0.3</v>
      </c>
      <c r="F64" s="6">
        <v>447.28234900000001</v>
      </c>
      <c r="G64" s="4">
        <v>1E-3</v>
      </c>
      <c r="I64" s="4" t="s">
        <v>58</v>
      </c>
      <c r="J64" s="4">
        <v>0.9</v>
      </c>
      <c r="K64" s="4">
        <v>0.5</v>
      </c>
      <c r="L64" s="4">
        <v>0.6</v>
      </c>
      <c r="M64" s="4">
        <v>0.59</v>
      </c>
      <c r="N64" s="4">
        <v>543.69921899999997</v>
      </c>
      <c r="O64" s="4">
        <v>2.1999999999999999E-2</v>
      </c>
      <c r="P64" s="5"/>
      <c r="Q64" s="5"/>
      <c r="R64" s="5"/>
      <c r="S64" s="5"/>
      <c r="U64" s="4" t="s">
        <v>58</v>
      </c>
      <c r="V64" s="4">
        <v>0.9</v>
      </c>
      <c r="W64" s="4">
        <v>0.5</v>
      </c>
      <c r="X64" s="4">
        <v>0.6</v>
      </c>
      <c r="Y64" s="4">
        <v>0.3</v>
      </c>
      <c r="Z64" s="6">
        <v>461.47448700000001</v>
      </c>
      <c r="AA64" s="4">
        <v>1E-3</v>
      </c>
      <c r="AC64" s="4" t="s">
        <v>58</v>
      </c>
      <c r="AD64" s="4">
        <v>0.9</v>
      </c>
      <c r="AE64" s="4">
        <v>0.5</v>
      </c>
      <c r="AF64" s="4">
        <v>0.6</v>
      </c>
      <c r="AG64" s="4">
        <v>0.53</v>
      </c>
      <c r="AH64" s="4">
        <v>530.34112500000003</v>
      </c>
      <c r="AI64" s="4">
        <v>8.9999999999999993E-3</v>
      </c>
      <c r="AJ64" s="5"/>
      <c r="AK64" s="5"/>
      <c r="AL64" s="5"/>
      <c r="AM64" s="5"/>
      <c r="AO64" s="4" t="s">
        <v>59</v>
      </c>
      <c r="AP64" s="4">
        <v>0.9</v>
      </c>
      <c r="AQ64" s="4">
        <v>0.5</v>
      </c>
      <c r="AR64" s="4">
        <v>0.6</v>
      </c>
      <c r="AS64" s="4">
        <v>0.3</v>
      </c>
      <c r="AT64" s="4">
        <v>852.70361300000002</v>
      </c>
      <c r="AU64" s="4">
        <v>7.0000000000000001E-3</v>
      </c>
      <c r="AW64" s="4" t="s">
        <v>59</v>
      </c>
      <c r="AX64" s="4">
        <v>0.9</v>
      </c>
      <c r="AY64" s="4">
        <v>0.5</v>
      </c>
      <c r="AZ64" s="4">
        <v>0.6</v>
      </c>
      <c r="BA64" s="4">
        <v>0.08</v>
      </c>
      <c r="BB64" s="6">
        <v>759.77484100000004</v>
      </c>
      <c r="BC64" s="4">
        <v>1.6E-2</v>
      </c>
      <c r="BD64" s="5"/>
      <c r="BE64" s="5"/>
      <c r="BF64" s="5"/>
      <c r="BG64" s="5"/>
      <c r="BI64" s="4" t="s">
        <v>59</v>
      </c>
      <c r="BJ64" s="4">
        <v>0.9</v>
      </c>
      <c r="BK64" s="4">
        <v>0.5</v>
      </c>
      <c r="BL64" s="4">
        <v>0.6</v>
      </c>
      <c r="BM64" s="4">
        <v>0.3</v>
      </c>
      <c r="BN64" s="6">
        <v>838.71032700000001</v>
      </c>
      <c r="BO64" s="4">
        <v>7.0000000000000001E-3</v>
      </c>
      <c r="BQ64" s="4" t="s">
        <v>59</v>
      </c>
      <c r="BR64" s="4">
        <v>0.9</v>
      </c>
      <c r="BS64" s="4">
        <v>0.5</v>
      </c>
      <c r="BT64" s="4">
        <v>0.6</v>
      </c>
      <c r="BU64" s="4">
        <v>0.94</v>
      </c>
      <c r="BV64" s="4">
        <v>1099.02478</v>
      </c>
      <c r="BW64" s="4">
        <v>1.2E-2</v>
      </c>
      <c r="BX64" s="5"/>
      <c r="BY64" s="5"/>
      <c r="BZ64" s="5"/>
      <c r="CA64" s="5"/>
    </row>
    <row r="65" spans="1:79" x14ac:dyDescent="0.3">
      <c r="A65" s="4" t="s">
        <v>60</v>
      </c>
      <c r="B65" s="4">
        <v>0.9</v>
      </c>
      <c r="C65" s="4">
        <v>0.5</v>
      </c>
      <c r="D65" s="4">
        <v>0.6</v>
      </c>
      <c r="E65" s="4">
        <v>0.3</v>
      </c>
      <c r="F65" s="6">
        <v>569.20593299999996</v>
      </c>
      <c r="G65" s="4">
        <v>1E-3</v>
      </c>
      <c r="I65" s="4" t="s">
        <v>60</v>
      </c>
      <c r="J65" s="4">
        <v>0.9</v>
      </c>
      <c r="K65" s="4">
        <v>0.5</v>
      </c>
      <c r="L65" s="4">
        <v>0.6</v>
      </c>
      <c r="M65" s="4">
        <v>0.54</v>
      </c>
      <c r="N65" s="4">
        <v>614.75720200000001</v>
      </c>
      <c r="O65" s="4">
        <v>1.2999999999999999E-2</v>
      </c>
      <c r="P65" s="5"/>
      <c r="Q65" s="5"/>
      <c r="R65" s="5"/>
      <c r="S65" s="5"/>
      <c r="U65" s="4" t="s">
        <v>60</v>
      </c>
      <c r="V65" s="4">
        <v>0.9</v>
      </c>
      <c r="W65" s="4">
        <v>0.5</v>
      </c>
      <c r="X65" s="4">
        <v>0.6</v>
      </c>
      <c r="Y65" s="4">
        <v>0.3</v>
      </c>
      <c r="Z65" s="6">
        <v>569.09258999999997</v>
      </c>
      <c r="AA65" s="4">
        <v>1E-3</v>
      </c>
      <c r="AC65" s="4" t="s">
        <v>60</v>
      </c>
      <c r="AD65" s="4">
        <v>0.9</v>
      </c>
      <c r="AE65" s="4">
        <v>0.5</v>
      </c>
      <c r="AF65" s="4">
        <v>0.6</v>
      </c>
      <c r="AG65" s="4">
        <v>0.64</v>
      </c>
      <c r="AH65" s="4">
        <v>617.78466800000001</v>
      </c>
      <c r="AI65" s="4">
        <v>1.0999999999999999E-2</v>
      </c>
      <c r="AJ65" s="5"/>
      <c r="AK65" s="5"/>
      <c r="AL65" s="5"/>
      <c r="AM65" s="5"/>
      <c r="AO65" s="4" t="s">
        <v>61</v>
      </c>
      <c r="AP65" s="4">
        <v>0.9</v>
      </c>
      <c r="AQ65" s="4">
        <v>0.5</v>
      </c>
      <c r="AR65" s="4">
        <v>0.6</v>
      </c>
      <c r="AS65" s="4">
        <v>0.3</v>
      </c>
      <c r="AT65" s="6">
        <v>979.62512200000003</v>
      </c>
      <c r="AU65" s="4">
        <v>7.0000000000000001E-3</v>
      </c>
      <c r="AW65" s="4" t="s">
        <v>61</v>
      </c>
      <c r="AX65" s="4">
        <v>0.9</v>
      </c>
      <c r="AY65" s="4">
        <v>0.5</v>
      </c>
      <c r="AZ65" s="4">
        <v>0.6</v>
      </c>
      <c r="BA65" s="4">
        <v>0.46</v>
      </c>
      <c r="BB65" s="4">
        <v>1084.8055420000001</v>
      </c>
      <c r="BC65" s="4">
        <v>2.9000000000000001E-2</v>
      </c>
      <c r="BD65" s="5"/>
      <c r="BE65" s="5"/>
      <c r="BF65" s="5"/>
      <c r="BG65" s="5"/>
      <c r="BI65" s="4" t="s">
        <v>61</v>
      </c>
      <c r="BJ65" s="4">
        <v>0.9</v>
      </c>
      <c r="BK65" s="4">
        <v>0.5</v>
      </c>
      <c r="BL65" s="4">
        <v>0.6</v>
      </c>
      <c r="BM65" s="4">
        <v>0.3</v>
      </c>
      <c r="BN65" s="6">
        <v>972.04492200000004</v>
      </c>
      <c r="BO65" s="4">
        <v>7.0000000000000001E-3</v>
      </c>
      <c r="BQ65" s="4" t="s">
        <v>61</v>
      </c>
      <c r="BR65" s="4">
        <v>0.9</v>
      </c>
      <c r="BS65" s="4">
        <v>0.5</v>
      </c>
      <c r="BT65" s="4">
        <v>0.6</v>
      </c>
      <c r="BU65" s="4">
        <v>0.65</v>
      </c>
      <c r="BV65" s="4">
        <v>1121.7337649999999</v>
      </c>
      <c r="BW65" s="4">
        <v>1.2999999999999999E-2</v>
      </c>
      <c r="BX65" s="5"/>
      <c r="BY65" s="5"/>
      <c r="BZ65" s="5"/>
      <c r="CA65" s="5"/>
    </row>
    <row r="66" spans="1:79" x14ac:dyDescent="0.3">
      <c r="A66" s="4" t="s">
        <v>62</v>
      </c>
      <c r="B66" s="4">
        <v>0.9</v>
      </c>
      <c r="C66" s="4">
        <v>0.5</v>
      </c>
      <c r="D66" s="4">
        <v>0.6</v>
      </c>
      <c r="E66" s="4">
        <v>0.3</v>
      </c>
      <c r="F66" s="6">
        <v>396.86749300000002</v>
      </c>
      <c r="G66" s="4">
        <v>0</v>
      </c>
      <c r="I66" s="4" t="s">
        <v>62</v>
      </c>
      <c r="J66" s="4">
        <v>0.9</v>
      </c>
      <c r="K66" s="4">
        <v>0.5</v>
      </c>
      <c r="L66" s="4">
        <v>0.6</v>
      </c>
      <c r="M66" s="4">
        <v>0.71</v>
      </c>
      <c r="N66" s="4">
        <v>418.71951300000001</v>
      </c>
      <c r="O66" s="4">
        <v>3.2000000000000001E-2</v>
      </c>
      <c r="P66" s="5"/>
      <c r="Q66" s="5"/>
      <c r="R66" s="5"/>
      <c r="S66" s="5"/>
      <c r="U66" s="4" t="s">
        <v>62</v>
      </c>
      <c r="V66" s="4">
        <v>0.9</v>
      </c>
      <c r="W66" s="4">
        <v>0.5</v>
      </c>
      <c r="X66" s="4">
        <v>0.6</v>
      </c>
      <c r="Y66" s="4">
        <v>0.3</v>
      </c>
      <c r="Z66" s="6">
        <v>393.36050399999999</v>
      </c>
      <c r="AA66" s="4">
        <v>0</v>
      </c>
      <c r="AC66" s="4" t="s">
        <v>62</v>
      </c>
      <c r="AD66" s="4">
        <v>0.9</v>
      </c>
      <c r="AE66" s="4">
        <v>0.5</v>
      </c>
      <c r="AF66" s="4">
        <v>0.6</v>
      </c>
      <c r="AG66" s="4">
        <v>0.71</v>
      </c>
      <c r="AH66" s="4">
        <v>412.57354700000002</v>
      </c>
      <c r="AI66" s="4">
        <v>2.3E-2</v>
      </c>
      <c r="AJ66" s="5"/>
      <c r="AK66" s="5"/>
      <c r="AL66" s="5"/>
      <c r="AM66" s="5"/>
      <c r="AO66" s="4" t="s">
        <v>63</v>
      </c>
      <c r="AP66" s="4">
        <v>0.9</v>
      </c>
      <c r="AQ66" s="4">
        <v>0.5</v>
      </c>
      <c r="AR66" s="4">
        <v>0.6</v>
      </c>
      <c r="AS66" s="4">
        <v>0.3</v>
      </c>
      <c r="AT66" s="6">
        <v>948.26293899999996</v>
      </c>
      <c r="AU66" s="4">
        <v>5.0000000000000001E-3</v>
      </c>
      <c r="AW66" s="4" t="s">
        <v>63</v>
      </c>
      <c r="AX66" s="4">
        <v>0.9</v>
      </c>
      <c r="AY66" s="4">
        <v>0.5</v>
      </c>
      <c r="AZ66" s="4">
        <v>0.6</v>
      </c>
      <c r="BA66" s="4">
        <v>0.94</v>
      </c>
      <c r="BB66" s="4">
        <v>1138.9736330000001</v>
      </c>
      <c r="BC66" s="4">
        <v>2.4E-2</v>
      </c>
      <c r="BD66" s="5"/>
      <c r="BE66" s="5"/>
      <c r="BF66" s="5"/>
      <c r="BG66" s="5"/>
      <c r="BI66" s="4" t="s">
        <v>63</v>
      </c>
      <c r="BJ66" s="4">
        <v>0.9</v>
      </c>
      <c r="BK66" s="4">
        <v>0.5</v>
      </c>
      <c r="BL66" s="4">
        <v>0.6</v>
      </c>
      <c r="BM66" s="4">
        <v>0.3</v>
      </c>
      <c r="BN66" s="6">
        <v>962.67266800000004</v>
      </c>
      <c r="BO66" s="4">
        <v>4.0000000000000001E-3</v>
      </c>
      <c r="BQ66" s="4" t="s">
        <v>63</v>
      </c>
      <c r="BR66" s="4">
        <v>0.9</v>
      </c>
      <c r="BS66" s="4">
        <v>0.5</v>
      </c>
      <c r="BT66" s="4">
        <v>0.6</v>
      </c>
      <c r="BU66" s="4">
        <v>0.9</v>
      </c>
      <c r="BV66" s="4">
        <v>1141.4655760000001</v>
      </c>
      <c r="BW66" s="4">
        <v>1.4999999999999999E-2</v>
      </c>
      <c r="BX66" s="5"/>
      <c r="BY66" s="5"/>
      <c r="BZ66" s="5"/>
      <c r="CA66" s="5"/>
    </row>
    <row r="67" spans="1:79" x14ac:dyDescent="0.3">
      <c r="A67" s="4" t="s">
        <v>64</v>
      </c>
      <c r="B67" s="4">
        <v>0.9</v>
      </c>
      <c r="C67" s="4">
        <v>0.5</v>
      </c>
      <c r="D67" s="4">
        <v>0.6</v>
      </c>
      <c r="E67" s="4">
        <v>0.3</v>
      </c>
      <c r="F67" s="6">
        <v>537.66461200000003</v>
      </c>
      <c r="G67" s="4">
        <v>2E-3</v>
      </c>
      <c r="I67" s="4" t="s">
        <v>64</v>
      </c>
      <c r="J67" s="4">
        <v>0.9</v>
      </c>
      <c r="K67" s="4">
        <v>0.5</v>
      </c>
      <c r="L67" s="4">
        <v>0.6</v>
      </c>
      <c r="M67" s="4">
        <v>0.96</v>
      </c>
      <c r="N67" s="4">
        <v>626.46758999999997</v>
      </c>
      <c r="O67" s="4">
        <v>1.4999999999999999E-2</v>
      </c>
      <c r="P67" s="5"/>
      <c r="Q67" s="5"/>
      <c r="R67" s="5"/>
      <c r="S67" s="5"/>
      <c r="U67" s="4" t="s">
        <v>64</v>
      </c>
      <c r="V67" s="4">
        <v>0.9</v>
      </c>
      <c r="W67" s="4">
        <v>0.5</v>
      </c>
      <c r="X67" s="4">
        <v>0.6</v>
      </c>
      <c r="Y67" s="4">
        <v>0.3</v>
      </c>
      <c r="Z67" s="6">
        <v>549.18920900000001</v>
      </c>
      <c r="AA67" s="4">
        <v>0</v>
      </c>
      <c r="AC67" s="4" t="s">
        <v>64</v>
      </c>
      <c r="AD67" s="4">
        <v>0.9</v>
      </c>
      <c r="AE67" s="4">
        <v>0.5</v>
      </c>
      <c r="AF67" s="4">
        <v>0.6</v>
      </c>
      <c r="AG67" s="4">
        <v>0.1</v>
      </c>
      <c r="AH67" s="4">
        <v>584.44262700000002</v>
      </c>
      <c r="AI67" s="4">
        <v>1.0999999999999999E-2</v>
      </c>
      <c r="AJ67" s="5"/>
      <c r="AK67" s="5"/>
      <c r="AL67" s="5"/>
      <c r="AM67" s="5"/>
      <c r="AO67" s="4" t="s">
        <v>65</v>
      </c>
      <c r="AP67" s="4">
        <v>0.9</v>
      </c>
      <c r="AQ67" s="4">
        <v>0.5</v>
      </c>
      <c r="AR67" s="4">
        <v>0.6</v>
      </c>
      <c r="AS67" s="4">
        <v>0.3</v>
      </c>
      <c r="AT67" s="6">
        <v>896.59136999999998</v>
      </c>
      <c r="AU67" s="4">
        <v>6.0000000000000001E-3</v>
      </c>
      <c r="AW67" s="4" t="s">
        <v>65</v>
      </c>
      <c r="AX67" s="4">
        <v>0.9</v>
      </c>
      <c r="AY67" s="4">
        <v>0.5</v>
      </c>
      <c r="AZ67" s="4">
        <v>0.6</v>
      </c>
      <c r="BA67" s="4">
        <v>0.87</v>
      </c>
      <c r="BB67" s="4">
        <v>1157.4842530000001</v>
      </c>
      <c r="BC67" s="4">
        <v>1.7999999999999999E-2</v>
      </c>
      <c r="BD67" s="5"/>
      <c r="BE67" s="5"/>
      <c r="BF67" s="5"/>
      <c r="BG67" s="5"/>
      <c r="BI67" s="4" t="s">
        <v>65</v>
      </c>
      <c r="BJ67" s="4">
        <v>0.9</v>
      </c>
      <c r="BK67" s="4">
        <v>0.5</v>
      </c>
      <c r="BL67" s="4">
        <v>0.6</v>
      </c>
      <c r="BM67" s="4">
        <v>0.3</v>
      </c>
      <c r="BN67" s="4">
        <v>901.38531499999999</v>
      </c>
      <c r="BO67" s="4">
        <v>6.0000000000000001E-3</v>
      </c>
      <c r="BQ67" s="4" t="s">
        <v>65</v>
      </c>
      <c r="BR67" s="4">
        <v>0.9</v>
      </c>
      <c r="BS67" s="4">
        <v>0.5</v>
      </c>
      <c r="BT67" s="4">
        <v>0.6</v>
      </c>
      <c r="BU67" s="4">
        <v>0.03</v>
      </c>
      <c r="BV67" s="6">
        <v>797.10034199999996</v>
      </c>
      <c r="BW67" s="4">
        <v>2.4E-2</v>
      </c>
      <c r="BX67" s="5"/>
      <c r="BY67" s="5"/>
      <c r="BZ67" s="5"/>
      <c r="CA67" s="5"/>
    </row>
    <row r="68" spans="1:79" x14ac:dyDescent="0.3">
      <c r="A68" s="4" t="s">
        <v>66</v>
      </c>
      <c r="B68" s="4">
        <v>0.9</v>
      </c>
      <c r="C68" s="4">
        <v>0.5</v>
      </c>
      <c r="D68" s="4">
        <v>0.6</v>
      </c>
      <c r="E68" s="4">
        <v>0.3</v>
      </c>
      <c r="F68" s="6">
        <v>489.73056000000003</v>
      </c>
      <c r="G68" s="4">
        <v>0</v>
      </c>
      <c r="I68" s="4" t="s">
        <v>66</v>
      </c>
      <c r="J68" s="4">
        <v>0.9</v>
      </c>
      <c r="K68" s="4">
        <v>0.5</v>
      </c>
      <c r="L68" s="4">
        <v>0.6</v>
      </c>
      <c r="M68" s="4">
        <v>0.9</v>
      </c>
      <c r="N68" s="4">
        <v>600.08453399999996</v>
      </c>
      <c r="O68" s="4">
        <v>0.02</v>
      </c>
      <c r="P68" s="5"/>
      <c r="Q68" s="5"/>
      <c r="R68" s="5"/>
      <c r="S68" s="5"/>
      <c r="U68" s="4" t="s">
        <v>66</v>
      </c>
      <c r="V68" s="4">
        <v>0.9</v>
      </c>
      <c r="W68" s="4">
        <v>0.5</v>
      </c>
      <c r="X68" s="4">
        <v>0.6</v>
      </c>
      <c r="Y68" s="4">
        <v>0.3</v>
      </c>
      <c r="Z68" s="6">
        <v>484.88317899999998</v>
      </c>
      <c r="AA68" s="4">
        <v>1E-3</v>
      </c>
      <c r="AC68" s="4" t="s">
        <v>66</v>
      </c>
      <c r="AD68" s="4">
        <v>0.9</v>
      </c>
      <c r="AE68" s="4">
        <v>0.5</v>
      </c>
      <c r="AF68" s="4">
        <v>0.6</v>
      </c>
      <c r="AG68" s="4">
        <v>0.92</v>
      </c>
      <c r="AH68" s="4">
        <v>594.48809800000004</v>
      </c>
      <c r="AI68" s="4">
        <v>2.9000000000000001E-2</v>
      </c>
      <c r="AJ68" s="5"/>
      <c r="AK68" s="5"/>
      <c r="AL68" s="5"/>
      <c r="AM68" s="5"/>
      <c r="AO68" s="4" t="s">
        <v>67</v>
      </c>
      <c r="AP68" s="4">
        <v>0.9</v>
      </c>
      <c r="AQ68" s="4">
        <v>0.5</v>
      </c>
      <c r="AR68" s="4">
        <v>0.6</v>
      </c>
      <c r="AS68" s="4">
        <v>0.3</v>
      </c>
      <c r="AT68" s="6">
        <v>931.22277799999995</v>
      </c>
      <c r="AU68" s="4">
        <v>8.9999999999999993E-3</v>
      </c>
      <c r="AW68" s="4" t="s">
        <v>67</v>
      </c>
      <c r="AX68" s="4">
        <v>0.9</v>
      </c>
      <c r="AY68" s="4">
        <v>0.5</v>
      </c>
      <c r="AZ68" s="4">
        <v>0.6</v>
      </c>
      <c r="BA68" s="4">
        <v>0.49</v>
      </c>
      <c r="BB68" s="4">
        <v>1050.8127440000001</v>
      </c>
      <c r="BC68" s="4">
        <v>0.01</v>
      </c>
      <c r="BD68" s="5"/>
      <c r="BE68" s="5"/>
      <c r="BF68" s="5"/>
      <c r="BG68" s="5"/>
      <c r="BI68" s="4" t="s">
        <v>67</v>
      </c>
      <c r="BJ68" s="4">
        <v>0.9</v>
      </c>
      <c r="BK68" s="4">
        <v>0.5</v>
      </c>
      <c r="BL68" s="4">
        <v>0.6</v>
      </c>
      <c r="BM68" s="4">
        <v>0.3</v>
      </c>
      <c r="BN68" s="4">
        <v>966.22833300000002</v>
      </c>
      <c r="BO68" s="4">
        <v>5.0000000000000001E-3</v>
      </c>
      <c r="BQ68" s="4" t="s">
        <v>67</v>
      </c>
      <c r="BR68" s="4">
        <v>0.9</v>
      </c>
      <c r="BS68" s="4">
        <v>0.5</v>
      </c>
      <c r="BT68" s="4">
        <v>0.6</v>
      </c>
      <c r="BU68" s="4">
        <v>0.31</v>
      </c>
      <c r="BV68" s="6">
        <v>961.68780500000003</v>
      </c>
      <c r="BW68" s="4">
        <v>1.4E-2</v>
      </c>
      <c r="BX68" s="5"/>
      <c r="BY68" s="5"/>
      <c r="BZ68" s="5"/>
      <c r="CA68" s="5"/>
    </row>
    <row r="69" spans="1:79" x14ac:dyDescent="0.3">
      <c r="A69" s="4" t="s">
        <v>68</v>
      </c>
      <c r="B69" s="4">
        <v>0.9</v>
      </c>
      <c r="C69" s="4">
        <v>0.5</v>
      </c>
      <c r="D69" s="4">
        <v>0.6</v>
      </c>
      <c r="E69" s="4">
        <v>0.3</v>
      </c>
      <c r="F69" s="6">
        <v>400.026093</v>
      </c>
      <c r="G69" s="4">
        <v>0</v>
      </c>
      <c r="I69" s="4" t="s">
        <v>68</v>
      </c>
      <c r="J69" s="4">
        <v>0.9</v>
      </c>
      <c r="K69" s="4">
        <v>0.5</v>
      </c>
      <c r="L69" s="4">
        <v>0.6</v>
      </c>
      <c r="M69" s="4">
        <v>0.66</v>
      </c>
      <c r="N69" s="4">
        <v>409.623199</v>
      </c>
      <c r="O69" s="4">
        <v>1.2E-2</v>
      </c>
      <c r="P69" s="5"/>
      <c r="Q69" s="5"/>
      <c r="R69" s="5"/>
      <c r="S69" s="5"/>
      <c r="U69" s="4" t="s">
        <v>68</v>
      </c>
      <c r="V69" s="4">
        <v>0.9</v>
      </c>
      <c r="W69" s="4">
        <v>0.5</v>
      </c>
      <c r="X69" s="4">
        <v>0.6</v>
      </c>
      <c r="Y69" s="4">
        <v>0.3</v>
      </c>
      <c r="Z69" s="6">
        <v>389.56133999999997</v>
      </c>
      <c r="AA69" s="4">
        <v>1E-3</v>
      </c>
      <c r="AC69" s="4" t="s">
        <v>68</v>
      </c>
      <c r="AD69" s="4">
        <v>0.9</v>
      </c>
      <c r="AE69" s="4">
        <v>0.5</v>
      </c>
      <c r="AF69" s="4">
        <v>0.6</v>
      </c>
      <c r="AG69" s="4">
        <v>0.37</v>
      </c>
      <c r="AH69" s="4">
        <v>391.63028000000003</v>
      </c>
      <c r="AI69" s="4">
        <v>1.4999999999999999E-2</v>
      </c>
      <c r="AJ69" s="5"/>
      <c r="AK69" s="5"/>
      <c r="AL69" s="5"/>
      <c r="AM69" s="5"/>
      <c r="AO69" s="4" t="s">
        <v>69</v>
      </c>
      <c r="AP69" s="4">
        <v>0.9</v>
      </c>
      <c r="AQ69" s="4">
        <v>0.5</v>
      </c>
      <c r="AR69" s="4">
        <v>0.6</v>
      </c>
      <c r="AS69" s="4">
        <v>0.3</v>
      </c>
      <c r="AT69" s="6">
        <v>968.01171899999997</v>
      </c>
      <c r="AU69" s="4">
        <v>7.0000000000000001E-3</v>
      </c>
      <c r="AW69" s="4" t="s">
        <v>69</v>
      </c>
      <c r="AX69" s="4">
        <v>0.9</v>
      </c>
      <c r="AY69" s="4">
        <v>0.5</v>
      </c>
      <c r="AZ69" s="4">
        <v>0.6</v>
      </c>
      <c r="BA69" s="4">
        <v>0.66</v>
      </c>
      <c r="BB69" s="4">
        <v>1124.822754</v>
      </c>
      <c r="BC69" s="4">
        <v>2.1000000000000001E-2</v>
      </c>
      <c r="BD69" s="5"/>
      <c r="BE69" s="5"/>
      <c r="BF69" s="5"/>
      <c r="BG69" s="5"/>
      <c r="BI69" s="4" t="s">
        <v>69</v>
      </c>
      <c r="BJ69" s="4">
        <v>0.9</v>
      </c>
      <c r="BK69" s="4">
        <v>0.5</v>
      </c>
      <c r="BL69" s="4">
        <v>0.6</v>
      </c>
      <c r="BM69" s="4">
        <v>0.3</v>
      </c>
      <c r="BN69" s="6">
        <v>949.48687700000005</v>
      </c>
      <c r="BO69" s="4">
        <v>6.0000000000000001E-3</v>
      </c>
      <c r="BQ69" s="4" t="s">
        <v>69</v>
      </c>
      <c r="BR69" s="4">
        <v>0.9</v>
      </c>
      <c r="BS69" s="4">
        <v>0.5</v>
      </c>
      <c r="BT69" s="4">
        <v>0.6</v>
      </c>
      <c r="BU69" s="4">
        <v>0.86</v>
      </c>
      <c r="BV69" s="4">
        <v>1179.2617190000001</v>
      </c>
      <c r="BW69" s="4">
        <v>1.2E-2</v>
      </c>
      <c r="BX69" s="5"/>
      <c r="BY69" s="5"/>
      <c r="BZ69" s="5"/>
      <c r="CA69" s="5"/>
    </row>
    <row r="70" spans="1:79" x14ac:dyDescent="0.3">
      <c r="A70" s="14" t="s">
        <v>316</v>
      </c>
      <c r="E70" s="14">
        <f>AVERAGE(E40:E69)</f>
        <v>0.3</v>
      </c>
      <c r="I70" s="14" t="s">
        <v>316</v>
      </c>
      <c r="M70" s="14">
        <f>AVERAGE(M40:M69)</f>
        <v>0.50700000000000012</v>
      </c>
      <c r="P70" s="5"/>
      <c r="Q70" s="5"/>
      <c r="R70" s="5"/>
      <c r="S70" s="5"/>
      <c r="U70" s="14" t="s">
        <v>316</v>
      </c>
      <c r="Y70" s="14">
        <f>AVERAGE(Y40:Y69)</f>
        <v>0.3</v>
      </c>
      <c r="AC70" s="14" t="s">
        <v>316</v>
      </c>
      <c r="AG70" s="14">
        <f>AVERAGE(AG40:AG69)</f>
        <v>0.49166666666666675</v>
      </c>
      <c r="AJ70" s="5"/>
      <c r="AK70" s="5"/>
      <c r="AL70" s="5"/>
      <c r="AM70" s="5"/>
      <c r="AO70" s="14" t="s">
        <v>316</v>
      </c>
      <c r="AS70" s="14">
        <f>AVERAGE(AS40:AS69)</f>
        <v>0.3</v>
      </c>
      <c r="AW70" s="14" t="s">
        <v>316</v>
      </c>
      <c r="BA70" s="14">
        <f>AVERAGE(BA40:BA69)</f>
        <v>0.46333333333333343</v>
      </c>
      <c r="BD70" s="5"/>
      <c r="BE70" s="5"/>
      <c r="BF70" s="5"/>
      <c r="BG70" s="5"/>
      <c r="BI70" s="14" t="s">
        <v>316</v>
      </c>
      <c r="BM70" s="14">
        <f>AVERAGE(BM40:BM69)</f>
        <v>0.3</v>
      </c>
      <c r="BQ70" s="14" t="s">
        <v>316</v>
      </c>
      <c r="BU70" s="14">
        <f>AVERAGE(BU40:BU69)</f>
        <v>0.46566666666666662</v>
      </c>
      <c r="BX70" s="5"/>
      <c r="BY70" s="5"/>
      <c r="BZ70" s="5"/>
      <c r="CA70" s="5"/>
    </row>
    <row r="71" spans="1:79" x14ac:dyDescent="0.3">
      <c r="P71" s="5"/>
      <c r="Q71" s="5"/>
      <c r="R71" s="5"/>
      <c r="S71" s="5"/>
      <c r="AJ71" s="5"/>
      <c r="AK71" s="5"/>
      <c r="AL71" s="5"/>
      <c r="AM71" s="5"/>
      <c r="BD71" s="5"/>
      <c r="BE71" s="5"/>
      <c r="BF71" s="5"/>
      <c r="BG71" s="5"/>
      <c r="BX71" s="5"/>
      <c r="BY71" s="5"/>
      <c r="BZ71" s="5"/>
      <c r="CA71" s="5"/>
    </row>
    <row r="72" spans="1:79" x14ac:dyDescent="0.3">
      <c r="P72" s="5"/>
      <c r="Q72" s="5"/>
      <c r="R72" s="5"/>
      <c r="S72" s="5"/>
      <c r="AJ72" s="5"/>
      <c r="AK72" s="5"/>
      <c r="AL72" s="5"/>
      <c r="AM72" s="5"/>
      <c r="BD72" s="5"/>
      <c r="BE72" s="5"/>
      <c r="BF72" s="5"/>
      <c r="BG72" s="5"/>
      <c r="BX72" s="5"/>
      <c r="BY72" s="5"/>
      <c r="BZ72" s="5"/>
      <c r="CA72" s="5"/>
    </row>
    <row r="73" spans="1:79" x14ac:dyDescent="0.3">
      <c r="A73" s="23" t="s">
        <v>314</v>
      </c>
      <c r="B73" s="23"/>
      <c r="C73" s="23"/>
      <c r="D73" s="23"/>
      <c r="E73" s="23"/>
      <c r="F73" s="23"/>
      <c r="G73" s="23"/>
      <c r="I73" s="24" t="s">
        <v>314</v>
      </c>
      <c r="J73" s="25"/>
      <c r="K73" s="25"/>
      <c r="L73" s="25"/>
      <c r="M73" s="25"/>
      <c r="N73" s="25"/>
      <c r="O73" s="26"/>
      <c r="P73" s="11"/>
      <c r="Q73" s="11"/>
      <c r="R73" s="11"/>
      <c r="S73" s="11"/>
      <c r="U73" s="23" t="s">
        <v>314</v>
      </c>
      <c r="V73" s="23"/>
      <c r="W73" s="23"/>
      <c r="X73" s="23"/>
      <c r="Y73" s="23"/>
      <c r="Z73" s="23"/>
      <c r="AA73" s="23"/>
      <c r="AC73" s="24" t="s">
        <v>314</v>
      </c>
      <c r="AD73" s="25"/>
      <c r="AE73" s="25"/>
      <c r="AF73" s="25"/>
      <c r="AG73" s="25"/>
      <c r="AH73" s="25"/>
      <c r="AI73" s="26"/>
      <c r="AJ73" s="11"/>
      <c r="AK73" s="11"/>
      <c r="AL73" s="11"/>
      <c r="AM73" s="11"/>
      <c r="AO73" s="23" t="s">
        <v>314</v>
      </c>
      <c r="AP73" s="23"/>
      <c r="AQ73" s="23"/>
      <c r="AR73" s="23"/>
      <c r="AS73" s="23"/>
      <c r="AT73" s="23"/>
      <c r="AU73" s="23"/>
      <c r="AW73" s="24" t="s">
        <v>314</v>
      </c>
      <c r="AX73" s="25"/>
      <c r="AY73" s="25"/>
      <c r="AZ73" s="25"/>
      <c r="BA73" s="25"/>
      <c r="BB73" s="25"/>
      <c r="BC73" s="26"/>
      <c r="BD73" s="11"/>
      <c r="BE73" s="11"/>
      <c r="BF73" s="11"/>
      <c r="BG73" s="11"/>
      <c r="BI73" s="23" t="s">
        <v>314</v>
      </c>
      <c r="BJ73" s="23"/>
      <c r="BK73" s="23"/>
      <c r="BL73" s="23"/>
      <c r="BM73" s="23"/>
      <c r="BN73" s="23"/>
      <c r="BO73" s="23"/>
      <c r="BQ73" s="24" t="s">
        <v>314</v>
      </c>
      <c r="BR73" s="25"/>
      <c r="BS73" s="25"/>
      <c r="BT73" s="25"/>
      <c r="BU73" s="25"/>
      <c r="BV73" s="25"/>
      <c r="BW73" s="26"/>
      <c r="BX73" s="11"/>
      <c r="BY73" s="11"/>
      <c r="BZ73" s="11"/>
      <c r="CA73" s="11"/>
    </row>
    <row r="74" spans="1:79" x14ac:dyDescent="0.3">
      <c r="A74" s="24" t="s">
        <v>72</v>
      </c>
      <c r="B74" s="25"/>
      <c r="C74" s="25"/>
      <c r="D74" s="25"/>
      <c r="E74" s="25"/>
      <c r="F74" s="25"/>
      <c r="G74" s="26"/>
      <c r="I74" s="4" t="s">
        <v>72</v>
      </c>
      <c r="J74" s="4"/>
      <c r="K74" s="4"/>
      <c r="L74" s="4"/>
      <c r="M74" s="4"/>
      <c r="N74" s="4"/>
      <c r="O74" s="4"/>
      <c r="P74" s="11"/>
      <c r="Q74" s="11"/>
      <c r="R74" s="11"/>
      <c r="S74" s="11"/>
      <c r="U74" s="24" t="s">
        <v>73</v>
      </c>
      <c r="V74" s="25"/>
      <c r="W74" s="25"/>
      <c r="X74" s="25"/>
      <c r="Y74" s="25"/>
      <c r="Z74" s="25"/>
      <c r="AA74" s="26"/>
      <c r="AC74" s="4" t="s">
        <v>73</v>
      </c>
      <c r="AD74" s="4"/>
      <c r="AE74" s="4"/>
      <c r="AF74" s="4"/>
      <c r="AG74" s="4"/>
      <c r="AH74" s="4"/>
      <c r="AI74" s="4"/>
      <c r="AJ74" s="11"/>
      <c r="AK74" s="11"/>
      <c r="AL74" s="11"/>
      <c r="AM74" s="11"/>
      <c r="AO74" s="4" t="s">
        <v>72</v>
      </c>
      <c r="AP74" s="4"/>
      <c r="AQ74" s="4"/>
      <c r="AR74" s="4"/>
      <c r="AS74" s="4"/>
      <c r="AT74" s="4"/>
      <c r="AU74" s="4"/>
      <c r="AW74" s="4" t="s">
        <v>72</v>
      </c>
      <c r="AX74" s="4"/>
      <c r="AY74" s="4"/>
      <c r="AZ74" s="4"/>
      <c r="BA74" s="4"/>
      <c r="BB74" s="4"/>
      <c r="BC74" s="4"/>
      <c r="BD74" s="11"/>
      <c r="BE74" s="11"/>
      <c r="BF74" s="11"/>
      <c r="BG74" s="11"/>
      <c r="BI74" s="4" t="s">
        <v>73</v>
      </c>
      <c r="BJ74" s="4"/>
      <c r="BK74" s="4"/>
      <c r="BL74" s="4"/>
      <c r="BM74" s="4"/>
      <c r="BN74" s="4"/>
      <c r="BO74" s="4"/>
      <c r="BQ74" s="4" t="s">
        <v>73</v>
      </c>
      <c r="BR74" s="4"/>
      <c r="BS74" s="4"/>
      <c r="BT74" s="4"/>
      <c r="BU74" s="4"/>
      <c r="BV74" s="4"/>
      <c r="BW74" s="4"/>
      <c r="BX74" s="11"/>
      <c r="BY74" s="11"/>
      <c r="BZ74" s="11"/>
      <c r="CA74" s="11"/>
    </row>
    <row r="75" spans="1:79" x14ac:dyDescent="0.3">
      <c r="A75" s="4" t="s">
        <v>2</v>
      </c>
      <c r="B75" s="4" t="s">
        <v>3</v>
      </c>
      <c r="C75" s="4" t="s">
        <v>4</v>
      </c>
      <c r="D75" s="4" t="s">
        <v>5</v>
      </c>
      <c r="E75" s="4" t="s">
        <v>6</v>
      </c>
      <c r="F75" s="4" t="s">
        <v>7</v>
      </c>
      <c r="G75" s="4" t="s">
        <v>8</v>
      </c>
      <c r="I75" s="4" t="s">
        <v>2</v>
      </c>
      <c r="J75" s="4" t="s">
        <v>3</v>
      </c>
      <c r="K75" s="4" t="s">
        <v>4</v>
      </c>
      <c r="L75" s="4" t="s">
        <v>5</v>
      </c>
      <c r="M75" s="4" t="s">
        <v>6</v>
      </c>
      <c r="N75" s="4" t="s">
        <v>7</v>
      </c>
      <c r="O75" s="4" t="s">
        <v>8</v>
      </c>
      <c r="P75" s="3" t="s">
        <v>322</v>
      </c>
      <c r="Q75" s="3" t="s">
        <v>323</v>
      </c>
      <c r="R75" s="3" t="s">
        <v>322</v>
      </c>
      <c r="S75" s="3" t="s">
        <v>323</v>
      </c>
      <c r="U75" s="4" t="s">
        <v>2</v>
      </c>
      <c r="V75" s="4" t="s">
        <v>3</v>
      </c>
      <c r="W75" s="4" t="s">
        <v>4</v>
      </c>
      <c r="X75" s="4" t="s">
        <v>5</v>
      </c>
      <c r="Y75" s="4" t="s">
        <v>6</v>
      </c>
      <c r="Z75" s="4" t="s">
        <v>7</v>
      </c>
      <c r="AA75" s="4" t="s">
        <v>8</v>
      </c>
      <c r="AC75" s="4" t="s">
        <v>2</v>
      </c>
      <c r="AD75" s="4" t="s">
        <v>3</v>
      </c>
      <c r="AE75" s="4" t="s">
        <v>4</v>
      </c>
      <c r="AF75" s="4" t="s">
        <v>5</v>
      </c>
      <c r="AG75" s="4" t="s">
        <v>6</v>
      </c>
      <c r="AH75" s="4" t="s">
        <v>7</v>
      </c>
      <c r="AI75" s="4" t="s">
        <v>8</v>
      </c>
      <c r="AJ75" s="3" t="s">
        <v>322</v>
      </c>
      <c r="AK75" s="3" t="s">
        <v>323</v>
      </c>
      <c r="AL75" s="3" t="s">
        <v>322</v>
      </c>
      <c r="AM75" s="3" t="s">
        <v>323</v>
      </c>
      <c r="AO75" s="4" t="s">
        <v>2</v>
      </c>
      <c r="AP75" s="4" t="s">
        <v>3</v>
      </c>
      <c r="AQ75" s="4" t="s">
        <v>4</v>
      </c>
      <c r="AR75" s="4" t="s">
        <v>5</v>
      </c>
      <c r="AS75" s="4" t="s">
        <v>6</v>
      </c>
      <c r="AT75" s="4" t="s">
        <v>7</v>
      </c>
      <c r="AU75" s="4" t="s">
        <v>8</v>
      </c>
      <c r="AW75" s="4" t="s">
        <v>2</v>
      </c>
      <c r="AX75" s="4" t="s">
        <v>3</v>
      </c>
      <c r="AY75" s="4" t="s">
        <v>4</v>
      </c>
      <c r="AZ75" s="4" t="s">
        <v>5</v>
      </c>
      <c r="BA75" s="4" t="s">
        <v>6</v>
      </c>
      <c r="BB75" s="4" t="s">
        <v>7</v>
      </c>
      <c r="BC75" s="4" t="s">
        <v>8</v>
      </c>
      <c r="BD75" s="3" t="s">
        <v>322</v>
      </c>
      <c r="BE75" s="3" t="s">
        <v>323</v>
      </c>
      <c r="BF75" s="3" t="s">
        <v>322</v>
      </c>
      <c r="BG75" s="3" t="s">
        <v>323</v>
      </c>
      <c r="BI75" s="4" t="s">
        <v>2</v>
      </c>
      <c r="BJ75" s="4" t="s">
        <v>3</v>
      </c>
      <c r="BK75" s="4" t="s">
        <v>4</v>
      </c>
      <c r="BL75" s="4" t="s">
        <v>5</v>
      </c>
      <c r="BM75" s="4" t="s">
        <v>6</v>
      </c>
      <c r="BN75" s="4" t="s">
        <v>7</v>
      </c>
      <c r="BO75" s="4" t="s">
        <v>8</v>
      </c>
      <c r="BQ75" s="4" t="s">
        <v>2</v>
      </c>
      <c r="BR75" s="4" t="s">
        <v>3</v>
      </c>
      <c r="BS75" s="4" t="s">
        <v>4</v>
      </c>
      <c r="BT75" s="4" t="s">
        <v>5</v>
      </c>
      <c r="BU75" s="4" t="s">
        <v>6</v>
      </c>
      <c r="BV75" s="4" t="s">
        <v>7</v>
      </c>
      <c r="BW75" s="4" t="s">
        <v>8</v>
      </c>
      <c r="BX75" s="3" t="s">
        <v>322</v>
      </c>
      <c r="BY75" s="3" t="s">
        <v>323</v>
      </c>
      <c r="BZ75" s="3" t="s">
        <v>322</v>
      </c>
      <c r="CA75" s="3" t="s">
        <v>323</v>
      </c>
    </row>
    <row r="76" spans="1:79" x14ac:dyDescent="0.3">
      <c r="A76" s="4" t="s">
        <v>10</v>
      </c>
      <c r="B76" s="4">
        <v>0.9</v>
      </c>
      <c r="C76" s="4">
        <v>0.5</v>
      </c>
      <c r="D76" s="4">
        <v>0.6</v>
      </c>
      <c r="E76" s="4">
        <v>0.3</v>
      </c>
      <c r="F76" s="6">
        <v>390.06277499999999</v>
      </c>
      <c r="G76" s="4">
        <v>1E-3</v>
      </c>
      <c r="I76" s="4" t="s">
        <v>10</v>
      </c>
      <c r="J76" s="4">
        <v>0.9</v>
      </c>
      <c r="K76" s="4">
        <v>0.5</v>
      </c>
      <c r="L76" s="4">
        <v>0.6</v>
      </c>
      <c r="M76" s="4">
        <v>0.01</v>
      </c>
      <c r="N76" s="4">
        <v>469.01501500000001</v>
      </c>
      <c r="O76" s="4">
        <v>3.1E-2</v>
      </c>
      <c r="P76" s="4" t="s">
        <v>324</v>
      </c>
      <c r="Q76" s="4" t="s">
        <v>324</v>
      </c>
      <c r="R76" s="4" t="s">
        <v>327</v>
      </c>
      <c r="S76" s="4" t="s">
        <v>327</v>
      </c>
      <c r="U76" s="4" t="s">
        <v>10</v>
      </c>
      <c r="V76" s="4">
        <v>0.9</v>
      </c>
      <c r="W76" s="4">
        <v>0.5</v>
      </c>
      <c r="X76" s="4">
        <v>0.6</v>
      </c>
      <c r="Y76" s="4">
        <v>0.3</v>
      </c>
      <c r="Z76" s="6">
        <v>380.72869900000001</v>
      </c>
      <c r="AA76" s="4">
        <v>0</v>
      </c>
      <c r="AC76" s="4" t="s">
        <v>10</v>
      </c>
      <c r="AD76" s="4">
        <v>0.9</v>
      </c>
      <c r="AE76" s="4">
        <v>0.5</v>
      </c>
      <c r="AF76" s="4">
        <v>0.6</v>
      </c>
      <c r="AG76" s="4">
        <v>0.01</v>
      </c>
      <c r="AH76" s="4">
        <v>455.15219100000002</v>
      </c>
      <c r="AI76" s="4">
        <v>1.2E-2</v>
      </c>
      <c r="AJ76" s="4" t="s">
        <v>324</v>
      </c>
      <c r="AK76" s="4" t="s">
        <v>324</v>
      </c>
      <c r="AL76" s="4" t="s">
        <v>327</v>
      </c>
      <c r="AM76" s="4" t="s">
        <v>327</v>
      </c>
      <c r="AO76" s="4" t="s">
        <v>11</v>
      </c>
      <c r="AP76" s="4">
        <v>0.9</v>
      </c>
      <c r="AQ76" s="4">
        <v>0.5</v>
      </c>
      <c r="AR76" s="4">
        <v>0.6</v>
      </c>
      <c r="AS76" s="4">
        <v>0.3</v>
      </c>
      <c r="AT76" s="4">
        <v>746.13397199999997</v>
      </c>
      <c r="AU76" s="4">
        <v>3.0000000000000001E-3</v>
      </c>
      <c r="AW76" s="4" t="s">
        <v>11</v>
      </c>
      <c r="AX76" s="4">
        <v>0.9</v>
      </c>
      <c r="AY76" s="4">
        <v>0.5</v>
      </c>
      <c r="AZ76" s="4">
        <v>0.6</v>
      </c>
      <c r="BA76" s="4">
        <v>0.01</v>
      </c>
      <c r="BB76" s="6">
        <v>703.49676499999998</v>
      </c>
      <c r="BC76" s="4">
        <v>0.04</v>
      </c>
      <c r="BD76" s="4" t="s">
        <v>324</v>
      </c>
      <c r="BE76" s="4" t="s">
        <v>324</v>
      </c>
      <c r="BF76" s="4" t="s">
        <v>327</v>
      </c>
      <c r="BG76" s="4" t="s">
        <v>327</v>
      </c>
      <c r="BI76" s="4" t="s">
        <v>11</v>
      </c>
      <c r="BJ76" s="4">
        <v>0.9</v>
      </c>
      <c r="BK76" s="4">
        <v>0.5</v>
      </c>
      <c r="BL76" s="4">
        <v>0.6</v>
      </c>
      <c r="BM76" s="4">
        <v>0.3</v>
      </c>
      <c r="BN76" s="4">
        <v>741.24981700000001</v>
      </c>
      <c r="BO76" s="4">
        <v>3.0000000000000001E-3</v>
      </c>
      <c r="BQ76" s="4" t="s">
        <v>11</v>
      </c>
      <c r="BR76" s="4">
        <v>0.9</v>
      </c>
      <c r="BS76" s="4">
        <v>0.5</v>
      </c>
      <c r="BT76" s="4">
        <v>0.6</v>
      </c>
      <c r="BU76" s="4">
        <v>0.01</v>
      </c>
      <c r="BV76" s="6">
        <v>692.25921600000004</v>
      </c>
      <c r="BW76" s="4">
        <v>1.4E-2</v>
      </c>
      <c r="BX76" s="4" t="s">
        <v>324</v>
      </c>
      <c r="BY76" s="4" t="s">
        <v>324</v>
      </c>
      <c r="BZ76" s="4" t="s">
        <v>327</v>
      </c>
      <c r="CA76" s="4" t="s">
        <v>327</v>
      </c>
    </row>
    <row r="77" spans="1:79" x14ac:dyDescent="0.3">
      <c r="A77" s="4" t="s">
        <v>12</v>
      </c>
      <c r="B77" s="4">
        <v>0.9</v>
      </c>
      <c r="C77" s="4">
        <v>0.5</v>
      </c>
      <c r="D77" s="4">
        <v>0.6</v>
      </c>
      <c r="E77" s="4">
        <v>0.3</v>
      </c>
      <c r="F77" s="6">
        <v>421.90920999999997</v>
      </c>
      <c r="G77" s="4">
        <v>0</v>
      </c>
      <c r="I77" s="4" t="s">
        <v>12</v>
      </c>
      <c r="J77" s="4">
        <v>0.9</v>
      </c>
      <c r="K77" s="4">
        <v>0.5</v>
      </c>
      <c r="L77" s="4">
        <v>0.6</v>
      </c>
      <c r="M77" s="4">
        <v>0.16</v>
      </c>
      <c r="N77" s="4">
        <v>435.30145299999998</v>
      </c>
      <c r="O77" s="4">
        <v>3.3000000000000002E-2</v>
      </c>
      <c r="P77" s="3">
        <f>COUNT(F76:F100,F102:F105)</f>
        <v>29</v>
      </c>
      <c r="Q77" s="3">
        <f>30-P77</f>
        <v>1</v>
      </c>
      <c r="R77" s="3">
        <f>COUNT(N87,N101)</f>
        <v>2</v>
      </c>
      <c r="S77" s="3">
        <f>30-R77</f>
        <v>28</v>
      </c>
      <c r="U77" s="4" t="s">
        <v>12</v>
      </c>
      <c r="V77" s="4">
        <v>0.9</v>
      </c>
      <c r="W77" s="4">
        <v>0.5</v>
      </c>
      <c r="X77" s="4">
        <v>0.6</v>
      </c>
      <c r="Y77" s="4">
        <v>0.3</v>
      </c>
      <c r="Z77" s="6">
        <v>416.30941799999999</v>
      </c>
      <c r="AA77" s="4">
        <v>1E-3</v>
      </c>
      <c r="AC77" s="4" t="s">
        <v>12</v>
      </c>
      <c r="AD77" s="4">
        <v>0.9</v>
      </c>
      <c r="AE77" s="4">
        <v>0.5</v>
      </c>
      <c r="AF77" s="4">
        <v>0.6</v>
      </c>
      <c r="AG77" s="4">
        <v>0.57999999999999996</v>
      </c>
      <c r="AH77" s="4">
        <v>425.35144000000003</v>
      </c>
      <c r="AI77" s="4">
        <v>1.6E-2</v>
      </c>
      <c r="AJ77" s="3">
        <f>COUNT(Z76:Z105)</f>
        <v>30</v>
      </c>
      <c r="AK77" s="3">
        <f>30-AJ77</f>
        <v>0</v>
      </c>
      <c r="AL77" s="3">
        <f>COUNT(AH87,AH99,AH105)</f>
        <v>3</v>
      </c>
      <c r="AM77" s="3">
        <f>30-AL77</f>
        <v>27</v>
      </c>
      <c r="AO77" s="4" t="s">
        <v>13</v>
      </c>
      <c r="AP77" s="4">
        <v>0.9</v>
      </c>
      <c r="AQ77" s="4">
        <v>0.5</v>
      </c>
      <c r="AR77" s="4">
        <v>0.6</v>
      </c>
      <c r="AS77" s="4">
        <v>0.3</v>
      </c>
      <c r="AT77" s="6">
        <v>667.12890600000003</v>
      </c>
      <c r="AU77" s="4">
        <v>3.0000000000000001E-3</v>
      </c>
      <c r="AW77" s="4" t="s">
        <v>13</v>
      </c>
      <c r="AX77" s="4">
        <v>0.9</v>
      </c>
      <c r="AY77" s="4">
        <v>0.5</v>
      </c>
      <c r="AZ77" s="4">
        <v>0.6</v>
      </c>
      <c r="BA77" s="4">
        <v>0.94</v>
      </c>
      <c r="BB77" s="4">
        <v>781.18280000000004</v>
      </c>
      <c r="BC77" s="4">
        <v>2.4E-2</v>
      </c>
      <c r="BD77" s="3">
        <f>COUNT(AT77:AT78,AT80:AT82,AT85:AT86,AT88:AT89,AT91:AT93,AT95:AT99,AT101:AT104)</f>
        <v>21</v>
      </c>
      <c r="BE77" s="3">
        <f>30-BD77</f>
        <v>9</v>
      </c>
      <c r="BF77" s="3">
        <f>COUNT(BB76,BB79,BB83:BB84,BB87,BB90,BB95,BB100,BB105)</f>
        <v>9</v>
      </c>
      <c r="BG77" s="3">
        <f>30-BF77</f>
        <v>21</v>
      </c>
      <c r="BI77" s="4" t="s">
        <v>13</v>
      </c>
      <c r="BJ77" s="4">
        <v>0.9</v>
      </c>
      <c r="BK77" s="4">
        <v>0.5</v>
      </c>
      <c r="BL77" s="4">
        <v>0.6</v>
      </c>
      <c r="BM77" s="4">
        <v>0.3</v>
      </c>
      <c r="BN77" s="6">
        <v>666.33795199999997</v>
      </c>
      <c r="BO77" s="4">
        <v>3.0000000000000001E-3</v>
      </c>
      <c r="BQ77" s="4" t="s">
        <v>13</v>
      </c>
      <c r="BR77" s="4">
        <v>0.9</v>
      </c>
      <c r="BS77" s="4">
        <v>0.5</v>
      </c>
      <c r="BT77" s="4">
        <v>0.6</v>
      </c>
      <c r="BU77" s="4">
        <v>0.46</v>
      </c>
      <c r="BV77" s="4">
        <v>712.25866699999995</v>
      </c>
      <c r="BW77" s="4">
        <v>1.4E-2</v>
      </c>
      <c r="BX77" s="3">
        <f>COUNT(BN77:BN78,BN80,BN83:BN84,BN87,BN91,BN93:BN98,BN100:BN102,BN104:BN105)</f>
        <v>18</v>
      </c>
      <c r="BY77" s="3">
        <f>30-BX77</f>
        <v>12</v>
      </c>
      <c r="BZ77" s="3">
        <f>COUNT(BV76,BV79,BV81:BV82,BV85:BV86,BV88:BV90,BV92,BV99,BV103)</f>
        <v>12</v>
      </c>
      <c r="CA77" s="3">
        <f>30-BZ77</f>
        <v>18</v>
      </c>
    </row>
    <row r="78" spans="1:79" x14ac:dyDescent="0.3">
      <c r="A78" s="4" t="s">
        <v>14</v>
      </c>
      <c r="B78" s="4">
        <v>0.9</v>
      </c>
      <c r="C78" s="4">
        <v>0.5</v>
      </c>
      <c r="D78" s="4">
        <v>0.6</v>
      </c>
      <c r="E78" s="4">
        <v>0.3</v>
      </c>
      <c r="F78" s="6">
        <v>365.81158399999998</v>
      </c>
      <c r="G78" s="4">
        <v>0</v>
      </c>
      <c r="I78" s="4" t="s">
        <v>14</v>
      </c>
      <c r="J78" s="4">
        <v>0.9</v>
      </c>
      <c r="K78" s="4">
        <v>0.5</v>
      </c>
      <c r="L78" s="4">
        <v>0.6</v>
      </c>
      <c r="M78" s="4">
        <v>0.97</v>
      </c>
      <c r="N78" s="4">
        <v>387.20840500000003</v>
      </c>
      <c r="O78" s="4">
        <v>2.5999999999999999E-2</v>
      </c>
      <c r="P78" s="5"/>
      <c r="Q78" s="5"/>
      <c r="R78" s="5"/>
      <c r="S78" s="5"/>
      <c r="U78" s="4" t="s">
        <v>14</v>
      </c>
      <c r="V78" s="4">
        <v>0.9</v>
      </c>
      <c r="W78" s="4">
        <v>0.5</v>
      </c>
      <c r="X78" s="4">
        <v>0.6</v>
      </c>
      <c r="Y78" s="4">
        <v>0.3</v>
      </c>
      <c r="Z78" s="6">
        <v>355.35159299999998</v>
      </c>
      <c r="AA78" s="4">
        <v>0</v>
      </c>
      <c r="AC78" s="4" t="s">
        <v>14</v>
      </c>
      <c r="AD78" s="4">
        <v>0.9</v>
      </c>
      <c r="AE78" s="4">
        <v>0.5</v>
      </c>
      <c r="AF78" s="4">
        <v>0.6</v>
      </c>
      <c r="AG78" s="4">
        <v>0.18</v>
      </c>
      <c r="AH78" s="4">
        <v>357.13305700000001</v>
      </c>
      <c r="AI78" s="4">
        <v>1.7000000000000001E-2</v>
      </c>
      <c r="AJ78" s="5"/>
      <c r="AK78" s="5"/>
      <c r="AL78" s="5"/>
      <c r="AM78" s="5"/>
      <c r="AO78" s="4" t="s">
        <v>15</v>
      </c>
      <c r="AP78" s="4">
        <v>0.9</v>
      </c>
      <c r="AQ78" s="4">
        <v>0.5</v>
      </c>
      <c r="AR78" s="4">
        <v>0.6</v>
      </c>
      <c r="AS78" s="4">
        <v>0.3</v>
      </c>
      <c r="AT78" s="6">
        <v>707.81170699999996</v>
      </c>
      <c r="AU78" s="4">
        <v>3.0000000000000001E-3</v>
      </c>
      <c r="AW78" s="4" t="s">
        <v>15</v>
      </c>
      <c r="AX78" s="4">
        <v>0.9</v>
      </c>
      <c r="AY78" s="4">
        <v>0.5</v>
      </c>
      <c r="AZ78" s="4">
        <v>0.6</v>
      </c>
      <c r="BA78" s="4">
        <v>0.75</v>
      </c>
      <c r="BB78" s="4">
        <v>887.11901899999998</v>
      </c>
      <c r="BC78" s="4">
        <v>0.02</v>
      </c>
      <c r="BD78" s="5"/>
      <c r="BE78" s="5"/>
      <c r="BF78" s="5"/>
      <c r="BG78" s="5"/>
      <c r="BI78" s="4" t="s">
        <v>15</v>
      </c>
      <c r="BJ78" s="4">
        <v>0.9</v>
      </c>
      <c r="BK78" s="4">
        <v>0.5</v>
      </c>
      <c r="BL78" s="4">
        <v>0.6</v>
      </c>
      <c r="BM78" s="4">
        <v>0.3</v>
      </c>
      <c r="BN78" s="6">
        <v>704.45812999999998</v>
      </c>
      <c r="BO78" s="4">
        <v>3.0000000000000001E-3</v>
      </c>
      <c r="BQ78" s="4" t="s">
        <v>15</v>
      </c>
      <c r="BR78" s="4">
        <v>0.9</v>
      </c>
      <c r="BS78" s="4">
        <v>0.5</v>
      </c>
      <c r="BT78" s="4">
        <v>0.6</v>
      </c>
      <c r="BU78" s="4">
        <v>0.4</v>
      </c>
      <c r="BV78" s="4">
        <v>759.70996100000002</v>
      </c>
      <c r="BW78" s="4">
        <v>1.9E-2</v>
      </c>
      <c r="BX78" s="5"/>
      <c r="BY78" s="5"/>
      <c r="BZ78" s="5"/>
      <c r="CA78" s="5"/>
    </row>
    <row r="79" spans="1:79" x14ac:dyDescent="0.3">
      <c r="A79" s="4" t="s">
        <v>16</v>
      </c>
      <c r="B79" s="4">
        <v>0.9</v>
      </c>
      <c r="C79" s="4">
        <v>0.5</v>
      </c>
      <c r="D79" s="4">
        <v>0.6</v>
      </c>
      <c r="E79" s="4">
        <v>0.3</v>
      </c>
      <c r="F79" s="6">
        <v>394.24047899999999</v>
      </c>
      <c r="G79" s="4">
        <v>1E-3</v>
      </c>
      <c r="I79" s="4" t="s">
        <v>16</v>
      </c>
      <c r="J79" s="4">
        <v>0.9</v>
      </c>
      <c r="K79" s="4">
        <v>0.5</v>
      </c>
      <c r="L79" s="4">
        <v>0.6</v>
      </c>
      <c r="M79" s="4">
        <v>0.28000000000000003</v>
      </c>
      <c r="N79" s="4">
        <v>396.49188199999998</v>
      </c>
      <c r="O79" s="4">
        <v>8.0000000000000002E-3</v>
      </c>
      <c r="P79" s="5"/>
      <c r="Q79" s="5"/>
      <c r="R79" s="5"/>
      <c r="S79" s="5"/>
      <c r="U79" s="4" t="s">
        <v>16</v>
      </c>
      <c r="V79" s="4">
        <v>0.9</v>
      </c>
      <c r="W79" s="4">
        <v>0.5</v>
      </c>
      <c r="X79" s="4">
        <v>0.6</v>
      </c>
      <c r="Y79" s="4">
        <v>0.3</v>
      </c>
      <c r="Z79" s="6">
        <v>385.09951799999999</v>
      </c>
      <c r="AA79" s="4">
        <v>1E-3</v>
      </c>
      <c r="AC79" s="4" t="s">
        <v>16</v>
      </c>
      <c r="AD79" s="4">
        <v>0.9</v>
      </c>
      <c r="AE79" s="4">
        <v>0.5</v>
      </c>
      <c r="AF79" s="4">
        <v>0.6</v>
      </c>
      <c r="AG79" s="4">
        <v>0.63</v>
      </c>
      <c r="AH79" s="4">
        <v>405.18270899999999</v>
      </c>
      <c r="AI79" s="4">
        <v>2.1999999999999999E-2</v>
      </c>
      <c r="AJ79" s="5"/>
      <c r="AK79" s="5"/>
      <c r="AL79" s="5"/>
      <c r="AM79" s="5"/>
      <c r="AO79" s="4" t="s">
        <v>17</v>
      </c>
      <c r="AP79" s="4">
        <v>0.9</v>
      </c>
      <c r="AQ79" s="4">
        <v>0.5</v>
      </c>
      <c r="AR79" s="4">
        <v>0.6</v>
      </c>
      <c r="AS79" s="4">
        <v>0.3</v>
      </c>
      <c r="AT79" s="4">
        <v>706.827271</v>
      </c>
      <c r="AU79" s="4">
        <v>3.0000000000000001E-3</v>
      </c>
      <c r="AW79" s="4" t="s">
        <v>17</v>
      </c>
      <c r="AX79" s="4">
        <v>0.9</v>
      </c>
      <c r="AY79" s="4">
        <v>0.5</v>
      </c>
      <c r="AZ79" s="4">
        <v>0.6</v>
      </c>
      <c r="BA79" s="4">
        <v>0.09</v>
      </c>
      <c r="BB79" s="6">
        <v>654.11505099999999</v>
      </c>
      <c r="BC79" s="4">
        <v>1.4999999999999999E-2</v>
      </c>
      <c r="BD79" s="5"/>
      <c r="BE79" s="5"/>
      <c r="BF79" s="5"/>
      <c r="BG79" s="5"/>
      <c r="BI79" s="4" t="s">
        <v>17</v>
      </c>
      <c r="BJ79" s="4">
        <v>0.9</v>
      </c>
      <c r="BK79" s="4">
        <v>0.5</v>
      </c>
      <c r="BL79" s="4">
        <v>0.6</v>
      </c>
      <c r="BM79" s="4">
        <v>0.3</v>
      </c>
      <c r="BN79" s="4">
        <v>699.63574200000005</v>
      </c>
      <c r="BO79" s="4">
        <v>3.0000000000000001E-3</v>
      </c>
      <c r="BQ79" s="4" t="s">
        <v>17</v>
      </c>
      <c r="BR79" s="4">
        <v>0.9</v>
      </c>
      <c r="BS79" s="4">
        <v>0.5</v>
      </c>
      <c r="BT79" s="4">
        <v>0.6</v>
      </c>
      <c r="BU79" s="4">
        <v>0.16</v>
      </c>
      <c r="BV79" s="6">
        <v>661.024719</v>
      </c>
      <c r="BW79" s="4">
        <v>1.9E-2</v>
      </c>
      <c r="BX79" s="5"/>
      <c r="BY79" s="5"/>
      <c r="BZ79" s="5"/>
      <c r="CA79" s="5"/>
    </row>
    <row r="80" spans="1:79" x14ac:dyDescent="0.3">
      <c r="A80" s="4" t="s">
        <v>18</v>
      </c>
      <c r="B80" s="4">
        <v>0.9</v>
      </c>
      <c r="C80" s="4">
        <v>0.5</v>
      </c>
      <c r="D80" s="4">
        <v>0.6</v>
      </c>
      <c r="E80" s="4">
        <v>0.3</v>
      </c>
      <c r="F80" s="6">
        <v>346.68826300000001</v>
      </c>
      <c r="G80" s="4">
        <v>0</v>
      </c>
      <c r="I80" s="4" t="s">
        <v>18</v>
      </c>
      <c r="J80" s="4">
        <v>0.9</v>
      </c>
      <c r="K80" s="4">
        <v>0.5</v>
      </c>
      <c r="L80" s="4">
        <v>0.6</v>
      </c>
      <c r="M80" s="4">
        <v>0.56000000000000005</v>
      </c>
      <c r="N80" s="4">
        <v>354.978973</v>
      </c>
      <c r="O80" s="4">
        <v>1.6E-2</v>
      </c>
      <c r="P80" s="5"/>
      <c r="Q80" s="5"/>
      <c r="R80" s="5"/>
      <c r="S80" s="5"/>
      <c r="U80" s="4" t="s">
        <v>18</v>
      </c>
      <c r="V80" s="4">
        <v>0.9</v>
      </c>
      <c r="W80" s="4">
        <v>0.5</v>
      </c>
      <c r="X80" s="4">
        <v>0.6</v>
      </c>
      <c r="Y80" s="4">
        <v>0.3</v>
      </c>
      <c r="Z80" s="6">
        <v>335.85687300000001</v>
      </c>
      <c r="AA80" s="4">
        <v>1E-3</v>
      </c>
      <c r="AC80" s="4" t="s">
        <v>18</v>
      </c>
      <c r="AD80" s="4">
        <v>0.9</v>
      </c>
      <c r="AE80" s="4">
        <v>0.5</v>
      </c>
      <c r="AF80" s="4">
        <v>0.6</v>
      </c>
      <c r="AG80" s="4">
        <v>0.72</v>
      </c>
      <c r="AH80" s="4">
        <v>364.76736499999998</v>
      </c>
      <c r="AI80" s="4">
        <v>2.3E-2</v>
      </c>
      <c r="AJ80" s="5"/>
      <c r="AK80" s="5"/>
      <c r="AL80" s="5"/>
      <c r="AM80" s="5"/>
      <c r="AO80" s="4" t="s">
        <v>19</v>
      </c>
      <c r="AP80" s="4">
        <v>0.9</v>
      </c>
      <c r="AQ80" s="4">
        <v>0.5</v>
      </c>
      <c r="AR80" s="4">
        <v>0.6</v>
      </c>
      <c r="AS80" s="4">
        <v>0.3</v>
      </c>
      <c r="AT80" s="6">
        <v>733.20391800000004</v>
      </c>
      <c r="AU80" s="4">
        <v>4.0000000000000001E-3</v>
      </c>
      <c r="AW80" s="4" t="s">
        <v>19</v>
      </c>
      <c r="AX80" s="4">
        <v>0.9</v>
      </c>
      <c r="AY80" s="4">
        <v>0.5</v>
      </c>
      <c r="AZ80" s="4">
        <v>0.6</v>
      </c>
      <c r="BA80" s="4">
        <v>0.63</v>
      </c>
      <c r="BB80" s="4">
        <v>853.75671399999999</v>
      </c>
      <c r="BC80" s="4">
        <v>1.7000000000000001E-2</v>
      </c>
      <c r="BD80" s="5"/>
      <c r="BE80" s="5"/>
      <c r="BF80" s="5"/>
      <c r="BG80" s="5"/>
      <c r="BI80" s="4" t="s">
        <v>19</v>
      </c>
      <c r="BJ80" s="4">
        <v>0.9</v>
      </c>
      <c r="BK80" s="4">
        <v>0.5</v>
      </c>
      <c r="BL80" s="4">
        <v>0.6</v>
      </c>
      <c r="BM80" s="4">
        <v>0.3</v>
      </c>
      <c r="BN80" s="6">
        <v>721.95147699999995</v>
      </c>
      <c r="BO80" s="4">
        <v>4.0000000000000001E-3</v>
      </c>
      <c r="BQ80" s="4" t="s">
        <v>19</v>
      </c>
      <c r="BR80" s="4">
        <v>0.9</v>
      </c>
      <c r="BS80" s="4">
        <v>0.5</v>
      </c>
      <c r="BT80" s="4">
        <v>0.6</v>
      </c>
      <c r="BU80" s="4">
        <v>0.87</v>
      </c>
      <c r="BV80" s="4">
        <v>889.009094</v>
      </c>
      <c r="BW80" s="4">
        <v>1.0999999999999999E-2</v>
      </c>
      <c r="BX80" s="5"/>
      <c r="BY80" s="5"/>
      <c r="BZ80" s="5"/>
      <c r="CA80" s="5"/>
    </row>
    <row r="81" spans="1:79" x14ac:dyDescent="0.3">
      <c r="A81" s="4" t="s">
        <v>20</v>
      </c>
      <c r="B81" s="4">
        <v>0.9</v>
      </c>
      <c r="C81" s="4">
        <v>0.5</v>
      </c>
      <c r="D81" s="4">
        <v>0.6</v>
      </c>
      <c r="E81" s="4">
        <v>0.3</v>
      </c>
      <c r="F81" s="6">
        <v>412.04544099999998</v>
      </c>
      <c r="G81" s="4">
        <v>0</v>
      </c>
      <c r="I81" s="4" t="s">
        <v>20</v>
      </c>
      <c r="J81" s="4">
        <v>0.9</v>
      </c>
      <c r="K81" s="4">
        <v>0.5</v>
      </c>
      <c r="L81" s="4">
        <v>0.6</v>
      </c>
      <c r="M81" s="4">
        <v>0.43</v>
      </c>
      <c r="N81" s="4">
        <v>415.33334400000001</v>
      </c>
      <c r="O81" s="4">
        <v>6.0000000000000001E-3</v>
      </c>
      <c r="P81" s="5"/>
      <c r="Q81" s="5"/>
      <c r="R81" s="5"/>
      <c r="S81" s="5"/>
      <c r="U81" s="4" t="s">
        <v>20</v>
      </c>
      <c r="V81" s="4">
        <v>0.9</v>
      </c>
      <c r="W81" s="4">
        <v>0.5</v>
      </c>
      <c r="X81" s="4">
        <v>0.6</v>
      </c>
      <c r="Y81" s="4">
        <v>0.3</v>
      </c>
      <c r="Z81" s="6">
        <v>404.231964</v>
      </c>
      <c r="AA81" s="4">
        <v>0</v>
      </c>
      <c r="AC81" s="4" t="s">
        <v>20</v>
      </c>
      <c r="AD81" s="4">
        <v>0.9</v>
      </c>
      <c r="AE81" s="4">
        <v>0.5</v>
      </c>
      <c r="AF81" s="4">
        <v>0.6</v>
      </c>
      <c r="AG81" s="4">
        <v>0.5</v>
      </c>
      <c r="AH81" s="4">
        <v>408.54724099999999</v>
      </c>
      <c r="AI81" s="4">
        <v>0.02</v>
      </c>
      <c r="AJ81" s="5"/>
      <c r="AK81" s="5"/>
      <c r="AL81" s="5"/>
      <c r="AM81" s="5"/>
      <c r="AO81" s="4" t="s">
        <v>21</v>
      </c>
      <c r="AP81" s="4">
        <v>0.9</v>
      </c>
      <c r="AQ81" s="4">
        <v>0.5</v>
      </c>
      <c r="AR81" s="4">
        <v>0.6</v>
      </c>
      <c r="AS81" s="4">
        <v>0.3</v>
      </c>
      <c r="AT81" s="6">
        <v>712.74823000000004</v>
      </c>
      <c r="AU81" s="4">
        <v>4.0000000000000001E-3</v>
      </c>
      <c r="AW81" s="4" t="s">
        <v>21</v>
      </c>
      <c r="AX81" s="4">
        <v>0.9</v>
      </c>
      <c r="AY81" s="4">
        <v>0.5</v>
      </c>
      <c r="AZ81" s="4">
        <v>0.6</v>
      </c>
      <c r="BA81" s="4">
        <v>0.64</v>
      </c>
      <c r="BB81" s="4">
        <v>876.73376499999995</v>
      </c>
      <c r="BC81" s="4">
        <v>3.4000000000000002E-2</v>
      </c>
      <c r="BD81" s="5"/>
      <c r="BE81" s="5"/>
      <c r="BF81" s="5"/>
      <c r="BG81" s="5"/>
      <c r="BI81" s="4" t="s">
        <v>21</v>
      </c>
      <c r="BJ81" s="4">
        <v>0.9</v>
      </c>
      <c r="BK81" s="4">
        <v>0.5</v>
      </c>
      <c r="BL81" s="4">
        <v>0.6</v>
      </c>
      <c r="BM81" s="4">
        <v>0.3</v>
      </c>
      <c r="BN81" s="4">
        <v>725.67681900000002</v>
      </c>
      <c r="BO81" s="4">
        <v>3.0000000000000001E-3</v>
      </c>
      <c r="BQ81" s="4" t="s">
        <v>21</v>
      </c>
      <c r="BR81" s="4">
        <v>0.9</v>
      </c>
      <c r="BS81" s="4">
        <v>0.5</v>
      </c>
      <c r="BT81" s="4">
        <v>0.6</v>
      </c>
      <c r="BU81" s="4">
        <v>0.22</v>
      </c>
      <c r="BV81" s="6">
        <v>703.45190400000001</v>
      </c>
      <c r="BW81" s="4">
        <v>1.4E-2</v>
      </c>
      <c r="BX81" s="5"/>
      <c r="BY81" s="5"/>
      <c r="BZ81" s="5"/>
      <c r="CA81" s="5"/>
    </row>
    <row r="82" spans="1:79" x14ac:dyDescent="0.3">
      <c r="A82" s="4" t="s">
        <v>22</v>
      </c>
      <c r="B82" s="4">
        <v>0.9</v>
      </c>
      <c r="C82" s="4">
        <v>0.5</v>
      </c>
      <c r="D82" s="4">
        <v>0.6</v>
      </c>
      <c r="E82" s="4">
        <v>0.3</v>
      </c>
      <c r="F82" s="6">
        <v>386.19570900000002</v>
      </c>
      <c r="G82" s="4">
        <v>0</v>
      </c>
      <c r="I82" s="4" t="s">
        <v>22</v>
      </c>
      <c r="J82" s="4">
        <v>0.9</v>
      </c>
      <c r="K82" s="4">
        <v>0.5</v>
      </c>
      <c r="L82" s="4">
        <v>0.6</v>
      </c>
      <c r="M82" s="4">
        <v>0.23</v>
      </c>
      <c r="N82" s="4">
        <v>392.53036500000002</v>
      </c>
      <c r="O82" s="4">
        <v>8.9999999999999993E-3</v>
      </c>
      <c r="P82" s="5"/>
      <c r="Q82" s="5"/>
      <c r="R82" s="5"/>
      <c r="S82" s="5"/>
      <c r="U82" s="4" t="s">
        <v>22</v>
      </c>
      <c r="V82" s="4">
        <v>0.9</v>
      </c>
      <c r="W82" s="4">
        <v>0.5</v>
      </c>
      <c r="X82" s="4">
        <v>0.6</v>
      </c>
      <c r="Y82" s="4">
        <v>0.3</v>
      </c>
      <c r="Z82" s="6">
        <v>377.21435500000001</v>
      </c>
      <c r="AA82" s="4">
        <v>1E-3</v>
      </c>
      <c r="AC82" s="4" t="s">
        <v>22</v>
      </c>
      <c r="AD82" s="4">
        <v>0.9</v>
      </c>
      <c r="AE82" s="4">
        <v>0.5</v>
      </c>
      <c r="AF82" s="4">
        <v>0.6</v>
      </c>
      <c r="AG82" s="4">
        <v>0.54</v>
      </c>
      <c r="AH82" s="4">
        <v>399.55404700000003</v>
      </c>
      <c r="AI82" s="4">
        <v>1.7999999999999999E-2</v>
      </c>
      <c r="AJ82" s="5"/>
      <c r="AK82" s="5"/>
      <c r="AL82" s="5"/>
      <c r="AM82" s="5"/>
      <c r="AO82" s="4" t="s">
        <v>23</v>
      </c>
      <c r="AP82" s="4">
        <v>0.9</v>
      </c>
      <c r="AQ82" s="4">
        <v>0.5</v>
      </c>
      <c r="AR82" s="4">
        <v>0.6</v>
      </c>
      <c r="AS82" s="4">
        <v>0.3</v>
      </c>
      <c r="AT82" s="6">
        <v>725.86468500000001</v>
      </c>
      <c r="AU82" s="4">
        <v>3.0000000000000001E-3</v>
      </c>
      <c r="AW82" s="4" t="s">
        <v>23</v>
      </c>
      <c r="AX82" s="4">
        <v>0.9</v>
      </c>
      <c r="AY82" s="4">
        <v>0.5</v>
      </c>
      <c r="AZ82" s="4">
        <v>0.6</v>
      </c>
      <c r="BA82" s="4">
        <v>0.91</v>
      </c>
      <c r="BB82" s="4">
        <v>903.92932099999996</v>
      </c>
      <c r="BC82" s="4">
        <v>3.3000000000000002E-2</v>
      </c>
      <c r="BD82" s="5"/>
      <c r="BE82" s="5"/>
      <c r="BF82" s="5"/>
      <c r="BG82" s="5"/>
      <c r="BI82" s="4" t="s">
        <v>23</v>
      </c>
      <c r="BJ82" s="4">
        <v>0.9</v>
      </c>
      <c r="BK82" s="4">
        <v>0.5</v>
      </c>
      <c r="BL82" s="4">
        <v>0.6</v>
      </c>
      <c r="BM82" s="4">
        <v>0.3</v>
      </c>
      <c r="BN82" s="4">
        <v>724.70806900000002</v>
      </c>
      <c r="BO82" s="4">
        <v>4.0000000000000001E-3</v>
      </c>
      <c r="BQ82" s="4" t="s">
        <v>23</v>
      </c>
      <c r="BR82" s="4">
        <v>0.9</v>
      </c>
      <c r="BS82" s="4">
        <v>0.5</v>
      </c>
      <c r="BT82" s="4">
        <v>0.6</v>
      </c>
      <c r="BU82" s="4">
        <v>0.13</v>
      </c>
      <c r="BV82" s="6">
        <v>667.31390399999998</v>
      </c>
      <c r="BW82" s="4">
        <v>1.2999999999999999E-2</v>
      </c>
      <c r="BX82" s="5"/>
      <c r="BY82" s="5"/>
      <c r="BZ82" s="5"/>
      <c r="CA82" s="5"/>
    </row>
    <row r="83" spans="1:79" x14ac:dyDescent="0.3">
      <c r="A83" s="4" t="s">
        <v>24</v>
      </c>
      <c r="B83" s="4">
        <v>0.9</v>
      </c>
      <c r="C83" s="4">
        <v>0.5</v>
      </c>
      <c r="D83" s="4">
        <v>0.6</v>
      </c>
      <c r="E83" s="4">
        <v>0.3</v>
      </c>
      <c r="F83" s="6">
        <v>465.27917500000001</v>
      </c>
      <c r="G83" s="4">
        <v>1E-3</v>
      </c>
      <c r="I83" s="4" t="s">
        <v>24</v>
      </c>
      <c r="J83" s="4">
        <v>0.9</v>
      </c>
      <c r="K83" s="4">
        <v>0.5</v>
      </c>
      <c r="L83" s="4">
        <v>0.6</v>
      </c>
      <c r="M83" s="4">
        <v>0.21</v>
      </c>
      <c r="N83" s="4">
        <v>469.45126299999998</v>
      </c>
      <c r="O83" s="4">
        <v>1.4E-2</v>
      </c>
      <c r="P83" s="5"/>
      <c r="Q83" s="5"/>
      <c r="R83" s="5"/>
      <c r="S83" s="5"/>
      <c r="U83" s="4" t="s">
        <v>24</v>
      </c>
      <c r="V83" s="4">
        <v>0.9</v>
      </c>
      <c r="W83" s="4">
        <v>0.5</v>
      </c>
      <c r="X83" s="4">
        <v>0.6</v>
      </c>
      <c r="Y83" s="4">
        <v>0.3</v>
      </c>
      <c r="Z83" s="6">
        <v>451.84316999999999</v>
      </c>
      <c r="AA83" s="4">
        <v>0</v>
      </c>
      <c r="AC83" s="4" t="s">
        <v>24</v>
      </c>
      <c r="AD83" s="4">
        <v>0.9</v>
      </c>
      <c r="AE83" s="4">
        <v>0.5</v>
      </c>
      <c r="AF83" s="4">
        <v>0.6</v>
      </c>
      <c r="AG83" s="4">
        <v>7.0000000000000007E-2</v>
      </c>
      <c r="AH83" s="4">
        <v>457.41906699999998</v>
      </c>
      <c r="AI83" s="4">
        <v>1.7000000000000001E-2</v>
      </c>
      <c r="AJ83" s="5"/>
      <c r="AK83" s="5"/>
      <c r="AL83" s="5"/>
      <c r="AM83" s="5"/>
      <c r="AO83" s="4" t="s">
        <v>25</v>
      </c>
      <c r="AP83" s="4">
        <v>0.9</v>
      </c>
      <c r="AQ83" s="4">
        <v>0.5</v>
      </c>
      <c r="AR83" s="4">
        <v>0.6</v>
      </c>
      <c r="AS83" s="4">
        <v>0.3</v>
      </c>
      <c r="AT83" s="4">
        <v>749.67346199999997</v>
      </c>
      <c r="AU83" s="4">
        <v>3.0000000000000001E-3</v>
      </c>
      <c r="AW83" s="4" t="s">
        <v>25</v>
      </c>
      <c r="AX83" s="4">
        <v>0.9</v>
      </c>
      <c r="AY83" s="4">
        <v>0.5</v>
      </c>
      <c r="AZ83" s="4">
        <v>0.6</v>
      </c>
      <c r="BA83" s="4">
        <v>0.16</v>
      </c>
      <c r="BB83" s="6">
        <v>712.83947799999999</v>
      </c>
      <c r="BC83" s="4">
        <v>2.8000000000000001E-2</v>
      </c>
      <c r="BD83" s="5"/>
      <c r="BE83" s="5"/>
      <c r="BF83" s="5"/>
      <c r="BG83" s="5"/>
      <c r="BI83" s="4" t="s">
        <v>25</v>
      </c>
      <c r="BJ83" s="4">
        <v>0.9</v>
      </c>
      <c r="BK83" s="4">
        <v>0.5</v>
      </c>
      <c r="BL83" s="4">
        <v>0.6</v>
      </c>
      <c r="BM83" s="4">
        <v>0.3</v>
      </c>
      <c r="BN83" s="6">
        <v>723.27075200000002</v>
      </c>
      <c r="BO83" s="4">
        <v>3.0000000000000001E-3</v>
      </c>
      <c r="BQ83" s="4" t="s">
        <v>25</v>
      </c>
      <c r="BR83" s="4">
        <v>0.9</v>
      </c>
      <c r="BS83" s="4">
        <v>0.5</v>
      </c>
      <c r="BT83" s="4">
        <v>0.6</v>
      </c>
      <c r="BU83" s="4">
        <v>0.63</v>
      </c>
      <c r="BV83" s="4">
        <v>855.98126200000002</v>
      </c>
      <c r="BW83" s="4">
        <v>1.7000000000000001E-2</v>
      </c>
      <c r="BX83" s="5"/>
      <c r="BY83" s="5"/>
      <c r="BZ83" s="5"/>
      <c r="CA83" s="5"/>
    </row>
    <row r="84" spans="1:79" x14ac:dyDescent="0.3">
      <c r="A84" s="4" t="s">
        <v>26</v>
      </c>
      <c r="B84" s="4">
        <v>0.9</v>
      </c>
      <c r="C84" s="4">
        <v>0.5</v>
      </c>
      <c r="D84" s="4">
        <v>0.6</v>
      </c>
      <c r="E84" s="4">
        <v>0.3</v>
      </c>
      <c r="F84" s="6">
        <v>417.438782</v>
      </c>
      <c r="G84" s="4">
        <v>0</v>
      </c>
      <c r="I84" s="4" t="s">
        <v>26</v>
      </c>
      <c r="J84" s="4">
        <v>0.9</v>
      </c>
      <c r="K84" s="4">
        <v>0.5</v>
      </c>
      <c r="L84" s="4">
        <v>0.6</v>
      </c>
      <c r="M84" s="4">
        <v>0.94</v>
      </c>
      <c r="N84" s="4">
        <v>444.667236</v>
      </c>
      <c r="O84" s="4">
        <v>1.2E-2</v>
      </c>
      <c r="P84" s="5"/>
      <c r="Q84" s="5"/>
      <c r="R84" s="5"/>
      <c r="S84" s="5"/>
      <c r="U84" s="4" t="s">
        <v>26</v>
      </c>
      <c r="V84" s="4">
        <v>0.9</v>
      </c>
      <c r="W84" s="4">
        <v>0.5</v>
      </c>
      <c r="X84" s="4">
        <v>0.6</v>
      </c>
      <c r="Y84" s="4">
        <v>0.3</v>
      </c>
      <c r="Z84" s="6">
        <v>407.37115499999999</v>
      </c>
      <c r="AA84" s="4">
        <v>1E-3</v>
      </c>
      <c r="AC84" s="4" t="s">
        <v>26</v>
      </c>
      <c r="AD84" s="4">
        <v>0.9</v>
      </c>
      <c r="AE84" s="4">
        <v>0.5</v>
      </c>
      <c r="AF84" s="4">
        <v>0.6</v>
      </c>
      <c r="AG84" s="4">
        <v>0.63</v>
      </c>
      <c r="AH84" s="4">
        <v>416.37329099999999</v>
      </c>
      <c r="AI84" s="4">
        <v>2.1999999999999999E-2</v>
      </c>
      <c r="AJ84" s="5"/>
      <c r="AK84" s="5"/>
      <c r="AL84" s="5"/>
      <c r="AM84" s="5"/>
      <c r="AO84" s="4" t="s">
        <v>27</v>
      </c>
      <c r="AP84" s="4">
        <v>0.9</v>
      </c>
      <c r="AQ84" s="4">
        <v>0.5</v>
      </c>
      <c r="AR84" s="4">
        <v>0.6</v>
      </c>
      <c r="AS84" s="4">
        <v>0.3</v>
      </c>
      <c r="AT84" s="4">
        <v>706.453979</v>
      </c>
      <c r="AU84" s="4">
        <v>3.0000000000000001E-3</v>
      </c>
      <c r="AW84" s="4" t="s">
        <v>27</v>
      </c>
      <c r="AX84" s="4">
        <v>0.9</v>
      </c>
      <c r="AY84" s="4">
        <v>0.5</v>
      </c>
      <c r="AZ84" s="4">
        <v>0.6</v>
      </c>
      <c r="BA84" s="4">
        <v>0.13</v>
      </c>
      <c r="BB84" s="6">
        <v>650.52044699999999</v>
      </c>
      <c r="BC84" s="4">
        <v>2.8000000000000001E-2</v>
      </c>
      <c r="BD84" s="5"/>
      <c r="BE84" s="5"/>
      <c r="BF84" s="5"/>
      <c r="BG84" s="5"/>
      <c r="BI84" s="4" t="s">
        <v>27</v>
      </c>
      <c r="BJ84" s="4">
        <v>0.9</v>
      </c>
      <c r="BK84" s="4">
        <v>0.5</v>
      </c>
      <c r="BL84" s="4">
        <v>0.6</v>
      </c>
      <c r="BM84" s="4">
        <v>0.3</v>
      </c>
      <c r="BN84" s="6">
        <v>705.60711700000002</v>
      </c>
      <c r="BO84" s="4">
        <v>3.0000000000000001E-3</v>
      </c>
      <c r="BQ84" s="4" t="s">
        <v>27</v>
      </c>
      <c r="BR84" s="4">
        <v>0.9</v>
      </c>
      <c r="BS84" s="4">
        <v>0.5</v>
      </c>
      <c r="BT84" s="4">
        <v>0.6</v>
      </c>
      <c r="BU84" s="4">
        <v>0.6</v>
      </c>
      <c r="BV84" s="4">
        <v>772.35571300000004</v>
      </c>
      <c r="BW84" s="4">
        <v>0.03</v>
      </c>
      <c r="BX84" s="5"/>
      <c r="BY84" s="5"/>
      <c r="BZ84" s="5"/>
      <c r="CA84" s="5"/>
    </row>
    <row r="85" spans="1:79" x14ac:dyDescent="0.3">
      <c r="A85" s="4" t="s">
        <v>28</v>
      </c>
      <c r="B85" s="4">
        <v>0.9</v>
      </c>
      <c r="C85" s="4">
        <v>0.5</v>
      </c>
      <c r="D85" s="4">
        <v>0.6</v>
      </c>
      <c r="E85" s="4">
        <v>0.3</v>
      </c>
      <c r="F85" s="6">
        <v>342.79367100000002</v>
      </c>
      <c r="G85" s="4">
        <v>1E-3</v>
      </c>
      <c r="I85" s="4" t="s">
        <v>28</v>
      </c>
      <c r="J85" s="4">
        <v>0.9</v>
      </c>
      <c r="K85" s="4">
        <v>0.5</v>
      </c>
      <c r="L85" s="4">
        <v>0.6</v>
      </c>
      <c r="M85" s="4">
        <v>0.42</v>
      </c>
      <c r="N85" s="4">
        <v>347.05917399999998</v>
      </c>
      <c r="O85" s="4">
        <v>1.7000000000000001E-2</v>
      </c>
      <c r="P85" s="5"/>
      <c r="Q85" s="5"/>
      <c r="R85" s="5"/>
      <c r="S85" s="5"/>
      <c r="U85" s="4" t="s">
        <v>28</v>
      </c>
      <c r="V85" s="4">
        <v>0.9</v>
      </c>
      <c r="W85" s="4">
        <v>0.5</v>
      </c>
      <c r="X85" s="4">
        <v>0.6</v>
      </c>
      <c r="Y85" s="4">
        <v>0.3</v>
      </c>
      <c r="Z85" s="6">
        <v>332.42855800000001</v>
      </c>
      <c r="AA85" s="4">
        <v>1E-3</v>
      </c>
      <c r="AC85" s="4" t="s">
        <v>28</v>
      </c>
      <c r="AD85" s="4">
        <v>0.9</v>
      </c>
      <c r="AE85" s="4">
        <v>0.5</v>
      </c>
      <c r="AF85" s="4">
        <v>0.6</v>
      </c>
      <c r="AG85" s="4">
        <v>0.62</v>
      </c>
      <c r="AH85" s="4">
        <v>349.72781400000002</v>
      </c>
      <c r="AI85" s="4">
        <v>2.5999999999999999E-2</v>
      </c>
      <c r="AJ85" s="5"/>
      <c r="AK85" s="5"/>
      <c r="AL85" s="5"/>
      <c r="AM85" s="5"/>
      <c r="AO85" s="4" t="s">
        <v>29</v>
      </c>
      <c r="AP85" s="4">
        <v>0.9</v>
      </c>
      <c r="AQ85" s="4">
        <v>0.5</v>
      </c>
      <c r="AR85" s="4">
        <v>0.6</v>
      </c>
      <c r="AS85" s="4">
        <v>0.3</v>
      </c>
      <c r="AT85" s="6">
        <v>735.17358400000001</v>
      </c>
      <c r="AU85" s="4">
        <v>4.0000000000000001E-3</v>
      </c>
      <c r="AW85" s="4" t="s">
        <v>29</v>
      </c>
      <c r="AX85" s="4">
        <v>0.9</v>
      </c>
      <c r="AY85" s="4">
        <v>0.5</v>
      </c>
      <c r="AZ85" s="4">
        <v>0.6</v>
      </c>
      <c r="BA85" s="4">
        <v>0.39</v>
      </c>
      <c r="BB85" s="4">
        <v>799.12298599999997</v>
      </c>
      <c r="BC85" s="4">
        <v>2.3E-2</v>
      </c>
      <c r="BD85" s="5"/>
      <c r="BE85" s="5"/>
      <c r="BF85" s="5"/>
      <c r="BG85" s="5"/>
      <c r="BI85" s="4" t="s">
        <v>29</v>
      </c>
      <c r="BJ85" s="4">
        <v>0.9</v>
      </c>
      <c r="BK85" s="4">
        <v>0.5</v>
      </c>
      <c r="BL85" s="4">
        <v>0.6</v>
      </c>
      <c r="BM85" s="4">
        <v>0.3</v>
      </c>
      <c r="BN85" s="4">
        <v>727.80651899999998</v>
      </c>
      <c r="BO85" s="4">
        <v>3.0000000000000001E-3</v>
      </c>
      <c r="BQ85" s="4" t="s">
        <v>29</v>
      </c>
      <c r="BR85" s="4">
        <v>0.9</v>
      </c>
      <c r="BS85" s="4">
        <v>0.5</v>
      </c>
      <c r="BT85" s="4">
        <v>0.6</v>
      </c>
      <c r="BU85" s="4">
        <v>0.06</v>
      </c>
      <c r="BV85" s="6">
        <v>654.17248500000005</v>
      </c>
      <c r="BW85" s="4">
        <v>1.0999999999999999E-2</v>
      </c>
      <c r="BX85" s="5"/>
      <c r="BY85" s="5"/>
      <c r="BZ85" s="5"/>
      <c r="CA85" s="5"/>
    </row>
    <row r="86" spans="1:79" x14ac:dyDescent="0.3">
      <c r="A86" s="4" t="s">
        <v>30</v>
      </c>
      <c r="B86" s="4">
        <v>0.9</v>
      </c>
      <c r="C86" s="4">
        <v>0.5</v>
      </c>
      <c r="D86" s="4">
        <v>0.6</v>
      </c>
      <c r="E86" s="4">
        <v>0.3</v>
      </c>
      <c r="F86" s="6">
        <v>518.96655299999998</v>
      </c>
      <c r="G86" s="4">
        <v>0</v>
      </c>
      <c r="I86" s="4" t="s">
        <v>30</v>
      </c>
      <c r="J86" s="4">
        <v>0.9</v>
      </c>
      <c r="K86" s="4">
        <v>0.5</v>
      </c>
      <c r="L86" s="4">
        <v>0.6</v>
      </c>
      <c r="M86" s="4">
        <v>0.75</v>
      </c>
      <c r="N86" s="4">
        <v>598.56921399999999</v>
      </c>
      <c r="O86" s="4">
        <v>8.0000000000000002E-3</v>
      </c>
      <c r="P86" s="5"/>
      <c r="Q86" s="5"/>
      <c r="R86" s="5"/>
      <c r="S86" s="5"/>
      <c r="U86" s="4" t="s">
        <v>30</v>
      </c>
      <c r="V86" s="4">
        <v>0.9</v>
      </c>
      <c r="W86" s="4">
        <v>0.5</v>
      </c>
      <c r="X86" s="4">
        <v>0.6</v>
      </c>
      <c r="Y86" s="4">
        <v>0.3</v>
      </c>
      <c r="Z86" s="6">
        <v>531.40106200000002</v>
      </c>
      <c r="AA86" s="4">
        <v>1E-3</v>
      </c>
      <c r="AC86" s="4" t="s">
        <v>30</v>
      </c>
      <c r="AD86" s="4">
        <v>0.9</v>
      </c>
      <c r="AE86" s="4">
        <v>0.5</v>
      </c>
      <c r="AF86" s="4">
        <v>0.6</v>
      </c>
      <c r="AG86" s="4">
        <v>0.49</v>
      </c>
      <c r="AH86" s="4">
        <v>584.87292500000001</v>
      </c>
      <c r="AI86" s="4">
        <v>1.2999999999999999E-2</v>
      </c>
      <c r="AJ86" s="5"/>
      <c r="AK86" s="5"/>
      <c r="AL86" s="5"/>
      <c r="AM86" s="5"/>
      <c r="AO86" s="4" t="s">
        <v>31</v>
      </c>
      <c r="AP86" s="4">
        <v>0.9</v>
      </c>
      <c r="AQ86" s="4">
        <v>0.5</v>
      </c>
      <c r="AR86" s="4">
        <v>0.6</v>
      </c>
      <c r="AS86" s="4">
        <v>0.3</v>
      </c>
      <c r="AT86" s="6">
        <v>842.18780500000003</v>
      </c>
      <c r="AU86" s="4">
        <v>4.0000000000000001E-3</v>
      </c>
      <c r="AW86" s="4" t="s">
        <v>31</v>
      </c>
      <c r="AX86" s="4">
        <v>0.9</v>
      </c>
      <c r="AY86" s="4">
        <v>0.5</v>
      </c>
      <c r="AZ86" s="4">
        <v>0.6</v>
      </c>
      <c r="BA86" s="4">
        <v>0.65</v>
      </c>
      <c r="BB86" s="4">
        <v>1015.2770389999999</v>
      </c>
      <c r="BC86" s="4">
        <v>1.6E-2</v>
      </c>
      <c r="BD86" s="5"/>
      <c r="BE86" s="5"/>
      <c r="BF86" s="5"/>
      <c r="BG86" s="5"/>
      <c r="BI86" s="4" t="s">
        <v>31</v>
      </c>
      <c r="BJ86" s="4">
        <v>0.9</v>
      </c>
      <c r="BK86" s="4">
        <v>0.5</v>
      </c>
      <c r="BL86" s="4">
        <v>0.6</v>
      </c>
      <c r="BM86" s="4">
        <v>0.3</v>
      </c>
      <c r="BN86" s="4">
        <v>845.30828899999995</v>
      </c>
      <c r="BO86" s="4">
        <v>4.0000000000000001E-3</v>
      </c>
      <c r="BQ86" s="4" t="s">
        <v>31</v>
      </c>
      <c r="BR86" s="4">
        <v>0.9</v>
      </c>
      <c r="BS86" s="4">
        <v>0.5</v>
      </c>
      <c r="BT86" s="4">
        <v>0.6</v>
      </c>
      <c r="BU86" s="4">
        <v>0.27</v>
      </c>
      <c r="BV86" s="6">
        <v>835.89587400000005</v>
      </c>
      <c r="BW86" s="4">
        <v>2.5999999999999999E-2</v>
      </c>
      <c r="BX86" s="5"/>
      <c r="BY86" s="5"/>
      <c r="BZ86" s="5"/>
      <c r="CA86" s="5"/>
    </row>
    <row r="87" spans="1:79" x14ac:dyDescent="0.3">
      <c r="A87" s="4" t="s">
        <v>32</v>
      </c>
      <c r="B87" s="4">
        <v>0.9</v>
      </c>
      <c r="C87" s="4">
        <v>0.5</v>
      </c>
      <c r="D87" s="4">
        <v>0.6</v>
      </c>
      <c r="E87" s="4">
        <v>0.3</v>
      </c>
      <c r="F87" s="6">
        <v>474.83212300000002</v>
      </c>
      <c r="G87" s="4">
        <v>0</v>
      </c>
      <c r="I87" s="4" t="s">
        <v>32</v>
      </c>
      <c r="J87" s="4">
        <v>0.9</v>
      </c>
      <c r="K87" s="4">
        <v>0.5</v>
      </c>
      <c r="L87" s="4">
        <v>0.6</v>
      </c>
      <c r="M87" s="4">
        <v>0.21</v>
      </c>
      <c r="N87" s="6">
        <v>474.83212300000002</v>
      </c>
      <c r="O87" s="4">
        <v>1.0999999999999999E-2</v>
      </c>
      <c r="P87" s="5"/>
      <c r="Q87" s="5"/>
      <c r="R87" s="5"/>
      <c r="S87" s="5"/>
      <c r="U87" s="4" t="s">
        <v>32</v>
      </c>
      <c r="V87" s="4">
        <v>0.9</v>
      </c>
      <c r="W87" s="4">
        <v>0.5</v>
      </c>
      <c r="X87" s="4">
        <v>0.6</v>
      </c>
      <c r="Y87" s="4">
        <v>0.3</v>
      </c>
      <c r="Z87" s="6">
        <v>464.43417399999998</v>
      </c>
      <c r="AA87" s="4">
        <v>0</v>
      </c>
      <c r="AC87" s="4" t="s">
        <v>32</v>
      </c>
      <c r="AD87" s="4">
        <v>0.9</v>
      </c>
      <c r="AE87" s="4">
        <v>0.5</v>
      </c>
      <c r="AF87" s="4">
        <v>0.6</v>
      </c>
      <c r="AG87" s="4">
        <v>0.31</v>
      </c>
      <c r="AH87" s="6">
        <v>464.43417399999998</v>
      </c>
      <c r="AI87" s="4">
        <v>1.0999999999999999E-2</v>
      </c>
      <c r="AJ87" s="5"/>
      <c r="AK87" s="5"/>
      <c r="AL87" s="5"/>
      <c r="AM87" s="5"/>
      <c r="AO87" s="4" t="s">
        <v>33</v>
      </c>
      <c r="AP87" s="4">
        <v>0.9</v>
      </c>
      <c r="AQ87" s="4">
        <v>0.5</v>
      </c>
      <c r="AR87" s="4">
        <v>0.6</v>
      </c>
      <c r="AS87" s="4">
        <v>0.3</v>
      </c>
      <c r="AT87" s="4">
        <v>773.38147000000004</v>
      </c>
      <c r="AU87" s="4">
        <v>4.0000000000000001E-3</v>
      </c>
      <c r="AW87" s="4" t="s">
        <v>33</v>
      </c>
      <c r="AX87" s="4">
        <v>0.9</v>
      </c>
      <c r="AY87" s="4">
        <v>0.5</v>
      </c>
      <c r="AZ87" s="4">
        <v>0.6</v>
      </c>
      <c r="BA87" s="4">
        <v>0.22</v>
      </c>
      <c r="BB87" s="6">
        <v>763.00647000000004</v>
      </c>
      <c r="BC87" s="4">
        <v>1.4999999999999999E-2</v>
      </c>
      <c r="BD87" s="5"/>
      <c r="BE87" s="5"/>
      <c r="BF87" s="5"/>
      <c r="BG87" s="5"/>
      <c r="BI87" s="4" t="s">
        <v>33</v>
      </c>
      <c r="BJ87" s="4">
        <v>0.9</v>
      </c>
      <c r="BK87" s="4">
        <v>0.5</v>
      </c>
      <c r="BL87" s="4">
        <v>0.6</v>
      </c>
      <c r="BM87" s="4">
        <v>0.3</v>
      </c>
      <c r="BN87" s="6">
        <v>773.94464100000005</v>
      </c>
      <c r="BO87" s="4">
        <v>3.0000000000000001E-3</v>
      </c>
      <c r="BQ87" s="4" t="s">
        <v>33</v>
      </c>
      <c r="BR87" s="4">
        <v>0.9</v>
      </c>
      <c r="BS87" s="4">
        <v>0.5</v>
      </c>
      <c r="BT87" s="4">
        <v>0.6</v>
      </c>
      <c r="BU87" s="4">
        <v>0.5</v>
      </c>
      <c r="BV87" s="4">
        <v>925.12579300000004</v>
      </c>
      <c r="BW87" s="4">
        <v>1.4999999999999999E-2</v>
      </c>
      <c r="BX87" s="5"/>
      <c r="BY87" s="5"/>
      <c r="BZ87" s="5"/>
      <c r="CA87" s="5"/>
    </row>
    <row r="88" spans="1:79" x14ac:dyDescent="0.3">
      <c r="A88" s="4" t="s">
        <v>34</v>
      </c>
      <c r="B88" s="4">
        <v>0.9</v>
      </c>
      <c r="C88" s="4">
        <v>0.5</v>
      </c>
      <c r="D88" s="4">
        <v>0.6</v>
      </c>
      <c r="E88" s="4">
        <v>0.3</v>
      </c>
      <c r="F88" s="6">
        <v>412.97958399999999</v>
      </c>
      <c r="G88" s="4">
        <v>0</v>
      </c>
      <c r="I88" s="4" t="s">
        <v>34</v>
      </c>
      <c r="J88" s="4">
        <v>0.9</v>
      </c>
      <c r="K88" s="4">
        <v>0.5</v>
      </c>
      <c r="L88" s="4">
        <v>0.6</v>
      </c>
      <c r="M88" s="4">
        <v>0.69</v>
      </c>
      <c r="N88" s="4">
        <v>425.61172499999998</v>
      </c>
      <c r="O88" s="4">
        <v>1.4E-2</v>
      </c>
      <c r="P88" s="5"/>
      <c r="Q88" s="5"/>
      <c r="R88" s="5"/>
      <c r="S88" s="5"/>
      <c r="U88" s="4" t="s">
        <v>34</v>
      </c>
      <c r="V88" s="4">
        <v>0.9</v>
      </c>
      <c r="W88" s="4">
        <v>0.5</v>
      </c>
      <c r="X88" s="4">
        <v>0.6</v>
      </c>
      <c r="Y88" s="4">
        <v>0.3</v>
      </c>
      <c r="Z88" s="6">
        <v>409.62481700000001</v>
      </c>
      <c r="AA88" s="4">
        <v>0</v>
      </c>
      <c r="AC88" s="4" t="s">
        <v>34</v>
      </c>
      <c r="AD88" s="4">
        <v>0.9</v>
      </c>
      <c r="AE88" s="4">
        <v>0.5</v>
      </c>
      <c r="AF88" s="4">
        <v>0.6</v>
      </c>
      <c r="AG88" s="4">
        <v>0.7</v>
      </c>
      <c r="AH88" s="4">
        <v>419.05215500000003</v>
      </c>
      <c r="AI88" s="4">
        <v>0.02</v>
      </c>
      <c r="AJ88" s="5"/>
      <c r="AK88" s="5"/>
      <c r="AL88" s="5"/>
      <c r="AM88" s="5"/>
      <c r="AO88" s="4" t="s">
        <v>35</v>
      </c>
      <c r="AP88" s="4">
        <v>0.9</v>
      </c>
      <c r="AQ88" s="4">
        <v>0.5</v>
      </c>
      <c r="AR88" s="4">
        <v>0.6</v>
      </c>
      <c r="AS88" s="4">
        <v>0.3</v>
      </c>
      <c r="AT88" s="6">
        <v>794.10144000000003</v>
      </c>
      <c r="AU88" s="4">
        <v>4.0000000000000001E-3</v>
      </c>
      <c r="AW88" s="4" t="s">
        <v>35</v>
      </c>
      <c r="AX88" s="4">
        <v>0.9</v>
      </c>
      <c r="AY88" s="4">
        <v>0.5</v>
      </c>
      <c r="AZ88" s="4">
        <v>0.6</v>
      </c>
      <c r="BA88" s="4">
        <v>0.7</v>
      </c>
      <c r="BB88" s="4">
        <v>1017.622314</v>
      </c>
      <c r="BC88" s="4">
        <v>1.2E-2</v>
      </c>
      <c r="BD88" s="5"/>
      <c r="BE88" s="5"/>
      <c r="BF88" s="5"/>
      <c r="BG88" s="5"/>
      <c r="BI88" s="4" t="s">
        <v>35</v>
      </c>
      <c r="BJ88" s="4">
        <v>0.9</v>
      </c>
      <c r="BK88" s="4">
        <v>0.5</v>
      </c>
      <c r="BL88" s="4">
        <v>0.6</v>
      </c>
      <c r="BM88" s="4">
        <v>0.3</v>
      </c>
      <c r="BN88" s="4">
        <v>782.81744400000002</v>
      </c>
      <c r="BO88" s="4">
        <v>3.0000000000000001E-3</v>
      </c>
      <c r="BQ88" s="4" t="s">
        <v>35</v>
      </c>
      <c r="BR88" s="4">
        <v>0.9</v>
      </c>
      <c r="BS88" s="4">
        <v>0.5</v>
      </c>
      <c r="BT88" s="4">
        <v>0.6</v>
      </c>
      <c r="BU88" s="4">
        <v>0.24</v>
      </c>
      <c r="BV88" s="6">
        <v>759.53869599999996</v>
      </c>
      <c r="BW88" s="4">
        <v>2.9000000000000001E-2</v>
      </c>
      <c r="BX88" s="5"/>
      <c r="BY88" s="5"/>
      <c r="BZ88" s="5"/>
      <c r="CA88" s="5"/>
    </row>
    <row r="89" spans="1:79" x14ac:dyDescent="0.3">
      <c r="A89" s="4" t="s">
        <v>36</v>
      </c>
      <c r="B89" s="4">
        <v>0.9</v>
      </c>
      <c r="C89" s="4">
        <v>0.5</v>
      </c>
      <c r="D89" s="4">
        <v>0.6</v>
      </c>
      <c r="E89" s="4">
        <v>0.3</v>
      </c>
      <c r="F89" s="6">
        <v>523.957581</v>
      </c>
      <c r="G89" s="4">
        <v>1E-3</v>
      </c>
      <c r="I89" s="4" t="s">
        <v>36</v>
      </c>
      <c r="J89" s="4">
        <v>0.9</v>
      </c>
      <c r="K89" s="4">
        <v>0.5</v>
      </c>
      <c r="L89" s="4">
        <v>0.6</v>
      </c>
      <c r="M89" s="4">
        <v>0.06</v>
      </c>
      <c r="N89" s="4">
        <v>530.46447799999999</v>
      </c>
      <c r="O89" s="4">
        <v>1.4999999999999999E-2</v>
      </c>
      <c r="P89" s="5"/>
      <c r="Q89" s="5"/>
      <c r="R89" s="5"/>
      <c r="S89" s="5"/>
      <c r="U89" s="4" t="s">
        <v>36</v>
      </c>
      <c r="V89" s="4">
        <v>0.9</v>
      </c>
      <c r="W89" s="4">
        <v>0.5</v>
      </c>
      <c r="X89" s="4">
        <v>0.6</v>
      </c>
      <c r="Y89" s="4">
        <v>0.3</v>
      </c>
      <c r="Z89" s="6">
        <v>517.23809800000004</v>
      </c>
      <c r="AA89" s="4">
        <v>1E-3</v>
      </c>
      <c r="AC89" s="4" t="s">
        <v>36</v>
      </c>
      <c r="AD89" s="4">
        <v>0.9</v>
      </c>
      <c r="AE89" s="4">
        <v>0.5</v>
      </c>
      <c r="AF89" s="4">
        <v>0.6</v>
      </c>
      <c r="AG89" s="4">
        <v>0.78</v>
      </c>
      <c r="AH89" s="4">
        <v>568.41510000000005</v>
      </c>
      <c r="AI89" s="4">
        <v>1.2999999999999999E-2</v>
      </c>
      <c r="AJ89" s="5"/>
      <c r="AK89" s="5"/>
      <c r="AL89" s="5"/>
      <c r="AM89" s="5"/>
      <c r="AO89" s="4" t="s">
        <v>37</v>
      </c>
      <c r="AP89" s="4">
        <v>0.9</v>
      </c>
      <c r="AQ89" s="4">
        <v>0.5</v>
      </c>
      <c r="AR89" s="4">
        <v>0.6</v>
      </c>
      <c r="AS89" s="4">
        <v>0.3</v>
      </c>
      <c r="AT89" s="6">
        <v>785.38482699999997</v>
      </c>
      <c r="AU89" s="4">
        <v>4.0000000000000001E-3</v>
      </c>
      <c r="AW89" s="4" t="s">
        <v>37</v>
      </c>
      <c r="AX89" s="4">
        <v>0.9</v>
      </c>
      <c r="AY89" s="4">
        <v>0.5</v>
      </c>
      <c r="AZ89" s="4">
        <v>0.6</v>
      </c>
      <c r="BA89" s="4">
        <v>0.4</v>
      </c>
      <c r="BB89" s="4">
        <v>854.20428500000003</v>
      </c>
      <c r="BC89" s="4">
        <v>2.5999999999999999E-2</v>
      </c>
      <c r="BD89" s="5"/>
      <c r="BE89" s="5"/>
      <c r="BF89" s="5"/>
      <c r="BG89" s="5"/>
      <c r="BI89" s="4" t="s">
        <v>37</v>
      </c>
      <c r="BJ89" s="4">
        <v>0.9</v>
      </c>
      <c r="BK89" s="4">
        <v>0.5</v>
      </c>
      <c r="BL89" s="4">
        <v>0.6</v>
      </c>
      <c r="BM89" s="4">
        <v>0.3</v>
      </c>
      <c r="BN89" s="4">
        <v>758.76165800000001</v>
      </c>
      <c r="BO89" s="4">
        <v>4.0000000000000001E-3</v>
      </c>
      <c r="BQ89" s="4" t="s">
        <v>37</v>
      </c>
      <c r="BR89" s="4">
        <v>0.9</v>
      </c>
      <c r="BS89" s="4">
        <v>0.5</v>
      </c>
      <c r="BT89" s="4">
        <v>0.6</v>
      </c>
      <c r="BU89" s="4">
        <v>0.19</v>
      </c>
      <c r="BV89" s="6">
        <v>740.16125499999998</v>
      </c>
      <c r="BW89" s="4">
        <v>3.2000000000000001E-2</v>
      </c>
      <c r="BX89" s="5"/>
      <c r="BY89" s="5"/>
      <c r="BZ89" s="5"/>
      <c r="CA89" s="5"/>
    </row>
    <row r="90" spans="1:79" x14ac:dyDescent="0.3">
      <c r="A90" s="4" t="s">
        <v>38</v>
      </c>
      <c r="B90" s="4">
        <v>0.9</v>
      </c>
      <c r="C90" s="4">
        <v>0.5</v>
      </c>
      <c r="D90" s="4">
        <v>0.6</v>
      </c>
      <c r="E90" s="4">
        <v>0.3</v>
      </c>
      <c r="F90" s="6">
        <v>462.71502700000002</v>
      </c>
      <c r="G90" s="4">
        <v>0</v>
      </c>
      <c r="I90" s="4" t="s">
        <v>38</v>
      </c>
      <c r="J90" s="4">
        <v>0.9</v>
      </c>
      <c r="K90" s="4">
        <v>0.5</v>
      </c>
      <c r="L90" s="4">
        <v>0.6</v>
      </c>
      <c r="M90" s="4">
        <v>0.42</v>
      </c>
      <c r="N90" s="4">
        <v>491.81729100000001</v>
      </c>
      <c r="O90" s="4">
        <v>8.0000000000000002E-3</v>
      </c>
      <c r="P90" s="5"/>
      <c r="Q90" s="5"/>
      <c r="R90" s="5"/>
      <c r="S90" s="5"/>
      <c r="U90" s="4" t="s">
        <v>38</v>
      </c>
      <c r="V90" s="4">
        <v>0.9</v>
      </c>
      <c r="W90" s="4">
        <v>0.5</v>
      </c>
      <c r="X90" s="4">
        <v>0.6</v>
      </c>
      <c r="Y90" s="4">
        <v>0.3</v>
      </c>
      <c r="Z90" s="6">
        <v>457.08355699999998</v>
      </c>
      <c r="AA90" s="4">
        <v>1E-3</v>
      </c>
      <c r="AC90" s="4" t="s">
        <v>38</v>
      </c>
      <c r="AD90" s="4">
        <v>0.9</v>
      </c>
      <c r="AE90" s="4">
        <v>0.5</v>
      </c>
      <c r="AF90" s="4">
        <v>0.6</v>
      </c>
      <c r="AG90" s="4">
        <v>0.55000000000000004</v>
      </c>
      <c r="AH90" s="4">
        <v>486.023438</v>
      </c>
      <c r="AI90" s="4">
        <v>1.0999999999999999E-2</v>
      </c>
      <c r="AJ90" s="5"/>
      <c r="AK90" s="5"/>
      <c r="AL90" s="5"/>
      <c r="AM90" s="5"/>
      <c r="AO90" s="4" t="s">
        <v>39</v>
      </c>
      <c r="AP90" s="4">
        <v>0.9</v>
      </c>
      <c r="AQ90" s="4">
        <v>0.5</v>
      </c>
      <c r="AR90" s="4">
        <v>0.6</v>
      </c>
      <c r="AS90" s="4">
        <v>0.3</v>
      </c>
      <c r="AT90" s="4">
        <v>788.53668200000004</v>
      </c>
      <c r="AU90" s="4">
        <v>3.0000000000000001E-3</v>
      </c>
      <c r="AW90" s="4" t="s">
        <v>39</v>
      </c>
      <c r="AX90" s="4">
        <v>0.9</v>
      </c>
      <c r="AY90" s="4">
        <v>0.5</v>
      </c>
      <c r="AZ90" s="4">
        <v>0.6</v>
      </c>
      <c r="BA90" s="4">
        <v>0.12</v>
      </c>
      <c r="BB90" s="6">
        <v>721.24163799999997</v>
      </c>
      <c r="BC90" s="4">
        <v>2.1999999999999999E-2</v>
      </c>
      <c r="BD90" s="5"/>
      <c r="BE90" s="5"/>
      <c r="BF90" s="5"/>
      <c r="BG90" s="5"/>
      <c r="BI90" s="4" t="s">
        <v>39</v>
      </c>
      <c r="BJ90" s="4">
        <v>0.9</v>
      </c>
      <c r="BK90" s="4">
        <v>0.5</v>
      </c>
      <c r="BL90" s="4">
        <v>0.6</v>
      </c>
      <c r="BM90" s="4">
        <v>0.3</v>
      </c>
      <c r="BN90" s="4">
        <v>766.77185099999997</v>
      </c>
      <c r="BO90" s="4">
        <v>4.0000000000000001E-3</v>
      </c>
      <c r="BQ90" s="4" t="s">
        <v>39</v>
      </c>
      <c r="BR90" s="4">
        <v>0.9</v>
      </c>
      <c r="BS90" s="4">
        <v>0.5</v>
      </c>
      <c r="BT90" s="4">
        <v>0.6</v>
      </c>
      <c r="BU90" s="4">
        <v>0.01</v>
      </c>
      <c r="BV90" s="6">
        <v>736.39862100000005</v>
      </c>
      <c r="BW90" s="4">
        <v>1.6E-2</v>
      </c>
      <c r="BX90" s="5"/>
      <c r="BY90" s="5"/>
      <c r="BZ90" s="5"/>
      <c r="CA90" s="5"/>
    </row>
    <row r="91" spans="1:79" x14ac:dyDescent="0.3">
      <c r="A91" s="4" t="s">
        <v>40</v>
      </c>
      <c r="B91" s="4">
        <v>0.9</v>
      </c>
      <c r="C91" s="4">
        <v>0.5</v>
      </c>
      <c r="D91" s="4">
        <v>0.6</v>
      </c>
      <c r="E91" s="4">
        <v>0.3</v>
      </c>
      <c r="F91" s="6">
        <v>404.60012799999998</v>
      </c>
      <c r="G91" s="4">
        <v>0</v>
      </c>
      <c r="I91" s="4" t="s">
        <v>40</v>
      </c>
      <c r="J91" s="4">
        <v>0.9</v>
      </c>
      <c r="K91" s="4">
        <v>0.5</v>
      </c>
      <c r="L91" s="4">
        <v>0.6</v>
      </c>
      <c r="M91" s="4">
        <v>0.36</v>
      </c>
      <c r="N91" s="4">
        <v>412.41693099999998</v>
      </c>
      <c r="O91" s="4">
        <v>1.2E-2</v>
      </c>
      <c r="P91" s="5"/>
      <c r="Q91" s="5"/>
      <c r="R91" s="5"/>
      <c r="S91" s="5"/>
      <c r="U91" s="4" t="s">
        <v>40</v>
      </c>
      <c r="V91" s="4">
        <v>0.9</v>
      </c>
      <c r="W91" s="4">
        <v>0.5</v>
      </c>
      <c r="X91" s="4">
        <v>0.6</v>
      </c>
      <c r="Y91" s="4">
        <v>0.3</v>
      </c>
      <c r="Z91" s="6">
        <v>402.01260400000001</v>
      </c>
      <c r="AA91" s="4">
        <v>0</v>
      </c>
      <c r="AC91" s="4" t="s">
        <v>40</v>
      </c>
      <c r="AD91" s="4">
        <v>0.9</v>
      </c>
      <c r="AE91" s="4">
        <v>0.5</v>
      </c>
      <c r="AF91" s="4">
        <v>0.6</v>
      </c>
      <c r="AG91" s="4">
        <v>0.97</v>
      </c>
      <c r="AH91" s="4">
        <v>464.20895400000001</v>
      </c>
      <c r="AI91" s="4">
        <v>2.5000000000000001E-2</v>
      </c>
      <c r="AJ91" s="5"/>
      <c r="AK91" s="5"/>
      <c r="AL91" s="5"/>
      <c r="AM91" s="5"/>
      <c r="AO91" s="4" t="s">
        <v>41</v>
      </c>
      <c r="AP91" s="4">
        <v>0.9</v>
      </c>
      <c r="AQ91" s="4">
        <v>0.5</v>
      </c>
      <c r="AR91" s="4">
        <v>0.6</v>
      </c>
      <c r="AS91" s="4">
        <v>0.3</v>
      </c>
      <c r="AT91" s="6">
        <v>894.89398200000005</v>
      </c>
      <c r="AU91" s="4">
        <v>4.0000000000000001E-3</v>
      </c>
      <c r="AW91" s="4" t="s">
        <v>41</v>
      </c>
      <c r="AX91" s="4">
        <v>0.9</v>
      </c>
      <c r="AY91" s="4">
        <v>0.5</v>
      </c>
      <c r="AZ91" s="4">
        <v>0.6</v>
      </c>
      <c r="BA91" s="4">
        <v>0.31</v>
      </c>
      <c r="BB91" s="4">
        <v>896.84332300000005</v>
      </c>
      <c r="BC91" s="4">
        <v>3.1E-2</v>
      </c>
      <c r="BD91" s="5"/>
      <c r="BE91" s="5"/>
      <c r="BF91" s="5"/>
      <c r="BG91" s="5"/>
      <c r="BI91" s="4" t="s">
        <v>41</v>
      </c>
      <c r="BJ91" s="4">
        <v>0.9</v>
      </c>
      <c r="BK91" s="4">
        <v>0.5</v>
      </c>
      <c r="BL91" s="4">
        <v>0.6</v>
      </c>
      <c r="BM91" s="4">
        <v>0.3</v>
      </c>
      <c r="BN91" s="6">
        <v>887.83752400000003</v>
      </c>
      <c r="BO91" s="4">
        <v>5.0000000000000001E-3</v>
      </c>
      <c r="BQ91" s="4" t="s">
        <v>41</v>
      </c>
      <c r="BR91" s="4">
        <v>0.9</v>
      </c>
      <c r="BS91" s="4">
        <v>0.5</v>
      </c>
      <c r="BT91" s="4">
        <v>0.6</v>
      </c>
      <c r="BU91" s="4">
        <v>0.53</v>
      </c>
      <c r="BV91" s="4">
        <v>1014.653564</v>
      </c>
      <c r="BW91" s="4">
        <v>1.4999999999999999E-2</v>
      </c>
      <c r="BX91" s="5"/>
      <c r="BY91" s="5"/>
      <c r="BZ91" s="5"/>
      <c r="CA91" s="5"/>
    </row>
    <row r="92" spans="1:79" x14ac:dyDescent="0.3">
      <c r="A92" s="4" t="s">
        <v>42</v>
      </c>
      <c r="B92" s="4">
        <v>0.9</v>
      </c>
      <c r="C92" s="4">
        <v>0.5</v>
      </c>
      <c r="D92" s="4">
        <v>0.6</v>
      </c>
      <c r="E92" s="4">
        <v>0.3</v>
      </c>
      <c r="F92" s="6">
        <v>423.66629</v>
      </c>
      <c r="G92" s="4">
        <v>0</v>
      </c>
      <c r="I92" s="4" t="s">
        <v>42</v>
      </c>
      <c r="J92" s="4">
        <v>0.9</v>
      </c>
      <c r="K92" s="4">
        <v>0.5</v>
      </c>
      <c r="L92" s="4">
        <v>0.6</v>
      </c>
      <c r="M92" s="4">
        <v>0.75</v>
      </c>
      <c r="N92" s="4">
        <v>471.45211799999998</v>
      </c>
      <c r="O92" s="4">
        <v>8.0000000000000002E-3</v>
      </c>
      <c r="P92" s="5"/>
      <c r="Q92" s="5"/>
      <c r="R92" s="5"/>
      <c r="S92" s="5"/>
      <c r="U92" s="4" t="s">
        <v>42</v>
      </c>
      <c r="V92" s="4">
        <v>0.9</v>
      </c>
      <c r="W92" s="4">
        <v>0.5</v>
      </c>
      <c r="X92" s="4">
        <v>0.6</v>
      </c>
      <c r="Y92" s="4">
        <v>0.3</v>
      </c>
      <c r="Z92" s="6">
        <v>416.69476300000002</v>
      </c>
      <c r="AA92" s="4">
        <v>0</v>
      </c>
      <c r="AC92" s="4" t="s">
        <v>42</v>
      </c>
      <c r="AD92" s="4">
        <v>0.9</v>
      </c>
      <c r="AE92" s="4">
        <v>0.5</v>
      </c>
      <c r="AF92" s="4">
        <v>0.6</v>
      </c>
      <c r="AG92" s="4">
        <v>0.54</v>
      </c>
      <c r="AH92" s="4">
        <v>448.22326700000002</v>
      </c>
      <c r="AI92" s="4">
        <v>4.2000000000000003E-2</v>
      </c>
      <c r="AJ92" s="5"/>
      <c r="AK92" s="5"/>
      <c r="AL92" s="5"/>
      <c r="AM92" s="5"/>
      <c r="AO92" s="4" t="s">
        <v>43</v>
      </c>
      <c r="AP92" s="4">
        <v>0.9</v>
      </c>
      <c r="AQ92" s="4">
        <v>0.5</v>
      </c>
      <c r="AR92" s="4">
        <v>0.6</v>
      </c>
      <c r="AS92" s="4">
        <v>0.3</v>
      </c>
      <c r="AT92" s="6">
        <v>814.71423300000004</v>
      </c>
      <c r="AU92" s="4">
        <v>4.0000000000000001E-3</v>
      </c>
      <c r="AW92" s="4" t="s">
        <v>43</v>
      </c>
      <c r="AX92" s="4">
        <v>0.9</v>
      </c>
      <c r="AY92" s="4">
        <v>0.5</v>
      </c>
      <c r="AZ92" s="4">
        <v>0.6</v>
      </c>
      <c r="BA92" s="4">
        <v>0.62</v>
      </c>
      <c r="BB92" s="4">
        <v>963.01580799999999</v>
      </c>
      <c r="BC92" s="4">
        <v>2.8000000000000001E-2</v>
      </c>
      <c r="BD92" s="5"/>
      <c r="BE92" s="5"/>
      <c r="BF92" s="5"/>
      <c r="BG92" s="5"/>
      <c r="BI92" s="4" t="s">
        <v>43</v>
      </c>
      <c r="BJ92" s="4">
        <v>0.9</v>
      </c>
      <c r="BK92" s="4">
        <v>0.5</v>
      </c>
      <c r="BL92" s="4">
        <v>0.6</v>
      </c>
      <c r="BM92" s="4">
        <v>0.3</v>
      </c>
      <c r="BN92" s="4">
        <v>804.38952600000005</v>
      </c>
      <c r="BO92" s="4">
        <v>4.0000000000000001E-3</v>
      </c>
      <c r="BQ92" s="4" t="s">
        <v>43</v>
      </c>
      <c r="BR92" s="4">
        <v>0.9</v>
      </c>
      <c r="BS92" s="4">
        <v>0.5</v>
      </c>
      <c r="BT92" s="4">
        <v>0.6</v>
      </c>
      <c r="BU92" s="4">
        <v>7.0000000000000007E-2</v>
      </c>
      <c r="BV92" s="6">
        <v>725.292236</v>
      </c>
      <c r="BW92" s="4">
        <v>1.6E-2</v>
      </c>
      <c r="BX92" s="5"/>
      <c r="BY92" s="5"/>
      <c r="BZ92" s="5"/>
      <c r="CA92" s="5"/>
    </row>
    <row r="93" spans="1:79" x14ac:dyDescent="0.3">
      <c r="A93" s="4" t="s">
        <v>44</v>
      </c>
      <c r="B93" s="4">
        <v>0.9</v>
      </c>
      <c r="C93" s="4">
        <v>0.5</v>
      </c>
      <c r="D93" s="4">
        <v>0.6</v>
      </c>
      <c r="E93" s="4">
        <v>0.3</v>
      </c>
      <c r="F93" s="6">
        <v>515.32714799999997</v>
      </c>
      <c r="G93" s="4">
        <v>0</v>
      </c>
      <c r="I93" s="4" t="s">
        <v>44</v>
      </c>
      <c r="J93" s="4">
        <v>0.9</v>
      </c>
      <c r="K93" s="4">
        <v>0.5</v>
      </c>
      <c r="L93" s="4">
        <v>0.6</v>
      </c>
      <c r="M93" s="4">
        <v>0.14000000000000001</v>
      </c>
      <c r="N93" s="4">
        <v>522.48529099999996</v>
      </c>
      <c r="O93" s="4">
        <v>0.02</v>
      </c>
      <c r="P93" s="5"/>
      <c r="Q93" s="5"/>
      <c r="R93" s="5"/>
      <c r="S93" s="5"/>
      <c r="U93" s="4" t="s">
        <v>44</v>
      </c>
      <c r="V93" s="4">
        <v>0.9</v>
      </c>
      <c r="W93" s="4">
        <v>0.5</v>
      </c>
      <c r="X93" s="4">
        <v>0.6</v>
      </c>
      <c r="Y93" s="4">
        <v>0.3</v>
      </c>
      <c r="Z93" s="6">
        <v>504.28717</v>
      </c>
      <c r="AA93" s="4">
        <v>1E-3</v>
      </c>
      <c r="AC93" s="4" t="s">
        <v>44</v>
      </c>
      <c r="AD93" s="4">
        <v>0.9</v>
      </c>
      <c r="AE93" s="4">
        <v>0.5</v>
      </c>
      <c r="AF93" s="4">
        <v>0.6</v>
      </c>
      <c r="AG93" s="4">
        <v>0.43</v>
      </c>
      <c r="AH93" s="4">
        <v>544.45184300000005</v>
      </c>
      <c r="AI93" s="4">
        <v>0.01</v>
      </c>
      <c r="AJ93" s="5"/>
      <c r="AK93" s="5"/>
      <c r="AL93" s="5"/>
      <c r="AM93" s="5"/>
      <c r="AO93" s="4" t="s">
        <v>45</v>
      </c>
      <c r="AP93" s="4">
        <v>0.9</v>
      </c>
      <c r="AQ93" s="4">
        <v>0.5</v>
      </c>
      <c r="AR93" s="4">
        <v>0.6</v>
      </c>
      <c r="AS93" s="4">
        <v>0.3</v>
      </c>
      <c r="AT93" s="6">
        <v>829.79931599999998</v>
      </c>
      <c r="AU93" s="4">
        <v>4.0000000000000001E-3</v>
      </c>
      <c r="AW93" s="4" t="s">
        <v>45</v>
      </c>
      <c r="AX93" s="4">
        <v>0.9</v>
      </c>
      <c r="AY93" s="4">
        <v>0.5</v>
      </c>
      <c r="AZ93" s="4">
        <v>0.6</v>
      </c>
      <c r="BA93" s="4">
        <v>0.38</v>
      </c>
      <c r="BB93" s="4">
        <v>926.10778800000003</v>
      </c>
      <c r="BC93" s="4">
        <v>1.9E-2</v>
      </c>
      <c r="BD93" s="5"/>
      <c r="BE93" s="5"/>
      <c r="BF93" s="5"/>
      <c r="BG93" s="5"/>
      <c r="BI93" s="4" t="s">
        <v>45</v>
      </c>
      <c r="BJ93" s="4">
        <v>0.9</v>
      </c>
      <c r="BK93" s="4">
        <v>0.5</v>
      </c>
      <c r="BL93" s="4">
        <v>0.6</v>
      </c>
      <c r="BM93" s="4">
        <v>0.3</v>
      </c>
      <c r="BN93" s="6">
        <v>843.46966599999996</v>
      </c>
      <c r="BO93" s="4">
        <v>4.0000000000000001E-3</v>
      </c>
      <c r="BQ93" s="4" t="s">
        <v>45</v>
      </c>
      <c r="BR93" s="4">
        <v>0.9</v>
      </c>
      <c r="BS93" s="4">
        <v>0.5</v>
      </c>
      <c r="BT93" s="4">
        <v>0.6</v>
      </c>
      <c r="BU93" s="4">
        <v>0.81</v>
      </c>
      <c r="BV93" s="4">
        <v>1083.6685789999999</v>
      </c>
      <c r="BW93" s="4">
        <v>1.9E-2</v>
      </c>
      <c r="BX93" s="5"/>
      <c r="BY93" s="5"/>
      <c r="BZ93" s="5"/>
      <c r="CA93" s="5"/>
    </row>
    <row r="94" spans="1:79" x14ac:dyDescent="0.3">
      <c r="A94" s="4" t="s">
        <v>46</v>
      </c>
      <c r="B94" s="4">
        <v>0.9</v>
      </c>
      <c r="C94" s="4">
        <v>0.5</v>
      </c>
      <c r="D94" s="4">
        <v>0.6</v>
      </c>
      <c r="E94" s="4">
        <v>0.3</v>
      </c>
      <c r="F94" s="6">
        <v>499.92867999999999</v>
      </c>
      <c r="G94" s="4">
        <v>0</v>
      </c>
      <c r="I94" s="4" t="s">
        <v>46</v>
      </c>
      <c r="J94" s="4">
        <v>0.9</v>
      </c>
      <c r="K94" s="4">
        <v>0.5</v>
      </c>
      <c r="L94" s="4">
        <v>0.6</v>
      </c>
      <c r="M94" s="4">
        <v>0.9</v>
      </c>
      <c r="N94" s="4">
        <v>545.95080600000006</v>
      </c>
      <c r="O94" s="4">
        <v>6.0000000000000001E-3</v>
      </c>
      <c r="P94" s="5"/>
      <c r="Q94" s="5"/>
      <c r="R94" s="5"/>
      <c r="S94" s="5"/>
      <c r="U94" s="4" t="s">
        <v>46</v>
      </c>
      <c r="V94" s="4">
        <v>0.9</v>
      </c>
      <c r="W94" s="4">
        <v>0.5</v>
      </c>
      <c r="X94" s="4">
        <v>0.6</v>
      </c>
      <c r="Y94" s="4">
        <v>0.3</v>
      </c>
      <c r="Z94" s="6">
        <v>492.45419299999998</v>
      </c>
      <c r="AA94" s="4">
        <v>1E-3</v>
      </c>
      <c r="AC94" s="4" t="s">
        <v>46</v>
      </c>
      <c r="AD94" s="4">
        <v>0.9</v>
      </c>
      <c r="AE94" s="4">
        <v>0.5</v>
      </c>
      <c r="AF94" s="4">
        <v>0.6</v>
      </c>
      <c r="AG94" s="4">
        <v>0.49</v>
      </c>
      <c r="AH94" s="4">
        <v>494.461029</v>
      </c>
      <c r="AI94" s="4">
        <v>0.01</v>
      </c>
      <c r="AJ94" s="5"/>
      <c r="AK94" s="5"/>
      <c r="AL94" s="5"/>
      <c r="AM94" s="5"/>
      <c r="AO94" s="4" t="s">
        <v>47</v>
      </c>
      <c r="AP94" s="4">
        <v>0.9</v>
      </c>
      <c r="AQ94" s="4">
        <v>0.5</v>
      </c>
      <c r="AR94" s="4">
        <v>0.6</v>
      </c>
      <c r="AS94" s="4">
        <v>0.3</v>
      </c>
      <c r="AT94" s="4">
        <v>776.95434599999999</v>
      </c>
      <c r="AU94" s="4">
        <v>4.0000000000000001E-3</v>
      </c>
      <c r="AW94" s="4" t="s">
        <v>47</v>
      </c>
      <c r="AX94" s="4">
        <v>0.9</v>
      </c>
      <c r="AY94" s="4">
        <v>0.5</v>
      </c>
      <c r="AZ94" s="4">
        <v>0.6</v>
      </c>
      <c r="BA94" s="4">
        <v>0.14000000000000001</v>
      </c>
      <c r="BB94" s="4">
        <v>709.53704800000003</v>
      </c>
      <c r="BC94" s="4">
        <v>1.4999999999999999E-2</v>
      </c>
      <c r="BD94" s="5"/>
      <c r="BE94" s="5"/>
      <c r="BF94" s="5"/>
      <c r="BG94" s="5"/>
      <c r="BI94" s="4" t="s">
        <v>47</v>
      </c>
      <c r="BJ94" s="4">
        <v>0.9</v>
      </c>
      <c r="BK94" s="4">
        <v>0.5</v>
      </c>
      <c r="BL94" s="4">
        <v>0.6</v>
      </c>
      <c r="BM94" s="4">
        <v>0.3</v>
      </c>
      <c r="BN94" s="6">
        <v>761.73498500000005</v>
      </c>
      <c r="BO94" s="4">
        <v>4.0000000000000001E-3</v>
      </c>
      <c r="BQ94" s="4" t="s">
        <v>47</v>
      </c>
      <c r="BR94" s="4">
        <v>0.9</v>
      </c>
      <c r="BS94" s="4">
        <v>0.5</v>
      </c>
      <c r="BT94" s="4">
        <v>0.6</v>
      </c>
      <c r="BU94" s="4">
        <v>0.54</v>
      </c>
      <c r="BV94" s="4">
        <v>883.80041500000004</v>
      </c>
      <c r="BW94" s="4">
        <v>1.2999999999999999E-2</v>
      </c>
      <c r="BX94" s="5"/>
      <c r="BY94" s="5"/>
      <c r="BZ94" s="5"/>
      <c r="CA94" s="5"/>
    </row>
    <row r="95" spans="1:79" x14ac:dyDescent="0.3">
      <c r="A95" s="4" t="s">
        <v>48</v>
      </c>
      <c r="B95" s="4">
        <v>0.9</v>
      </c>
      <c r="C95" s="4">
        <v>0.5</v>
      </c>
      <c r="D95" s="4">
        <v>0.6</v>
      </c>
      <c r="E95" s="4">
        <v>0.3</v>
      </c>
      <c r="F95" s="6">
        <v>465.539581</v>
      </c>
      <c r="G95" s="4">
        <v>0</v>
      </c>
      <c r="I95" s="4" t="s">
        <v>48</v>
      </c>
      <c r="J95" s="4">
        <v>0.9</v>
      </c>
      <c r="K95" s="4">
        <v>0.5</v>
      </c>
      <c r="L95" s="4">
        <v>0.6</v>
      </c>
      <c r="M95" s="4">
        <v>0.41</v>
      </c>
      <c r="N95" s="4">
        <v>479.29489100000001</v>
      </c>
      <c r="O95" s="4">
        <v>3.5000000000000003E-2</v>
      </c>
      <c r="P95" s="5"/>
      <c r="Q95" s="5"/>
      <c r="R95" s="5"/>
      <c r="S95" s="5"/>
      <c r="U95" s="4" t="s">
        <v>48</v>
      </c>
      <c r="V95" s="4">
        <v>0.9</v>
      </c>
      <c r="W95" s="4">
        <v>0.5</v>
      </c>
      <c r="X95" s="4">
        <v>0.6</v>
      </c>
      <c r="Y95" s="4">
        <v>0.3</v>
      </c>
      <c r="Z95" s="6">
        <v>455.04409800000002</v>
      </c>
      <c r="AA95" s="4">
        <v>0</v>
      </c>
      <c r="AC95" s="4" t="s">
        <v>48</v>
      </c>
      <c r="AD95" s="4">
        <v>0.9</v>
      </c>
      <c r="AE95" s="4">
        <v>0.5</v>
      </c>
      <c r="AF95" s="4">
        <v>0.6</v>
      </c>
      <c r="AG95" s="4">
        <v>0.54</v>
      </c>
      <c r="AH95" s="4">
        <v>476.42626999999999</v>
      </c>
      <c r="AI95" s="4">
        <v>1.9E-2</v>
      </c>
      <c r="AJ95" s="5"/>
      <c r="AK95" s="5"/>
      <c r="AL95" s="5"/>
      <c r="AM95" s="5"/>
      <c r="AO95" s="4" t="s">
        <v>49</v>
      </c>
      <c r="AP95" s="4">
        <v>0.9</v>
      </c>
      <c r="AQ95" s="4">
        <v>0.5</v>
      </c>
      <c r="AR95" s="4">
        <v>0.6</v>
      </c>
      <c r="AS95" s="4">
        <v>0.3</v>
      </c>
      <c r="AT95" s="6">
        <v>816.69928000000004</v>
      </c>
      <c r="AU95" s="4">
        <v>4.0000000000000001E-3</v>
      </c>
      <c r="AW95" s="4" t="s">
        <v>49</v>
      </c>
      <c r="AX95" s="4">
        <v>0.9</v>
      </c>
      <c r="AY95" s="4">
        <v>0.5</v>
      </c>
      <c r="AZ95" s="4">
        <v>0.6</v>
      </c>
      <c r="BA95" s="4">
        <v>0.69</v>
      </c>
      <c r="BB95" s="6">
        <v>973.27526899999998</v>
      </c>
      <c r="BC95" s="4">
        <v>1.7000000000000001E-2</v>
      </c>
      <c r="BD95" s="5"/>
      <c r="BE95" s="5"/>
      <c r="BF95" s="5"/>
      <c r="BG95" s="5"/>
      <c r="BI95" s="4" t="s">
        <v>49</v>
      </c>
      <c r="BJ95" s="4">
        <v>0.9</v>
      </c>
      <c r="BK95" s="4">
        <v>0.5</v>
      </c>
      <c r="BL95" s="4">
        <v>0.6</v>
      </c>
      <c r="BM95" s="4">
        <v>0.3</v>
      </c>
      <c r="BN95" s="6">
        <v>778.38147000000004</v>
      </c>
      <c r="BO95" s="4">
        <v>3.0000000000000001E-3</v>
      </c>
      <c r="BQ95" s="4" t="s">
        <v>49</v>
      </c>
      <c r="BR95" s="4">
        <v>0.9</v>
      </c>
      <c r="BS95" s="4">
        <v>0.5</v>
      </c>
      <c r="BT95" s="4">
        <v>0.6</v>
      </c>
      <c r="BU95" s="4">
        <v>0.49</v>
      </c>
      <c r="BV95" s="4">
        <v>904.06719999999996</v>
      </c>
      <c r="BW95" s="4">
        <v>1.0999999999999999E-2</v>
      </c>
      <c r="BX95" s="5"/>
      <c r="BY95" s="5"/>
      <c r="BZ95" s="5"/>
      <c r="CA95" s="5"/>
    </row>
    <row r="96" spans="1:79" x14ac:dyDescent="0.3">
      <c r="A96" s="4" t="s">
        <v>50</v>
      </c>
      <c r="B96" s="4">
        <v>0.9</v>
      </c>
      <c r="C96" s="4">
        <v>0.5</v>
      </c>
      <c r="D96" s="4">
        <v>0.6</v>
      </c>
      <c r="E96" s="4">
        <v>0.3</v>
      </c>
      <c r="F96" s="6">
        <v>458.87048299999998</v>
      </c>
      <c r="G96" s="4">
        <v>1E-3</v>
      </c>
      <c r="I96" s="4" t="s">
        <v>50</v>
      </c>
      <c r="J96" s="4">
        <v>0.9</v>
      </c>
      <c r="K96" s="4">
        <v>0.5</v>
      </c>
      <c r="L96" s="4">
        <v>0.6</v>
      </c>
      <c r="M96" s="4">
        <v>0.41</v>
      </c>
      <c r="N96" s="4">
        <v>477.68231200000002</v>
      </c>
      <c r="O96" s="4">
        <v>1.4E-2</v>
      </c>
      <c r="P96" s="5"/>
      <c r="Q96" s="5"/>
      <c r="R96" s="5"/>
      <c r="S96" s="5"/>
      <c r="U96" s="4" t="s">
        <v>50</v>
      </c>
      <c r="V96" s="4">
        <v>0.9</v>
      </c>
      <c r="W96" s="4">
        <v>0.5</v>
      </c>
      <c r="X96" s="4">
        <v>0.6</v>
      </c>
      <c r="Y96" s="4">
        <v>0.3</v>
      </c>
      <c r="Z96" s="6">
        <v>443.59765599999997</v>
      </c>
      <c r="AA96" s="4">
        <v>0</v>
      </c>
      <c r="AC96" s="4" t="s">
        <v>50</v>
      </c>
      <c r="AD96" s="4">
        <v>0.9</v>
      </c>
      <c r="AE96" s="4">
        <v>0.5</v>
      </c>
      <c r="AF96" s="4">
        <v>0.6</v>
      </c>
      <c r="AG96" s="4">
        <v>0.28999999999999998</v>
      </c>
      <c r="AH96" s="4">
        <v>467.73568699999998</v>
      </c>
      <c r="AI96" s="4">
        <v>1.6E-2</v>
      </c>
      <c r="AJ96" s="5"/>
      <c r="AK96" s="5"/>
      <c r="AL96" s="5"/>
      <c r="AM96" s="5"/>
      <c r="AO96" s="4" t="s">
        <v>51</v>
      </c>
      <c r="AP96" s="4">
        <v>0.9</v>
      </c>
      <c r="AQ96" s="4">
        <v>0.5</v>
      </c>
      <c r="AR96" s="4">
        <v>0.6</v>
      </c>
      <c r="AS96" s="4">
        <v>0.3</v>
      </c>
      <c r="AT96" s="6">
        <v>984.64343299999996</v>
      </c>
      <c r="AU96" s="4">
        <v>4.0000000000000001E-3</v>
      </c>
      <c r="AW96" s="4" t="s">
        <v>51</v>
      </c>
      <c r="AX96" s="4">
        <v>0.9</v>
      </c>
      <c r="AY96" s="4">
        <v>0.5</v>
      </c>
      <c r="AZ96" s="4">
        <v>0.6</v>
      </c>
      <c r="BA96" s="4">
        <v>0.64</v>
      </c>
      <c r="BB96" s="4">
        <v>1154.8865969999999</v>
      </c>
      <c r="BC96" s="4">
        <v>1.2999999999999999E-2</v>
      </c>
      <c r="BD96" s="5"/>
      <c r="BE96" s="5"/>
      <c r="BF96" s="5"/>
      <c r="BG96" s="5"/>
      <c r="BI96" s="4" t="s">
        <v>51</v>
      </c>
      <c r="BJ96" s="4">
        <v>0.9</v>
      </c>
      <c r="BK96" s="4">
        <v>0.5</v>
      </c>
      <c r="BL96" s="4">
        <v>0.6</v>
      </c>
      <c r="BM96" s="4">
        <v>0.3</v>
      </c>
      <c r="BN96" s="6">
        <v>989.09832800000004</v>
      </c>
      <c r="BO96" s="4">
        <v>5.0000000000000001E-3</v>
      </c>
      <c r="BQ96" s="4" t="s">
        <v>51</v>
      </c>
      <c r="BR96" s="4">
        <v>0.9</v>
      </c>
      <c r="BS96" s="4">
        <v>0.5</v>
      </c>
      <c r="BT96" s="4">
        <v>0.6</v>
      </c>
      <c r="BU96" s="4">
        <v>0.71</v>
      </c>
      <c r="BV96" s="4">
        <v>1169.4570309999999</v>
      </c>
      <c r="BW96" s="4">
        <v>2.4E-2</v>
      </c>
      <c r="BX96" s="5"/>
      <c r="BY96" s="5"/>
      <c r="BZ96" s="5"/>
      <c r="CA96" s="5"/>
    </row>
    <row r="97" spans="1:79" x14ac:dyDescent="0.3">
      <c r="A97" s="4" t="s">
        <v>52</v>
      </c>
      <c r="B97" s="4">
        <v>0.9</v>
      </c>
      <c r="C97" s="4">
        <v>0.5</v>
      </c>
      <c r="D97" s="4">
        <v>0.6</v>
      </c>
      <c r="E97" s="4">
        <v>0.3</v>
      </c>
      <c r="F97" s="6">
        <v>468.975189</v>
      </c>
      <c r="G97" s="4">
        <v>0</v>
      </c>
      <c r="I97" s="4" t="s">
        <v>52</v>
      </c>
      <c r="J97" s="4">
        <v>0.9</v>
      </c>
      <c r="K97" s="4">
        <v>0.5</v>
      </c>
      <c r="L97" s="4">
        <v>0.6</v>
      </c>
      <c r="M97" s="4">
        <v>0.67</v>
      </c>
      <c r="N97" s="4">
        <v>508.19259599999998</v>
      </c>
      <c r="O97" s="4">
        <v>0.01</v>
      </c>
      <c r="P97" s="5"/>
      <c r="Q97" s="5"/>
      <c r="R97" s="5"/>
      <c r="S97" s="5"/>
      <c r="U97" s="4" t="s">
        <v>52</v>
      </c>
      <c r="V97" s="4">
        <v>0.9</v>
      </c>
      <c r="W97" s="4">
        <v>0.5</v>
      </c>
      <c r="X97" s="4">
        <v>0.6</v>
      </c>
      <c r="Y97" s="4">
        <v>0.3</v>
      </c>
      <c r="Z97" s="6">
        <v>469.24471999999997</v>
      </c>
      <c r="AA97" s="4">
        <v>1E-3</v>
      </c>
      <c r="AC97" s="4" t="s">
        <v>52</v>
      </c>
      <c r="AD97" s="4">
        <v>0.9</v>
      </c>
      <c r="AE97" s="4">
        <v>0.5</v>
      </c>
      <c r="AF97" s="4">
        <v>0.6</v>
      </c>
      <c r="AG97" s="4">
        <v>0.89</v>
      </c>
      <c r="AH97" s="4">
        <v>574.52673300000004</v>
      </c>
      <c r="AI97" s="4">
        <v>1.7999999999999999E-2</v>
      </c>
      <c r="AJ97" s="5"/>
      <c r="AK97" s="5"/>
      <c r="AL97" s="5"/>
      <c r="AM97" s="5"/>
      <c r="AO97" s="4" t="s">
        <v>53</v>
      </c>
      <c r="AP97" s="4">
        <v>0.9</v>
      </c>
      <c r="AQ97" s="4">
        <v>0.5</v>
      </c>
      <c r="AR97" s="4">
        <v>0.6</v>
      </c>
      <c r="AS97" s="4">
        <v>0.3</v>
      </c>
      <c r="AT97" s="6">
        <v>949.12280299999998</v>
      </c>
      <c r="AU97" s="4">
        <v>5.0000000000000001E-3</v>
      </c>
      <c r="AW97" s="4" t="s">
        <v>53</v>
      </c>
      <c r="AX97" s="4">
        <v>0.9</v>
      </c>
      <c r="AY97" s="4">
        <v>0.5</v>
      </c>
      <c r="AZ97" s="4">
        <v>0.6</v>
      </c>
      <c r="BA97" s="4">
        <v>0.37</v>
      </c>
      <c r="BB97" s="4">
        <v>996.40393100000006</v>
      </c>
      <c r="BC97" s="4">
        <v>1.2E-2</v>
      </c>
      <c r="BD97" s="5"/>
      <c r="BE97" s="5"/>
      <c r="BF97" s="5"/>
      <c r="BG97" s="5"/>
      <c r="BI97" s="4" t="s">
        <v>53</v>
      </c>
      <c r="BJ97" s="4">
        <v>0.9</v>
      </c>
      <c r="BK97" s="4">
        <v>0.5</v>
      </c>
      <c r="BL97" s="4">
        <v>0.6</v>
      </c>
      <c r="BM97" s="4">
        <v>0.3</v>
      </c>
      <c r="BN97" s="6">
        <v>951.06915300000003</v>
      </c>
      <c r="BO97" s="4">
        <v>4.0000000000000001E-3</v>
      </c>
      <c r="BQ97" s="4" t="s">
        <v>53</v>
      </c>
      <c r="BR97" s="4">
        <v>0.9</v>
      </c>
      <c r="BS97" s="4">
        <v>0.5</v>
      </c>
      <c r="BT97" s="4">
        <v>0.6</v>
      </c>
      <c r="BU97" s="4">
        <v>0.28999999999999998</v>
      </c>
      <c r="BV97" s="4">
        <v>953.27435300000002</v>
      </c>
      <c r="BW97" s="4">
        <v>1.2999999999999999E-2</v>
      </c>
      <c r="BX97" s="5"/>
      <c r="BY97" s="5"/>
      <c r="BZ97" s="5"/>
      <c r="CA97" s="5"/>
    </row>
    <row r="98" spans="1:79" x14ac:dyDescent="0.3">
      <c r="A98" s="4" t="s">
        <v>54</v>
      </c>
      <c r="B98" s="4">
        <v>0.9</v>
      </c>
      <c r="C98" s="4">
        <v>0.5</v>
      </c>
      <c r="D98" s="4">
        <v>0.6</v>
      </c>
      <c r="E98" s="4">
        <v>0.3</v>
      </c>
      <c r="F98" s="6">
        <v>558.04943800000001</v>
      </c>
      <c r="G98" s="4">
        <v>1E-3</v>
      </c>
      <c r="I98" s="4" t="s">
        <v>54</v>
      </c>
      <c r="J98" s="4">
        <v>0.9</v>
      </c>
      <c r="K98" s="4">
        <v>0.5</v>
      </c>
      <c r="L98" s="4">
        <v>0.6</v>
      </c>
      <c r="M98" s="4">
        <v>0.69</v>
      </c>
      <c r="N98" s="4">
        <v>569.511841</v>
      </c>
      <c r="O98" s="4">
        <v>1.4999999999999999E-2</v>
      </c>
      <c r="P98" s="5"/>
      <c r="Q98" s="5"/>
      <c r="R98" s="5"/>
      <c r="S98" s="5"/>
      <c r="U98" s="4" t="s">
        <v>54</v>
      </c>
      <c r="V98" s="4">
        <v>0.9</v>
      </c>
      <c r="W98" s="4">
        <v>0.5</v>
      </c>
      <c r="X98" s="4">
        <v>0.6</v>
      </c>
      <c r="Y98" s="4">
        <v>0.3</v>
      </c>
      <c r="Z98" s="6">
        <v>561.625854</v>
      </c>
      <c r="AA98" s="4">
        <v>0</v>
      </c>
      <c r="AC98" s="4" t="s">
        <v>54</v>
      </c>
      <c r="AD98" s="4">
        <v>0.9</v>
      </c>
      <c r="AE98" s="4">
        <v>0.5</v>
      </c>
      <c r="AF98" s="4">
        <v>0.6</v>
      </c>
      <c r="AG98" s="4">
        <v>0.89</v>
      </c>
      <c r="AH98" s="4">
        <v>614.63629200000003</v>
      </c>
      <c r="AI98" s="4">
        <v>1.6E-2</v>
      </c>
      <c r="AJ98" s="5"/>
      <c r="AK98" s="5"/>
      <c r="AL98" s="5"/>
      <c r="AM98" s="5"/>
      <c r="AO98" s="4" t="s">
        <v>55</v>
      </c>
      <c r="AP98" s="4">
        <v>0.9</v>
      </c>
      <c r="AQ98" s="4">
        <v>0.5</v>
      </c>
      <c r="AR98" s="4">
        <v>0.6</v>
      </c>
      <c r="AS98" s="4">
        <v>0.3</v>
      </c>
      <c r="AT98" s="6">
        <v>957.86041299999999</v>
      </c>
      <c r="AU98" s="4">
        <v>4.0000000000000001E-3</v>
      </c>
      <c r="AW98" s="4" t="s">
        <v>55</v>
      </c>
      <c r="AX98" s="4">
        <v>0.9</v>
      </c>
      <c r="AY98" s="4">
        <v>0.5</v>
      </c>
      <c r="AZ98" s="4">
        <v>0.6</v>
      </c>
      <c r="BA98" s="4">
        <v>0.77</v>
      </c>
      <c r="BB98" s="4">
        <v>1105.1370850000001</v>
      </c>
      <c r="BC98" s="4">
        <v>2.7E-2</v>
      </c>
      <c r="BD98" s="5"/>
      <c r="BE98" s="5"/>
      <c r="BF98" s="5"/>
      <c r="BG98" s="5"/>
      <c r="BI98" s="4" t="s">
        <v>55</v>
      </c>
      <c r="BJ98" s="4">
        <v>0.9</v>
      </c>
      <c r="BK98" s="4">
        <v>0.5</v>
      </c>
      <c r="BL98" s="4">
        <v>0.6</v>
      </c>
      <c r="BM98" s="4">
        <v>0.3</v>
      </c>
      <c r="BN98" s="6">
        <v>929.21258499999999</v>
      </c>
      <c r="BO98" s="4">
        <v>4.0000000000000001E-3</v>
      </c>
      <c r="BQ98" s="4" t="s">
        <v>55</v>
      </c>
      <c r="BR98" s="4">
        <v>0.9</v>
      </c>
      <c r="BS98" s="4">
        <v>0.5</v>
      </c>
      <c r="BT98" s="4">
        <v>0.6</v>
      </c>
      <c r="BU98" s="4">
        <v>0.82</v>
      </c>
      <c r="BV98" s="4">
        <v>1122.970947</v>
      </c>
      <c r="BW98" s="4">
        <v>0.01</v>
      </c>
      <c r="BX98" s="5"/>
      <c r="BY98" s="5"/>
      <c r="BZ98" s="5"/>
      <c r="CA98" s="5"/>
    </row>
    <row r="99" spans="1:79" x14ac:dyDescent="0.3">
      <c r="A99" s="4" t="s">
        <v>56</v>
      </c>
      <c r="B99" s="4">
        <v>0.9</v>
      </c>
      <c r="C99" s="4">
        <v>0.5</v>
      </c>
      <c r="D99" s="4">
        <v>0.6</v>
      </c>
      <c r="E99" s="4">
        <v>0.3</v>
      </c>
      <c r="F99" s="6">
        <v>464.18408199999999</v>
      </c>
      <c r="G99" s="4">
        <v>1E-3</v>
      </c>
      <c r="I99" s="4" t="s">
        <v>56</v>
      </c>
      <c r="J99" s="4">
        <v>0.9</v>
      </c>
      <c r="K99" s="4">
        <v>0.5</v>
      </c>
      <c r="L99" s="4">
        <v>0.6</v>
      </c>
      <c r="M99" s="4">
        <v>0.64</v>
      </c>
      <c r="N99" s="4">
        <v>526.87280299999998</v>
      </c>
      <c r="O99" s="4">
        <v>2.4E-2</v>
      </c>
      <c r="P99" s="5"/>
      <c r="Q99" s="5"/>
      <c r="R99" s="5"/>
      <c r="S99" s="5"/>
      <c r="U99" s="4" t="s">
        <v>56</v>
      </c>
      <c r="V99" s="4">
        <v>0.9</v>
      </c>
      <c r="W99" s="4">
        <v>0.5</v>
      </c>
      <c r="X99" s="4">
        <v>0.6</v>
      </c>
      <c r="Y99" s="4">
        <v>0.3</v>
      </c>
      <c r="Z99" s="6">
        <v>463.59741200000002</v>
      </c>
      <c r="AA99" s="4">
        <v>1E-3</v>
      </c>
      <c r="AC99" s="4" t="s">
        <v>56</v>
      </c>
      <c r="AD99" s="4">
        <v>0.9</v>
      </c>
      <c r="AE99" s="4">
        <v>0.5</v>
      </c>
      <c r="AF99" s="4">
        <v>0.6</v>
      </c>
      <c r="AG99" s="4">
        <v>0.21</v>
      </c>
      <c r="AH99" s="6">
        <v>463.59741200000002</v>
      </c>
      <c r="AI99" s="4">
        <v>1.7000000000000001E-2</v>
      </c>
      <c r="AJ99" s="5"/>
      <c r="AK99" s="5"/>
      <c r="AL99" s="5"/>
      <c r="AM99" s="5"/>
      <c r="AO99" s="4" t="s">
        <v>57</v>
      </c>
      <c r="AP99" s="4">
        <v>0.9</v>
      </c>
      <c r="AQ99" s="4">
        <v>0.5</v>
      </c>
      <c r="AR99" s="4">
        <v>0.6</v>
      </c>
      <c r="AS99" s="4">
        <v>0.3</v>
      </c>
      <c r="AT99" s="6">
        <v>931.31292699999995</v>
      </c>
      <c r="AU99" s="4">
        <v>4.0000000000000001E-3</v>
      </c>
      <c r="AW99" s="4" t="s">
        <v>57</v>
      </c>
      <c r="AX99" s="4">
        <v>0.9</v>
      </c>
      <c r="AY99" s="4">
        <v>0.5</v>
      </c>
      <c r="AZ99" s="4">
        <v>0.6</v>
      </c>
      <c r="BA99" s="4">
        <v>0.01</v>
      </c>
      <c r="BB99" s="4">
        <v>851.12493900000004</v>
      </c>
      <c r="BC99" s="4">
        <v>1.9E-2</v>
      </c>
      <c r="BD99" s="5"/>
      <c r="BE99" s="5"/>
      <c r="BF99" s="5"/>
      <c r="BG99" s="5"/>
      <c r="BI99" s="4" t="s">
        <v>57</v>
      </c>
      <c r="BJ99" s="4">
        <v>0.9</v>
      </c>
      <c r="BK99" s="4">
        <v>0.5</v>
      </c>
      <c r="BL99" s="4">
        <v>0.6</v>
      </c>
      <c r="BM99" s="4">
        <v>0.3</v>
      </c>
      <c r="BN99" s="4">
        <v>918.58239700000001</v>
      </c>
      <c r="BO99" s="4">
        <v>4.0000000000000001E-3</v>
      </c>
      <c r="BQ99" s="4" t="s">
        <v>57</v>
      </c>
      <c r="BR99" s="4">
        <v>0.9</v>
      </c>
      <c r="BS99" s="4">
        <v>0.5</v>
      </c>
      <c r="BT99" s="4">
        <v>0.6</v>
      </c>
      <c r="BU99" s="4">
        <v>0.18</v>
      </c>
      <c r="BV99" s="6">
        <v>897.13812299999995</v>
      </c>
      <c r="BW99" s="4">
        <v>2.1000000000000001E-2</v>
      </c>
      <c r="BX99" s="5"/>
      <c r="BY99" s="5"/>
      <c r="BZ99" s="5"/>
      <c r="CA99" s="5"/>
    </row>
    <row r="100" spans="1:79" x14ac:dyDescent="0.3">
      <c r="A100" s="4" t="s">
        <v>58</v>
      </c>
      <c r="B100" s="4">
        <v>0.9</v>
      </c>
      <c r="C100" s="4">
        <v>0.5</v>
      </c>
      <c r="D100" s="4">
        <v>0.6</v>
      </c>
      <c r="E100" s="4">
        <v>0.3</v>
      </c>
      <c r="F100" s="6">
        <v>476.776276</v>
      </c>
      <c r="G100" s="4">
        <v>1E-3</v>
      </c>
      <c r="I100" s="4" t="s">
        <v>58</v>
      </c>
      <c r="J100" s="4">
        <v>0.9</v>
      </c>
      <c r="K100" s="4">
        <v>0.5</v>
      </c>
      <c r="L100" s="4">
        <v>0.6</v>
      </c>
      <c r="M100" s="4">
        <v>0.74</v>
      </c>
      <c r="N100" s="4">
        <v>548.36456299999998</v>
      </c>
      <c r="O100" s="4">
        <v>8.9999999999999993E-3</v>
      </c>
      <c r="P100" s="5"/>
      <c r="Q100" s="5"/>
      <c r="R100" s="5"/>
      <c r="S100" s="5"/>
      <c r="U100" s="4" t="s">
        <v>58</v>
      </c>
      <c r="V100" s="4">
        <v>0.9</v>
      </c>
      <c r="W100" s="4">
        <v>0.5</v>
      </c>
      <c r="X100" s="4">
        <v>0.6</v>
      </c>
      <c r="Y100" s="4">
        <v>0.3</v>
      </c>
      <c r="Z100" s="6">
        <v>473.84387199999998</v>
      </c>
      <c r="AA100" s="4">
        <v>1E-3</v>
      </c>
      <c r="AC100" s="4" t="s">
        <v>58</v>
      </c>
      <c r="AD100" s="4">
        <v>0.9</v>
      </c>
      <c r="AE100" s="4">
        <v>0.5</v>
      </c>
      <c r="AF100" s="4">
        <v>0.6</v>
      </c>
      <c r="AG100" s="4">
        <v>0.37</v>
      </c>
      <c r="AH100" s="4">
        <v>489.24707000000001</v>
      </c>
      <c r="AI100" s="4">
        <v>3.2000000000000001E-2</v>
      </c>
      <c r="AJ100" s="5"/>
      <c r="AK100" s="5"/>
      <c r="AL100" s="5"/>
      <c r="AM100" s="5"/>
      <c r="AO100" s="4" t="s">
        <v>59</v>
      </c>
      <c r="AP100" s="4">
        <v>0.9</v>
      </c>
      <c r="AQ100" s="4">
        <v>0.5</v>
      </c>
      <c r="AR100" s="4">
        <v>0.6</v>
      </c>
      <c r="AS100" s="4">
        <v>0.3</v>
      </c>
      <c r="AT100" s="4">
        <v>864.55249000000003</v>
      </c>
      <c r="AU100" s="4">
        <v>4.0000000000000001E-3</v>
      </c>
      <c r="AW100" s="4" t="s">
        <v>59</v>
      </c>
      <c r="AX100" s="4">
        <v>0.9</v>
      </c>
      <c r="AY100" s="4">
        <v>0.5</v>
      </c>
      <c r="AZ100" s="4">
        <v>0.6</v>
      </c>
      <c r="BA100" s="4">
        <v>0.14000000000000001</v>
      </c>
      <c r="BB100" s="6">
        <v>779.65606700000001</v>
      </c>
      <c r="BC100" s="4">
        <v>1.2999999999999999E-2</v>
      </c>
      <c r="BD100" s="5"/>
      <c r="BE100" s="5"/>
      <c r="BF100" s="5"/>
      <c r="BG100" s="5"/>
      <c r="BI100" s="4" t="s">
        <v>59</v>
      </c>
      <c r="BJ100" s="4">
        <v>0.9</v>
      </c>
      <c r="BK100" s="4">
        <v>0.5</v>
      </c>
      <c r="BL100" s="4">
        <v>0.6</v>
      </c>
      <c r="BM100" s="4">
        <v>0.3</v>
      </c>
      <c r="BN100" s="6">
        <v>848.355591</v>
      </c>
      <c r="BO100" s="4">
        <v>4.0000000000000001E-3</v>
      </c>
      <c r="BQ100" s="4" t="s">
        <v>59</v>
      </c>
      <c r="BR100" s="4">
        <v>0.9</v>
      </c>
      <c r="BS100" s="4">
        <v>0.5</v>
      </c>
      <c r="BT100" s="4">
        <v>0.6</v>
      </c>
      <c r="BU100" s="4">
        <v>0.84</v>
      </c>
      <c r="BV100" s="4">
        <v>1075.179443</v>
      </c>
      <c r="BW100" s="4">
        <v>1.4999999999999999E-2</v>
      </c>
      <c r="BX100" s="5"/>
      <c r="BY100" s="5"/>
      <c r="BZ100" s="5"/>
      <c r="CA100" s="5"/>
    </row>
    <row r="101" spans="1:79" x14ac:dyDescent="0.3">
      <c r="A101" s="4" t="s">
        <v>60</v>
      </c>
      <c r="B101" s="4">
        <v>0.9</v>
      </c>
      <c r="C101" s="4">
        <v>0.5</v>
      </c>
      <c r="D101" s="4">
        <v>0.6</v>
      </c>
      <c r="E101" s="4">
        <v>0.3</v>
      </c>
      <c r="F101" s="4">
        <v>584.81042500000001</v>
      </c>
      <c r="G101" s="4">
        <v>1E-3</v>
      </c>
      <c r="I101" s="4" t="s">
        <v>60</v>
      </c>
      <c r="J101" s="4">
        <v>0.9</v>
      </c>
      <c r="K101" s="4">
        <v>0.5</v>
      </c>
      <c r="L101" s="4">
        <v>0.6</v>
      </c>
      <c r="M101" s="4">
        <v>0.23</v>
      </c>
      <c r="N101" s="6">
        <v>577.06536900000003</v>
      </c>
      <c r="O101" s="4">
        <v>0.02</v>
      </c>
      <c r="P101" s="5"/>
      <c r="Q101" s="5"/>
      <c r="R101" s="5"/>
      <c r="S101" s="5"/>
      <c r="U101" s="4" t="s">
        <v>60</v>
      </c>
      <c r="V101" s="4">
        <v>0.9</v>
      </c>
      <c r="W101" s="4">
        <v>0.5</v>
      </c>
      <c r="X101" s="4">
        <v>0.6</v>
      </c>
      <c r="Y101" s="4">
        <v>0.3</v>
      </c>
      <c r="Z101" s="6">
        <v>585.15905799999996</v>
      </c>
      <c r="AA101" s="4">
        <v>1E-3</v>
      </c>
      <c r="AC101" s="4" t="s">
        <v>60</v>
      </c>
      <c r="AD101" s="4">
        <v>0.9</v>
      </c>
      <c r="AE101" s="4">
        <v>0.5</v>
      </c>
      <c r="AF101" s="4">
        <v>0.6</v>
      </c>
      <c r="AG101" s="4">
        <v>0.67</v>
      </c>
      <c r="AH101" s="4">
        <v>603.24285899999995</v>
      </c>
      <c r="AI101" s="4">
        <v>2.1999999999999999E-2</v>
      </c>
      <c r="AJ101" s="5"/>
      <c r="AK101" s="5"/>
      <c r="AL101" s="5"/>
      <c r="AM101" s="5"/>
      <c r="AO101" s="4" t="s">
        <v>61</v>
      </c>
      <c r="AP101" s="4">
        <v>0.9</v>
      </c>
      <c r="AQ101" s="4">
        <v>0.5</v>
      </c>
      <c r="AR101" s="4">
        <v>0.6</v>
      </c>
      <c r="AS101" s="4">
        <v>0.3</v>
      </c>
      <c r="AT101" s="6">
        <v>991.61114499999996</v>
      </c>
      <c r="AU101" s="4">
        <v>4.0000000000000001E-3</v>
      </c>
      <c r="AW101" s="4" t="s">
        <v>61</v>
      </c>
      <c r="AX101" s="4">
        <v>0.9</v>
      </c>
      <c r="AY101" s="4">
        <v>0.5</v>
      </c>
      <c r="AZ101" s="4">
        <v>0.6</v>
      </c>
      <c r="BA101" s="4">
        <v>0.42</v>
      </c>
      <c r="BB101" s="4">
        <v>1070.9392089999999</v>
      </c>
      <c r="BC101" s="4">
        <v>0.03</v>
      </c>
      <c r="BD101" s="5"/>
      <c r="BE101" s="5"/>
      <c r="BF101" s="5"/>
      <c r="BG101" s="5"/>
      <c r="BI101" s="4" t="s">
        <v>61</v>
      </c>
      <c r="BJ101" s="4">
        <v>0.9</v>
      </c>
      <c r="BK101" s="4">
        <v>0.5</v>
      </c>
      <c r="BL101" s="4">
        <v>0.6</v>
      </c>
      <c r="BM101" s="4">
        <v>0.3</v>
      </c>
      <c r="BN101" s="6">
        <v>993.267517</v>
      </c>
      <c r="BO101" s="4">
        <v>5.0000000000000001E-3</v>
      </c>
      <c r="BQ101" s="4" t="s">
        <v>61</v>
      </c>
      <c r="BR101" s="4">
        <v>0.9</v>
      </c>
      <c r="BS101" s="4">
        <v>0.5</v>
      </c>
      <c r="BT101" s="4">
        <v>0.6</v>
      </c>
      <c r="BU101" s="4">
        <v>0.91</v>
      </c>
      <c r="BV101" s="4">
        <v>1240.221436</v>
      </c>
      <c r="BW101" s="4">
        <v>1.2999999999999999E-2</v>
      </c>
      <c r="BX101" s="5"/>
      <c r="BY101" s="5"/>
      <c r="BZ101" s="5"/>
      <c r="CA101" s="5"/>
    </row>
    <row r="102" spans="1:79" x14ac:dyDescent="0.3">
      <c r="A102" s="4" t="s">
        <v>62</v>
      </c>
      <c r="B102" s="4">
        <v>0.9</v>
      </c>
      <c r="C102" s="4">
        <v>0.5</v>
      </c>
      <c r="D102" s="4">
        <v>0.6</v>
      </c>
      <c r="E102" s="4">
        <v>0.3</v>
      </c>
      <c r="F102" s="6">
        <v>399.97909499999997</v>
      </c>
      <c r="G102" s="4">
        <v>0</v>
      </c>
      <c r="I102" s="4" t="s">
        <v>62</v>
      </c>
      <c r="J102" s="4">
        <v>0.9</v>
      </c>
      <c r="K102" s="4">
        <v>0.5</v>
      </c>
      <c r="L102" s="4">
        <v>0.6</v>
      </c>
      <c r="M102" s="4">
        <v>0.64</v>
      </c>
      <c r="N102" s="4">
        <v>422.68566900000002</v>
      </c>
      <c r="O102" s="4">
        <v>1.4999999999999999E-2</v>
      </c>
      <c r="P102" s="5"/>
      <c r="Q102" s="5"/>
      <c r="R102" s="5"/>
      <c r="S102" s="5"/>
      <c r="U102" s="4" t="s">
        <v>62</v>
      </c>
      <c r="V102" s="4">
        <v>0.9</v>
      </c>
      <c r="W102" s="4">
        <v>0.5</v>
      </c>
      <c r="X102" s="4">
        <v>0.6</v>
      </c>
      <c r="Y102" s="4">
        <v>0.3</v>
      </c>
      <c r="Z102" s="6">
        <v>396.15759300000002</v>
      </c>
      <c r="AA102" s="4">
        <v>0</v>
      </c>
      <c r="AC102" s="4" t="s">
        <v>62</v>
      </c>
      <c r="AD102" s="4">
        <v>0.9</v>
      </c>
      <c r="AE102" s="4">
        <v>0.5</v>
      </c>
      <c r="AF102" s="4">
        <v>0.6</v>
      </c>
      <c r="AG102" s="4">
        <v>0.46</v>
      </c>
      <c r="AH102" s="4">
        <v>398.00112899999999</v>
      </c>
      <c r="AI102" s="4">
        <v>2.8000000000000001E-2</v>
      </c>
      <c r="AJ102" s="5"/>
      <c r="AK102" s="5"/>
      <c r="AL102" s="5"/>
      <c r="AM102" s="5"/>
      <c r="AO102" s="4" t="s">
        <v>63</v>
      </c>
      <c r="AP102" s="4">
        <v>0.9</v>
      </c>
      <c r="AQ102" s="4">
        <v>0.5</v>
      </c>
      <c r="AR102" s="4">
        <v>0.6</v>
      </c>
      <c r="AS102" s="4">
        <v>0.3</v>
      </c>
      <c r="AT102" s="6">
        <v>965.622253</v>
      </c>
      <c r="AU102" s="4">
        <v>5.0000000000000001E-3</v>
      </c>
      <c r="AW102" s="4" t="s">
        <v>63</v>
      </c>
      <c r="AX102" s="4">
        <v>0.9</v>
      </c>
      <c r="AY102" s="4">
        <v>0.5</v>
      </c>
      <c r="AZ102" s="4">
        <v>0.6</v>
      </c>
      <c r="BA102" s="4">
        <v>0.38</v>
      </c>
      <c r="BB102" s="4">
        <v>1022.923523</v>
      </c>
      <c r="BC102" s="4">
        <v>1.2999999999999999E-2</v>
      </c>
      <c r="BD102" s="5"/>
      <c r="BE102" s="5"/>
      <c r="BF102" s="5"/>
      <c r="BG102" s="5"/>
      <c r="BI102" s="4" t="s">
        <v>63</v>
      </c>
      <c r="BJ102" s="4">
        <v>0.9</v>
      </c>
      <c r="BK102" s="4">
        <v>0.5</v>
      </c>
      <c r="BL102" s="4">
        <v>0.6</v>
      </c>
      <c r="BM102" s="4">
        <v>0.3</v>
      </c>
      <c r="BN102" s="6">
        <v>967.06951900000001</v>
      </c>
      <c r="BO102" s="4">
        <v>6.0000000000000001E-3</v>
      </c>
      <c r="BQ102" s="4" t="s">
        <v>63</v>
      </c>
      <c r="BR102" s="4">
        <v>0.9</v>
      </c>
      <c r="BS102" s="4">
        <v>0.5</v>
      </c>
      <c r="BT102" s="4">
        <v>0.6</v>
      </c>
      <c r="BU102" s="4">
        <v>0.9</v>
      </c>
      <c r="BV102" s="4">
        <v>1120.2742920000001</v>
      </c>
      <c r="BW102" s="4">
        <v>2.1999999999999999E-2</v>
      </c>
      <c r="BX102" s="5"/>
      <c r="BY102" s="5"/>
      <c r="BZ102" s="5"/>
      <c r="CA102" s="5"/>
    </row>
    <row r="103" spans="1:79" x14ac:dyDescent="0.3">
      <c r="A103" s="4" t="s">
        <v>64</v>
      </c>
      <c r="B103" s="4">
        <v>0.9</v>
      </c>
      <c r="C103" s="4">
        <v>0.5</v>
      </c>
      <c r="D103" s="4">
        <v>0.6</v>
      </c>
      <c r="E103" s="4">
        <v>0.3</v>
      </c>
      <c r="F103" s="6">
        <v>559.56286599999999</v>
      </c>
      <c r="G103" s="4">
        <v>1E-3</v>
      </c>
      <c r="I103" s="4" t="s">
        <v>64</v>
      </c>
      <c r="J103" s="4">
        <v>0.9</v>
      </c>
      <c r="K103" s="4">
        <v>0.5</v>
      </c>
      <c r="L103" s="4">
        <v>0.6</v>
      </c>
      <c r="M103" s="4">
        <v>0.01</v>
      </c>
      <c r="N103" s="4">
        <v>638.30169699999999</v>
      </c>
      <c r="O103" s="4">
        <v>1.6E-2</v>
      </c>
      <c r="P103" s="5"/>
      <c r="Q103" s="5"/>
      <c r="R103" s="5"/>
      <c r="S103" s="5"/>
      <c r="U103" s="4" t="s">
        <v>64</v>
      </c>
      <c r="V103" s="4">
        <v>0.9</v>
      </c>
      <c r="W103" s="4">
        <v>0.5</v>
      </c>
      <c r="X103" s="4">
        <v>0.6</v>
      </c>
      <c r="Y103" s="4">
        <v>0.3</v>
      </c>
      <c r="Z103" s="6">
        <v>558.28326400000003</v>
      </c>
      <c r="AA103" s="4">
        <v>1E-3</v>
      </c>
      <c r="AC103" s="4" t="s">
        <v>64</v>
      </c>
      <c r="AD103" s="4">
        <v>0.9</v>
      </c>
      <c r="AE103" s="4">
        <v>0.5</v>
      </c>
      <c r="AF103" s="4">
        <v>0.6</v>
      </c>
      <c r="AG103" s="4">
        <v>0.71</v>
      </c>
      <c r="AH103" s="4">
        <v>600.43170199999997</v>
      </c>
      <c r="AI103" s="4">
        <v>1.4E-2</v>
      </c>
      <c r="AJ103" s="5"/>
      <c r="AK103" s="5"/>
      <c r="AL103" s="5"/>
      <c r="AM103" s="5"/>
      <c r="AO103" s="4" t="s">
        <v>65</v>
      </c>
      <c r="AP103" s="4">
        <v>0.9</v>
      </c>
      <c r="AQ103" s="4">
        <v>0.5</v>
      </c>
      <c r="AR103" s="4">
        <v>0.6</v>
      </c>
      <c r="AS103" s="4">
        <v>0.3</v>
      </c>
      <c r="AT103" s="6">
        <v>901.65093999999999</v>
      </c>
      <c r="AU103" s="4">
        <v>5.0000000000000001E-3</v>
      </c>
      <c r="AW103" s="4" t="s">
        <v>65</v>
      </c>
      <c r="AX103" s="4">
        <v>0.9</v>
      </c>
      <c r="AY103" s="4">
        <v>0.5</v>
      </c>
      <c r="AZ103" s="4">
        <v>0.6</v>
      </c>
      <c r="BA103" s="4">
        <v>0.96</v>
      </c>
      <c r="BB103" s="4">
        <v>1169.184448</v>
      </c>
      <c r="BC103" s="4">
        <v>2.4E-2</v>
      </c>
      <c r="BD103" s="5"/>
      <c r="BE103" s="5"/>
      <c r="BF103" s="5"/>
      <c r="BG103" s="5"/>
      <c r="BI103" s="4" t="s">
        <v>65</v>
      </c>
      <c r="BJ103" s="4">
        <v>0.9</v>
      </c>
      <c r="BK103" s="4">
        <v>0.5</v>
      </c>
      <c r="BL103" s="4">
        <v>0.6</v>
      </c>
      <c r="BM103" s="4">
        <v>0.3</v>
      </c>
      <c r="BN103" s="4">
        <v>895.64355499999999</v>
      </c>
      <c r="BO103" s="4">
        <v>4.0000000000000001E-3</v>
      </c>
      <c r="BQ103" s="4" t="s">
        <v>65</v>
      </c>
      <c r="BR103" s="4">
        <v>0.9</v>
      </c>
      <c r="BS103" s="4">
        <v>0.5</v>
      </c>
      <c r="BT103" s="4">
        <v>0.6</v>
      </c>
      <c r="BU103" s="4">
        <v>0.13</v>
      </c>
      <c r="BV103" s="6">
        <v>839.36181599999998</v>
      </c>
      <c r="BW103" s="4">
        <v>2.1000000000000001E-2</v>
      </c>
      <c r="BX103" s="5"/>
      <c r="BY103" s="5"/>
      <c r="BZ103" s="5"/>
      <c r="CA103" s="5"/>
    </row>
    <row r="104" spans="1:79" x14ac:dyDescent="0.3">
      <c r="A104" s="4" t="s">
        <v>66</v>
      </c>
      <c r="B104" s="4">
        <v>0.9</v>
      </c>
      <c r="C104" s="4">
        <v>0.5</v>
      </c>
      <c r="D104" s="4">
        <v>0.6</v>
      </c>
      <c r="E104" s="4">
        <v>0.3</v>
      </c>
      <c r="F104" s="6">
        <v>510.85406499999999</v>
      </c>
      <c r="G104" s="4">
        <v>1E-3</v>
      </c>
      <c r="I104" s="4" t="s">
        <v>66</v>
      </c>
      <c r="J104" s="4">
        <v>0.9</v>
      </c>
      <c r="K104" s="4">
        <v>0.5</v>
      </c>
      <c r="L104" s="4">
        <v>0.6</v>
      </c>
      <c r="M104" s="4">
        <v>0.61</v>
      </c>
      <c r="N104" s="4">
        <v>561.53582800000004</v>
      </c>
      <c r="O104" s="4">
        <v>1.2E-2</v>
      </c>
      <c r="P104" s="5"/>
      <c r="Q104" s="5"/>
      <c r="R104" s="5"/>
      <c r="S104" s="5"/>
      <c r="U104" s="4" t="s">
        <v>66</v>
      </c>
      <c r="V104" s="4">
        <v>0.9</v>
      </c>
      <c r="W104" s="4">
        <v>0.5</v>
      </c>
      <c r="X104" s="4">
        <v>0.6</v>
      </c>
      <c r="Y104" s="4">
        <v>0.3</v>
      </c>
      <c r="Z104" s="6">
        <v>505.31863399999997</v>
      </c>
      <c r="AA104" s="4">
        <v>0</v>
      </c>
      <c r="AC104" s="4" t="s">
        <v>66</v>
      </c>
      <c r="AD104" s="4">
        <v>0.9</v>
      </c>
      <c r="AE104" s="4">
        <v>0.5</v>
      </c>
      <c r="AF104" s="4">
        <v>0.6</v>
      </c>
      <c r="AG104" s="4">
        <v>0.55000000000000004</v>
      </c>
      <c r="AH104" s="4">
        <v>556.18225099999995</v>
      </c>
      <c r="AI104" s="4">
        <v>1.2999999999999999E-2</v>
      </c>
      <c r="AJ104" s="5"/>
      <c r="AK104" s="5"/>
      <c r="AL104" s="5"/>
      <c r="AM104" s="5"/>
      <c r="AO104" s="4" t="s">
        <v>67</v>
      </c>
      <c r="AP104" s="4">
        <v>0.9</v>
      </c>
      <c r="AQ104" s="4">
        <v>0.5</v>
      </c>
      <c r="AR104" s="4">
        <v>0.6</v>
      </c>
      <c r="AS104" s="4">
        <v>0.3</v>
      </c>
      <c r="AT104" s="6">
        <v>945.85308799999996</v>
      </c>
      <c r="AU104" s="4">
        <v>4.0000000000000001E-3</v>
      </c>
      <c r="AW104" s="4" t="s">
        <v>67</v>
      </c>
      <c r="AX104" s="4">
        <v>0.9</v>
      </c>
      <c r="AY104" s="4">
        <v>0.5</v>
      </c>
      <c r="AZ104" s="4">
        <v>0.6</v>
      </c>
      <c r="BA104" s="4">
        <v>0.84</v>
      </c>
      <c r="BB104" s="4">
        <v>1190.889404</v>
      </c>
      <c r="BC104" s="4">
        <v>2.4E-2</v>
      </c>
      <c r="BD104" s="5"/>
      <c r="BE104" s="5"/>
      <c r="BF104" s="5"/>
      <c r="BG104" s="5"/>
      <c r="BI104" s="4" t="s">
        <v>67</v>
      </c>
      <c r="BJ104" s="4">
        <v>0.9</v>
      </c>
      <c r="BK104" s="4">
        <v>0.5</v>
      </c>
      <c r="BL104" s="4">
        <v>0.6</v>
      </c>
      <c r="BM104" s="4">
        <v>0.3</v>
      </c>
      <c r="BN104" s="6">
        <v>954.73718299999996</v>
      </c>
      <c r="BO104" s="4">
        <v>5.0000000000000001E-3</v>
      </c>
      <c r="BQ104" s="4" t="s">
        <v>67</v>
      </c>
      <c r="BR104" s="4">
        <v>0.9</v>
      </c>
      <c r="BS104" s="4">
        <v>0.5</v>
      </c>
      <c r="BT104" s="4">
        <v>0.6</v>
      </c>
      <c r="BU104" s="4">
        <v>0.3</v>
      </c>
      <c r="BV104" s="4">
        <v>987.64025900000001</v>
      </c>
      <c r="BW104" s="4">
        <v>1.4999999999999999E-2</v>
      </c>
      <c r="BX104" s="5"/>
      <c r="BY104" s="5"/>
      <c r="BZ104" s="5"/>
      <c r="CA104" s="5"/>
    </row>
    <row r="105" spans="1:79" x14ac:dyDescent="0.3">
      <c r="A105" s="4" t="s">
        <v>68</v>
      </c>
      <c r="B105" s="4">
        <v>0.9</v>
      </c>
      <c r="C105" s="4">
        <v>0.5</v>
      </c>
      <c r="D105" s="4">
        <v>0.6</v>
      </c>
      <c r="E105" s="4">
        <v>0.3</v>
      </c>
      <c r="F105" s="6">
        <v>400.58245799999997</v>
      </c>
      <c r="G105" s="4">
        <v>1E-3</v>
      </c>
      <c r="I105" s="4" t="s">
        <v>68</v>
      </c>
      <c r="J105" s="4">
        <v>0.9</v>
      </c>
      <c r="K105" s="4">
        <v>0.5</v>
      </c>
      <c r="L105" s="4">
        <v>0.6</v>
      </c>
      <c r="M105" s="4">
        <v>0.84</v>
      </c>
      <c r="N105" s="4">
        <v>419.298157</v>
      </c>
      <c r="O105" s="4">
        <v>1.4999999999999999E-2</v>
      </c>
      <c r="P105" s="5"/>
      <c r="Q105" s="5"/>
      <c r="R105" s="5"/>
      <c r="S105" s="5"/>
      <c r="U105" s="4" t="s">
        <v>68</v>
      </c>
      <c r="V105" s="4">
        <v>0.9</v>
      </c>
      <c r="W105" s="4">
        <v>0.5</v>
      </c>
      <c r="X105" s="4">
        <v>0.6</v>
      </c>
      <c r="Y105" s="4">
        <v>0.3</v>
      </c>
      <c r="Z105" s="6">
        <v>397.147064</v>
      </c>
      <c r="AA105" s="4">
        <v>0</v>
      </c>
      <c r="AC105" s="4" t="s">
        <v>68</v>
      </c>
      <c r="AD105" s="4">
        <v>0.9</v>
      </c>
      <c r="AE105" s="4">
        <v>0.5</v>
      </c>
      <c r="AF105" s="4">
        <v>0.6</v>
      </c>
      <c r="AG105" s="4">
        <v>0.22</v>
      </c>
      <c r="AH105" s="8">
        <v>397.25357100000002</v>
      </c>
      <c r="AI105" s="4">
        <v>1.4E-2</v>
      </c>
      <c r="AJ105" s="5"/>
      <c r="AK105" s="5"/>
      <c r="AL105" s="5"/>
      <c r="AM105" s="5"/>
      <c r="AO105" s="4" t="s">
        <v>69</v>
      </c>
      <c r="AP105" s="4">
        <v>0.9</v>
      </c>
      <c r="AQ105" s="4">
        <v>0.5</v>
      </c>
      <c r="AR105" s="4">
        <v>0.6</v>
      </c>
      <c r="AS105" s="4">
        <v>0.3</v>
      </c>
      <c r="AT105" s="4">
        <v>970.48126200000002</v>
      </c>
      <c r="AU105" s="4">
        <v>4.0000000000000001E-3</v>
      </c>
      <c r="AW105" s="4" t="s">
        <v>69</v>
      </c>
      <c r="AX105" s="4">
        <v>0.9</v>
      </c>
      <c r="AY105" s="4">
        <v>0.5</v>
      </c>
      <c r="AZ105" s="4">
        <v>0.6</v>
      </c>
      <c r="BA105" s="4">
        <v>0.28000000000000003</v>
      </c>
      <c r="BB105" s="6">
        <v>966.15905799999996</v>
      </c>
      <c r="BC105" s="4">
        <v>0.02</v>
      </c>
      <c r="BD105" s="5"/>
      <c r="BE105" s="5"/>
      <c r="BF105" s="5"/>
      <c r="BG105" s="5"/>
      <c r="BI105" s="4" t="s">
        <v>69</v>
      </c>
      <c r="BJ105" s="4">
        <v>0.9</v>
      </c>
      <c r="BK105" s="4">
        <v>0.5</v>
      </c>
      <c r="BL105" s="4">
        <v>0.6</v>
      </c>
      <c r="BM105" s="4">
        <v>0.3</v>
      </c>
      <c r="BN105" s="6">
        <v>968.88391100000001</v>
      </c>
      <c r="BO105" s="4">
        <v>5.0000000000000001E-3</v>
      </c>
      <c r="BQ105" s="4" t="s">
        <v>69</v>
      </c>
      <c r="BR105" s="4">
        <v>0.9</v>
      </c>
      <c r="BS105" s="4">
        <v>0.5</v>
      </c>
      <c r="BT105" s="4">
        <v>0.6</v>
      </c>
      <c r="BU105" s="4">
        <v>0.95</v>
      </c>
      <c r="BV105" s="4">
        <v>1211.4580080000001</v>
      </c>
      <c r="BW105" s="4">
        <v>0.01</v>
      </c>
      <c r="BX105" s="5"/>
      <c r="BY105" s="5"/>
      <c r="BZ105" s="5"/>
      <c r="CA105" s="5"/>
    </row>
    <row r="106" spans="1:79" x14ac:dyDescent="0.3">
      <c r="A106" s="14" t="s">
        <v>316</v>
      </c>
      <c r="E106" s="14">
        <f>AVERAGE(E76:E105)</f>
        <v>0.3</v>
      </c>
      <c r="I106" s="14" t="s">
        <v>316</v>
      </c>
      <c r="M106" s="14">
        <f>AVERAGE(M76:M105)</f>
        <v>0.47933333333333328</v>
      </c>
      <c r="U106" s="14" t="s">
        <v>316</v>
      </c>
      <c r="Y106" s="14">
        <f>AVERAGE(Y76:Y105)</f>
        <v>0.3</v>
      </c>
      <c r="AC106" s="4" t="s">
        <v>316</v>
      </c>
      <c r="AG106" s="4">
        <f>AVERAGE(AG76:AG105)</f>
        <v>0.51800000000000013</v>
      </c>
      <c r="AO106" s="14" t="s">
        <v>316</v>
      </c>
      <c r="AS106" s="14">
        <f>AVERAGE(AS76:AS105)</f>
        <v>0.3</v>
      </c>
      <c r="AW106" s="14" t="s">
        <v>316</v>
      </c>
      <c r="BA106" s="14">
        <f>AVERAGE(BA76:BA105)</f>
        <v>0.45633333333333331</v>
      </c>
      <c r="BI106" s="14" t="s">
        <v>316</v>
      </c>
      <c r="BM106" s="14">
        <f>AVERAGE(BM76:BM105)</f>
        <v>0.3</v>
      </c>
      <c r="BQ106" s="14" t="s">
        <v>316</v>
      </c>
      <c r="BU106" s="14">
        <f>AVERAGE(BU76:BU105)</f>
        <v>0.44066666666666676</v>
      </c>
    </row>
    <row r="107" spans="1:79" s="1" customFormat="1" x14ac:dyDescent="0.3"/>
    <row r="108" spans="1:79" x14ac:dyDescent="0.3">
      <c r="A108" s="23" t="s">
        <v>314</v>
      </c>
      <c r="B108" s="23"/>
      <c r="C108" s="23"/>
      <c r="D108" s="23"/>
      <c r="E108" s="23"/>
      <c r="F108" s="23"/>
      <c r="G108" s="23"/>
      <c r="I108" s="24" t="s">
        <v>314</v>
      </c>
      <c r="J108" s="25"/>
      <c r="K108" s="25"/>
      <c r="L108" s="25"/>
      <c r="M108" s="25"/>
      <c r="N108" s="25"/>
      <c r="O108" s="26"/>
      <c r="P108" s="11"/>
      <c r="Q108" s="11"/>
      <c r="R108" s="11"/>
      <c r="S108" s="11"/>
      <c r="U108" s="23" t="s">
        <v>314</v>
      </c>
      <c r="V108" s="23"/>
      <c r="W108" s="23"/>
      <c r="X108" s="23"/>
      <c r="Y108" s="23"/>
      <c r="Z108" s="23"/>
      <c r="AA108" s="23"/>
      <c r="AC108" s="24" t="s">
        <v>314</v>
      </c>
      <c r="AD108" s="25"/>
      <c r="AE108" s="25"/>
      <c r="AF108" s="25"/>
      <c r="AG108" s="25"/>
      <c r="AH108" s="25"/>
      <c r="AI108" s="26"/>
      <c r="AJ108" s="11"/>
      <c r="AK108" s="11"/>
      <c r="AL108" s="11"/>
      <c r="AM108" s="11"/>
      <c r="AO108" s="23" t="s">
        <v>314</v>
      </c>
      <c r="AP108" s="23"/>
      <c r="AQ108" s="23"/>
      <c r="AR108" s="23"/>
      <c r="AS108" s="23"/>
      <c r="AT108" s="23"/>
      <c r="AU108" s="23"/>
      <c r="AW108" s="24" t="s">
        <v>314</v>
      </c>
      <c r="AX108" s="25"/>
      <c r="AY108" s="25"/>
      <c r="AZ108" s="25"/>
      <c r="BA108" s="25"/>
      <c r="BB108" s="25"/>
      <c r="BC108" s="26"/>
      <c r="BD108" s="11"/>
      <c r="BE108" s="11"/>
      <c r="BF108" s="11"/>
      <c r="BG108" s="11"/>
      <c r="BI108" s="23" t="s">
        <v>314</v>
      </c>
      <c r="BJ108" s="23"/>
      <c r="BK108" s="23"/>
      <c r="BL108" s="23"/>
      <c r="BM108" s="23"/>
      <c r="BN108" s="23"/>
      <c r="BO108" s="23"/>
      <c r="BQ108" s="24" t="s">
        <v>314</v>
      </c>
      <c r="BR108" s="25"/>
      <c r="BS108" s="25"/>
      <c r="BT108" s="25"/>
      <c r="BU108" s="25"/>
      <c r="BV108" s="25"/>
      <c r="BW108" s="26"/>
      <c r="BX108" s="11"/>
      <c r="BY108" s="11"/>
      <c r="BZ108" s="11"/>
      <c r="CA108" s="11"/>
    </row>
    <row r="109" spans="1:79" x14ac:dyDescent="0.3">
      <c r="A109" s="24" t="s">
        <v>0</v>
      </c>
      <c r="B109" s="25"/>
      <c r="C109" s="25"/>
      <c r="D109" s="25"/>
      <c r="E109" s="25"/>
      <c r="F109" s="25"/>
      <c r="G109" s="26"/>
      <c r="I109" s="4" t="s">
        <v>0</v>
      </c>
      <c r="J109" s="4"/>
      <c r="K109" s="4"/>
      <c r="L109" s="4"/>
      <c r="M109" s="4"/>
      <c r="N109" s="4"/>
      <c r="O109" s="4"/>
      <c r="P109" s="11"/>
      <c r="Q109" s="11"/>
      <c r="R109" s="11"/>
      <c r="S109" s="11"/>
      <c r="U109" s="4" t="s">
        <v>1</v>
      </c>
      <c r="V109" s="4"/>
      <c r="W109" s="4"/>
      <c r="X109" s="4"/>
      <c r="Y109" s="4"/>
      <c r="Z109" s="4"/>
      <c r="AA109" s="4"/>
      <c r="AC109" s="4" t="s">
        <v>1</v>
      </c>
      <c r="AD109" s="4"/>
      <c r="AE109" s="4"/>
      <c r="AF109" s="4"/>
      <c r="AG109" s="4"/>
      <c r="AH109" s="4"/>
      <c r="AI109" s="4"/>
      <c r="AJ109" s="11"/>
      <c r="AK109" s="11"/>
      <c r="AL109" s="11"/>
      <c r="AM109" s="11"/>
      <c r="AO109" s="4" t="s">
        <v>0</v>
      </c>
      <c r="AP109" s="4"/>
      <c r="AQ109" s="4"/>
      <c r="AR109" s="4"/>
      <c r="AS109" s="4"/>
      <c r="AT109" s="4"/>
      <c r="AU109" s="4"/>
      <c r="AW109" s="4" t="s">
        <v>0</v>
      </c>
      <c r="AX109" s="4"/>
      <c r="AY109" s="4"/>
      <c r="AZ109" s="4"/>
      <c r="BA109" s="4"/>
      <c r="BB109" s="4"/>
      <c r="BC109" s="4"/>
      <c r="BD109" s="11"/>
      <c r="BE109" s="11"/>
      <c r="BF109" s="11"/>
      <c r="BG109" s="11"/>
      <c r="BI109" s="4" t="s">
        <v>1</v>
      </c>
      <c r="BJ109" s="4"/>
      <c r="BK109" s="4"/>
      <c r="BL109" s="4"/>
      <c r="BM109" s="4"/>
      <c r="BN109" s="4"/>
      <c r="BO109" s="4"/>
      <c r="BQ109" s="4" t="s">
        <v>1</v>
      </c>
      <c r="BR109" s="4"/>
      <c r="BS109" s="4"/>
      <c r="BT109" s="4"/>
      <c r="BU109" s="4"/>
      <c r="BV109" s="4"/>
      <c r="BW109" s="4"/>
      <c r="BX109" s="11"/>
      <c r="BY109" s="11"/>
      <c r="BZ109" s="11"/>
      <c r="CA109" s="11"/>
    </row>
    <row r="110" spans="1:79" x14ac:dyDescent="0.3">
      <c r="A110" s="4" t="s">
        <v>2</v>
      </c>
      <c r="B110" s="4" t="s">
        <v>3</v>
      </c>
      <c r="C110" s="4" t="s">
        <v>4</v>
      </c>
      <c r="D110" s="4" t="s">
        <v>5</v>
      </c>
      <c r="E110" s="4" t="s">
        <v>6</v>
      </c>
      <c r="F110" s="4" t="s">
        <v>7</v>
      </c>
      <c r="G110" s="4" t="s">
        <v>8</v>
      </c>
      <c r="I110" s="4" t="s">
        <v>2</v>
      </c>
      <c r="J110" s="4" t="s">
        <v>3</v>
      </c>
      <c r="K110" s="4" t="s">
        <v>4</v>
      </c>
      <c r="L110" s="4" t="s">
        <v>5</v>
      </c>
      <c r="M110" s="4" t="s">
        <v>6</v>
      </c>
      <c r="N110" s="4" t="s">
        <v>7</v>
      </c>
      <c r="O110" s="4" t="s">
        <v>8</v>
      </c>
      <c r="P110" s="3" t="s">
        <v>322</v>
      </c>
      <c r="Q110" s="3" t="s">
        <v>323</v>
      </c>
      <c r="R110" s="3" t="s">
        <v>322</v>
      </c>
      <c r="S110" s="3" t="s">
        <v>323</v>
      </c>
      <c r="U110" s="4" t="s">
        <v>2</v>
      </c>
      <c r="V110" s="4" t="s">
        <v>3</v>
      </c>
      <c r="W110" s="4" t="s">
        <v>4</v>
      </c>
      <c r="X110" s="4" t="s">
        <v>5</v>
      </c>
      <c r="Y110" s="4" t="s">
        <v>6</v>
      </c>
      <c r="Z110" s="4" t="s">
        <v>7</v>
      </c>
      <c r="AA110" s="4" t="s">
        <v>8</v>
      </c>
      <c r="AC110" s="4" t="s">
        <v>2</v>
      </c>
      <c r="AD110" s="4" t="s">
        <v>3</v>
      </c>
      <c r="AE110" s="4" t="s">
        <v>4</v>
      </c>
      <c r="AF110" s="4" t="s">
        <v>5</v>
      </c>
      <c r="AG110" s="4" t="s">
        <v>6</v>
      </c>
      <c r="AH110" s="4" t="s">
        <v>7</v>
      </c>
      <c r="AI110" s="4" t="s">
        <v>8</v>
      </c>
      <c r="AJ110" s="3" t="s">
        <v>322</v>
      </c>
      <c r="AK110" s="3" t="s">
        <v>323</v>
      </c>
      <c r="AL110" s="3" t="s">
        <v>322</v>
      </c>
      <c r="AM110" s="3" t="s">
        <v>323</v>
      </c>
      <c r="AO110" s="4" t="s">
        <v>2</v>
      </c>
      <c r="AP110" s="4" t="s">
        <v>3</v>
      </c>
      <c r="AQ110" s="4" t="s">
        <v>4</v>
      </c>
      <c r="AR110" s="4" t="s">
        <v>5</v>
      </c>
      <c r="AS110" s="4" t="s">
        <v>6</v>
      </c>
      <c r="AT110" s="4" t="s">
        <v>7</v>
      </c>
      <c r="AU110" s="4" t="s">
        <v>8</v>
      </c>
      <c r="AW110" s="4" t="s">
        <v>2</v>
      </c>
      <c r="AX110" s="4" t="s">
        <v>3</v>
      </c>
      <c r="AY110" s="4" t="s">
        <v>4</v>
      </c>
      <c r="AZ110" s="4" t="s">
        <v>5</v>
      </c>
      <c r="BA110" s="4" t="s">
        <v>6</v>
      </c>
      <c r="BB110" s="4" t="s">
        <v>7</v>
      </c>
      <c r="BC110" s="4" t="s">
        <v>8</v>
      </c>
      <c r="BD110" s="3" t="s">
        <v>322</v>
      </c>
      <c r="BE110" s="3" t="s">
        <v>323</v>
      </c>
      <c r="BF110" s="3" t="s">
        <v>322</v>
      </c>
      <c r="BG110" s="3" t="s">
        <v>323</v>
      </c>
      <c r="BI110" s="4" t="s">
        <v>2</v>
      </c>
      <c r="BJ110" s="4" t="s">
        <v>3</v>
      </c>
      <c r="BK110" s="4" t="s">
        <v>4</v>
      </c>
      <c r="BL110" s="4" t="s">
        <v>5</v>
      </c>
      <c r="BM110" s="4" t="s">
        <v>6</v>
      </c>
      <c r="BN110" s="4" t="s">
        <v>7</v>
      </c>
      <c r="BO110" s="4" t="s">
        <v>8</v>
      </c>
      <c r="BQ110" s="4" t="s">
        <v>2</v>
      </c>
      <c r="BR110" s="4" t="s">
        <v>3</v>
      </c>
      <c r="BS110" s="4" t="s">
        <v>4</v>
      </c>
      <c r="BT110" s="4" t="s">
        <v>5</v>
      </c>
      <c r="BU110" s="4" t="s">
        <v>6</v>
      </c>
      <c r="BV110" s="4" t="s">
        <v>7</v>
      </c>
      <c r="BW110" s="4" t="s">
        <v>8</v>
      </c>
      <c r="BX110" s="3" t="s">
        <v>322</v>
      </c>
      <c r="BY110" s="3" t="s">
        <v>323</v>
      </c>
      <c r="BZ110" s="3" t="s">
        <v>322</v>
      </c>
      <c r="CA110" s="3" t="s">
        <v>323</v>
      </c>
    </row>
    <row r="111" spans="1:79" x14ac:dyDescent="0.3">
      <c r="A111" s="4" t="s">
        <v>74</v>
      </c>
      <c r="B111" s="4">
        <v>0.9</v>
      </c>
      <c r="C111" s="4">
        <v>0.5</v>
      </c>
      <c r="D111" s="4">
        <v>0.6</v>
      </c>
      <c r="E111" s="4">
        <v>0.3</v>
      </c>
      <c r="F111" s="6">
        <v>401.67568999999997</v>
      </c>
      <c r="G111" s="4">
        <v>1E-3</v>
      </c>
      <c r="I111" s="4" t="s">
        <v>74</v>
      </c>
      <c r="J111" s="4">
        <v>0.9</v>
      </c>
      <c r="K111" s="4">
        <v>0.5</v>
      </c>
      <c r="L111" s="4">
        <v>0.6</v>
      </c>
      <c r="M111" s="4">
        <v>0.01</v>
      </c>
      <c r="N111" s="4">
        <v>429.75</v>
      </c>
      <c r="O111" s="4">
        <v>3.6999999999999998E-2</v>
      </c>
      <c r="P111" s="4" t="s">
        <v>324</v>
      </c>
      <c r="Q111" s="4" t="s">
        <v>324</v>
      </c>
      <c r="R111" s="4" t="s">
        <v>327</v>
      </c>
      <c r="S111" s="4" t="s">
        <v>327</v>
      </c>
      <c r="U111" s="4" t="s">
        <v>74</v>
      </c>
      <c r="V111" s="4">
        <v>0.9</v>
      </c>
      <c r="W111" s="4">
        <v>0.5</v>
      </c>
      <c r="X111" s="4">
        <v>0.6</v>
      </c>
      <c r="Y111" s="4">
        <v>0.3</v>
      </c>
      <c r="Z111" s="6">
        <v>368.78576700000002</v>
      </c>
      <c r="AA111" s="4">
        <v>1E-3</v>
      </c>
      <c r="AC111" s="4" t="s">
        <v>74</v>
      </c>
      <c r="AD111" s="4">
        <v>0.9</v>
      </c>
      <c r="AE111" s="4">
        <v>0.5</v>
      </c>
      <c r="AF111" s="4">
        <v>0.6</v>
      </c>
      <c r="AG111" s="4">
        <v>0.01</v>
      </c>
      <c r="AH111" s="4">
        <v>400.44961499999999</v>
      </c>
      <c r="AI111" s="4">
        <v>1.6E-2</v>
      </c>
      <c r="AJ111" s="4" t="s">
        <v>324</v>
      </c>
      <c r="AK111" s="4" t="s">
        <v>324</v>
      </c>
      <c r="AL111" s="4" t="s">
        <v>327</v>
      </c>
      <c r="AM111" s="4" t="s">
        <v>327</v>
      </c>
      <c r="AO111" s="4" t="s">
        <v>75</v>
      </c>
      <c r="AP111" s="4">
        <v>0.9</v>
      </c>
      <c r="AQ111" s="4">
        <v>0.5</v>
      </c>
      <c r="AR111" s="4">
        <v>0.6</v>
      </c>
      <c r="AS111" s="4">
        <v>0.3</v>
      </c>
      <c r="AT111" s="4">
        <v>728.09893799999998</v>
      </c>
      <c r="AU111" s="4">
        <v>8.9999999999999993E-3</v>
      </c>
      <c r="AW111" s="4" t="s">
        <v>75</v>
      </c>
      <c r="AX111" s="4">
        <v>0.9</v>
      </c>
      <c r="AY111" s="4">
        <v>0.5</v>
      </c>
      <c r="AZ111" s="4">
        <v>0.6</v>
      </c>
      <c r="BA111" s="4">
        <v>0.01</v>
      </c>
      <c r="BB111" s="6">
        <v>685.51715100000001</v>
      </c>
      <c r="BC111" s="4">
        <v>2.1999999999999999E-2</v>
      </c>
      <c r="BD111" s="4" t="s">
        <v>324</v>
      </c>
      <c r="BE111" s="4" t="s">
        <v>324</v>
      </c>
      <c r="BF111" s="4" t="s">
        <v>327</v>
      </c>
      <c r="BG111" s="4" t="s">
        <v>327</v>
      </c>
      <c r="BI111" s="4" t="s">
        <v>75</v>
      </c>
      <c r="BJ111" s="4">
        <v>0.9</v>
      </c>
      <c r="BK111" s="4">
        <v>0.5</v>
      </c>
      <c r="BL111" s="4">
        <v>0.6</v>
      </c>
      <c r="BM111" s="4">
        <v>0.3</v>
      </c>
      <c r="BN111" s="4">
        <v>689.98767099999998</v>
      </c>
      <c r="BO111" s="4">
        <v>5.0000000000000001E-3</v>
      </c>
      <c r="BQ111" s="4" t="s">
        <v>75</v>
      </c>
      <c r="BR111" s="4">
        <v>0.9</v>
      </c>
      <c r="BS111" s="4">
        <v>0.5</v>
      </c>
      <c r="BT111" s="4">
        <v>0.6</v>
      </c>
      <c r="BU111" s="4">
        <v>0.01</v>
      </c>
      <c r="BV111" s="6">
        <v>632.99401899999998</v>
      </c>
      <c r="BW111" s="4">
        <v>1.6E-2</v>
      </c>
      <c r="BX111" s="4" t="s">
        <v>324</v>
      </c>
      <c r="BY111" s="4" t="s">
        <v>324</v>
      </c>
      <c r="BZ111" s="4" t="s">
        <v>327</v>
      </c>
      <c r="CA111" s="4" t="s">
        <v>327</v>
      </c>
    </row>
    <row r="112" spans="1:79" x14ac:dyDescent="0.3">
      <c r="A112" s="4" t="s">
        <v>76</v>
      </c>
      <c r="B112" s="4">
        <v>0.9</v>
      </c>
      <c r="C112" s="4">
        <v>0.5</v>
      </c>
      <c r="D112" s="4">
        <v>0.6</v>
      </c>
      <c r="E112" s="4">
        <v>0.3</v>
      </c>
      <c r="F112" s="6">
        <v>434.25775099999998</v>
      </c>
      <c r="G112" s="4">
        <v>1E-3</v>
      </c>
      <c r="I112" s="4" t="s">
        <v>76</v>
      </c>
      <c r="J112" s="4">
        <v>0.9</v>
      </c>
      <c r="K112" s="4">
        <v>0.5</v>
      </c>
      <c r="L112" s="4">
        <v>0.6</v>
      </c>
      <c r="M112" s="4">
        <v>0.65</v>
      </c>
      <c r="N112" s="4">
        <v>461.07058699999999</v>
      </c>
      <c r="O112" s="4">
        <v>8.0000000000000002E-3</v>
      </c>
      <c r="P112" s="3">
        <f>COUNT(F111:F120,F123:F124,F126:F131,F133,F135:F140)</f>
        <v>25</v>
      </c>
      <c r="Q112" s="3">
        <f>30-P112</f>
        <v>5</v>
      </c>
      <c r="R112" s="3">
        <f>COUNT(N115,N117,N121:N122,N125,N132,N134)</f>
        <v>7</v>
      </c>
      <c r="S112" s="3">
        <f>30-R112</f>
        <v>23</v>
      </c>
      <c r="U112" s="4" t="s">
        <v>76</v>
      </c>
      <c r="V112" s="4">
        <v>0.9</v>
      </c>
      <c r="W112" s="4">
        <v>0.5</v>
      </c>
      <c r="X112" s="4">
        <v>0.6</v>
      </c>
      <c r="Y112" s="4">
        <v>0.3</v>
      </c>
      <c r="Z112" s="6">
        <v>397.466522</v>
      </c>
      <c r="AA112" s="4">
        <v>1E-3</v>
      </c>
      <c r="AC112" s="4" t="s">
        <v>76</v>
      </c>
      <c r="AD112" s="4">
        <v>0.9</v>
      </c>
      <c r="AE112" s="4">
        <v>0.5</v>
      </c>
      <c r="AF112" s="4">
        <v>0.6</v>
      </c>
      <c r="AG112" s="4">
        <v>0.63</v>
      </c>
      <c r="AH112" s="4">
        <v>415.98556500000001</v>
      </c>
      <c r="AI112" s="4">
        <v>0.02</v>
      </c>
      <c r="AJ112" s="3">
        <f>COUNT(Z111:Z116,Z118:Z133,Z135:Z140)</f>
        <v>28</v>
      </c>
      <c r="AK112" s="3">
        <f>30-AJ112</f>
        <v>2</v>
      </c>
      <c r="AL112" s="3">
        <f>COUNT(AH117,AH134)</f>
        <v>2</v>
      </c>
      <c r="AM112" s="3">
        <f>30-AL112</f>
        <v>28</v>
      </c>
      <c r="AO112" s="4" t="s">
        <v>77</v>
      </c>
      <c r="AP112" s="4">
        <v>0.9</v>
      </c>
      <c r="AQ112" s="4">
        <v>0.5</v>
      </c>
      <c r="AR112" s="4">
        <v>0.6</v>
      </c>
      <c r="AS112" s="4">
        <v>0.3</v>
      </c>
      <c r="AT112" s="6">
        <v>793.56445299999996</v>
      </c>
      <c r="AU112" s="4">
        <v>8.0000000000000002E-3</v>
      </c>
      <c r="AW112" s="4" t="s">
        <v>77</v>
      </c>
      <c r="AX112" s="4">
        <v>0.9</v>
      </c>
      <c r="AY112" s="4">
        <v>0.5</v>
      </c>
      <c r="AZ112" s="4">
        <v>0.6</v>
      </c>
      <c r="BA112" s="4">
        <v>0.86</v>
      </c>
      <c r="BB112" s="4">
        <v>976.96179199999995</v>
      </c>
      <c r="BC112" s="4">
        <v>0.01</v>
      </c>
      <c r="BD112" s="3">
        <f>COUNT(AT112:AT113,AT115:AT136,AT138,AT140)</f>
        <v>26</v>
      </c>
      <c r="BE112" s="3">
        <f>30-BD112</f>
        <v>4</v>
      </c>
      <c r="BF112" s="3">
        <f>COUNT(BB111,BB114,BB137,BB139)</f>
        <v>4</v>
      </c>
      <c r="BG112" s="3">
        <f>30-BF112</f>
        <v>26</v>
      </c>
      <c r="BI112" s="4" t="s">
        <v>77</v>
      </c>
      <c r="BJ112" s="4">
        <v>0.9</v>
      </c>
      <c r="BK112" s="4">
        <v>0.5</v>
      </c>
      <c r="BL112" s="4">
        <v>0.6</v>
      </c>
      <c r="BM112" s="4">
        <v>0.3</v>
      </c>
      <c r="BN112" s="4">
        <v>748.72119099999998</v>
      </c>
      <c r="BO112" s="4">
        <v>4.0000000000000001E-3</v>
      </c>
      <c r="BQ112" s="4" t="s">
        <v>77</v>
      </c>
      <c r="BR112" s="4">
        <v>0.9</v>
      </c>
      <c r="BS112" s="4">
        <v>0.5</v>
      </c>
      <c r="BT112" s="4">
        <v>0.6</v>
      </c>
      <c r="BU112" s="4">
        <v>0.04</v>
      </c>
      <c r="BV112" s="6">
        <v>653.99188200000003</v>
      </c>
      <c r="BW112" s="4">
        <v>3.9E-2</v>
      </c>
      <c r="BX112" s="3">
        <f>COUNT(BN113:BN119,BN121:BN122,BN124:BN125,BN128:BN129,BN131:BN132,BN134:BN140)</f>
        <v>22</v>
      </c>
      <c r="BY112" s="3">
        <f>30-BX112</f>
        <v>8</v>
      </c>
      <c r="BZ112" s="3">
        <f>COUNT(BV111:BV112,BV120,BV123,BV126:BV127,BV130,BV133)</f>
        <v>8</v>
      </c>
      <c r="CA112" s="3">
        <f>30-BZ112</f>
        <v>22</v>
      </c>
    </row>
    <row r="113" spans="1:79" x14ac:dyDescent="0.3">
      <c r="A113" s="4" t="s">
        <v>78</v>
      </c>
      <c r="B113" s="4">
        <v>0.9</v>
      </c>
      <c r="C113" s="4">
        <v>0.5</v>
      </c>
      <c r="D113" s="4">
        <v>0.6</v>
      </c>
      <c r="E113" s="4">
        <v>0.3</v>
      </c>
      <c r="F113" s="6">
        <v>426.38287400000002</v>
      </c>
      <c r="G113" s="4">
        <v>2E-3</v>
      </c>
      <c r="I113" s="4" t="s">
        <v>78</v>
      </c>
      <c r="J113" s="4">
        <v>0.9</v>
      </c>
      <c r="K113" s="4">
        <v>0.5</v>
      </c>
      <c r="L113" s="4">
        <v>0.6</v>
      </c>
      <c r="M113" s="4">
        <v>0.86</v>
      </c>
      <c r="N113" s="4">
        <v>473.94439699999998</v>
      </c>
      <c r="O113" s="4">
        <v>2.1000000000000001E-2</v>
      </c>
      <c r="P113" s="5"/>
      <c r="Q113" s="5"/>
      <c r="R113" s="5"/>
      <c r="S113" s="5"/>
      <c r="U113" s="4" t="s">
        <v>78</v>
      </c>
      <c r="V113" s="4">
        <v>0.9</v>
      </c>
      <c r="W113" s="4">
        <v>0.5</v>
      </c>
      <c r="X113" s="4">
        <v>0.6</v>
      </c>
      <c r="Y113" s="4">
        <v>0.3</v>
      </c>
      <c r="Z113" s="6">
        <v>390.376373</v>
      </c>
      <c r="AA113" s="4">
        <v>1E-3</v>
      </c>
      <c r="AC113" s="4" t="s">
        <v>78</v>
      </c>
      <c r="AD113" s="4">
        <v>0.9</v>
      </c>
      <c r="AE113" s="4">
        <v>0.5</v>
      </c>
      <c r="AF113" s="4">
        <v>0.6</v>
      </c>
      <c r="AG113" s="4">
        <v>0.04</v>
      </c>
      <c r="AH113" s="4">
        <v>397.966858</v>
      </c>
      <c r="AI113" s="4">
        <v>0.02</v>
      </c>
      <c r="AJ113" s="5"/>
      <c r="AK113" s="5"/>
      <c r="AL113" s="5"/>
      <c r="AM113" s="5"/>
      <c r="AO113" s="4" t="s">
        <v>79</v>
      </c>
      <c r="AP113" s="4">
        <v>0.9</v>
      </c>
      <c r="AQ113" s="4">
        <v>0.5</v>
      </c>
      <c r="AR113" s="4">
        <v>0.6</v>
      </c>
      <c r="AS113" s="4">
        <v>0.3</v>
      </c>
      <c r="AT113" s="6">
        <v>775.41589399999998</v>
      </c>
      <c r="AU113" s="4">
        <v>4.0000000000000001E-3</v>
      </c>
      <c r="AW113" s="4" t="s">
        <v>79</v>
      </c>
      <c r="AX113" s="4">
        <v>0.9</v>
      </c>
      <c r="AY113" s="4">
        <v>0.5</v>
      </c>
      <c r="AZ113" s="4">
        <v>0.6</v>
      </c>
      <c r="BA113" s="4">
        <v>0.88</v>
      </c>
      <c r="BB113" s="4">
        <v>967.25854500000003</v>
      </c>
      <c r="BC113" s="4">
        <v>1.9E-2</v>
      </c>
      <c r="BD113" s="5"/>
      <c r="BE113" s="5"/>
      <c r="BF113" s="5"/>
      <c r="BG113" s="5"/>
      <c r="BI113" s="4" t="s">
        <v>79</v>
      </c>
      <c r="BJ113" s="4">
        <v>0.9</v>
      </c>
      <c r="BK113" s="4">
        <v>0.5</v>
      </c>
      <c r="BL113" s="4">
        <v>0.6</v>
      </c>
      <c r="BM113" s="4">
        <v>0.3</v>
      </c>
      <c r="BN113" s="6">
        <v>727.59167500000001</v>
      </c>
      <c r="BO113" s="4">
        <v>4.0000000000000001E-3</v>
      </c>
      <c r="BQ113" s="4" t="s">
        <v>79</v>
      </c>
      <c r="BR113" s="4">
        <v>0.9</v>
      </c>
      <c r="BS113" s="4">
        <v>0.5</v>
      </c>
      <c r="BT113" s="4">
        <v>0.6</v>
      </c>
      <c r="BU113" s="4">
        <v>0.62</v>
      </c>
      <c r="BV113" s="4">
        <v>893.18048099999999</v>
      </c>
      <c r="BW113" s="4">
        <v>1.4999999999999999E-2</v>
      </c>
      <c r="BX113" s="5"/>
      <c r="BY113" s="5"/>
      <c r="BZ113" s="5"/>
      <c r="CA113" s="5"/>
    </row>
    <row r="114" spans="1:79" x14ac:dyDescent="0.3">
      <c r="A114" s="4" t="s">
        <v>80</v>
      </c>
      <c r="B114" s="4">
        <v>0.9</v>
      </c>
      <c r="C114" s="4">
        <v>0.5</v>
      </c>
      <c r="D114" s="4">
        <v>0.6</v>
      </c>
      <c r="E114" s="4">
        <v>0.3</v>
      </c>
      <c r="F114" s="6">
        <v>451.28558299999997</v>
      </c>
      <c r="G114" s="4">
        <v>1E-3</v>
      </c>
      <c r="I114" s="4" t="s">
        <v>80</v>
      </c>
      <c r="J114" s="4">
        <v>0.9</v>
      </c>
      <c r="K114" s="4">
        <v>0.5</v>
      </c>
      <c r="L114" s="4">
        <v>0.6</v>
      </c>
      <c r="M114" s="4">
        <v>0.54</v>
      </c>
      <c r="N114" s="4">
        <v>487.95428500000003</v>
      </c>
      <c r="O114" s="4">
        <v>1.0999999999999999E-2</v>
      </c>
      <c r="P114" s="5"/>
      <c r="Q114" s="5"/>
      <c r="R114" s="5"/>
      <c r="S114" s="5"/>
      <c r="U114" s="4" t="s">
        <v>80</v>
      </c>
      <c r="V114" s="4">
        <v>0.9</v>
      </c>
      <c r="W114" s="4">
        <v>0.5</v>
      </c>
      <c r="X114" s="4">
        <v>0.6</v>
      </c>
      <c r="Y114" s="4">
        <v>0.3</v>
      </c>
      <c r="Z114" s="6">
        <v>409.03671300000002</v>
      </c>
      <c r="AA114" s="4">
        <v>1E-3</v>
      </c>
      <c r="AC114" s="4" t="s">
        <v>80</v>
      </c>
      <c r="AD114" s="4">
        <v>0.9</v>
      </c>
      <c r="AE114" s="4">
        <v>0.5</v>
      </c>
      <c r="AF114" s="4">
        <v>0.6</v>
      </c>
      <c r="AG114" s="4">
        <v>0.67</v>
      </c>
      <c r="AH114" s="4">
        <v>452.305115</v>
      </c>
      <c r="AI114" s="4">
        <v>0.02</v>
      </c>
      <c r="AJ114" s="5"/>
      <c r="AK114" s="5"/>
      <c r="AL114" s="5"/>
      <c r="AM114" s="5"/>
      <c r="AO114" s="4" t="s">
        <v>81</v>
      </c>
      <c r="AP114" s="4">
        <v>0.9</v>
      </c>
      <c r="AQ114" s="4">
        <v>0.5</v>
      </c>
      <c r="AR114" s="4">
        <v>0.6</v>
      </c>
      <c r="AS114" s="4">
        <v>0.3</v>
      </c>
      <c r="AT114" s="4">
        <v>737.57080099999996</v>
      </c>
      <c r="AU114" s="4">
        <v>6.0000000000000001E-3</v>
      </c>
      <c r="AW114" s="4" t="s">
        <v>81</v>
      </c>
      <c r="AX114" s="4">
        <v>0.9</v>
      </c>
      <c r="AY114" s="4">
        <v>0.5</v>
      </c>
      <c r="AZ114" s="4">
        <v>0.6</v>
      </c>
      <c r="BA114" s="4">
        <v>0.01</v>
      </c>
      <c r="BB114" s="6">
        <v>670.56359899999995</v>
      </c>
      <c r="BC114" s="4">
        <v>2.1000000000000001E-2</v>
      </c>
      <c r="BD114" s="5"/>
      <c r="BE114" s="5"/>
      <c r="BF114" s="5"/>
      <c r="BG114" s="5"/>
      <c r="BI114" s="4" t="s">
        <v>81</v>
      </c>
      <c r="BJ114" s="4">
        <v>0.9</v>
      </c>
      <c r="BK114" s="4">
        <v>0.5</v>
      </c>
      <c r="BL114" s="4">
        <v>0.6</v>
      </c>
      <c r="BM114" s="4">
        <v>0.3</v>
      </c>
      <c r="BN114" s="6">
        <v>696.82580600000006</v>
      </c>
      <c r="BO114" s="4">
        <v>4.0000000000000001E-3</v>
      </c>
      <c r="BQ114" s="4" t="s">
        <v>81</v>
      </c>
      <c r="BR114" s="4">
        <v>0.9</v>
      </c>
      <c r="BS114" s="4">
        <v>0.5</v>
      </c>
      <c r="BT114" s="4">
        <v>0.6</v>
      </c>
      <c r="BU114" s="4">
        <v>0.76</v>
      </c>
      <c r="BV114" s="4">
        <v>823.97051999999996</v>
      </c>
      <c r="BW114" s="4">
        <v>2.5000000000000001E-2</v>
      </c>
      <c r="BX114" s="5"/>
      <c r="BY114" s="5"/>
      <c r="BZ114" s="5"/>
      <c r="CA114" s="5"/>
    </row>
    <row r="115" spans="1:79" x14ac:dyDescent="0.3">
      <c r="A115" s="4" t="s">
        <v>82</v>
      </c>
      <c r="B115" s="4">
        <v>0.9</v>
      </c>
      <c r="C115" s="4">
        <v>0.5</v>
      </c>
      <c r="D115" s="4">
        <v>0.6</v>
      </c>
      <c r="E115" s="4">
        <v>0.3</v>
      </c>
      <c r="F115" s="6">
        <v>417.13317899999998</v>
      </c>
      <c r="G115" s="4">
        <v>1E-3</v>
      </c>
      <c r="I115" s="4" t="s">
        <v>82</v>
      </c>
      <c r="J115" s="4">
        <v>0.9</v>
      </c>
      <c r="K115" s="4">
        <v>0.5</v>
      </c>
      <c r="L115" s="4">
        <v>0.6</v>
      </c>
      <c r="M115" s="4">
        <v>0.19</v>
      </c>
      <c r="N115" s="8">
        <v>417.25854500000003</v>
      </c>
      <c r="O115" s="4">
        <v>3.1E-2</v>
      </c>
      <c r="P115" s="5"/>
      <c r="Q115" s="5"/>
      <c r="R115" s="5"/>
      <c r="S115" s="5"/>
      <c r="U115" s="4" t="s">
        <v>82</v>
      </c>
      <c r="V115" s="4">
        <v>0.9</v>
      </c>
      <c r="W115" s="4">
        <v>0.5</v>
      </c>
      <c r="X115" s="4">
        <v>0.6</v>
      </c>
      <c r="Y115" s="4">
        <v>0.3</v>
      </c>
      <c r="Z115" s="6">
        <v>389.21209700000003</v>
      </c>
      <c r="AA115" s="4">
        <v>1E-3</v>
      </c>
      <c r="AC115" s="4" t="s">
        <v>82</v>
      </c>
      <c r="AD115" s="4">
        <v>0.9</v>
      </c>
      <c r="AE115" s="4">
        <v>0.5</v>
      </c>
      <c r="AF115" s="4">
        <v>0.6</v>
      </c>
      <c r="AG115" s="4">
        <v>0.72</v>
      </c>
      <c r="AH115" s="4">
        <v>426.67373700000002</v>
      </c>
      <c r="AI115" s="4">
        <v>1.0999999999999999E-2</v>
      </c>
      <c r="AJ115" s="5"/>
      <c r="AK115" s="5"/>
      <c r="AL115" s="5"/>
      <c r="AM115" s="5"/>
      <c r="AO115" s="4" t="s">
        <v>83</v>
      </c>
      <c r="AP115" s="4">
        <v>0.9</v>
      </c>
      <c r="AQ115" s="4">
        <v>0.5</v>
      </c>
      <c r="AR115" s="4">
        <v>0.6</v>
      </c>
      <c r="AS115" s="4">
        <v>0.3</v>
      </c>
      <c r="AT115" s="6">
        <v>756.04290800000001</v>
      </c>
      <c r="AU115" s="4">
        <v>5.0000000000000001E-3</v>
      </c>
      <c r="AW115" s="4" t="s">
        <v>83</v>
      </c>
      <c r="AX115" s="4">
        <v>0.9</v>
      </c>
      <c r="AY115" s="4">
        <v>0.5</v>
      </c>
      <c r="AZ115" s="4">
        <v>0.6</v>
      </c>
      <c r="BA115" s="4">
        <v>0.67</v>
      </c>
      <c r="BB115" s="4">
        <v>895.96081500000003</v>
      </c>
      <c r="BC115" s="4">
        <v>1.2999999999999999E-2</v>
      </c>
      <c r="BD115" s="5"/>
      <c r="BE115" s="5"/>
      <c r="BF115" s="5"/>
      <c r="BG115" s="5"/>
      <c r="BI115" s="4" t="s">
        <v>83</v>
      </c>
      <c r="BJ115" s="4">
        <v>0.9</v>
      </c>
      <c r="BK115" s="4">
        <v>0.5</v>
      </c>
      <c r="BL115" s="4">
        <v>0.6</v>
      </c>
      <c r="BM115" s="4">
        <v>0.3</v>
      </c>
      <c r="BN115" s="6">
        <v>705.35290499999996</v>
      </c>
      <c r="BO115" s="4">
        <v>7.0000000000000001E-3</v>
      </c>
      <c r="BQ115" s="4" t="s">
        <v>83</v>
      </c>
      <c r="BR115" s="4">
        <v>0.9</v>
      </c>
      <c r="BS115" s="4">
        <v>0.5</v>
      </c>
      <c r="BT115" s="4">
        <v>0.6</v>
      </c>
      <c r="BU115" s="4">
        <v>0.63</v>
      </c>
      <c r="BV115" s="4">
        <v>829.44146699999999</v>
      </c>
      <c r="BW115" s="4">
        <v>0.02</v>
      </c>
      <c r="BX115" s="5"/>
      <c r="BY115" s="5"/>
      <c r="BZ115" s="5"/>
      <c r="CA115" s="5"/>
    </row>
    <row r="116" spans="1:79" x14ac:dyDescent="0.3">
      <c r="A116" s="4" t="s">
        <v>84</v>
      </c>
      <c r="B116" s="4">
        <v>0.9</v>
      </c>
      <c r="C116" s="4">
        <v>0.5</v>
      </c>
      <c r="D116" s="4">
        <v>0.6</v>
      </c>
      <c r="E116" s="4">
        <v>0.3</v>
      </c>
      <c r="F116" s="6">
        <v>523.14532499999996</v>
      </c>
      <c r="G116" s="4">
        <v>1E-3</v>
      </c>
      <c r="I116" s="4" t="s">
        <v>84</v>
      </c>
      <c r="J116" s="4">
        <v>0.9</v>
      </c>
      <c r="K116" s="4">
        <v>0.5</v>
      </c>
      <c r="L116" s="4">
        <v>0.6</v>
      </c>
      <c r="M116" s="4">
        <v>0.42</v>
      </c>
      <c r="N116" s="4">
        <v>550.57843000000003</v>
      </c>
      <c r="O116" s="4">
        <v>1.7000000000000001E-2</v>
      </c>
      <c r="P116" s="5"/>
      <c r="Q116" s="5"/>
      <c r="R116" s="5"/>
      <c r="S116" s="5"/>
      <c r="U116" s="4" t="s">
        <v>84</v>
      </c>
      <c r="V116" s="4">
        <v>0.9</v>
      </c>
      <c r="W116" s="4">
        <v>0.5</v>
      </c>
      <c r="X116" s="4">
        <v>0.6</v>
      </c>
      <c r="Y116" s="4">
        <v>0.3</v>
      </c>
      <c r="Z116" s="6">
        <v>473.73468000000003</v>
      </c>
      <c r="AA116" s="4">
        <v>2E-3</v>
      </c>
      <c r="AC116" s="4" t="s">
        <v>84</v>
      </c>
      <c r="AD116" s="4">
        <v>0.9</v>
      </c>
      <c r="AE116" s="4">
        <v>0.5</v>
      </c>
      <c r="AF116" s="4">
        <v>0.6</v>
      </c>
      <c r="AG116" s="4">
        <v>0.45</v>
      </c>
      <c r="AH116" s="4">
        <v>481.64892600000002</v>
      </c>
      <c r="AI116" s="4">
        <v>7.0000000000000001E-3</v>
      </c>
      <c r="AJ116" s="5"/>
      <c r="AK116" s="5"/>
      <c r="AL116" s="5"/>
      <c r="AM116" s="5"/>
      <c r="AO116" s="4" t="s">
        <v>85</v>
      </c>
      <c r="AP116" s="4">
        <v>0.9</v>
      </c>
      <c r="AQ116" s="4">
        <v>0.5</v>
      </c>
      <c r="AR116" s="4">
        <v>0.6</v>
      </c>
      <c r="AS116" s="4">
        <v>0.3</v>
      </c>
      <c r="AT116" s="6">
        <v>859.24054000000001</v>
      </c>
      <c r="AU116" s="4">
        <v>1.2E-2</v>
      </c>
      <c r="AW116" s="4" t="s">
        <v>85</v>
      </c>
      <c r="AX116" s="4">
        <v>0.9</v>
      </c>
      <c r="AY116" s="4">
        <v>0.5</v>
      </c>
      <c r="AZ116" s="4">
        <v>0.6</v>
      </c>
      <c r="BA116" s="4">
        <v>0.59</v>
      </c>
      <c r="BB116" s="4">
        <v>992.01812700000005</v>
      </c>
      <c r="BC116" s="4">
        <v>1.6E-2</v>
      </c>
      <c r="BD116" s="5"/>
      <c r="BE116" s="5"/>
      <c r="BF116" s="5"/>
      <c r="BG116" s="5"/>
      <c r="BI116" s="4" t="s">
        <v>85</v>
      </c>
      <c r="BJ116" s="4">
        <v>0.9</v>
      </c>
      <c r="BK116" s="4">
        <v>0.5</v>
      </c>
      <c r="BL116" s="4">
        <v>0.6</v>
      </c>
      <c r="BM116" s="4">
        <v>0.3</v>
      </c>
      <c r="BN116" s="6">
        <v>833.49041699999998</v>
      </c>
      <c r="BO116" s="4">
        <v>5.0000000000000001E-3</v>
      </c>
      <c r="BQ116" s="4" t="s">
        <v>85</v>
      </c>
      <c r="BR116" s="4">
        <v>0.9</v>
      </c>
      <c r="BS116" s="4">
        <v>0.5</v>
      </c>
      <c r="BT116" s="4">
        <v>0.6</v>
      </c>
      <c r="BU116" s="4">
        <v>0.37</v>
      </c>
      <c r="BV116" s="4">
        <v>871.980774</v>
      </c>
      <c r="BW116" s="4">
        <v>2.1000000000000001E-2</v>
      </c>
      <c r="BX116" s="5"/>
      <c r="BY116" s="5"/>
      <c r="BZ116" s="5"/>
      <c r="CA116" s="5"/>
    </row>
    <row r="117" spans="1:79" x14ac:dyDescent="0.3">
      <c r="A117" s="4" t="s">
        <v>86</v>
      </c>
      <c r="B117" s="4">
        <v>0.9</v>
      </c>
      <c r="C117" s="4">
        <v>0.5</v>
      </c>
      <c r="D117" s="4">
        <v>0.6</v>
      </c>
      <c r="E117" s="4">
        <v>0.3</v>
      </c>
      <c r="F117" s="6">
        <v>572.10864300000003</v>
      </c>
      <c r="G117" s="4">
        <v>2E-3</v>
      </c>
      <c r="I117" s="4" t="s">
        <v>86</v>
      </c>
      <c r="J117" s="4">
        <v>0.9</v>
      </c>
      <c r="K117" s="4">
        <v>0.5</v>
      </c>
      <c r="L117" s="4">
        <v>0.6</v>
      </c>
      <c r="M117" s="4">
        <v>0.23</v>
      </c>
      <c r="N117" s="8">
        <v>572.856628</v>
      </c>
      <c r="O117" s="4">
        <v>3.2000000000000001E-2</v>
      </c>
      <c r="P117" s="5"/>
      <c r="Q117" s="5"/>
      <c r="R117" s="5"/>
      <c r="S117" s="5"/>
      <c r="U117" s="4" t="s">
        <v>86</v>
      </c>
      <c r="V117" s="4">
        <v>0.9</v>
      </c>
      <c r="W117" s="4">
        <v>0.5</v>
      </c>
      <c r="X117" s="4">
        <v>0.6</v>
      </c>
      <c r="Y117" s="4">
        <v>0.3</v>
      </c>
      <c r="Z117" s="4">
        <v>515.123108</v>
      </c>
      <c r="AA117" s="4">
        <v>1E-3</v>
      </c>
      <c r="AC117" s="4" t="s">
        <v>86</v>
      </c>
      <c r="AD117" s="4">
        <v>0.9</v>
      </c>
      <c r="AE117" s="4">
        <v>0.5</v>
      </c>
      <c r="AF117" s="4">
        <v>0.6</v>
      </c>
      <c r="AG117" s="4">
        <v>0.16</v>
      </c>
      <c r="AH117" s="6">
        <v>498.71838400000001</v>
      </c>
      <c r="AI117" s="4">
        <v>6.0000000000000001E-3</v>
      </c>
      <c r="AJ117" s="5"/>
      <c r="AK117" s="5"/>
      <c r="AL117" s="5"/>
      <c r="AM117" s="5"/>
      <c r="AO117" s="4" t="s">
        <v>87</v>
      </c>
      <c r="AP117" s="4">
        <v>0.9</v>
      </c>
      <c r="AQ117" s="4">
        <v>0.5</v>
      </c>
      <c r="AR117" s="4">
        <v>0.6</v>
      </c>
      <c r="AS117" s="4">
        <v>0.3</v>
      </c>
      <c r="AT117" s="6">
        <v>801.49798599999997</v>
      </c>
      <c r="AU117" s="4">
        <v>5.0000000000000001E-3</v>
      </c>
      <c r="AW117" s="4" t="s">
        <v>87</v>
      </c>
      <c r="AX117" s="4">
        <v>0.9</v>
      </c>
      <c r="AY117" s="4">
        <v>0.5</v>
      </c>
      <c r="AZ117" s="4">
        <v>0.6</v>
      </c>
      <c r="BA117" s="4">
        <v>0.64</v>
      </c>
      <c r="BB117" s="4">
        <v>935.512024</v>
      </c>
      <c r="BC117" s="4">
        <v>2.7E-2</v>
      </c>
      <c r="BD117" s="5"/>
      <c r="BE117" s="5"/>
      <c r="BF117" s="5"/>
      <c r="BG117" s="5"/>
      <c r="BI117" s="4" t="s">
        <v>87</v>
      </c>
      <c r="BJ117" s="4">
        <v>0.9</v>
      </c>
      <c r="BK117" s="4">
        <v>0.5</v>
      </c>
      <c r="BL117" s="4">
        <v>0.6</v>
      </c>
      <c r="BM117" s="4">
        <v>0.3</v>
      </c>
      <c r="BN117" s="6">
        <v>745.94787599999995</v>
      </c>
      <c r="BO117" s="4">
        <v>7.0000000000000001E-3</v>
      </c>
      <c r="BQ117" s="4" t="s">
        <v>87</v>
      </c>
      <c r="BR117" s="4">
        <v>0.9</v>
      </c>
      <c r="BS117" s="4">
        <v>0.5</v>
      </c>
      <c r="BT117" s="4">
        <v>0.6</v>
      </c>
      <c r="BU117" s="4">
        <v>0.85</v>
      </c>
      <c r="BV117" s="4">
        <v>925.17437700000005</v>
      </c>
      <c r="BW117" s="4">
        <v>1.4999999999999999E-2</v>
      </c>
      <c r="BX117" s="5"/>
      <c r="BY117" s="5"/>
      <c r="BZ117" s="5"/>
      <c r="CA117" s="5"/>
    </row>
    <row r="118" spans="1:79" x14ac:dyDescent="0.3">
      <c r="A118" s="4" t="s">
        <v>88</v>
      </c>
      <c r="B118" s="4">
        <v>0.9</v>
      </c>
      <c r="C118" s="4">
        <v>0.5</v>
      </c>
      <c r="D118" s="4">
        <v>0.6</v>
      </c>
      <c r="E118" s="4">
        <v>0.3</v>
      </c>
      <c r="F118" s="6">
        <v>486.26937900000001</v>
      </c>
      <c r="G118" s="4">
        <v>1E-3</v>
      </c>
      <c r="I118" s="4" t="s">
        <v>88</v>
      </c>
      <c r="J118" s="4">
        <v>0.9</v>
      </c>
      <c r="K118" s="4">
        <v>0.5</v>
      </c>
      <c r="L118" s="4">
        <v>0.6</v>
      </c>
      <c r="M118" s="4">
        <v>0.63</v>
      </c>
      <c r="N118" s="4">
        <v>510.97723400000001</v>
      </c>
      <c r="O118" s="4">
        <v>1.7000000000000001E-2</v>
      </c>
      <c r="P118" s="5"/>
      <c r="Q118" s="5"/>
      <c r="R118" s="5"/>
      <c r="S118" s="5"/>
      <c r="U118" s="4" t="s">
        <v>88</v>
      </c>
      <c r="V118" s="4">
        <v>0.9</v>
      </c>
      <c r="W118" s="4">
        <v>0.5</v>
      </c>
      <c r="X118" s="4">
        <v>0.6</v>
      </c>
      <c r="Y118" s="4">
        <v>0.3</v>
      </c>
      <c r="Z118" s="6">
        <v>423.61642499999999</v>
      </c>
      <c r="AA118" s="4">
        <v>1E-3</v>
      </c>
      <c r="AC118" s="4" t="s">
        <v>88</v>
      </c>
      <c r="AD118" s="4">
        <v>0.9</v>
      </c>
      <c r="AE118" s="4">
        <v>0.5</v>
      </c>
      <c r="AF118" s="4">
        <v>0.6</v>
      </c>
      <c r="AG118" s="4">
        <v>0.68</v>
      </c>
      <c r="AH118" s="4">
        <v>469.06451399999997</v>
      </c>
      <c r="AI118" s="4">
        <v>2.4E-2</v>
      </c>
      <c r="AJ118" s="5"/>
      <c r="AK118" s="5"/>
      <c r="AL118" s="5"/>
      <c r="AM118" s="5"/>
      <c r="AO118" s="4" t="s">
        <v>89</v>
      </c>
      <c r="AP118" s="4">
        <v>0.9</v>
      </c>
      <c r="AQ118" s="4">
        <v>0.5</v>
      </c>
      <c r="AR118" s="4">
        <v>0.6</v>
      </c>
      <c r="AS118" s="4">
        <v>0.3</v>
      </c>
      <c r="AT118" s="6">
        <v>776.49542199999996</v>
      </c>
      <c r="AU118" s="4">
        <v>4.0000000000000001E-3</v>
      </c>
      <c r="AW118" s="4" t="s">
        <v>89</v>
      </c>
      <c r="AX118" s="4">
        <v>0.9</v>
      </c>
      <c r="AY118" s="4">
        <v>0.5</v>
      </c>
      <c r="AZ118" s="4">
        <v>0.6</v>
      </c>
      <c r="BA118" s="4">
        <v>0.44</v>
      </c>
      <c r="BB118" s="4">
        <v>877.334473</v>
      </c>
      <c r="BC118" s="4">
        <v>1.7999999999999999E-2</v>
      </c>
      <c r="BD118" s="5"/>
      <c r="BE118" s="5"/>
      <c r="BF118" s="5"/>
      <c r="BG118" s="5"/>
      <c r="BI118" s="4" t="s">
        <v>89</v>
      </c>
      <c r="BJ118" s="4">
        <v>0.9</v>
      </c>
      <c r="BK118" s="4">
        <v>0.5</v>
      </c>
      <c r="BL118" s="4">
        <v>0.6</v>
      </c>
      <c r="BM118" s="4">
        <v>0.3</v>
      </c>
      <c r="BN118" s="6">
        <v>742.25097700000003</v>
      </c>
      <c r="BO118" s="4">
        <v>4.0000000000000001E-3</v>
      </c>
      <c r="BQ118" s="4" t="s">
        <v>89</v>
      </c>
      <c r="BR118" s="4">
        <v>0.9</v>
      </c>
      <c r="BS118" s="4">
        <v>0.5</v>
      </c>
      <c r="BT118" s="4">
        <v>0.6</v>
      </c>
      <c r="BU118" s="4">
        <v>0.4</v>
      </c>
      <c r="BV118" s="4">
        <v>806.49664299999995</v>
      </c>
      <c r="BW118" s="4">
        <v>3.4000000000000002E-2</v>
      </c>
      <c r="BX118" s="5"/>
      <c r="BY118" s="5"/>
      <c r="BZ118" s="5"/>
      <c r="CA118" s="5"/>
    </row>
    <row r="119" spans="1:79" x14ac:dyDescent="0.3">
      <c r="A119" s="4" t="s">
        <v>90</v>
      </c>
      <c r="B119" s="4">
        <v>0.9</v>
      </c>
      <c r="C119" s="4">
        <v>0.5</v>
      </c>
      <c r="D119" s="4">
        <v>0.6</v>
      </c>
      <c r="E119" s="4">
        <v>0.3</v>
      </c>
      <c r="F119" s="6">
        <v>433.58477800000003</v>
      </c>
      <c r="G119" s="4">
        <v>1E-3</v>
      </c>
      <c r="I119" s="4" t="s">
        <v>90</v>
      </c>
      <c r="J119" s="4">
        <v>0.9</v>
      </c>
      <c r="K119" s="4">
        <v>0.5</v>
      </c>
      <c r="L119" s="4">
        <v>0.6</v>
      </c>
      <c r="M119" s="4">
        <v>0.46</v>
      </c>
      <c r="N119" s="4">
        <v>472.17303500000003</v>
      </c>
      <c r="O119" s="4">
        <v>1.9E-2</v>
      </c>
      <c r="P119" s="5"/>
      <c r="Q119" s="5"/>
      <c r="R119" s="5"/>
      <c r="S119" s="5"/>
      <c r="U119" s="4" t="s">
        <v>90</v>
      </c>
      <c r="V119" s="4">
        <v>0.9</v>
      </c>
      <c r="W119" s="4">
        <v>0.5</v>
      </c>
      <c r="X119" s="4">
        <v>0.6</v>
      </c>
      <c r="Y119" s="4">
        <v>0.3</v>
      </c>
      <c r="Z119" s="6">
        <v>402.05816700000003</v>
      </c>
      <c r="AA119" s="4">
        <v>1E-3</v>
      </c>
      <c r="AC119" s="4" t="s">
        <v>90</v>
      </c>
      <c r="AD119" s="4">
        <v>0.9</v>
      </c>
      <c r="AE119" s="4">
        <v>0.5</v>
      </c>
      <c r="AF119" s="4">
        <v>0.6</v>
      </c>
      <c r="AG119" s="4">
        <v>0.33</v>
      </c>
      <c r="AH119" s="4">
        <v>410.69042999999999</v>
      </c>
      <c r="AI119" s="4">
        <v>1.2999999999999999E-2</v>
      </c>
      <c r="AJ119" s="5"/>
      <c r="AK119" s="5"/>
      <c r="AL119" s="5"/>
      <c r="AM119" s="5"/>
      <c r="AO119" s="4" t="s">
        <v>91</v>
      </c>
      <c r="AP119" s="4">
        <v>0.9</v>
      </c>
      <c r="AQ119" s="4">
        <v>0.5</v>
      </c>
      <c r="AR119" s="4">
        <v>0.6</v>
      </c>
      <c r="AS119" s="4">
        <v>0.3</v>
      </c>
      <c r="AT119" s="6">
        <v>785.48406999999997</v>
      </c>
      <c r="AU119" s="4">
        <v>7.0000000000000001E-3</v>
      </c>
      <c r="AW119" s="4" t="s">
        <v>91</v>
      </c>
      <c r="AX119" s="4">
        <v>0.9</v>
      </c>
      <c r="AY119" s="4">
        <v>0.5</v>
      </c>
      <c r="AZ119" s="4">
        <v>0.6</v>
      </c>
      <c r="BA119" s="4">
        <v>0.8</v>
      </c>
      <c r="BB119" s="4">
        <v>927.08355700000004</v>
      </c>
      <c r="BC119" s="4">
        <v>2.7E-2</v>
      </c>
      <c r="BD119" s="5"/>
      <c r="BE119" s="5"/>
      <c r="BF119" s="5"/>
      <c r="BG119" s="5"/>
      <c r="BI119" s="4" t="s">
        <v>91</v>
      </c>
      <c r="BJ119" s="4">
        <v>0.9</v>
      </c>
      <c r="BK119" s="4">
        <v>0.5</v>
      </c>
      <c r="BL119" s="4">
        <v>0.6</v>
      </c>
      <c r="BM119" s="4">
        <v>0.3</v>
      </c>
      <c r="BN119" s="6">
        <v>746.04382299999997</v>
      </c>
      <c r="BO119" s="4">
        <v>4.0000000000000001E-3</v>
      </c>
      <c r="BQ119" s="4" t="s">
        <v>91</v>
      </c>
      <c r="BR119" s="4">
        <v>0.9</v>
      </c>
      <c r="BS119" s="4">
        <v>0.5</v>
      </c>
      <c r="BT119" s="4">
        <v>0.6</v>
      </c>
      <c r="BU119" s="4">
        <v>0.93</v>
      </c>
      <c r="BV119" s="4">
        <v>863.13708499999996</v>
      </c>
      <c r="BW119" s="4">
        <v>0.06</v>
      </c>
      <c r="BX119" s="5"/>
      <c r="BY119" s="5"/>
      <c r="BZ119" s="5"/>
      <c r="CA119" s="5"/>
    </row>
    <row r="120" spans="1:79" x14ac:dyDescent="0.3">
      <c r="A120" s="4" t="s">
        <v>92</v>
      </c>
      <c r="B120" s="4">
        <v>0.9</v>
      </c>
      <c r="C120" s="4">
        <v>0.5</v>
      </c>
      <c r="D120" s="4">
        <v>0.6</v>
      </c>
      <c r="E120" s="4">
        <v>0.3</v>
      </c>
      <c r="F120" s="6">
        <v>560.24304199999995</v>
      </c>
      <c r="G120" s="4">
        <v>1E-3</v>
      </c>
      <c r="I120" s="4" t="s">
        <v>92</v>
      </c>
      <c r="J120" s="4">
        <v>0.9</v>
      </c>
      <c r="K120" s="4">
        <v>0.5</v>
      </c>
      <c r="L120" s="4">
        <v>0.6</v>
      </c>
      <c r="M120" s="4">
        <v>0.19</v>
      </c>
      <c r="N120" s="4">
        <v>557.04998799999998</v>
      </c>
      <c r="O120" s="4">
        <v>3.1E-2</v>
      </c>
      <c r="P120" s="5"/>
      <c r="Q120" s="5"/>
      <c r="R120" s="5"/>
      <c r="S120" s="5"/>
      <c r="U120" s="4" t="s">
        <v>92</v>
      </c>
      <c r="V120" s="4">
        <v>0.9</v>
      </c>
      <c r="W120" s="4">
        <v>0.5</v>
      </c>
      <c r="X120" s="4">
        <v>0.6</v>
      </c>
      <c r="Y120" s="4">
        <v>0.3</v>
      </c>
      <c r="Z120" s="6">
        <v>496.61914100000001</v>
      </c>
      <c r="AA120" s="4">
        <v>1E-3</v>
      </c>
      <c r="AC120" s="4" t="s">
        <v>92</v>
      </c>
      <c r="AD120" s="4">
        <v>0.9</v>
      </c>
      <c r="AE120" s="4">
        <v>0.5</v>
      </c>
      <c r="AF120" s="4">
        <v>0.6</v>
      </c>
      <c r="AG120" s="4">
        <v>0.51</v>
      </c>
      <c r="AH120" s="4">
        <v>533.48028599999998</v>
      </c>
      <c r="AI120" s="4">
        <v>2.3E-2</v>
      </c>
      <c r="AJ120" s="5"/>
      <c r="AK120" s="5"/>
      <c r="AL120" s="5"/>
      <c r="AM120" s="5"/>
      <c r="AO120" s="4" t="s">
        <v>93</v>
      </c>
      <c r="AP120" s="4">
        <v>0.9</v>
      </c>
      <c r="AQ120" s="4">
        <v>0.5</v>
      </c>
      <c r="AR120" s="4">
        <v>0.6</v>
      </c>
      <c r="AS120" s="4">
        <v>0.3</v>
      </c>
      <c r="AT120" s="6">
        <v>741.36206100000004</v>
      </c>
      <c r="AU120" s="4">
        <v>8.0000000000000002E-3</v>
      </c>
      <c r="AW120" s="4" t="s">
        <v>93</v>
      </c>
      <c r="AX120" s="4">
        <v>0.9</v>
      </c>
      <c r="AY120" s="4">
        <v>0.5</v>
      </c>
      <c r="AZ120" s="4">
        <v>0.6</v>
      </c>
      <c r="BA120" s="4">
        <v>0.5</v>
      </c>
      <c r="BB120" s="4">
        <v>845.10455300000001</v>
      </c>
      <c r="BC120" s="4">
        <v>1.4999999999999999E-2</v>
      </c>
      <c r="BD120" s="5"/>
      <c r="BE120" s="5"/>
      <c r="BF120" s="5"/>
      <c r="BG120" s="5"/>
      <c r="BI120" s="4" t="s">
        <v>93</v>
      </c>
      <c r="BJ120" s="4">
        <v>0.9</v>
      </c>
      <c r="BK120" s="4">
        <v>0.5</v>
      </c>
      <c r="BL120" s="4">
        <v>0.6</v>
      </c>
      <c r="BM120" s="4">
        <v>0.3</v>
      </c>
      <c r="BN120" s="4">
        <v>706.64318800000001</v>
      </c>
      <c r="BO120" s="4">
        <v>5.0000000000000001E-3</v>
      </c>
      <c r="BQ120" s="4" t="s">
        <v>93</v>
      </c>
      <c r="BR120" s="4">
        <v>0.9</v>
      </c>
      <c r="BS120" s="4">
        <v>0.5</v>
      </c>
      <c r="BT120" s="4">
        <v>0.6</v>
      </c>
      <c r="BU120" s="4">
        <v>0.24</v>
      </c>
      <c r="BV120" s="6">
        <v>678.06921399999999</v>
      </c>
      <c r="BW120" s="4">
        <v>4.7E-2</v>
      </c>
      <c r="BX120" s="5"/>
      <c r="BY120" s="5"/>
      <c r="BZ120" s="5"/>
      <c r="CA120" s="5"/>
    </row>
    <row r="121" spans="1:79" x14ac:dyDescent="0.3">
      <c r="A121" s="4" t="s">
        <v>94</v>
      </c>
      <c r="B121" s="4">
        <v>0.9</v>
      </c>
      <c r="C121" s="4">
        <v>0.5</v>
      </c>
      <c r="D121" s="4">
        <v>0.6</v>
      </c>
      <c r="E121" s="4">
        <v>0.3</v>
      </c>
      <c r="F121" s="4">
        <v>441.745544</v>
      </c>
      <c r="G121" s="4">
        <v>2E-3</v>
      </c>
      <c r="I121" s="4" t="s">
        <v>94</v>
      </c>
      <c r="J121" s="4">
        <v>0.9</v>
      </c>
      <c r="K121" s="4">
        <v>0.5</v>
      </c>
      <c r="L121" s="4">
        <v>0.6</v>
      </c>
      <c r="M121" s="4">
        <v>0.01</v>
      </c>
      <c r="N121" s="6">
        <v>432.20474200000001</v>
      </c>
      <c r="O121" s="4">
        <v>2.5999999999999999E-2</v>
      </c>
      <c r="P121" s="5"/>
      <c r="Q121" s="5"/>
      <c r="R121" s="5"/>
      <c r="S121" s="5"/>
      <c r="U121" s="4" t="s">
        <v>94</v>
      </c>
      <c r="V121" s="4">
        <v>0.9</v>
      </c>
      <c r="W121" s="4">
        <v>0.5</v>
      </c>
      <c r="X121" s="4">
        <v>0.6</v>
      </c>
      <c r="Y121" s="4">
        <v>0.3</v>
      </c>
      <c r="Z121" s="6">
        <v>420.32147200000003</v>
      </c>
      <c r="AA121" s="4">
        <v>1E-3</v>
      </c>
      <c r="AC121" s="4" t="s">
        <v>94</v>
      </c>
      <c r="AD121" s="4">
        <v>0.9</v>
      </c>
      <c r="AE121" s="4">
        <v>0.5</v>
      </c>
      <c r="AF121" s="4">
        <v>0.6</v>
      </c>
      <c r="AG121" s="4">
        <v>0.6</v>
      </c>
      <c r="AH121" s="4">
        <v>525.42260699999997</v>
      </c>
      <c r="AI121" s="4">
        <v>1.9E-2</v>
      </c>
      <c r="AJ121" s="5"/>
      <c r="AK121" s="5"/>
      <c r="AL121" s="5"/>
      <c r="AM121" s="5"/>
      <c r="AO121" s="4" t="s">
        <v>95</v>
      </c>
      <c r="AP121" s="4">
        <v>0.9</v>
      </c>
      <c r="AQ121" s="4">
        <v>0.5</v>
      </c>
      <c r="AR121" s="4">
        <v>0.6</v>
      </c>
      <c r="AS121" s="4">
        <v>0.3</v>
      </c>
      <c r="AT121" s="6">
        <v>814.53161599999999</v>
      </c>
      <c r="AU121" s="4">
        <v>8.9999999999999993E-3</v>
      </c>
      <c r="AW121" s="4" t="s">
        <v>95</v>
      </c>
      <c r="AX121" s="4">
        <v>0.9</v>
      </c>
      <c r="AY121" s="4">
        <v>0.5</v>
      </c>
      <c r="AZ121" s="4">
        <v>0.6</v>
      </c>
      <c r="BA121" s="4">
        <v>0.78</v>
      </c>
      <c r="BB121" s="4">
        <v>998.17034899999999</v>
      </c>
      <c r="BC121" s="4">
        <v>1.4E-2</v>
      </c>
      <c r="BD121" s="5"/>
      <c r="BE121" s="5"/>
      <c r="BF121" s="5"/>
      <c r="BG121" s="5"/>
      <c r="BI121" s="4" t="s">
        <v>95</v>
      </c>
      <c r="BJ121" s="4">
        <v>0.9</v>
      </c>
      <c r="BK121" s="4">
        <v>0.5</v>
      </c>
      <c r="BL121" s="4">
        <v>0.6</v>
      </c>
      <c r="BM121" s="4">
        <v>0.3</v>
      </c>
      <c r="BN121" s="6">
        <v>771.59594700000002</v>
      </c>
      <c r="BO121" s="4">
        <v>7.0000000000000001E-3</v>
      </c>
      <c r="BQ121" s="4" t="s">
        <v>95</v>
      </c>
      <c r="BR121" s="4">
        <v>0.9</v>
      </c>
      <c r="BS121" s="4">
        <v>0.5</v>
      </c>
      <c r="BT121" s="4">
        <v>0.6</v>
      </c>
      <c r="BU121" s="4">
        <v>0.74</v>
      </c>
      <c r="BV121" s="4">
        <v>978.29187000000002</v>
      </c>
      <c r="BW121" s="4">
        <v>3.6999999999999998E-2</v>
      </c>
      <c r="BX121" s="5"/>
      <c r="BY121" s="5"/>
      <c r="BZ121" s="5"/>
      <c r="CA121" s="5"/>
    </row>
    <row r="122" spans="1:79" x14ac:dyDescent="0.3">
      <c r="A122" s="4" t="s">
        <v>96</v>
      </c>
      <c r="B122" s="4">
        <v>0.9</v>
      </c>
      <c r="C122" s="4">
        <v>0.5</v>
      </c>
      <c r="D122" s="4">
        <v>0.6</v>
      </c>
      <c r="E122" s="4">
        <v>0.3</v>
      </c>
      <c r="F122" s="4">
        <v>585.30450399999995</v>
      </c>
      <c r="G122" s="4">
        <v>2E-3</v>
      </c>
      <c r="I122" s="4" t="s">
        <v>96</v>
      </c>
      <c r="J122" s="4">
        <v>0.9</v>
      </c>
      <c r="K122" s="4">
        <v>0.5</v>
      </c>
      <c r="L122" s="4">
        <v>0.6</v>
      </c>
      <c r="M122" s="4">
        <v>0.21</v>
      </c>
      <c r="N122" s="6">
        <v>575.90270999999996</v>
      </c>
      <c r="O122" s="4">
        <v>8.0000000000000002E-3</v>
      </c>
      <c r="P122" s="5"/>
      <c r="Q122" s="5"/>
      <c r="R122" s="5"/>
      <c r="S122" s="5"/>
      <c r="U122" s="4" t="s">
        <v>96</v>
      </c>
      <c r="V122" s="4">
        <v>0.9</v>
      </c>
      <c r="W122" s="4">
        <v>0.5</v>
      </c>
      <c r="X122" s="4">
        <v>0.6</v>
      </c>
      <c r="Y122" s="4">
        <v>0.3</v>
      </c>
      <c r="Z122" s="6">
        <v>558.20214799999997</v>
      </c>
      <c r="AA122" s="4">
        <v>1E-3</v>
      </c>
      <c r="AC122" s="4" t="s">
        <v>96</v>
      </c>
      <c r="AD122" s="4">
        <v>0.9</v>
      </c>
      <c r="AE122" s="4">
        <v>0.5</v>
      </c>
      <c r="AF122" s="4">
        <v>0.6</v>
      </c>
      <c r="AG122" s="4">
        <v>0.88</v>
      </c>
      <c r="AH122" s="4">
        <v>643.59765600000003</v>
      </c>
      <c r="AI122" s="4">
        <v>8.0000000000000002E-3</v>
      </c>
      <c r="AJ122" s="5"/>
      <c r="AK122" s="5"/>
      <c r="AL122" s="5"/>
      <c r="AM122" s="5"/>
      <c r="AO122" s="4" t="s">
        <v>97</v>
      </c>
      <c r="AP122" s="4">
        <v>0.9</v>
      </c>
      <c r="AQ122" s="4">
        <v>0.5</v>
      </c>
      <c r="AR122" s="4">
        <v>0.6</v>
      </c>
      <c r="AS122" s="4">
        <v>0.3</v>
      </c>
      <c r="AT122" s="6">
        <v>955.05542000000003</v>
      </c>
      <c r="AU122" s="4">
        <v>7.0000000000000001E-3</v>
      </c>
      <c r="AW122" s="4" t="s">
        <v>97</v>
      </c>
      <c r="AX122" s="4">
        <v>0.9</v>
      </c>
      <c r="AY122" s="4">
        <v>0.5</v>
      </c>
      <c r="AZ122" s="4">
        <v>0.6</v>
      </c>
      <c r="BA122" s="4">
        <v>0.65</v>
      </c>
      <c r="BB122" s="4">
        <v>1081.380371</v>
      </c>
      <c r="BC122" s="4">
        <v>0.01</v>
      </c>
      <c r="BD122" s="5"/>
      <c r="BE122" s="5"/>
      <c r="BF122" s="5"/>
      <c r="BG122" s="5"/>
      <c r="BI122" s="4" t="s">
        <v>97</v>
      </c>
      <c r="BJ122" s="4">
        <v>0.9</v>
      </c>
      <c r="BK122" s="4">
        <v>0.5</v>
      </c>
      <c r="BL122" s="4">
        <v>0.6</v>
      </c>
      <c r="BM122" s="4">
        <v>0.3</v>
      </c>
      <c r="BN122" s="6">
        <v>907.13232400000004</v>
      </c>
      <c r="BO122" s="4">
        <v>8.9999999999999993E-3</v>
      </c>
      <c r="BQ122" s="4" t="s">
        <v>97</v>
      </c>
      <c r="BR122" s="4">
        <v>0.9</v>
      </c>
      <c r="BS122" s="4">
        <v>0.5</v>
      </c>
      <c r="BT122" s="4">
        <v>0.6</v>
      </c>
      <c r="BU122" s="4">
        <v>0.99</v>
      </c>
      <c r="BV122" s="4">
        <v>1090.6735839999999</v>
      </c>
      <c r="BW122" s="4">
        <v>1.7999999999999999E-2</v>
      </c>
      <c r="BX122" s="5"/>
      <c r="BY122" s="5"/>
      <c r="BZ122" s="5"/>
      <c r="CA122" s="5"/>
    </row>
    <row r="123" spans="1:79" x14ac:dyDescent="0.3">
      <c r="A123" s="4" t="s">
        <v>98</v>
      </c>
      <c r="B123" s="4">
        <v>0.9</v>
      </c>
      <c r="C123" s="4">
        <v>0.5</v>
      </c>
      <c r="D123" s="4">
        <v>0.6</v>
      </c>
      <c r="E123" s="4">
        <v>0.3</v>
      </c>
      <c r="F123" s="6">
        <v>455.38677999999999</v>
      </c>
      <c r="G123" s="4">
        <v>1E-3</v>
      </c>
      <c r="I123" s="4" t="s">
        <v>98</v>
      </c>
      <c r="J123" s="4">
        <v>0.9</v>
      </c>
      <c r="K123" s="4">
        <v>0.5</v>
      </c>
      <c r="L123" s="4">
        <v>0.6</v>
      </c>
      <c r="M123" s="4">
        <v>0.91</v>
      </c>
      <c r="N123" s="4">
        <v>592.31890899999996</v>
      </c>
      <c r="O123" s="4">
        <v>1.4999999999999999E-2</v>
      </c>
      <c r="P123" s="5"/>
      <c r="Q123" s="5"/>
      <c r="R123" s="5"/>
      <c r="S123" s="5"/>
      <c r="U123" s="4" t="s">
        <v>98</v>
      </c>
      <c r="V123" s="4">
        <v>0.9</v>
      </c>
      <c r="W123" s="4">
        <v>0.5</v>
      </c>
      <c r="X123" s="4">
        <v>0.6</v>
      </c>
      <c r="Y123" s="4">
        <v>0.3</v>
      </c>
      <c r="Z123" s="6">
        <v>428.31997699999999</v>
      </c>
      <c r="AA123" s="4">
        <v>2E-3</v>
      </c>
      <c r="AC123" s="4" t="s">
        <v>98</v>
      </c>
      <c r="AD123" s="4">
        <v>0.9</v>
      </c>
      <c r="AE123" s="4">
        <v>0.5</v>
      </c>
      <c r="AF123" s="4">
        <v>0.6</v>
      </c>
      <c r="AG123" s="4">
        <v>0.59</v>
      </c>
      <c r="AH123" s="4">
        <v>500.13116500000001</v>
      </c>
      <c r="AI123" s="4">
        <v>1.4999999999999999E-2</v>
      </c>
      <c r="AJ123" s="5"/>
      <c r="AK123" s="5"/>
      <c r="AL123" s="5"/>
      <c r="AM123" s="5"/>
      <c r="AO123" s="4" t="s">
        <v>99</v>
      </c>
      <c r="AP123" s="4">
        <v>0.9</v>
      </c>
      <c r="AQ123" s="4">
        <v>0.5</v>
      </c>
      <c r="AR123" s="4">
        <v>0.6</v>
      </c>
      <c r="AS123" s="4">
        <v>0.3</v>
      </c>
      <c r="AT123" s="6">
        <v>889.88458300000002</v>
      </c>
      <c r="AU123" s="4">
        <v>5.0000000000000001E-3</v>
      </c>
      <c r="AW123" s="4" t="s">
        <v>99</v>
      </c>
      <c r="AX123" s="4">
        <v>0.9</v>
      </c>
      <c r="AY123" s="4">
        <v>0.5</v>
      </c>
      <c r="AZ123" s="4">
        <v>0.6</v>
      </c>
      <c r="BA123" s="4">
        <v>0.23</v>
      </c>
      <c r="BB123" s="4">
        <v>882.39019800000005</v>
      </c>
      <c r="BC123" s="4">
        <v>1.0999999999999999E-2</v>
      </c>
      <c r="BD123" s="5"/>
      <c r="BE123" s="5"/>
      <c r="BF123" s="5"/>
      <c r="BG123" s="5"/>
      <c r="BI123" s="4" t="s">
        <v>99</v>
      </c>
      <c r="BJ123" s="4">
        <v>0.9</v>
      </c>
      <c r="BK123" s="4">
        <v>0.5</v>
      </c>
      <c r="BL123" s="4">
        <v>0.6</v>
      </c>
      <c r="BM123" s="4">
        <v>0.3</v>
      </c>
      <c r="BN123" s="4">
        <v>866.41607699999997</v>
      </c>
      <c r="BO123" s="4">
        <v>8.0000000000000002E-3</v>
      </c>
      <c r="BQ123" s="4" t="s">
        <v>99</v>
      </c>
      <c r="BR123" s="4">
        <v>0.9</v>
      </c>
      <c r="BS123" s="4">
        <v>0.5</v>
      </c>
      <c r="BT123" s="4">
        <v>0.6</v>
      </c>
      <c r="BU123" s="4">
        <v>0.14000000000000001</v>
      </c>
      <c r="BV123" s="6">
        <v>756.57391399999995</v>
      </c>
      <c r="BW123" s="4">
        <v>3.1E-2</v>
      </c>
      <c r="BX123" s="5"/>
      <c r="BY123" s="5"/>
      <c r="BZ123" s="5"/>
      <c r="CA123" s="5"/>
    </row>
    <row r="124" spans="1:79" x14ac:dyDescent="0.3">
      <c r="A124" s="4" t="s">
        <v>100</v>
      </c>
      <c r="B124" s="4">
        <v>0.9</v>
      </c>
      <c r="C124" s="4">
        <v>0.5</v>
      </c>
      <c r="D124" s="4">
        <v>0.6</v>
      </c>
      <c r="E124" s="4">
        <v>0.3</v>
      </c>
      <c r="F124" s="6">
        <v>602.13256799999999</v>
      </c>
      <c r="G124" s="4">
        <v>2E-3</v>
      </c>
      <c r="I124" s="4" t="s">
        <v>100</v>
      </c>
      <c r="J124" s="4">
        <v>0.9</v>
      </c>
      <c r="K124" s="4">
        <v>0.5</v>
      </c>
      <c r="L124" s="4">
        <v>0.6</v>
      </c>
      <c r="M124" s="4">
        <v>0.35</v>
      </c>
      <c r="N124" s="4">
        <v>621.20977800000003</v>
      </c>
      <c r="O124" s="4">
        <v>1.4999999999999999E-2</v>
      </c>
      <c r="P124" s="5"/>
      <c r="Q124" s="5"/>
      <c r="R124" s="5"/>
      <c r="S124" s="5"/>
      <c r="U124" s="4" t="s">
        <v>100</v>
      </c>
      <c r="V124" s="4">
        <v>0.9</v>
      </c>
      <c r="W124" s="4">
        <v>0.5</v>
      </c>
      <c r="X124" s="4">
        <v>0.6</v>
      </c>
      <c r="Y124" s="4">
        <v>0.3</v>
      </c>
      <c r="Z124" s="6">
        <v>599.50665300000003</v>
      </c>
      <c r="AA124" s="4">
        <v>1E-3</v>
      </c>
      <c r="AC124" s="4" t="s">
        <v>100</v>
      </c>
      <c r="AD124" s="4">
        <v>0.9</v>
      </c>
      <c r="AE124" s="4">
        <v>0.5</v>
      </c>
      <c r="AF124" s="4">
        <v>0.6</v>
      </c>
      <c r="AG124" s="4">
        <v>0.61</v>
      </c>
      <c r="AH124" s="4">
        <v>664.019409</v>
      </c>
      <c r="AI124" s="4">
        <v>0.01</v>
      </c>
      <c r="AJ124" s="5"/>
      <c r="AK124" s="5"/>
      <c r="AL124" s="5"/>
      <c r="AM124" s="5"/>
      <c r="AO124" s="4" t="s">
        <v>101</v>
      </c>
      <c r="AP124" s="4">
        <v>0.9</v>
      </c>
      <c r="AQ124" s="4">
        <v>0.5</v>
      </c>
      <c r="AR124" s="4">
        <v>0.6</v>
      </c>
      <c r="AS124" s="4">
        <v>0.3</v>
      </c>
      <c r="AT124" s="6">
        <v>787.32458499999996</v>
      </c>
      <c r="AU124" s="4">
        <v>5.0000000000000001E-3</v>
      </c>
      <c r="AW124" s="4" t="s">
        <v>101</v>
      </c>
      <c r="AX124" s="4">
        <v>0.9</v>
      </c>
      <c r="AY124" s="4">
        <v>0.5</v>
      </c>
      <c r="AZ124" s="4">
        <v>0.6</v>
      </c>
      <c r="BA124" s="4">
        <v>0.65</v>
      </c>
      <c r="BB124" s="4">
        <v>970.76611300000002</v>
      </c>
      <c r="BC124" s="4">
        <v>1.2E-2</v>
      </c>
      <c r="BD124" s="5"/>
      <c r="BE124" s="5"/>
      <c r="BF124" s="5"/>
      <c r="BG124" s="5"/>
      <c r="BI124" s="4" t="s">
        <v>101</v>
      </c>
      <c r="BJ124" s="4">
        <v>0.9</v>
      </c>
      <c r="BK124" s="4">
        <v>0.5</v>
      </c>
      <c r="BL124" s="4">
        <v>0.6</v>
      </c>
      <c r="BM124" s="4">
        <v>0.3</v>
      </c>
      <c r="BN124" s="6">
        <v>788.72729500000003</v>
      </c>
      <c r="BO124" s="4">
        <v>5.0000000000000001E-3</v>
      </c>
      <c r="BQ124" s="4" t="s">
        <v>101</v>
      </c>
      <c r="BR124" s="4">
        <v>0.9</v>
      </c>
      <c r="BS124" s="4">
        <v>0.5</v>
      </c>
      <c r="BT124" s="4">
        <v>0.6</v>
      </c>
      <c r="BU124" s="4">
        <v>0.65</v>
      </c>
      <c r="BV124" s="4">
        <v>980.95135500000004</v>
      </c>
      <c r="BW124" s="4">
        <v>2.1000000000000001E-2</v>
      </c>
      <c r="BX124" s="5"/>
      <c r="BY124" s="5"/>
      <c r="BZ124" s="5"/>
      <c r="CA124" s="5"/>
    </row>
    <row r="125" spans="1:79" x14ac:dyDescent="0.3">
      <c r="A125" s="4" t="s">
        <v>102</v>
      </c>
      <c r="B125" s="4">
        <v>0.9</v>
      </c>
      <c r="C125" s="4">
        <v>0.5</v>
      </c>
      <c r="D125" s="4">
        <v>0.6</v>
      </c>
      <c r="E125" s="4">
        <v>0.3</v>
      </c>
      <c r="F125" s="4">
        <v>599.83892800000001</v>
      </c>
      <c r="G125" s="4">
        <v>1E-3</v>
      </c>
      <c r="I125" s="4" t="s">
        <v>102</v>
      </c>
      <c r="J125" s="4">
        <v>0.9</v>
      </c>
      <c r="K125" s="4">
        <v>0.5</v>
      </c>
      <c r="L125" s="4">
        <v>0.6</v>
      </c>
      <c r="M125" s="4">
        <v>0.18</v>
      </c>
      <c r="N125" s="6">
        <v>596.16888400000005</v>
      </c>
      <c r="O125" s="4">
        <v>1.2999999999999999E-2</v>
      </c>
      <c r="P125" s="5"/>
      <c r="Q125" s="5"/>
      <c r="R125" s="5"/>
      <c r="S125" s="5"/>
      <c r="U125" s="4" t="s">
        <v>102</v>
      </c>
      <c r="V125" s="4">
        <v>0.9</v>
      </c>
      <c r="W125" s="4">
        <v>0.5</v>
      </c>
      <c r="X125" s="4">
        <v>0.6</v>
      </c>
      <c r="Y125" s="4">
        <v>0.3</v>
      </c>
      <c r="Z125" s="6">
        <v>595.14544699999999</v>
      </c>
      <c r="AA125" s="4">
        <v>1E-3</v>
      </c>
      <c r="AC125" s="4" t="s">
        <v>102</v>
      </c>
      <c r="AD125" s="4">
        <v>0.9</v>
      </c>
      <c r="AE125" s="4">
        <v>0.5</v>
      </c>
      <c r="AF125" s="4">
        <v>0.6</v>
      </c>
      <c r="AG125" s="4">
        <v>0.96</v>
      </c>
      <c r="AH125" s="4">
        <v>688.150757</v>
      </c>
      <c r="AI125" s="4">
        <v>1.2999999999999999E-2</v>
      </c>
      <c r="AJ125" s="5"/>
      <c r="AK125" s="5"/>
      <c r="AL125" s="5"/>
      <c r="AM125" s="5"/>
      <c r="AO125" s="4" t="s">
        <v>103</v>
      </c>
      <c r="AP125" s="4">
        <v>0.9</v>
      </c>
      <c r="AQ125" s="4">
        <v>0.5</v>
      </c>
      <c r="AR125" s="4">
        <v>0.6</v>
      </c>
      <c r="AS125" s="4">
        <v>0.3</v>
      </c>
      <c r="AT125" s="6">
        <v>859.97186299999998</v>
      </c>
      <c r="AU125" s="4">
        <v>1.0999999999999999E-2</v>
      </c>
      <c r="AW125" s="4" t="s">
        <v>103</v>
      </c>
      <c r="AX125" s="4">
        <v>0.9</v>
      </c>
      <c r="AY125" s="4">
        <v>0.5</v>
      </c>
      <c r="AZ125" s="4">
        <v>0.6</v>
      </c>
      <c r="BA125" s="4">
        <v>0.94</v>
      </c>
      <c r="BB125" s="4">
        <v>1016.879944</v>
      </c>
      <c r="BC125" s="4">
        <v>1.7000000000000001E-2</v>
      </c>
      <c r="BD125" s="5"/>
      <c r="BE125" s="5"/>
      <c r="BF125" s="5"/>
      <c r="BG125" s="5"/>
      <c r="BI125" s="4" t="s">
        <v>103</v>
      </c>
      <c r="BJ125" s="4">
        <v>0.9</v>
      </c>
      <c r="BK125" s="4">
        <v>0.5</v>
      </c>
      <c r="BL125" s="4">
        <v>0.6</v>
      </c>
      <c r="BM125" s="4">
        <v>0.3</v>
      </c>
      <c r="BN125" s="6">
        <v>808.46502699999996</v>
      </c>
      <c r="BO125" s="4">
        <v>8.0000000000000002E-3</v>
      </c>
      <c r="BQ125" s="4" t="s">
        <v>103</v>
      </c>
      <c r="BR125" s="4">
        <v>0.9</v>
      </c>
      <c r="BS125" s="4">
        <v>0.5</v>
      </c>
      <c r="BT125" s="4">
        <v>0.6</v>
      </c>
      <c r="BU125" s="4">
        <v>0.39</v>
      </c>
      <c r="BV125" s="4">
        <v>897.47271699999999</v>
      </c>
      <c r="BW125" s="4">
        <v>1.4999999999999999E-2</v>
      </c>
      <c r="BX125" s="5"/>
      <c r="BY125" s="5"/>
      <c r="BZ125" s="5"/>
      <c r="CA125" s="5"/>
    </row>
    <row r="126" spans="1:79" x14ac:dyDescent="0.3">
      <c r="A126" s="4" t="s">
        <v>104</v>
      </c>
      <c r="B126" s="4">
        <v>0.9</v>
      </c>
      <c r="C126" s="4">
        <v>0.5</v>
      </c>
      <c r="D126" s="4">
        <v>0.6</v>
      </c>
      <c r="E126" s="4">
        <v>0.3</v>
      </c>
      <c r="F126" s="6">
        <v>580.26434300000005</v>
      </c>
      <c r="G126" s="4">
        <v>1E-3</v>
      </c>
      <c r="I126" s="4" t="s">
        <v>104</v>
      </c>
      <c r="J126" s="4">
        <v>0.9</v>
      </c>
      <c r="K126" s="4">
        <v>0.5</v>
      </c>
      <c r="L126" s="4">
        <v>0.6</v>
      </c>
      <c r="M126" s="4">
        <v>0.82</v>
      </c>
      <c r="N126" s="4">
        <v>681.259277</v>
      </c>
      <c r="O126" s="4">
        <v>0.01</v>
      </c>
      <c r="P126" s="5"/>
      <c r="Q126" s="5"/>
      <c r="R126" s="5"/>
      <c r="S126" s="5"/>
      <c r="U126" s="4" t="s">
        <v>104</v>
      </c>
      <c r="V126" s="4">
        <v>0.9</v>
      </c>
      <c r="W126" s="4">
        <v>0.5</v>
      </c>
      <c r="X126" s="4">
        <v>0.6</v>
      </c>
      <c r="Y126" s="4">
        <v>0.3</v>
      </c>
      <c r="Z126" s="6">
        <v>572.114014</v>
      </c>
      <c r="AA126" s="4">
        <v>1E-3</v>
      </c>
      <c r="AC126" s="4" t="s">
        <v>104</v>
      </c>
      <c r="AD126" s="4">
        <v>0.9</v>
      </c>
      <c r="AE126" s="4">
        <v>0.5</v>
      </c>
      <c r="AF126" s="4">
        <v>0.6</v>
      </c>
      <c r="AG126" s="4">
        <v>0.39</v>
      </c>
      <c r="AH126" s="4">
        <v>603.65136700000005</v>
      </c>
      <c r="AI126" s="4">
        <v>8.9999999999999993E-3</v>
      </c>
      <c r="AJ126" s="5"/>
      <c r="AK126" s="5"/>
      <c r="AL126" s="5"/>
      <c r="AM126" s="5"/>
      <c r="AO126" s="4" t="s">
        <v>105</v>
      </c>
      <c r="AP126" s="4">
        <v>0.9</v>
      </c>
      <c r="AQ126" s="4">
        <v>0.5</v>
      </c>
      <c r="AR126" s="4">
        <v>0.6</v>
      </c>
      <c r="AS126" s="4">
        <v>0.3</v>
      </c>
      <c r="AT126" s="6">
        <v>984.21691899999996</v>
      </c>
      <c r="AU126" s="4">
        <v>1.2E-2</v>
      </c>
      <c r="AW126" s="4" t="s">
        <v>105</v>
      </c>
      <c r="AX126" s="4">
        <v>0.9</v>
      </c>
      <c r="AY126" s="4">
        <v>0.5</v>
      </c>
      <c r="AZ126" s="4">
        <v>0.6</v>
      </c>
      <c r="BA126" s="4">
        <v>0.37</v>
      </c>
      <c r="BB126" s="4">
        <v>1012.917419</v>
      </c>
      <c r="BC126" s="4">
        <v>2.7E-2</v>
      </c>
      <c r="BD126" s="5"/>
      <c r="BE126" s="5"/>
      <c r="BF126" s="5"/>
      <c r="BG126" s="5"/>
      <c r="BI126" s="4" t="s">
        <v>105</v>
      </c>
      <c r="BJ126" s="4">
        <v>0.9</v>
      </c>
      <c r="BK126" s="4">
        <v>0.5</v>
      </c>
      <c r="BL126" s="4">
        <v>0.6</v>
      </c>
      <c r="BM126" s="4">
        <v>0.3</v>
      </c>
      <c r="BN126" s="4">
        <v>941.87219200000004</v>
      </c>
      <c r="BO126" s="4">
        <v>6.0000000000000001E-3</v>
      </c>
      <c r="BQ126" s="4" t="s">
        <v>105</v>
      </c>
      <c r="BR126" s="4">
        <v>0.9</v>
      </c>
      <c r="BS126" s="4">
        <v>0.5</v>
      </c>
      <c r="BT126" s="4">
        <v>0.6</v>
      </c>
      <c r="BU126" s="4">
        <v>0.08</v>
      </c>
      <c r="BV126" s="6">
        <v>771.94293200000004</v>
      </c>
      <c r="BW126" s="4">
        <v>0.03</v>
      </c>
      <c r="BX126" s="5"/>
      <c r="BY126" s="5"/>
      <c r="BZ126" s="5"/>
      <c r="CA126" s="5"/>
    </row>
    <row r="127" spans="1:79" x14ac:dyDescent="0.3">
      <c r="A127" s="4" t="s">
        <v>106</v>
      </c>
      <c r="B127" s="4">
        <v>0.9</v>
      </c>
      <c r="C127" s="4">
        <v>0.5</v>
      </c>
      <c r="D127" s="4">
        <v>0.6</v>
      </c>
      <c r="E127" s="4">
        <v>0.3</v>
      </c>
      <c r="F127" s="6">
        <v>535.00170900000001</v>
      </c>
      <c r="G127" s="4">
        <v>2E-3</v>
      </c>
      <c r="I127" s="4" t="s">
        <v>106</v>
      </c>
      <c r="J127" s="4">
        <v>0.9</v>
      </c>
      <c r="K127" s="4">
        <v>0.5</v>
      </c>
      <c r="L127" s="4">
        <v>0.6</v>
      </c>
      <c r="M127" s="4">
        <v>0.04</v>
      </c>
      <c r="N127" s="4">
        <v>567.05273399999999</v>
      </c>
      <c r="O127" s="4">
        <v>2.7E-2</v>
      </c>
      <c r="P127" s="5"/>
      <c r="Q127" s="5"/>
      <c r="R127" s="5"/>
      <c r="S127" s="5"/>
      <c r="U127" s="4" t="s">
        <v>106</v>
      </c>
      <c r="V127" s="4">
        <v>0.9</v>
      </c>
      <c r="W127" s="4">
        <v>0.5</v>
      </c>
      <c r="X127" s="4">
        <v>0.6</v>
      </c>
      <c r="Y127" s="4">
        <v>0.3</v>
      </c>
      <c r="Z127" s="6">
        <v>519.22289999999998</v>
      </c>
      <c r="AA127" s="4">
        <v>1E-3</v>
      </c>
      <c r="AC127" s="4" t="s">
        <v>106</v>
      </c>
      <c r="AD127" s="4">
        <v>0.9</v>
      </c>
      <c r="AE127" s="4">
        <v>0.5</v>
      </c>
      <c r="AF127" s="4">
        <v>0.6</v>
      </c>
      <c r="AG127" s="4">
        <v>0.51</v>
      </c>
      <c r="AH127" s="4">
        <v>606.734375</v>
      </c>
      <c r="AI127" s="4">
        <v>1.4E-2</v>
      </c>
      <c r="AJ127" s="5"/>
      <c r="AK127" s="5"/>
      <c r="AL127" s="5"/>
      <c r="AM127" s="5"/>
      <c r="AO127" s="4" t="s">
        <v>107</v>
      </c>
      <c r="AP127" s="4">
        <v>0.9</v>
      </c>
      <c r="AQ127" s="4">
        <v>0.5</v>
      </c>
      <c r="AR127" s="4">
        <v>0.6</v>
      </c>
      <c r="AS127" s="4">
        <v>0.3</v>
      </c>
      <c r="AT127" s="6">
        <v>1047.9748540000001</v>
      </c>
      <c r="AU127" s="4">
        <v>7.0000000000000001E-3</v>
      </c>
      <c r="AW127" s="4" t="s">
        <v>107</v>
      </c>
      <c r="AX127" s="4">
        <v>0.9</v>
      </c>
      <c r="AY127" s="4">
        <v>0.5</v>
      </c>
      <c r="AZ127" s="4">
        <v>0.6</v>
      </c>
      <c r="BA127" s="4">
        <v>0.61</v>
      </c>
      <c r="BB127" s="4">
        <v>1132.849365</v>
      </c>
      <c r="BC127" s="4">
        <v>0.02</v>
      </c>
      <c r="BD127" s="5"/>
      <c r="BE127" s="5"/>
      <c r="BF127" s="5"/>
      <c r="BG127" s="5"/>
      <c r="BI127" s="4" t="s">
        <v>107</v>
      </c>
      <c r="BJ127" s="4">
        <v>0.9</v>
      </c>
      <c r="BK127" s="4">
        <v>0.5</v>
      </c>
      <c r="BL127" s="4">
        <v>0.6</v>
      </c>
      <c r="BM127" s="4">
        <v>0.3</v>
      </c>
      <c r="BN127" s="4">
        <v>1023.3912350000001</v>
      </c>
      <c r="BO127" s="4">
        <v>8.9999999999999993E-3</v>
      </c>
      <c r="BQ127" s="4" t="s">
        <v>107</v>
      </c>
      <c r="BR127" s="4">
        <v>0.9</v>
      </c>
      <c r="BS127" s="4">
        <v>0.5</v>
      </c>
      <c r="BT127" s="4">
        <v>0.6</v>
      </c>
      <c r="BU127" s="4">
        <v>7.0000000000000007E-2</v>
      </c>
      <c r="BV127" s="6">
        <v>847.97863800000005</v>
      </c>
      <c r="BW127" s="4">
        <v>2.8000000000000001E-2</v>
      </c>
      <c r="BX127" s="5"/>
      <c r="BY127" s="5"/>
      <c r="BZ127" s="5"/>
      <c r="CA127" s="5"/>
    </row>
    <row r="128" spans="1:79" x14ac:dyDescent="0.3">
      <c r="A128" s="4" t="s">
        <v>108</v>
      </c>
      <c r="B128" s="4">
        <v>0.9</v>
      </c>
      <c r="C128" s="4">
        <v>0.5</v>
      </c>
      <c r="D128" s="4">
        <v>0.6</v>
      </c>
      <c r="E128" s="4">
        <v>0.3</v>
      </c>
      <c r="F128" s="6">
        <v>601.55273399999999</v>
      </c>
      <c r="G128" s="4">
        <v>2E-3</v>
      </c>
      <c r="I128" s="4" t="s">
        <v>108</v>
      </c>
      <c r="J128" s="4">
        <v>0.9</v>
      </c>
      <c r="K128" s="4">
        <v>0.5</v>
      </c>
      <c r="L128" s="4">
        <v>0.6</v>
      </c>
      <c r="M128" s="4">
        <v>0.11</v>
      </c>
      <c r="N128" s="4">
        <v>631.16156000000001</v>
      </c>
      <c r="O128" s="4">
        <v>0.01</v>
      </c>
      <c r="P128" s="5"/>
      <c r="Q128" s="5"/>
      <c r="R128" s="5"/>
      <c r="S128" s="5"/>
      <c r="U128" s="4" t="s">
        <v>108</v>
      </c>
      <c r="V128" s="4">
        <v>0.9</v>
      </c>
      <c r="W128" s="4">
        <v>0.5</v>
      </c>
      <c r="X128" s="4">
        <v>0.6</v>
      </c>
      <c r="Y128" s="4">
        <v>0.3</v>
      </c>
      <c r="Z128" s="6">
        <v>559.64392099999998</v>
      </c>
      <c r="AA128" s="4">
        <v>2E-3</v>
      </c>
      <c r="AC128" s="4" t="s">
        <v>108</v>
      </c>
      <c r="AD128" s="4">
        <v>0.9</v>
      </c>
      <c r="AE128" s="4">
        <v>0.5</v>
      </c>
      <c r="AF128" s="4">
        <v>0.6</v>
      </c>
      <c r="AG128" s="4">
        <v>0.04</v>
      </c>
      <c r="AH128" s="4">
        <v>621.52050799999995</v>
      </c>
      <c r="AI128" s="4">
        <v>8.9999999999999993E-3</v>
      </c>
      <c r="AJ128" s="5"/>
      <c r="AK128" s="5"/>
      <c r="AL128" s="5"/>
      <c r="AM128" s="5"/>
      <c r="AO128" s="4" t="s">
        <v>109</v>
      </c>
      <c r="AP128" s="4">
        <v>0.9</v>
      </c>
      <c r="AQ128" s="4">
        <v>0.5</v>
      </c>
      <c r="AR128" s="4">
        <v>0.6</v>
      </c>
      <c r="AS128" s="4">
        <v>0.3</v>
      </c>
      <c r="AT128" s="6">
        <v>889.67242399999998</v>
      </c>
      <c r="AU128" s="4">
        <v>5.0000000000000001E-3</v>
      </c>
      <c r="AW128" s="4" t="s">
        <v>109</v>
      </c>
      <c r="AX128" s="4">
        <v>0.9</v>
      </c>
      <c r="AY128" s="4">
        <v>0.5</v>
      </c>
      <c r="AZ128" s="4">
        <v>0.6</v>
      </c>
      <c r="BA128" s="4">
        <v>0.7</v>
      </c>
      <c r="BB128" s="4">
        <v>1082.5980219999999</v>
      </c>
      <c r="BC128" s="4">
        <v>0.02</v>
      </c>
      <c r="BD128" s="5"/>
      <c r="BE128" s="5"/>
      <c r="BF128" s="5"/>
      <c r="BG128" s="5"/>
      <c r="BI128" s="4" t="s">
        <v>109</v>
      </c>
      <c r="BJ128" s="4">
        <v>0.9</v>
      </c>
      <c r="BK128" s="4">
        <v>0.5</v>
      </c>
      <c r="BL128" s="4">
        <v>0.6</v>
      </c>
      <c r="BM128" s="4">
        <v>0.3</v>
      </c>
      <c r="BN128" s="6">
        <v>864.14624000000003</v>
      </c>
      <c r="BO128" s="4">
        <v>7.0000000000000001E-3</v>
      </c>
      <c r="BQ128" s="4" t="s">
        <v>109</v>
      </c>
      <c r="BR128" s="4">
        <v>0.9</v>
      </c>
      <c r="BS128" s="4">
        <v>0.5</v>
      </c>
      <c r="BT128" s="4">
        <v>0.6</v>
      </c>
      <c r="BU128" s="4">
        <v>0.66</v>
      </c>
      <c r="BV128" s="4">
        <v>1060.3695070000001</v>
      </c>
      <c r="BW128" s="4">
        <v>2.7E-2</v>
      </c>
      <c r="BX128" s="5"/>
      <c r="BY128" s="5"/>
      <c r="BZ128" s="5"/>
      <c r="CA128" s="5"/>
    </row>
    <row r="129" spans="1:79" x14ac:dyDescent="0.3">
      <c r="A129" s="4" t="s">
        <v>110</v>
      </c>
      <c r="B129" s="4">
        <v>0.9</v>
      </c>
      <c r="C129" s="4">
        <v>0.5</v>
      </c>
      <c r="D129" s="4">
        <v>0.6</v>
      </c>
      <c r="E129" s="4">
        <v>0.3</v>
      </c>
      <c r="F129" s="6">
        <v>575.77954099999999</v>
      </c>
      <c r="G129" s="4">
        <v>1E-3</v>
      </c>
      <c r="I129" s="4" t="s">
        <v>110</v>
      </c>
      <c r="J129" s="4">
        <v>0.9</v>
      </c>
      <c r="K129" s="4">
        <v>0.5</v>
      </c>
      <c r="L129" s="4">
        <v>0.6</v>
      </c>
      <c r="M129" s="4">
        <v>0.46</v>
      </c>
      <c r="N129" s="4">
        <v>632.43878199999995</v>
      </c>
      <c r="O129" s="4">
        <v>8.0000000000000002E-3</v>
      </c>
      <c r="P129" s="5"/>
      <c r="Q129" s="5"/>
      <c r="R129" s="5"/>
      <c r="S129" s="5"/>
      <c r="U129" s="4" t="s">
        <v>110</v>
      </c>
      <c r="V129" s="4">
        <v>0.9</v>
      </c>
      <c r="W129" s="4">
        <v>0.5</v>
      </c>
      <c r="X129" s="4">
        <v>0.6</v>
      </c>
      <c r="Y129" s="4">
        <v>0.3</v>
      </c>
      <c r="Z129" s="6">
        <v>557.52557400000001</v>
      </c>
      <c r="AA129" s="4">
        <v>2E-3</v>
      </c>
      <c r="AC129" s="4" t="s">
        <v>110</v>
      </c>
      <c r="AD129" s="4">
        <v>0.9</v>
      </c>
      <c r="AE129" s="4">
        <v>0.5</v>
      </c>
      <c r="AF129" s="4">
        <v>0.6</v>
      </c>
      <c r="AG129" s="4">
        <v>0.95</v>
      </c>
      <c r="AH129" s="4">
        <v>677.26556400000004</v>
      </c>
      <c r="AI129" s="4">
        <v>8.9999999999999993E-3</v>
      </c>
      <c r="AJ129" s="5"/>
      <c r="AK129" s="5"/>
      <c r="AL129" s="5"/>
      <c r="AM129" s="5"/>
      <c r="AO129" s="4" t="s">
        <v>111</v>
      </c>
      <c r="AP129" s="4">
        <v>0.9</v>
      </c>
      <c r="AQ129" s="4">
        <v>0.5</v>
      </c>
      <c r="AR129" s="4">
        <v>0.6</v>
      </c>
      <c r="AS129" s="4">
        <v>0.3</v>
      </c>
      <c r="AT129" s="6">
        <v>1003.557068</v>
      </c>
      <c r="AU129" s="4">
        <v>1.0999999999999999E-2</v>
      </c>
      <c r="AW129" s="4" t="s">
        <v>111</v>
      </c>
      <c r="AX129" s="4">
        <v>0.9</v>
      </c>
      <c r="AY129" s="4">
        <v>0.5</v>
      </c>
      <c r="AZ129" s="4">
        <v>0.6</v>
      </c>
      <c r="BA129" s="4">
        <v>0.43</v>
      </c>
      <c r="BB129" s="4">
        <v>1059.6791989999999</v>
      </c>
      <c r="BC129" s="4">
        <v>1.4999999999999999E-2</v>
      </c>
      <c r="BD129" s="5"/>
      <c r="BE129" s="5"/>
      <c r="BF129" s="5"/>
      <c r="BG129" s="5"/>
      <c r="BI129" s="4" t="s">
        <v>111</v>
      </c>
      <c r="BJ129" s="4">
        <v>0.9</v>
      </c>
      <c r="BK129" s="4">
        <v>0.5</v>
      </c>
      <c r="BL129" s="4">
        <v>0.6</v>
      </c>
      <c r="BM129" s="4">
        <v>0.3</v>
      </c>
      <c r="BN129" s="6">
        <v>961.74133300000005</v>
      </c>
      <c r="BO129" s="4">
        <v>6.0000000000000001E-3</v>
      </c>
      <c r="BQ129" s="4" t="s">
        <v>111</v>
      </c>
      <c r="BR129" s="4">
        <v>0.9</v>
      </c>
      <c r="BS129" s="4">
        <v>0.5</v>
      </c>
      <c r="BT129" s="4">
        <v>0.6</v>
      </c>
      <c r="BU129" s="4">
        <v>0.57999999999999996</v>
      </c>
      <c r="BV129" s="4">
        <v>1087.7322999999999</v>
      </c>
      <c r="BW129" s="4">
        <v>2.8000000000000001E-2</v>
      </c>
      <c r="BX129" s="5"/>
      <c r="BY129" s="5"/>
      <c r="BZ129" s="5"/>
      <c r="CA129" s="5"/>
    </row>
    <row r="130" spans="1:79" x14ac:dyDescent="0.3">
      <c r="A130" s="4" t="s">
        <v>112</v>
      </c>
      <c r="B130" s="4">
        <v>0.9</v>
      </c>
      <c r="C130" s="4">
        <v>0.5</v>
      </c>
      <c r="D130" s="4">
        <v>0.6</v>
      </c>
      <c r="E130" s="4">
        <v>0.3</v>
      </c>
      <c r="F130" s="6">
        <v>467.391479</v>
      </c>
      <c r="G130" s="4">
        <v>1E-3</v>
      </c>
      <c r="I130" s="4" t="s">
        <v>112</v>
      </c>
      <c r="J130" s="4">
        <v>0.9</v>
      </c>
      <c r="K130" s="4">
        <v>0.5</v>
      </c>
      <c r="L130" s="4">
        <v>0.6</v>
      </c>
      <c r="M130" s="4">
        <v>0.93</v>
      </c>
      <c r="N130" s="4">
        <v>567.92407200000002</v>
      </c>
      <c r="O130" s="4">
        <v>1.4999999999999999E-2</v>
      </c>
      <c r="P130" s="5"/>
      <c r="Q130" s="5"/>
      <c r="R130" s="5"/>
      <c r="S130" s="5"/>
      <c r="U130" s="4" t="s">
        <v>112</v>
      </c>
      <c r="V130" s="4">
        <v>0.9</v>
      </c>
      <c r="W130" s="4">
        <v>0.5</v>
      </c>
      <c r="X130" s="4">
        <v>0.6</v>
      </c>
      <c r="Y130" s="4">
        <v>0.3</v>
      </c>
      <c r="Z130" s="6">
        <v>420.16146900000001</v>
      </c>
      <c r="AA130" s="4">
        <v>1E-3</v>
      </c>
      <c r="AC130" s="4" t="s">
        <v>112</v>
      </c>
      <c r="AD130" s="4">
        <v>0.9</v>
      </c>
      <c r="AE130" s="4">
        <v>0.5</v>
      </c>
      <c r="AF130" s="4">
        <v>0.6</v>
      </c>
      <c r="AG130" s="4">
        <v>0.87</v>
      </c>
      <c r="AH130" s="4">
        <v>483.83502199999998</v>
      </c>
      <c r="AI130" s="4">
        <v>8.9999999999999993E-3</v>
      </c>
      <c r="AJ130" s="5"/>
      <c r="AK130" s="5"/>
      <c r="AL130" s="5"/>
      <c r="AM130" s="5"/>
      <c r="AO130" s="4" t="s">
        <v>113</v>
      </c>
      <c r="AP130" s="4">
        <v>0.9</v>
      </c>
      <c r="AQ130" s="4">
        <v>0.5</v>
      </c>
      <c r="AR130" s="4">
        <v>0.6</v>
      </c>
      <c r="AS130" s="4">
        <v>0.3</v>
      </c>
      <c r="AT130" s="6">
        <v>925.93548599999997</v>
      </c>
      <c r="AU130" s="4">
        <v>0.01</v>
      </c>
      <c r="AW130" s="4" t="s">
        <v>113</v>
      </c>
      <c r="AX130" s="4">
        <v>0.9</v>
      </c>
      <c r="AY130" s="4">
        <v>0.5</v>
      </c>
      <c r="AZ130" s="4">
        <v>0.6</v>
      </c>
      <c r="BA130" s="4">
        <v>0.17</v>
      </c>
      <c r="BB130" s="4">
        <v>848.05676300000005</v>
      </c>
      <c r="BC130" s="4">
        <v>1.4999999999999999E-2</v>
      </c>
      <c r="BD130" s="5"/>
      <c r="BE130" s="5"/>
      <c r="BF130" s="5"/>
      <c r="BG130" s="5"/>
      <c r="BI130" s="4" t="s">
        <v>113</v>
      </c>
      <c r="BJ130" s="4">
        <v>0.9</v>
      </c>
      <c r="BK130" s="4">
        <v>0.5</v>
      </c>
      <c r="BL130" s="4">
        <v>0.6</v>
      </c>
      <c r="BM130" s="4">
        <v>0.3</v>
      </c>
      <c r="BN130" s="4">
        <v>876.55194100000006</v>
      </c>
      <c r="BO130" s="4">
        <v>7.0000000000000001E-3</v>
      </c>
      <c r="BQ130" s="4" t="s">
        <v>113</v>
      </c>
      <c r="BR130" s="4">
        <v>0.9</v>
      </c>
      <c r="BS130" s="4">
        <v>0.5</v>
      </c>
      <c r="BT130" s="4">
        <v>0.6</v>
      </c>
      <c r="BU130" s="4">
        <v>0.1</v>
      </c>
      <c r="BV130" s="6">
        <v>777.264771</v>
      </c>
      <c r="BW130" s="4">
        <v>1.4E-2</v>
      </c>
      <c r="BX130" s="5"/>
      <c r="BY130" s="5"/>
      <c r="BZ130" s="5"/>
      <c r="CA130" s="5"/>
    </row>
    <row r="131" spans="1:79" x14ac:dyDescent="0.3">
      <c r="A131" s="4" t="s">
        <v>114</v>
      </c>
      <c r="B131" s="4">
        <v>0.9</v>
      </c>
      <c r="C131" s="4">
        <v>0.5</v>
      </c>
      <c r="D131" s="4">
        <v>0.6</v>
      </c>
      <c r="E131" s="4">
        <v>0.3</v>
      </c>
      <c r="F131" s="6">
        <v>589.70929000000001</v>
      </c>
      <c r="G131" s="4">
        <v>2E-3</v>
      </c>
      <c r="I131" s="4" t="s">
        <v>114</v>
      </c>
      <c r="J131" s="4">
        <v>0.9</v>
      </c>
      <c r="K131" s="4">
        <v>0.5</v>
      </c>
      <c r="L131" s="4">
        <v>0.6</v>
      </c>
      <c r="M131" s="4">
        <v>0.74</v>
      </c>
      <c r="N131" s="4">
        <v>700.677368</v>
      </c>
      <c r="O131" s="4">
        <v>7.0000000000000001E-3</v>
      </c>
      <c r="P131" s="5"/>
      <c r="Q131" s="5"/>
      <c r="R131" s="5"/>
      <c r="S131" s="5"/>
      <c r="U131" s="4" t="s">
        <v>114</v>
      </c>
      <c r="V131" s="4">
        <v>0.9</v>
      </c>
      <c r="W131" s="4">
        <v>0.5</v>
      </c>
      <c r="X131" s="4">
        <v>0.6</v>
      </c>
      <c r="Y131" s="4">
        <v>0.3</v>
      </c>
      <c r="Z131" s="6">
        <v>583.28363000000002</v>
      </c>
      <c r="AA131" s="4">
        <v>2E-3</v>
      </c>
      <c r="AC131" s="4" t="s">
        <v>114</v>
      </c>
      <c r="AD131" s="4">
        <v>0.9</v>
      </c>
      <c r="AE131" s="4">
        <v>0.5</v>
      </c>
      <c r="AF131" s="4">
        <v>0.6</v>
      </c>
      <c r="AG131" s="4">
        <v>0.4</v>
      </c>
      <c r="AH131" s="4">
        <v>621.85406499999999</v>
      </c>
      <c r="AI131" s="4">
        <v>7.0000000000000001E-3</v>
      </c>
      <c r="AJ131" s="5"/>
      <c r="AK131" s="5"/>
      <c r="AL131" s="5"/>
      <c r="AM131" s="5"/>
      <c r="AO131" s="4" t="s">
        <v>115</v>
      </c>
      <c r="AP131" s="4">
        <v>0.9</v>
      </c>
      <c r="AQ131" s="4">
        <v>0.5</v>
      </c>
      <c r="AR131" s="4">
        <v>0.6</v>
      </c>
      <c r="AS131" s="4">
        <v>0.3</v>
      </c>
      <c r="AT131" s="6">
        <v>1019.836914</v>
      </c>
      <c r="AU131" s="4">
        <v>8.9999999999999993E-3</v>
      </c>
      <c r="AW131" s="4" t="s">
        <v>115</v>
      </c>
      <c r="AX131" s="4">
        <v>0.9</v>
      </c>
      <c r="AY131" s="4">
        <v>0.5</v>
      </c>
      <c r="AZ131" s="4">
        <v>0.6</v>
      </c>
      <c r="BA131" s="4">
        <v>0.89</v>
      </c>
      <c r="BB131" s="4">
        <v>1329.1936040000001</v>
      </c>
      <c r="BC131" s="4">
        <v>1.6E-2</v>
      </c>
      <c r="BD131" s="5"/>
      <c r="BE131" s="5"/>
      <c r="BF131" s="5"/>
      <c r="BG131" s="5"/>
      <c r="BI131" s="4" t="s">
        <v>115</v>
      </c>
      <c r="BJ131" s="4">
        <v>0.9</v>
      </c>
      <c r="BK131" s="4">
        <v>0.5</v>
      </c>
      <c r="BL131" s="4">
        <v>0.6</v>
      </c>
      <c r="BM131" s="4">
        <v>0.3</v>
      </c>
      <c r="BN131" s="6">
        <v>1011.037598</v>
      </c>
      <c r="BO131" s="4">
        <v>7.0000000000000001E-3</v>
      </c>
      <c r="BQ131" s="4" t="s">
        <v>115</v>
      </c>
      <c r="BR131" s="4">
        <v>0.9</v>
      </c>
      <c r="BS131" s="4">
        <v>0.5</v>
      </c>
      <c r="BT131" s="4">
        <v>0.6</v>
      </c>
      <c r="BU131" s="4">
        <v>0.56999999999999995</v>
      </c>
      <c r="BV131" s="4">
        <v>1185.1110839999999</v>
      </c>
      <c r="BW131" s="4">
        <v>3.2000000000000001E-2</v>
      </c>
      <c r="BX131" s="5"/>
      <c r="BY131" s="5"/>
      <c r="BZ131" s="5"/>
      <c r="CA131" s="5"/>
    </row>
    <row r="132" spans="1:79" x14ac:dyDescent="0.3">
      <c r="A132" s="4" t="s">
        <v>116</v>
      </c>
      <c r="B132" s="4">
        <v>0.9</v>
      </c>
      <c r="C132" s="4">
        <v>0.5</v>
      </c>
      <c r="D132" s="4">
        <v>0.6</v>
      </c>
      <c r="E132" s="4">
        <v>0.3</v>
      </c>
      <c r="F132" s="4">
        <v>648.70770300000004</v>
      </c>
      <c r="G132" s="4">
        <v>2E-3</v>
      </c>
      <c r="I132" s="4" t="s">
        <v>116</v>
      </c>
      <c r="J132" s="4">
        <v>0.9</v>
      </c>
      <c r="K132" s="4">
        <v>0.5</v>
      </c>
      <c r="L132" s="4">
        <v>0.6</v>
      </c>
      <c r="M132" s="4">
        <v>0.13</v>
      </c>
      <c r="N132" s="6">
        <v>627.33325200000002</v>
      </c>
      <c r="O132" s="4">
        <v>2.5999999999999999E-2</v>
      </c>
      <c r="P132" s="5"/>
      <c r="Q132" s="5"/>
      <c r="R132" s="5"/>
      <c r="S132" s="5"/>
      <c r="U132" s="4" t="s">
        <v>116</v>
      </c>
      <c r="V132" s="4">
        <v>0.9</v>
      </c>
      <c r="W132" s="4">
        <v>0.5</v>
      </c>
      <c r="X132" s="4">
        <v>0.6</v>
      </c>
      <c r="Y132" s="4">
        <v>0.3</v>
      </c>
      <c r="Z132" s="6">
        <v>629.21881099999996</v>
      </c>
      <c r="AA132" s="4">
        <v>1E-3</v>
      </c>
      <c r="AC132" s="4" t="s">
        <v>116</v>
      </c>
      <c r="AD132" s="4">
        <v>0.9</v>
      </c>
      <c r="AE132" s="4">
        <v>0.5</v>
      </c>
      <c r="AF132" s="4">
        <v>0.6</v>
      </c>
      <c r="AG132" s="4">
        <v>0.54</v>
      </c>
      <c r="AH132" s="4">
        <v>667.867615</v>
      </c>
      <c r="AI132" s="4">
        <v>1.2E-2</v>
      </c>
      <c r="AJ132" s="5"/>
      <c r="AK132" s="5"/>
      <c r="AL132" s="5"/>
      <c r="AM132" s="5"/>
      <c r="AO132" s="4" t="s">
        <v>117</v>
      </c>
      <c r="AP132" s="4">
        <v>0.9</v>
      </c>
      <c r="AQ132" s="4">
        <v>0.5</v>
      </c>
      <c r="AR132" s="4">
        <v>0.6</v>
      </c>
      <c r="AS132" s="4">
        <v>0.3</v>
      </c>
      <c r="AT132" s="6">
        <v>943.66583300000002</v>
      </c>
      <c r="AU132" s="4">
        <v>0.01</v>
      </c>
      <c r="AW132" s="4" t="s">
        <v>117</v>
      </c>
      <c r="AX132" s="4">
        <v>0.9</v>
      </c>
      <c r="AY132" s="4">
        <v>0.5</v>
      </c>
      <c r="AZ132" s="4">
        <v>0.6</v>
      </c>
      <c r="BA132" s="4">
        <v>0.88</v>
      </c>
      <c r="BB132" s="4">
        <v>1165.3479</v>
      </c>
      <c r="BC132" s="4">
        <v>1.7999999999999999E-2</v>
      </c>
      <c r="BD132" s="5"/>
      <c r="BE132" s="5"/>
      <c r="BF132" s="5"/>
      <c r="BG132" s="5"/>
      <c r="BI132" s="4" t="s">
        <v>117</v>
      </c>
      <c r="BJ132" s="4">
        <v>0.9</v>
      </c>
      <c r="BK132" s="4">
        <v>0.5</v>
      </c>
      <c r="BL132" s="4">
        <v>0.6</v>
      </c>
      <c r="BM132" s="4">
        <v>0.3</v>
      </c>
      <c r="BN132" s="6">
        <v>897.83862299999998</v>
      </c>
      <c r="BO132" s="4">
        <v>7.0000000000000001E-3</v>
      </c>
      <c r="BQ132" s="4" t="s">
        <v>117</v>
      </c>
      <c r="BR132" s="4">
        <v>0.9</v>
      </c>
      <c r="BS132" s="4">
        <v>0.5</v>
      </c>
      <c r="BT132" s="4">
        <v>0.6</v>
      </c>
      <c r="BU132" s="4">
        <v>0.44</v>
      </c>
      <c r="BV132" s="4">
        <v>1029.7346190000001</v>
      </c>
      <c r="BW132" s="4">
        <v>2.1999999999999999E-2</v>
      </c>
      <c r="BX132" s="5"/>
      <c r="BY132" s="5"/>
      <c r="BZ132" s="5"/>
      <c r="CA132" s="5"/>
    </row>
    <row r="133" spans="1:79" x14ac:dyDescent="0.3">
      <c r="A133" s="4" t="s">
        <v>118</v>
      </c>
      <c r="B133" s="4">
        <v>0.9</v>
      </c>
      <c r="C133" s="4">
        <v>0.5</v>
      </c>
      <c r="D133" s="4">
        <v>0.6</v>
      </c>
      <c r="E133" s="4">
        <v>0.3</v>
      </c>
      <c r="F133" s="6">
        <v>563.38079800000003</v>
      </c>
      <c r="G133" s="4">
        <v>1E-3</v>
      </c>
      <c r="I133" s="4" t="s">
        <v>118</v>
      </c>
      <c r="J133" s="4">
        <v>0.9</v>
      </c>
      <c r="K133" s="4">
        <v>0.5</v>
      </c>
      <c r="L133" s="4">
        <v>0.6</v>
      </c>
      <c r="M133" s="4">
        <v>0.61</v>
      </c>
      <c r="N133" s="4">
        <v>646.13622999999995</v>
      </c>
      <c r="O133" s="4">
        <v>1.7000000000000001E-2</v>
      </c>
      <c r="P133" s="5"/>
      <c r="Q133" s="5"/>
      <c r="R133" s="5"/>
      <c r="S133" s="5"/>
      <c r="U133" s="4" t="s">
        <v>118</v>
      </c>
      <c r="V133" s="4">
        <v>0.9</v>
      </c>
      <c r="W133" s="4">
        <v>0.5</v>
      </c>
      <c r="X133" s="4">
        <v>0.6</v>
      </c>
      <c r="Y133" s="4">
        <v>0.3</v>
      </c>
      <c r="Z133" s="6">
        <v>542.12377900000001</v>
      </c>
      <c r="AA133" s="4">
        <v>2E-3</v>
      </c>
      <c r="AC133" s="4" t="s">
        <v>118</v>
      </c>
      <c r="AD133" s="4">
        <v>0.9</v>
      </c>
      <c r="AE133" s="4">
        <v>0.5</v>
      </c>
      <c r="AF133" s="4">
        <v>0.6</v>
      </c>
      <c r="AG133" s="4">
        <v>0.28999999999999998</v>
      </c>
      <c r="AH133" s="4">
        <v>558.29760699999997</v>
      </c>
      <c r="AI133" s="4">
        <v>2.1000000000000001E-2</v>
      </c>
      <c r="AJ133" s="5"/>
      <c r="AK133" s="5"/>
      <c r="AL133" s="5"/>
      <c r="AM133" s="5"/>
      <c r="AO133" s="4" t="s">
        <v>119</v>
      </c>
      <c r="AP133" s="4">
        <v>0.9</v>
      </c>
      <c r="AQ133" s="4">
        <v>0.5</v>
      </c>
      <c r="AR133" s="4">
        <v>0.6</v>
      </c>
      <c r="AS133" s="4">
        <v>0.3</v>
      </c>
      <c r="AT133" s="6">
        <v>977.73541299999999</v>
      </c>
      <c r="AU133" s="4">
        <v>6.0000000000000001E-3</v>
      </c>
      <c r="AW133" s="4" t="s">
        <v>119</v>
      </c>
      <c r="AX133" s="4">
        <v>0.9</v>
      </c>
      <c r="AY133" s="4">
        <v>0.5</v>
      </c>
      <c r="AZ133" s="4">
        <v>0.6</v>
      </c>
      <c r="BA133" s="4">
        <v>0.42</v>
      </c>
      <c r="BB133" s="4">
        <v>1066.661255</v>
      </c>
      <c r="BC133" s="4">
        <v>1.6E-2</v>
      </c>
      <c r="BD133" s="5"/>
      <c r="BE133" s="5"/>
      <c r="BF133" s="5"/>
      <c r="BG133" s="5"/>
      <c r="BI133" s="4" t="s">
        <v>119</v>
      </c>
      <c r="BJ133" s="4">
        <v>0.9</v>
      </c>
      <c r="BK133" s="4">
        <v>0.5</v>
      </c>
      <c r="BL133" s="4">
        <v>0.6</v>
      </c>
      <c r="BM133" s="4">
        <v>0.3</v>
      </c>
      <c r="BN133" s="4">
        <v>982.831726</v>
      </c>
      <c r="BO133" s="4">
        <v>8.9999999999999993E-3</v>
      </c>
      <c r="BQ133" s="4" t="s">
        <v>119</v>
      </c>
      <c r="BR133" s="4">
        <v>0.9</v>
      </c>
      <c r="BS133" s="4">
        <v>0.5</v>
      </c>
      <c r="BT133" s="4">
        <v>0.6</v>
      </c>
      <c r="BU133" s="4">
        <v>0.13</v>
      </c>
      <c r="BV133" s="6">
        <v>884.73541299999999</v>
      </c>
      <c r="BW133" s="4">
        <v>3.7999999999999999E-2</v>
      </c>
      <c r="BX133" s="5"/>
      <c r="BY133" s="5"/>
      <c r="BZ133" s="5"/>
      <c r="CA133" s="5"/>
    </row>
    <row r="134" spans="1:79" x14ac:dyDescent="0.3">
      <c r="A134" s="4" t="s">
        <v>120</v>
      </c>
      <c r="B134" s="4">
        <v>0.9</v>
      </c>
      <c r="C134" s="4">
        <v>0.5</v>
      </c>
      <c r="D134" s="4">
        <v>0.6</v>
      </c>
      <c r="E134" s="4">
        <v>0.3</v>
      </c>
      <c r="F134" s="4">
        <v>706.35607900000002</v>
      </c>
      <c r="G134" s="4">
        <v>2E-3</v>
      </c>
      <c r="I134" s="4" t="s">
        <v>120</v>
      </c>
      <c r="J134" s="4">
        <v>0.9</v>
      </c>
      <c r="K134" s="4">
        <v>0.5</v>
      </c>
      <c r="L134" s="4">
        <v>0.6</v>
      </c>
      <c r="M134" s="4">
        <v>0.2</v>
      </c>
      <c r="N134" s="6">
        <v>699.40936299999998</v>
      </c>
      <c r="O134" s="4">
        <v>1.0999999999999999E-2</v>
      </c>
      <c r="P134" s="5"/>
      <c r="Q134" s="5"/>
      <c r="R134" s="5"/>
      <c r="S134" s="5"/>
      <c r="U134" s="4" t="s">
        <v>120</v>
      </c>
      <c r="V134" s="4">
        <v>0.9</v>
      </c>
      <c r="W134" s="4">
        <v>0.5</v>
      </c>
      <c r="X134" s="4">
        <v>0.6</v>
      </c>
      <c r="Y134" s="4">
        <v>0.3</v>
      </c>
      <c r="Z134" s="4">
        <v>703.61004600000001</v>
      </c>
      <c r="AA134" s="4">
        <v>3.0000000000000001E-3</v>
      </c>
      <c r="AC134" s="4" t="s">
        <v>120</v>
      </c>
      <c r="AD134" s="4">
        <v>0.9</v>
      </c>
      <c r="AE134" s="4">
        <v>0.5</v>
      </c>
      <c r="AF134" s="4">
        <v>0.6</v>
      </c>
      <c r="AG134" s="4">
        <v>0.3</v>
      </c>
      <c r="AH134" s="6">
        <v>700.93688999999995</v>
      </c>
      <c r="AI134" s="4">
        <v>3.2000000000000001E-2</v>
      </c>
      <c r="AJ134" s="5"/>
      <c r="AK134" s="5"/>
      <c r="AL134" s="5"/>
      <c r="AM134" s="5"/>
      <c r="AO134" s="4" t="s">
        <v>121</v>
      </c>
      <c r="AP134" s="4">
        <v>0.9</v>
      </c>
      <c r="AQ134" s="4">
        <v>0.5</v>
      </c>
      <c r="AR134" s="4">
        <v>0.6</v>
      </c>
      <c r="AS134" s="4">
        <v>0.3</v>
      </c>
      <c r="AT134" s="6">
        <v>1022.211426</v>
      </c>
      <c r="AU134" s="4">
        <v>6.0000000000000001E-3</v>
      </c>
      <c r="AW134" s="4" t="s">
        <v>121</v>
      </c>
      <c r="AX134" s="4">
        <v>0.9</v>
      </c>
      <c r="AY134" s="4">
        <v>0.5</v>
      </c>
      <c r="AZ134" s="4">
        <v>0.6</v>
      </c>
      <c r="BA134" s="4">
        <v>0.8</v>
      </c>
      <c r="BB134" s="4">
        <v>1213.7977289999999</v>
      </c>
      <c r="BC134" s="4">
        <v>1.7999999999999999E-2</v>
      </c>
      <c r="BD134" s="5"/>
      <c r="BE134" s="5"/>
      <c r="BF134" s="5"/>
      <c r="BG134" s="5"/>
      <c r="BI134" s="4" t="s">
        <v>121</v>
      </c>
      <c r="BJ134" s="4">
        <v>0.9</v>
      </c>
      <c r="BK134" s="4">
        <v>0.5</v>
      </c>
      <c r="BL134" s="4">
        <v>0.6</v>
      </c>
      <c r="BM134" s="4">
        <v>0.3</v>
      </c>
      <c r="BN134" s="6">
        <v>1014.615051</v>
      </c>
      <c r="BO134" s="4">
        <v>0.01</v>
      </c>
      <c r="BQ134" s="4" t="s">
        <v>121</v>
      </c>
      <c r="BR134" s="4">
        <v>0.9</v>
      </c>
      <c r="BS134" s="4">
        <v>0.5</v>
      </c>
      <c r="BT134" s="4">
        <v>0.6</v>
      </c>
      <c r="BU134" s="4">
        <v>0.71</v>
      </c>
      <c r="BV134" s="4">
        <v>1170.6964109999999</v>
      </c>
      <c r="BW134" s="4">
        <v>0.03</v>
      </c>
      <c r="BX134" s="5"/>
      <c r="BY134" s="5"/>
      <c r="BZ134" s="5"/>
      <c r="CA134" s="5"/>
    </row>
    <row r="135" spans="1:79" x14ac:dyDescent="0.3">
      <c r="A135" s="4" t="s">
        <v>122</v>
      </c>
      <c r="B135" s="4">
        <v>0.9</v>
      </c>
      <c r="C135" s="4">
        <v>0.5</v>
      </c>
      <c r="D135" s="4">
        <v>0.6</v>
      </c>
      <c r="E135" s="4">
        <v>0.3</v>
      </c>
      <c r="F135" s="6">
        <v>646.662781</v>
      </c>
      <c r="G135" s="4">
        <v>2E-3</v>
      </c>
      <c r="I135" s="4" t="s">
        <v>122</v>
      </c>
      <c r="J135" s="4">
        <v>0.9</v>
      </c>
      <c r="K135" s="4">
        <v>0.5</v>
      </c>
      <c r="L135" s="4">
        <v>0.6</v>
      </c>
      <c r="M135" s="4">
        <v>0.4</v>
      </c>
      <c r="N135" s="4">
        <v>672.94775400000003</v>
      </c>
      <c r="O135" s="4">
        <v>1.4999999999999999E-2</v>
      </c>
      <c r="P135" s="5"/>
      <c r="Q135" s="5"/>
      <c r="R135" s="5"/>
      <c r="S135" s="5"/>
      <c r="U135" s="4" t="s">
        <v>122</v>
      </c>
      <c r="V135" s="4">
        <v>0.9</v>
      </c>
      <c r="W135" s="4">
        <v>0.5</v>
      </c>
      <c r="X135" s="4">
        <v>0.6</v>
      </c>
      <c r="Y135" s="4">
        <v>0.3</v>
      </c>
      <c r="Z135" s="6">
        <v>637.89685099999997</v>
      </c>
      <c r="AA135" s="4">
        <v>1E-3</v>
      </c>
      <c r="AC135" s="4" t="s">
        <v>122</v>
      </c>
      <c r="AD135" s="4">
        <v>0.9</v>
      </c>
      <c r="AE135" s="4">
        <v>0.5</v>
      </c>
      <c r="AF135" s="4">
        <v>0.6</v>
      </c>
      <c r="AG135" s="4">
        <v>0.56000000000000005</v>
      </c>
      <c r="AH135" s="4">
        <v>686.01586899999995</v>
      </c>
      <c r="AI135" s="4">
        <v>8.9999999999999993E-3</v>
      </c>
      <c r="AJ135" s="5"/>
      <c r="AK135" s="5"/>
      <c r="AL135" s="5"/>
      <c r="AM135" s="5"/>
      <c r="AO135" s="4" t="s">
        <v>123</v>
      </c>
      <c r="AP135" s="4">
        <v>0.9</v>
      </c>
      <c r="AQ135" s="4">
        <v>0.5</v>
      </c>
      <c r="AR135" s="4">
        <v>0.6</v>
      </c>
      <c r="AS135" s="4">
        <v>0.3</v>
      </c>
      <c r="AT135" s="6">
        <v>984.41790800000001</v>
      </c>
      <c r="AU135" s="4">
        <v>6.0000000000000001E-3</v>
      </c>
      <c r="AW135" s="4" t="s">
        <v>123</v>
      </c>
      <c r="AX135" s="4">
        <v>0.9</v>
      </c>
      <c r="AY135" s="4">
        <v>0.5</v>
      </c>
      <c r="AZ135" s="4">
        <v>0.6</v>
      </c>
      <c r="BA135" s="4">
        <v>0.73</v>
      </c>
      <c r="BB135" s="4">
        <v>1186.54126</v>
      </c>
      <c r="BC135" s="4">
        <v>1.2999999999999999E-2</v>
      </c>
      <c r="BD135" s="5"/>
      <c r="BE135" s="5"/>
      <c r="BF135" s="5"/>
      <c r="BG135" s="5"/>
      <c r="BI135" s="4" t="s">
        <v>123</v>
      </c>
      <c r="BJ135" s="4">
        <v>0.9</v>
      </c>
      <c r="BK135" s="4">
        <v>0.5</v>
      </c>
      <c r="BL135" s="4">
        <v>0.6</v>
      </c>
      <c r="BM135" s="4">
        <v>0.3</v>
      </c>
      <c r="BN135" s="6">
        <v>973.338257</v>
      </c>
      <c r="BO135" s="4">
        <v>7.0000000000000001E-3</v>
      </c>
      <c r="BQ135" s="4" t="s">
        <v>123</v>
      </c>
      <c r="BR135" s="4">
        <v>0.9</v>
      </c>
      <c r="BS135" s="4">
        <v>0.5</v>
      </c>
      <c r="BT135" s="4">
        <v>0.6</v>
      </c>
      <c r="BU135" s="4">
        <v>0.52</v>
      </c>
      <c r="BV135" s="4">
        <v>1087.1441649999999</v>
      </c>
      <c r="BW135" s="4">
        <v>2.3E-2</v>
      </c>
      <c r="BX135" s="5"/>
      <c r="BY135" s="5"/>
      <c r="BZ135" s="5"/>
      <c r="CA135" s="5"/>
    </row>
    <row r="136" spans="1:79" x14ac:dyDescent="0.3">
      <c r="A136" s="4" t="s">
        <v>124</v>
      </c>
      <c r="B136" s="4">
        <v>0.9</v>
      </c>
      <c r="C136" s="4">
        <v>0.5</v>
      </c>
      <c r="D136" s="4">
        <v>0.6</v>
      </c>
      <c r="E136" s="4">
        <v>0.3</v>
      </c>
      <c r="F136" s="6">
        <v>549.49816899999996</v>
      </c>
      <c r="G136" s="4">
        <v>2E-3</v>
      </c>
      <c r="I136" s="4" t="s">
        <v>124</v>
      </c>
      <c r="J136" s="4">
        <v>0.9</v>
      </c>
      <c r="K136" s="4">
        <v>0.5</v>
      </c>
      <c r="L136" s="4">
        <v>0.6</v>
      </c>
      <c r="M136" s="4">
        <v>0.64</v>
      </c>
      <c r="N136" s="4">
        <v>605.87506099999996</v>
      </c>
      <c r="O136" s="4">
        <v>2.1999999999999999E-2</v>
      </c>
      <c r="P136" s="5"/>
      <c r="Q136" s="5"/>
      <c r="R136" s="5"/>
      <c r="S136" s="5"/>
      <c r="U136" s="4" t="s">
        <v>124</v>
      </c>
      <c r="V136" s="4">
        <v>0.9</v>
      </c>
      <c r="W136" s="4">
        <v>0.5</v>
      </c>
      <c r="X136" s="4">
        <v>0.6</v>
      </c>
      <c r="Y136" s="4">
        <v>0.3</v>
      </c>
      <c r="Z136" s="6">
        <v>529.65496800000005</v>
      </c>
      <c r="AA136" s="4">
        <v>1E-3</v>
      </c>
      <c r="AC136" s="4" t="s">
        <v>124</v>
      </c>
      <c r="AD136" s="4">
        <v>0.9</v>
      </c>
      <c r="AE136" s="4">
        <v>0.5</v>
      </c>
      <c r="AF136" s="4">
        <v>0.6</v>
      </c>
      <c r="AG136" s="4">
        <v>0.91</v>
      </c>
      <c r="AH136" s="4">
        <v>669.73382600000002</v>
      </c>
      <c r="AI136" s="4">
        <v>1.2999999999999999E-2</v>
      </c>
      <c r="AJ136" s="5"/>
      <c r="AK136" s="5"/>
      <c r="AL136" s="5"/>
      <c r="AM136" s="5"/>
      <c r="AO136" s="4" t="s">
        <v>125</v>
      </c>
      <c r="AP136" s="4">
        <v>0.9</v>
      </c>
      <c r="AQ136" s="4">
        <v>0.5</v>
      </c>
      <c r="AR136" s="4">
        <v>0.6</v>
      </c>
      <c r="AS136" s="4">
        <v>0.3</v>
      </c>
      <c r="AT136" s="6">
        <v>1036.1103519999999</v>
      </c>
      <c r="AU136" s="4">
        <v>6.0000000000000001E-3</v>
      </c>
      <c r="AW136" s="4" t="s">
        <v>125</v>
      </c>
      <c r="AX136" s="4">
        <v>0.9</v>
      </c>
      <c r="AY136" s="4">
        <v>0.5</v>
      </c>
      <c r="AZ136" s="4">
        <v>0.6</v>
      </c>
      <c r="BA136" s="4">
        <v>0.35</v>
      </c>
      <c r="BB136" s="4">
        <v>1083.5902100000001</v>
      </c>
      <c r="BC136" s="4">
        <v>1.6E-2</v>
      </c>
      <c r="BD136" s="5"/>
      <c r="BE136" s="5"/>
      <c r="BF136" s="5"/>
      <c r="BG136" s="5"/>
      <c r="BI136" s="4" t="s">
        <v>125</v>
      </c>
      <c r="BJ136" s="4">
        <v>0.9</v>
      </c>
      <c r="BK136" s="4">
        <v>0.5</v>
      </c>
      <c r="BL136" s="4">
        <v>0.6</v>
      </c>
      <c r="BM136" s="4">
        <v>0.3</v>
      </c>
      <c r="BN136" s="6">
        <v>1027.3551030000001</v>
      </c>
      <c r="BO136" s="4">
        <v>8.0000000000000002E-3</v>
      </c>
      <c r="BQ136" s="4" t="s">
        <v>125</v>
      </c>
      <c r="BR136" s="4">
        <v>0.9</v>
      </c>
      <c r="BS136" s="4">
        <v>0.5</v>
      </c>
      <c r="BT136" s="4">
        <v>0.6</v>
      </c>
      <c r="BU136" s="4">
        <v>0.86</v>
      </c>
      <c r="BV136" s="4">
        <v>1258.778442</v>
      </c>
      <c r="BW136" s="4">
        <v>0.03</v>
      </c>
      <c r="BX136" s="5"/>
      <c r="BY136" s="5"/>
      <c r="BZ136" s="5"/>
      <c r="CA136" s="5"/>
    </row>
    <row r="137" spans="1:79" x14ac:dyDescent="0.3">
      <c r="A137" s="4" t="s">
        <v>126</v>
      </c>
      <c r="B137" s="4">
        <v>0.9</v>
      </c>
      <c r="C137" s="4">
        <v>0.5</v>
      </c>
      <c r="D137" s="4">
        <v>0.6</v>
      </c>
      <c r="E137" s="4">
        <v>0.3</v>
      </c>
      <c r="F137" s="6">
        <v>627.19055200000003</v>
      </c>
      <c r="G137" s="4">
        <v>1E-3</v>
      </c>
      <c r="I137" s="4" t="s">
        <v>126</v>
      </c>
      <c r="J137" s="4">
        <v>0.9</v>
      </c>
      <c r="K137" s="4">
        <v>0.5</v>
      </c>
      <c r="L137" s="4">
        <v>0.6</v>
      </c>
      <c r="M137" s="4">
        <v>0.01</v>
      </c>
      <c r="N137" s="4">
        <v>675.33166500000004</v>
      </c>
      <c r="O137" s="4">
        <v>4.0000000000000001E-3</v>
      </c>
      <c r="P137" s="5"/>
      <c r="Q137" s="5"/>
      <c r="R137" s="5"/>
      <c r="S137" s="5"/>
      <c r="U137" s="4" t="s">
        <v>126</v>
      </c>
      <c r="V137" s="4">
        <v>0.9</v>
      </c>
      <c r="W137" s="4">
        <v>0.5</v>
      </c>
      <c r="X137" s="4">
        <v>0.6</v>
      </c>
      <c r="Y137" s="4">
        <v>0.3</v>
      </c>
      <c r="Z137" s="6">
        <v>613.71520999999996</v>
      </c>
      <c r="AA137" s="4">
        <v>1E-3</v>
      </c>
      <c r="AC137" s="4" t="s">
        <v>126</v>
      </c>
      <c r="AD137" s="4">
        <v>0.9</v>
      </c>
      <c r="AE137" s="4">
        <v>0.5</v>
      </c>
      <c r="AF137" s="4">
        <v>0.6</v>
      </c>
      <c r="AG137" s="4">
        <v>0.83</v>
      </c>
      <c r="AH137" s="4">
        <v>727.69164999999998</v>
      </c>
      <c r="AI137" s="4">
        <v>1.2999999999999999E-2</v>
      </c>
      <c r="AJ137" s="5"/>
      <c r="AK137" s="5"/>
      <c r="AL137" s="5"/>
      <c r="AM137" s="5"/>
      <c r="AO137" s="4" t="s">
        <v>127</v>
      </c>
      <c r="AP137" s="4">
        <v>0.9</v>
      </c>
      <c r="AQ137" s="4">
        <v>0.5</v>
      </c>
      <c r="AR137" s="4">
        <v>0.6</v>
      </c>
      <c r="AS137" s="4">
        <v>0.3</v>
      </c>
      <c r="AT137" s="4">
        <v>1047.8081050000001</v>
      </c>
      <c r="AU137" s="4">
        <v>7.0000000000000001E-3</v>
      </c>
      <c r="AW137" s="4" t="s">
        <v>127</v>
      </c>
      <c r="AX137" s="4">
        <v>0.9</v>
      </c>
      <c r="AY137" s="4">
        <v>0.5</v>
      </c>
      <c r="AZ137" s="4">
        <v>0.6</v>
      </c>
      <c r="BA137" s="4">
        <v>0.17</v>
      </c>
      <c r="BB137" s="6">
        <v>952.20819100000006</v>
      </c>
      <c r="BC137" s="4">
        <v>1.4E-2</v>
      </c>
      <c r="BD137" s="5"/>
      <c r="BE137" s="5"/>
      <c r="BF137" s="5"/>
      <c r="BG137" s="5"/>
      <c r="BI137" s="4" t="s">
        <v>127</v>
      </c>
      <c r="BJ137" s="4">
        <v>0.9</v>
      </c>
      <c r="BK137" s="4">
        <v>0.5</v>
      </c>
      <c r="BL137" s="4">
        <v>0.6</v>
      </c>
      <c r="BM137" s="4">
        <v>0.3</v>
      </c>
      <c r="BN137" s="6">
        <v>1018.929321</v>
      </c>
      <c r="BO137" s="4">
        <v>8.0000000000000002E-3</v>
      </c>
      <c r="BQ137" s="4" t="s">
        <v>127</v>
      </c>
      <c r="BR137" s="4">
        <v>0.9</v>
      </c>
      <c r="BS137" s="4">
        <v>0.5</v>
      </c>
      <c r="BT137" s="4">
        <v>0.6</v>
      </c>
      <c r="BU137" s="4">
        <v>0.7</v>
      </c>
      <c r="BV137" s="4">
        <v>1235.036865</v>
      </c>
      <c r="BW137" s="4">
        <v>0.02</v>
      </c>
      <c r="BX137" s="5"/>
      <c r="BY137" s="5"/>
      <c r="BZ137" s="5"/>
      <c r="CA137" s="5"/>
    </row>
    <row r="138" spans="1:79" x14ac:dyDescent="0.3">
      <c r="A138" s="4" t="s">
        <v>128</v>
      </c>
      <c r="B138" s="4">
        <v>0.9</v>
      </c>
      <c r="C138" s="4">
        <v>0.5</v>
      </c>
      <c r="D138" s="4">
        <v>0.6</v>
      </c>
      <c r="E138" s="4">
        <v>0.3</v>
      </c>
      <c r="F138" s="6">
        <v>595.46801800000003</v>
      </c>
      <c r="G138" s="4">
        <v>1E-3</v>
      </c>
      <c r="I138" s="4" t="s">
        <v>128</v>
      </c>
      <c r="J138" s="4">
        <v>0.9</v>
      </c>
      <c r="K138" s="4">
        <v>0.5</v>
      </c>
      <c r="L138" s="4">
        <v>0.6</v>
      </c>
      <c r="M138" s="4">
        <v>0.28999999999999998</v>
      </c>
      <c r="N138" s="4">
        <v>603.15130599999998</v>
      </c>
      <c r="O138" s="4">
        <v>1.7999999999999999E-2</v>
      </c>
      <c r="P138" s="5"/>
      <c r="Q138" s="5"/>
      <c r="R138" s="5"/>
      <c r="S138" s="5"/>
      <c r="U138" s="4" t="s">
        <v>128</v>
      </c>
      <c r="V138" s="4">
        <v>0.9</v>
      </c>
      <c r="W138" s="4">
        <v>0.5</v>
      </c>
      <c r="X138" s="4">
        <v>0.6</v>
      </c>
      <c r="Y138" s="4">
        <v>0.3</v>
      </c>
      <c r="Z138" s="6">
        <v>570.23364300000003</v>
      </c>
      <c r="AA138" s="4">
        <v>1E-3</v>
      </c>
      <c r="AC138" s="4" t="s">
        <v>128</v>
      </c>
      <c r="AD138" s="4">
        <v>0.9</v>
      </c>
      <c r="AE138" s="4">
        <v>0.5</v>
      </c>
      <c r="AF138" s="4">
        <v>0.6</v>
      </c>
      <c r="AG138" s="4">
        <v>0.84</v>
      </c>
      <c r="AH138" s="4">
        <v>695.71398899999997</v>
      </c>
      <c r="AI138" s="4">
        <v>1.7999999999999999E-2</v>
      </c>
      <c r="AJ138" s="5"/>
      <c r="AK138" s="5"/>
      <c r="AL138" s="5"/>
      <c r="AM138" s="5"/>
      <c r="AO138" s="4" t="s">
        <v>129</v>
      </c>
      <c r="AP138" s="4">
        <v>0.9</v>
      </c>
      <c r="AQ138" s="4">
        <v>0.5</v>
      </c>
      <c r="AR138" s="4">
        <v>0.6</v>
      </c>
      <c r="AS138" s="4">
        <v>0.3</v>
      </c>
      <c r="AT138" s="6">
        <v>997.13855000000001</v>
      </c>
      <c r="AU138" s="4">
        <v>8.0000000000000002E-3</v>
      </c>
      <c r="AW138" s="4" t="s">
        <v>129</v>
      </c>
      <c r="AX138" s="4">
        <v>0.9</v>
      </c>
      <c r="AY138" s="4">
        <v>0.5</v>
      </c>
      <c r="AZ138" s="4">
        <v>0.6</v>
      </c>
      <c r="BA138" s="4">
        <v>0.28000000000000003</v>
      </c>
      <c r="BB138" s="4">
        <v>998.56829800000003</v>
      </c>
      <c r="BC138" s="4">
        <v>2.5999999999999999E-2</v>
      </c>
      <c r="BD138" s="5"/>
      <c r="BE138" s="5"/>
      <c r="BF138" s="5"/>
      <c r="BG138" s="5"/>
      <c r="BI138" s="4" t="s">
        <v>129</v>
      </c>
      <c r="BJ138" s="4">
        <v>0.9</v>
      </c>
      <c r="BK138" s="4">
        <v>0.5</v>
      </c>
      <c r="BL138" s="4">
        <v>0.6</v>
      </c>
      <c r="BM138" s="4">
        <v>0.3</v>
      </c>
      <c r="BN138" s="6">
        <v>983.57135000000005</v>
      </c>
      <c r="BO138" s="4">
        <v>8.9999999999999993E-3</v>
      </c>
      <c r="BQ138" s="4" t="s">
        <v>129</v>
      </c>
      <c r="BR138" s="4">
        <v>0.9</v>
      </c>
      <c r="BS138" s="4">
        <v>0.5</v>
      </c>
      <c r="BT138" s="4">
        <v>0.6</v>
      </c>
      <c r="BU138" s="4">
        <v>0.49</v>
      </c>
      <c r="BV138" s="4">
        <v>1103.4788820000001</v>
      </c>
      <c r="BW138" s="4">
        <v>4.2999999999999997E-2</v>
      </c>
      <c r="BX138" s="5"/>
      <c r="BY138" s="5"/>
      <c r="BZ138" s="5"/>
      <c r="CA138" s="5"/>
    </row>
    <row r="139" spans="1:79" x14ac:dyDescent="0.3">
      <c r="A139" s="4" t="s">
        <v>130</v>
      </c>
      <c r="B139" s="4">
        <v>0.9</v>
      </c>
      <c r="C139" s="4">
        <v>0.5</v>
      </c>
      <c r="D139" s="4">
        <v>0.6</v>
      </c>
      <c r="E139" s="4">
        <v>0.3</v>
      </c>
      <c r="F139" s="6">
        <v>636.48242200000004</v>
      </c>
      <c r="G139" s="4">
        <v>2E-3</v>
      </c>
      <c r="I139" s="4" t="s">
        <v>130</v>
      </c>
      <c r="J139" s="4">
        <v>0.9</v>
      </c>
      <c r="K139" s="4">
        <v>0.5</v>
      </c>
      <c r="L139" s="4">
        <v>0.6</v>
      </c>
      <c r="M139" s="4">
        <v>0.78</v>
      </c>
      <c r="N139" s="4">
        <v>711.19366500000001</v>
      </c>
      <c r="O139" s="4">
        <v>1.4E-2</v>
      </c>
      <c r="P139" s="5"/>
      <c r="Q139" s="5"/>
      <c r="R139" s="5"/>
      <c r="S139" s="5"/>
      <c r="U139" s="4" t="s">
        <v>130</v>
      </c>
      <c r="V139" s="4">
        <v>0.9</v>
      </c>
      <c r="W139" s="4">
        <v>0.5</v>
      </c>
      <c r="X139" s="4">
        <v>0.6</v>
      </c>
      <c r="Y139" s="4">
        <v>0.3</v>
      </c>
      <c r="Z139" s="6">
        <v>629.25567599999999</v>
      </c>
      <c r="AA139" s="4">
        <v>1E-3</v>
      </c>
      <c r="AC139" s="4" t="s">
        <v>130</v>
      </c>
      <c r="AD139" s="4">
        <v>0.9</v>
      </c>
      <c r="AE139" s="4">
        <v>0.5</v>
      </c>
      <c r="AF139" s="4">
        <v>0.6</v>
      </c>
      <c r="AG139" s="4">
        <v>0.74</v>
      </c>
      <c r="AH139" s="4">
        <v>724.99737500000003</v>
      </c>
      <c r="AI139" s="4">
        <v>8.0000000000000002E-3</v>
      </c>
      <c r="AJ139" s="5"/>
      <c r="AK139" s="5"/>
      <c r="AL139" s="5"/>
      <c r="AM139" s="5"/>
      <c r="AO139" s="4" t="s">
        <v>131</v>
      </c>
      <c r="AP139" s="4">
        <v>0.9</v>
      </c>
      <c r="AQ139" s="4">
        <v>0.5</v>
      </c>
      <c r="AR139" s="4">
        <v>0.6</v>
      </c>
      <c r="AS139" s="4">
        <v>0.3</v>
      </c>
      <c r="AT139" s="4">
        <v>1016.065308</v>
      </c>
      <c r="AU139" s="4">
        <v>6.0000000000000001E-3</v>
      </c>
      <c r="AW139" s="4" t="s">
        <v>131</v>
      </c>
      <c r="AX139" s="4">
        <v>0.9</v>
      </c>
      <c r="AY139" s="4">
        <v>0.5</v>
      </c>
      <c r="AZ139" s="4">
        <v>0.6</v>
      </c>
      <c r="BA139" s="4">
        <v>0.06</v>
      </c>
      <c r="BB139" s="6">
        <v>827.73364300000003</v>
      </c>
      <c r="BC139" s="4">
        <v>0.04</v>
      </c>
      <c r="BD139" s="5"/>
      <c r="BE139" s="5"/>
      <c r="BF139" s="5"/>
      <c r="BG139" s="5"/>
      <c r="BI139" s="4" t="s">
        <v>131</v>
      </c>
      <c r="BJ139" s="4">
        <v>0.9</v>
      </c>
      <c r="BK139" s="4">
        <v>0.5</v>
      </c>
      <c r="BL139" s="4">
        <v>0.6</v>
      </c>
      <c r="BM139" s="4">
        <v>0.3</v>
      </c>
      <c r="BN139" s="6">
        <v>1003.791565</v>
      </c>
      <c r="BO139" s="4">
        <v>8.0000000000000002E-3</v>
      </c>
      <c r="BQ139" s="4" t="s">
        <v>131</v>
      </c>
      <c r="BR139" s="4">
        <v>0.9</v>
      </c>
      <c r="BS139" s="4">
        <v>0.5</v>
      </c>
      <c r="BT139" s="4">
        <v>0.6</v>
      </c>
      <c r="BU139" s="4">
        <v>0.36</v>
      </c>
      <c r="BV139" s="4">
        <v>1056.5792240000001</v>
      </c>
      <c r="BW139" s="4">
        <v>1.4999999999999999E-2</v>
      </c>
      <c r="BX139" s="5"/>
      <c r="BY139" s="5"/>
      <c r="BZ139" s="5"/>
      <c r="CA139" s="5"/>
    </row>
    <row r="140" spans="1:79" x14ac:dyDescent="0.3">
      <c r="A140" s="4" t="s">
        <v>132</v>
      </c>
      <c r="B140" s="4">
        <v>0.9</v>
      </c>
      <c r="C140" s="4">
        <v>0.5</v>
      </c>
      <c r="D140" s="4">
        <v>0.6</v>
      </c>
      <c r="E140" s="4">
        <v>0.3</v>
      </c>
      <c r="F140" s="6">
        <v>559.28137200000003</v>
      </c>
      <c r="G140" s="4">
        <v>2E-3</v>
      </c>
      <c r="I140" s="4" t="s">
        <v>132</v>
      </c>
      <c r="J140" s="4">
        <v>0.9</v>
      </c>
      <c r="K140" s="4">
        <v>0.5</v>
      </c>
      <c r="L140" s="4">
        <v>0.6</v>
      </c>
      <c r="M140" s="4">
        <v>0.78</v>
      </c>
      <c r="N140" s="4">
        <v>671.89349400000003</v>
      </c>
      <c r="O140" s="4">
        <v>1.0999999999999999E-2</v>
      </c>
      <c r="P140" s="5"/>
      <c r="Q140" s="5"/>
      <c r="R140" s="5"/>
      <c r="S140" s="5"/>
      <c r="U140" s="4" t="s">
        <v>132</v>
      </c>
      <c r="V140" s="4">
        <v>0.9</v>
      </c>
      <c r="W140" s="4">
        <v>0.5</v>
      </c>
      <c r="X140" s="4">
        <v>0.6</v>
      </c>
      <c r="Y140" s="4">
        <v>0.3</v>
      </c>
      <c r="Z140" s="6">
        <v>512.65637200000003</v>
      </c>
      <c r="AA140" s="4">
        <v>1E-3</v>
      </c>
      <c r="AC140" s="4" t="s">
        <v>132</v>
      </c>
      <c r="AD140" s="4">
        <v>0.9</v>
      </c>
      <c r="AE140" s="4">
        <v>0.5</v>
      </c>
      <c r="AF140" s="4">
        <v>0.6</v>
      </c>
      <c r="AG140" s="4">
        <v>0.46</v>
      </c>
      <c r="AH140" s="4">
        <v>578.05206299999998</v>
      </c>
      <c r="AI140" s="4">
        <v>1.4999999999999999E-2</v>
      </c>
      <c r="AJ140" s="5"/>
      <c r="AK140" s="5"/>
      <c r="AL140" s="5"/>
      <c r="AM140" s="5"/>
      <c r="AO140" s="4" t="s">
        <v>133</v>
      </c>
      <c r="AP140" s="4">
        <v>0.9</v>
      </c>
      <c r="AQ140" s="4">
        <v>0.5</v>
      </c>
      <c r="AR140" s="4">
        <v>0.6</v>
      </c>
      <c r="AS140" s="4">
        <v>0.3</v>
      </c>
      <c r="AT140" s="6">
        <v>1067.1683350000001</v>
      </c>
      <c r="AU140" s="4">
        <v>6.0000000000000001E-3</v>
      </c>
      <c r="AW140" s="4" t="s">
        <v>133</v>
      </c>
      <c r="AX140" s="4">
        <v>0.9</v>
      </c>
      <c r="AY140" s="4">
        <v>0.5</v>
      </c>
      <c r="AZ140" s="4">
        <v>0.6</v>
      </c>
      <c r="BA140" s="4">
        <v>0.62</v>
      </c>
      <c r="BB140" s="4">
        <v>1226.810669</v>
      </c>
      <c r="BC140" s="4">
        <v>1.4999999999999999E-2</v>
      </c>
      <c r="BD140" s="5"/>
      <c r="BE140" s="5"/>
      <c r="BF140" s="5"/>
      <c r="BG140" s="5"/>
      <c r="BI140" s="4" t="s">
        <v>133</v>
      </c>
      <c r="BJ140" s="4">
        <v>0.9</v>
      </c>
      <c r="BK140" s="4">
        <v>0.5</v>
      </c>
      <c r="BL140" s="4">
        <v>0.6</v>
      </c>
      <c r="BM140" s="4">
        <v>0.3</v>
      </c>
      <c r="BN140" s="6">
        <v>1031.7454829999999</v>
      </c>
      <c r="BO140" s="4">
        <v>8.0000000000000002E-3</v>
      </c>
      <c r="BQ140" s="4" t="s">
        <v>133</v>
      </c>
      <c r="BR140" s="4">
        <v>0.9</v>
      </c>
      <c r="BS140" s="4">
        <v>0.5</v>
      </c>
      <c r="BT140" s="4">
        <v>0.6</v>
      </c>
      <c r="BU140" s="4">
        <v>0.71</v>
      </c>
      <c r="BV140" s="4">
        <v>1260.91272</v>
      </c>
      <c r="BW140" s="4">
        <v>3.2000000000000001E-2</v>
      </c>
      <c r="BX140" s="5"/>
      <c r="BY140" s="5"/>
      <c r="BZ140" s="5"/>
      <c r="CA140" s="5"/>
    </row>
    <row r="141" spans="1:79" x14ac:dyDescent="0.3">
      <c r="A141" s="14" t="s">
        <v>316</v>
      </c>
      <c r="E141" s="14">
        <f>AVERAGE(E111:E140)</f>
        <v>0.3</v>
      </c>
      <c r="I141" s="14" t="s">
        <v>316</v>
      </c>
      <c r="M141" s="14">
        <f>AVERAGE(M111:M140)</f>
        <v>0.42599999999999993</v>
      </c>
      <c r="P141" s="5"/>
      <c r="Q141" s="5"/>
      <c r="R141" s="5"/>
      <c r="S141" s="5"/>
      <c r="U141" s="14" t="s">
        <v>316</v>
      </c>
      <c r="Y141" s="14">
        <f>AVERAGE(Y111:Y140)</f>
        <v>0.3</v>
      </c>
      <c r="AC141" s="14" t="s">
        <v>316</v>
      </c>
      <c r="AG141" s="14">
        <f>AVERAGE(AG111:AG140)</f>
        <v>0.54899999999999993</v>
      </c>
      <c r="AJ141" s="5"/>
      <c r="AK141" s="5"/>
      <c r="AL141" s="5"/>
      <c r="AM141" s="5"/>
      <c r="AO141" s="14" t="s">
        <v>316</v>
      </c>
      <c r="AS141" s="14">
        <f>AVERAGE(AS111:AS140)</f>
        <v>0.3</v>
      </c>
      <c r="AW141" s="14" t="s">
        <v>316</v>
      </c>
      <c r="BA141" s="14">
        <f>AVERAGE(BA111:BA140)</f>
        <v>0.53766666666666674</v>
      </c>
      <c r="BD141" s="5"/>
      <c r="BE141" s="5"/>
      <c r="BF141" s="5"/>
      <c r="BG141" s="5"/>
      <c r="BI141" s="14" t="s">
        <v>316</v>
      </c>
      <c r="BM141" s="14">
        <f>AVERAGE(BM111:BM140)</f>
        <v>0.3</v>
      </c>
      <c r="BQ141" s="14" t="s">
        <v>316</v>
      </c>
      <c r="BU141" s="14">
        <f>AVERAGE(BU111:BU140)</f>
        <v>0.49133333333333329</v>
      </c>
      <c r="BX141" s="5"/>
      <c r="BY141" s="5"/>
      <c r="BZ141" s="5"/>
      <c r="CA141" s="5"/>
    </row>
    <row r="142" spans="1:79" x14ac:dyDescent="0.3">
      <c r="P142" s="5"/>
      <c r="Q142" s="5"/>
      <c r="R142" s="5"/>
      <c r="S142" s="5"/>
      <c r="AJ142" s="5"/>
      <c r="AK142" s="5"/>
      <c r="AL142" s="5"/>
      <c r="AM142" s="5"/>
      <c r="BD142" s="5"/>
      <c r="BE142" s="5"/>
      <c r="BF142" s="5"/>
      <c r="BG142" s="5"/>
      <c r="BX142" s="5"/>
      <c r="BY142" s="5"/>
      <c r="BZ142" s="5"/>
      <c r="CA142" s="5"/>
    </row>
    <row r="143" spans="1:79" x14ac:dyDescent="0.3">
      <c r="P143" s="5"/>
      <c r="Q143" s="5"/>
      <c r="R143" s="5"/>
      <c r="S143" s="5"/>
      <c r="AJ143" s="5"/>
      <c r="AK143" s="5"/>
      <c r="AL143" s="5"/>
      <c r="AM143" s="5"/>
      <c r="AU143" s="12"/>
      <c r="BD143" s="5"/>
      <c r="BE143" s="5"/>
      <c r="BF143" s="5"/>
      <c r="BG143" s="5"/>
      <c r="BX143" s="5"/>
      <c r="BY143" s="5"/>
      <c r="BZ143" s="5"/>
      <c r="CA143" s="5"/>
    </row>
    <row r="144" spans="1:79" x14ac:dyDescent="0.3">
      <c r="A144" s="23" t="s">
        <v>314</v>
      </c>
      <c r="B144" s="23"/>
      <c r="C144" s="23"/>
      <c r="D144" s="23"/>
      <c r="E144" s="23"/>
      <c r="F144" s="23"/>
      <c r="G144" s="23"/>
      <c r="I144" s="24" t="s">
        <v>314</v>
      </c>
      <c r="J144" s="25"/>
      <c r="K144" s="25"/>
      <c r="L144" s="25"/>
      <c r="M144" s="25"/>
      <c r="N144" s="25"/>
      <c r="O144" s="26"/>
      <c r="P144" s="11"/>
      <c r="Q144" s="11"/>
      <c r="R144" s="11"/>
      <c r="S144" s="11"/>
      <c r="U144" s="23" t="s">
        <v>314</v>
      </c>
      <c r="V144" s="23"/>
      <c r="W144" s="23"/>
      <c r="X144" s="23"/>
      <c r="Y144" s="23"/>
      <c r="Z144" s="23"/>
      <c r="AA144" s="23"/>
      <c r="AC144" s="23" t="s">
        <v>314</v>
      </c>
      <c r="AD144" s="23"/>
      <c r="AE144" s="23"/>
      <c r="AF144" s="23"/>
      <c r="AG144" s="23"/>
      <c r="AH144" s="23"/>
      <c r="AI144" s="23"/>
      <c r="AJ144" s="11"/>
      <c r="AK144" s="11"/>
      <c r="AL144" s="11"/>
      <c r="AM144" s="11"/>
      <c r="AO144" s="23" t="s">
        <v>314</v>
      </c>
      <c r="AP144" s="23"/>
      <c r="AQ144" s="23"/>
      <c r="AR144" s="23"/>
      <c r="AS144" s="23"/>
      <c r="AT144" s="23"/>
      <c r="AU144" s="23"/>
      <c r="AW144" s="24" t="s">
        <v>314</v>
      </c>
      <c r="AX144" s="25"/>
      <c r="AY144" s="25"/>
      <c r="AZ144" s="25"/>
      <c r="BA144" s="25"/>
      <c r="BB144" s="25"/>
      <c r="BC144" s="26"/>
      <c r="BD144" s="11"/>
      <c r="BE144" s="11"/>
      <c r="BF144" s="11"/>
      <c r="BG144" s="11"/>
      <c r="BI144" s="23" t="s">
        <v>314</v>
      </c>
      <c r="BJ144" s="23"/>
      <c r="BK144" s="23"/>
      <c r="BL144" s="23"/>
      <c r="BM144" s="23"/>
      <c r="BN144" s="23"/>
      <c r="BO144" s="23"/>
      <c r="BQ144" s="24" t="s">
        <v>314</v>
      </c>
      <c r="BR144" s="25"/>
      <c r="BS144" s="25"/>
      <c r="BT144" s="25"/>
      <c r="BU144" s="25"/>
      <c r="BV144" s="25"/>
      <c r="BW144" s="26"/>
      <c r="BX144" s="11"/>
      <c r="BY144" s="11"/>
      <c r="BZ144" s="11"/>
      <c r="CA144" s="11"/>
    </row>
    <row r="145" spans="1:79" x14ac:dyDescent="0.3">
      <c r="A145" s="24" t="s">
        <v>70</v>
      </c>
      <c r="B145" s="25"/>
      <c r="C145" s="25"/>
      <c r="D145" s="25"/>
      <c r="E145" s="25"/>
      <c r="F145" s="25"/>
      <c r="G145" s="26"/>
      <c r="I145" s="4" t="s">
        <v>70</v>
      </c>
      <c r="J145" s="4"/>
      <c r="K145" s="4"/>
      <c r="L145" s="4"/>
      <c r="M145" s="4"/>
      <c r="N145" s="4"/>
      <c r="O145" s="4"/>
      <c r="P145" s="11"/>
      <c r="Q145" s="11"/>
      <c r="R145" s="11"/>
      <c r="S145" s="11"/>
      <c r="U145" s="4" t="s">
        <v>71</v>
      </c>
      <c r="V145" s="4"/>
      <c r="W145" s="4"/>
      <c r="X145" s="4"/>
      <c r="Y145" s="4"/>
      <c r="Z145" s="4"/>
      <c r="AA145" s="4"/>
      <c r="AC145" s="4" t="s">
        <v>71</v>
      </c>
      <c r="AD145" s="4"/>
      <c r="AE145" s="4"/>
      <c r="AF145" s="4"/>
      <c r="AG145" s="4"/>
      <c r="AH145" s="4"/>
      <c r="AI145" s="4"/>
      <c r="AJ145" s="11"/>
      <c r="AK145" s="11"/>
      <c r="AL145" s="11"/>
      <c r="AM145" s="11"/>
      <c r="AO145" s="4" t="s">
        <v>70</v>
      </c>
      <c r="AP145" s="4"/>
      <c r="AQ145" s="4"/>
      <c r="AR145" s="4"/>
      <c r="AS145" s="4"/>
      <c r="AT145" s="4"/>
      <c r="AU145" s="4"/>
      <c r="AW145" s="4" t="s">
        <v>70</v>
      </c>
      <c r="AX145" s="4"/>
      <c r="AY145" s="4"/>
      <c r="AZ145" s="4"/>
      <c r="BA145" s="4"/>
      <c r="BB145" s="4"/>
      <c r="BC145" s="4"/>
      <c r="BD145" s="11"/>
      <c r="BE145" s="11"/>
      <c r="BF145" s="11"/>
      <c r="BG145" s="11"/>
      <c r="BI145" s="4" t="s">
        <v>71</v>
      </c>
      <c r="BJ145" s="4"/>
      <c r="BK145" s="4"/>
      <c r="BL145" s="4"/>
      <c r="BM145" s="4"/>
      <c r="BN145" s="4"/>
      <c r="BO145" s="4"/>
      <c r="BQ145" s="4" t="s">
        <v>71</v>
      </c>
      <c r="BR145" s="4"/>
      <c r="BS145" s="4"/>
      <c r="BT145" s="4"/>
      <c r="BU145" s="4"/>
      <c r="BV145" s="4"/>
      <c r="BW145" s="4"/>
      <c r="BX145" s="11"/>
      <c r="BY145" s="11"/>
      <c r="BZ145" s="11"/>
      <c r="CA145" s="11"/>
    </row>
    <row r="146" spans="1:79" x14ac:dyDescent="0.3">
      <c r="A146" s="4" t="s">
        <v>2</v>
      </c>
      <c r="B146" s="4" t="s">
        <v>3</v>
      </c>
      <c r="C146" s="4" t="s">
        <v>4</v>
      </c>
      <c r="D146" s="4" t="s">
        <v>5</v>
      </c>
      <c r="E146" s="4" t="s">
        <v>6</v>
      </c>
      <c r="F146" s="4" t="s">
        <v>7</v>
      </c>
      <c r="G146" s="4" t="s">
        <v>8</v>
      </c>
      <c r="I146" s="4" t="s">
        <v>2</v>
      </c>
      <c r="J146" s="4" t="s">
        <v>3</v>
      </c>
      <c r="K146" s="4" t="s">
        <v>4</v>
      </c>
      <c r="L146" s="4" t="s">
        <v>5</v>
      </c>
      <c r="M146" s="4" t="s">
        <v>6</v>
      </c>
      <c r="N146" s="4" t="s">
        <v>7</v>
      </c>
      <c r="O146" s="4" t="s">
        <v>8</v>
      </c>
      <c r="P146" s="3" t="s">
        <v>322</v>
      </c>
      <c r="Q146" s="3" t="s">
        <v>323</v>
      </c>
      <c r="R146" s="3" t="s">
        <v>322</v>
      </c>
      <c r="S146" s="3" t="s">
        <v>323</v>
      </c>
      <c r="U146" s="4" t="s">
        <v>2</v>
      </c>
      <c r="V146" s="4" t="s">
        <v>3</v>
      </c>
      <c r="W146" s="4" t="s">
        <v>4</v>
      </c>
      <c r="X146" s="4" t="s">
        <v>5</v>
      </c>
      <c r="Y146" s="4" t="s">
        <v>6</v>
      </c>
      <c r="Z146" s="4" t="s">
        <v>7</v>
      </c>
      <c r="AA146" s="4" t="s">
        <v>8</v>
      </c>
      <c r="AC146" s="4" t="s">
        <v>2</v>
      </c>
      <c r="AD146" s="4" t="s">
        <v>3</v>
      </c>
      <c r="AE146" s="4" t="s">
        <v>4</v>
      </c>
      <c r="AF146" s="4" t="s">
        <v>5</v>
      </c>
      <c r="AG146" s="4" t="s">
        <v>6</v>
      </c>
      <c r="AH146" s="4" t="s">
        <v>7</v>
      </c>
      <c r="AI146" s="4" t="s">
        <v>8</v>
      </c>
      <c r="AJ146" s="3" t="s">
        <v>322</v>
      </c>
      <c r="AK146" s="3" t="s">
        <v>323</v>
      </c>
      <c r="AL146" s="3" t="s">
        <v>322</v>
      </c>
      <c r="AM146" s="3" t="s">
        <v>323</v>
      </c>
      <c r="AO146" s="4" t="s">
        <v>2</v>
      </c>
      <c r="AP146" s="4" t="s">
        <v>3</v>
      </c>
      <c r="AQ146" s="4" t="s">
        <v>4</v>
      </c>
      <c r="AR146" s="4" t="s">
        <v>5</v>
      </c>
      <c r="AS146" s="4" t="s">
        <v>6</v>
      </c>
      <c r="AT146" s="4" t="s">
        <v>7</v>
      </c>
      <c r="AU146" s="4" t="s">
        <v>8</v>
      </c>
      <c r="AW146" s="4" t="s">
        <v>2</v>
      </c>
      <c r="AX146" s="4" t="s">
        <v>3</v>
      </c>
      <c r="AY146" s="4" t="s">
        <v>4</v>
      </c>
      <c r="AZ146" s="4" t="s">
        <v>5</v>
      </c>
      <c r="BA146" s="4" t="s">
        <v>6</v>
      </c>
      <c r="BB146" s="4" t="s">
        <v>7</v>
      </c>
      <c r="BC146" s="4" t="s">
        <v>8</v>
      </c>
      <c r="BD146" s="3" t="s">
        <v>322</v>
      </c>
      <c r="BE146" s="3" t="s">
        <v>323</v>
      </c>
      <c r="BF146" s="3" t="s">
        <v>322</v>
      </c>
      <c r="BG146" s="3" t="s">
        <v>323</v>
      </c>
      <c r="BI146" s="4" t="s">
        <v>2</v>
      </c>
      <c r="BJ146" s="4" t="s">
        <v>3</v>
      </c>
      <c r="BK146" s="4" t="s">
        <v>4</v>
      </c>
      <c r="BL146" s="4" t="s">
        <v>5</v>
      </c>
      <c r="BM146" s="4" t="s">
        <v>6</v>
      </c>
      <c r="BN146" s="4" t="s">
        <v>7</v>
      </c>
      <c r="BO146" s="4" t="s">
        <v>8</v>
      </c>
      <c r="BQ146" s="4" t="s">
        <v>2</v>
      </c>
      <c r="BR146" s="4" t="s">
        <v>3</v>
      </c>
      <c r="BS146" s="4" t="s">
        <v>4</v>
      </c>
      <c r="BT146" s="4" t="s">
        <v>5</v>
      </c>
      <c r="BU146" s="4" t="s">
        <v>6</v>
      </c>
      <c r="BV146" s="4" t="s">
        <v>7</v>
      </c>
      <c r="BW146" s="4" t="s">
        <v>8</v>
      </c>
      <c r="BX146" s="3" t="s">
        <v>322</v>
      </c>
      <c r="BY146" s="3" t="s">
        <v>323</v>
      </c>
      <c r="BZ146" s="3" t="s">
        <v>322</v>
      </c>
      <c r="CA146" s="3" t="s">
        <v>323</v>
      </c>
    </row>
    <row r="147" spans="1:79" x14ac:dyDescent="0.3">
      <c r="A147" s="4" t="s">
        <v>74</v>
      </c>
      <c r="B147" s="4">
        <v>0.9</v>
      </c>
      <c r="C147" s="4">
        <v>0.5</v>
      </c>
      <c r="D147" s="4">
        <v>0.6</v>
      </c>
      <c r="E147" s="4">
        <v>0.3</v>
      </c>
      <c r="F147" s="6">
        <v>401.67568999999997</v>
      </c>
      <c r="G147" s="4">
        <v>0</v>
      </c>
      <c r="I147" s="4" t="s">
        <v>74</v>
      </c>
      <c r="J147" s="4">
        <v>0.9</v>
      </c>
      <c r="K147" s="4">
        <v>0.5</v>
      </c>
      <c r="L147" s="4">
        <v>0.6</v>
      </c>
      <c r="M147" s="4">
        <v>0.01</v>
      </c>
      <c r="N147" s="4">
        <v>429.75</v>
      </c>
      <c r="O147" s="4">
        <v>2.7E-2</v>
      </c>
      <c r="P147" s="4" t="s">
        <v>324</v>
      </c>
      <c r="Q147" s="4" t="s">
        <v>324</v>
      </c>
      <c r="R147" s="4" t="s">
        <v>327</v>
      </c>
      <c r="S147" s="4" t="s">
        <v>327</v>
      </c>
      <c r="U147" s="4" t="s">
        <v>74</v>
      </c>
      <c r="V147" s="4">
        <v>0.9</v>
      </c>
      <c r="W147" s="4">
        <v>0.5</v>
      </c>
      <c r="X147" s="4">
        <v>0.6</v>
      </c>
      <c r="Y147" s="4">
        <v>0.3</v>
      </c>
      <c r="Z147" s="6">
        <v>378.85406499999999</v>
      </c>
      <c r="AA147" s="4">
        <v>0</v>
      </c>
      <c r="AC147" s="4" t="s">
        <v>74</v>
      </c>
      <c r="AD147" s="4">
        <v>0.9</v>
      </c>
      <c r="AE147" s="4">
        <v>0.5</v>
      </c>
      <c r="AF147" s="4">
        <v>0.6</v>
      </c>
      <c r="AG147" s="4">
        <v>0.01</v>
      </c>
      <c r="AH147" s="4">
        <v>405.03613300000001</v>
      </c>
      <c r="AI147" s="4">
        <v>3.1E-2</v>
      </c>
      <c r="AJ147" s="4" t="s">
        <v>324</v>
      </c>
      <c r="AK147" s="4" t="s">
        <v>324</v>
      </c>
      <c r="AL147" s="4" t="s">
        <v>327</v>
      </c>
      <c r="AM147" s="4" t="s">
        <v>327</v>
      </c>
      <c r="AO147" s="4" t="s">
        <v>75</v>
      </c>
      <c r="AP147" s="4">
        <v>0.9</v>
      </c>
      <c r="AQ147" s="4">
        <v>0.5</v>
      </c>
      <c r="AR147" s="4">
        <v>0.6</v>
      </c>
      <c r="AS147" s="4">
        <v>0.3</v>
      </c>
      <c r="AT147" s="4">
        <v>728.88641399999995</v>
      </c>
      <c r="AU147" s="4">
        <v>4.0000000000000001E-3</v>
      </c>
      <c r="AW147" s="4" t="s">
        <v>75</v>
      </c>
      <c r="AX147" s="4">
        <v>0.9</v>
      </c>
      <c r="AY147" s="4">
        <v>0.5</v>
      </c>
      <c r="AZ147" s="4">
        <v>0.6</v>
      </c>
      <c r="BA147" s="4">
        <v>0.01</v>
      </c>
      <c r="BB147" s="6">
        <v>685.51715100000001</v>
      </c>
      <c r="BC147" s="4">
        <v>0.02</v>
      </c>
      <c r="BD147" s="4" t="s">
        <v>324</v>
      </c>
      <c r="BE147" s="4" t="s">
        <v>324</v>
      </c>
      <c r="BF147" s="4" t="s">
        <v>327</v>
      </c>
      <c r="BG147" s="4" t="s">
        <v>327</v>
      </c>
      <c r="BI147" s="4" t="s">
        <v>75</v>
      </c>
      <c r="BJ147" s="4">
        <v>0.9</v>
      </c>
      <c r="BK147" s="4">
        <v>0.5</v>
      </c>
      <c r="BL147" s="4">
        <v>0.6</v>
      </c>
      <c r="BM147" s="4">
        <v>0.3</v>
      </c>
      <c r="BN147" s="4">
        <v>693.86785899999995</v>
      </c>
      <c r="BO147" s="4">
        <v>4.0000000000000001E-3</v>
      </c>
      <c r="BQ147" s="4" t="s">
        <v>75</v>
      </c>
      <c r="BR147" s="4">
        <v>0.9</v>
      </c>
      <c r="BS147" s="4">
        <v>0.5</v>
      </c>
      <c r="BT147" s="4">
        <v>0.6</v>
      </c>
      <c r="BU147" s="4">
        <v>0.01</v>
      </c>
      <c r="BV147" s="6">
        <v>654.31719999999996</v>
      </c>
      <c r="BW147" s="4">
        <v>2.4E-2</v>
      </c>
      <c r="BX147" s="4" t="s">
        <v>324</v>
      </c>
      <c r="BY147" s="4" t="s">
        <v>324</v>
      </c>
      <c r="BZ147" s="4" t="s">
        <v>327</v>
      </c>
      <c r="CA147" s="4" t="s">
        <v>327</v>
      </c>
    </row>
    <row r="148" spans="1:79" x14ac:dyDescent="0.3">
      <c r="A148" s="4" t="s">
        <v>76</v>
      </c>
      <c r="B148" s="4">
        <v>0.9</v>
      </c>
      <c r="C148" s="4">
        <v>0.5</v>
      </c>
      <c r="D148" s="4">
        <v>0.6</v>
      </c>
      <c r="E148" s="4">
        <v>0.3</v>
      </c>
      <c r="F148" s="6">
        <v>438.98226899999997</v>
      </c>
      <c r="G148" s="4">
        <v>1E-3</v>
      </c>
      <c r="I148" s="4" t="s">
        <v>76</v>
      </c>
      <c r="J148" s="4">
        <v>0.9</v>
      </c>
      <c r="K148" s="4">
        <v>0.5</v>
      </c>
      <c r="L148" s="4">
        <v>0.6</v>
      </c>
      <c r="M148" s="4">
        <v>0.77</v>
      </c>
      <c r="N148" s="4">
        <v>492.788544</v>
      </c>
      <c r="O148" s="4">
        <v>1.2999999999999999E-2</v>
      </c>
      <c r="P148" s="3">
        <f>COUNT(F147:F151,F153:F154,F156:F160,F162:F164,F166:F167,F170,F172:F176)</f>
        <v>23</v>
      </c>
      <c r="Q148" s="3">
        <f>30-P148</f>
        <v>7</v>
      </c>
      <c r="R148" s="3">
        <f>COUNT(N152,N155,N161,N165,N168:N169,N171)</f>
        <v>7</v>
      </c>
      <c r="S148" s="3">
        <f>30-R148</f>
        <v>23</v>
      </c>
      <c r="U148" s="4" t="s">
        <v>76</v>
      </c>
      <c r="V148" s="4">
        <v>0.9</v>
      </c>
      <c r="W148" s="4">
        <v>0.5</v>
      </c>
      <c r="X148" s="4">
        <v>0.6</v>
      </c>
      <c r="Y148" s="4">
        <v>0.3</v>
      </c>
      <c r="Z148" s="4">
        <v>412.682861</v>
      </c>
      <c r="AA148" s="4">
        <v>1E-3</v>
      </c>
      <c r="AC148" s="4" t="s">
        <v>76</v>
      </c>
      <c r="AD148" s="4">
        <v>0.9</v>
      </c>
      <c r="AE148" s="4">
        <v>0.5</v>
      </c>
      <c r="AF148" s="4">
        <v>0.6</v>
      </c>
      <c r="AG148" s="4">
        <v>0.18</v>
      </c>
      <c r="AH148" s="6">
        <v>407.28213499999998</v>
      </c>
      <c r="AI148" s="4">
        <v>2.9000000000000001E-2</v>
      </c>
      <c r="AJ148" s="3">
        <f>COUNT(Z147,Z149:Z160,Z162:Z167,Z169,Z171:Z173,Z175:Z176)</f>
        <v>25</v>
      </c>
      <c r="AK148" s="3">
        <f>30-AJ148</f>
        <v>5</v>
      </c>
      <c r="AL148" s="3">
        <f>COUNT(AH148,AH161,AH168,AH170,AH174)</f>
        <v>5</v>
      </c>
      <c r="AM148" s="3">
        <f>30-AL148</f>
        <v>25</v>
      </c>
      <c r="AO148" s="4" t="s">
        <v>77</v>
      </c>
      <c r="AP148" s="4">
        <v>0.9</v>
      </c>
      <c r="AQ148" s="4">
        <v>0.5</v>
      </c>
      <c r="AR148" s="4">
        <v>0.6</v>
      </c>
      <c r="AS148" s="4">
        <v>0.3</v>
      </c>
      <c r="AT148" s="6">
        <v>820.81585700000005</v>
      </c>
      <c r="AU148" s="4">
        <v>7.0000000000000001E-3</v>
      </c>
      <c r="AW148" s="4" t="s">
        <v>77</v>
      </c>
      <c r="AX148" s="4">
        <v>0.9</v>
      </c>
      <c r="AY148" s="4">
        <v>0.5</v>
      </c>
      <c r="AZ148" s="4">
        <v>0.6</v>
      </c>
      <c r="BA148" s="4">
        <v>0.93</v>
      </c>
      <c r="BB148" s="4">
        <v>981.21649200000002</v>
      </c>
      <c r="BC148" s="4">
        <v>2.5999999999999999E-2</v>
      </c>
      <c r="BD148" s="3">
        <f>COUNT(AT148,AT150:AT155,AT157:AT161,AT163:AT170,AT174:AT175)</f>
        <v>22</v>
      </c>
      <c r="BE148" s="3">
        <f>30-BD148</f>
        <v>8</v>
      </c>
      <c r="BF148" s="3">
        <f>COUNT(BB147,BB149,BB156,BB162,BB171:BB173,BB176)</f>
        <v>8</v>
      </c>
      <c r="BG148" s="3">
        <f>30-BF148</f>
        <v>22</v>
      </c>
      <c r="BI148" s="4" t="s">
        <v>77</v>
      </c>
      <c r="BJ148" s="4">
        <v>0.9</v>
      </c>
      <c r="BK148" s="4">
        <v>0.5</v>
      </c>
      <c r="BL148" s="4">
        <v>0.6</v>
      </c>
      <c r="BM148" s="4">
        <v>0.3</v>
      </c>
      <c r="BN148" s="6">
        <v>756.72125200000005</v>
      </c>
      <c r="BO148" s="4">
        <v>4.0000000000000001E-3</v>
      </c>
      <c r="BQ148" s="4" t="s">
        <v>77</v>
      </c>
      <c r="BR148" s="4">
        <v>0.9</v>
      </c>
      <c r="BS148" s="4">
        <v>0.5</v>
      </c>
      <c r="BT148" s="4">
        <v>0.6</v>
      </c>
      <c r="BU148" s="4">
        <v>0.57999999999999996</v>
      </c>
      <c r="BV148" s="4">
        <v>909.81262200000003</v>
      </c>
      <c r="BW148" s="4">
        <v>1.7999999999999999E-2</v>
      </c>
      <c r="BX148" s="3">
        <f>COUNT(BN148,BN150:BN152,BN154:BN157,BN159,BN161:BN162,BN166,BN168:BN169,BN171:BN172,BN174)</f>
        <v>17</v>
      </c>
      <c r="BY148" s="3">
        <f>30-BX148</f>
        <v>13</v>
      </c>
      <c r="BZ148" s="3">
        <f>COUNT(BV147,BV149,BV153,BV158,BV160,BV163:BV165,BV167,BV170,BV173,BV175:BV176)</f>
        <v>13</v>
      </c>
      <c r="CA148" s="3">
        <f>30-BZ148</f>
        <v>17</v>
      </c>
    </row>
    <row r="149" spans="1:79" x14ac:dyDescent="0.3">
      <c r="A149" s="4" t="s">
        <v>78</v>
      </c>
      <c r="B149" s="4">
        <v>0.9</v>
      </c>
      <c r="C149" s="4">
        <v>0.5</v>
      </c>
      <c r="D149" s="4">
        <v>0.6</v>
      </c>
      <c r="E149" s="4">
        <v>0.3</v>
      </c>
      <c r="F149" s="6">
        <v>423.86352499999998</v>
      </c>
      <c r="G149" s="4">
        <v>1E-3</v>
      </c>
      <c r="I149" s="4" t="s">
        <v>78</v>
      </c>
      <c r="J149" s="4">
        <v>0.9</v>
      </c>
      <c r="K149" s="4">
        <v>0.5</v>
      </c>
      <c r="L149" s="4">
        <v>0.6</v>
      </c>
      <c r="M149" s="4">
        <v>0.35</v>
      </c>
      <c r="N149" s="4">
        <v>436.52801499999998</v>
      </c>
      <c r="O149" s="4">
        <v>1.0999999999999999E-2</v>
      </c>
      <c r="P149" s="5"/>
      <c r="Q149" s="5"/>
      <c r="R149" s="5"/>
      <c r="S149" s="5"/>
      <c r="U149" s="4" t="s">
        <v>78</v>
      </c>
      <c r="V149" s="4">
        <v>0.9</v>
      </c>
      <c r="W149" s="4">
        <v>0.5</v>
      </c>
      <c r="X149" s="4">
        <v>0.6</v>
      </c>
      <c r="Y149" s="4">
        <v>0.3</v>
      </c>
      <c r="Z149" s="6">
        <v>403.34835800000002</v>
      </c>
      <c r="AA149" s="4">
        <v>0</v>
      </c>
      <c r="AC149" s="4" t="s">
        <v>78</v>
      </c>
      <c r="AD149" s="4">
        <v>0.9</v>
      </c>
      <c r="AE149" s="4">
        <v>0.5</v>
      </c>
      <c r="AF149" s="4">
        <v>0.6</v>
      </c>
      <c r="AG149" s="4">
        <v>0.78</v>
      </c>
      <c r="AH149" s="4">
        <v>436.404022</v>
      </c>
      <c r="AI149" s="4">
        <v>8.0000000000000002E-3</v>
      </c>
      <c r="AJ149" s="5"/>
      <c r="AK149" s="5"/>
      <c r="AL149" s="5"/>
      <c r="AM149" s="5"/>
      <c r="AO149" s="4" t="s">
        <v>79</v>
      </c>
      <c r="AP149" s="4">
        <v>0.9</v>
      </c>
      <c r="AQ149" s="4">
        <v>0.5</v>
      </c>
      <c r="AR149" s="4">
        <v>0.6</v>
      </c>
      <c r="AS149" s="4">
        <v>0.3</v>
      </c>
      <c r="AT149" s="4">
        <v>770.65991199999996</v>
      </c>
      <c r="AU149" s="4">
        <v>4.0000000000000001E-3</v>
      </c>
      <c r="AW149" s="4" t="s">
        <v>79</v>
      </c>
      <c r="AX149" s="4">
        <v>0.9</v>
      </c>
      <c r="AY149" s="4">
        <v>0.5</v>
      </c>
      <c r="AZ149" s="4">
        <v>0.6</v>
      </c>
      <c r="BA149" s="4">
        <v>0.16</v>
      </c>
      <c r="BB149" s="6">
        <v>703.22216800000001</v>
      </c>
      <c r="BC149" s="4">
        <v>2.4E-2</v>
      </c>
      <c r="BD149" s="5"/>
      <c r="BE149" s="5"/>
      <c r="BF149" s="5"/>
      <c r="BG149" s="5"/>
      <c r="BI149" s="4" t="s">
        <v>79</v>
      </c>
      <c r="BJ149" s="4">
        <v>0.9</v>
      </c>
      <c r="BK149" s="4">
        <v>0.5</v>
      </c>
      <c r="BL149" s="4">
        <v>0.6</v>
      </c>
      <c r="BM149" s="4">
        <v>0.3</v>
      </c>
      <c r="BN149" s="4">
        <v>743.65966800000001</v>
      </c>
      <c r="BO149" s="4">
        <v>4.0000000000000001E-3</v>
      </c>
      <c r="BQ149" s="4" t="s">
        <v>79</v>
      </c>
      <c r="BR149" s="4">
        <v>0.9</v>
      </c>
      <c r="BS149" s="4">
        <v>0.5</v>
      </c>
      <c r="BT149" s="4">
        <v>0.6</v>
      </c>
      <c r="BU149" s="4">
        <v>0.24</v>
      </c>
      <c r="BV149" s="6">
        <v>715.59814500000005</v>
      </c>
      <c r="BW149" s="4">
        <v>0.01</v>
      </c>
      <c r="BX149" s="5"/>
      <c r="BY149" s="5"/>
      <c r="BZ149" s="5"/>
      <c r="CA149" s="5"/>
    </row>
    <row r="150" spans="1:79" x14ac:dyDescent="0.3">
      <c r="A150" s="4" t="s">
        <v>80</v>
      </c>
      <c r="B150" s="4">
        <v>0.9</v>
      </c>
      <c r="C150" s="4">
        <v>0.5</v>
      </c>
      <c r="D150" s="4">
        <v>0.6</v>
      </c>
      <c r="E150" s="4">
        <v>0.3</v>
      </c>
      <c r="F150" s="6">
        <v>457.40896600000002</v>
      </c>
      <c r="G150" s="4">
        <v>1E-3</v>
      </c>
      <c r="I150" s="4" t="s">
        <v>80</v>
      </c>
      <c r="J150" s="4">
        <v>0.9</v>
      </c>
      <c r="K150" s="4">
        <v>0.5</v>
      </c>
      <c r="L150" s="4">
        <v>0.6</v>
      </c>
      <c r="M150" s="4">
        <v>0.2</v>
      </c>
      <c r="N150" s="4">
        <v>461.60003699999999</v>
      </c>
      <c r="O150" s="4">
        <v>2.1000000000000001E-2</v>
      </c>
      <c r="P150" s="5"/>
      <c r="Q150" s="5"/>
      <c r="R150" s="5"/>
      <c r="S150" s="5"/>
      <c r="U150" s="4" t="s">
        <v>80</v>
      </c>
      <c r="V150" s="4">
        <v>0.9</v>
      </c>
      <c r="W150" s="4">
        <v>0.5</v>
      </c>
      <c r="X150" s="4">
        <v>0.6</v>
      </c>
      <c r="Y150" s="4">
        <v>0.3</v>
      </c>
      <c r="Z150" s="6">
        <v>418.89267000000001</v>
      </c>
      <c r="AA150" s="4">
        <v>0</v>
      </c>
      <c r="AC150" s="4" t="s">
        <v>80</v>
      </c>
      <c r="AD150" s="4">
        <v>0.9</v>
      </c>
      <c r="AE150" s="4">
        <v>0.5</v>
      </c>
      <c r="AF150" s="4">
        <v>0.6</v>
      </c>
      <c r="AG150" s="4">
        <v>0.7</v>
      </c>
      <c r="AH150" s="4">
        <v>470.20062300000001</v>
      </c>
      <c r="AI150" s="4">
        <v>0.01</v>
      </c>
      <c r="AJ150" s="5"/>
      <c r="AK150" s="5"/>
      <c r="AL150" s="5"/>
      <c r="AM150" s="5"/>
      <c r="AO150" s="4" t="s">
        <v>81</v>
      </c>
      <c r="AP150" s="4">
        <v>0.9</v>
      </c>
      <c r="AQ150" s="4">
        <v>0.5</v>
      </c>
      <c r="AR150" s="4">
        <v>0.6</v>
      </c>
      <c r="AS150" s="4">
        <v>0.3</v>
      </c>
      <c r="AT150" s="6">
        <v>723.85003700000004</v>
      </c>
      <c r="AU150" s="4">
        <v>4.0000000000000001E-3</v>
      </c>
      <c r="AW150" s="4" t="s">
        <v>81</v>
      </c>
      <c r="AX150" s="4">
        <v>0.9</v>
      </c>
      <c r="AY150" s="4">
        <v>0.5</v>
      </c>
      <c r="AZ150" s="4">
        <v>0.6</v>
      </c>
      <c r="BA150" s="4">
        <v>0.39</v>
      </c>
      <c r="BB150" s="4">
        <v>764.69354199999998</v>
      </c>
      <c r="BC150" s="4">
        <v>2.1999999999999999E-2</v>
      </c>
      <c r="BD150" s="5"/>
      <c r="BE150" s="5"/>
      <c r="BF150" s="5"/>
      <c r="BG150" s="5"/>
      <c r="BI150" s="4" t="s">
        <v>81</v>
      </c>
      <c r="BJ150" s="4">
        <v>0.9</v>
      </c>
      <c r="BK150" s="4">
        <v>0.5</v>
      </c>
      <c r="BL150" s="4">
        <v>0.6</v>
      </c>
      <c r="BM150" s="4">
        <v>0.3</v>
      </c>
      <c r="BN150" s="6">
        <v>699.88256799999999</v>
      </c>
      <c r="BO150" s="4">
        <v>4.0000000000000001E-3</v>
      </c>
      <c r="BQ150" s="4" t="s">
        <v>81</v>
      </c>
      <c r="BR150" s="4">
        <v>0.9</v>
      </c>
      <c r="BS150" s="4">
        <v>0.5</v>
      </c>
      <c r="BT150" s="4">
        <v>0.6</v>
      </c>
      <c r="BU150" s="4">
        <v>0.38</v>
      </c>
      <c r="BV150" s="4">
        <v>734.790344</v>
      </c>
      <c r="BW150" s="4">
        <v>1.7999999999999999E-2</v>
      </c>
      <c r="BX150" s="5"/>
      <c r="BY150" s="5"/>
      <c r="BZ150" s="5"/>
      <c r="CA150" s="5"/>
    </row>
    <row r="151" spans="1:79" x14ac:dyDescent="0.3">
      <c r="A151" s="4" t="s">
        <v>82</v>
      </c>
      <c r="B151" s="4">
        <v>0.9</v>
      </c>
      <c r="C151" s="4">
        <v>0.5</v>
      </c>
      <c r="D151" s="4">
        <v>0.6</v>
      </c>
      <c r="E151" s="4">
        <v>0.3</v>
      </c>
      <c r="F151" s="6">
        <v>417.89263899999997</v>
      </c>
      <c r="G151" s="4">
        <v>1E-3</v>
      </c>
      <c r="I151" s="4" t="s">
        <v>82</v>
      </c>
      <c r="J151" s="4">
        <v>0.9</v>
      </c>
      <c r="K151" s="4">
        <v>0.5</v>
      </c>
      <c r="L151" s="4">
        <v>0.6</v>
      </c>
      <c r="M151" s="4">
        <v>0.96</v>
      </c>
      <c r="N151" s="4">
        <v>516.67425500000002</v>
      </c>
      <c r="O151" s="4">
        <v>6.0000000000000001E-3</v>
      </c>
      <c r="P151" s="5"/>
      <c r="Q151" s="5"/>
      <c r="R151" s="5"/>
      <c r="S151" s="5"/>
      <c r="U151" s="4" t="s">
        <v>82</v>
      </c>
      <c r="V151" s="4">
        <v>0.9</v>
      </c>
      <c r="W151" s="4">
        <v>0.5</v>
      </c>
      <c r="X151" s="4">
        <v>0.6</v>
      </c>
      <c r="Y151" s="4">
        <v>0.3</v>
      </c>
      <c r="Z151" s="6">
        <v>401.66940299999999</v>
      </c>
      <c r="AA151" s="4">
        <v>1E-3</v>
      </c>
      <c r="AC151" s="4" t="s">
        <v>82</v>
      </c>
      <c r="AD151" s="4">
        <v>0.9</v>
      </c>
      <c r="AE151" s="4">
        <v>0.5</v>
      </c>
      <c r="AF151" s="4">
        <v>0.6</v>
      </c>
      <c r="AG151" s="4">
        <v>0.88</v>
      </c>
      <c r="AH151" s="4">
        <v>447.766571</v>
      </c>
      <c r="AI151" s="4">
        <v>1.4E-2</v>
      </c>
      <c r="AJ151" s="5"/>
      <c r="AK151" s="5"/>
      <c r="AL151" s="5"/>
      <c r="AM151" s="5"/>
      <c r="AO151" s="4" t="s">
        <v>83</v>
      </c>
      <c r="AP151" s="4">
        <v>0.9</v>
      </c>
      <c r="AQ151" s="4">
        <v>0.5</v>
      </c>
      <c r="AR151" s="4">
        <v>0.6</v>
      </c>
      <c r="AS151" s="4">
        <v>0.3</v>
      </c>
      <c r="AT151" s="6">
        <v>752.17504899999994</v>
      </c>
      <c r="AU151" s="4">
        <v>4.0000000000000001E-3</v>
      </c>
      <c r="AW151" s="4" t="s">
        <v>83</v>
      </c>
      <c r="AX151" s="4">
        <v>0.9</v>
      </c>
      <c r="AY151" s="4">
        <v>0.5</v>
      </c>
      <c r="AZ151" s="4">
        <v>0.6</v>
      </c>
      <c r="BA151" s="4">
        <v>0.39</v>
      </c>
      <c r="BB151" s="4">
        <v>797.86962900000003</v>
      </c>
      <c r="BC151" s="4">
        <v>2.5000000000000001E-2</v>
      </c>
      <c r="BD151" s="5"/>
      <c r="BE151" s="5"/>
      <c r="BF151" s="5"/>
      <c r="BG151" s="5"/>
      <c r="BI151" s="4" t="s">
        <v>83</v>
      </c>
      <c r="BJ151" s="4">
        <v>0.9</v>
      </c>
      <c r="BK151" s="4">
        <v>0.5</v>
      </c>
      <c r="BL151" s="4">
        <v>0.6</v>
      </c>
      <c r="BM151" s="4">
        <v>0.3</v>
      </c>
      <c r="BN151" s="6">
        <v>720.67309599999999</v>
      </c>
      <c r="BO151" s="4">
        <v>5.0000000000000001E-3</v>
      </c>
      <c r="BQ151" s="4" t="s">
        <v>83</v>
      </c>
      <c r="BR151" s="4">
        <v>0.9</v>
      </c>
      <c r="BS151" s="4">
        <v>0.5</v>
      </c>
      <c r="BT151" s="4">
        <v>0.6</v>
      </c>
      <c r="BU151" s="4">
        <v>0.48</v>
      </c>
      <c r="BV151" s="4">
        <v>800.00701900000001</v>
      </c>
      <c r="BW151" s="4">
        <v>2.1999999999999999E-2</v>
      </c>
      <c r="BX151" s="5"/>
      <c r="BY151" s="5"/>
      <c r="BZ151" s="5"/>
      <c r="CA151" s="5"/>
    </row>
    <row r="152" spans="1:79" x14ac:dyDescent="0.3">
      <c r="A152" s="4" t="s">
        <v>84</v>
      </c>
      <c r="B152" s="4">
        <v>0.9</v>
      </c>
      <c r="C152" s="4">
        <v>0.5</v>
      </c>
      <c r="D152" s="4">
        <v>0.6</v>
      </c>
      <c r="E152" s="4">
        <v>0.3</v>
      </c>
      <c r="F152" s="4">
        <v>528.08221400000002</v>
      </c>
      <c r="G152" s="4">
        <v>1E-3</v>
      </c>
      <c r="I152" s="4" t="s">
        <v>84</v>
      </c>
      <c r="J152" s="4">
        <v>0.9</v>
      </c>
      <c r="K152" s="4">
        <v>0.5</v>
      </c>
      <c r="L152" s="4">
        <v>0.6</v>
      </c>
      <c r="M152" s="4">
        <v>0.19</v>
      </c>
      <c r="N152" s="6">
        <v>521.63586399999997</v>
      </c>
      <c r="O152" s="4">
        <v>1.7999999999999999E-2</v>
      </c>
      <c r="P152" s="5"/>
      <c r="Q152" s="5"/>
      <c r="R152" s="5"/>
      <c r="S152" s="5"/>
      <c r="U152" s="4" t="s">
        <v>84</v>
      </c>
      <c r="V152" s="4">
        <v>0.9</v>
      </c>
      <c r="W152" s="4">
        <v>0.5</v>
      </c>
      <c r="X152" s="4">
        <v>0.6</v>
      </c>
      <c r="Y152" s="4">
        <v>0.3</v>
      </c>
      <c r="Z152" s="6">
        <v>494.85012799999998</v>
      </c>
      <c r="AA152" s="4">
        <v>1E-3</v>
      </c>
      <c r="AC152" s="4" t="s">
        <v>84</v>
      </c>
      <c r="AD152" s="4">
        <v>0.9</v>
      </c>
      <c r="AE152" s="4">
        <v>0.5</v>
      </c>
      <c r="AF152" s="4">
        <v>0.6</v>
      </c>
      <c r="AG152" s="4">
        <v>0.32</v>
      </c>
      <c r="AH152" s="4">
        <v>500.77368200000001</v>
      </c>
      <c r="AI152" s="4">
        <v>1.2999999999999999E-2</v>
      </c>
      <c r="AJ152" s="5"/>
      <c r="AK152" s="5"/>
      <c r="AL152" s="5"/>
      <c r="AM152" s="5"/>
      <c r="AO152" s="4" t="s">
        <v>85</v>
      </c>
      <c r="AP152" s="4">
        <v>0.9</v>
      </c>
      <c r="AQ152" s="4">
        <v>0.5</v>
      </c>
      <c r="AR152" s="4">
        <v>0.6</v>
      </c>
      <c r="AS152" s="4">
        <v>0.3</v>
      </c>
      <c r="AT152" s="6">
        <v>871.18438700000002</v>
      </c>
      <c r="AU152" s="4">
        <v>5.0000000000000001E-3</v>
      </c>
      <c r="AW152" s="4" t="s">
        <v>85</v>
      </c>
      <c r="AX152" s="4">
        <v>0.9</v>
      </c>
      <c r="AY152" s="4">
        <v>0.5</v>
      </c>
      <c r="AZ152" s="4">
        <v>0.6</v>
      </c>
      <c r="BA152" s="4">
        <v>0.6</v>
      </c>
      <c r="BB152" s="4">
        <v>987.71350099999995</v>
      </c>
      <c r="BC152" s="4">
        <v>3.2000000000000001E-2</v>
      </c>
      <c r="BD152" s="5"/>
      <c r="BE152" s="5"/>
      <c r="BF152" s="5"/>
      <c r="BG152" s="5"/>
      <c r="BI152" s="4" t="s">
        <v>85</v>
      </c>
      <c r="BJ152" s="4">
        <v>0.9</v>
      </c>
      <c r="BK152" s="4">
        <v>0.5</v>
      </c>
      <c r="BL152" s="4">
        <v>0.6</v>
      </c>
      <c r="BM152" s="4">
        <v>0.3</v>
      </c>
      <c r="BN152" s="6">
        <v>847.12524399999995</v>
      </c>
      <c r="BO152" s="4">
        <v>4.0000000000000001E-3</v>
      </c>
      <c r="BQ152" s="4" t="s">
        <v>85</v>
      </c>
      <c r="BR152" s="4">
        <v>0.9</v>
      </c>
      <c r="BS152" s="4">
        <v>0.5</v>
      </c>
      <c r="BT152" s="4">
        <v>0.6</v>
      </c>
      <c r="BU152" s="4">
        <v>0.82</v>
      </c>
      <c r="BV152" s="4">
        <v>993.64349400000003</v>
      </c>
      <c r="BW152" s="4">
        <v>1.6E-2</v>
      </c>
      <c r="BX152" s="5"/>
      <c r="BY152" s="5"/>
      <c r="BZ152" s="5"/>
      <c r="CA152" s="5"/>
    </row>
    <row r="153" spans="1:79" x14ac:dyDescent="0.3">
      <c r="A153" s="4" t="s">
        <v>86</v>
      </c>
      <c r="B153" s="4">
        <v>0.9</v>
      </c>
      <c r="C153" s="4">
        <v>0.5</v>
      </c>
      <c r="D153" s="4">
        <v>0.6</v>
      </c>
      <c r="E153" s="4">
        <v>0.3</v>
      </c>
      <c r="F153" s="6">
        <v>568.23950200000002</v>
      </c>
      <c r="G153" s="4">
        <v>1E-3</v>
      </c>
      <c r="I153" s="4" t="s">
        <v>86</v>
      </c>
      <c r="J153" s="4">
        <v>0.9</v>
      </c>
      <c r="K153" s="4">
        <v>0.5</v>
      </c>
      <c r="L153" s="4">
        <v>0.6</v>
      </c>
      <c r="M153" s="4">
        <v>0.67</v>
      </c>
      <c r="N153" s="4">
        <v>607.37603799999999</v>
      </c>
      <c r="O153" s="4">
        <v>8.9999999999999993E-3</v>
      </c>
      <c r="P153" s="5"/>
      <c r="Q153" s="5"/>
      <c r="R153" s="5"/>
      <c r="S153" s="5"/>
      <c r="U153" s="4" t="s">
        <v>86</v>
      </c>
      <c r="V153" s="4">
        <v>0.9</v>
      </c>
      <c r="W153" s="4">
        <v>0.5</v>
      </c>
      <c r="X153" s="4">
        <v>0.6</v>
      </c>
      <c r="Y153" s="4">
        <v>0.3</v>
      </c>
      <c r="Z153" s="6">
        <v>532.722534</v>
      </c>
      <c r="AA153" s="4">
        <v>0</v>
      </c>
      <c r="AC153" s="4" t="s">
        <v>86</v>
      </c>
      <c r="AD153" s="4">
        <v>0.9</v>
      </c>
      <c r="AE153" s="4">
        <v>0.5</v>
      </c>
      <c r="AF153" s="4">
        <v>0.6</v>
      </c>
      <c r="AG153" s="4">
        <v>0.74</v>
      </c>
      <c r="AH153" s="4">
        <v>587.23388699999998</v>
      </c>
      <c r="AI153" s="4">
        <v>1.6E-2</v>
      </c>
      <c r="AJ153" s="5"/>
      <c r="AK153" s="5"/>
      <c r="AL153" s="5"/>
      <c r="AM153" s="5"/>
      <c r="AO153" s="4" t="s">
        <v>87</v>
      </c>
      <c r="AP153" s="4">
        <v>0.9</v>
      </c>
      <c r="AQ153" s="4">
        <v>0.5</v>
      </c>
      <c r="AR153" s="4">
        <v>0.6</v>
      </c>
      <c r="AS153" s="4">
        <v>0.3</v>
      </c>
      <c r="AT153" s="6">
        <v>772.47711200000003</v>
      </c>
      <c r="AU153" s="4">
        <v>5.0000000000000001E-3</v>
      </c>
      <c r="AW153" s="4" t="s">
        <v>87</v>
      </c>
      <c r="AX153" s="4">
        <v>0.9</v>
      </c>
      <c r="AY153" s="4">
        <v>0.5</v>
      </c>
      <c r="AZ153" s="4">
        <v>0.6</v>
      </c>
      <c r="BA153" s="4">
        <v>0.84</v>
      </c>
      <c r="BB153" s="4">
        <v>980.95489499999996</v>
      </c>
      <c r="BC153" s="4">
        <v>1.4999999999999999E-2</v>
      </c>
      <c r="BD153" s="5"/>
      <c r="BE153" s="5"/>
      <c r="BF153" s="5"/>
      <c r="BG153" s="5"/>
      <c r="BI153" s="4" t="s">
        <v>87</v>
      </c>
      <c r="BJ153" s="4">
        <v>0.9</v>
      </c>
      <c r="BK153" s="4">
        <v>0.5</v>
      </c>
      <c r="BL153" s="4">
        <v>0.6</v>
      </c>
      <c r="BM153" s="4">
        <v>0.3</v>
      </c>
      <c r="BN153" s="4">
        <v>749.05432099999996</v>
      </c>
      <c r="BO153" s="4">
        <v>4.0000000000000001E-3</v>
      </c>
      <c r="BQ153" s="4" t="s">
        <v>87</v>
      </c>
      <c r="BR153" s="4">
        <v>0.9</v>
      </c>
      <c r="BS153" s="4">
        <v>0.5</v>
      </c>
      <c r="BT153" s="4">
        <v>0.6</v>
      </c>
      <c r="BU153" s="4">
        <v>0.02</v>
      </c>
      <c r="BV153" s="6">
        <v>674.55450399999995</v>
      </c>
      <c r="BW153" s="4">
        <v>1.2E-2</v>
      </c>
      <c r="BX153" s="5"/>
      <c r="BY153" s="5"/>
      <c r="BZ153" s="5"/>
      <c r="CA153" s="5"/>
    </row>
    <row r="154" spans="1:79" x14ac:dyDescent="0.3">
      <c r="A154" s="4" t="s">
        <v>88</v>
      </c>
      <c r="B154" s="4">
        <v>0.9</v>
      </c>
      <c r="C154" s="4">
        <v>0.5</v>
      </c>
      <c r="D154" s="4">
        <v>0.6</v>
      </c>
      <c r="E154" s="4">
        <v>0.3</v>
      </c>
      <c r="F154" s="6">
        <v>493.693848</v>
      </c>
      <c r="G154" s="4">
        <v>1E-3</v>
      </c>
      <c r="I154" s="4" t="s">
        <v>88</v>
      </c>
      <c r="J154" s="4">
        <v>0.9</v>
      </c>
      <c r="K154" s="4">
        <v>0.5</v>
      </c>
      <c r="L154" s="4">
        <v>0.6</v>
      </c>
      <c r="M154" s="4">
        <v>0.51</v>
      </c>
      <c r="N154" s="4">
        <v>512.47051999999996</v>
      </c>
      <c r="O154" s="4">
        <v>5.0000000000000001E-3</v>
      </c>
      <c r="P154" s="5"/>
      <c r="Q154" s="5"/>
      <c r="R154" s="5"/>
      <c r="S154" s="5"/>
      <c r="U154" s="4" t="s">
        <v>88</v>
      </c>
      <c r="V154" s="4">
        <v>0.9</v>
      </c>
      <c r="W154" s="4">
        <v>0.5</v>
      </c>
      <c r="X154" s="4">
        <v>0.6</v>
      </c>
      <c r="Y154" s="4">
        <v>0.3</v>
      </c>
      <c r="Z154" s="6">
        <v>457.71310399999999</v>
      </c>
      <c r="AA154" s="4">
        <v>1E-3</v>
      </c>
      <c r="AC154" s="4" t="s">
        <v>88</v>
      </c>
      <c r="AD154" s="4">
        <v>0.9</v>
      </c>
      <c r="AE154" s="4">
        <v>0.5</v>
      </c>
      <c r="AF154" s="4">
        <v>0.6</v>
      </c>
      <c r="AG154" s="4">
        <v>0.55000000000000004</v>
      </c>
      <c r="AH154" s="4">
        <v>497.127319</v>
      </c>
      <c r="AI154" s="4">
        <v>1.0999999999999999E-2</v>
      </c>
      <c r="AJ154" s="5"/>
      <c r="AK154" s="5"/>
      <c r="AL154" s="5"/>
      <c r="AM154" s="5"/>
      <c r="AO154" s="4" t="s">
        <v>89</v>
      </c>
      <c r="AP154" s="4">
        <v>0.9</v>
      </c>
      <c r="AQ154" s="4">
        <v>0.5</v>
      </c>
      <c r="AR154" s="4">
        <v>0.6</v>
      </c>
      <c r="AS154" s="4">
        <v>0.3</v>
      </c>
      <c r="AT154" s="6">
        <v>787.21826199999998</v>
      </c>
      <c r="AU154" s="4">
        <v>5.0000000000000001E-3</v>
      </c>
      <c r="AW154" s="4" t="s">
        <v>89</v>
      </c>
      <c r="AX154" s="4">
        <v>0.9</v>
      </c>
      <c r="AY154" s="4">
        <v>0.5</v>
      </c>
      <c r="AZ154" s="4">
        <v>0.6</v>
      </c>
      <c r="BA154" s="4">
        <v>0.82</v>
      </c>
      <c r="BB154" s="4">
        <v>979.40368699999999</v>
      </c>
      <c r="BC154" s="4">
        <v>3.4000000000000002E-2</v>
      </c>
      <c r="BD154" s="5"/>
      <c r="BE154" s="5"/>
      <c r="BF154" s="5"/>
      <c r="BG154" s="5"/>
      <c r="BI154" s="4" t="s">
        <v>89</v>
      </c>
      <c r="BJ154" s="4">
        <v>0.9</v>
      </c>
      <c r="BK154" s="4">
        <v>0.5</v>
      </c>
      <c r="BL154" s="4">
        <v>0.6</v>
      </c>
      <c r="BM154" s="4">
        <v>0.3</v>
      </c>
      <c r="BN154" s="6">
        <v>767.93249500000002</v>
      </c>
      <c r="BO154" s="4">
        <v>4.0000000000000001E-3</v>
      </c>
      <c r="BQ154" s="4" t="s">
        <v>89</v>
      </c>
      <c r="BR154" s="4">
        <v>0.9</v>
      </c>
      <c r="BS154" s="4">
        <v>0.5</v>
      </c>
      <c r="BT154" s="4">
        <v>0.6</v>
      </c>
      <c r="BU154" s="4">
        <v>0.61</v>
      </c>
      <c r="BV154" s="4">
        <v>923.25866699999995</v>
      </c>
      <c r="BW154" s="4">
        <v>1.4E-2</v>
      </c>
      <c r="BX154" s="5"/>
      <c r="BY154" s="5"/>
      <c r="BZ154" s="5"/>
      <c r="CA154" s="5"/>
    </row>
    <row r="155" spans="1:79" x14ac:dyDescent="0.3">
      <c r="A155" s="4" t="s">
        <v>90</v>
      </c>
      <c r="B155" s="4">
        <v>0.9</v>
      </c>
      <c r="C155" s="4">
        <v>0.5</v>
      </c>
      <c r="D155" s="4">
        <v>0.6</v>
      </c>
      <c r="E155" s="4">
        <v>0.3</v>
      </c>
      <c r="F155" s="4">
        <v>427.23998999999998</v>
      </c>
      <c r="G155" s="4">
        <v>1E-3</v>
      </c>
      <c r="I155" s="4" t="s">
        <v>90</v>
      </c>
      <c r="J155" s="4">
        <v>0.9</v>
      </c>
      <c r="K155" s="4">
        <v>0.5</v>
      </c>
      <c r="L155" s="4">
        <v>0.6</v>
      </c>
      <c r="M155" s="4">
        <v>0.09</v>
      </c>
      <c r="N155" s="6">
        <v>416.78308099999998</v>
      </c>
      <c r="O155" s="4">
        <v>1.0999999999999999E-2</v>
      </c>
      <c r="P155" s="5"/>
      <c r="Q155" s="5"/>
      <c r="R155" s="5"/>
      <c r="S155" s="5"/>
      <c r="U155" s="4" t="s">
        <v>90</v>
      </c>
      <c r="V155" s="4">
        <v>0.9</v>
      </c>
      <c r="W155" s="4">
        <v>0.5</v>
      </c>
      <c r="X155" s="4">
        <v>0.6</v>
      </c>
      <c r="Y155" s="4">
        <v>0.3</v>
      </c>
      <c r="Z155" s="6">
        <v>408.11267099999998</v>
      </c>
      <c r="AA155" s="4">
        <v>1E-3</v>
      </c>
      <c r="AC155" s="4" t="s">
        <v>90</v>
      </c>
      <c r="AD155" s="4">
        <v>0.9</v>
      </c>
      <c r="AE155" s="4">
        <v>0.5</v>
      </c>
      <c r="AF155" s="4">
        <v>0.6</v>
      </c>
      <c r="AG155" s="4">
        <v>0.21</v>
      </c>
      <c r="AH155" s="4">
        <v>411.14254799999998</v>
      </c>
      <c r="AI155" s="4">
        <v>1.7999999999999999E-2</v>
      </c>
      <c r="AJ155" s="5"/>
      <c r="AK155" s="5"/>
      <c r="AL155" s="5"/>
      <c r="AM155" s="5"/>
      <c r="AO155" s="4" t="s">
        <v>91</v>
      </c>
      <c r="AP155" s="4">
        <v>0.9</v>
      </c>
      <c r="AQ155" s="4">
        <v>0.5</v>
      </c>
      <c r="AR155" s="4">
        <v>0.6</v>
      </c>
      <c r="AS155" s="4">
        <v>0.3</v>
      </c>
      <c r="AT155" s="6">
        <v>771.07080099999996</v>
      </c>
      <c r="AU155" s="4">
        <v>6.0000000000000001E-3</v>
      </c>
      <c r="AW155" s="4" t="s">
        <v>91</v>
      </c>
      <c r="AX155" s="4">
        <v>0.9</v>
      </c>
      <c r="AY155" s="4">
        <v>0.5</v>
      </c>
      <c r="AZ155" s="4">
        <v>0.6</v>
      </c>
      <c r="BA155" s="4">
        <v>0.89</v>
      </c>
      <c r="BB155" s="4">
        <v>903.95300299999997</v>
      </c>
      <c r="BC155" s="4">
        <v>3.1E-2</v>
      </c>
      <c r="BD155" s="5"/>
      <c r="BE155" s="5"/>
      <c r="BF155" s="5"/>
      <c r="BG155" s="5"/>
      <c r="BI155" s="4" t="s">
        <v>91</v>
      </c>
      <c r="BJ155" s="4">
        <v>0.9</v>
      </c>
      <c r="BK155" s="4">
        <v>0.5</v>
      </c>
      <c r="BL155" s="4">
        <v>0.6</v>
      </c>
      <c r="BM155" s="4">
        <v>0.3</v>
      </c>
      <c r="BN155" s="6">
        <v>760.53985599999999</v>
      </c>
      <c r="BO155" s="4">
        <v>4.0000000000000001E-3</v>
      </c>
      <c r="BQ155" s="4" t="s">
        <v>91</v>
      </c>
      <c r="BR155" s="4">
        <v>0.9</v>
      </c>
      <c r="BS155" s="4">
        <v>0.5</v>
      </c>
      <c r="BT155" s="4">
        <v>0.6</v>
      </c>
      <c r="BU155" s="4">
        <v>0.48</v>
      </c>
      <c r="BV155" s="4">
        <v>836.88354500000003</v>
      </c>
      <c r="BW155" s="4">
        <v>1.7999999999999999E-2</v>
      </c>
      <c r="BX155" s="5"/>
      <c r="BY155" s="5"/>
      <c r="BZ155" s="5"/>
      <c r="CA155" s="5"/>
    </row>
    <row r="156" spans="1:79" x14ac:dyDescent="0.3">
      <c r="A156" s="4" t="s">
        <v>92</v>
      </c>
      <c r="B156" s="4">
        <v>0.9</v>
      </c>
      <c r="C156" s="4">
        <v>0.5</v>
      </c>
      <c r="D156" s="4">
        <v>0.6</v>
      </c>
      <c r="E156" s="4">
        <v>0.3</v>
      </c>
      <c r="F156" s="6">
        <v>562.34045400000002</v>
      </c>
      <c r="G156" s="4">
        <v>1E-3</v>
      </c>
      <c r="I156" s="4" t="s">
        <v>92</v>
      </c>
      <c r="J156" s="4">
        <v>0.9</v>
      </c>
      <c r="K156" s="4">
        <v>0.5</v>
      </c>
      <c r="L156" s="4">
        <v>0.6</v>
      </c>
      <c r="M156" s="4">
        <v>0.11</v>
      </c>
      <c r="N156" s="4">
        <v>572.62030000000004</v>
      </c>
      <c r="O156" s="4">
        <v>1.7999999999999999E-2</v>
      </c>
      <c r="P156" s="5"/>
      <c r="Q156" s="5"/>
      <c r="R156" s="5"/>
      <c r="S156" s="5"/>
      <c r="U156" s="4" t="s">
        <v>92</v>
      </c>
      <c r="V156" s="4">
        <v>0.9</v>
      </c>
      <c r="W156" s="4">
        <v>0.5</v>
      </c>
      <c r="X156" s="4">
        <v>0.6</v>
      </c>
      <c r="Y156" s="4">
        <v>0.3</v>
      </c>
      <c r="Z156" s="6">
        <v>530.81097399999999</v>
      </c>
      <c r="AA156" s="4">
        <v>1E-3</v>
      </c>
      <c r="AC156" s="4" t="s">
        <v>92</v>
      </c>
      <c r="AD156" s="4">
        <v>0.9</v>
      </c>
      <c r="AE156" s="4">
        <v>0.5</v>
      </c>
      <c r="AF156" s="4">
        <v>0.6</v>
      </c>
      <c r="AG156" s="4">
        <v>0.75</v>
      </c>
      <c r="AH156" s="4">
        <v>579.75872800000002</v>
      </c>
      <c r="AI156" s="4">
        <v>1.2E-2</v>
      </c>
      <c r="AJ156" s="5"/>
      <c r="AK156" s="5"/>
      <c r="AL156" s="5"/>
      <c r="AM156" s="5"/>
      <c r="AO156" s="4" t="s">
        <v>93</v>
      </c>
      <c r="AP156" s="4">
        <v>0.9</v>
      </c>
      <c r="AQ156" s="4">
        <v>0.5</v>
      </c>
      <c r="AR156" s="4">
        <v>0.6</v>
      </c>
      <c r="AS156" s="4">
        <v>0.3</v>
      </c>
      <c r="AT156" s="4">
        <v>724.506531</v>
      </c>
      <c r="AU156" s="4">
        <v>6.0000000000000001E-3</v>
      </c>
      <c r="AW156" s="4" t="s">
        <v>93</v>
      </c>
      <c r="AX156" s="4">
        <v>0.9</v>
      </c>
      <c r="AY156" s="4">
        <v>0.5</v>
      </c>
      <c r="AZ156" s="4">
        <v>0.6</v>
      </c>
      <c r="BA156" s="4">
        <v>0.06</v>
      </c>
      <c r="BB156" s="6">
        <v>674.11920199999997</v>
      </c>
      <c r="BC156" s="4">
        <v>2.3E-2</v>
      </c>
      <c r="BD156" s="5"/>
      <c r="BE156" s="5"/>
      <c r="BF156" s="5"/>
      <c r="BG156" s="5"/>
      <c r="BI156" s="4" t="s">
        <v>93</v>
      </c>
      <c r="BJ156" s="4">
        <v>0.9</v>
      </c>
      <c r="BK156" s="4">
        <v>0.5</v>
      </c>
      <c r="BL156" s="4">
        <v>0.6</v>
      </c>
      <c r="BM156" s="4">
        <v>0.3</v>
      </c>
      <c r="BN156" s="6">
        <v>711.49468999999999</v>
      </c>
      <c r="BO156" s="4">
        <v>5.0000000000000001E-3</v>
      </c>
      <c r="BQ156" s="4" t="s">
        <v>93</v>
      </c>
      <c r="BR156" s="4">
        <v>0.9</v>
      </c>
      <c r="BS156" s="4">
        <v>0.5</v>
      </c>
      <c r="BT156" s="4">
        <v>0.6</v>
      </c>
      <c r="BU156" s="4">
        <v>0.47</v>
      </c>
      <c r="BV156" s="4">
        <v>777.28881799999999</v>
      </c>
      <c r="BW156" s="4">
        <v>1.6E-2</v>
      </c>
      <c r="BX156" s="5"/>
      <c r="BY156" s="5"/>
      <c r="BZ156" s="5"/>
      <c r="CA156" s="5"/>
    </row>
    <row r="157" spans="1:79" x14ac:dyDescent="0.3">
      <c r="A157" s="4" t="s">
        <v>94</v>
      </c>
      <c r="B157" s="4">
        <v>0.9</v>
      </c>
      <c r="C157" s="4">
        <v>0.5</v>
      </c>
      <c r="D157" s="4">
        <v>0.6</v>
      </c>
      <c r="E157" s="4">
        <v>0.3</v>
      </c>
      <c r="F157" s="6">
        <v>432.19461100000001</v>
      </c>
      <c r="G157" s="4">
        <v>1E-3</v>
      </c>
      <c r="I157" s="4" t="s">
        <v>94</v>
      </c>
      <c r="J157" s="4">
        <v>0.9</v>
      </c>
      <c r="K157" s="4">
        <v>0.5</v>
      </c>
      <c r="L157" s="4">
        <v>0.6</v>
      </c>
      <c r="M157" s="4">
        <v>0.64</v>
      </c>
      <c r="N157" s="4">
        <v>580.13678000000004</v>
      </c>
      <c r="O157" s="4">
        <v>2.5999999999999999E-2</v>
      </c>
      <c r="P157" s="5"/>
      <c r="Q157" s="5"/>
      <c r="R157" s="5"/>
      <c r="S157" s="5"/>
      <c r="U157" s="4" t="s">
        <v>94</v>
      </c>
      <c r="V157" s="4">
        <v>0.9</v>
      </c>
      <c r="W157" s="4">
        <v>0.5</v>
      </c>
      <c r="X157" s="4">
        <v>0.6</v>
      </c>
      <c r="Y157" s="4">
        <v>0.3</v>
      </c>
      <c r="Z157" s="6">
        <v>443.27810699999998</v>
      </c>
      <c r="AA157" s="4">
        <v>1E-3</v>
      </c>
      <c r="AC157" s="4" t="s">
        <v>94</v>
      </c>
      <c r="AD157" s="4">
        <v>0.9</v>
      </c>
      <c r="AE157" s="4">
        <v>0.5</v>
      </c>
      <c r="AF157" s="4">
        <v>0.6</v>
      </c>
      <c r="AG157" s="4">
        <v>0.91</v>
      </c>
      <c r="AH157" s="4">
        <v>621.20043899999996</v>
      </c>
      <c r="AI157" s="4">
        <v>2.1999999999999999E-2</v>
      </c>
      <c r="AJ157" s="5"/>
      <c r="AK157" s="5"/>
      <c r="AL157" s="5"/>
      <c r="AM157" s="5"/>
      <c r="AO157" s="4" t="s">
        <v>95</v>
      </c>
      <c r="AP157" s="4">
        <v>0.9</v>
      </c>
      <c r="AQ157" s="4">
        <v>0.5</v>
      </c>
      <c r="AR157" s="4">
        <v>0.6</v>
      </c>
      <c r="AS157" s="4">
        <v>0.3</v>
      </c>
      <c r="AT157" s="6">
        <v>828.41332999999997</v>
      </c>
      <c r="AU157" s="4">
        <v>8.9999999999999993E-3</v>
      </c>
      <c r="AW157" s="4" t="s">
        <v>95</v>
      </c>
      <c r="AX157" s="4">
        <v>0.9</v>
      </c>
      <c r="AY157" s="4">
        <v>0.5</v>
      </c>
      <c r="AZ157" s="4">
        <v>0.6</v>
      </c>
      <c r="BA157" s="4">
        <v>0.95</v>
      </c>
      <c r="BB157" s="4">
        <v>1061.7827150000001</v>
      </c>
      <c r="BC157" s="4">
        <v>1.0999999999999999E-2</v>
      </c>
      <c r="BD157" s="5"/>
      <c r="BE157" s="5"/>
      <c r="BF157" s="5"/>
      <c r="BG157" s="5"/>
      <c r="BI157" s="4" t="s">
        <v>95</v>
      </c>
      <c r="BJ157" s="4">
        <v>0.9</v>
      </c>
      <c r="BK157" s="4">
        <v>0.5</v>
      </c>
      <c r="BL157" s="4">
        <v>0.6</v>
      </c>
      <c r="BM157" s="4">
        <v>0.3</v>
      </c>
      <c r="BN157" s="6">
        <v>820.24603300000001</v>
      </c>
      <c r="BO157" s="4">
        <v>5.0000000000000001E-3</v>
      </c>
      <c r="BQ157" s="4" t="s">
        <v>95</v>
      </c>
      <c r="BR157" s="4">
        <v>0.9</v>
      </c>
      <c r="BS157" s="4">
        <v>0.5</v>
      </c>
      <c r="BT157" s="4">
        <v>0.6</v>
      </c>
      <c r="BU157" s="4">
        <v>0.92</v>
      </c>
      <c r="BV157" s="4">
        <v>1017.336121</v>
      </c>
      <c r="BW157" s="4">
        <v>2.3E-2</v>
      </c>
      <c r="BX157" s="5"/>
      <c r="BY157" s="5"/>
      <c r="BZ157" s="5"/>
      <c r="CA157" s="5"/>
    </row>
    <row r="158" spans="1:79" x14ac:dyDescent="0.3">
      <c r="A158" s="4" t="s">
        <v>96</v>
      </c>
      <c r="B158" s="4">
        <v>0.9</v>
      </c>
      <c r="C158" s="4">
        <v>0.5</v>
      </c>
      <c r="D158" s="4">
        <v>0.6</v>
      </c>
      <c r="E158" s="4">
        <v>0.3</v>
      </c>
      <c r="F158" s="6">
        <v>591.61621100000002</v>
      </c>
      <c r="G158" s="4">
        <v>1E-3</v>
      </c>
      <c r="I158" s="4" t="s">
        <v>96</v>
      </c>
      <c r="J158" s="4">
        <v>0.9</v>
      </c>
      <c r="K158" s="4">
        <v>0.5</v>
      </c>
      <c r="L158" s="4">
        <v>0.6</v>
      </c>
      <c r="M158" s="4">
        <v>0.44</v>
      </c>
      <c r="N158" s="4">
        <v>623.26849400000003</v>
      </c>
      <c r="O158" s="4">
        <v>0.02</v>
      </c>
      <c r="P158" s="5"/>
      <c r="Q158" s="5"/>
      <c r="R158" s="5"/>
      <c r="S158" s="5"/>
      <c r="U158" s="4" t="s">
        <v>96</v>
      </c>
      <c r="V158" s="4">
        <v>0.9</v>
      </c>
      <c r="W158" s="4">
        <v>0.5</v>
      </c>
      <c r="X158" s="4">
        <v>0.6</v>
      </c>
      <c r="Y158" s="4">
        <v>0.3</v>
      </c>
      <c r="Z158" s="6">
        <v>560.47766100000001</v>
      </c>
      <c r="AA158" s="4">
        <v>1E-3</v>
      </c>
      <c r="AC158" s="4" t="s">
        <v>96</v>
      </c>
      <c r="AD158" s="4">
        <v>0.9</v>
      </c>
      <c r="AE158" s="4">
        <v>0.5</v>
      </c>
      <c r="AF158" s="4">
        <v>0.6</v>
      </c>
      <c r="AG158" s="4">
        <v>0.43</v>
      </c>
      <c r="AH158" s="4">
        <v>617.04199200000005</v>
      </c>
      <c r="AI158" s="4">
        <v>1.4999999999999999E-2</v>
      </c>
      <c r="AJ158" s="5"/>
      <c r="AK158" s="5"/>
      <c r="AL158" s="5"/>
      <c r="AM158" s="5"/>
      <c r="AO158" s="4" t="s">
        <v>97</v>
      </c>
      <c r="AP158" s="4">
        <v>0.9</v>
      </c>
      <c r="AQ158" s="4">
        <v>0.5</v>
      </c>
      <c r="AR158" s="4">
        <v>0.6</v>
      </c>
      <c r="AS158" s="4">
        <v>0.3</v>
      </c>
      <c r="AT158" s="6">
        <v>957.70343000000003</v>
      </c>
      <c r="AU158" s="4">
        <v>6.0000000000000001E-3</v>
      </c>
      <c r="AW158" s="4" t="s">
        <v>97</v>
      </c>
      <c r="AX158" s="4">
        <v>0.9</v>
      </c>
      <c r="AY158" s="4">
        <v>0.5</v>
      </c>
      <c r="AZ158" s="4">
        <v>0.6</v>
      </c>
      <c r="BA158" s="4">
        <v>0.88</v>
      </c>
      <c r="BB158" s="4">
        <v>1107.4338379999999</v>
      </c>
      <c r="BC158" s="4">
        <v>3.5000000000000003E-2</v>
      </c>
      <c r="BD158" s="5"/>
      <c r="BE158" s="5"/>
      <c r="BF158" s="5"/>
      <c r="BG158" s="5"/>
      <c r="BI158" s="4" t="s">
        <v>97</v>
      </c>
      <c r="BJ158" s="4">
        <v>0.9</v>
      </c>
      <c r="BK158" s="4">
        <v>0.5</v>
      </c>
      <c r="BL158" s="4">
        <v>0.6</v>
      </c>
      <c r="BM158" s="4">
        <v>0.3</v>
      </c>
      <c r="BN158" s="4">
        <v>927.93701199999998</v>
      </c>
      <c r="BO158" s="4">
        <v>6.0000000000000001E-3</v>
      </c>
      <c r="BQ158" s="4" t="s">
        <v>97</v>
      </c>
      <c r="BR158" s="4">
        <v>0.9</v>
      </c>
      <c r="BS158" s="4">
        <v>0.5</v>
      </c>
      <c r="BT158" s="4">
        <v>0.6</v>
      </c>
      <c r="BU158" s="4">
        <v>0.02</v>
      </c>
      <c r="BV158" s="6">
        <v>770.11505099999999</v>
      </c>
      <c r="BW158" s="4">
        <v>1.2999999999999999E-2</v>
      </c>
      <c r="BX158" s="5"/>
      <c r="BY158" s="5"/>
      <c r="BZ158" s="5"/>
      <c r="CA158" s="5"/>
    </row>
    <row r="159" spans="1:79" x14ac:dyDescent="0.3">
      <c r="A159" s="4" t="s">
        <v>98</v>
      </c>
      <c r="B159" s="4">
        <v>0.9</v>
      </c>
      <c r="C159" s="4">
        <v>0.5</v>
      </c>
      <c r="D159" s="4">
        <v>0.6</v>
      </c>
      <c r="E159" s="4">
        <v>0.3</v>
      </c>
      <c r="F159" s="6">
        <v>482.62603799999999</v>
      </c>
      <c r="G159" s="4">
        <v>1E-3</v>
      </c>
      <c r="I159" s="4" t="s">
        <v>98</v>
      </c>
      <c r="J159" s="4">
        <v>0.9</v>
      </c>
      <c r="K159" s="4">
        <v>0.5</v>
      </c>
      <c r="L159" s="4">
        <v>0.6</v>
      </c>
      <c r="M159" s="4">
        <v>0.36</v>
      </c>
      <c r="N159" s="4">
        <v>514.152649</v>
      </c>
      <c r="O159" s="4">
        <v>1.6E-2</v>
      </c>
      <c r="P159" s="5"/>
      <c r="Q159" s="5"/>
      <c r="R159" s="5"/>
      <c r="S159" s="5"/>
      <c r="U159" s="4" t="s">
        <v>98</v>
      </c>
      <c r="V159" s="4">
        <v>0.9</v>
      </c>
      <c r="W159" s="4">
        <v>0.5</v>
      </c>
      <c r="X159" s="4">
        <v>0.6</v>
      </c>
      <c r="Y159" s="4">
        <v>0.3</v>
      </c>
      <c r="Z159" s="6">
        <v>455.25457799999998</v>
      </c>
      <c r="AA159" s="4">
        <v>1E-3</v>
      </c>
      <c r="AC159" s="4" t="s">
        <v>98</v>
      </c>
      <c r="AD159" s="4">
        <v>0.9</v>
      </c>
      <c r="AE159" s="4">
        <v>0.5</v>
      </c>
      <c r="AF159" s="4">
        <v>0.6</v>
      </c>
      <c r="AG159" s="4">
        <v>0.39</v>
      </c>
      <c r="AH159" s="4">
        <v>491.76007099999998</v>
      </c>
      <c r="AI159" s="4">
        <v>2.1000000000000001E-2</v>
      </c>
      <c r="AJ159" s="5"/>
      <c r="AK159" s="5"/>
      <c r="AL159" s="5"/>
      <c r="AM159" s="5"/>
      <c r="AO159" s="4" t="s">
        <v>99</v>
      </c>
      <c r="AP159" s="4">
        <v>0.9</v>
      </c>
      <c r="AQ159" s="4">
        <v>0.5</v>
      </c>
      <c r="AR159" s="4">
        <v>0.6</v>
      </c>
      <c r="AS159" s="4">
        <v>0.3</v>
      </c>
      <c r="AT159" s="6">
        <v>923.57482900000002</v>
      </c>
      <c r="AU159" s="4">
        <v>7.0000000000000001E-3</v>
      </c>
      <c r="AW159" s="4" t="s">
        <v>99</v>
      </c>
      <c r="AX159" s="4">
        <v>0.9</v>
      </c>
      <c r="AY159" s="4">
        <v>0.5</v>
      </c>
      <c r="AZ159" s="4">
        <v>0.6</v>
      </c>
      <c r="BA159" s="4">
        <v>0.48</v>
      </c>
      <c r="BB159" s="4">
        <v>1023.195374</v>
      </c>
      <c r="BC159" s="4">
        <v>1.4E-2</v>
      </c>
      <c r="BD159" s="5"/>
      <c r="BE159" s="5"/>
      <c r="BF159" s="5"/>
      <c r="BG159" s="5"/>
      <c r="BI159" s="4" t="s">
        <v>99</v>
      </c>
      <c r="BJ159" s="4">
        <v>0.9</v>
      </c>
      <c r="BK159" s="4">
        <v>0.5</v>
      </c>
      <c r="BL159" s="4">
        <v>0.6</v>
      </c>
      <c r="BM159" s="4">
        <v>0.3</v>
      </c>
      <c r="BN159" s="6">
        <v>891.87237500000003</v>
      </c>
      <c r="BO159" s="4">
        <v>4.0000000000000001E-3</v>
      </c>
      <c r="BQ159" s="4" t="s">
        <v>99</v>
      </c>
      <c r="BR159" s="4">
        <v>0.9</v>
      </c>
      <c r="BS159" s="4">
        <v>0.5</v>
      </c>
      <c r="BT159" s="4">
        <v>0.6</v>
      </c>
      <c r="BU159" s="4">
        <v>0.66</v>
      </c>
      <c r="BV159" s="4">
        <v>1051.4105219999999</v>
      </c>
      <c r="BW159" s="4">
        <v>8.9999999999999993E-3</v>
      </c>
      <c r="BX159" s="5"/>
      <c r="BY159" s="5"/>
      <c r="BZ159" s="5"/>
      <c r="CA159" s="5"/>
    </row>
    <row r="160" spans="1:79" x14ac:dyDescent="0.3">
      <c r="A160" s="4" t="s">
        <v>100</v>
      </c>
      <c r="B160" s="4">
        <v>0.9</v>
      </c>
      <c r="C160" s="4">
        <v>0.5</v>
      </c>
      <c r="D160" s="4">
        <v>0.6</v>
      </c>
      <c r="E160" s="4">
        <v>0.3</v>
      </c>
      <c r="F160" s="6">
        <v>609.87329099999999</v>
      </c>
      <c r="G160" s="4">
        <v>1E-3</v>
      </c>
      <c r="I160" s="4" t="s">
        <v>100</v>
      </c>
      <c r="J160" s="4">
        <v>0.9</v>
      </c>
      <c r="K160" s="4">
        <v>0.5</v>
      </c>
      <c r="L160" s="4">
        <v>0.6</v>
      </c>
      <c r="M160" s="4">
        <v>0.5</v>
      </c>
      <c r="N160" s="4">
        <v>667.78716999999995</v>
      </c>
      <c r="O160" s="4">
        <v>3.5999999999999997E-2</v>
      </c>
      <c r="P160" s="5"/>
      <c r="Q160" s="5"/>
      <c r="R160" s="5"/>
      <c r="S160" s="5"/>
      <c r="U160" s="4" t="s">
        <v>100</v>
      </c>
      <c r="V160" s="4">
        <v>0.9</v>
      </c>
      <c r="W160" s="4">
        <v>0.5</v>
      </c>
      <c r="X160" s="4">
        <v>0.6</v>
      </c>
      <c r="Y160" s="4">
        <v>0.3</v>
      </c>
      <c r="Z160" s="6">
        <v>608.22778300000004</v>
      </c>
      <c r="AA160" s="4">
        <v>1E-3</v>
      </c>
      <c r="AC160" s="4" t="s">
        <v>100</v>
      </c>
      <c r="AD160" s="4">
        <v>0.9</v>
      </c>
      <c r="AE160" s="4">
        <v>0.5</v>
      </c>
      <c r="AF160" s="4">
        <v>0.6</v>
      </c>
      <c r="AG160" s="4">
        <v>0.81</v>
      </c>
      <c r="AH160" s="4">
        <v>698.13403300000004</v>
      </c>
      <c r="AI160" s="4">
        <v>1.7999999999999999E-2</v>
      </c>
      <c r="AJ160" s="5"/>
      <c r="AK160" s="5"/>
      <c r="AL160" s="5"/>
      <c r="AM160" s="5"/>
      <c r="AO160" s="4" t="s">
        <v>101</v>
      </c>
      <c r="AP160" s="4">
        <v>0.9</v>
      </c>
      <c r="AQ160" s="4">
        <v>0.5</v>
      </c>
      <c r="AR160" s="4">
        <v>0.6</v>
      </c>
      <c r="AS160" s="4">
        <v>0.3</v>
      </c>
      <c r="AT160" s="6">
        <v>830.20220900000004</v>
      </c>
      <c r="AU160" s="4">
        <v>5.0000000000000001E-3</v>
      </c>
      <c r="AW160" s="4" t="s">
        <v>101</v>
      </c>
      <c r="AX160" s="4">
        <v>0.9</v>
      </c>
      <c r="AY160" s="4">
        <v>0.5</v>
      </c>
      <c r="AZ160" s="4">
        <v>0.6</v>
      </c>
      <c r="BA160" s="4">
        <v>0.95</v>
      </c>
      <c r="BB160" s="4">
        <v>1037.1281739999999</v>
      </c>
      <c r="BC160" s="4">
        <v>2.8000000000000001E-2</v>
      </c>
      <c r="BD160" s="5"/>
      <c r="BE160" s="5"/>
      <c r="BF160" s="5"/>
      <c r="BG160" s="5"/>
      <c r="BI160" s="4" t="s">
        <v>101</v>
      </c>
      <c r="BJ160" s="4">
        <v>0.9</v>
      </c>
      <c r="BK160" s="4">
        <v>0.5</v>
      </c>
      <c r="BL160" s="4">
        <v>0.6</v>
      </c>
      <c r="BM160" s="4">
        <v>0.3</v>
      </c>
      <c r="BN160" s="4">
        <v>775.39843800000006</v>
      </c>
      <c r="BO160" s="4">
        <v>4.0000000000000001E-3</v>
      </c>
      <c r="BQ160" s="4" t="s">
        <v>101</v>
      </c>
      <c r="BR160" s="4">
        <v>0.9</v>
      </c>
      <c r="BS160" s="4">
        <v>0.5</v>
      </c>
      <c r="BT160" s="4">
        <v>0.6</v>
      </c>
      <c r="BU160" s="4">
        <v>0.08</v>
      </c>
      <c r="BV160" s="6">
        <v>707.485229</v>
      </c>
      <c r="BW160" s="4">
        <v>1.2999999999999999E-2</v>
      </c>
      <c r="BX160" s="5"/>
      <c r="BY160" s="5"/>
      <c r="BZ160" s="5"/>
      <c r="CA160" s="5"/>
    </row>
    <row r="161" spans="1:79" x14ac:dyDescent="0.3">
      <c r="A161" s="4" t="s">
        <v>102</v>
      </c>
      <c r="B161" s="4">
        <v>0.9</v>
      </c>
      <c r="C161" s="4">
        <v>0.5</v>
      </c>
      <c r="D161" s="4">
        <v>0.6</v>
      </c>
      <c r="E161" s="4">
        <v>0.3</v>
      </c>
      <c r="F161" s="4">
        <v>611.81549099999995</v>
      </c>
      <c r="G161" s="4">
        <v>1E-3</v>
      </c>
      <c r="I161" s="4" t="s">
        <v>102</v>
      </c>
      <c r="J161" s="4">
        <v>0.9</v>
      </c>
      <c r="K161" s="4">
        <v>0.5</v>
      </c>
      <c r="L161" s="4">
        <v>0.6</v>
      </c>
      <c r="M161" s="4">
        <v>0.13</v>
      </c>
      <c r="N161" s="6">
        <v>594.72051999999996</v>
      </c>
      <c r="O161" s="4">
        <v>2.1999999999999999E-2</v>
      </c>
      <c r="P161" s="5"/>
      <c r="Q161" s="5"/>
      <c r="R161" s="5"/>
      <c r="S161" s="5"/>
      <c r="U161" s="4" t="s">
        <v>102</v>
      </c>
      <c r="V161" s="4">
        <v>0.9</v>
      </c>
      <c r="W161" s="4">
        <v>0.5</v>
      </c>
      <c r="X161" s="4">
        <v>0.6</v>
      </c>
      <c r="Y161" s="4">
        <v>0.3</v>
      </c>
      <c r="Z161" s="4">
        <v>604.49047900000005</v>
      </c>
      <c r="AA161" s="4">
        <v>1E-3</v>
      </c>
      <c r="AC161" s="4" t="s">
        <v>102</v>
      </c>
      <c r="AD161" s="4">
        <v>0.9</v>
      </c>
      <c r="AE161" s="4">
        <v>0.5</v>
      </c>
      <c r="AF161" s="4">
        <v>0.6</v>
      </c>
      <c r="AG161" s="4">
        <v>0.08</v>
      </c>
      <c r="AH161" s="6">
        <v>598.16717500000004</v>
      </c>
      <c r="AI161" s="4">
        <v>1.0999999999999999E-2</v>
      </c>
      <c r="AJ161" s="5"/>
      <c r="AK161" s="5"/>
      <c r="AL161" s="5"/>
      <c r="AM161" s="5"/>
      <c r="AO161" s="4" t="s">
        <v>103</v>
      </c>
      <c r="AP161" s="4">
        <v>0.9</v>
      </c>
      <c r="AQ161" s="4">
        <v>0.5</v>
      </c>
      <c r="AR161" s="4">
        <v>0.6</v>
      </c>
      <c r="AS161" s="4">
        <v>0.3</v>
      </c>
      <c r="AT161" s="6">
        <v>854.17260699999997</v>
      </c>
      <c r="AU161" s="4">
        <v>5.0000000000000001E-3</v>
      </c>
      <c r="AW161" s="4" t="s">
        <v>103</v>
      </c>
      <c r="AX161" s="4">
        <v>0.9</v>
      </c>
      <c r="AY161" s="4">
        <v>0.5</v>
      </c>
      <c r="AZ161" s="4">
        <v>0.6</v>
      </c>
      <c r="BA161" s="4">
        <v>0.8</v>
      </c>
      <c r="BB161" s="4">
        <v>1013.844238</v>
      </c>
      <c r="BC161" s="4">
        <v>2.8000000000000001E-2</v>
      </c>
      <c r="BD161" s="5"/>
      <c r="BE161" s="5"/>
      <c r="BF161" s="5"/>
      <c r="BG161" s="5"/>
      <c r="BI161" s="4" t="s">
        <v>103</v>
      </c>
      <c r="BJ161" s="4">
        <v>0.9</v>
      </c>
      <c r="BK161" s="4">
        <v>0.5</v>
      </c>
      <c r="BL161" s="4">
        <v>0.6</v>
      </c>
      <c r="BM161" s="4">
        <v>0.3</v>
      </c>
      <c r="BN161" s="6">
        <v>844.53704800000003</v>
      </c>
      <c r="BO161" s="4">
        <v>4.0000000000000001E-3</v>
      </c>
      <c r="BQ161" s="4" t="s">
        <v>103</v>
      </c>
      <c r="BR161" s="4">
        <v>0.9</v>
      </c>
      <c r="BS161" s="4">
        <v>0.5</v>
      </c>
      <c r="BT161" s="4">
        <v>0.6</v>
      </c>
      <c r="BU161" s="4">
        <v>0.74</v>
      </c>
      <c r="BV161" s="4">
        <v>1009.14624</v>
      </c>
      <c r="BW161" s="4">
        <v>1.4999999999999999E-2</v>
      </c>
      <c r="BX161" s="5"/>
      <c r="BY161" s="5"/>
      <c r="BZ161" s="5"/>
      <c r="CA161" s="5"/>
    </row>
    <row r="162" spans="1:79" x14ac:dyDescent="0.3">
      <c r="A162" s="4" t="s">
        <v>104</v>
      </c>
      <c r="B162" s="4">
        <v>0.9</v>
      </c>
      <c r="C162" s="4">
        <v>0.5</v>
      </c>
      <c r="D162" s="4">
        <v>0.6</v>
      </c>
      <c r="E162" s="4">
        <v>0.3</v>
      </c>
      <c r="F162" s="6">
        <v>582.24731399999996</v>
      </c>
      <c r="G162" s="4">
        <v>1E-3</v>
      </c>
      <c r="I162" s="4" t="s">
        <v>104</v>
      </c>
      <c r="J162" s="4">
        <v>0.9</v>
      </c>
      <c r="K162" s="4">
        <v>0.5</v>
      </c>
      <c r="L162" s="4">
        <v>0.6</v>
      </c>
      <c r="M162" s="4">
        <v>0.47</v>
      </c>
      <c r="N162" s="4">
        <v>655.88232400000004</v>
      </c>
      <c r="O162" s="4">
        <v>6.0000000000000001E-3</v>
      </c>
      <c r="P162" s="5"/>
      <c r="Q162" s="5"/>
      <c r="R162" s="5"/>
      <c r="S162" s="5"/>
      <c r="U162" s="4" t="s">
        <v>104</v>
      </c>
      <c r="V162" s="4">
        <v>0.9</v>
      </c>
      <c r="W162" s="4">
        <v>0.5</v>
      </c>
      <c r="X162" s="4">
        <v>0.6</v>
      </c>
      <c r="Y162" s="4">
        <v>0.3</v>
      </c>
      <c r="Z162" s="6">
        <v>584.26721199999997</v>
      </c>
      <c r="AA162" s="4">
        <v>1E-3</v>
      </c>
      <c r="AC162" s="4" t="s">
        <v>104</v>
      </c>
      <c r="AD162" s="4">
        <v>0.9</v>
      </c>
      <c r="AE162" s="4">
        <v>0.5</v>
      </c>
      <c r="AF162" s="4">
        <v>0.6</v>
      </c>
      <c r="AG162" s="4">
        <v>0.83</v>
      </c>
      <c r="AH162" s="4">
        <v>687.69476299999997</v>
      </c>
      <c r="AI162" s="4">
        <v>2.9000000000000001E-2</v>
      </c>
      <c r="AJ162" s="5"/>
      <c r="AK162" s="5"/>
      <c r="AL162" s="5"/>
      <c r="AM162" s="5"/>
      <c r="AO162" s="4" t="s">
        <v>105</v>
      </c>
      <c r="AP162" s="4">
        <v>0.9</v>
      </c>
      <c r="AQ162" s="4">
        <v>0.5</v>
      </c>
      <c r="AR162" s="4">
        <v>0.6</v>
      </c>
      <c r="AS162" s="4">
        <v>0.3</v>
      </c>
      <c r="AT162" s="4">
        <v>983.48474099999999</v>
      </c>
      <c r="AU162" s="4">
        <v>5.0000000000000001E-3</v>
      </c>
      <c r="AW162" s="4" t="s">
        <v>105</v>
      </c>
      <c r="AX162" s="4">
        <v>0.9</v>
      </c>
      <c r="AY162" s="4">
        <v>0.5</v>
      </c>
      <c r="AZ162" s="4">
        <v>0.6</v>
      </c>
      <c r="BA162" s="4">
        <v>0.1</v>
      </c>
      <c r="BB162" s="6">
        <v>835.62823500000002</v>
      </c>
      <c r="BC162" s="4">
        <v>0.03</v>
      </c>
      <c r="BD162" s="5"/>
      <c r="BE162" s="5"/>
      <c r="BF162" s="5"/>
      <c r="BG162" s="5"/>
      <c r="BI162" s="4" t="s">
        <v>105</v>
      </c>
      <c r="BJ162" s="4">
        <v>0.9</v>
      </c>
      <c r="BK162" s="4">
        <v>0.5</v>
      </c>
      <c r="BL162" s="4">
        <v>0.6</v>
      </c>
      <c r="BM162" s="4">
        <v>0.3</v>
      </c>
      <c r="BN162" s="6">
        <v>957.981628</v>
      </c>
      <c r="BO162" s="4">
        <v>5.0000000000000001E-3</v>
      </c>
      <c r="BQ162" s="4" t="s">
        <v>105</v>
      </c>
      <c r="BR162" s="4">
        <v>0.9</v>
      </c>
      <c r="BS162" s="4">
        <v>0.5</v>
      </c>
      <c r="BT162" s="4">
        <v>0.6</v>
      </c>
      <c r="BU162" s="4">
        <v>0.38</v>
      </c>
      <c r="BV162" s="4">
        <v>1007.29187</v>
      </c>
      <c r="BW162" s="4">
        <v>1.2999999999999999E-2</v>
      </c>
      <c r="BX162" s="5"/>
      <c r="BY162" s="5"/>
      <c r="BZ162" s="5"/>
      <c r="CA162" s="5"/>
    </row>
    <row r="163" spans="1:79" x14ac:dyDescent="0.3">
      <c r="A163" s="4" t="s">
        <v>106</v>
      </c>
      <c r="B163" s="4">
        <v>0.9</v>
      </c>
      <c r="C163" s="4">
        <v>0.5</v>
      </c>
      <c r="D163" s="4">
        <v>0.6</v>
      </c>
      <c r="E163" s="4">
        <v>0.3</v>
      </c>
      <c r="F163" s="6">
        <v>534.07696499999997</v>
      </c>
      <c r="G163" s="4">
        <v>1E-3</v>
      </c>
      <c r="I163" s="4" t="s">
        <v>106</v>
      </c>
      <c r="J163" s="4">
        <v>0.9</v>
      </c>
      <c r="K163" s="4">
        <v>0.5</v>
      </c>
      <c r="L163" s="4">
        <v>0.6</v>
      </c>
      <c r="M163" s="4">
        <v>0.14000000000000001</v>
      </c>
      <c r="N163" s="4">
        <v>541.38891599999999</v>
      </c>
      <c r="O163" s="4">
        <v>2.1999999999999999E-2</v>
      </c>
      <c r="P163" s="5"/>
      <c r="Q163" s="5"/>
      <c r="R163" s="5"/>
      <c r="S163" s="5"/>
      <c r="U163" s="4" t="s">
        <v>106</v>
      </c>
      <c r="V163" s="4">
        <v>0.9</v>
      </c>
      <c r="W163" s="4">
        <v>0.5</v>
      </c>
      <c r="X163" s="4">
        <v>0.6</v>
      </c>
      <c r="Y163" s="4">
        <v>0.3</v>
      </c>
      <c r="Z163" s="6">
        <v>554.75073199999997</v>
      </c>
      <c r="AA163" s="4">
        <v>1E-3</v>
      </c>
      <c r="AC163" s="4" t="s">
        <v>106</v>
      </c>
      <c r="AD163" s="4">
        <v>0.9</v>
      </c>
      <c r="AE163" s="4">
        <v>0.5</v>
      </c>
      <c r="AF163" s="4">
        <v>0.6</v>
      </c>
      <c r="AG163" s="4">
        <v>0.41</v>
      </c>
      <c r="AH163" s="4">
        <v>590.43988000000002</v>
      </c>
      <c r="AI163" s="4">
        <v>2.3E-2</v>
      </c>
      <c r="AJ163" s="5"/>
      <c r="AK163" s="5"/>
      <c r="AL163" s="5"/>
      <c r="AM163" s="5"/>
      <c r="AO163" s="4" t="s">
        <v>107</v>
      </c>
      <c r="AP163" s="4">
        <v>0.9</v>
      </c>
      <c r="AQ163" s="4">
        <v>0.5</v>
      </c>
      <c r="AR163" s="4">
        <v>0.6</v>
      </c>
      <c r="AS163" s="4">
        <v>0.3</v>
      </c>
      <c r="AT163" s="6">
        <v>1033.886841</v>
      </c>
      <c r="AU163" s="4">
        <v>5.0000000000000001E-3</v>
      </c>
      <c r="AW163" s="4" t="s">
        <v>107</v>
      </c>
      <c r="AX163" s="4">
        <v>0.9</v>
      </c>
      <c r="AY163" s="4">
        <v>0.5</v>
      </c>
      <c r="AZ163" s="4">
        <v>0.6</v>
      </c>
      <c r="BA163" s="4">
        <v>0.74</v>
      </c>
      <c r="BB163" s="4">
        <v>1190.372803</v>
      </c>
      <c r="BC163" s="4">
        <v>4.7E-2</v>
      </c>
      <c r="BD163" s="5"/>
      <c r="BE163" s="5"/>
      <c r="BF163" s="5"/>
      <c r="BG163" s="5"/>
      <c r="BI163" s="4" t="s">
        <v>107</v>
      </c>
      <c r="BJ163" s="4">
        <v>0.9</v>
      </c>
      <c r="BK163" s="4">
        <v>0.5</v>
      </c>
      <c r="BL163" s="4">
        <v>0.6</v>
      </c>
      <c r="BM163" s="4">
        <v>0.3</v>
      </c>
      <c r="BN163" s="4">
        <v>1038.3111570000001</v>
      </c>
      <c r="BO163" s="4">
        <v>5.0000000000000001E-3</v>
      </c>
      <c r="BQ163" s="4" t="s">
        <v>107</v>
      </c>
      <c r="BR163" s="4">
        <v>0.9</v>
      </c>
      <c r="BS163" s="4">
        <v>0.5</v>
      </c>
      <c r="BT163" s="4">
        <v>0.6</v>
      </c>
      <c r="BU163" s="4">
        <v>0.03</v>
      </c>
      <c r="BV163" s="6">
        <v>878.28118900000004</v>
      </c>
      <c r="BW163" s="4">
        <v>1.4999999999999999E-2</v>
      </c>
      <c r="BX163" s="5"/>
      <c r="BY163" s="5"/>
      <c r="BZ163" s="5"/>
      <c r="CA163" s="5"/>
    </row>
    <row r="164" spans="1:79" x14ac:dyDescent="0.3">
      <c r="A164" s="4" t="s">
        <v>108</v>
      </c>
      <c r="B164" s="4">
        <v>0.9</v>
      </c>
      <c r="C164" s="4">
        <v>0.5</v>
      </c>
      <c r="D164" s="4">
        <v>0.6</v>
      </c>
      <c r="E164" s="4">
        <v>0.3</v>
      </c>
      <c r="F164" s="6">
        <v>605.71917699999995</v>
      </c>
      <c r="G164" s="4">
        <v>1E-3</v>
      </c>
      <c r="I164" s="4" t="s">
        <v>108</v>
      </c>
      <c r="J164" s="4">
        <v>0.9</v>
      </c>
      <c r="K164" s="4">
        <v>0.5</v>
      </c>
      <c r="L164" s="4">
        <v>0.6</v>
      </c>
      <c r="M164" s="4">
        <v>0.1</v>
      </c>
      <c r="N164" s="4">
        <v>638.67529300000001</v>
      </c>
      <c r="O164" s="4">
        <v>3.4000000000000002E-2</v>
      </c>
      <c r="P164" s="5"/>
      <c r="Q164" s="5"/>
      <c r="R164" s="5"/>
      <c r="S164" s="5"/>
      <c r="U164" s="4" t="s">
        <v>108</v>
      </c>
      <c r="V164" s="4">
        <v>0.9</v>
      </c>
      <c r="W164" s="4">
        <v>0.5</v>
      </c>
      <c r="X164" s="4">
        <v>0.6</v>
      </c>
      <c r="Y164" s="4">
        <v>0.3</v>
      </c>
      <c r="Z164" s="6">
        <v>584.26458700000001</v>
      </c>
      <c r="AA164" s="4">
        <v>1E-3</v>
      </c>
      <c r="AC164" s="4" t="s">
        <v>108</v>
      </c>
      <c r="AD164" s="4">
        <v>0.9</v>
      </c>
      <c r="AE164" s="4">
        <v>0.5</v>
      </c>
      <c r="AF164" s="4">
        <v>0.6</v>
      </c>
      <c r="AG164" s="4">
        <v>0.83</v>
      </c>
      <c r="AH164" s="4">
        <v>636.00988800000005</v>
      </c>
      <c r="AI164" s="4">
        <v>1.2999999999999999E-2</v>
      </c>
      <c r="AJ164" s="5"/>
      <c r="AK164" s="5"/>
      <c r="AL164" s="5"/>
      <c r="AM164" s="5"/>
      <c r="AO164" s="4" t="s">
        <v>109</v>
      </c>
      <c r="AP164" s="4">
        <v>0.9</v>
      </c>
      <c r="AQ164" s="4">
        <v>0.5</v>
      </c>
      <c r="AR164" s="4">
        <v>0.6</v>
      </c>
      <c r="AS164" s="4">
        <v>0.3</v>
      </c>
      <c r="AT164" s="6">
        <v>906.29266399999995</v>
      </c>
      <c r="AU164" s="4">
        <v>5.0000000000000001E-3</v>
      </c>
      <c r="AW164" s="4" t="s">
        <v>109</v>
      </c>
      <c r="AX164" s="4">
        <v>0.9</v>
      </c>
      <c r="AY164" s="4">
        <v>0.5</v>
      </c>
      <c r="AZ164" s="4">
        <v>0.6</v>
      </c>
      <c r="BA164" s="4">
        <v>0.86</v>
      </c>
      <c r="BB164" s="4">
        <v>1109.7298579999999</v>
      </c>
      <c r="BC164" s="4">
        <v>1.7999999999999999E-2</v>
      </c>
      <c r="BD164" s="5"/>
      <c r="BE164" s="5"/>
      <c r="BF164" s="5"/>
      <c r="BG164" s="5"/>
      <c r="BI164" s="4" t="s">
        <v>109</v>
      </c>
      <c r="BJ164" s="4">
        <v>0.9</v>
      </c>
      <c r="BK164" s="4">
        <v>0.5</v>
      </c>
      <c r="BL164" s="4">
        <v>0.6</v>
      </c>
      <c r="BM164" s="4">
        <v>0.3</v>
      </c>
      <c r="BN164" s="4">
        <v>891.42706299999998</v>
      </c>
      <c r="BO164" s="4">
        <v>5.0000000000000001E-3</v>
      </c>
      <c r="BQ164" s="4" t="s">
        <v>109</v>
      </c>
      <c r="BR164" s="4">
        <v>0.9</v>
      </c>
      <c r="BS164" s="4">
        <v>0.5</v>
      </c>
      <c r="BT164" s="4">
        <v>0.6</v>
      </c>
      <c r="BU164" s="4">
        <v>0.01</v>
      </c>
      <c r="BV164" s="6">
        <v>829.77203399999996</v>
      </c>
      <c r="BW164" s="4">
        <v>2.5999999999999999E-2</v>
      </c>
      <c r="BX164" s="5"/>
      <c r="BY164" s="5"/>
      <c r="BZ164" s="5"/>
      <c r="CA164" s="5"/>
    </row>
    <row r="165" spans="1:79" x14ac:dyDescent="0.3">
      <c r="A165" s="4" t="s">
        <v>110</v>
      </c>
      <c r="B165" s="4">
        <v>0.9</v>
      </c>
      <c r="C165" s="4">
        <v>0.5</v>
      </c>
      <c r="D165" s="4">
        <v>0.6</v>
      </c>
      <c r="E165" s="4">
        <v>0.3</v>
      </c>
      <c r="F165" s="4">
        <v>582.90521200000001</v>
      </c>
      <c r="G165" s="4">
        <v>1E-3</v>
      </c>
      <c r="I165" s="4" t="s">
        <v>110</v>
      </c>
      <c r="J165" s="4">
        <v>0.9</v>
      </c>
      <c r="K165" s="4">
        <v>0.5</v>
      </c>
      <c r="L165" s="4">
        <v>0.6</v>
      </c>
      <c r="M165" s="4">
        <v>0.12</v>
      </c>
      <c r="N165" s="6">
        <v>557.82195999999999</v>
      </c>
      <c r="O165" s="4">
        <v>4.0000000000000001E-3</v>
      </c>
      <c r="P165" s="5"/>
      <c r="Q165" s="5"/>
      <c r="R165" s="5"/>
      <c r="S165" s="5"/>
      <c r="U165" s="4" t="s">
        <v>110</v>
      </c>
      <c r="V165" s="4">
        <v>0.9</v>
      </c>
      <c r="W165" s="4">
        <v>0.5</v>
      </c>
      <c r="X165" s="4">
        <v>0.6</v>
      </c>
      <c r="Y165" s="4">
        <v>0.3</v>
      </c>
      <c r="Z165" s="6">
        <v>587.03259300000002</v>
      </c>
      <c r="AA165" s="4">
        <v>1E-3</v>
      </c>
      <c r="AC165" s="4" t="s">
        <v>110</v>
      </c>
      <c r="AD165" s="4">
        <v>0.9</v>
      </c>
      <c r="AE165" s="4">
        <v>0.5</v>
      </c>
      <c r="AF165" s="4">
        <v>0.6</v>
      </c>
      <c r="AG165" s="4">
        <v>0.87</v>
      </c>
      <c r="AH165" s="4">
        <v>671.54339600000003</v>
      </c>
      <c r="AI165" s="4">
        <v>1.4999999999999999E-2</v>
      </c>
      <c r="AJ165" s="5"/>
      <c r="AK165" s="5"/>
      <c r="AL165" s="5"/>
      <c r="AM165" s="5"/>
      <c r="AO165" s="4" t="s">
        <v>111</v>
      </c>
      <c r="AP165" s="4">
        <v>0.9</v>
      </c>
      <c r="AQ165" s="4">
        <v>0.5</v>
      </c>
      <c r="AR165" s="4">
        <v>0.6</v>
      </c>
      <c r="AS165" s="4">
        <v>0.3</v>
      </c>
      <c r="AT165" s="6">
        <v>1002.737366</v>
      </c>
      <c r="AU165" s="4">
        <v>5.0000000000000001E-3</v>
      </c>
      <c r="AW165" s="4" t="s">
        <v>111</v>
      </c>
      <c r="AX165" s="4">
        <v>0.9</v>
      </c>
      <c r="AY165" s="4">
        <v>0.5</v>
      </c>
      <c r="AZ165" s="4">
        <v>0.6</v>
      </c>
      <c r="BA165" s="4">
        <v>0.6</v>
      </c>
      <c r="BB165" s="4">
        <v>1116.9586179999999</v>
      </c>
      <c r="BC165" s="4">
        <v>2.8000000000000001E-2</v>
      </c>
      <c r="BD165" s="5"/>
      <c r="BE165" s="5"/>
      <c r="BF165" s="5"/>
      <c r="BG165" s="5"/>
      <c r="BI165" s="4" t="s">
        <v>111</v>
      </c>
      <c r="BJ165" s="4">
        <v>0.9</v>
      </c>
      <c r="BK165" s="4">
        <v>0.5</v>
      </c>
      <c r="BL165" s="4">
        <v>0.6</v>
      </c>
      <c r="BM165" s="4">
        <v>0.3</v>
      </c>
      <c r="BN165" s="4">
        <v>991.43688999999995</v>
      </c>
      <c r="BO165" s="4">
        <v>6.0000000000000001E-3</v>
      </c>
      <c r="BQ165" s="4" t="s">
        <v>111</v>
      </c>
      <c r="BR165" s="4">
        <v>0.9</v>
      </c>
      <c r="BS165" s="4">
        <v>0.5</v>
      </c>
      <c r="BT165" s="4">
        <v>0.6</v>
      </c>
      <c r="BU165" s="4">
        <v>0.04</v>
      </c>
      <c r="BV165" s="6">
        <v>828.51391599999999</v>
      </c>
      <c r="BW165" s="4">
        <v>1.6E-2</v>
      </c>
      <c r="BX165" s="5"/>
      <c r="BY165" s="5"/>
      <c r="BZ165" s="5"/>
      <c r="CA165" s="5"/>
    </row>
    <row r="166" spans="1:79" x14ac:dyDescent="0.3">
      <c r="A166" s="4" t="s">
        <v>112</v>
      </c>
      <c r="B166" s="4">
        <v>0.9</v>
      </c>
      <c r="C166" s="4">
        <v>0.5</v>
      </c>
      <c r="D166" s="4">
        <v>0.6</v>
      </c>
      <c r="E166" s="4">
        <v>0.3</v>
      </c>
      <c r="F166" s="6">
        <v>465.50125100000002</v>
      </c>
      <c r="G166" s="4">
        <v>0</v>
      </c>
      <c r="I166" s="4" t="s">
        <v>112</v>
      </c>
      <c r="J166" s="4">
        <v>0.9</v>
      </c>
      <c r="K166" s="4">
        <v>0.5</v>
      </c>
      <c r="L166" s="4">
        <v>0.6</v>
      </c>
      <c r="M166" s="4">
        <v>0.35</v>
      </c>
      <c r="N166" s="4">
        <v>489.28988600000002</v>
      </c>
      <c r="O166" s="4">
        <v>1.4999999999999999E-2</v>
      </c>
      <c r="P166" s="5"/>
      <c r="Q166" s="5"/>
      <c r="R166" s="5"/>
      <c r="S166" s="5"/>
      <c r="U166" s="4" t="s">
        <v>112</v>
      </c>
      <c r="V166" s="4">
        <v>0.9</v>
      </c>
      <c r="W166" s="4">
        <v>0.5</v>
      </c>
      <c r="X166" s="4">
        <v>0.6</v>
      </c>
      <c r="Y166" s="4">
        <v>0.3</v>
      </c>
      <c r="Z166" s="6">
        <v>435.23095699999999</v>
      </c>
      <c r="AA166" s="4">
        <v>0</v>
      </c>
      <c r="AC166" s="4" t="s">
        <v>112</v>
      </c>
      <c r="AD166" s="4">
        <v>0.9</v>
      </c>
      <c r="AE166" s="4">
        <v>0.5</v>
      </c>
      <c r="AF166" s="4">
        <v>0.6</v>
      </c>
      <c r="AG166" s="4">
        <v>0.1</v>
      </c>
      <c r="AH166" s="4">
        <v>445.93069500000001</v>
      </c>
      <c r="AI166" s="4">
        <v>1.2E-2</v>
      </c>
      <c r="AJ166" s="5"/>
      <c r="AK166" s="5"/>
      <c r="AL166" s="5"/>
      <c r="AM166" s="5"/>
      <c r="AO166" s="4" t="s">
        <v>113</v>
      </c>
      <c r="AP166" s="4">
        <v>0.9</v>
      </c>
      <c r="AQ166" s="4">
        <v>0.5</v>
      </c>
      <c r="AR166" s="4">
        <v>0.6</v>
      </c>
      <c r="AS166" s="4">
        <v>0.3</v>
      </c>
      <c r="AT166" s="6">
        <v>908.07312000000002</v>
      </c>
      <c r="AU166" s="4">
        <v>4.0000000000000001E-3</v>
      </c>
      <c r="AW166" s="4" t="s">
        <v>113</v>
      </c>
      <c r="AX166" s="4">
        <v>0.9</v>
      </c>
      <c r="AY166" s="4">
        <v>0.5</v>
      </c>
      <c r="AZ166" s="4">
        <v>0.6</v>
      </c>
      <c r="BA166" s="4">
        <v>0.55000000000000004</v>
      </c>
      <c r="BB166" s="4">
        <v>1010.748474</v>
      </c>
      <c r="BC166" s="4">
        <v>2.7E-2</v>
      </c>
      <c r="BD166" s="5"/>
      <c r="BE166" s="5"/>
      <c r="BF166" s="5"/>
      <c r="BG166" s="5"/>
      <c r="BI166" s="4" t="s">
        <v>113</v>
      </c>
      <c r="BJ166" s="4">
        <v>0.9</v>
      </c>
      <c r="BK166" s="4">
        <v>0.5</v>
      </c>
      <c r="BL166" s="4">
        <v>0.6</v>
      </c>
      <c r="BM166" s="4">
        <v>0.3</v>
      </c>
      <c r="BN166" s="6">
        <v>884.57336399999997</v>
      </c>
      <c r="BO166" s="4">
        <v>5.0000000000000001E-3</v>
      </c>
      <c r="BQ166" s="4" t="s">
        <v>113</v>
      </c>
      <c r="BR166" s="4">
        <v>0.9</v>
      </c>
      <c r="BS166" s="4">
        <v>0.5</v>
      </c>
      <c r="BT166" s="4">
        <v>0.6</v>
      </c>
      <c r="BU166" s="4">
        <v>0.57999999999999996</v>
      </c>
      <c r="BV166" s="4">
        <v>1010.38739</v>
      </c>
      <c r="BW166" s="4">
        <v>1.4999999999999999E-2</v>
      </c>
      <c r="BX166" s="5"/>
      <c r="BY166" s="5"/>
      <c r="BZ166" s="5"/>
      <c r="CA166" s="5"/>
    </row>
    <row r="167" spans="1:79" x14ac:dyDescent="0.3">
      <c r="A167" s="4" t="s">
        <v>114</v>
      </c>
      <c r="B167" s="4">
        <v>0.9</v>
      </c>
      <c r="C167" s="4">
        <v>0.5</v>
      </c>
      <c r="D167" s="4">
        <v>0.6</v>
      </c>
      <c r="E167" s="4">
        <v>0.3</v>
      </c>
      <c r="F167" s="6">
        <v>598.52142300000003</v>
      </c>
      <c r="G167" s="4">
        <v>1E-3</v>
      </c>
      <c r="I167" s="4" t="s">
        <v>114</v>
      </c>
      <c r="J167" s="4">
        <v>0.9</v>
      </c>
      <c r="K167" s="4">
        <v>0.5</v>
      </c>
      <c r="L167" s="4">
        <v>0.6</v>
      </c>
      <c r="M167" s="4">
        <v>0.31</v>
      </c>
      <c r="N167" s="4">
        <v>612.69805899999994</v>
      </c>
      <c r="O167" s="4">
        <v>1.9E-2</v>
      </c>
      <c r="P167" s="5"/>
      <c r="Q167" s="5"/>
      <c r="R167" s="5"/>
      <c r="S167" s="5"/>
      <c r="U167" s="4" t="s">
        <v>114</v>
      </c>
      <c r="V167" s="4">
        <v>0.9</v>
      </c>
      <c r="W167" s="4">
        <v>0.5</v>
      </c>
      <c r="X167" s="4">
        <v>0.6</v>
      </c>
      <c r="Y167" s="4">
        <v>0.3</v>
      </c>
      <c r="Z167" s="6">
        <v>579.05517599999996</v>
      </c>
      <c r="AA167" s="4">
        <v>1E-3</v>
      </c>
      <c r="AC167" s="4" t="s">
        <v>114</v>
      </c>
      <c r="AD167" s="4">
        <v>0.9</v>
      </c>
      <c r="AE167" s="4">
        <v>0.5</v>
      </c>
      <c r="AF167" s="4">
        <v>0.6</v>
      </c>
      <c r="AG167" s="4">
        <v>0.9</v>
      </c>
      <c r="AH167" s="4">
        <v>697.24017300000003</v>
      </c>
      <c r="AI167" s="4">
        <v>1.2999999999999999E-2</v>
      </c>
      <c r="AJ167" s="5"/>
      <c r="AK167" s="5"/>
      <c r="AL167" s="5"/>
      <c r="AM167" s="5"/>
      <c r="AO167" s="4" t="s">
        <v>115</v>
      </c>
      <c r="AP167" s="4">
        <v>0.9</v>
      </c>
      <c r="AQ167" s="4">
        <v>0.5</v>
      </c>
      <c r="AR167" s="4">
        <v>0.6</v>
      </c>
      <c r="AS167" s="4">
        <v>0.3</v>
      </c>
      <c r="AT167" s="6">
        <v>1003.537598</v>
      </c>
      <c r="AU167" s="4">
        <v>6.0000000000000001E-3</v>
      </c>
      <c r="AW167" s="4" t="s">
        <v>115</v>
      </c>
      <c r="AX167" s="4">
        <v>0.9</v>
      </c>
      <c r="AY167" s="4">
        <v>0.5</v>
      </c>
      <c r="AZ167" s="4">
        <v>0.6</v>
      </c>
      <c r="BA167" s="4">
        <v>0.84</v>
      </c>
      <c r="BB167" s="4">
        <v>1332.5032960000001</v>
      </c>
      <c r="BC167" s="4">
        <v>0.02</v>
      </c>
      <c r="BD167" s="5"/>
      <c r="BE167" s="5"/>
      <c r="BF167" s="5"/>
      <c r="BG167" s="5"/>
      <c r="BI167" s="4" t="s">
        <v>115</v>
      </c>
      <c r="BJ167" s="4">
        <v>0.9</v>
      </c>
      <c r="BK167" s="4">
        <v>0.5</v>
      </c>
      <c r="BL167" s="4">
        <v>0.6</v>
      </c>
      <c r="BM167" s="4">
        <v>0.3</v>
      </c>
      <c r="BN167" s="4">
        <v>1021.4169920000001</v>
      </c>
      <c r="BO167" s="4">
        <v>5.0000000000000001E-3</v>
      </c>
      <c r="BQ167" s="4" t="s">
        <v>115</v>
      </c>
      <c r="BR167" s="4">
        <v>0.9</v>
      </c>
      <c r="BS167" s="4">
        <v>0.5</v>
      </c>
      <c r="BT167" s="4">
        <v>0.6</v>
      </c>
      <c r="BU167" s="4">
        <v>0.03</v>
      </c>
      <c r="BV167" s="6">
        <v>804.73028599999998</v>
      </c>
      <c r="BW167" s="4">
        <v>1.2999999999999999E-2</v>
      </c>
      <c r="BX167" s="5"/>
      <c r="BY167" s="5"/>
      <c r="BZ167" s="5"/>
      <c r="CA167" s="5"/>
    </row>
    <row r="168" spans="1:79" x14ac:dyDescent="0.3">
      <c r="A168" s="4" t="s">
        <v>116</v>
      </c>
      <c r="B168" s="4">
        <v>0.9</v>
      </c>
      <c r="C168" s="4">
        <v>0.5</v>
      </c>
      <c r="D168" s="4">
        <v>0.6</v>
      </c>
      <c r="E168" s="4">
        <v>0.3</v>
      </c>
      <c r="F168" s="4">
        <v>649.63269000000003</v>
      </c>
      <c r="G168" s="4">
        <v>1E-3</v>
      </c>
      <c r="I168" s="4" t="s">
        <v>116</v>
      </c>
      <c r="J168" s="4">
        <v>0.9</v>
      </c>
      <c r="K168" s="4">
        <v>0.5</v>
      </c>
      <c r="L168" s="4">
        <v>0.6</v>
      </c>
      <c r="M168" s="4">
        <v>7.0000000000000007E-2</v>
      </c>
      <c r="N168" s="6">
        <v>620.785889</v>
      </c>
      <c r="O168" s="4">
        <v>2.5000000000000001E-2</v>
      </c>
      <c r="P168" s="5"/>
      <c r="Q168" s="5"/>
      <c r="R168" s="5"/>
      <c r="S168" s="5"/>
      <c r="U168" s="4" t="s">
        <v>116</v>
      </c>
      <c r="V168" s="4">
        <v>0.9</v>
      </c>
      <c r="W168" s="4">
        <v>0.5</v>
      </c>
      <c r="X168" s="4">
        <v>0.6</v>
      </c>
      <c r="Y168" s="4">
        <v>0.3</v>
      </c>
      <c r="Z168" s="4">
        <v>624.42932099999996</v>
      </c>
      <c r="AA168" s="4">
        <v>1E-3</v>
      </c>
      <c r="AC168" s="4" t="s">
        <v>116</v>
      </c>
      <c r="AD168" s="4">
        <v>0.9</v>
      </c>
      <c r="AE168" s="4">
        <v>0.5</v>
      </c>
      <c r="AF168" s="4">
        <v>0.6</v>
      </c>
      <c r="AG168" s="4">
        <v>0.17</v>
      </c>
      <c r="AH168" s="6">
        <v>611.13293499999997</v>
      </c>
      <c r="AI168" s="4">
        <v>1.4E-2</v>
      </c>
      <c r="AJ168" s="5"/>
      <c r="AK168" s="5"/>
      <c r="AL168" s="5"/>
      <c r="AM168" s="5"/>
      <c r="AO168" s="4" t="s">
        <v>117</v>
      </c>
      <c r="AP168" s="4">
        <v>0.9</v>
      </c>
      <c r="AQ168" s="4">
        <v>0.5</v>
      </c>
      <c r="AR168" s="4">
        <v>0.6</v>
      </c>
      <c r="AS168" s="4">
        <v>0.3</v>
      </c>
      <c r="AT168" s="6">
        <v>953.83923300000004</v>
      </c>
      <c r="AU168" s="4">
        <v>5.0000000000000001E-3</v>
      </c>
      <c r="AW168" s="4" t="s">
        <v>117</v>
      </c>
      <c r="AX168" s="4">
        <v>0.9</v>
      </c>
      <c r="AY168" s="4">
        <v>0.5</v>
      </c>
      <c r="AZ168" s="4">
        <v>0.6</v>
      </c>
      <c r="BA168" s="4">
        <v>0.6</v>
      </c>
      <c r="BB168" s="4">
        <v>1109.1999510000001</v>
      </c>
      <c r="BC168" s="4">
        <v>1.4E-2</v>
      </c>
      <c r="BD168" s="5"/>
      <c r="BE168" s="5"/>
      <c r="BF168" s="5"/>
      <c r="BG168" s="5"/>
      <c r="BI168" s="4" t="s">
        <v>117</v>
      </c>
      <c r="BJ168" s="4">
        <v>0.9</v>
      </c>
      <c r="BK168" s="4">
        <v>0.5</v>
      </c>
      <c r="BL168" s="4">
        <v>0.6</v>
      </c>
      <c r="BM168" s="4">
        <v>0.3</v>
      </c>
      <c r="BN168" s="6">
        <v>939.84814500000005</v>
      </c>
      <c r="BO168" s="4">
        <v>5.0000000000000001E-3</v>
      </c>
      <c r="BQ168" s="4" t="s">
        <v>117</v>
      </c>
      <c r="BR168" s="4">
        <v>0.9</v>
      </c>
      <c r="BS168" s="4">
        <v>0.5</v>
      </c>
      <c r="BT168" s="4">
        <v>0.6</v>
      </c>
      <c r="BU168" s="4">
        <v>0.53</v>
      </c>
      <c r="BV168" s="4">
        <v>1068.4554439999999</v>
      </c>
      <c r="BW168" s="4">
        <v>1.9E-2</v>
      </c>
      <c r="BX168" s="5"/>
      <c r="BY168" s="5"/>
      <c r="BZ168" s="5"/>
      <c r="CA168" s="5"/>
    </row>
    <row r="169" spans="1:79" x14ac:dyDescent="0.3">
      <c r="A169" s="4" t="s">
        <v>118</v>
      </c>
      <c r="B169" s="4">
        <v>0.9</v>
      </c>
      <c r="C169" s="4">
        <v>0.5</v>
      </c>
      <c r="D169" s="4">
        <v>0.6</v>
      </c>
      <c r="E169" s="4">
        <v>0.3</v>
      </c>
      <c r="F169" s="4">
        <v>565.503601</v>
      </c>
      <c r="G169" s="4">
        <v>1E-3</v>
      </c>
      <c r="I169" s="4" t="s">
        <v>118</v>
      </c>
      <c r="J169" s="4">
        <v>0.9</v>
      </c>
      <c r="K169" s="4">
        <v>0.5</v>
      </c>
      <c r="L169" s="4">
        <v>0.6</v>
      </c>
      <c r="M169" s="4">
        <v>0.15</v>
      </c>
      <c r="N169" s="6">
        <v>553.96673599999997</v>
      </c>
      <c r="O169" s="4">
        <v>2.1999999999999999E-2</v>
      </c>
      <c r="P169" s="5"/>
      <c r="Q169" s="5"/>
      <c r="R169" s="5"/>
      <c r="S169" s="5"/>
      <c r="U169" s="4" t="s">
        <v>118</v>
      </c>
      <c r="V169" s="4">
        <v>0.9</v>
      </c>
      <c r="W169" s="4">
        <v>0.5</v>
      </c>
      <c r="X169" s="4">
        <v>0.6</v>
      </c>
      <c r="Y169" s="4">
        <v>0.3</v>
      </c>
      <c r="Z169" s="6">
        <v>551.69708300000002</v>
      </c>
      <c r="AA169" s="4">
        <v>1E-3</v>
      </c>
      <c r="AC169" s="4" t="s">
        <v>118</v>
      </c>
      <c r="AD169" s="4">
        <v>0.9</v>
      </c>
      <c r="AE169" s="4">
        <v>0.5</v>
      </c>
      <c r="AF169" s="4">
        <v>0.6</v>
      </c>
      <c r="AG169" s="4">
        <v>0.52</v>
      </c>
      <c r="AH169" s="4">
        <v>642.53186000000005</v>
      </c>
      <c r="AI169" s="4">
        <v>1.0999999999999999E-2</v>
      </c>
      <c r="AJ169" s="5"/>
      <c r="AK169" s="5"/>
      <c r="AL169" s="5"/>
      <c r="AM169" s="5"/>
      <c r="AO169" s="4" t="s">
        <v>119</v>
      </c>
      <c r="AP169" s="4">
        <v>0.9</v>
      </c>
      <c r="AQ169" s="4">
        <v>0.5</v>
      </c>
      <c r="AR169" s="4">
        <v>0.6</v>
      </c>
      <c r="AS169" s="4">
        <v>0.3</v>
      </c>
      <c r="AT169" s="6">
        <v>987.17193599999996</v>
      </c>
      <c r="AU169" s="4">
        <v>5.0000000000000001E-3</v>
      </c>
      <c r="AW169" s="4" t="s">
        <v>119</v>
      </c>
      <c r="AX169" s="4">
        <v>0.9</v>
      </c>
      <c r="AY169" s="4">
        <v>0.5</v>
      </c>
      <c r="AZ169" s="4">
        <v>0.6</v>
      </c>
      <c r="BA169" s="4">
        <v>0.53</v>
      </c>
      <c r="BB169" s="4">
        <v>1139.794678</v>
      </c>
      <c r="BC169" s="4">
        <v>1.4999999999999999E-2</v>
      </c>
      <c r="BD169" s="5"/>
      <c r="BE169" s="5"/>
      <c r="BF169" s="5"/>
      <c r="BG169" s="5"/>
      <c r="BI169" s="4" t="s">
        <v>119</v>
      </c>
      <c r="BJ169" s="4">
        <v>0.9</v>
      </c>
      <c r="BK169" s="4">
        <v>0.5</v>
      </c>
      <c r="BL169" s="4">
        <v>0.6</v>
      </c>
      <c r="BM169" s="4">
        <v>0.3</v>
      </c>
      <c r="BN169" s="6">
        <v>973.45745799999997</v>
      </c>
      <c r="BO169" s="4">
        <v>5.0000000000000001E-3</v>
      </c>
      <c r="BQ169" s="4" t="s">
        <v>119</v>
      </c>
      <c r="BR169" s="4">
        <v>0.9</v>
      </c>
      <c r="BS169" s="4">
        <v>0.5</v>
      </c>
      <c r="BT169" s="4">
        <v>0.6</v>
      </c>
      <c r="BU169" s="4">
        <v>0.5</v>
      </c>
      <c r="BV169" s="4">
        <v>1119.9693600000001</v>
      </c>
      <c r="BW169" s="4">
        <v>1.6E-2</v>
      </c>
      <c r="BX169" s="5"/>
      <c r="BY169" s="5"/>
      <c r="BZ169" s="5"/>
      <c r="CA169" s="5"/>
    </row>
    <row r="170" spans="1:79" x14ac:dyDescent="0.3">
      <c r="A170" s="4" t="s">
        <v>120</v>
      </c>
      <c r="B170" s="4">
        <v>0.9</v>
      </c>
      <c r="C170" s="4">
        <v>0.5</v>
      </c>
      <c r="D170" s="4">
        <v>0.6</v>
      </c>
      <c r="E170" s="4">
        <v>0.3</v>
      </c>
      <c r="F170" s="6">
        <v>705.42980999999997</v>
      </c>
      <c r="G170" s="4">
        <v>1E-3</v>
      </c>
      <c r="I170" s="4" t="s">
        <v>120</v>
      </c>
      <c r="J170" s="4">
        <v>0.9</v>
      </c>
      <c r="K170" s="4">
        <v>0.5</v>
      </c>
      <c r="L170" s="4">
        <v>0.6</v>
      </c>
      <c r="M170" s="4">
        <v>0.04</v>
      </c>
      <c r="N170" s="4">
        <v>715.88507100000004</v>
      </c>
      <c r="O170" s="4">
        <v>2.3E-2</v>
      </c>
      <c r="P170" s="5"/>
      <c r="Q170" s="5"/>
      <c r="R170" s="5"/>
      <c r="S170" s="5"/>
      <c r="U170" s="4" t="s">
        <v>120</v>
      </c>
      <c r="V170" s="4">
        <v>0.9</v>
      </c>
      <c r="W170" s="4">
        <v>0.5</v>
      </c>
      <c r="X170" s="4">
        <v>0.6</v>
      </c>
      <c r="Y170" s="4">
        <v>0.3</v>
      </c>
      <c r="Z170" s="4">
        <v>705.56579599999998</v>
      </c>
      <c r="AA170" s="4">
        <v>2E-3</v>
      </c>
      <c r="AC170" s="4" t="s">
        <v>120</v>
      </c>
      <c r="AD170" s="4">
        <v>0.9</v>
      </c>
      <c r="AE170" s="4">
        <v>0.5</v>
      </c>
      <c r="AF170" s="4">
        <v>0.6</v>
      </c>
      <c r="AG170" s="4">
        <v>0.22</v>
      </c>
      <c r="AH170" s="6">
        <v>695.92138699999998</v>
      </c>
      <c r="AI170" s="4">
        <v>1.4E-2</v>
      </c>
      <c r="AJ170" s="5"/>
      <c r="AK170" s="5"/>
      <c r="AL170" s="5"/>
      <c r="AM170" s="5"/>
      <c r="AO170" s="4" t="s">
        <v>121</v>
      </c>
      <c r="AP170" s="4">
        <v>0.9</v>
      </c>
      <c r="AQ170" s="4">
        <v>0.5</v>
      </c>
      <c r="AR170" s="4">
        <v>0.6</v>
      </c>
      <c r="AS170" s="4">
        <v>0.3</v>
      </c>
      <c r="AT170" s="6">
        <v>1019.899658</v>
      </c>
      <c r="AU170" s="4">
        <v>6.0000000000000001E-3</v>
      </c>
      <c r="AW170" s="4" t="s">
        <v>121</v>
      </c>
      <c r="AX170" s="4">
        <v>0.9</v>
      </c>
      <c r="AY170" s="4">
        <v>0.5</v>
      </c>
      <c r="AZ170" s="4">
        <v>0.6</v>
      </c>
      <c r="BA170" s="4">
        <v>0.85</v>
      </c>
      <c r="BB170" s="4">
        <v>1250.4702150000001</v>
      </c>
      <c r="BC170" s="4">
        <v>0.02</v>
      </c>
      <c r="BD170" s="5"/>
      <c r="BE170" s="5"/>
      <c r="BF170" s="5"/>
      <c r="BG170" s="5"/>
      <c r="BI170" s="4" t="s">
        <v>121</v>
      </c>
      <c r="BJ170" s="4">
        <v>0.9</v>
      </c>
      <c r="BK170" s="4">
        <v>0.5</v>
      </c>
      <c r="BL170" s="4">
        <v>0.6</v>
      </c>
      <c r="BM170" s="4">
        <v>0.3</v>
      </c>
      <c r="BN170" s="4">
        <v>1010.680054</v>
      </c>
      <c r="BO170" s="4">
        <v>5.0000000000000001E-3</v>
      </c>
      <c r="BQ170" s="4" t="s">
        <v>121</v>
      </c>
      <c r="BR170" s="4">
        <v>0.9</v>
      </c>
      <c r="BS170" s="4">
        <v>0.5</v>
      </c>
      <c r="BT170" s="4">
        <v>0.6</v>
      </c>
      <c r="BU170" s="4">
        <v>0.01</v>
      </c>
      <c r="BV170" s="6">
        <v>927.14019800000005</v>
      </c>
      <c r="BW170" s="4">
        <v>1.7999999999999999E-2</v>
      </c>
      <c r="BX170" s="5"/>
      <c r="BY170" s="5"/>
      <c r="BZ170" s="5"/>
      <c r="CA170" s="5"/>
    </row>
    <row r="171" spans="1:79" x14ac:dyDescent="0.3">
      <c r="A171" s="4" t="s">
        <v>122</v>
      </c>
      <c r="B171" s="4">
        <v>0.9</v>
      </c>
      <c r="C171" s="4">
        <v>0.5</v>
      </c>
      <c r="D171" s="4">
        <v>0.6</v>
      </c>
      <c r="E171" s="4">
        <v>0.3</v>
      </c>
      <c r="F171" s="4">
        <v>648.54559300000005</v>
      </c>
      <c r="G171" s="4">
        <v>1E-3</v>
      </c>
      <c r="I171" s="4" t="s">
        <v>122</v>
      </c>
      <c r="J171" s="4">
        <v>0.9</v>
      </c>
      <c r="K171" s="4">
        <v>0.5</v>
      </c>
      <c r="L171" s="4">
        <v>0.6</v>
      </c>
      <c r="M171" s="4">
        <v>0.14000000000000001</v>
      </c>
      <c r="N171" s="6">
        <v>640.79394500000001</v>
      </c>
      <c r="O171" s="4">
        <v>2.7E-2</v>
      </c>
      <c r="P171" s="5"/>
      <c r="Q171" s="5"/>
      <c r="R171" s="5"/>
      <c r="S171" s="5"/>
      <c r="U171" s="4" t="s">
        <v>122</v>
      </c>
      <c r="V171" s="4">
        <v>0.9</v>
      </c>
      <c r="W171" s="4">
        <v>0.5</v>
      </c>
      <c r="X171" s="4">
        <v>0.6</v>
      </c>
      <c r="Y171" s="4">
        <v>0.3</v>
      </c>
      <c r="Z171" s="6">
        <v>644.14880400000004</v>
      </c>
      <c r="AA171" s="4">
        <v>1E-3</v>
      </c>
      <c r="AC171" s="4" t="s">
        <v>122</v>
      </c>
      <c r="AD171" s="4">
        <v>0.9</v>
      </c>
      <c r="AE171" s="4">
        <v>0.5</v>
      </c>
      <c r="AF171" s="4">
        <v>0.6</v>
      </c>
      <c r="AG171" s="4">
        <v>0.28999999999999998</v>
      </c>
      <c r="AH171" s="4">
        <v>654.77642800000001</v>
      </c>
      <c r="AI171" s="4">
        <v>1.2999999999999999E-2</v>
      </c>
      <c r="AJ171" s="5"/>
      <c r="AK171" s="5"/>
      <c r="AL171" s="5"/>
      <c r="AM171" s="5"/>
      <c r="AO171" s="4" t="s">
        <v>123</v>
      </c>
      <c r="AP171" s="4">
        <v>0.9</v>
      </c>
      <c r="AQ171" s="4">
        <v>0.5</v>
      </c>
      <c r="AR171" s="4">
        <v>0.6</v>
      </c>
      <c r="AS171" s="4">
        <v>0.3</v>
      </c>
      <c r="AT171" s="4">
        <v>1001.315979</v>
      </c>
      <c r="AU171" s="4">
        <v>5.0000000000000001E-3</v>
      </c>
      <c r="AW171" s="4" t="s">
        <v>123</v>
      </c>
      <c r="AX171" s="4">
        <v>0.9</v>
      </c>
      <c r="AY171" s="4">
        <v>0.5</v>
      </c>
      <c r="AZ171" s="4">
        <v>0.6</v>
      </c>
      <c r="BA171" s="4">
        <v>0.27</v>
      </c>
      <c r="BB171" s="6">
        <v>981.20733600000005</v>
      </c>
      <c r="BC171" s="4">
        <v>1.2E-2</v>
      </c>
      <c r="BD171" s="5"/>
      <c r="BE171" s="5"/>
      <c r="BF171" s="5"/>
      <c r="BG171" s="5"/>
      <c r="BI171" s="4" t="s">
        <v>123</v>
      </c>
      <c r="BJ171" s="4">
        <v>0.9</v>
      </c>
      <c r="BK171" s="4">
        <v>0.5</v>
      </c>
      <c r="BL171" s="4">
        <v>0.6</v>
      </c>
      <c r="BM171" s="4">
        <v>0.3</v>
      </c>
      <c r="BN171" s="6">
        <v>975.62261999999998</v>
      </c>
      <c r="BO171" s="4">
        <v>6.0000000000000001E-3</v>
      </c>
      <c r="BQ171" s="4" t="s">
        <v>123</v>
      </c>
      <c r="BR171" s="4">
        <v>0.9</v>
      </c>
      <c r="BS171" s="4">
        <v>0.5</v>
      </c>
      <c r="BT171" s="4">
        <v>0.6</v>
      </c>
      <c r="BU171" s="4">
        <v>0.97</v>
      </c>
      <c r="BV171" s="4">
        <v>1245.7711179999999</v>
      </c>
      <c r="BW171" s="4">
        <v>1.7999999999999999E-2</v>
      </c>
      <c r="BX171" s="5"/>
      <c r="BY171" s="5"/>
      <c r="BZ171" s="5"/>
      <c r="CA171" s="5"/>
    </row>
    <row r="172" spans="1:79" x14ac:dyDescent="0.3">
      <c r="A172" s="4" t="s">
        <v>124</v>
      </c>
      <c r="B172" s="4">
        <v>0.9</v>
      </c>
      <c r="C172" s="4">
        <v>0.5</v>
      </c>
      <c r="D172" s="4">
        <v>0.6</v>
      </c>
      <c r="E172" s="4">
        <v>0.3</v>
      </c>
      <c r="F172" s="6">
        <v>562.11566200000004</v>
      </c>
      <c r="G172" s="4">
        <v>1E-3</v>
      </c>
      <c r="I172" s="4" t="s">
        <v>124</v>
      </c>
      <c r="J172" s="4">
        <v>0.9</v>
      </c>
      <c r="K172" s="4">
        <v>0.5</v>
      </c>
      <c r="L172" s="4">
        <v>0.6</v>
      </c>
      <c r="M172" s="4">
        <v>0.49</v>
      </c>
      <c r="N172" s="4">
        <v>621.42016599999999</v>
      </c>
      <c r="O172" s="4">
        <v>3.3000000000000002E-2</v>
      </c>
      <c r="P172" s="5"/>
      <c r="Q172" s="5"/>
      <c r="R172" s="5"/>
      <c r="S172" s="5"/>
      <c r="U172" s="4" t="s">
        <v>124</v>
      </c>
      <c r="V172" s="4">
        <v>0.9</v>
      </c>
      <c r="W172" s="4">
        <v>0.5</v>
      </c>
      <c r="X172" s="4">
        <v>0.6</v>
      </c>
      <c r="Y172" s="4">
        <v>0.3</v>
      </c>
      <c r="Z172" s="6">
        <v>552.25561500000003</v>
      </c>
      <c r="AA172" s="4">
        <v>1E-3</v>
      </c>
      <c r="AC172" s="4" t="s">
        <v>124</v>
      </c>
      <c r="AD172" s="4">
        <v>0.9</v>
      </c>
      <c r="AE172" s="4">
        <v>0.5</v>
      </c>
      <c r="AF172" s="4">
        <v>0.6</v>
      </c>
      <c r="AG172" s="4">
        <v>0.8</v>
      </c>
      <c r="AH172" s="4">
        <v>659.816956</v>
      </c>
      <c r="AI172" s="4">
        <v>1.0999999999999999E-2</v>
      </c>
      <c r="AJ172" s="5"/>
      <c r="AK172" s="5"/>
      <c r="AL172" s="5"/>
      <c r="AM172" s="5"/>
      <c r="AO172" s="4" t="s">
        <v>125</v>
      </c>
      <c r="AP172" s="4">
        <v>0.9</v>
      </c>
      <c r="AQ172" s="4">
        <v>0.5</v>
      </c>
      <c r="AR172" s="4">
        <v>0.6</v>
      </c>
      <c r="AS172" s="4">
        <v>0.3</v>
      </c>
      <c r="AT172" s="4">
        <v>1045.275269</v>
      </c>
      <c r="AU172" s="4">
        <v>6.0000000000000001E-3</v>
      </c>
      <c r="AW172" s="4" t="s">
        <v>125</v>
      </c>
      <c r="AX172" s="4">
        <v>0.9</v>
      </c>
      <c r="AY172" s="4">
        <v>0.5</v>
      </c>
      <c r="AZ172" s="4">
        <v>0.6</v>
      </c>
      <c r="BA172" s="4">
        <v>0.16</v>
      </c>
      <c r="BB172" s="6">
        <v>976.62823500000002</v>
      </c>
      <c r="BC172" s="4">
        <v>1.7999999999999999E-2</v>
      </c>
      <c r="BD172" s="5"/>
      <c r="BE172" s="5"/>
      <c r="BF172" s="5"/>
      <c r="BG172" s="5"/>
      <c r="BI172" s="4" t="s">
        <v>125</v>
      </c>
      <c r="BJ172" s="4">
        <v>0.9</v>
      </c>
      <c r="BK172" s="4">
        <v>0.5</v>
      </c>
      <c r="BL172" s="4">
        <v>0.6</v>
      </c>
      <c r="BM172" s="4">
        <v>0.3</v>
      </c>
      <c r="BN172" s="6">
        <v>1035.6282960000001</v>
      </c>
      <c r="BO172" s="4">
        <v>5.0000000000000001E-3</v>
      </c>
      <c r="BQ172" s="4" t="s">
        <v>125</v>
      </c>
      <c r="BR172" s="4">
        <v>0.9</v>
      </c>
      <c r="BS172" s="4">
        <v>0.5</v>
      </c>
      <c r="BT172" s="4">
        <v>0.6</v>
      </c>
      <c r="BU172" s="4">
        <v>0.4</v>
      </c>
      <c r="BV172" s="4">
        <v>1105.7799070000001</v>
      </c>
      <c r="BW172" s="4">
        <v>1.4999999999999999E-2</v>
      </c>
      <c r="BX172" s="5"/>
      <c r="BY172" s="5"/>
      <c r="BZ172" s="5"/>
      <c r="CA172" s="5"/>
    </row>
    <row r="173" spans="1:79" x14ac:dyDescent="0.3">
      <c r="A173" s="4" t="s">
        <v>126</v>
      </c>
      <c r="B173" s="4">
        <v>0.9</v>
      </c>
      <c r="C173" s="4">
        <v>0.5</v>
      </c>
      <c r="D173" s="4">
        <v>0.6</v>
      </c>
      <c r="E173" s="4">
        <v>0.3</v>
      </c>
      <c r="F173" s="6">
        <v>613.02551300000005</v>
      </c>
      <c r="G173" s="4">
        <v>1E-3</v>
      </c>
      <c r="I173" s="4" t="s">
        <v>126</v>
      </c>
      <c r="J173" s="4">
        <v>0.9</v>
      </c>
      <c r="K173" s="4">
        <v>0.5</v>
      </c>
      <c r="L173" s="4">
        <v>0.6</v>
      </c>
      <c r="M173" s="4">
        <v>0.24</v>
      </c>
      <c r="N173" s="4">
        <v>627.89904799999999</v>
      </c>
      <c r="O173" s="4">
        <v>1.7000000000000001E-2</v>
      </c>
      <c r="P173" s="5"/>
      <c r="Q173" s="5"/>
      <c r="R173" s="5"/>
      <c r="S173" s="5"/>
      <c r="U173" s="4" t="s">
        <v>126</v>
      </c>
      <c r="V173" s="4">
        <v>0.9</v>
      </c>
      <c r="W173" s="4">
        <v>0.5</v>
      </c>
      <c r="X173" s="4">
        <v>0.6</v>
      </c>
      <c r="Y173" s="4">
        <v>0.3</v>
      </c>
      <c r="Z173" s="6">
        <v>602.16906700000004</v>
      </c>
      <c r="AA173" s="4">
        <v>1E-3</v>
      </c>
      <c r="AC173" s="4" t="s">
        <v>126</v>
      </c>
      <c r="AD173" s="4">
        <v>0.9</v>
      </c>
      <c r="AE173" s="4">
        <v>0.5</v>
      </c>
      <c r="AF173" s="4">
        <v>0.6</v>
      </c>
      <c r="AG173" s="4">
        <v>0.01</v>
      </c>
      <c r="AH173" s="4">
        <v>674.78546100000005</v>
      </c>
      <c r="AI173" s="4">
        <v>2.1000000000000001E-2</v>
      </c>
      <c r="AJ173" s="5"/>
      <c r="AK173" s="5"/>
      <c r="AL173" s="5"/>
      <c r="AM173" s="5"/>
      <c r="AO173" s="4" t="s">
        <v>127</v>
      </c>
      <c r="AP173" s="4">
        <v>0.9</v>
      </c>
      <c r="AQ173" s="4">
        <v>0.5</v>
      </c>
      <c r="AR173" s="4">
        <v>0.6</v>
      </c>
      <c r="AS173" s="4">
        <v>0.3</v>
      </c>
      <c r="AT173" s="4">
        <v>1024.533203</v>
      </c>
      <c r="AU173" s="4">
        <v>6.0000000000000001E-3</v>
      </c>
      <c r="AW173" s="4" t="s">
        <v>127</v>
      </c>
      <c r="AX173" s="4">
        <v>0.9</v>
      </c>
      <c r="AY173" s="4">
        <v>0.5</v>
      </c>
      <c r="AZ173" s="4">
        <v>0.6</v>
      </c>
      <c r="BA173" s="4">
        <v>0.28000000000000003</v>
      </c>
      <c r="BB173" s="6">
        <v>1018.681152</v>
      </c>
      <c r="BC173" s="4">
        <v>1.4E-2</v>
      </c>
      <c r="BD173" s="5"/>
      <c r="BE173" s="5"/>
      <c r="BF173" s="5"/>
      <c r="BG173" s="5"/>
      <c r="BI173" s="4" t="s">
        <v>127</v>
      </c>
      <c r="BJ173" s="4">
        <v>0.9</v>
      </c>
      <c r="BK173" s="4">
        <v>0.5</v>
      </c>
      <c r="BL173" s="4">
        <v>0.6</v>
      </c>
      <c r="BM173" s="4">
        <v>0.3</v>
      </c>
      <c r="BN173" s="4">
        <v>1028.378052</v>
      </c>
      <c r="BO173" s="4">
        <v>6.0000000000000001E-3</v>
      </c>
      <c r="BQ173" s="4" t="s">
        <v>127</v>
      </c>
      <c r="BR173" s="4">
        <v>0.9</v>
      </c>
      <c r="BS173" s="4">
        <v>0.5</v>
      </c>
      <c r="BT173" s="4">
        <v>0.6</v>
      </c>
      <c r="BU173" s="4">
        <v>0.23</v>
      </c>
      <c r="BV173" s="6">
        <v>984.990723</v>
      </c>
      <c r="BW173" s="4">
        <v>2.1000000000000001E-2</v>
      </c>
      <c r="BX173" s="5"/>
      <c r="BY173" s="5"/>
      <c r="BZ173" s="5"/>
      <c r="CA173" s="5"/>
    </row>
    <row r="174" spans="1:79" x14ac:dyDescent="0.3">
      <c r="A174" s="4" t="s">
        <v>128</v>
      </c>
      <c r="B174" s="4">
        <v>0.9</v>
      </c>
      <c r="C174" s="4">
        <v>0.5</v>
      </c>
      <c r="D174" s="4">
        <v>0.6</v>
      </c>
      <c r="E174" s="4">
        <v>0.3</v>
      </c>
      <c r="F174" s="6">
        <v>584.61010699999997</v>
      </c>
      <c r="G174" s="4">
        <v>1E-3</v>
      </c>
      <c r="I174" s="4" t="s">
        <v>128</v>
      </c>
      <c r="J174" s="4">
        <v>0.9</v>
      </c>
      <c r="K174" s="4">
        <v>0.5</v>
      </c>
      <c r="L174" s="4">
        <v>0.6</v>
      </c>
      <c r="M174" s="4">
        <v>0.06</v>
      </c>
      <c r="N174" s="4">
        <v>638.43267800000001</v>
      </c>
      <c r="O174" s="4">
        <v>7.0000000000000001E-3</v>
      </c>
      <c r="P174" s="5"/>
      <c r="Q174" s="5"/>
      <c r="R174" s="5"/>
      <c r="S174" s="5"/>
      <c r="U174" s="4" t="s">
        <v>128</v>
      </c>
      <c r="V174" s="4">
        <v>0.9</v>
      </c>
      <c r="W174" s="4">
        <v>0.5</v>
      </c>
      <c r="X174" s="4">
        <v>0.6</v>
      </c>
      <c r="Y174" s="4">
        <v>0.3</v>
      </c>
      <c r="Z174" s="4">
        <v>581.58160399999997</v>
      </c>
      <c r="AA174" s="4">
        <v>1E-3</v>
      </c>
      <c r="AC174" s="4" t="s">
        <v>128</v>
      </c>
      <c r="AD174" s="4">
        <v>0.9</v>
      </c>
      <c r="AE174" s="4">
        <v>0.5</v>
      </c>
      <c r="AF174" s="4">
        <v>0.6</v>
      </c>
      <c r="AG174" s="4">
        <v>0.24</v>
      </c>
      <c r="AH174" s="6">
        <v>580.56994599999996</v>
      </c>
      <c r="AI174" s="4">
        <v>8.9999999999999993E-3</v>
      </c>
      <c r="AJ174" s="5"/>
      <c r="AK174" s="5"/>
      <c r="AL174" s="5"/>
      <c r="AM174" s="5"/>
      <c r="AO174" s="4" t="s">
        <v>129</v>
      </c>
      <c r="AP174" s="4">
        <v>0.9</v>
      </c>
      <c r="AQ174" s="4">
        <v>0.5</v>
      </c>
      <c r="AR174" s="4">
        <v>0.6</v>
      </c>
      <c r="AS174" s="4">
        <v>0.3</v>
      </c>
      <c r="AT174" s="6">
        <v>999.51074200000005</v>
      </c>
      <c r="AU174" s="4">
        <v>6.0000000000000001E-3</v>
      </c>
      <c r="AW174" s="4" t="s">
        <v>129</v>
      </c>
      <c r="AX174" s="4">
        <v>0.9</v>
      </c>
      <c r="AY174" s="4">
        <v>0.5</v>
      </c>
      <c r="AZ174" s="4">
        <v>0.6</v>
      </c>
      <c r="BA174" s="4">
        <v>0.3</v>
      </c>
      <c r="BB174" s="4">
        <v>1029.3000489999999</v>
      </c>
      <c r="BC174" s="4">
        <v>1.7999999999999999E-2</v>
      </c>
      <c r="BD174" s="5"/>
      <c r="BE174" s="5"/>
      <c r="BF174" s="5"/>
      <c r="BG174" s="5"/>
      <c r="BI174" s="4" t="s">
        <v>129</v>
      </c>
      <c r="BJ174" s="4">
        <v>0.9</v>
      </c>
      <c r="BK174" s="4">
        <v>0.5</v>
      </c>
      <c r="BL174" s="4">
        <v>0.6</v>
      </c>
      <c r="BM174" s="4">
        <v>0.3</v>
      </c>
      <c r="BN174" s="6">
        <v>984.82006799999999</v>
      </c>
      <c r="BO174" s="4">
        <v>5.0000000000000001E-3</v>
      </c>
      <c r="BQ174" s="4" t="s">
        <v>129</v>
      </c>
      <c r="BR174" s="4">
        <v>0.9</v>
      </c>
      <c r="BS174" s="4">
        <v>0.5</v>
      </c>
      <c r="BT174" s="4">
        <v>0.6</v>
      </c>
      <c r="BU174" s="4">
        <v>0.52</v>
      </c>
      <c r="BV174" s="4">
        <v>1103.2048339999999</v>
      </c>
      <c r="BW174" s="4">
        <v>1.2E-2</v>
      </c>
      <c r="BX174" s="5"/>
      <c r="BY174" s="5"/>
      <c r="BZ174" s="5"/>
      <c r="CA174" s="5"/>
    </row>
    <row r="175" spans="1:79" x14ac:dyDescent="0.3">
      <c r="A175" s="4" t="s">
        <v>130</v>
      </c>
      <c r="B175" s="4">
        <v>0.9</v>
      </c>
      <c r="C175" s="4">
        <v>0.5</v>
      </c>
      <c r="D175" s="4">
        <v>0.6</v>
      </c>
      <c r="E175" s="4">
        <v>0.3</v>
      </c>
      <c r="F175" s="6">
        <v>632.51995799999997</v>
      </c>
      <c r="G175" s="4">
        <v>1E-3</v>
      </c>
      <c r="I175" s="4" t="s">
        <v>130</v>
      </c>
      <c r="J175" s="4">
        <v>0.9</v>
      </c>
      <c r="K175" s="4">
        <v>0.5</v>
      </c>
      <c r="L175" s="4">
        <v>0.6</v>
      </c>
      <c r="M175" s="4">
        <v>0.3</v>
      </c>
      <c r="N175" s="4">
        <v>639.26702899999998</v>
      </c>
      <c r="O175" s="4">
        <v>1.0999999999999999E-2</v>
      </c>
      <c r="P175" s="5"/>
      <c r="Q175" s="5"/>
      <c r="R175" s="5"/>
      <c r="S175" s="5"/>
      <c r="U175" s="4" t="s">
        <v>130</v>
      </c>
      <c r="V175" s="4">
        <v>0.9</v>
      </c>
      <c r="W175" s="4">
        <v>0.5</v>
      </c>
      <c r="X175" s="4">
        <v>0.6</v>
      </c>
      <c r="Y175" s="4">
        <v>0.3</v>
      </c>
      <c r="Z175" s="6">
        <v>624.111267</v>
      </c>
      <c r="AA175" s="4">
        <v>1E-3</v>
      </c>
      <c r="AC175" s="4" t="s">
        <v>130</v>
      </c>
      <c r="AD175" s="4">
        <v>0.9</v>
      </c>
      <c r="AE175" s="4">
        <v>0.5</v>
      </c>
      <c r="AF175" s="4">
        <v>0.6</v>
      </c>
      <c r="AG175" s="4">
        <v>0.89</v>
      </c>
      <c r="AH175" s="4">
        <v>744.23644999999999</v>
      </c>
      <c r="AI175" s="4">
        <v>7.0000000000000001E-3</v>
      </c>
      <c r="AJ175" s="5"/>
      <c r="AK175" s="5"/>
      <c r="AL175" s="5"/>
      <c r="AM175" s="5"/>
      <c r="AO175" s="4" t="s">
        <v>131</v>
      </c>
      <c r="AP175" s="4">
        <v>0.9</v>
      </c>
      <c r="AQ175" s="4">
        <v>0.5</v>
      </c>
      <c r="AR175" s="4">
        <v>0.6</v>
      </c>
      <c r="AS175" s="4">
        <v>0.3</v>
      </c>
      <c r="AT175" s="6">
        <v>1012.640808</v>
      </c>
      <c r="AU175" s="4">
        <v>6.0000000000000001E-3</v>
      </c>
      <c r="AW175" s="4" t="s">
        <v>131</v>
      </c>
      <c r="AX175" s="4">
        <v>0.9</v>
      </c>
      <c r="AY175" s="4">
        <v>0.5</v>
      </c>
      <c r="AZ175" s="4">
        <v>0.6</v>
      </c>
      <c r="BA175" s="4">
        <v>0.67</v>
      </c>
      <c r="BB175" s="4">
        <v>1229.788086</v>
      </c>
      <c r="BC175" s="4">
        <v>1.7999999999999999E-2</v>
      </c>
      <c r="BD175" s="5"/>
      <c r="BE175" s="5"/>
      <c r="BF175" s="5"/>
      <c r="BG175" s="5"/>
      <c r="BI175" s="4" t="s">
        <v>131</v>
      </c>
      <c r="BJ175" s="4">
        <v>0.9</v>
      </c>
      <c r="BK175" s="4">
        <v>0.5</v>
      </c>
      <c r="BL175" s="4">
        <v>0.6</v>
      </c>
      <c r="BM175" s="4">
        <v>0.3</v>
      </c>
      <c r="BN175" s="4">
        <v>1011.275879</v>
      </c>
      <c r="BO175" s="4">
        <v>6.0000000000000001E-3</v>
      </c>
      <c r="BQ175" s="4" t="s">
        <v>131</v>
      </c>
      <c r="BR175" s="4">
        <v>0.9</v>
      </c>
      <c r="BS175" s="4">
        <v>0.5</v>
      </c>
      <c r="BT175" s="4">
        <v>0.6</v>
      </c>
      <c r="BU175" s="4">
        <v>0.3</v>
      </c>
      <c r="BV175" s="6">
        <v>1030.006226</v>
      </c>
      <c r="BW175" s="4">
        <v>1.7999999999999999E-2</v>
      </c>
      <c r="BX175" s="5"/>
      <c r="BY175" s="5"/>
      <c r="BZ175" s="5"/>
      <c r="CA175" s="5"/>
    </row>
    <row r="176" spans="1:79" x14ac:dyDescent="0.3">
      <c r="A176" s="4" t="s">
        <v>132</v>
      </c>
      <c r="B176" s="4">
        <v>0.9</v>
      </c>
      <c r="C176" s="4">
        <v>0.5</v>
      </c>
      <c r="D176" s="4">
        <v>0.6</v>
      </c>
      <c r="E176" s="4">
        <v>0.3</v>
      </c>
      <c r="F176" s="6">
        <v>539.13708499999996</v>
      </c>
      <c r="G176" s="4">
        <v>1E-3</v>
      </c>
      <c r="I176" s="4" t="s">
        <v>132</v>
      </c>
      <c r="J176" s="4">
        <v>0.9</v>
      </c>
      <c r="K176" s="4">
        <v>0.5</v>
      </c>
      <c r="L176" s="4">
        <v>0.6</v>
      </c>
      <c r="M176" s="4">
        <v>0.02</v>
      </c>
      <c r="N176" s="4">
        <v>580.79064900000003</v>
      </c>
      <c r="O176" s="4">
        <v>1.7000000000000001E-2</v>
      </c>
      <c r="P176" s="5"/>
      <c r="Q176" s="5"/>
      <c r="R176" s="5"/>
      <c r="S176" s="5"/>
      <c r="U176" s="4" t="s">
        <v>132</v>
      </c>
      <c r="V176" s="4">
        <v>0.9</v>
      </c>
      <c r="W176" s="4">
        <v>0.5</v>
      </c>
      <c r="X176" s="4">
        <v>0.6</v>
      </c>
      <c r="Y176" s="4">
        <v>0.3</v>
      </c>
      <c r="Z176" s="6">
        <v>542.95752000000005</v>
      </c>
      <c r="AA176" s="4">
        <v>2E-3</v>
      </c>
      <c r="AC176" s="4" t="s">
        <v>132</v>
      </c>
      <c r="AD176" s="4">
        <v>0.9</v>
      </c>
      <c r="AE176" s="4">
        <v>0.5</v>
      </c>
      <c r="AF176" s="4">
        <v>0.6</v>
      </c>
      <c r="AG176" s="4">
        <v>0.01</v>
      </c>
      <c r="AH176" s="4">
        <v>578.21087599999998</v>
      </c>
      <c r="AI176" s="4">
        <v>1.4E-2</v>
      </c>
      <c r="AJ176" s="5"/>
      <c r="AK176" s="5"/>
      <c r="AL176" s="5"/>
      <c r="AM176" s="5"/>
      <c r="AO176" s="4" t="s">
        <v>133</v>
      </c>
      <c r="AP176" s="4">
        <v>0.9</v>
      </c>
      <c r="AQ176" s="4">
        <v>0.5</v>
      </c>
      <c r="AR176" s="4">
        <v>0.6</v>
      </c>
      <c r="AS176" s="4">
        <v>0.3</v>
      </c>
      <c r="AT176" s="4">
        <v>1048.7595209999999</v>
      </c>
      <c r="AU176" s="4">
        <v>6.0000000000000001E-3</v>
      </c>
      <c r="AW176" s="4" t="s">
        <v>133</v>
      </c>
      <c r="AX176" s="4">
        <v>0.9</v>
      </c>
      <c r="AY176" s="4">
        <v>0.5</v>
      </c>
      <c r="AZ176" s="4">
        <v>0.6</v>
      </c>
      <c r="BA176" s="4">
        <v>0.08</v>
      </c>
      <c r="BB176" s="6">
        <v>891.06256099999996</v>
      </c>
      <c r="BC176" s="4">
        <v>0.02</v>
      </c>
      <c r="BD176" s="5"/>
      <c r="BE176" s="5"/>
      <c r="BF176" s="5"/>
      <c r="BG176" s="5"/>
      <c r="BI176" s="4" t="s">
        <v>133</v>
      </c>
      <c r="BJ176" s="4">
        <v>0.9</v>
      </c>
      <c r="BK176" s="4">
        <v>0.5</v>
      </c>
      <c r="BL176" s="4">
        <v>0.6</v>
      </c>
      <c r="BM176" s="4">
        <v>0.3</v>
      </c>
      <c r="BN176" s="4">
        <v>1039.1492920000001</v>
      </c>
      <c r="BO176" s="4">
        <v>6.0000000000000001E-3</v>
      </c>
      <c r="BQ176" s="4" t="s">
        <v>133</v>
      </c>
      <c r="BR176" s="4">
        <v>0.9</v>
      </c>
      <c r="BS176" s="4">
        <v>0.5</v>
      </c>
      <c r="BT176" s="4">
        <v>0.6</v>
      </c>
      <c r="BU176" s="4">
        <v>0.26</v>
      </c>
      <c r="BV176" s="6">
        <v>1037.244263</v>
      </c>
      <c r="BW176" s="4">
        <v>1.7000000000000001E-2</v>
      </c>
      <c r="BX176" s="5"/>
      <c r="BY176" s="5"/>
      <c r="BZ176" s="5"/>
      <c r="CA176" s="5"/>
    </row>
    <row r="177" spans="1:79" x14ac:dyDescent="0.3">
      <c r="A177" s="14" t="s">
        <v>316</v>
      </c>
      <c r="E177" s="14">
        <f>AVERAGE(E147:E176)</f>
        <v>0.3</v>
      </c>
      <c r="I177" s="14" t="s">
        <v>316</v>
      </c>
      <c r="M177" s="14">
        <f>AVERAGE(M147:M176)</f>
        <v>0.29766666666666663</v>
      </c>
      <c r="P177" s="5"/>
      <c r="Q177" s="5"/>
      <c r="R177" s="5"/>
      <c r="S177" s="5"/>
      <c r="U177" s="14" t="s">
        <v>316</v>
      </c>
      <c r="Y177" s="14">
        <f>AVERAGE(Y147:Y176)</f>
        <v>0.3</v>
      </c>
      <c r="AC177" s="14" t="s">
        <v>316</v>
      </c>
      <c r="AG177" s="14">
        <f>AVERAGE(AG147:AG176)</f>
        <v>0.49433333333333329</v>
      </c>
      <c r="AJ177" s="5"/>
      <c r="AK177" s="5"/>
      <c r="AL177" s="5"/>
      <c r="AM177" s="5"/>
      <c r="AO177" s="14" t="s">
        <v>316</v>
      </c>
      <c r="AS177" s="14">
        <f>AVERAGE(AS147:AS176)</f>
        <v>0.3</v>
      </c>
      <c r="AW177" s="14" t="s">
        <v>316</v>
      </c>
      <c r="BA177" s="14">
        <f>AVERAGE(BA147:BA176)</f>
        <v>0.55266666666666664</v>
      </c>
      <c r="BD177" s="5"/>
      <c r="BE177" s="5"/>
      <c r="BF177" s="5"/>
      <c r="BG177" s="5"/>
      <c r="BI177" s="14" t="s">
        <v>316</v>
      </c>
      <c r="BM177" s="14">
        <f>AVERAGE(BM147:BM176)</f>
        <v>0.3</v>
      </c>
      <c r="BQ177" s="14" t="s">
        <v>316</v>
      </c>
      <c r="BU177" s="14">
        <f>AVERAGE(BU147:BU176)</f>
        <v>0.37666666666666671</v>
      </c>
      <c r="BX177" s="5"/>
      <c r="BY177" s="5"/>
      <c r="BZ177" s="5"/>
      <c r="CA177" s="5"/>
    </row>
    <row r="178" spans="1:79" x14ac:dyDescent="0.3">
      <c r="P178" s="5"/>
      <c r="Q178" s="5"/>
      <c r="R178" s="5"/>
      <c r="S178" s="5"/>
      <c r="AJ178" s="5"/>
      <c r="AK178" s="5"/>
      <c r="AL178" s="5"/>
      <c r="AM178" s="5"/>
      <c r="BD178" s="5"/>
      <c r="BE178" s="5"/>
      <c r="BF178" s="5"/>
      <c r="BG178" s="5"/>
      <c r="BX178" s="5"/>
      <c r="BY178" s="5"/>
      <c r="BZ178" s="5"/>
      <c r="CA178" s="5"/>
    </row>
    <row r="179" spans="1:79" x14ac:dyDescent="0.3">
      <c r="P179" s="5"/>
      <c r="Q179" s="5"/>
      <c r="R179" s="5"/>
      <c r="S179" s="5"/>
      <c r="AJ179" s="5"/>
      <c r="AK179" s="5"/>
      <c r="AL179" s="5"/>
      <c r="AM179" s="5"/>
      <c r="BD179" s="5"/>
      <c r="BE179" s="5"/>
      <c r="BF179" s="5"/>
      <c r="BG179" s="5"/>
      <c r="BX179" s="5"/>
      <c r="BY179" s="5"/>
      <c r="BZ179" s="5"/>
      <c r="CA179" s="5"/>
    </row>
    <row r="180" spans="1:79" x14ac:dyDescent="0.3">
      <c r="A180" s="23" t="s">
        <v>314</v>
      </c>
      <c r="B180" s="23"/>
      <c r="C180" s="23"/>
      <c r="D180" s="23"/>
      <c r="E180" s="23"/>
      <c r="F180" s="23"/>
      <c r="G180" s="23"/>
      <c r="I180" s="24" t="s">
        <v>314</v>
      </c>
      <c r="J180" s="25"/>
      <c r="K180" s="25"/>
      <c r="L180" s="25"/>
      <c r="M180" s="25"/>
      <c r="N180" s="25"/>
      <c r="O180" s="26"/>
      <c r="P180" s="11"/>
      <c r="Q180" s="11"/>
      <c r="R180" s="11"/>
      <c r="S180" s="11"/>
      <c r="U180" s="23" t="s">
        <v>314</v>
      </c>
      <c r="V180" s="23"/>
      <c r="W180" s="23"/>
      <c r="X180" s="23"/>
      <c r="Y180" s="23"/>
      <c r="Z180" s="23"/>
      <c r="AA180" s="23"/>
      <c r="AC180" s="24" t="s">
        <v>314</v>
      </c>
      <c r="AD180" s="25"/>
      <c r="AE180" s="25"/>
      <c r="AF180" s="25"/>
      <c r="AG180" s="25"/>
      <c r="AH180" s="25"/>
      <c r="AI180" s="26"/>
      <c r="AJ180" s="11"/>
      <c r="AK180" s="11"/>
      <c r="AL180" s="11"/>
      <c r="AM180" s="11"/>
      <c r="AO180" s="23" t="s">
        <v>314</v>
      </c>
      <c r="AP180" s="23"/>
      <c r="AQ180" s="23"/>
      <c r="AR180" s="23"/>
      <c r="AS180" s="23"/>
      <c r="AT180" s="23"/>
      <c r="AU180" s="23"/>
      <c r="AW180" s="24" t="s">
        <v>314</v>
      </c>
      <c r="AX180" s="25"/>
      <c r="AY180" s="25"/>
      <c r="AZ180" s="25"/>
      <c r="BA180" s="25"/>
      <c r="BB180" s="25"/>
      <c r="BC180" s="26"/>
      <c r="BD180" s="11"/>
      <c r="BE180" s="11"/>
      <c r="BF180" s="11"/>
      <c r="BG180" s="11"/>
      <c r="BI180" s="23" t="s">
        <v>314</v>
      </c>
      <c r="BJ180" s="23"/>
      <c r="BK180" s="23"/>
      <c r="BL180" s="23"/>
      <c r="BM180" s="23"/>
      <c r="BN180" s="23"/>
      <c r="BO180" s="23"/>
      <c r="BQ180" s="24" t="s">
        <v>314</v>
      </c>
      <c r="BR180" s="25"/>
      <c r="BS180" s="25"/>
      <c r="BT180" s="25"/>
      <c r="BU180" s="25"/>
      <c r="BV180" s="25"/>
      <c r="BW180" s="26"/>
      <c r="BX180" s="11"/>
      <c r="BY180" s="11"/>
      <c r="BZ180" s="11"/>
      <c r="CA180" s="11"/>
    </row>
    <row r="181" spans="1:79" x14ac:dyDescent="0.3">
      <c r="A181" s="24" t="s">
        <v>72</v>
      </c>
      <c r="B181" s="25"/>
      <c r="C181" s="25"/>
      <c r="D181" s="25"/>
      <c r="E181" s="25"/>
      <c r="F181" s="25"/>
      <c r="G181" s="26"/>
      <c r="I181" s="4" t="s">
        <v>72</v>
      </c>
      <c r="J181" s="4"/>
      <c r="K181" s="4"/>
      <c r="L181" s="4"/>
      <c r="M181" s="4"/>
      <c r="N181" s="4"/>
      <c r="O181" s="4"/>
      <c r="P181" s="11"/>
      <c r="Q181" s="11"/>
      <c r="R181" s="11"/>
      <c r="S181" s="11"/>
      <c r="U181" s="4" t="s">
        <v>73</v>
      </c>
      <c r="V181" s="4"/>
      <c r="W181" s="4"/>
      <c r="X181" s="4"/>
      <c r="Y181" s="4"/>
      <c r="Z181" s="4"/>
      <c r="AA181" s="4"/>
      <c r="AC181" s="4" t="s">
        <v>73</v>
      </c>
      <c r="AD181" s="4"/>
      <c r="AE181" s="4"/>
      <c r="AF181" s="4"/>
      <c r="AG181" s="4"/>
      <c r="AH181" s="4"/>
      <c r="AI181" s="4"/>
      <c r="AJ181" s="11"/>
      <c r="AK181" s="11"/>
      <c r="AL181" s="11"/>
      <c r="AM181" s="11"/>
      <c r="AO181" s="4" t="s">
        <v>72</v>
      </c>
      <c r="AP181" s="4"/>
      <c r="AQ181" s="4"/>
      <c r="AR181" s="4"/>
      <c r="AS181" s="4"/>
      <c r="AT181" s="4"/>
      <c r="AU181" s="4"/>
      <c r="AW181" s="4" t="s">
        <v>72</v>
      </c>
      <c r="AX181" s="4"/>
      <c r="AY181" s="4"/>
      <c r="AZ181" s="4"/>
      <c r="BA181" s="4"/>
      <c r="BB181" s="4"/>
      <c r="BC181" s="4"/>
      <c r="BD181" s="11"/>
      <c r="BE181" s="11"/>
      <c r="BF181" s="11"/>
      <c r="BG181" s="11"/>
      <c r="BI181" s="4" t="s">
        <v>73</v>
      </c>
      <c r="BJ181" s="4"/>
      <c r="BK181" s="4"/>
      <c r="BL181" s="4"/>
      <c r="BM181" s="4"/>
      <c r="BN181" s="4"/>
      <c r="BO181" s="4"/>
      <c r="BQ181" s="4" t="s">
        <v>73</v>
      </c>
      <c r="BR181" s="4"/>
      <c r="BS181" s="4"/>
      <c r="BT181" s="4"/>
      <c r="BU181" s="4"/>
      <c r="BV181" s="4"/>
      <c r="BW181" s="4"/>
      <c r="BX181" s="11"/>
      <c r="BY181" s="11"/>
      <c r="BZ181" s="11"/>
      <c r="CA181" s="11"/>
    </row>
    <row r="182" spans="1:79" x14ac:dyDescent="0.3">
      <c r="A182" s="4" t="s">
        <v>2</v>
      </c>
      <c r="B182" s="4" t="s">
        <v>3</v>
      </c>
      <c r="C182" s="4" t="s">
        <v>4</v>
      </c>
      <c r="D182" s="4" t="s">
        <v>5</v>
      </c>
      <c r="E182" s="4" t="s">
        <v>6</v>
      </c>
      <c r="F182" s="4" t="s">
        <v>7</v>
      </c>
      <c r="G182" s="4" t="s">
        <v>8</v>
      </c>
      <c r="I182" s="4" t="s">
        <v>2</v>
      </c>
      <c r="J182" s="4" t="s">
        <v>3</v>
      </c>
      <c r="K182" s="4" t="s">
        <v>4</v>
      </c>
      <c r="L182" s="4" t="s">
        <v>5</v>
      </c>
      <c r="M182" s="4" t="s">
        <v>6</v>
      </c>
      <c r="N182" s="4" t="s">
        <v>7</v>
      </c>
      <c r="O182" s="4" t="s">
        <v>8</v>
      </c>
      <c r="P182" s="3" t="s">
        <v>322</v>
      </c>
      <c r="Q182" s="3" t="s">
        <v>323</v>
      </c>
      <c r="R182" s="3" t="s">
        <v>322</v>
      </c>
      <c r="S182" s="3" t="s">
        <v>323</v>
      </c>
      <c r="U182" s="4" t="s">
        <v>2</v>
      </c>
      <c r="V182" s="4" t="s">
        <v>3</v>
      </c>
      <c r="W182" s="4" t="s">
        <v>4</v>
      </c>
      <c r="X182" s="4" t="s">
        <v>5</v>
      </c>
      <c r="Y182" s="4" t="s">
        <v>6</v>
      </c>
      <c r="Z182" s="4" t="s">
        <v>7</v>
      </c>
      <c r="AA182" s="4" t="s">
        <v>8</v>
      </c>
      <c r="AC182" s="4" t="s">
        <v>2</v>
      </c>
      <c r="AD182" s="4" t="s">
        <v>3</v>
      </c>
      <c r="AE182" s="4" t="s">
        <v>4</v>
      </c>
      <c r="AF182" s="4" t="s">
        <v>5</v>
      </c>
      <c r="AG182" s="4" t="s">
        <v>6</v>
      </c>
      <c r="AH182" s="4" t="s">
        <v>7</v>
      </c>
      <c r="AI182" s="4" t="s">
        <v>8</v>
      </c>
      <c r="AJ182" s="3" t="s">
        <v>322</v>
      </c>
      <c r="AK182" s="3" t="s">
        <v>323</v>
      </c>
      <c r="AL182" s="3" t="s">
        <v>322</v>
      </c>
      <c r="AM182" s="3" t="s">
        <v>323</v>
      </c>
      <c r="AO182" s="4" t="s">
        <v>2</v>
      </c>
      <c r="AP182" s="4" t="s">
        <v>3</v>
      </c>
      <c r="AQ182" s="4" t="s">
        <v>4</v>
      </c>
      <c r="AR182" s="4" t="s">
        <v>5</v>
      </c>
      <c r="AS182" s="4" t="s">
        <v>6</v>
      </c>
      <c r="AT182" s="4" t="s">
        <v>7</v>
      </c>
      <c r="AU182" s="4" t="s">
        <v>8</v>
      </c>
      <c r="AW182" s="4" t="s">
        <v>2</v>
      </c>
      <c r="AX182" s="4" t="s">
        <v>3</v>
      </c>
      <c r="AY182" s="4" t="s">
        <v>4</v>
      </c>
      <c r="AZ182" s="4" t="s">
        <v>5</v>
      </c>
      <c r="BA182" s="4" t="s">
        <v>6</v>
      </c>
      <c r="BB182" s="4" t="s">
        <v>7</v>
      </c>
      <c r="BC182" s="4" t="s">
        <v>8</v>
      </c>
      <c r="BD182" s="3" t="s">
        <v>322</v>
      </c>
      <c r="BE182" s="3" t="s">
        <v>323</v>
      </c>
      <c r="BF182" s="3" t="s">
        <v>322</v>
      </c>
      <c r="BG182" s="3" t="s">
        <v>323</v>
      </c>
      <c r="BI182" s="4" t="s">
        <v>2</v>
      </c>
      <c r="BJ182" s="4" t="s">
        <v>3</v>
      </c>
      <c r="BK182" s="4" t="s">
        <v>4</v>
      </c>
      <c r="BL182" s="4" t="s">
        <v>5</v>
      </c>
      <c r="BM182" s="4" t="s">
        <v>6</v>
      </c>
      <c r="BN182" s="4" t="s">
        <v>7</v>
      </c>
      <c r="BO182" s="4" t="s">
        <v>8</v>
      </c>
      <c r="BQ182" s="4" t="s">
        <v>2</v>
      </c>
      <c r="BR182" s="4" t="s">
        <v>3</v>
      </c>
      <c r="BS182" s="4" t="s">
        <v>4</v>
      </c>
      <c r="BT182" s="4" t="s">
        <v>5</v>
      </c>
      <c r="BU182" s="4" t="s">
        <v>6</v>
      </c>
      <c r="BV182" s="4" t="s">
        <v>7</v>
      </c>
      <c r="BW182" s="4" t="s">
        <v>8</v>
      </c>
      <c r="BX182" s="3" t="s">
        <v>322</v>
      </c>
      <c r="BY182" s="3" t="s">
        <v>323</v>
      </c>
      <c r="BZ182" s="3" t="s">
        <v>322</v>
      </c>
      <c r="CA182" s="3" t="s">
        <v>323</v>
      </c>
    </row>
    <row r="183" spans="1:79" x14ac:dyDescent="0.3">
      <c r="A183" s="4" t="s">
        <v>74</v>
      </c>
      <c r="B183" s="4">
        <v>0.9</v>
      </c>
      <c r="C183" s="4">
        <v>0.5</v>
      </c>
      <c r="D183" s="4">
        <v>0.6</v>
      </c>
      <c r="E183" s="4">
        <v>0.3</v>
      </c>
      <c r="F183" s="6">
        <v>401.67568999999997</v>
      </c>
      <c r="G183" s="4">
        <v>1E-3</v>
      </c>
      <c r="I183" s="4" t="s">
        <v>74</v>
      </c>
      <c r="J183" s="4">
        <v>0.9</v>
      </c>
      <c r="K183" s="4">
        <v>0.5</v>
      </c>
      <c r="L183" s="4">
        <v>0.6</v>
      </c>
      <c r="M183" s="4">
        <v>0.01</v>
      </c>
      <c r="N183" s="4">
        <v>429.75</v>
      </c>
      <c r="O183" s="4">
        <v>2.8000000000000001E-2</v>
      </c>
      <c r="P183" s="4" t="s">
        <v>324</v>
      </c>
      <c r="Q183" s="4" t="s">
        <v>324</v>
      </c>
      <c r="R183" s="4" t="s">
        <v>327</v>
      </c>
      <c r="S183" s="4" t="s">
        <v>327</v>
      </c>
      <c r="U183" s="4" t="s">
        <v>74</v>
      </c>
      <c r="V183" s="4">
        <v>0.9</v>
      </c>
      <c r="W183" s="4">
        <v>0.5</v>
      </c>
      <c r="X183" s="4">
        <v>0.6</v>
      </c>
      <c r="Y183" s="4">
        <v>0.3</v>
      </c>
      <c r="Z183" s="6">
        <v>393.59326199999998</v>
      </c>
      <c r="AA183" s="4">
        <v>1E-3</v>
      </c>
      <c r="AC183" s="4" t="s">
        <v>74</v>
      </c>
      <c r="AD183" s="4">
        <v>0.9</v>
      </c>
      <c r="AE183" s="4">
        <v>0.5</v>
      </c>
      <c r="AF183" s="4">
        <v>0.6</v>
      </c>
      <c r="AG183" s="4">
        <v>0.01</v>
      </c>
      <c r="AH183" s="4">
        <v>414.27294899999998</v>
      </c>
      <c r="AI183" s="4">
        <v>1.7000000000000001E-2</v>
      </c>
      <c r="AJ183" s="4" t="s">
        <v>324</v>
      </c>
      <c r="AK183" s="4" t="s">
        <v>324</v>
      </c>
      <c r="AL183" s="4" t="s">
        <v>327</v>
      </c>
      <c r="AM183" s="4" t="s">
        <v>327</v>
      </c>
      <c r="AO183" s="4" t="s">
        <v>75</v>
      </c>
      <c r="AP183" s="4">
        <v>0.9</v>
      </c>
      <c r="AQ183" s="4">
        <v>0.5</v>
      </c>
      <c r="AR183" s="4">
        <v>0.6</v>
      </c>
      <c r="AS183" s="4">
        <v>0.3</v>
      </c>
      <c r="AT183" s="4">
        <v>730.92443800000001</v>
      </c>
      <c r="AU183" s="4">
        <v>3.0000000000000001E-3</v>
      </c>
      <c r="AW183" s="4" t="s">
        <v>75</v>
      </c>
      <c r="AX183" s="4">
        <v>0.9</v>
      </c>
      <c r="AY183" s="4">
        <v>0.5</v>
      </c>
      <c r="AZ183" s="4">
        <v>0.6</v>
      </c>
      <c r="BA183" s="4">
        <v>0.01</v>
      </c>
      <c r="BB183" s="6">
        <v>686.70733600000005</v>
      </c>
      <c r="BC183" s="4">
        <v>2.4E-2</v>
      </c>
      <c r="BD183" s="4" t="s">
        <v>324</v>
      </c>
      <c r="BE183" s="4" t="s">
        <v>324</v>
      </c>
      <c r="BF183" s="4" t="s">
        <v>327</v>
      </c>
      <c r="BG183" s="4" t="s">
        <v>327</v>
      </c>
      <c r="BI183" s="4" t="s">
        <v>75</v>
      </c>
      <c r="BJ183" s="4">
        <v>0.9</v>
      </c>
      <c r="BK183" s="4">
        <v>0.5</v>
      </c>
      <c r="BL183" s="4">
        <v>0.6</v>
      </c>
      <c r="BM183" s="4">
        <v>0.3</v>
      </c>
      <c r="BN183" s="4">
        <v>714.30542000000003</v>
      </c>
      <c r="BO183" s="4">
        <v>5.0000000000000001E-3</v>
      </c>
      <c r="BQ183" s="4" t="s">
        <v>75</v>
      </c>
      <c r="BR183" s="4">
        <v>0.9</v>
      </c>
      <c r="BS183" s="4">
        <v>0.5</v>
      </c>
      <c r="BT183" s="4">
        <v>0.6</v>
      </c>
      <c r="BU183" s="4">
        <v>0.01</v>
      </c>
      <c r="BV183" s="6">
        <v>672.91625999999997</v>
      </c>
      <c r="BW183" s="4">
        <v>2.1000000000000001E-2</v>
      </c>
      <c r="BX183" s="4" t="s">
        <v>324</v>
      </c>
      <c r="BY183" s="4" t="s">
        <v>324</v>
      </c>
      <c r="BZ183" s="4" t="s">
        <v>327</v>
      </c>
      <c r="CA183" s="4" t="s">
        <v>327</v>
      </c>
    </row>
    <row r="184" spans="1:79" x14ac:dyDescent="0.3">
      <c r="A184" s="4" t="s">
        <v>76</v>
      </c>
      <c r="B184" s="4">
        <v>0.9</v>
      </c>
      <c r="C184" s="4">
        <v>0.5</v>
      </c>
      <c r="D184" s="4">
        <v>0.6</v>
      </c>
      <c r="E184" s="4">
        <v>0.3</v>
      </c>
      <c r="F184" s="6">
        <v>441.18945300000001</v>
      </c>
      <c r="G184" s="4">
        <v>1E-3</v>
      </c>
      <c r="I184" s="4" t="s">
        <v>76</v>
      </c>
      <c r="J184" s="4">
        <v>0.9</v>
      </c>
      <c r="K184" s="4">
        <v>0.5</v>
      </c>
      <c r="L184" s="4">
        <v>0.6</v>
      </c>
      <c r="M184" s="4">
        <v>0.63</v>
      </c>
      <c r="N184" s="4">
        <v>470.53653000000003</v>
      </c>
      <c r="O184" s="4">
        <v>1.2999999999999999E-2</v>
      </c>
      <c r="P184" s="3">
        <f>COUNT(F183:F193,F195,F197:F202,F204:F212)</f>
        <v>27</v>
      </c>
      <c r="Q184" s="3">
        <f>30-P184</f>
        <v>3</v>
      </c>
      <c r="R184" s="3">
        <f>COUNT(N186,N194,N196)</f>
        <v>3</v>
      </c>
      <c r="S184" s="3">
        <f>30-R184</f>
        <v>27</v>
      </c>
      <c r="U184" s="4" t="s">
        <v>76</v>
      </c>
      <c r="V184" s="4">
        <v>0.9</v>
      </c>
      <c r="W184" s="4">
        <v>0.5</v>
      </c>
      <c r="X184" s="4">
        <v>0.6</v>
      </c>
      <c r="Y184" s="4">
        <v>0.3</v>
      </c>
      <c r="Z184" s="4">
        <v>418.120544</v>
      </c>
      <c r="AA184" s="4">
        <v>1E-3</v>
      </c>
      <c r="AC184" s="4" t="s">
        <v>76</v>
      </c>
      <c r="AD184" s="4">
        <v>0.9</v>
      </c>
      <c r="AE184" s="4">
        <v>0.5</v>
      </c>
      <c r="AF184" s="4">
        <v>0.6</v>
      </c>
      <c r="AG184" s="4">
        <v>0.26</v>
      </c>
      <c r="AH184" s="6">
        <v>416.206299</v>
      </c>
      <c r="AI184" s="4">
        <v>0.01</v>
      </c>
      <c r="AJ184" s="3">
        <f>COUNT(Z183,Z185:Z189,Z192:Z196,Z198:Z210,Z212)</f>
        <v>25</v>
      </c>
      <c r="AK184" s="3">
        <f>30-AJ184</f>
        <v>5</v>
      </c>
      <c r="AL184" s="3">
        <f>COUNT(AH184,AH190:AH191,AH197,AH211)</f>
        <v>5</v>
      </c>
      <c r="AM184" s="3">
        <f>30-AL184</f>
        <v>25</v>
      </c>
      <c r="AO184" s="4" t="s">
        <v>77</v>
      </c>
      <c r="AP184" s="4">
        <v>0.9</v>
      </c>
      <c r="AQ184" s="4">
        <v>0.5</v>
      </c>
      <c r="AR184" s="4">
        <v>0.6</v>
      </c>
      <c r="AS184" s="4">
        <v>0.3</v>
      </c>
      <c r="AT184" s="6">
        <v>805.61724900000002</v>
      </c>
      <c r="AU184" s="4">
        <v>4.0000000000000001E-3</v>
      </c>
      <c r="AW184" s="4" t="s">
        <v>77</v>
      </c>
      <c r="AX184" s="4">
        <v>0.9</v>
      </c>
      <c r="AY184" s="4">
        <v>0.5</v>
      </c>
      <c r="AZ184" s="4">
        <v>0.6</v>
      </c>
      <c r="BA184" s="4">
        <v>0.84</v>
      </c>
      <c r="BB184" s="4">
        <v>978.21490500000004</v>
      </c>
      <c r="BC184" s="4">
        <v>1.6E-2</v>
      </c>
      <c r="BD184" s="3">
        <f>COUNT(AT184:AT188,AT191,AT193:AT198,AT200:AT201,AT203,AT205:AT211)</f>
        <v>22</v>
      </c>
      <c r="BE184" s="3">
        <f>30-BD184</f>
        <v>8</v>
      </c>
      <c r="BF184" s="3">
        <f>COUNT(BB183,BB189:BB190,BB192,BB199,BB202,BB204,BB212)</f>
        <v>8</v>
      </c>
      <c r="BG184" s="3">
        <f>30-BF184</f>
        <v>22</v>
      </c>
      <c r="BI184" s="4" t="s">
        <v>77</v>
      </c>
      <c r="BJ184" s="4">
        <v>0.9</v>
      </c>
      <c r="BK184" s="4">
        <v>0.5</v>
      </c>
      <c r="BL184" s="4">
        <v>0.6</v>
      </c>
      <c r="BM184" s="4">
        <v>0.3</v>
      </c>
      <c r="BN184" s="4">
        <v>796.45288100000005</v>
      </c>
      <c r="BO184" s="4">
        <v>8.9999999999999993E-3</v>
      </c>
      <c r="BQ184" s="4" t="s">
        <v>77</v>
      </c>
      <c r="BR184" s="4">
        <v>0.9</v>
      </c>
      <c r="BS184" s="4">
        <v>0.5</v>
      </c>
      <c r="BT184" s="4">
        <v>0.6</v>
      </c>
      <c r="BU184" s="4">
        <v>0.01</v>
      </c>
      <c r="BV184" s="6">
        <v>689.17364499999996</v>
      </c>
      <c r="BW184" s="4">
        <v>1.2E-2</v>
      </c>
      <c r="BX184" s="3">
        <f>COUNT(BN185:BN187,BN189,BN191:BN192,BN194:BN200,BN204,BN207:BN212)</f>
        <v>20</v>
      </c>
      <c r="BY184" s="3">
        <f>30-BX184</f>
        <v>10</v>
      </c>
      <c r="BZ184" s="3">
        <f>COUNT(BV183:BV184,BV188,BV190,BV193,BV201:BV203,BV205:BV206)</f>
        <v>10</v>
      </c>
      <c r="CA184" s="3">
        <f>30-BZ184</f>
        <v>20</v>
      </c>
    </row>
    <row r="185" spans="1:79" x14ac:dyDescent="0.3">
      <c r="A185" s="4" t="s">
        <v>78</v>
      </c>
      <c r="B185" s="4">
        <v>0.9</v>
      </c>
      <c r="C185" s="4">
        <v>0.5</v>
      </c>
      <c r="D185" s="4">
        <v>0.6</v>
      </c>
      <c r="E185" s="4">
        <v>0.3</v>
      </c>
      <c r="F185" s="6">
        <v>429.31347699999998</v>
      </c>
      <c r="G185" s="4">
        <v>1E-3</v>
      </c>
      <c r="I185" s="4" t="s">
        <v>78</v>
      </c>
      <c r="J185" s="4">
        <v>0.9</v>
      </c>
      <c r="K185" s="4">
        <v>0.5</v>
      </c>
      <c r="L185" s="4">
        <v>0.6</v>
      </c>
      <c r="M185" s="4">
        <v>0.01</v>
      </c>
      <c r="N185" s="4">
        <v>438.01757800000001</v>
      </c>
      <c r="O185" s="4">
        <v>1.7000000000000001E-2</v>
      </c>
      <c r="P185" s="5"/>
      <c r="Q185" s="5"/>
      <c r="R185" s="5"/>
      <c r="S185" s="5"/>
      <c r="U185" s="4" t="s">
        <v>78</v>
      </c>
      <c r="V185" s="4">
        <v>0.9</v>
      </c>
      <c r="W185" s="4">
        <v>0.5</v>
      </c>
      <c r="X185" s="4">
        <v>0.6</v>
      </c>
      <c r="Y185" s="4">
        <v>0.3</v>
      </c>
      <c r="Z185" s="6">
        <v>412.85815400000001</v>
      </c>
      <c r="AA185" s="4">
        <v>1E-3</v>
      </c>
      <c r="AC185" s="4" t="s">
        <v>78</v>
      </c>
      <c r="AD185" s="4">
        <v>0.9</v>
      </c>
      <c r="AE185" s="4">
        <v>0.5</v>
      </c>
      <c r="AF185" s="4">
        <v>0.6</v>
      </c>
      <c r="AG185" s="4">
        <v>0.48</v>
      </c>
      <c r="AH185" s="4">
        <v>428.80215500000003</v>
      </c>
      <c r="AI185" s="4">
        <v>1.7000000000000001E-2</v>
      </c>
      <c r="AJ185" s="5"/>
      <c r="AK185" s="5"/>
      <c r="AL185" s="5"/>
      <c r="AM185" s="5"/>
      <c r="AO185" s="4" t="s">
        <v>79</v>
      </c>
      <c r="AP185" s="4">
        <v>0.9</v>
      </c>
      <c r="AQ185" s="4">
        <v>0.5</v>
      </c>
      <c r="AR185" s="4">
        <v>0.6</v>
      </c>
      <c r="AS185" s="4">
        <v>0.3</v>
      </c>
      <c r="AT185" s="6">
        <v>761.51464799999997</v>
      </c>
      <c r="AU185" s="4">
        <v>4.0000000000000001E-3</v>
      </c>
      <c r="AW185" s="4" t="s">
        <v>79</v>
      </c>
      <c r="AX185" s="4">
        <v>0.9</v>
      </c>
      <c r="AY185" s="4">
        <v>0.5</v>
      </c>
      <c r="AZ185" s="4">
        <v>0.6</v>
      </c>
      <c r="BA185" s="4">
        <v>0.88</v>
      </c>
      <c r="BB185" s="4">
        <v>967.25854500000003</v>
      </c>
      <c r="BC185" s="4">
        <v>2.1999999999999999E-2</v>
      </c>
      <c r="BD185" s="5"/>
      <c r="BE185" s="5"/>
      <c r="BF185" s="5"/>
      <c r="BG185" s="5"/>
      <c r="BI185" s="4" t="s">
        <v>79</v>
      </c>
      <c r="BJ185" s="4">
        <v>0.9</v>
      </c>
      <c r="BK185" s="4">
        <v>0.5</v>
      </c>
      <c r="BL185" s="4">
        <v>0.6</v>
      </c>
      <c r="BM185" s="4">
        <v>0.3</v>
      </c>
      <c r="BN185" s="6">
        <v>729.90734899999995</v>
      </c>
      <c r="BO185" s="4">
        <v>8.0000000000000002E-3</v>
      </c>
      <c r="BQ185" s="4" t="s">
        <v>79</v>
      </c>
      <c r="BR185" s="4">
        <v>0.9</v>
      </c>
      <c r="BS185" s="4">
        <v>0.5</v>
      </c>
      <c r="BT185" s="4">
        <v>0.6</v>
      </c>
      <c r="BU185" s="4">
        <v>0.75</v>
      </c>
      <c r="BV185" s="4">
        <v>941.78845200000001</v>
      </c>
      <c r="BW185" s="4">
        <v>0.02</v>
      </c>
      <c r="BX185" s="5"/>
      <c r="BY185" s="5"/>
      <c r="BZ185" s="5"/>
      <c r="CA185" s="5"/>
    </row>
    <row r="186" spans="1:79" x14ac:dyDescent="0.3">
      <c r="A186" s="4" t="s">
        <v>80</v>
      </c>
      <c r="B186" s="4">
        <v>0.9</v>
      </c>
      <c r="C186" s="4">
        <v>0.5</v>
      </c>
      <c r="D186" s="4">
        <v>0.6</v>
      </c>
      <c r="E186" s="4">
        <v>0.3</v>
      </c>
      <c r="F186" s="8">
        <v>462.20266700000002</v>
      </c>
      <c r="G186" s="4">
        <v>1E-3</v>
      </c>
      <c r="I186" s="4" t="s">
        <v>80</v>
      </c>
      <c r="J186" s="4">
        <v>0.9</v>
      </c>
      <c r="K186" s="4">
        <v>0.5</v>
      </c>
      <c r="L186" s="4">
        <v>0.6</v>
      </c>
      <c r="M186" s="4">
        <v>0.19</v>
      </c>
      <c r="N186" s="6">
        <v>462.10366800000003</v>
      </c>
      <c r="O186" s="4">
        <v>0.01</v>
      </c>
      <c r="P186" s="5"/>
      <c r="Q186" s="5"/>
      <c r="R186" s="5"/>
      <c r="S186" s="5"/>
      <c r="U186" s="4" t="s">
        <v>80</v>
      </c>
      <c r="V186" s="4">
        <v>0.9</v>
      </c>
      <c r="W186" s="4">
        <v>0.5</v>
      </c>
      <c r="X186" s="4">
        <v>0.6</v>
      </c>
      <c r="Y186" s="4">
        <v>0.3</v>
      </c>
      <c r="Z186" s="6">
        <v>435.63125600000001</v>
      </c>
      <c r="AA186" s="4">
        <v>1E-3</v>
      </c>
      <c r="AC186" s="4" t="s">
        <v>80</v>
      </c>
      <c r="AD186" s="4">
        <v>0.9</v>
      </c>
      <c r="AE186" s="4">
        <v>0.5</v>
      </c>
      <c r="AF186" s="4">
        <v>0.6</v>
      </c>
      <c r="AG186" s="4">
        <v>0.22</v>
      </c>
      <c r="AH186" s="4">
        <v>450.51831099999998</v>
      </c>
      <c r="AI186" s="4">
        <v>1.4999999999999999E-2</v>
      </c>
      <c r="AJ186" s="5"/>
      <c r="AK186" s="5"/>
      <c r="AL186" s="5"/>
      <c r="AM186" s="5"/>
      <c r="AO186" s="4" t="s">
        <v>81</v>
      </c>
      <c r="AP186" s="4">
        <v>0.9</v>
      </c>
      <c r="AQ186" s="4">
        <v>0.5</v>
      </c>
      <c r="AR186" s="4">
        <v>0.6</v>
      </c>
      <c r="AS186" s="4">
        <v>0.3</v>
      </c>
      <c r="AT186" s="6">
        <v>735.40643299999999</v>
      </c>
      <c r="AU186" s="4">
        <v>4.0000000000000001E-3</v>
      </c>
      <c r="AW186" s="4" t="s">
        <v>81</v>
      </c>
      <c r="AX186" s="4">
        <v>0.9</v>
      </c>
      <c r="AY186" s="4">
        <v>0.5</v>
      </c>
      <c r="AZ186" s="4">
        <v>0.6</v>
      </c>
      <c r="BA186" s="4">
        <v>0.63</v>
      </c>
      <c r="BB186" s="4">
        <v>855.00518799999998</v>
      </c>
      <c r="BC186" s="4">
        <v>0.03</v>
      </c>
      <c r="BD186" s="5"/>
      <c r="BE186" s="5"/>
      <c r="BF186" s="5"/>
      <c r="BG186" s="5"/>
      <c r="BI186" s="4" t="s">
        <v>81</v>
      </c>
      <c r="BJ186" s="4">
        <v>0.9</v>
      </c>
      <c r="BK186" s="4">
        <v>0.5</v>
      </c>
      <c r="BL186" s="4">
        <v>0.6</v>
      </c>
      <c r="BM186" s="4">
        <v>0.3</v>
      </c>
      <c r="BN186" s="6">
        <v>713.78222700000003</v>
      </c>
      <c r="BO186" s="4">
        <v>8.0000000000000002E-3</v>
      </c>
      <c r="BQ186" s="4" t="s">
        <v>81</v>
      </c>
      <c r="BR186" s="4">
        <v>0.9</v>
      </c>
      <c r="BS186" s="4">
        <v>0.5</v>
      </c>
      <c r="BT186" s="4">
        <v>0.6</v>
      </c>
      <c r="BU186" s="4">
        <v>0.79</v>
      </c>
      <c r="BV186" s="4">
        <v>882.042419</v>
      </c>
      <c r="BW186" s="4">
        <v>1.7999999999999999E-2</v>
      </c>
      <c r="BX186" s="5"/>
      <c r="BY186" s="5"/>
      <c r="BZ186" s="5"/>
      <c r="CA186" s="5"/>
    </row>
    <row r="187" spans="1:79" x14ac:dyDescent="0.3">
      <c r="A187" s="4" t="s">
        <v>82</v>
      </c>
      <c r="B187" s="4">
        <v>0.9</v>
      </c>
      <c r="C187" s="4">
        <v>0.5</v>
      </c>
      <c r="D187" s="4">
        <v>0.6</v>
      </c>
      <c r="E187" s="4">
        <v>0.3</v>
      </c>
      <c r="F187" s="6">
        <v>425.22131300000001</v>
      </c>
      <c r="G187" s="4">
        <v>0</v>
      </c>
      <c r="I187" s="4" t="s">
        <v>82</v>
      </c>
      <c r="J187" s="4">
        <v>0.9</v>
      </c>
      <c r="K187" s="4">
        <v>0.5</v>
      </c>
      <c r="L187" s="4">
        <v>0.6</v>
      </c>
      <c r="M187" s="4">
        <v>0.6</v>
      </c>
      <c r="N187" s="4">
        <v>455.003265</v>
      </c>
      <c r="O187" s="4">
        <v>2.8000000000000001E-2</v>
      </c>
      <c r="P187" s="5"/>
      <c r="Q187" s="5"/>
      <c r="R187" s="5"/>
      <c r="S187" s="5"/>
      <c r="U187" s="4" t="s">
        <v>82</v>
      </c>
      <c r="V187" s="4">
        <v>0.9</v>
      </c>
      <c r="W187" s="4">
        <v>0.5</v>
      </c>
      <c r="X187" s="4">
        <v>0.6</v>
      </c>
      <c r="Y187" s="4">
        <v>0.3</v>
      </c>
      <c r="Z187" s="6">
        <v>416.028076</v>
      </c>
      <c r="AA187" s="4">
        <v>1E-3</v>
      </c>
      <c r="AC187" s="4" t="s">
        <v>82</v>
      </c>
      <c r="AD187" s="4">
        <v>0.9</v>
      </c>
      <c r="AE187" s="4">
        <v>0.5</v>
      </c>
      <c r="AF187" s="4">
        <v>0.6</v>
      </c>
      <c r="AG187" s="4">
        <v>0.38</v>
      </c>
      <c r="AH187" s="4">
        <v>425.96887199999998</v>
      </c>
      <c r="AI187" s="4">
        <v>4.7E-2</v>
      </c>
      <c r="AJ187" s="5"/>
      <c r="AK187" s="5"/>
      <c r="AL187" s="5"/>
      <c r="AM187" s="5"/>
      <c r="AO187" s="4" t="s">
        <v>83</v>
      </c>
      <c r="AP187" s="4">
        <v>0.9</v>
      </c>
      <c r="AQ187" s="4">
        <v>0.5</v>
      </c>
      <c r="AR187" s="4">
        <v>0.6</v>
      </c>
      <c r="AS187" s="4">
        <v>0.3</v>
      </c>
      <c r="AT187" s="6">
        <v>758.09643600000004</v>
      </c>
      <c r="AU187" s="4">
        <v>5.0000000000000001E-3</v>
      </c>
      <c r="AW187" s="4" t="s">
        <v>83</v>
      </c>
      <c r="AX187" s="4">
        <v>0.9</v>
      </c>
      <c r="AY187" s="4">
        <v>0.5</v>
      </c>
      <c r="AZ187" s="4">
        <v>0.6</v>
      </c>
      <c r="BA187" s="4">
        <v>0.33</v>
      </c>
      <c r="BB187" s="4">
        <v>767.600281</v>
      </c>
      <c r="BC187" s="4">
        <v>0.01</v>
      </c>
      <c r="BD187" s="5"/>
      <c r="BE187" s="5"/>
      <c r="BF187" s="5"/>
      <c r="BG187" s="5"/>
      <c r="BI187" s="4" t="s">
        <v>83</v>
      </c>
      <c r="BJ187" s="4">
        <v>0.9</v>
      </c>
      <c r="BK187" s="4">
        <v>0.5</v>
      </c>
      <c r="BL187" s="4">
        <v>0.6</v>
      </c>
      <c r="BM187" s="4">
        <v>0.3</v>
      </c>
      <c r="BN187" s="6">
        <v>746.24322500000005</v>
      </c>
      <c r="BO187" s="4">
        <v>4.0000000000000001E-3</v>
      </c>
      <c r="BQ187" s="4" t="s">
        <v>83</v>
      </c>
      <c r="BR187" s="4">
        <v>0.9</v>
      </c>
      <c r="BS187" s="4">
        <v>0.5</v>
      </c>
      <c r="BT187" s="4">
        <v>0.6</v>
      </c>
      <c r="BU187" s="4">
        <v>0.39</v>
      </c>
      <c r="BV187" s="4">
        <v>778.83612100000005</v>
      </c>
      <c r="BW187" s="4">
        <v>3.5000000000000003E-2</v>
      </c>
      <c r="BX187" s="5"/>
      <c r="BY187" s="5"/>
      <c r="BZ187" s="5"/>
      <c r="CA187" s="5"/>
    </row>
    <row r="188" spans="1:79" x14ac:dyDescent="0.3">
      <c r="A188" s="4" t="s">
        <v>84</v>
      </c>
      <c r="B188" s="4">
        <v>0.9</v>
      </c>
      <c r="C188" s="4">
        <v>0.5</v>
      </c>
      <c r="D188" s="4">
        <v>0.6</v>
      </c>
      <c r="E188" s="4">
        <v>0.3</v>
      </c>
      <c r="F188" s="6">
        <v>540.70977800000003</v>
      </c>
      <c r="G188" s="4">
        <v>1E-3</v>
      </c>
      <c r="I188" s="4" t="s">
        <v>84</v>
      </c>
      <c r="J188" s="4">
        <v>0.9</v>
      </c>
      <c r="K188" s="4">
        <v>0.5</v>
      </c>
      <c r="L188" s="4">
        <v>0.6</v>
      </c>
      <c r="M188" s="4">
        <v>0.27</v>
      </c>
      <c r="N188" s="4">
        <v>541.36706500000003</v>
      </c>
      <c r="O188" s="4">
        <v>1.9E-2</v>
      </c>
      <c r="P188" s="5"/>
      <c r="Q188" s="5"/>
      <c r="R188" s="5"/>
      <c r="S188" s="5"/>
      <c r="U188" s="4" t="s">
        <v>84</v>
      </c>
      <c r="V188" s="4">
        <v>0.9</v>
      </c>
      <c r="W188" s="4">
        <v>0.5</v>
      </c>
      <c r="X188" s="4">
        <v>0.6</v>
      </c>
      <c r="Y188" s="4">
        <v>0.3</v>
      </c>
      <c r="Z188" s="6">
        <v>525.18969700000002</v>
      </c>
      <c r="AA188" s="4">
        <v>1E-3</v>
      </c>
      <c r="AC188" s="4" t="s">
        <v>84</v>
      </c>
      <c r="AD188" s="4">
        <v>0.9</v>
      </c>
      <c r="AE188" s="4">
        <v>0.5</v>
      </c>
      <c r="AF188" s="4">
        <v>0.6</v>
      </c>
      <c r="AG188" s="4">
        <v>0.59</v>
      </c>
      <c r="AH188" s="4">
        <v>582.364014</v>
      </c>
      <c r="AI188" s="4">
        <v>2.1000000000000001E-2</v>
      </c>
      <c r="AJ188" s="5"/>
      <c r="AK188" s="5"/>
      <c r="AL188" s="5"/>
      <c r="AM188" s="5"/>
      <c r="AO188" s="4" t="s">
        <v>85</v>
      </c>
      <c r="AP188" s="4">
        <v>0.9</v>
      </c>
      <c r="AQ188" s="4">
        <v>0.5</v>
      </c>
      <c r="AR188" s="4">
        <v>0.6</v>
      </c>
      <c r="AS188" s="4">
        <v>0.3</v>
      </c>
      <c r="AT188" s="6">
        <v>871.78558299999997</v>
      </c>
      <c r="AU188" s="4">
        <v>1.9E-2</v>
      </c>
      <c r="AW188" s="4" t="s">
        <v>85</v>
      </c>
      <c r="AX188" s="4">
        <v>0.9</v>
      </c>
      <c r="AY188" s="4">
        <v>0.5</v>
      </c>
      <c r="AZ188" s="4">
        <v>0.6</v>
      </c>
      <c r="BA188" s="4">
        <v>0.44</v>
      </c>
      <c r="BB188" s="4">
        <v>959.70709199999999</v>
      </c>
      <c r="BC188" s="4">
        <v>0.01</v>
      </c>
      <c r="BD188" s="5"/>
      <c r="BE188" s="5"/>
      <c r="BF188" s="5"/>
      <c r="BG188" s="5"/>
      <c r="BI188" s="4" t="s">
        <v>85</v>
      </c>
      <c r="BJ188" s="4">
        <v>0.9</v>
      </c>
      <c r="BK188" s="4">
        <v>0.5</v>
      </c>
      <c r="BL188" s="4">
        <v>0.6</v>
      </c>
      <c r="BM188" s="4">
        <v>0.3</v>
      </c>
      <c r="BN188" s="4">
        <v>856.53167699999995</v>
      </c>
      <c r="BO188" s="4">
        <v>6.0000000000000001E-3</v>
      </c>
      <c r="BQ188" s="4" t="s">
        <v>85</v>
      </c>
      <c r="BR188" s="4">
        <v>0.9</v>
      </c>
      <c r="BS188" s="4">
        <v>0.5</v>
      </c>
      <c r="BT188" s="4">
        <v>0.6</v>
      </c>
      <c r="BU188" s="4">
        <v>0.25</v>
      </c>
      <c r="BV188" s="6">
        <v>819.45739700000001</v>
      </c>
      <c r="BW188" s="4">
        <v>2.3E-2</v>
      </c>
      <c r="BX188" s="5"/>
      <c r="BY188" s="5"/>
      <c r="BZ188" s="5"/>
      <c r="CA188" s="5"/>
    </row>
    <row r="189" spans="1:79" x14ac:dyDescent="0.3">
      <c r="A189" s="4" t="s">
        <v>86</v>
      </c>
      <c r="B189" s="4">
        <v>0.9</v>
      </c>
      <c r="C189" s="4">
        <v>0.5</v>
      </c>
      <c r="D189" s="4">
        <v>0.6</v>
      </c>
      <c r="E189" s="4">
        <v>0.3</v>
      </c>
      <c r="F189" s="6">
        <v>569.16980000000001</v>
      </c>
      <c r="G189" s="4">
        <v>1E-3</v>
      </c>
      <c r="I189" s="4" t="s">
        <v>86</v>
      </c>
      <c r="J189" s="4">
        <v>0.9</v>
      </c>
      <c r="K189" s="4">
        <v>0.5</v>
      </c>
      <c r="L189" s="4">
        <v>0.6</v>
      </c>
      <c r="M189" s="4">
        <v>0.46</v>
      </c>
      <c r="N189" s="4">
        <v>600.716003</v>
      </c>
      <c r="O189" s="4">
        <v>2.7E-2</v>
      </c>
      <c r="P189" s="5"/>
      <c r="Q189" s="5"/>
      <c r="R189" s="5"/>
      <c r="S189" s="5"/>
      <c r="U189" s="4" t="s">
        <v>86</v>
      </c>
      <c r="V189" s="4">
        <v>0.9</v>
      </c>
      <c r="W189" s="4">
        <v>0.5</v>
      </c>
      <c r="X189" s="4">
        <v>0.6</v>
      </c>
      <c r="Y189" s="4">
        <v>0.3</v>
      </c>
      <c r="Z189" s="6">
        <v>558.04724099999999</v>
      </c>
      <c r="AA189" s="4">
        <v>1E-3</v>
      </c>
      <c r="AC189" s="4" t="s">
        <v>86</v>
      </c>
      <c r="AD189" s="4">
        <v>0.9</v>
      </c>
      <c r="AE189" s="4">
        <v>0.5</v>
      </c>
      <c r="AF189" s="4">
        <v>0.6</v>
      </c>
      <c r="AG189" s="4">
        <v>0.3</v>
      </c>
      <c r="AH189" s="4">
        <v>575.57525599999997</v>
      </c>
      <c r="AI189" s="4">
        <v>1.7999999999999999E-2</v>
      </c>
      <c r="AJ189" s="5"/>
      <c r="AK189" s="5"/>
      <c r="AL189" s="5"/>
      <c r="AM189" s="5"/>
      <c r="AO189" s="4" t="s">
        <v>87</v>
      </c>
      <c r="AP189" s="4">
        <v>0.9</v>
      </c>
      <c r="AQ189" s="4">
        <v>0.5</v>
      </c>
      <c r="AR189" s="4">
        <v>0.6</v>
      </c>
      <c r="AS189" s="4">
        <v>0.3</v>
      </c>
      <c r="AT189" s="4">
        <v>796.96881099999996</v>
      </c>
      <c r="AU189" s="4">
        <v>8.0000000000000002E-3</v>
      </c>
      <c r="AW189" s="4" t="s">
        <v>87</v>
      </c>
      <c r="AX189" s="4">
        <v>0.9</v>
      </c>
      <c r="AY189" s="4">
        <v>0.5</v>
      </c>
      <c r="AZ189" s="4">
        <v>0.6</v>
      </c>
      <c r="BA189" s="4">
        <v>0.04</v>
      </c>
      <c r="BB189" s="6">
        <v>712.129456</v>
      </c>
      <c r="BC189" s="4">
        <v>3.2000000000000001E-2</v>
      </c>
      <c r="BD189" s="5"/>
      <c r="BE189" s="5"/>
      <c r="BF189" s="5"/>
      <c r="BG189" s="5"/>
      <c r="BI189" s="4" t="s">
        <v>87</v>
      </c>
      <c r="BJ189" s="4">
        <v>0.9</v>
      </c>
      <c r="BK189" s="4">
        <v>0.5</v>
      </c>
      <c r="BL189" s="4">
        <v>0.6</v>
      </c>
      <c r="BM189" s="4">
        <v>0.3</v>
      </c>
      <c r="BN189" s="6">
        <v>793.237976</v>
      </c>
      <c r="BO189" s="4">
        <v>5.0000000000000001E-3</v>
      </c>
      <c r="BQ189" s="4" t="s">
        <v>87</v>
      </c>
      <c r="BR189" s="4">
        <v>0.9</v>
      </c>
      <c r="BS189" s="4">
        <v>0.5</v>
      </c>
      <c r="BT189" s="4">
        <v>0.6</v>
      </c>
      <c r="BU189" s="4">
        <v>0.85</v>
      </c>
      <c r="BV189" s="4">
        <v>959.06396500000005</v>
      </c>
      <c r="BW189" s="4">
        <v>2.4E-2</v>
      </c>
      <c r="BX189" s="5"/>
      <c r="BY189" s="5"/>
      <c r="BZ189" s="5"/>
      <c r="CA189" s="5"/>
    </row>
    <row r="190" spans="1:79" x14ac:dyDescent="0.3">
      <c r="A190" s="4" t="s">
        <v>88</v>
      </c>
      <c r="B190" s="4">
        <v>0.9</v>
      </c>
      <c r="C190" s="4">
        <v>0.5</v>
      </c>
      <c r="D190" s="4">
        <v>0.6</v>
      </c>
      <c r="E190" s="4">
        <v>0.3</v>
      </c>
      <c r="F190" s="6">
        <v>494.33279399999998</v>
      </c>
      <c r="G190" s="4">
        <v>1E-3</v>
      </c>
      <c r="I190" s="4" t="s">
        <v>88</v>
      </c>
      <c r="J190" s="4">
        <v>0.9</v>
      </c>
      <c r="K190" s="4">
        <v>0.5</v>
      </c>
      <c r="L190" s="4">
        <v>0.6</v>
      </c>
      <c r="M190" s="4">
        <v>0.55000000000000004</v>
      </c>
      <c r="N190" s="4">
        <v>544.96624799999995</v>
      </c>
      <c r="O190" s="4">
        <v>4.2000000000000003E-2</v>
      </c>
      <c r="P190" s="5"/>
      <c r="Q190" s="5"/>
      <c r="R190" s="5"/>
      <c r="S190" s="5"/>
      <c r="U190" s="4" t="s">
        <v>88</v>
      </c>
      <c r="V190" s="4">
        <v>0.9</v>
      </c>
      <c r="W190" s="4">
        <v>0.5</v>
      </c>
      <c r="X190" s="4">
        <v>0.6</v>
      </c>
      <c r="Y190" s="4">
        <v>0.3</v>
      </c>
      <c r="Z190" s="4">
        <v>475.04605099999998</v>
      </c>
      <c r="AA190" s="4">
        <v>1E-3</v>
      </c>
      <c r="AC190" s="4" t="s">
        <v>88</v>
      </c>
      <c r="AD190" s="4">
        <v>0.9</v>
      </c>
      <c r="AE190" s="4">
        <v>0.5</v>
      </c>
      <c r="AF190" s="4">
        <v>0.6</v>
      </c>
      <c r="AG190" s="4">
        <v>0.14000000000000001</v>
      </c>
      <c r="AH190" s="6">
        <v>473.02667200000002</v>
      </c>
      <c r="AI190" s="4">
        <v>1.0999999999999999E-2</v>
      </c>
      <c r="AJ190" s="5"/>
      <c r="AK190" s="5"/>
      <c r="AL190" s="5"/>
      <c r="AM190" s="5"/>
      <c r="AO190" s="4" t="s">
        <v>89</v>
      </c>
      <c r="AP190" s="4">
        <v>0.9</v>
      </c>
      <c r="AQ190" s="4">
        <v>0.5</v>
      </c>
      <c r="AR190" s="4">
        <v>0.6</v>
      </c>
      <c r="AS190" s="4">
        <v>0.3</v>
      </c>
      <c r="AT190" s="4">
        <v>797.86944600000004</v>
      </c>
      <c r="AU190" s="4">
        <v>8.0000000000000002E-3</v>
      </c>
      <c r="AW190" s="4" t="s">
        <v>89</v>
      </c>
      <c r="AX190" s="4">
        <v>0.9</v>
      </c>
      <c r="AY190" s="4">
        <v>0.5</v>
      </c>
      <c r="AZ190" s="4">
        <v>0.6</v>
      </c>
      <c r="BA190" s="4">
        <v>0.1</v>
      </c>
      <c r="BB190" s="6">
        <v>709.81506300000001</v>
      </c>
      <c r="BC190" s="4">
        <v>1.7999999999999999E-2</v>
      </c>
      <c r="BD190" s="5"/>
      <c r="BE190" s="5"/>
      <c r="BF190" s="5"/>
      <c r="BG190" s="5"/>
      <c r="BI190" s="4" t="s">
        <v>89</v>
      </c>
      <c r="BJ190" s="4">
        <v>0.9</v>
      </c>
      <c r="BK190" s="4">
        <v>0.5</v>
      </c>
      <c r="BL190" s="4">
        <v>0.6</v>
      </c>
      <c r="BM190" s="4">
        <v>0.3</v>
      </c>
      <c r="BN190" s="4">
        <v>800.80291699999998</v>
      </c>
      <c r="BO190" s="4">
        <v>5.0000000000000001E-3</v>
      </c>
      <c r="BQ190" s="4" t="s">
        <v>89</v>
      </c>
      <c r="BR190" s="4">
        <v>0.9</v>
      </c>
      <c r="BS190" s="4">
        <v>0.5</v>
      </c>
      <c r="BT190" s="4">
        <v>0.6</v>
      </c>
      <c r="BU190" s="4">
        <v>0.53</v>
      </c>
      <c r="BV190" s="6">
        <v>903.07891800000004</v>
      </c>
      <c r="BW190" s="4">
        <v>1.0999999999999999E-2</v>
      </c>
      <c r="BX190" s="5"/>
      <c r="BY190" s="5"/>
      <c r="BZ190" s="5"/>
      <c r="CA190" s="5"/>
    </row>
    <row r="191" spans="1:79" x14ac:dyDescent="0.3">
      <c r="A191" s="4" t="s">
        <v>90</v>
      </c>
      <c r="B191" s="4">
        <v>0.9</v>
      </c>
      <c r="C191" s="4">
        <v>0.5</v>
      </c>
      <c r="D191" s="4">
        <v>0.6</v>
      </c>
      <c r="E191" s="4">
        <v>0.3</v>
      </c>
      <c r="F191" s="6">
        <v>436.71691900000002</v>
      </c>
      <c r="G191" s="4">
        <v>1E-3</v>
      </c>
      <c r="I191" s="4" t="s">
        <v>90</v>
      </c>
      <c r="J191" s="4">
        <v>0.9</v>
      </c>
      <c r="K191" s="4">
        <v>0.5</v>
      </c>
      <c r="L191" s="4">
        <v>0.6</v>
      </c>
      <c r="M191" s="4">
        <v>0.52</v>
      </c>
      <c r="N191" s="4">
        <v>523.96813999999995</v>
      </c>
      <c r="O191" s="4">
        <v>1.2E-2</v>
      </c>
      <c r="P191" s="5"/>
      <c r="Q191" s="5"/>
      <c r="R191" s="5"/>
      <c r="S191" s="5"/>
      <c r="U191" s="4" t="s">
        <v>90</v>
      </c>
      <c r="V191" s="4">
        <v>0.9</v>
      </c>
      <c r="W191" s="4">
        <v>0.5</v>
      </c>
      <c r="X191" s="4">
        <v>0.6</v>
      </c>
      <c r="Y191" s="4">
        <v>0.3</v>
      </c>
      <c r="Z191" s="4">
        <v>418.68591300000003</v>
      </c>
      <c r="AA191" s="4">
        <v>1E-3</v>
      </c>
      <c r="AC191" s="4" t="s">
        <v>90</v>
      </c>
      <c r="AD191" s="4">
        <v>0.9</v>
      </c>
      <c r="AE191" s="4">
        <v>0.5</v>
      </c>
      <c r="AF191" s="4">
        <v>0.6</v>
      </c>
      <c r="AG191" s="4">
        <v>0.13</v>
      </c>
      <c r="AH191" s="6">
        <v>413.76531999999997</v>
      </c>
      <c r="AI191" s="4">
        <v>3.6999999999999998E-2</v>
      </c>
      <c r="AJ191" s="5"/>
      <c r="AK191" s="5"/>
      <c r="AL191" s="5"/>
      <c r="AM191" s="5"/>
      <c r="AO191" s="4" t="s">
        <v>91</v>
      </c>
      <c r="AP191" s="4">
        <v>0.9</v>
      </c>
      <c r="AQ191" s="4">
        <v>0.5</v>
      </c>
      <c r="AR191" s="4">
        <v>0.6</v>
      </c>
      <c r="AS191" s="4">
        <v>0.3</v>
      </c>
      <c r="AT191" s="6">
        <v>800.90295400000002</v>
      </c>
      <c r="AU191" s="4">
        <v>5.0000000000000001E-3</v>
      </c>
      <c r="AW191" s="4" t="s">
        <v>91</v>
      </c>
      <c r="AX191" s="4">
        <v>0.9</v>
      </c>
      <c r="AY191" s="4">
        <v>0.5</v>
      </c>
      <c r="AZ191" s="4">
        <v>0.6</v>
      </c>
      <c r="BA191" s="4">
        <v>0.5</v>
      </c>
      <c r="BB191" s="4">
        <v>867.86193800000001</v>
      </c>
      <c r="BC191" s="4">
        <v>3.5999999999999997E-2</v>
      </c>
      <c r="BD191" s="5"/>
      <c r="BE191" s="5"/>
      <c r="BF191" s="5"/>
      <c r="BG191" s="5"/>
      <c r="BI191" s="4" t="s">
        <v>91</v>
      </c>
      <c r="BJ191" s="4">
        <v>0.9</v>
      </c>
      <c r="BK191" s="4">
        <v>0.5</v>
      </c>
      <c r="BL191" s="4">
        <v>0.6</v>
      </c>
      <c r="BM191" s="4">
        <v>0.3</v>
      </c>
      <c r="BN191" s="6">
        <v>767.66961700000002</v>
      </c>
      <c r="BO191" s="4">
        <v>5.0000000000000001E-3</v>
      </c>
      <c r="BQ191" s="4" t="s">
        <v>91</v>
      </c>
      <c r="BR191" s="4">
        <v>0.9</v>
      </c>
      <c r="BS191" s="4">
        <v>0.5</v>
      </c>
      <c r="BT191" s="4">
        <v>0.6</v>
      </c>
      <c r="BU191" s="4">
        <v>0.86</v>
      </c>
      <c r="BV191" s="4">
        <v>907.62152100000003</v>
      </c>
      <c r="BW191" s="4">
        <v>1.7999999999999999E-2</v>
      </c>
      <c r="BX191" s="5"/>
      <c r="BY191" s="5"/>
      <c r="BZ191" s="5"/>
      <c r="CA191" s="5"/>
    </row>
    <row r="192" spans="1:79" x14ac:dyDescent="0.3">
      <c r="A192" s="4" t="s">
        <v>92</v>
      </c>
      <c r="B192" s="4">
        <v>0.9</v>
      </c>
      <c r="C192" s="4">
        <v>0.5</v>
      </c>
      <c r="D192" s="4">
        <v>0.6</v>
      </c>
      <c r="E192" s="4">
        <v>0.3</v>
      </c>
      <c r="F192" s="6">
        <v>568.98913600000003</v>
      </c>
      <c r="G192" s="4">
        <v>1E-3</v>
      </c>
      <c r="I192" s="4" t="s">
        <v>92</v>
      </c>
      <c r="J192" s="4">
        <v>0.9</v>
      </c>
      <c r="K192" s="4">
        <v>0.5</v>
      </c>
      <c r="L192" s="4">
        <v>0.6</v>
      </c>
      <c r="M192" s="4">
        <v>0.64</v>
      </c>
      <c r="N192" s="4">
        <v>593.558716</v>
      </c>
      <c r="O192" s="4">
        <v>2.5999999999999999E-2</v>
      </c>
      <c r="P192" s="5"/>
      <c r="Q192" s="5"/>
      <c r="R192" s="5"/>
      <c r="S192" s="5"/>
      <c r="U192" s="4" t="s">
        <v>92</v>
      </c>
      <c r="V192" s="4">
        <v>0.9</v>
      </c>
      <c r="W192" s="4">
        <v>0.5</v>
      </c>
      <c r="X192" s="4">
        <v>0.6</v>
      </c>
      <c r="Y192" s="4">
        <v>0.3</v>
      </c>
      <c r="Z192" s="6">
        <v>549.44232199999999</v>
      </c>
      <c r="AA192" s="4">
        <v>1E-3</v>
      </c>
      <c r="AC192" s="4" t="s">
        <v>92</v>
      </c>
      <c r="AD192" s="4">
        <v>0.9</v>
      </c>
      <c r="AE192" s="4">
        <v>0.5</v>
      </c>
      <c r="AF192" s="4">
        <v>0.6</v>
      </c>
      <c r="AG192" s="4">
        <v>0.96</v>
      </c>
      <c r="AH192" s="4">
        <v>609.01867700000003</v>
      </c>
      <c r="AI192" s="4">
        <v>1.4E-2</v>
      </c>
      <c r="AJ192" s="5"/>
      <c r="AK192" s="5"/>
      <c r="AL192" s="5"/>
      <c r="AM192" s="5"/>
      <c r="AO192" s="4" t="s">
        <v>93</v>
      </c>
      <c r="AP192" s="4">
        <v>0.9</v>
      </c>
      <c r="AQ192" s="4">
        <v>0.5</v>
      </c>
      <c r="AR192" s="4">
        <v>0.6</v>
      </c>
      <c r="AS192" s="4">
        <v>0.3</v>
      </c>
      <c r="AT192" s="4">
        <v>746.30920400000002</v>
      </c>
      <c r="AU192" s="4">
        <v>5.0000000000000001E-3</v>
      </c>
      <c r="AW192" s="4" t="s">
        <v>93</v>
      </c>
      <c r="AX192" s="4">
        <v>0.9</v>
      </c>
      <c r="AY192" s="4">
        <v>0.5</v>
      </c>
      <c r="AZ192" s="4">
        <v>0.6</v>
      </c>
      <c r="BA192" s="4">
        <v>0.2</v>
      </c>
      <c r="BB192" s="6">
        <v>712.68139599999995</v>
      </c>
      <c r="BC192" s="4">
        <v>2.5000000000000001E-2</v>
      </c>
      <c r="BD192" s="5"/>
      <c r="BE192" s="5"/>
      <c r="BF192" s="5"/>
      <c r="BG192" s="5"/>
      <c r="BI192" s="4" t="s">
        <v>93</v>
      </c>
      <c r="BJ192" s="4">
        <v>0.9</v>
      </c>
      <c r="BK192" s="4">
        <v>0.5</v>
      </c>
      <c r="BL192" s="4">
        <v>0.6</v>
      </c>
      <c r="BM192" s="4">
        <v>0.3</v>
      </c>
      <c r="BN192" s="6">
        <v>725.90850799999998</v>
      </c>
      <c r="BO192" s="4">
        <v>5.0000000000000001E-3</v>
      </c>
      <c r="BQ192" s="4" t="s">
        <v>93</v>
      </c>
      <c r="BR192" s="4">
        <v>0.9</v>
      </c>
      <c r="BS192" s="4">
        <v>0.5</v>
      </c>
      <c r="BT192" s="4">
        <v>0.6</v>
      </c>
      <c r="BU192" s="4">
        <v>0.56999999999999995</v>
      </c>
      <c r="BV192" s="4">
        <v>844.94104000000004</v>
      </c>
      <c r="BW192" s="4">
        <v>1.0999999999999999E-2</v>
      </c>
      <c r="BX192" s="5"/>
      <c r="BY192" s="5"/>
      <c r="BZ192" s="5"/>
      <c r="CA192" s="5"/>
    </row>
    <row r="193" spans="1:79" x14ac:dyDescent="0.3">
      <c r="A193" s="4" t="s">
        <v>94</v>
      </c>
      <c r="B193" s="4">
        <v>0.9</v>
      </c>
      <c r="C193" s="4">
        <v>0.5</v>
      </c>
      <c r="D193" s="4">
        <v>0.6</v>
      </c>
      <c r="E193" s="4">
        <v>0.3</v>
      </c>
      <c r="F193" s="6">
        <v>465.49774200000002</v>
      </c>
      <c r="G193" s="4">
        <v>1E-3</v>
      </c>
      <c r="I193" s="4" t="s">
        <v>94</v>
      </c>
      <c r="J193" s="4">
        <v>0.9</v>
      </c>
      <c r="K193" s="4">
        <v>0.5</v>
      </c>
      <c r="L193" s="4">
        <v>0.6</v>
      </c>
      <c r="M193" s="4">
        <v>7.0000000000000007E-2</v>
      </c>
      <c r="N193" s="4">
        <v>443.46627799999999</v>
      </c>
      <c r="O193" s="4">
        <v>1.0999999999999999E-2</v>
      </c>
      <c r="P193" s="5"/>
      <c r="Q193" s="5"/>
      <c r="R193" s="5"/>
      <c r="S193" s="5"/>
      <c r="U193" s="4" t="s">
        <v>94</v>
      </c>
      <c r="V193" s="4">
        <v>0.9</v>
      </c>
      <c r="W193" s="4">
        <v>0.5</v>
      </c>
      <c r="X193" s="4">
        <v>0.6</v>
      </c>
      <c r="Y193" s="4">
        <v>0.3</v>
      </c>
      <c r="Z193" s="6">
        <v>448.44101000000001</v>
      </c>
      <c r="AA193" s="4">
        <v>0</v>
      </c>
      <c r="AC193" s="4" t="s">
        <v>94</v>
      </c>
      <c r="AD193" s="4">
        <v>0.9</v>
      </c>
      <c r="AE193" s="4">
        <v>0.5</v>
      </c>
      <c r="AF193" s="4">
        <v>0.6</v>
      </c>
      <c r="AG193" s="4">
        <v>0.78</v>
      </c>
      <c r="AH193" s="4">
        <v>619.13433799999996</v>
      </c>
      <c r="AI193" s="4">
        <v>8.0000000000000002E-3</v>
      </c>
      <c r="AJ193" s="5"/>
      <c r="AK193" s="5"/>
      <c r="AL193" s="5"/>
      <c r="AM193" s="5"/>
      <c r="AO193" s="4" t="s">
        <v>95</v>
      </c>
      <c r="AP193" s="4">
        <v>0.9</v>
      </c>
      <c r="AQ193" s="4">
        <v>0.5</v>
      </c>
      <c r="AR193" s="4">
        <v>0.6</v>
      </c>
      <c r="AS193" s="4">
        <v>0.3</v>
      </c>
      <c r="AT193" s="6">
        <v>838.95019500000001</v>
      </c>
      <c r="AU193" s="4">
        <v>5.0000000000000001E-3</v>
      </c>
      <c r="AW193" s="4" t="s">
        <v>95</v>
      </c>
      <c r="AX193" s="4">
        <v>0.9</v>
      </c>
      <c r="AY193" s="4">
        <v>0.5</v>
      </c>
      <c r="AZ193" s="4">
        <v>0.6</v>
      </c>
      <c r="BA193" s="4">
        <v>0.67</v>
      </c>
      <c r="BB193" s="4">
        <v>971.44256600000006</v>
      </c>
      <c r="BC193" s="4">
        <v>0.02</v>
      </c>
      <c r="BD193" s="5"/>
      <c r="BE193" s="5"/>
      <c r="BF193" s="5"/>
      <c r="BG193" s="5"/>
      <c r="BI193" s="4" t="s">
        <v>95</v>
      </c>
      <c r="BJ193" s="4">
        <v>0.9</v>
      </c>
      <c r="BK193" s="4">
        <v>0.5</v>
      </c>
      <c r="BL193" s="4">
        <v>0.6</v>
      </c>
      <c r="BM193" s="4">
        <v>0.3</v>
      </c>
      <c r="BN193" s="4">
        <v>822.831909</v>
      </c>
      <c r="BO193" s="4">
        <v>4.0000000000000001E-3</v>
      </c>
      <c r="BQ193" s="4" t="s">
        <v>95</v>
      </c>
      <c r="BR193" s="4">
        <v>0.9</v>
      </c>
      <c r="BS193" s="4">
        <v>0.5</v>
      </c>
      <c r="BT193" s="4">
        <v>0.6</v>
      </c>
      <c r="BU193" s="4">
        <v>0.04</v>
      </c>
      <c r="BV193" s="6">
        <v>689.28527799999995</v>
      </c>
      <c r="BW193" s="4">
        <v>3.5999999999999997E-2</v>
      </c>
      <c r="BX193" s="5"/>
      <c r="BY193" s="5"/>
      <c r="BZ193" s="5"/>
      <c r="CA193" s="5"/>
    </row>
    <row r="194" spans="1:79" x14ac:dyDescent="0.3">
      <c r="A194" s="4" t="s">
        <v>96</v>
      </c>
      <c r="B194" s="4">
        <v>0.9</v>
      </c>
      <c r="C194" s="4">
        <v>0.5</v>
      </c>
      <c r="D194" s="4">
        <v>0.6</v>
      </c>
      <c r="E194" s="4">
        <v>0.3</v>
      </c>
      <c r="F194" s="4">
        <v>593.11859100000004</v>
      </c>
      <c r="G194" s="4">
        <v>1E-3</v>
      </c>
      <c r="I194" s="4" t="s">
        <v>96</v>
      </c>
      <c r="J194" s="4">
        <v>0.9</v>
      </c>
      <c r="K194" s="4">
        <v>0.5</v>
      </c>
      <c r="L194" s="4">
        <v>0.6</v>
      </c>
      <c r="M194" s="4">
        <v>0.03</v>
      </c>
      <c r="N194" s="6">
        <v>582.59161400000005</v>
      </c>
      <c r="O194" s="4">
        <v>3.4000000000000002E-2</v>
      </c>
      <c r="P194" s="5"/>
      <c r="Q194" s="5"/>
      <c r="R194" s="5"/>
      <c r="S194" s="5"/>
      <c r="U194" s="4" t="s">
        <v>96</v>
      </c>
      <c r="V194" s="4">
        <v>0.9</v>
      </c>
      <c r="W194" s="4">
        <v>0.5</v>
      </c>
      <c r="X194" s="4">
        <v>0.6</v>
      </c>
      <c r="Y194" s="4">
        <v>0.3</v>
      </c>
      <c r="Z194" s="6">
        <v>597.16168200000004</v>
      </c>
      <c r="AA194" s="4">
        <v>1E-3</v>
      </c>
      <c r="AC194" s="4" t="s">
        <v>96</v>
      </c>
      <c r="AD194" s="4">
        <v>0.9</v>
      </c>
      <c r="AE194" s="4">
        <v>0.5</v>
      </c>
      <c r="AF194" s="4">
        <v>0.6</v>
      </c>
      <c r="AG194" s="4">
        <v>0.61</v>
      </c>
      <c r="AH194" s="4">
        <v>658.49133300000005</v>
      </c>
      <c r="AI194" s="4">
        <v>2.1999999999999999E-2</v>
      </c>
      <c r="AJ194" s="5"/>
      <c r="AK194" s="5"/>
      <c r="AL194" s="5"/>
      <c r="AM194" s="5"/>
      <c r="AO194" s="4" t="s">
        <v>97</v>
      </c>
      <c r="AP194" s="4">
        <v>0.9</v>
      </c>
      <c r="AQ194" s="4">
        <v>0.5</v>
      </c>
      <c r="AR194" s="4">
        <v>0.6</v>
      </c>
      <c r="AS194" s="4">
        <v>0.3</v>
      </c>
      <c r="AT194" s="6">
        <v>953.15374799999995</v>
      </c>
      <c r="AU194" s="4">
        <v>8.0000000000000002E-3</v>
      </c>
      <c r="AW194" s="4" t="s">
        <v>97</v>
      </c>
      <c r="AX194" s="4">
        <v>0.9</v>
      </c>
      <c r="AY194" s="4">
        <v>0.5</v>
      </c>
      <c r="AZ194" s="4">
        <v>0.6</v>
      </c>
      <c r="BA194" s="4">
        <v>0.85</v>
      </c>
      <c r="BB194" s="4">
        <v>1105.315918</v>
      </c>
      <c r="BC194" s="4">
        <v>3.6999999999999998E-2</v>
      </c>
      <c r="BD194" s="5"/>
      <c r="BE194" s="5"/>
      <c r="BF194" s="5"/>
      <c r="BG194" s="5"/>
      <c r="BI194" s="4" t="s">
        <v>97</v>
      </c>
      <c r="BJ194" s="4">
        <v>0.9</v>
      </c>
      <c r="BK194" s="4">
        <v>0.5</v>
      </c>
      <c r="BL194" s="4">
        <v>0.6</v>
      </c>
      <c r="BM194" s="4">
        <v>0.3</v>
      </c>
      <c r="BN194" s="6">
        <v>948.83935499999995</v>
      </c>
      <c r="BO194" s="4">
        <v>5.0000000000000001E-3</v>
      </c>
      <c r="BQ194" s="4" t="s">
        <v>97</v>
      </c>
      <c r="BR194" s="4">
        <v>0.9</v>
      </c>
      <c r="BS194" s="4">
        <v>0.5</v>
      </c>
      <c r="BT194" s="4">
        <v>0.6</v>
      </c>
      <c r="BU194" s="4">
        <v>0.32</v>
      </c>
      <c r="BV194" s="4">
        <v>978.58758499999999</v>
      </c>
      <c r="BW194" s="4">
        <v>1.9E-2</v>
      </c>
      <c r="BX194" s="5"/>
      <c r="BY194" s="5"/>
      <c r="BZ194" s="5"/>
      <c r="CA194" s="5"/>
    </row>
    <row r="195" spans="1:79" x14ac:dyDescent="0.3">
      <c r="A195" s="4" t="s">
        <v>98</v>
      </c>
      <c r="B195" s="4">
        <v>0.9</v>
      </c>
      <c r="C195" s="4">
        <v>0.5</v>
      </c>
      <c r="D195" s="4">
        <v>0.6</v>
      </c>
      <c r="E195" s="4">
        <v>0.3</v>
      </c>
      <c r="F195" s="6">
        <v>488.36288500000001</v>
      </c>
      <c r="G195" s="4">
        <v>1E-3</v>
      </c>
      <c r="I195" s="4" t="s">
        <v>98</v>
      </c>
      <c r="J195" s="4">
        <v>0.9</v>
      </c>
      <c r="K195" s="4">
        <v>0.5</v>
      </c>
      <c r="L195" s="4">
        <v>0.6</v>
      </c>
      <c r="M195" s="4">
        <v>0.88</v>
      </c>
      <c r="N195" s="4">
        <v>614.433716</v>
      </c>
      <c r="O195" s="4">
        <v>1.9E-2</v>
      </c>
      <c r="P195" s="5"/>
      <c r="Q195" s="5"/>
      <c r="R195" s="5"/>
      <c r="S195" s="5"/>
      <c r="U195" s="4" t="s">
        <v>98</v>
      </c>
      <c r="V195" s="4">
        <v>0.9</v>
      </c>
      <c r="W195" s="4">
        <v>0.5</v>
      </c>
      <c r="X195" s="4">
        <v>0.6</v>
      </c>
      <c r="Y195" s="4">
        <v>0.3</v>
      </c>
      <c r="Z195" s="6">
        <v>479.87179600000002</v>
      </c>
      <c r="AA195" s="4">
        <v>1E-3</v>
      </c>
      <c r="AC195" s="4" t="s">
        <v>98</v>
      </c>
      <c r="AD195" s="4">
        <v>0.9</v>
      </c>
      <c r="AE195" s="4">
        <v>0.5</v>
      </c>
      <c r="AF195" s="4">
        <v>0.6</v>
      </c>
      <c r="AG195" s="4">
        <v>0.91</v>
      </c>
      <c r="AH195" s="4">
        <v>595.70581100000004</v>
      </c>
      <c r="AI195" s="4">
        <v>1.9E-2</v>
      </c>
      <c r="AJ195" s="5"/>
      <c r="AK195" s="5"/>
      <c r="AL195" s="5"/>
      <c r="AM195" s="5"/>
      <c r="AO195" s="4" t="s">
        <v>99</v>
      </c>
      <c r="AP195" s="4">
        <v>0.9</v>
      </c>
      <c r="AQ195" s="4">
        <v>0.5</v>
      </c>
      <c r="AR195" s="4">
        <v>0.6</v>
      </c>
      <c r="AS195" s="4">
        <v>0.3</v>
      </c>
      <c r="AT195" s="6">
        <v>925.23718299999996</v>
      </c>
      <c r="AU195" s="4">
        <v>6.0000000000000001E-3</v>
      </c>
      <c r="AW195" s="4" t="s">
        <v>99</v>
      </c>
      <c r="AX195" s="4">
        <v>0.9</v>
      </c>
      <c r="AY195" s="4">
        <v>0.5</v>
      </c>
      <c r="AZ195" s="4">
        <v>0.6</v>
      </c>
      <c r="BA195" s="4">
        <v>0.66</v>
      </c>
      <c r="BB195" s="4">
        <v>1087.4227289999999</v>
      </c>
      <c r="BC195" s="4">
        <v>1.0999999999999999E-2</v>
      </c>
      <c r="BD195" s="5"/>
      <c r="BE195" s="5"/>
      <c r="BF195" s="5"/>
      <c r="BG195" s="5"/>
      <c r="BI195" s="4" t="s">
        <v>99</v>
      </c>
      <c r="BJ195" s="4">
        <v>0.9</v>
      </c>
      <c r="BK195" s="4">
        <v>0.5</v>
      </c>
      <c r="BL195" s="4">
        <v>0.6</v>
      </c>
      <c r="BM195" s="4">
        <v>0.3</v>
      </c>
      <c r="BN195" s="6">
        <v>927.92285200000003</v>
      </c>
      <c r="BO195" s="4">
        <v>5.0000000000000001E-3</v>
      </c>
      <c r="BQ195" s="4" t="s">
        <v>99</v>
      </c>
      <c r="BR195" s="4">
        <v>0.9</v>
      </c>
      <c r="BS195" s="4">
        <v>0.5</v>
      </c>
      <c r="BT195" s="4">
        <v>0.6</v>
      </c>
      <c r="BU195" s="4">
        <v>0.7</v>
      </c>
      <c r="BV195" s="4">
        <v>1086.284302</v>
      </c>
      <c r="BW195" s="4">
        <v>2.5999999999999999E-2</v>
      </c>
      <c r="BX195" s="5"/>
      <c r="BY195" s="5"/>
      <c r="BZ195" s="5"/>
      <c r="CA195" s="5"/>
    </row>
    <row r="196" spans="1:79" x14ac:dyDescent="0.3">
      <c r="A196" s="4" t="s">
        <v>100</v>
      </c>
      <c r="B196" s="4">
        <v>0.9</v>
      </c>
      <c r="C196" s="4">
        <v>0.5</v>
      </c>
      <c r="D196" s="4">
        <v>0.6</v>
      </c>
      <c r="E196" s="4">
        <v>0.3</v>
      </c>
      <c r="F196" s="4">
        <v>617.54785200000003</v>
      </c>
      <c r="G196" s="4">
        <v>2E-3</v>
      </c>
      <c r="I196" s="4" t="s">
        <v>100</v>
      </c>
      <c r="J196" s="4">
        <v>0.9</v>
      </c>
      <c r="K196" s="4">
        <v>0.5</v>
      </c>
      <c r="L196" s="4">
        <v>0.6</v>
      </c>
      <c r="M196" s="4">
        <v>0.23</v>
      </c>
      <c r="N196" s="6">
        <v>615.59436000000005</v>
      </c>
      <c r="O196" s="4">
        <v>1.9E-2</v>
      </c>
      <c r="P196" s="5"/>
      <c r="Q196" s="5"/>
      <c r="R196" s="5"/>
      <c r="S196" s="5"/>
      <c r="U196" s="4" t="s">
        <v>100</v>
      </c>
      <c r="V196" s="4">
        <v>0.9</v>
      </c>
      <c r="W196" s="4">
        <v>0.5</v>
      </c>
      <c r="X196" s="4">
        <v>0.6</v>
      </c>
      <c r="Y196" s="4">
        <v>0.3</v>
      </c>
      <c r="Z196" s="6">
        <v>617.07287599999995</v>
      </c>
      <c r="AA196" s="4">
        <v>2E-3</v>
      </c>
      <c r="AC196" s="4" t="s">
        <v>100</v>
      </c>
      <c r="AD196" s="4">
        <v>0.9</v>
      </c>
      <c r="AE196" s="4">
        <v>0.5</v>
      </c>
      <c r="AF196" s="4">
        <v>0.6</v>
      </c>
      <c r="AG196" s="4">
        <v>0.84</v>
      </c>
      <c r="AH196" s="4">
        <v>704.34625200000005</v>
      </c>
      <c r="AI196" s="4">
        <v>1.4999999999999999E-2</v>
      </c>
      <c r="AJ196" s="5"/>
      <c r="AK196" s="5"/>
      <c r="AL196" s="5"/>
      <c r="AM196" s="5"/>
      <c r="AO196" s="4" t="s">
        <v>101</v>
      </c>
      <c r="AP196" s="4">
        <v>0.9</v>
      </c>
      <c r="AQ196" s="4">
        <v>0.5</v>
      </c>
      <c r="AR196" s="4">
        <v>0.6</v>
      </c>
      <c r="AS196" s="4">
        <v>0.3</v>
      </c>
      <c r="AT196" s="6">
        <v>818.27435300000002</v>
      </c>
      <c r="AU196" s="4">
        <v>8.9999999999999993E-3</v>
      </c>
      <c r="AW196" s="4" t="s">
        <v>101</v>
      </c>
      <c r="AX196" s="4">
        <v>0.9</v>
      </c>
      <c r="AY196" s="4">
        <v>0.5</v>
      </c>
      <c r="AZ196" s="4">
        <v>0.6</v>
      </c>
      <c r="BA196" s="4">
        <v>0.93</v>
      </c>
      <c r="BB196" s="4">
        <v>1077.5306399999999</v>
      </c>
      <c r="BC196" s="4">
        <v>0.03</v>
      </c>
      <c r="BD196" s="5"/>
      <c r="BE196" s="5"/>
      <c r="BF196" s="5"/>
      <c r="BG196" s="5"/>
      <c r="BI196" s="4" t="s">
        <v>101</v>
      </c>
      <c r="BJ196" s="4">
        <v>0.9</v>
      </c>
      <c r="BK196" s="4">
        <v>0.5</v>
      </c>
      <c r="BL196" s="4">
        <v>0.6</v>
      </c>
      <c r="BM196" s="4">
        <v>0.3</v>
      </c>
      <c r="BN196" s="6">
        <v>823.20129399999996</v>
      </c>
      <c r="BO196" s="4">
        <v>5.0000000000000001E-3</v>
      </c>
      <c r="BQ196" s="4" t="s">
        <v>101</v>
      </c>
      <c r="BR196" s="4">
        <v>0.9</v>
      </c>
      <c r="BS196" s="4">
        <v>0.5</v>
      </c>
      <c r="BT196" s="4">
        <v>0.6</v>
      </c>
      <c r="BU196" s="4">
        <v>0.66</v>
      </c>
      <c r="BV196" s="4">
        <v>994.84930399999996</v>
      </c>
      <c r="BW196" s="4">
        <v>3.5000000000000003E-2</v>
      </c>
      <c r="BX196" s="5"/>
      <c r="BY196" s="5"/>
      <c r="BZ196" s="5"/>
      <c r="CA196" s="5"/>
    </row>
    <row r="197" spans="1:79" x14ac:dyDescent="0.3">
      <c r="A197" s="4" t="s">
        <v>102</v>
      </c>
      <c r="B197" s="4">
        <v>0.9</v>
      </c>
      <c r="C197" s="4">
        <v>0.5</v>
      </c>
      <c r="D197" s="4">
        <v>0.6</v>
      </c>
      <c r="E197" s="4">
        <v>0.3</v>
      </c>
      <c r="F197" s="6">
        <v>609.63830600000006</v>
      </c>
      <c r="G197" s="4">
        <v>1E-3</v>
      </c>
      <c r="I197" s="4" t="s">
        <v>102</v>
      </c>
      <c r="J197" s="4">
        <v>0.9</v>
      </c>
      <c r="K197" s="4">
        <v>0.5</v>
      </c>
      <c r="L197" s="4">
        <v>0.6</v>
      </c>
      <c r="M197" s="4">
        <v>0.69</v>
      </c>
      <c r="N197" s="4">
        <v>679.76141399999995</v>
      </c>
      <c r="O197" s="4">
        <v>7.0000000000000001E-3</v>
      </c>
      <c r="P197" s="5"/>
      <c r="Q197" s="5"/>
      <c r="R197" s="5"/>
      <c r="S197" s="5"/>
      <c r="U197" s="4" t="s">
        <v>102</v>
      </c>
      <c r="V197" s="4">
        <v>0.9</v>
      </c>
      <c r="W197" s="4">
        <v>0.5</v>
      </c>
      <c r="X197" s="4">
        <v>0.6</v>
      </c>
      <c r="Y197" s="4">
        <v>0.3</v>
      </c>
      <c r="Z197" s="4">
        <v>615.96038799999997</v>
      </c>
      <c r="AA197" s="4">
        <v>1E-3</v>
      </c>
      <c r="AC197" s="4" t="s">
        <v>102</v>
      </c>
      <c r="AD197" s="4">
        <v>0.9</v>
      </c>
      <c r="AE197" s="4">
        <v>0.5</v>
      </c>
      <c r="AF197" s="4">
        <v>0.6</v>
      </c>
      <c r="AG197" s="4">
        <v>0.16</v>
      </c>
      <c r="AH197" s="6">
        <v>610.466003</v>
      </c>
      <c r="AI197" s="4">
        <v>1.4999999999999999E-2</v>
      </c>
      <c r="AJ197" s="5"/>
      <c r="AK197" s="5"/>
      <c r="AL197" s="5"/>
      <c r="AM197" s="5"/>
      <c r="AO197" s="4" t="s">
        <v>103</v>
      </c>
      <c r="AP197" s="4">
        <v>0.9</v>
      </c>
      <c r="AQ197" s="4">
        <v>0.5</v>
      </c>
      <c r="AR197" s="4">
        <v>0.6</v>
      </c>
      <c r="AS197" s="4">
        <v>0.3</v>
      </c>
      <c r="AT197" s="6">
        <v>871.10418700000002</v>
      </c>
      <c r="AU197" s="4">
        <v>6.0000000000000001E-3</v>
      </c>
      <c r="AW197" s="4" t="s">
        <v>103</v>
      </c>
      <c r="AX197" s="4">
        <v>0.9</v>
      </c>
      <c r="AY197" s="4">
        <v>0.5</v>
      </c>
      <c r="AZ197" s="4">
        <v>0.6</v>
      </c>
      <c r="BA197" s="4">
        <v>0.62</v>
      </c>
      <c r="BB197" s="4">
        <v>1013.74176</v>
      </c>
      <c r="BC197" s="4">
        <v>1.4E-2</v>
      </c>
      <c r="BD197" s="5"/>
      <c r="BE197" s="5"/>
      <c r="BF197" s="5"/>
      <c r="BG197" s="5"/>
      <c r="BI197" s="4" t="s">
        <v>103</v>
      </c>
      <c r="BJ197" s="4">
        <v>0.9</v>
      </c>
      <c r="BK197" s="4">
        <v>0.5</v>
      </c>
      <c r="BL197" s="4">
        <v>0.6</v>
      </c>
      <c r="BM197" s="4">
        <v>0.3</v>
      </c>
      <c r="BN197" s="6">
        <v>873.35632299999997</v>
      </c>
      <c r="BO197" s="4">
        <v>4.0000000000000001E-3</v>
      </c>
      <c r="BQ197" s="4" t="s">
        <v>103</v>
      </c>
      <c r="BR197" s="4">
        <v>0.9</v>
      </c>
      <c r="BS197" s="4">
        <v>0.5</v>
      </c>
      <c r="BT197" s="4">
        <v>0.6</v>
      </c>
      <c r="BU197" s="4">
        <v>0.54</v>
      </c>
      <c r="BV197" s="4">
        <v>978.80773899999997</v>
      </c>
      <c r="BW197" s="4">
        <v>1.7999999999999999E-2</v>
      </c>
      <c r="BX197" s="5"/>
      <c r="BY197" s="5"/>
      <c r="BZ197" s="5"/>
      <c r="CA197" s="5"/>
    </row>
    <row r="198" spans="1:79" x14ac:dyDescent="0.3">
      <c r="A198" s="4" t="s">
        <v>104</v>
      </c>
      <c r="B198" s="4">
        <v>0.9</v>
      </c>
      <c r="C198" s="4">
        <v>0.5</v>
      </c>
      <c r="D198" s="4">
        <v>0.6</v>
      </c>
      <c r="E198" s="4">
        <v>0.3</v>
      </c>
      <c r="F198" s="6">
        <v>602.97442599999999</v>
      </c>
      <c r="G198" s="4">
        <v>2E-3</v>
      </c>
      <c r="I198" s="4" t="s">
        <v>104</v>
      </c>
      <c r="J198" s="4">
        <v>0.9</v>
      </c>
      <c r="K198" s="4">
        <v>0.5</v>
      </c>
      <c r="L198" s="4">
        <v>0.6</v>
      </c>
      <c r="M198" s="4">
        <v>0.96</v>
      </c>
      <c r="N198" s="4">
        <v>710.950378</v>
      </c>
      <c r="O198" s="4">
        <v>1.2999999999999999E-2</v>
      </c>
      <c r="P198" s="5"/>
      <c r="Q198" s="5"/>
      <c r="R198" s="5"/>
      <c r="S198" s="5"/>
      <c r="U198" s="4" t="s">
        <v>104</v>
      </c>
      <c r="V198" s="4">
        <v>0.9</v>
      </c>
      <c r="W198" s="4">
        <v>0.5</v>
      </c>
      <c r="X198" s="4">
        <v>0.6</v>
      </c>
      <c r="Y198" s="4">
        <v>0.3</v>
      </c>
      <c r="Z198" s="6">
        <v>593.96154799999999</v>
      </c>
      <c r="AA198" s="4">
        <v>1E-3</v>
      </c>
      <c r="AC198" s="4" t="s">
        <v>104</v>
      </c>
      <c r="AD198" s="4">
        <v>0.9</v>
      </c>
      <c r="AE198" s="4">
        <v>0.5</v>
      </c>
      <c r="AF198" s="4">
        <v>0.6</v>
      </c>
      <c r="AG198" s="4">
        <v>0.91</v>
      </c>
      <c r="AH198" s="4">
        <v>711.36596699999996</v>
      </c>
      <c r="AI198" s="4">
        <v>1.9E-2</v>
      </c>
      <c r="AJ198" s="5"/>
      <c r="AK198" s="5"/>
      <c r="AL198" s="5"/>
      <c r="AM198" s="5"/>
      <c r="AO198" s="4" t="s">
        <v>105</v>
      </c>
      <c r="AP198" s="4">
        <v>0.9</v>
      </c>
      <c r="AQ198" s="4">
        <v>0.5</v>
      </c>
      <c r="AR198" s="4">
        <v>0.6</v>
      </c>
      <c r="AS198" s="4">
        <v>0.3</v>
      </c>
      <c r="AT198" s="6">
        <v>955.95324700000003</v>
      </c>
      <c r="AU198" s="4">
        <v>8.9999999999999993E-3</v>
      </c>
      <c r="AW198" s="4" t="s">
        <v>105</v>
      </c>
      <c r="AX198" s="4">
        <v>0.9</v>
      </c>
      <c r="AY198" s="4">
        <v>0.5</v>
      </c>
      <c r="AZ198" s="4">
        <v>0.6</v>
      </c>
      <c r="BA198" s="4">
        <v>0.56999999999999995</v>
      </c>
      <c r="BB198" s="4">
        <v>1106.1168210000001</v>
      </c>
      <c r="BC198" s="4">
        <v>0.02</v>
      </c>
      <c r="BD198" s="5"/>
      <c r="BE198" s="5"/>
      <c r="BF198" s="5"/>
      <c r="BG198" s="5"/>
      <c r="BI198" s="4" t="s">
        <v>105</v>
      </c>
      <c r="BJ198" s="4">
        <v>0.9</v>
      </c>
      <c r="BK198" s="4">
        <v>0.5</v>
      </c>
      <c r="BL198" s="4">
        <v>0.6</v>
      </c>
      <c r="BM198" s="4">
        <v>0.3</v>
      </c>
      <c r="BN198" s="6">
        <v>970.43884300000002</v>
      </c>
      <c r="BO198" s="4">
        <v>8.0000000000000002E-3</v>
      </c>
      <c r="BQ198" s="4" t="s">
        <v>105</v>
      </c>
      <c r="BR198" s="4">
        <v>0.9</v>
      </c>
      <c r="BS198" s="4">
        <v>0.5</v>
      </c>
      <c r="BT198" s="4">
        <v>0.6</v>
      </c>
      <c r="BU198" s="4">
        <v>0.75</v>
      </c>
      <c r="BV198" s="4">
        <v>1120.5943600000001</v>
      </c>
      <c r="BW198" s="4">
        <v>4.4999999999999998E-2</v>
      </c>
      <c r="BX198" s="5"/>
      <c r="BY198" s="5"/>
      <c r="BZ198" s="5"/>
      <c r="CA198" s="5"/>
    </row>
    <row r="199" spans="1:79" x14ac:dyDescent="0.3">
      <c r="A199" s="4" t="s">
        <v>106</v>
      </c>
      <c r="B199" s="4">
        <v>0.9</v>
      </c>
      <c r="C199" s="4">
        <v>0.5</v>
      </c>
      <c r="D199" s="4">
        <v>0.6</v>
      </c>
      <c r="E199" s="4">
        <v>0.3</v>
      </c>
      <c r="F199" s="6">
        <v>558.839966</v>
      </c>
      <c r="G199" s="4">
        <v>1E-3</v>
      </c>
      <c r="I199" s="4" t="s">
        <v>106</v>
      </c>
      <c r="J199" s="4">
        <v>0.9</v>
      </c>
      <c r="K199" s="4">
        <v>0.5</v>
      </c>
      <c r="L199" s="4">
        <v>0.6</v>
      </c>
      <c r="M199" s="4">
        <v>0.94</v>
      </c>
      <c r="N199" s="4">
        <v>657.91296399999999</v>
      </c>
      <c r="O199" s="4">
        <v>2.1000000000000001E-2</v>
      </c>
      <c r="P199" s="5"/>
      <c r="Q199" s="5"/>
      <c r="R199" s="5"/>
      <c r="S199" s="5"/>
      <c r="U199" s="4" t="s">
        <v>106</v>
      </c>
      <c r="V199" s="4">
        <v>0.9</v>
      </c>
      <c r="W199" s="4">
        <v>0.5</v>
      </c>
      <c r="X199" s="4">
        <v>0.6</v>
      </c>
      <c r="Y199" s="4">
        <v>0.3</v>
      </c>
      <c r="Z199" s="6">
        <v>557.47955300000001</v>
      </c>
      <c r="AA199" s="4">
        <v>1E-3</v>
      </c>
      <c r="AC199" s="4" t="s">
        <v>106</v>
      </c>
      <c r="AD199" s="4">
        <v>0.9</v>
      </c>
      <c r="AE199" s="4">
        <v>0.5</v>
      </c>
      <c r="AF199" s="4">
        <v>0.6</v>
      </c>
      <c r="AG199" s="4">
        <v>0.38</v>
      </c>
      <c r="AH199" s="4">
        <v>587.53161599999999</v>
      </c>
      <c r="AI199" s="4">
        <v>8.9999999999999993E-3</v>
      </c>
      <c r="AJ199" s="5"/>
      <c r="AK199" s="5"/>
      <c r="AL199" s="5"/>
      <c r="AM199" s="5"/>
      <c r="AO199" s="4" t="s">
        <v>107</v>
      </c>
      <c r="AP199" s="4">
        <v>0.9</v>
      </c>
      <c r="AQ199" s="4">
        <v>0.5</v>
      </c>
      <c r="AR199" s="4">
        <v>0.6</v>
      </c>
      <c r="AS199" s="4">
        <v>0.3</v>
      </c>
      <c r="AT199" s="4">
        <v>1041.149658</v>
      </c>
      <c r="AU199" s="4">
        <v>8.0000000000000002E-3</v>
      </c>
      <c r="AW199" s="4" t="s">
        <v>107</v>
      </c>
      <c r="AX199" s="4">
        <v>0.9</v>
      </c>
      <c r="AY199" s="4">
        <v>0.5</v>
      </c>
      <c r="AZ199" s="4">
        <v>0.6</v>
      </c>
      <c r="BA199" s="4">
        <v>0.04</v>
      </c>
      <c r="BB199" s="6">
        <v>889.76611300000002</v>
      </c>
      <c r="BC199" s="4">
        <v>2.3E-2</v>
      </c>
      <c r="BD199" s="5"/>
      <c r="BE199" s="5"/>
      <c r="BF199" s="5"/>
      <c r="BG199" s="5"/>
      <c r="BI199" s="4" t="s">
        <v>107</v>
      </c>
      <c r="BJ199" s="4">
        <v>0.9</v>
      </c>
      <c r="BK199" s="4">
        <v>0.5</v>
      </c>
      <c r="BL199" s="4">
        <v>0.6</v>
      </c>
      <c r="BM199" s="4">
        <v>0.3</v>
      </c>
      <c r="BN199" s="6">
        <v>1027.6942140000001</v>
      </c>
      <c r="BO199" s="4">
        <v>5.0000000000000001E-3</v>
      </c>
      <c r="BQ199" s="4" t="s">
        <v>107</v>
      </c>
      <c r="BR199" s="4">
        <v>0.9</v>
      </c>
      <c r="BS199" s="4">
        <v>0.5</v>
      </c>
      <c r="BT199" s="4">
        <v>0.6</v>
      </c>
      <c r="BU199" s="4">
        <v>0.93</v>
      </c>
      <c r="BV199" s="4">
        <v>1195.296875</v>
      </c>
      <c r="BW199" s="4">
        <v>1.4E-2</v>
      </c>
      <c r="BX199" s="5"/>
      <c r="BY199" s="5"/>
      <c r="BZ199" s="5"/>
      <c r="CA199" s="5"/>
    </row>
    <row r="200" spans="1:79" x14ac:dyDescent="0.3">
      <c r="A200" s="4" t="s">
        <v>108</v>
      </c>
      <c r="B200" s="4">
        <v>0.9</v>
      </c>
      <c r="C200" s="4">
        <v>0.5</v>
      </c>
      <c r="D200" s="4">
        <v>0.6</v>
      </c>
      <c r="E200" s="4">
        <v>0.3</v>
      </c>
      <c r="F200" s="6">
        <v>605.77020300000004</v>
      </c>
      <c r="G200" s="4">
        <v>1E-3</v>
      </c>
      <c r="I200" s="4" t="s">
        <v>108</v>
      </c>
      <c r="J200" s="4">
        <v>0.9</v>
      </c>
      <c r="K200" s="4">
        <v>0.5</v>
      </c>
      <c r="L200" s="4">
        <v>0.6</v>
      </c>
      <c r="M200" s="4">
        <v>0.17</v>
      </c>
      <c r="N200" s="4">
        <v>628.95452899999998</v>
      </c>
      <c r="O200" s="4">
        <v>0.03</v>
      </c>
      <c r="P200" s="5"/>
      <c r="Q200" s="5"/>
      <c r="R200" s="5"/>
      <c r="S200" s="5"/>
      <c r="U200" s="4" t="s">
        <v>108</v>
      </c>
      <c r="V200" s="4">
        <v>0.9</v>
      </c>
      <c r="W200" s="4">
        <v>0.5</v>
      </c>
      <c r="X200" s="4">
        <v>0.6</v>
      </c>
      <c r="Y200" s="4">
        <v>0.3</v>
      </c>
      <c r="Z200" s="6">
        <v>595.51824999999997</v>
      </c>
      <c r="AA200" s="4">
        <v>1E-3</v>
      </c>
      <c r="AC200" s="4" t="s">
        <v>108</v>
      </c>
      <c r="AD200" s="4">
        <v>0.9</v>
      </c>
      <c r="AE200" s="4">
        <v>0.5</v>
      </c>
      <c r="AF200" s="4">
        <v>0.6</v>
      </c>
      <c r="AG200" s="4">
        <v>0.56000000000000005</v>
      </c>
      <c r="AH200" s="4">
        <v>630.956909</v>
      </c>
      <c r="AI200" s="4">
        <v>8.9999999999999993E-3</v>
      </c>
      <c r="AJ200" s="5"/>
      <c r="AK200" s="5"/>
      <c r="AL200" s="5"/>
      <c r="AM200" s="5"/>
      <c r="AO200" s="4" t="s">
        <v>109</v>
      </c>
      <c r="AP200" s="4">
        <v>0.9</v>
      </c>
      <c r="AQ200" s="4">
        <v>0.5</v>
      </c>
      <c r="AR200" s="4">
        <v>0.6</v>
      </c>
      <c r="AS200" s="4">
        <v>0.3</v>
      </c>
      <c r="AT200" s="6">
        <v>887.81640600000003</v>
      </c>
      <c r="AU200" s="4">
        <v>6.0000000000000001E-3</v>
      </c>
      <c r="AW200" s="4" t="s">
        <v>109</v>
      </c>
      <c r="AX200" s="4">
        <v>0.9</v>
      </c>
      <c r="AY200" s="4">
        <v>0.5</v>
      </c>
      <c r="AZ200" s="4">
        <v>0.6</v>
      </c>
      <c r="BA200" s="4">
        <v>0.71</v>
      </c>
      <c r="BB200" s="4">
        <v>1093.1717530000001</v>
      </c>
      <c r="BC200" s="4">
        <v>2.8000000000000001E-2</v>
      </c>
      <c r="BD200" s="5"/>
      <c r="BE200" s="5"/>
      <c r="BF200" s="5"/>
      <c r="BG200" s="5"/>
      <c r="BI200" s="4" t="s">
        <v>109</v>
      </c>
      <c r="BJ200" s="4">
        <v>0.9</v>
      </c>
      <c r="BK200" s="4">
        <v>0.5</v>
      </c>
      <c r="BL200" s="4">
        <v>0.6</v>
      </c>
      <c r="BM200" s="4">
        <v>0.3</v>
      </c>
      <c r="BN200" s="6">
        <v>903.18322799999999</v>
      </c>
      <c r="BO200" s="4">
        <v>5.0000000000000001E-3</v>
      </c>
      <c r="BQ200" s="4" t="s">
        <v>109</v>
      </c>
      <c r="BR200" s="4">
        <v>0.9</v>
      </c>
      <c r="BS200" s="4">
        <v>0.5</v>
      </c>
      <c r="BT200" s="4">
        <v>0.6</v>
      </c>
      <c r="BU200" s="4">
        <v>0.97</v>
      </c>
      <c r="BV200" s="4">
        <v>1146.091919</v>
      </c>
      <c r="BW200" s="4">
        <v>3.1E-2</v>
      </c>
      <c r="BX200" s="5"/>
      <c r="BY200" s="5"/>
      <c r="BZ200" s="5"/>
      <c r="CA200" s="5"/>
    </row>
    <row r="201" spans="1:79" x14ac:dyDescent="0.3">
      <c r="A201" s="4" t="s">
        <v>110</v>
      </c>
      <c r="B201" s="4">
        <v>0.9</v>
      </c>
      <c r="C201" s="4">
        <v>0.5</v>
      </c>
      <c r="D201" s="4">
        <v>0.6</v>
      </c>
      <c r="E201" s="4">
        <v>0.3</v>
      </c>
      <c r="F201" s="6">
        <v>603.15508999999997</v>
      </c>
      <c r="G201" s="4">
        <v>1E-3</v>
      </c>
      <c r="I201" s="4" t="s">
        <v>110</v>
      </c>
      <c r="J201" s="4">
        <v>0.9</v>
      </c>
      <c r="K201" s="4">
        <v>0.5</v>
      </c>
      <c r="L201" s="4">
        <v>0.6</v>
      </c>
      <c r="M201" s="4">
        <v>0.56000000000000005</v>
      </c>
      <c r="N201" s="4">
        <v>660.99969499999997</v>
      </c>
      <c r="O201" s="4">
        <v>2.8000000000000001E-2</v>
      </c>
      <c r="P201" s="5"/>
      <c r="Q201" s="5"/>
      <c r="R201" s="5"/>
      <c r="S201" s="5"/>
      <c r="U201" s="4" t="s">
        <v>110</v>
      </c>
      <c r="V201" s="4">
        <v>0.9</v>
      </c>
      <c r="W201" s="4">
        <v>0.5</v>
      </c>
      <c r="X201" s="4">
        <v>0.6</v>
      </c>
      <c r="Y201" s="4">
        <v>0.3</v>
      </c>
      <c r="Z201" s="6">
        <v>592.05535899999995</v>
      </c>
      <c r="AA201" s="4">
        <v>1E-3</v>
      </c>
      <c r="AC201" s="4" t="s">
        <v>110</v>
      </c>
      <c r="AD201" s="4">
        <v>0.9</v>
      </c>
      <c r="AE201" s="4">
        <v>0.5</v>
      </c>
      <c r="AF201" s="4">
        <v>0.6</v>
      </c>
      <c r="AG201" s="4">
        <v>0.72</v>
      </c>
      <c r="AH201" s="4">
        <v>650.39660600000002</v>
      </c>
      <c r="AI201" s="4">
        <v>2.5999999999999999E-2</v>
      </c>
      <c r="AJ201" s="5"/>
      <c r="AK201" s="5"/>
      <c r="AL201" s="5"/>
      <c r="AM201" s="5"/>
      <c r="AO201" s="4" t="s">
        <v>111</v>
      </c>
      <c r="AP201" s="4">
        <v>0.9</v>
      </c>
      <c r="AQ201" s="4">
        <v>0.5</v>
      </c>
      <c r="AR201" s="4">
        <v>0.6</v>
      </c>
      <c r="AS201" s="4">
        <v>0.3</v>
      </c>
      <c r="AT201" s="6">
        <v>995.270081</v>
      </c>
      <c r="AU201" s="4">
        <v>8.9999999999999993E-3</v>
      </c>
      <c r="AW201" s="4" t="s">
        <v>111</v>
      </c>
      <c r="AX201" s="4">
        <v>0.9</v>
      </c>
      <c r="AY201" s="4">
        <v>0.5</v>
      </c>
      <c r="AZ201" s="4">
        <v>0.6</v>
      </c>
      <c r="BA201" s="4">
        <v>0.94</v>
      </c>
      <c r="BB201" s="4">
        <v>1234.536255</v>
      </c>
      <c r="BC201" s="4">
        <v>0.02</v>
      </c>
      <c r="BD201" s="5"/>
      <c r="BE201" s="5"/>
      <c r="BF201" s="5"/>
      <c r="BG201" s="5"/>
      <c r="BI201" s="4" t="s">
        <v>111</v>
      </c>
      <c r="BJ201" s="4">
        <v>0.9</v>
      </c>
      <c r="BK201" s="4">
        <v>0.5</v>
      </c>
      <c r="BL201" s="4">
        <v>0.6</v>
      </c>
      <c r="BM201" s="4">
        <v>0.3</v>
      </c>
      <c r="BN201" s="4">
        <v>996.55578600000001</v>
      </c>
      <c r="BO201" s="4">
        <v>5.0000000000000001E-3</v>
      </c>
      <c r="BQ201" s="4" t="s">
        <v>111</v>
      </c>
      <c r="BR201" s="4">
        <v>0.9</v>
      </c>
      <c r="BS201" s="4">
        <v>0.5</v>
      </c>
      <c r="BT201" s="4">
        <v>0.6</v>
      </c>
      <c r="BU201" s="4">
        <v>0.19</v>
      </c>
      <c r="BV201" s="6">
        <v>945.81933600000002</v>
      </c>
      <c r="BW201" s="4">
        <v>3.1E-2</v>
      </c>
      <c r="BX201" s="5"/>
      <c r="BY201" s="5"/>
      <c r="BZ201" s="5"/>
      <c r="CA201" s="5"/>
    </row>
    <row r="202" spans="1:79" x14ac:dyDescent="0.3">
      <c r="A202" s="4" t="s">
        <v>112</v>
      </c>
      <c r="B202" s="4">
        <v>0.9</v>
      </c>
      <c r="C202" s="4">
        <v>0.5</v>
      </c>
      <c r="D202" s="4">
        <v>0.6</v>
      </c>
      <c r="E202" s="4">
        <v>0.3</v>
      </c>
      <c r="F202" s="6">
        <v>473.782532</v>
      </c>
      <c r="G202" s="4">
        <v>1E-3</v>
      </c>
      <c r="I202" s="4" t="s">
        <v>112</v>
      </c>
      <c r="J202" s="4">
        <v>0.9</v>
      </c>
      <c r="K202" s="4">
        <v>0.5</v>
      </c>
      <c r="L202" s="4">
        <v>0.6</v>
      </c>
      <c r="M202" s="4">
        <v>0.85</v>
      </c>
      <c r="N202" s="4">
        <v>581.31005900000002</v>
      </c>
      <c r="O202" s="4">
        <v>1.4999999999999999E-2</v>
      </c>
      <c r="P202" s="5"/>
      <c r="Q202" s="5"/>
      <c r="R202" s="5"/>
      <c r="S202" s="5"/>
      <c r="U202" s="4" t="s">
        <v>112</v>
      </c>
      <c r="V202" s="4">
        <v>0.9</v>
      </c>
      <c r="W202" s="4">
        <v>0.5</v>
      </c>
      <c r="X202" s="4">
        <v>0.6</v>
      </c>
      <c r="Y202" s="4">
        <v>0.3</v>
      </c>
      <c r="Z202" s="6">
        <v>462.56518599999998</v>
      </c>
      <c r="AA202" s="4">
        <v>0</v>
      </c>
      <c r="AC202" s="4" t="s">
        <v>112</v>
      </c>
      <c r="AD202" s="4">
        <v>0.9</v>
      </c>
      <c r="AE202" s="4">
        <v>0.5</v>
      </c>
      <c r="AF202" s="4">
        <v>0.6</v>
      </c>
      <c r="AG202" s="4">
        <v>0.59</v>
      </c>
      <c r="AH202" s="4">
        <v>529.66339100000005</v>
      </c>
      <c r="AI202" s="4">
        <v>1.7000000000000001E-2</v>
      </c>
      <c r="AJ202" s="5"/>
      <c r="AK202" s="5"/>
      <c r="AL202" s="5"/>
      <c r="AM202" s="5"/>
      <c r="AO202" s="4" t="s">
        <v>113</v>
      </c>
      <c r="AP202" s="4">
        <v>0.9</v>
      </c>
      <c r="AQ202" s="4">
        <v>0.5</v>
      </c>
      <c r="AR202" s="4">
        <v>0.6</v>
      </c>
      <c r="AS202" s="4">
        <v>0.3</v>
      </c>
      <c r="AT202" s="4">
        <v>897.05621299999996</v>
      </c>
      <c r="AU202" s="4">
        <v>5.0000000000000001E-3</v>
      </c>
      <c r="AW202" s="4" t="s">
        <v>113</v>
      </c>
      <c r="AX202" s="4">
        <v>0.9</v>
      </c>
      <c r="AY202" s="4">
        <v>0.5</v>
      </c>
      <c r="AZ202" s="4">
        <v>0.6</v>
      </c>
      <c r="BA202" s="4">
        <v>0.19</v>
      </c>
      <c r="BB202" s="6">
        <v>876.32372999999995</v>
      </c>
      <c r="BC202" s="4">
        <v>1.7999999999999999E-2</v>
      </c>
      <c r="BD202" s="5"/>
      <c r="BE202" s="5"/>
      <c r="BF202" s="5"/>
      <c r="BG202" s="5"/>
      <c r="BI202" s="4" t="s">
        <v>113</v>
      </c>
      <c r="BJ202" s="4">
        <v>0.9</v>
      </c>
      <c r="BK202" s="4">
        <v>0.5</v>
      </c>
      <c r="BL202" s="4">
        <v>0.6</v>
      </c>
      <c r="BM202" s="4">
        <v>0.3</v>
      </c>
      <c r="BN202" s="4">
        <v>921.22875999999997</v>
      </c>
      <c r="BO202" s="4">
        <v>4.0000000000000001E-3</v>
      </c>
      <c r="BQ202" s="4" t="s">
        <v>113</v>
      </c>
      <c r="BR202" s="4">
        <v>0.9</v>
      </c>
      <c r="BS202" s="4">
        <v>0.5</v>
      </c>
      <c r="BT202" s="4">
        <v>0.6</v>
      </c>
      <c r="BU202" s="4">
        <v>0.19</v>
      </c>
      <c r="BV202" s="6">
        <v>868.96447799999999</v>
      </c>
      <c r="BW202" s="4">
        <v>2.8000000000000001E-2</v>
      </c>
      <c r="BX202" s="5"/>
      <c r="BY202" s="5"/>
      <c r="BZ202" s="5"/>
      <c r="CA202" s="5"/>
    </row>
    <row r="203" spans="1:79" x14ac:dyDescent="0.3">
      <c r="A203" s="4" t="s">
        <v>114</v>
      </c>
      <c r="B203" s="4">
        <v>0.9</v>
      </c>
      <c r="C203" s="4">
        <v>0.5</v>
      </c>
      <c r="D203" s="4">
        <v>0.6</v>
      </c>
      <c r="E203" s="4">
        <v>0.3</v>
      </c>
      <c r="F203" s="4">
        <v>602.31042500000001</v>
      </c>
      <c r="G203" s="4">
        <v>1E-3</v>
      </c>
      <c r="I203" s="4" t="s">
        <v>114</v>
      </c>
      <c r="J203" s="4">
        <v>0.9</v>
      </c>
      <c r="K203" s="4">
        <v>0.5</v>
      </c>
      <c r="L203" s="4">
        <v>0.6</v>
      </c>
      <c r="M203" s="4">
        <v>0.66</v>
      </c>
      <c r="N203" s="4">
        <v>683.668091</v>
      </c>
      <c r="O203" s="4">
        <v>1.7000000000000001E-2</v>
      </c>
      <c r="P203" s="5"/>
      <c r="Q203" s="5"/>
      <c r="R203" s="5"/>
      <c r="S203" s="5"/>
      <c r="U203" s="4" t="s">
        <v>114</v>
      </c>
      <c r="V203" s="4">
        <v>0.9</v>
      </c>
      <c r="W203" s="4">
        <v>0.5</v>
      </c>
      <c r="X203" s="4">
        <v>0.6</v>
      </c>
      <c r="Y203" s="4">
        <v>0.3</v>
      </c>
      <c r="Z203" s="6">
        <v>590.68158000000005</v>
      </c>
      <c r="AA203" s="4">
        <v>2E-3</v>
      </c>
      <c r="AC203" s="4" t="s">
        <v>114</v>
      </c>
      <c r="AD203" s="4">
        <v>0.9</v>
      </c>
      <c r="AE203" s="4">
        <v>0.5</v>
      </c>
      <c r="AF203" s="4">
        <v>0.6</v>
      </c>
      <c r="AG203" s="4">
        <v>0.83</v>
      </c>
      <c r="AH203" s="4">
        <v>711.56848100000002</v>
      </c>
      <c r="AI203" s="4">
        <v>3.1E-2</v>
      </c>
      <c r="AJ203" s="5"/>
      <c r="AK203" s="5"/>
      <c r="AL203" s="5"/>
      <c r="AM203" s="5"/>
      <c r="AO203" s="4" t="s">
        <v>115</v>
      </c>
      <c r="AP203" s="4">
        <v>0.9</v>
      </c>
      <c r="AQ203" s="4">
        <v>0.5</v>
      </c>
      <c r="AR203" s="4">
        <v>0.6</v>
      </c>
      <c r="AS203" s="4">
        <v>0.3</v>
      </c>
      <c r="AT203" s="6">
        <v>1016.844543</v>
      </c>
      <c r="AU203" s="4">
        <v>1.4E-2</v>
      </c>
      <c r="AW203" s="4" t="s">
        <v>115</v>
      </c>
      <c r="AX203" s="4">
        <v>0.9</v>
      </c>
      <c r="AY203" s="4">
        <v>0.5</v>
      </c>
      <c r="AZ203" s="4">
        <v>0.6</v>
      </c>
      <c r="BA203" s="4">
        <v>0.98</v>
      </c>
      <c r="BB203" s="4">
        <v>1352.8625489999999</v>
      </c>
      <c r="BC203" s="4">
        <v>1.7999999999999999E-2</v>
      </c>
      <c r="BD203" s="5"/>
      <c r="BE203" s="5"/>
      <c r="BF203" s="5"/>
      <c r="BG203" s="5"/>
      <c r="BI203" s="4" t="s">
        <v>115</v>
      </c>
      <c r="BJ203" s="4">
        <v>0.9</v>
      </c>
      <c r="BK203" s="4">
        <v>0.5</v>
      </c>
      <c r="BL203" s="4">
        <v>0.6</v>
      </c>
      <c r="BM203" s="4">
        <v>0.3</v>
      </c>
      <c r="BN203" s="4">
        <v>1031.8939210000001</v>
      </c>
      <c r="BO203" s="4">
        <v>7.0000000000000001E-3</v>
      </c>
      <c r="BQ203" s="4" t="s">
        <v>115</v>
      </c>
      <c r="BR203" s="4">
        <v>0.9</v>
      </c>
      <c r="BS203" s="4">
        <v>0.5</v>
      </c>
      <c r="BT203" s="4">
        <v>0.6</v>
      </c>
      <c r="BU203" s="4">
        <v>0.25</v>
      </c>
      <c r="BV203" s="6">
        <v>996.17864999999995</v>
      </c>
      <c r="BW203" s="4">
        <v>2.1999999999999999E-2</v>
      </c>
      <c r="BX203" s="5"/>
      <c r="BY203" s="5"/>
      <c r="BZ203" s="5"/>
      <c r="CA203" s="5"/>
    </row>
    <row r="204" spans="1:79" x14ac:dyDescent="0.3">
      <c r="A204" s="4" t="s">
        <v>116</v>
      </c>
      <c r="B204" s="4">
        <v>0.9</v>
      </c>
      <c r="C204" s="4">
        <v>0.5</v>
      </c>
      <c r="D204" s="4">
        <v>0.6</v>
      </c>
      <c r="E204" s="4">
        <v>0.3</v>
      </c>
      <c r="F204" s="6">
        <v>644.91931199999999</v>
      </c>
      <c r="G204" s="4">
        <v>1E-3</v>
      </c>
      <c r="I204" s="4" t="s">
        <v>116</v>
      </c>
      <c r="J204" s="4">
        <v>0.9</v>
      </c>
      <c r="K204" s="4">
        <v>0.5</v>
      </c>
      <c r="L204" s="4">
        <v>0.6</v>
      </c>
      <c r="M204" s="4">
        <v>0.87</v>
      </c>
      <c r="N204" s="4">
        <v>718.93841599999996</v>
      </c>
      <c r="O204" s="4">
        <v>0.03</v>
      </c>
      <c r="P204" s="5"/>
      <c r="Q204" s="5"/>
      <c r="R204" s="5"/>
      <c r="S204" s="5"/>
      <c r="U204" s="4" t="s">
        <v>116</v>
      </c>
      <c r="V204" s="4">
        <v>0.9</v>
      </c>
      <c r="W204" s="4">
        <v>0.5</v>
      </c>
      <c r="X204" s="4">
        <v>0.6</v>
      </c>
      <c r="Y204" s="4">
        <v>0.3</v>
      </c>
      <c r="Z204" s="6">
        <v>643.04742399999998</v>
      </c>
      <c r="AA204" s="4">
        <v>1E-3</v>
      </c>
      <c r="AC204" s="4" t="s">
        <v>116</v>
      </c>
      <c r="AD204" s="4">
        <v>0.9</v>
      </c>
      <c r="AE204" s="4">
        <v>0.5</v>
      </c>
      <c r="AF204" s="4">
        <v>0.6</v>
      </c>
      <c r="AG204" s="4">
        <v>0.61</v>
      </c>
      <c r="AH204" s="4">
        <v>693.97894299999996</v>
      </c>
      <c r="AI204" s="4">
        <v>1.7999999999999999E-2</v>
      </c>
      <c r="AJ204" s="5"/>
      <c r="AK204" s="5"/>
      <c r="AL204" s="5"/>
      <c r="AM204" s="5"/>
      <c r="AO204" s="4" t="s">
        <v>117</v>
      </c>
      <c r="AP204" s="4">
        <v>0.9</v>
      </c>
      <c r="AQ204" s="4">
        <v>0.5</v>
      </c>
      <c r="AR204" s="4">
        <v>0.6</v>
      </c>
      <c r="AS204" s="4">
        <v>0.3</v>
      </c>
      <c r="AT204" s="4">
        <v>972.33142099999998</v>
      </c>
      <c r="AU204" s="4">
        <v>5.0000000000000001E-3</v>
      </c>
      <c r="AW204" s="4" t="s">
        <v>117</v>
      </c>
      <c r="AX204" s="4">
        <v>0.9</v>
      </c>
      <c r="AY204" s="4">
        <v>0.5</v>
      </c>
      <c r="AZ204" s="4">
        <v>0.6</v>
      </c>
      <c r="BA204" s="4">
        <v>0.3</v>
      </c>
      <c r="BB204" s="6">
        <v>968.43627900000001</v>
      </c>
      <c r="BC204" s="4">
        <v>2.4E-2</v>
      </c>
      <c r="BD204" s="5"/>
      <c r="BE204" s="5"/>
      <c r="BF204" s="5"/>
      <c r="BG204" s="5"/>
      <c r="BI204" s="4" t="s">
        <v>117</v>
      </c>
      <c r="BJ204" s="4">
        <v>0.9</v>
      </c>
      <c r="BK204" s="4">
        <v>0.5</v>
      </c>
      <c r="BL204" s="4">
        <v>0.6</v>
      </c>
      <c r="BM204" s="4">
        <v>0.3</v>
      </c>
      <c r="BN204" s="6">
        <v>969.48944100000006</v>
      </c>
      <c r="BO204" s="4">
        <v>5.0000000000000001E-3</v>
      </c>
      <c r="BQ204" s="4" t="s">
        <v>117</v>
      </c>
      <c r="BR204" s="4">
        <v>0.9</v>
      </c>
      <c r="BS204" s="4">
        <v>0.5</v>
      </c>
      <c r="BT204" s="4">
        <v>0.6</v>
      </c>
      <c r="BU204" s="4">
        <v>0.72</v>
      </c>
      <c r="BV204" s="4">
        <v>1128.2479249999999</v>
      </c>
      <c r="BW204" s="4">
        <v>2.1999999999999999E-2</v>
      </c>
      <c r="BX204" s="5"/>
      <c r="BY204" s="5"/>
      <c r="BZ204" s="5"/>
      <c r="CA204" s="5"/>
    </row>
    <row r="205" spans="1:79" x14ac:dyDescent="0.3">
      <c r="A205" s="4" t="s">
        <v>118</v>
      </c>
      <c r="B205" s="4">
        <v>0.9</v>
      </c>
      <c r="C205" s="4">
        <v>0.5</v>
      </c>
      <c r="D205" s="4">
        <v>0.6</v>
      </c>
      <c r="E205" s="4">
        <v>0.3</v>
      </c>
      <c r="F205" s="6">
        <v>571.61261000000002</v>
      </c>
      <c r="G205" s="4">
        <v>2E-3</v>
      </c>
      <c r="I205" s="4" t="s">
        <v>118</v>
      </c>
      <c r="J205" s="4">
        <v>0.9</v>
      </c>
      <c r="K205" s="4">
        <v>0.5</v>
      </c>
      <c r="L205" s="4">
        <v>0.6</v>
      </c>
      <c r="M205" s="4">
        <v>0.42</v>
      </c>
      <c r="N205" s="4">
        <v>621.70080600000006</v>
      </c>
      <c r="O205" s="4">
        <v>2.3E-2</v>
      </c>
      <c r="P205" s="5"/>
      <c r="Q205" s="5"/>
      <c r="R205" s="5"/>
      <c r="S205" s="5"/>
      <c r="U205" s="4" t="s">
        <v>118</v>
      </c>
      <c r="V205" s="4">
        <v>0.9</v>
      </c>
      <c r="W205" s="4">
        <v>0.5</v>
      </c>
      <c r="X205" s="4">
        <v>0.6</v>
      </c>
      <c r="Y205" s="4">
        <v>0.3</v>
      </c>
      <c r="Z205" s="6">
        <v>579.28356900000006</v>
      </c>
      <c r="AA205" s="4">
        <v>1E-3</v>
      </c>
      <c r="AC205" s="4" t="s">
        <v>118</v>
      </c>
      <c r="AD205" s="4">
        <v>0.9</v>
      </c>
      <c r="AE205" s="4">
        <v>0.5</v>
      </c>
      <c r="AF205" s="4">
        <v>0.6</v>
      </c>
      <c r="AG205" s="4">
        <v>0.87</v>
      </c>
      <c r="AH205" s="4">
        <v>656.17175299999997</v>
      </c>
      <c r="AI205" s="4">
        <v>8.0000000000000002E-3</v>
      </c>
      <c r="AJ205" s="5"/>
      <c r="AK205" s="5"/>
      <c r="AL205" s="5"/>
      <c r="AM205" s="5"/>
      <c r="AO205" s="4" t="s">
        <v>119</v>
      </c>
      <c r="AP205" s="4">
        <v>0.9</v>
      </c>
      <c r="AQ205" s="4">
        <v>0.5</v>
      </c>
      <c r="AR205" s="4">
        <v>0.6</v>
      </c>
      <c r="AS205" s="4">
        <v>0.3</v>
      </c>
      <c r="AT205" s="6">
        <v>994.38909899999999</v>
      </c>
      <c r="AU205" s="4">
        <v>5.0000000000000001E-3</v>
      </c>
      <c r="AW205" s="4" t="s">
        <v>119</v>
      </c>
      <c r="AX205" s="4">
        <v>0.9</v>
      </c>
      <c r="AY205" s="4">
        <v>0.5</v>
      </c>
      <c r="AZ205" s="4">
        <v>0.6</v>
      </c>
      <c r="BA205" s="4">
        <v>0.75</v>
      </c>
      <c r="BB205" s="4">
        <v>1235.8394780000001</v>
      </c>
      <c r="BC205" s="4">
        <v>2.3E-2</v>
      </c>
      <c r="BD205" s="5"/>
      <c r="BE205" s="5"/>
      <c r="BF205" s="5"/>
      <c r="BG205" s="5"/>
      <c r="BI205" s="4" t="s">
        <v>119</v>
      </c>
      <c r="BJ205" s="4">
        <v>0.9</v>
      </c>
      <c r="BK205" s="4">
        <v>0.5</v>
      </c>
      <c r="BL205" s="4">
        <v>0.6</v>
      </c>
      <c r="BM205" s="4">
        <v>0.3</v>
      </c>
      <c r="BN205" s="4">
        <v>1012.809875</v>
      </c>
      <c r="BO205" s="4">
        <v>8.0000000000000002E-3</v>
      </c>
      <c r="BQ205" s="4" t="s">
        <v>119</v>
      </c>
      <c r="BR205" s="4">
        <v>0.9</v>
      </c>
      <c r="BS205" s="4">
        <v>0.5</v>
      </c>
      <c r="BT205" s="4">
        <v>0.6</v>
      </c>
      <c r="BU205" s="4">
        <v>7.0000000000000007E-2</v>
      </c>
      <c r="BV205" s="6">
        <v>850.84613000000002</v>
      </c>
      <c r="BW205" s="4">
        <v>1.7999999999999999E-2</v>
      </c>
      <c r="BX205" s="5"/>
      <c r="BY205" s="5"/>
      <c r="BZ205" s="5"/>
      <c r="CA205" s="5"/>
    </row>
    <row r="206" spans="1:79" x14ac:dyDescent="0.3">
      <c r="A206" s="4" t="s">
        <v>120</v>
      </c>
      <c r="B206" s="4">
        <v>0.9</v>
      </c>
      <c r="C206" s="4">
        <v>0.5</v>
      </c>
      <c r="D206" s="4">
        <v>0.6</v>
      </c>
      <c r="E206" s="4">
        <v>0.3</v>
      </c>
      <c r="F206" s="6">
        <v>709.50439500000005</v>
      </c>
      <c r="G206" s="4">
        <v>2E-3</v>
      </c>
      <c r="I206" s="4" t="s">
        <v>120</v>
      </c>
      <c r="J206" s="4">
        <v>0.9</v>
      </c>
      <c r="K206" s="4">
        <v>0.5</v>
      </c>
      <c r="L206" s="4">
        <v>0.6</v>
      </c>
      <c r="M206" s="4">
        <v>0.33</v>
      </c>
      <c r="N206" s="4">
        <v>730.23693800000001</v>
      </c>
      <c r="O206" s="4">
        <v>2.8000000000000001E-2</v>
      </c>
      <c r="P206" s="5"/>
      <c r="Q206" s="5"/>
      <c r="R206" s="5"/>
      <c r="S206" s="5"/>
      <c r="U206" s="4" t="s">
        <v>120</v>
      </c>
      <c r="V206" s="4">
        <v>0.9</v>
      </c>
      <c r="W206" s="4">
        <v>0.5</v>
      </c>
      <c r="X206" s="4">
        <v>0.6</v>
      </c>
      <c r="Y206" s="4">
        <v>0.3</v>
      </c>
      <c r="Z206" s="6">
        <v>712.93017599999996</v>
      </c>
      <c r="AA206" s="4">
        <v>1E-3</v>
      </c>
      <c r="AC206" s="4" t="s">
        <v>120</v>
      </c>
      <c r="AD206" s="4">
        <v>0.9</v>
      </c>
      <c r="AE206" s="4">
        <v>0.5</v>
      </c>
      <c r="AF206" s="4">
        <v>0.6</v>
      </c>
      <c r="AG206" s="4">
        <v>0.79</v>
      </c>
      <c r="AH206" s="4">
        <v>839.307007</v>
      </c>
      <c r="AI206" s="4">
        <v>1.7999999999999999E-2</v>
      </c>
      <c r="AJ206" s="5"/>
      <c r="AK206" s="5"/>
      <c r="AL206" s="5"/>
      <c r="AM206" s="5"/>
      <c r="AO206" s="4" t="s">
        <v>121</v>
      </c>
      <c r="AP206" s="4">
        <v>0.9</v>
      </c>
      <c r="AQ206" s="4">
        <v>0.5</v>
      </c>
      <c r="AR206" s="4">
        <v>0.6</v>
      </c>
      <c r="AS206" s="4">
        <v>0.3</v>
      </c>
      <c r="AT206" s="6">
        <v>1024.392822</v>
      </c>
      <c r="AU206" s="4">
        <v>8.0000000000000002E-3</v>
      </c>
      <c r="AW206" s="4" t="s">
        <v>121</v>
      </c>
      <c r="AX206" s="4">
        <v>0.9</v>
      </c>
      <c r="AY206" s="4">
        <v>0.5</v>
      </c>
      <c r="AZ206" s="4">
        <v>0.6</v>
      </c>
      <c r="BA206" s="4">
        <v>0.33</v>
      </c>
      <c r="BB206" s="4">
        <v>1041.7969969999999</v>
      </c>
      <c r="BC206" s="4">
        <v>2.5999999999999999E-2</v>
      </c>
      <c r="BD206" s="5"/>
      <c r="BE206" s="5"/>
      <c r="BF206" s="5"/>
      <c r="BG206" s="5"/>
      <c r="BI206" s="4" t="s">
        <v>121</v>
      </c>
      <c r="BJ206" s="4">
        <v>0.9</v>
      </c>
      <c r="BK206" s="4">
        <v>0.5</v>
      </c>
      <c r="BL206" s="4">
        <v>0.6</v>
      </c>
      <c r="BM206" s="4">
        <v>0.3</v>
      </c>
      <c r="BN206" s="4">
        <v>1036.9761960000001</v>
      </c>
      <c r="BO206" s="4">
        <v>6.0000000000000001E-3</v>
      </c>
      <c r="BQ206" s="4" t="s">
        <v>121</v>
      </c>
      <c r="BR206" s="4">
        <v>0.9</v>
      </c>
      <c r="BS206" s="4">
        <v>0.5</v>
      </c>
      <c r="BT206" s="4">
        <v>0.6</v>
      </c>
      <c r="BU206" s="4">
        <v>0.25</v>
      </c>
      <c r="BV206" s="6">
        <v>993.715149</v>
      </c>
      <c r="BW206" s="4">
        <v>1.6E-2</v>
      </c>
      <c r="BX206" s="5"/>
      <c r="BY206" s="5"/>
      <c r="BZ206" s="5"/>
      <c r="CA206" s="5"/>
    </row>
    <row r="207" spans="1:79" x14ac:dyDescent="0.3">
      <c r="A207" s="4" t="s">
        <v>122</v>
      </c>
      <c r="B207" s="4">
        <v>0.9</v>
      </c>
      <c r="C207" s="4">
        <v>0.5</v>
      </c>
      <c r="D207" s="4">
        <v>0.6</v>
      </c>
      <c r="E207" s="4">
        <v>0.3</v>
      </c>
      <c r="F207" s="6">
        <v>658.18322799999999</v>
      </c>
      <c r="G207" s="4">
        <v>3.0000000000000001E-3</v>
      </c>
      <c r="I207" s="4" t="s">
        <v>122</v>
      </c>
      <c r="J207" s="4">
        <v>0.9</v>
      </c>
      <c r="K207" s="4">
        <v>0.5</v>
      </c>
      <c r="L207" s="4">
        <v>0.6</v>
      </c>
      <c r="M207" s="4">
        <v>0.88</v>
      </c>
      <c r="N207" s="4">
        <v>745.49078399999996</v>
      </c>
      <c r="O207" s="4">
        <v>3.3000000000000002E-2</v>
      </c>
      <c r="P207" s="5"/>
      <c r="Q207" s="5"/>
      <c r="R207" s="5"/>
      <c r="S207" s="5"/>
      <c r="U207" s="4" t="s">
        <v>122</v>
      </c>
      <c r="V207" s="4">
        <v>0.9</v>
      </c>
      <c r="W207" s="4">
        <v>0.5</v>
      </c>
      <c r="X207" s="4">
        <v>0.6</v>
      </c>
      <c r="Y207" s="4">
        <v>0.3</v>
      </c>
      <c r="Z207" s="6">
        <v>650.97729500000003</v>
      </c>
      <c r="AA207" s="4">
        <v>1E-3</v>
      </c>
      <c r="AC207" s="4" t="s">
        <v>122</v>
      </c>
      <c r="AD207" s="4">
        <v>0.9</v>
      </c>
      <c r="AE207" s="4">
        <v>0.5</v>
      </c>
      <c r="AF207" s="4">
        <v>0.6</v>
      </c>
      <c r="AG207" s="4">
        <v>0.79</v>
      </c>
      <c r="AH207" s="4">
        <v>719.41992200000004</v>
      </c>
      <c r="AI207" s="4">
        <v>0.03</v>
      </c>
      <c r="AJ207" s="5"/>
      <c r="AK207" s="5"/>
      <c r="AL207" s="5"/>
      <c r="AM207" s="5"/>
      <c r="AO207" s="4" t="s">
        <v>123</v>
      </c>
      <c r="AP207" s="4">
        <v>0.9</v>
      </c>
      <c r="AQ207" s="4">
        <v>0.5</v>
      </c>
      <c r="AR207" s="4">
        <v>0.6</v>
      </c>
      <c r="AS207" s="4">
        <v>0.3</v>
      </c>
      <c r="AT207" s="6">
        <v>998.46057099999996</v>
      </c>
      <c r="AU207" s="4">
        <v>5.0000000000000001E-3</v>
      </c>
      <c r="AW207" s="4" t="s">
        <v>123</v>
      </c>
      <c r="AX207" s="4">
        <v>0.9</v>
      </c>
      <c r="AY207" s="4">
        <v>0.5</v>
      </c>
      <c r="AZ207" s="4">
        <v>0.6</v>
      </c>
      <c r="BA207" s="4">
        <v>0.74</v>
      </c>
      <c r="BB207" s="4">
        <v>1182.166504</v>
      </c>
      <c r="BC207" s="4">
        <v>1.6E-2</v>
      </c>
      <c r="BD207" s="5"/>
      <c r="BE207" s="5"/>
      <c r="BF207" s="5"/>
      <c r="BG207" s="5"/>
      <c r="BI207" s="4" t="s">
        <v>123</v>
      </c>
      <c r="BJ207" s="4">
        <v>0.9</v>
      </c>
      <c r="BK207" s="4">
        <v>0.5</v>
      </c>
      <c r="BL207" s="4">
        <v>0.6</v>
      </c>
      <c r="BM207" s="4">
        <v>0.3</v>
      </c>
      <c r="BN207" s="6">
        <v>1010.304077</v>
      </c>
      <c r="BO207" s="4">
        <v>6.0000000000000001E-3</v>
      </c>
      <c r="BQ207" s="4" t="s">
        <v>123</v>
      </c>
      <c r="BR207" s="4">
        <v>0.9</v>
      </c>
      <c r="BS207" s="4">
        <v>0.5</v>
      </c>
      <c r="BT207" s="4">
        <v>0.6</v>
      </c>
      <c r="BU207" s="4">
        <v>0.83</v>
      </c>
      <c r="BV207" s="4">
        <v>1240.899048</v>
      </c>
      <c r="BW207" s="4">
        <v>1.4999999999999999E-2</v>
      </c>
      <c r="BX207" s="5"/>
      <c r="BY207" s="5"/>
      <c r="BZ207" s="5"/>
      <c r="CA207" s="5"/>
    </row>
    <row r="208" spans="1:79" x14ac:dyDescent="0.3">
      <c r="A208" s="4" t="s">
        <v>124</v>
      </c>
      <c r="B208" s="4">
        <v>0.9</v>
      </c>
      <c r="C208" s="4">
        <v>0.5</v>
      </c>
      <c r="D208" s="4">
        <v>0.6</v>
      </c>
      <c r="E208" s="4">
        <v>0.3</v>
      </c>
      <c r="F208" s="6">
        <v>561.05938700000002</v>
      </c>
      <c r="G208" s="4">
        <v>2E-3</v>
      </c>
      <c r="I208" s="4" t="s">
        <v>124</v>
      </c>
      <c r="J208" s="4">
        <v>0.9</v>
      </c>
      <c r="K208" s="4">
        <v>0.5</v>
      </c>
      <c r="L208" s="4">
        <v>0.6</v>
      </c>
      <c r="M208" s="4">
        <v>0.98</v>
      </c>
      <c r="N208" s="4">
        <v>694.43621800000005</v>
      </c>
      <c r="O208" s="4">
        <v>2.9000000000000001E-2</v>
      </c>
      <c r="P208" s="5"/>
      <c r="Q208" s="5"/>
      <c r="R208" s="5"/>
      <c r="S208" s="5"/>
      <c r="U208" s="4" t="s">
        <v>124</v>
      </c>
      <c r="V208" s="4">
        <v>0.9</v>
      </c>
      <c r="W208" s="4">
        <v>0.5</v>
      </c>
      <c r="X208" s="4">
        <v>0.6</v>
      </c>
      <c r="Y208" s="4">
        <v>0.3</v>
      </c>
      <c r="Z208" s="6">
        <v>567.65368699999999</v>
      </c>
      <c r="AA208" s="4">
        <v>1E-3</v>
      </c>
      <c r="AC208" s="4" t="s">
        <v>124</v>
      </c>
      <c r="AD208" s="4">
        <v>0.9</v>
      </c>
      <c r="AE208" s="4">
        <v>0.5</v>
      </c>
      <c r="AF208" s="4">
        <v>0.6</v>
      </c>
      <c r="AG208" s="4">
        <v>0.46</v>
      </c>
      <c r="AH208" s="4">
        <v>607.58355700000004</v>
      </c>
      <c r="AI208" s="4">
        <v>1.4E-2</v>
      </c>
      <c r="AJ208" s="5"/>
      <c r="AK208" s="5"/>
      <c r="AL208" s="5"/>
      <c r="AM208" s="5"/>
      <c r="AO208" s="4" t="s">
        <v>125</v>
      </c>
      <c r="AP208" s="4">
        <v>0.9</v>
      </c>
      <c r="AQ208" s="4">
        <v>0.5</v>
      </c>
      <c r="AR208" s="4">
        <v>0.6</v>
      </c>
      <c r="AS208" s="4">
        <v>0.3</v>
      </c>
      <c r="AT208" s="6">
        <v>1052.783447</v>
      </c>
      <c r="AU208" s="4">
        <v>7.0000000000000001E-3</v>
      </c>
      <c r="AW208" s="4" t="s">
        <v>125</v>
      </c>
      <c r="AX208" s="4">
        <v>0.9</v>
      </c>
      <c r="AY208" s="4">
        <v>0.5</v>
      </c>
      <c r="AZ208" s="4">
        <v>0.6</v>
      </c>
      <c r="BA208" s="4">
        <v>0.96</v>
      </c>
      <c r="BB208" s="4">
        <v>1258.6831050000001</v>
      </c>
      <c r="BC208" s="4">
        <v>2.4E-2</v>
      </c>
      <c r="BD208" s="5"/>
      <c r="BE208" s="5"/>
      <c r="BF208" s="5"/>
      <c r="BG208" s="5"/>
      <c r="BI208" s="4" t="s">
        <v>125</v>
      </c>
      <c r="BJ208" s="4">
        <v>0.9</v>
      </c>
      <c r="BK208" s="4">
        <v>0.5</v>
      </c>
      <c r="BL208" s="4">
        <v>0.6</v>
      </c>
      <c r="BM208" s="4">
        <v>0.3</v>
      </c>
      <c r="BN208" s="6">
        <v>1060.5048830000001</v>
      </c>
      <c r="BO208" s="4">
        <v>6.0000000000000001E-3</v>
      </c>
      <c r="BQ208" s="4" t="s">
        <v>125</v>
      </c>
      <c r="BR208" s="4">
        <v>0.9</v>
      </c>
      <c r="BS208" s="4">
        <v>0.5</v>
      </c>
      <c r="BT208" s="4">
        <v>0.6</v>
      </c>
      <c r="BU208" s="4">
        <v>0.98</v>
      </c>
      <c r="BV208" s="4">
        <v>1305.975342</v>
      </c>
      <c r="BW208" s="4">
        <v>1.9E-2</v>
      </c>
      <c r="BX208" s="5"/>
      <c r="BY208" s="5"/>
      <c r="BZ208" s="5"/>
      <c r="CA208" s="5"/>
    </row>
    <row r="209" spans="1:79" x14ac:dyDescent="0.3">
      <c r="A209" s="4" t="s">
        <v>126</v>
      </c>
      <c r="B209" s="4">
        <v>0.9</v>
      </c>
      <c r="C209" s="4">
        <v>0.5</v>
      </c>
      <c r="D209" s="4">
        <v>0.6</v>
      </c>
      <c r="E209" s="4">
        <v>0.3</v>
      </c>
      <c r="F209" s="6">
        <v>627.63568099999998</v>
      </c>
      <c r="G209" s="4">
        <v>1E-3</v>
      </c>
      <c r="I209" s="4" t="s">
        <v>126</v>
      </c>
      <c r="J209" s="4">
        <v>0.9</v>
      </c>
      <c r="K209" s="4">
        <v>0.5</v>
      </c>
      <c r="L209" s="4">
        <v>0.6</v>
      </c>
      <c r="M209" s="4">
        <v>0.99</v>
      </c>
      <c r="N209" s="4">
        <v>746.49670400000002</v>
      </c>
      <c r="O209" s="4">
        <v>2.3E-2</v>
      </c>
      <c r="P209" s="5"/>
      <c r="Q209" s="5"/>
      <c r="R209" s="5"/>
      <c r="S209" s="5"/>
      <c r="U209" s="4" t="s">
        <v>126</v>
      </c>
      <c r="V209" s="4">
        <v>0.9</v>
      </c>
      <c r="W209" s="4">
        <v>0.5</v>
      </c>
      <c r="X209" s="4">
        <v>0.6</v>
      </c>
      <c r="Y209" s="4">
        <v>0.3</v>
      </c>
      <c r="Z209" s="6">
        <v>614.95318599999996</v>
      </c>
      <c r="AA209" s="4">
        <v>1E-3</v>
      </c>
      <c r="AC209" s="4" t="s">
        <v>126</v>
      </c>
      <c r="AD209" s="4">
        <v>0.9</v>
      </c>
      <c r="AE209" s="4">
        <v>0.5</v>
      </c>
      <c r="AF209" s="4">
        <v>0.6</v>
      </c>
      <c r="AG209" s="4">
        <v>0.01</v>
      </c>
      <c r="AH209" s="4">
        <v>680.08306900000002</v>
      </c>
      <c r="AI209" s="4">
        <v>1.2E-2</v>
      </c>
      <c r="AJ209" s="5"/>
      <c r="AK209" s="5"/>
      <c r="AL209" s="5"/>
      <c r="AM209" s="5"/>
      <c r="AO209" s="4" t="s">
        <v>127</v>
      </c>
      <c r="AP209" s="4">
        <v>0.9</v>
      </c>
      <c r="AQ209" s="4">
        <v>0.5</v>
      </c>
      <c r="AR209" s="4">
        <v>0.6</v>
      </c>
      <c r="AS209" s="4">
        <v>0.3</v>
      </c>
      <c r="AT209" s="6">
        <v>1045.5164789999999</v>
      </c>
      <c r="AU209" s="4">
        <v>1.0999999999999999E-2</v>
      </c>
      <c r="AW209" s="4" t="s">
        <v>127</v>
      </c>
      <c r="AX209" s="4">
        <v>0.9</v>
      </c>
      <c r="AY209" s="4">
        <v>0.5</v>
      </c>
      <c r="AZ209" s="4">
        <v>0.6</v>
      </c>
      <c r="BA209" s="4">
        <v>0.74</v>
      </c>
      <c r="BB209" s="4">
        <v>1287.7700199999999</v>
      </c>
      <c r="BC209" s="4">
        <v>0.02</v>
      </c>
      <c r="BD209" s="5"/>
      <c r="BE209" s="5"/>
      <c r="BF209" s="5"/>
      <c r="BG209" s="5"/>
      <c r="BI209" s="4" t="s">
        <v>127</v>
      </c>
      <c r="BJ209" s="4">
        <v>0.9</v>
      </c>
      <c r="BK209" s="4">
        <v>0.5</v>
      </c>
      <c r="BL209" s="4">
        <v>0.6</v>
      </c>
      <c r="BM209" s="4">
        <v>0.3</v>
      </c>
      <c r="BN209" s="6">
        <v>1033.7132570000001</v>
      </c>
      <c r="BO209" s="4">
        <v>6.0000000000000001E-3</v>
      </c>
      <c r="BQ209" s="4" t="s">
        <v>127</v>
      </c>
      <c r="BR209" s="4">
        <v>0.9</v>
      </c>
      <c r="BS209" s="4">
        <v>0.5</v>
      </c>
      <c r="BT209" s="4">
        <v>0.6</v>
      </c>
      <c r="BU209" s="4">
        <v>0.36</v>
      </c>
      <c r="BV209" s="4">
        <v>1082.0451660000001</v>
      </c>
      <c r="BW209" s="4">
        <v>4.2999999999999997E-2</v>
      </c>
      <c r="BX209" s="5"/>
      <c r="BY209" s="5"/>
      <c r="BZ209" s="5"/>
      <c r="CA209" s="5"/>
    </row>
    <row r="210" spans="1:79" x14ac:dyDescent="0.3">
      <c r="A210" s="4" t="s">
        <v>128</v>
      </c>
      <c r="B210" s="4">
        <v>0.9</v>
      </c>
      <c r="C210" s="4">
        <v>0.5</v>
      </c>
      <c r="D210" s="4">
        <v>0.6</v>
      </c>
      <c r="E210" s="4">
        <v>0.3</v>
      </c>
      <c r="F210" s="6">
        <v>594.78631600000006</v>
      </c>
      <c r="G210" s="4">
        <v>1E-3</v>
      </c>
      <c r="I210" s="4" t="s">
        <v>128</v>
      </c>
      <c r="J210" s="4">
        <v>0.9</v>
      </c>
      <c r="K210" s="4">
        <v>0.5</v>
      </c>
      <c r="L210" s="4">
        <v>0.6</v>
      </c>
      <c r="M210" s="4">
        <v>0.35</v>
      </c>
      <c r="N210" s="4">
        <v>623.16760299999999</v>
      </c>
      <c r="O210" s="4">
        <v>1.7000000000000001E-2</v>
      </c>
      <c r="P210" s="5"/>
      <c r="Q210" s="5"/>
      <c r="R210" s="5"/>
      <c r="S210" s="5"/>
      <c r="U210" s="4" t="s">
        <v>128</v>
      </c>
      <c r="V210" s="4">
        <v>0.9</v>
      </c>
      <c r="W210" s="4">
        <v>0.5</v>
      </c>
      <c r="X210" s="4">
        <v>0.6</v>
      </c>
      <c r="Y210" s="4">
        <v>0.3</v>
      </c>
      <c r="Z210" s="6">
        <v>601.212402</v>
      </c>
      <c r="AA210" s="4">
        <v>1E-3</v>
      </c>
      <c r="AC210" s="4" t="s">
        <v>128</v>
      </c>
      <c r="AD210" s="4">
        <v>0.9</v>
      </c>
      <c r="AE210" s="4">
        <v>0.5</v>
      </c>
      <c r="AF210" s="4">
        <v>0.6</v>
      </c>
      <c r="AG210" s="4">
        <v>0.34</v>
      </c>
      <c r="AH210" s="4">
        <v>602.24462900000003</v>
      </c>
      <c r="AI210" s="4">
        <v>1.4E-2</v>
      </c>
      <c r="AJ210" s="5"/>
      <c r="AK210" s="5"/>
      <c r="AL210" s="5"/>
      <c r="AM210" s="5"/>
      <c r="AO210" s="4" t="s">
        <v>129</v>
      </c>
      <c r="AP210" s="4">
        <v>0.9</v>
      </c>
      <c r="AQ210" s="4">
        <v>0.5</v>
      </c>
      <c r="AR210" s="4">
        <v>0.6</v>
      </c>
      <c r="AS210" s="4">
        <v>0.3</v>
      </c>
      <c r="AT210" s="6">
        <v>1024.1453859999999</v>
      </c>
      <c r="AU210" s="4">
        <v>8.9999999999999993E-3</v>
      </c>
      <c r="AW210" s="4" t="s">
        <v>129</v>
      </c>
      <c r="AX210" s="4">
        <v>0.9</v>
      </c>
      <c r="AY210" s="4">
        <v>0.5</v>
      </c>
      <c r="AZ210" s="4">
        <v>0.6</v>
      </c>
      <c r="BA210" s="4">
        <v>0.38</v>
      </c>
      <c r="BB210" s="4">
        <v>1061.7202150000001</v>
      </c>
      <c r="BC210" s="4">
        <v>2.7E-2</v>
      </c>
      <c r="BD210" s="5"/>
      <c r="BE210" s="5"/>
      <c r="BF210" s="5"/>
      <c r="BG210" s="5"/>
      <c r="BI210" s="4" t="s">
        <v>129</v>
      </c>
      <c r="BJ210" s="4">
        <v>0.9</v>
      </c>
      <c r="BK210" s="4">
        <v>0.5</v>
      </c>
      <c r="BL210" s="4">
        <v>0.6</v>
      </c>
      <c r="BM210" s="4">
        <v>0.3</v>
      </c>
      <c r="BN210" s="6">
        <v>1007.266296</v>
      </c>
      <c r="BO210" s="4">
        <v>8.0000000000000002E-3</v>
      </c>
      <c r="BQ210" s="4" t="s">
        <v>129</v>
      </c>
      <c r="BR210" s="4">
        <v>0.9</v>
      </c>
      <c r="BS210" s="4">
        <v>0.5</v>
      </c>
      <c r="BT210" s="4">
        <v>0.6</v>
      </c>
      <c r="BU210" s="4">
        <v>0.94</v>
      </c>
      <c r="BV210" s="4">
        <v>1206.11853</v>
      </c>
      <c r="BW210" s="4">
        <v>2.8000000000000001E-2</v>
      </c>
      <c r="BX210" s="5"/>
      <c r="BY210" s="5"/>
      <c r="BZ210" s="5"/>
      <c r="CA210" s="5"/>
    </row>
    <row r="211" spans="1:79" x14ac:dyDescent="0.3">
      <c r="A211" s="4" t="s">
        <v>130</v>
      </c>
      <c r="B211" s="4">
        <v>0.9</v>
      </c>
      <c r="C211" s="4">
        <v>0.5</v>
      </c>
      <c r="D211" s="4">
        <v>0.6</v>
      </c>
      <c r="E211" s="4">
        <v>0.3</v>
      </c>
      <c r="F211" s="6">
        <v>627.75500499999998</v>
      </c>
      <c r="G211" s="4">
        <v>1E-3</v>
      </c>
      <c r="I211" s="4" t="s">
        <v>130</v>
      </c>
      <c r="J211" s="4">
        <v>0.9</v>
      </c>
      <c r="K211" s="4">
        <v>0.5</v>
      </c>
      <c r="L211" s="4">
        <v>0.6</v>
      </c>
      <c r="M211" s="4">
        <v>0.41</v>
      </c>
      <c r="N211" s="4">
        <v>672.72699</v>
      </c>
      <c r="O211" s="4">
        <v>5.0000000000000001E-3</v>
      </c>
      <c r="P211" s="5"/>
      <c r="Q211" s="5"/>
      <c r="R211" s="5"/>
      <c r="S211" s="5"/>
      <c r="U211" s="4" t="s">
        <v>130</v>
      </c>
      <c r="V211" s="4">
        <v>0.9</v>
      </c>
      <c r="W211" s="4">
        <v>0.5</v>
      </c>
      <c r="X211" s="4">
        <v>0.6</v>
      </c>
      <c r="Y211" s="4">
        <v>0.3</v>
      </c>
      <c r="Z211" s="4">
        <v>644.73529099999996</v>
      </c>
      <c r="AA211" s="4">
        <v>2E-3</v>
      </c>
      <c r="AC211" s="4" t="s">
        <v>130</v>
      </c>
      <c r="AD211" s="4">
        <v>0.9</v>
      </c>
      <c r="AE211" s="4">
        <v>0.5</v>
      </c>
      <c r="AF211" s="4">
        <v>0.6</v>
      </c>
      <c r="AG211" s="4">
        <v>0.2</v>
      </c>
      <c r="AH211" s="6">
        <v>636.29827899999998</v>
      </c>
      <c r="AI211" s="4">
        <v>0.01</v>
      </c>
      <c r="AJ211" s="5"/>
      <c r="AK211" s="5"/>
      <c r="AL211" s="5"/>
      <c r="AM211" s="5"/>
      <c r="AO211" s="4" t="s">
        <v>131</v>
      </c>
      <c r="AP211" s="4">
        <v>0.9</v>
      </c>
      <c r="AQ211" s="4">
        <v>0.5</v>
      </c>
      <c r="AR211" s="4">
        <v>0.6</v>
      </c>
      <c r="AS211" s="4">
        <v>0.3</v>
      </c>
      <c r="AT211" s="6">
        <v>1024.695068</v>
      </c>
      <c r="AU211" s="4">
        <v>8.0000000000000002E-3</v>
      </c>
      <c r="AW211" s="4" t="s">
        <v>131</v>
      </c>
      <c r="AX211" s="4">
        <v>0.9</v>
      </c>
      <c r="AY211" s="4">
        <v>0.5</v>
      </c>
      <c r="AZ211" s="4">
        <v>0.6</v>
      </c>
      <c r="BA211" s="4">
        <v>0.62</v>
      </c>
      <c r="BB211" s="4">
        <v>1221.155884</v>
      </c>
      <c r="BC211" s="4">
        <v>0.02</v>
      </c>
      <c r="BD211" s="5"/>
      <c r="BE211" s="5"/>
      <c r="BF211" s="5"/>
      <c r="BG211" s="5"/>
      <c r="BI211" s="4" t="s">
        <v>131</v>
      </c>
      <c r="BJ211" s="4">
        <v>0.9</v>
      </c>
      <c r="BK211" s="4">
        <v>0.5</v>
      </c>
      <c r="BL211" s="4">
        <v>0.6</v>
      </c>
      <c r="BM211" s="4">
        <v>0.3</v>
      </c>
      <c r="BN211" s="6">
        <v>1024.642578</v>
      </c>
      <c r="BO211" s="4">
        <v>8.9999999999999993E-3</v>
      </c>
      <c r="BQ211" s="4" t="s">
        <v>131</v>
      </c>
      <c r="BR211" s="4">
        <v>0.9</v>
      </c>
      <c r="BS211" s="4">
        <v>0.5</v>
      </c>
      <c r="BT211" s="4">
        <v>0.6</v>
      </c>
      <c r="BU211" s="4">
        <v>0.56999999999999995</v>
      </c>
      <c r="BV211" s="4">
        <v>1215.0679929999999</v>
      </c>
      <c r="BW211" s="4">
        <v>1.9E-2</v>
      </c>
      <c r="BX211" s="5"/>
      <c r="BY211" s="5"/>
      <c r="BZ211" s="5"/>
      <c r="CA211" s="5"/>
    </row>
    <row r="212" spans="1:79" x14ac:dyDescent="0.3">
      <c r="A212" s="4" t="s">
        <v>132</v>
      </c>
      <c r="B212" s="4">
        <v>0.9</v>
      </c>
      <c r="C212" s="4">
        <v>0.5</v>
      </c>
      <c r="D212" s="4">
        <v>0.6</v>
      </c>
      <c r="E212" s="4">
        <v>0.3</v>
      </c>
      <c r="F212" s="6">
        <v>551.62072799999999</v>
      </c>
      <c r="G212" s="4">
        <v>1E-3</v>
      </c>
      <c r="I212" s="4" t="s">
        <v>132</v>
      </c>
      <c r="J212" s="4">
        <v>0.9</v>
      </c>
      <c r="K212" s="4">
        <v>0.5</v>
      </c>
      <c r="L212" s="4">
        <v>0.6</v>
      </c>
      <c r="M212" s="4">
        <v>0.49</v>
      </c>
      <c r="N212" s="4">
        <v>625.62005599999998</v>
      </c>
      <c r="O212" s="4">
        <v>1.6E-2</v>
      </c>
      <c r="P212" s="5"/>
      <c r="Q212" s="5"/>
      <c r="R212" s="5"/>
      <c r="S212" s="5"/>
      <c r="U212" s="4" t="s">
        <v>132</v>
      </c>
      <c r="V212" s="4">
        <v>0.9</v>
      </c>
      <c r="W212" s="4">
        <v>0.5</v>
      </c>
      <c r="X212" s="4">
        <v>0.6</v>
      </c>
      <c r="Y212" s="4">
        <v>0.3</v>
      </c>
      <c r="Z212" s="6">
        <v>561.93652299999997</v>
      </c>
      <c r="AA212" s="4">
        <v>1E-3</v>
      </c>
      <c r="AC212" s="4" t="s">
        <v>132</v>
      </c>
      <c r="AD212" s="4">
        <v>0.9</v>
      </c>
      <c r="AE212" s="4">
        <v>0.5</v>
      </c>
      <c r="AF212" s="4">
        <v>0.6</v>
      </c>
      <c r="AG212" s="4">
        <v>0.37</v>
      </c>
      <c r="AH212" s="4">
        <v>609.071777</v>
      </c>
      <c r="AI212" s="4">
        <v>0.01</v>
      </c>
      <c r="AJ212" s="5"/>
      <c r="AK212" s="5"/>
      <c r="AL212" s="5"/>
      <c r="AM212" s="5"/>
      <c r="AO212" s="4" t="s">
        <v>133</v>
      </c>
      <c r="AP212" s="4">
        <v>0.9</v>
      </c>
      <c r="AQ212" s="4">
        <v>0.5</v>
      </c>
      <c r="AR212" s="4">
        <v>0.6</v>
      </c>
      <c r="AS212" s="4">
        <v>0.3</v>
      </c>
      <c r="AT212" s="4">
        <v>1074.7506100000001</v>
      </c>
      <c r="AU212" s="4">
        <v>0.01</v>
      </c>
      <c r="AW212" s="4" t="s">
        <v>133</v>
      </c>
      <c r="AX212" s="4">
        <v>0.9</v>
      </c>
      <c r="AY212" s="4">
        <v>0.5</v>
      </c>
      <c r="AZ212" s="4">
        <v>0.6</v>
      </c>
      <c r="BA212" s="4">
        <v>0.13</v>
      </c>
      <c r="BB212" s="6">
        <v>961.17779499999995</v>
      </c>
      <c r="BC212" s="4">
        <v>0.01</v>
      </c>
      <c r="BD212" s="5"/>
      <c r="BE212" s="5"/>
      <c r="BF212" s="5"/>
      <c r="BG212" s="5"/>
      <c r="BI212" s="4" t="s">
        <v>133</v>
      </c>
      <c r="BJ212" s="4">
        <v>0.9</v>
      </c>
      <c r="BK212" s="4">
        <v>0.5</v>
      </c>
      <c r="BL212" s="4">
        <v>0.6</v>
      </c>
      <c r="BM212" s="4">
        <v>0.3</v>
      </c>
      <c r="BN212" s="6">
        <v>1054.787231</v>
      </c>
      <c r="BO212" s="4">
        <v>8.9999999999999993E-3</v>
      </c>
      <c r="BQ212" s="4" t="s">
        <v>133</v>
      </c>
      <c r="BR212" s="4">
        <v>0.9</v>
      </c>
      <c r="BS212" s="4">
        <v>0.5</v>
      </c>
      <c r="BT212" s="4">
        <v>0.6</v>
      </c>
      <c r="BU212" s="4">
        <v>0.35</v>
      </c>
      <c r="BV212" s="4">
        <v>1082.63562</v>
      </c>
      <c r="BW212" s="4">
        <v>1.7000000000000001E-2</v>
      </c>
      <c r="BX212" s="5"/>
      <c r="BY212" s="5"/>
      <c r="BZ212" s="5"/>
      <c r="CA212" s="5"/>
    </row>
    <row r="213" spans="1:79" x14ac:dyDescent="0.3">
      <c r="A213" s="14" t="s">
        <v>316</v>
      </c>
      <c r="E213" s="14">
        <f>AVERAGE(E183:E212)</f>
        <v>0.3</v>
      </c>
      <c r="I213" s="14" t="s">
        <v>316</v>
      </c>
      <c r="M213" s="14">
        <f>AVERAGE(M183:M212)</f>
        <v>0.52133333333333332</v>
      </c>
      <c r="U213" s="14" t="s">
        <v>316</v>
      </c>
      <c r="Y213" s="14">
        <f>AVERAGE(Y183:Y212)</f>
        <v>0.3</v>
      </c>
      <c r="AC213" s="14" t="s">
        <v>316</v>
      </c>
      <c r="AG213" s="14">
        <f>AVERAGE(AG183:AG212)</f>
        <v>0.5066666666666666</v>
      </c>
      <c r="AO213" s="14" t="s">
        <v>316</v>
      </c>
      <c r="AS213" s="14">
        <f>AVERAGE(AS183:AS212)</f>
        <v>0.3</v>
      </c>
      <c r="AW213" s="14" t="s">
        <v>316</v>
      </c>
      <c r="BA213" s="14">
        <f>AVERAGE(BA183:BA212)</f>
        <v>0.53600000000000003</v>
      </c>
      <c r="BI213" s="14" t="s">
        <v>316</v>
      </c>
      <c r="BM213" s="14">
        <f>AVERAGE(BM183:BM212)</f>
        <v>0.3</v>
      </c>
      <c r="BQ213" s="14" t="s">
        <v>316</v>
      </c>
      <c r="BU213" s="14">
        <f>AVERAGE(BU183:BU212)</f>
        <v>0.52066666666666672</v>
      </c>
    </row>
    <row r="214" spans="1:79" s="1" customFormat="1" x14ac:dyDescent="0.3"/>
    <row r="215" spans="1:79" x14ac:dyDescent="0.3">
      <c r="A215" s="23" t="s">
        <v>314</v>
      </c>
      <c r="B215" s="23"/>
      <c r="C215" s="23"/>
      <c r="D215" s="23"/>
      <c r="E215" s="23"/>
      <c r="F215" s="23"/>
      <c r="G215" s="23"/>
      <c r="I215" s="24" t="s">
        <v>314</v>
      </c>
      <c r="J215" s="25"/>
      <c r="K215" s="25"/>
      <c r="L215" s="25"/>
      <c r="M215" s="25"/>
      <c r="N215" s="25"/>
      <c r="O215" s="26"/>
      <c r="P215" s="11"/>
      <c r="Q215" s="11"/>
      <c r="R215" s="11"/>
      <c r="S215" s="11"/>
      <c r="U215" s="23" t="s">
        <v>314</v>
      </c>
      <c r="V215" s="23"/>
      <c r="W215" s="23"/>
      <c r="X215" s="23"/>
      <c r="Y215" s="23"/>
      <c r="Z215" s="23"/>
      <c r="AA215" s="23"/>
      <c r="AC215" s="24" t="s">
        <v>314</v>
      </c>
      <c r="AD215" s="25"/>
      <c r="AE215" s="25"/>
      <c r="AF215" s="25"/>
      <c r="AG215" s="25"/>
      <c r="AH215" s="25"/>
      <c r="AI215" s="26"/>
      <c r="AJ215" s="11"/>
      <c r="AK215" s="11"/>
      <c r="AL215" s="11"/>
      <c r="AM215" s="11"/>
      <c r="AO215" s="23" t="s">
        <v>314</v>
      </c>
      <c r="AP215" s="23"/>
      <c r="AQ215" s="23"/>
      <c r="AR215" s="23"/>
      <c r="AS215" s="23"/>
      <c r="AT215" s="23"/>
      <c r="AU215" s="23"/>
      <c r="AW215" s="24" t="s">
        <v>314</v>
      </c>
      <c r="AX215" s="25"/>
      <c r="AY215" s="25"/>
      <c r="AZ215" s="25"/>
      <c r="BA215" s="25"/>
      <c r="BB215" s="25"/>
      <c r="BC215" s="26"/>
      <c r="BD215" s="11"/>
      <c r="BE215" s="11"/>
      <c r="BF215" s="11"/>
      <c r="BG215" s="11"/>
      <c r="BI215" s="23" t="s">
        <v>314</v>
      </c>
      <c r="BJ215" s="23"/>
      <c r="BK215" s="23"/>
      <c r="BL215" s="23"/>
      <c r="BM215" s="23"/>
      <c r="BN215" s="23"/>
      <c r="BO215" s="23"/>
      <c r="BQ215" s="24" t="s">
        <v>314</v>
      </c>
      <c r="BR215" s="25"/>
      <c r="BS215" s="25"/>
      <c r="BT215" s="25"/>
      <c r="BU215" s="25"/>
      <c r="BV215" s="25"/>
      <c r="BW215" s="26"/>
      <c r="BX215" s="11"/>
      <c r="BY215" s="11"/>
      <c r="BZ215" s="11"/>
      <c r="CA215" s="11"/>
    </row>
    <row r="216" spans="1:79" x14ac:dyDescent="0.3">
      <c r="A216" s="24" t="s">
        <v>0</v>
      </c>
      <c r="B216" s="25"/>
      <c r="C216" s="25"/>
      <c r="D216" s="25"/>
      <c r="E216" s="25"/>
      <c r="F216" s="25"/>
      <c r="G216" s="26"/>
      <c r="I216" s="4" t="s">
        <v>0</v>
      </c>
      <c r="J216" s="4"/>
      <c r="K216" s="4"/>
      <c r="L216" s="4"/>
      <c r="M216" s="4"/>
      <c r="N216" s="4"/>
      <c r="O216" s="4"/>
      <c r="P216" s="11"/>
      <c r="Q216" s="11"/>
      <c r="R216" s="11"/>
      <c r="S216" s="11"/>
      <c r="U216" s="4" t="s">
        <v>1</v>
      </c>
      <c r="V216" s="4"/>
      <c r="W216" s="4"/>
      <c r="X216" s="4"/>
      <c r="Y216" s="4"/>
      <c r="Z216" s="4"/>
      <c r="AA216" s="4"/>
      <c r="AC216" s="4" t="s">
        <v>1</v>
      </c>
      <c r="AD216" s="4"/>
      <c r="AE216" s="4"/>
      <c r="AF216" s="4"/>
      <c r="AG216" s="4"/>
      <c r="AH216" s="4"/>
      <c r="AI216" s="4"/>
      <c r="AJ216" s="11"/>
      <c r="AK216" s="11"/>
      <c r="AL216" s="11"/>
      <c r="AM216" s="11"/>
      <c r="AO216" s="4" t="s">
        <v>0</v>
      </c>
      <c r="AP216" s="4"/>
      <c r="AQ216" s="4"/>
      <c r="AR216" s="4"/>
      <c r="AS216" s="4"/>
      <c r="AT216" s="4"/>
      <c r="AU216" s="4"/>
      <c r="AW216" s="4" t="s">
        <v>0</v>
      </c>
      <c r="AX216" s="4"/>
      <c r="AY216" s="4"/>
      <c r="AZ216" s="4"/>
      <c r="BA216" s="4"/>
      <c r="BB216" s="4"/>
      <c r="BC216" s="4"/>
      <c r="BD216" s="11"/>
      <c r="BE216" s="11"/>
      <c r="BF216" s="11"/>
      <c r="BG216" s="11"/>
      <c r="BI216" s="4" t="s">
        <v>1</v>
      </c>
      <c r="BJ216" s="4"/>
      <c r="BK216" s="4"/>
      <c r="BL216" s="4"/>
      <c r="BM216" s="4"/>
      <c r="BN216" s="4"/>
      <c r="BO216" s="4"/>
      <c r="BQ216" s="4" t="s">
        <v>1</v>
      </c>
      <c r="BR216" s="4"/>
      <c r="BS216" s="4"/>
      <c r="BT216" s="4"/>
      <c r="BU216" s="4"/>
      <c r="BV216" s="4"/>
      <c r="BW216" s="4"/>
      <c r="BX216" s="11"/>
      <c r="BY216" s="11"/>
      <c r="BZ216" s="11"/>
      <c r="CA216" s="11"/>
    </row>
    <row r="217" spans="1:79" x14ac:dyDescent="0.3">
      <c r="A217" s="4" t="s">
        <v>2</v>
      </c>
      <c r="B217" s="4" t="s">
        <v>3</v>
      </c>
      <c r="C217" s="4" t="s">
        <v>4</v>
      </c>
      <c r="D217" s="4" t="s">
        <v>5</v>
      </c>
      <c r="E217" s="4" t="s">
        <v>6</v>
      </c>
      <c r="F217" s="4" t="s">
        <v>7</v>
      </c>
      <c r="G217" s="4" t="s">
        <v>8</v>
      </c>
      <c r="I217" s="4" t="s">
        <v>2</v>
      </c>
      <c r="J217" s="4" t="s">
        <v>3</v>
      </c>
      <c r="K217" s="4" t="s">
        <v>4</v>
      </c>
      <c r="L217" s="4" t="s">
        <v>5</v>
      </c>
      <c r="M217" s="4" t="s">
        <v>6</v>
      </c>
      <c r="N217" s="4" t="s">
        <v>7</v>
      </c>
      <c r="O217" s="4" t="s">
        <v>8</v>
      </c>
      <c r="P217" s="3" t="s">
        <v>322</v>
      </c>
      <c r="Q217" s="3" t="s">
        <v>323</v>
      </c>
      <c r="R217" s="3" t="s">
        <v>322</v>
      </c>
      <c r="S217" s="3" t="s">
        <v>323</v>
      </c>
      <c r="U217" s="4" t="s">
        <v>2</v>
      </c>
      <c r="V217" s="4" t="s">
        <v>3</v>
      </c>
      <c r="W217" s="4" t="s">
        <v>4</v>
      </c>
      <c r="X217" s="4" t="s">
        <v>5</v>
      </c>
      <c r="Y217" s="4" t="s">
        <v>6</v>
      </c>
      <c r="Z217" s="4" t="s">
        <v>7</v>
      </c>
      <c r="AA217" s="4" t="s">
        <v>8</v>
      </c>
      <c r="AC217" s="4" t="s">
        <v>2</v>
      </c>
      <c r="AD217" s="4" t="s">
        <v>3</v>
      </c>
      <c r="AE217" s="4" t="s">
        <v>4</v>
      </c>
      <c r="AF217" s="4" t="s">
        <v>5</v>
      </c>
      <c r="AG217" s="4" t="s">
        <v>6</v>
      </c>
      <c r="AH217" s="4" t="s">
        <v>7</v>
      </c>
      <c r="AI217" s="4" t="s">
        <v>8</v>
      </c>
      <c r="AJ217" s="3" t="s">
        <v>322</v>
      </c>
      <c r="AK217" s="3" t="s">
        <v>323</v>
      </c>
      <c r="AL217" s="3" t="s">
        <v>322</v>
      </c>
      <c r="AM217" s="3" t="s">
        <v>323</v>
      </c>
      <c r="AO217" s="4" t="s">
        <v>2</v>
      </c>
      <c r="AP217" s="4" t="s">
        <v>3</v>
      </c>
      <c r="AQ217" s="4" t="s">
        <v>4</v>
      </c>
      <c r="AR217" s="4" t="s">
        <v>5</v>
      </c>
      <c r="AS217" s="4" t="s">
        <v>6</v>
      </c>
      <c r="AT217" s="4" t="s">
        <v>7</v>
      </c>
      <c r="AU217" s="4" t="s">
        <v>8</v>
      </c>
      <c r="AW217" s="4" t="s">
        <v>2</v>
      </c>
      <c r="AX217" s="4" t="s">
        <v>3</v>
      </c>
      <c r="AY217" s="4" t="s">
        <v>4</v>
      </c>
      <c r="AZ217" s="4" t="s">
        <v>5</v>
      </c>
      <c r="BA217" s="4" t="s">
        <v>6</v>
      </c>
      <c r="BB217" s="4" t="s">
        <v>7</v>
      </c>
      <c r="BC217" s="4" t="s">
        <v>8</v>
      </c>
      <c r="BD217" s="3" t="s">
        <v>322</v>
      </c>
      <c r="BE217" s="3" t="s">
        <v>323</v>
      </c>
      <c r="BF217" s="3" t="s">
        <v>322</v>
      </c>
      <c r="BG217" s="3" t="s">
        <v>323</v>
      </c>
      <c r="BI217" s="4" t="s">
        <v>2</v>
      </c>
      <c r="BJ217" s="4" t="s">
        <v>3</v>
      </c>
      <c r="BK217" s="4" t="s">
        <v>4</v>
      </c>
      <c r="BL217" s="4" t="s">
        <v>5</v>
      </c>
      <c r="BM217" s="4" t="s">
        <v>6</v>
      </c>
      <c r="BN217" s="4" t="s">
        <v>7</v>
      </c>
      <c r="BO217" s="4" t="s">
        <v>8</v>
      </c>
      <c r="BQ217" s="4" t="s">
        <v>2</v>
      </c>
      <c r="BR217" s="4" t="s">
        <v>3</v>
      </c>
      <c r="BS217" s="4" t="s">
        <v>4</v>
      </c>
      <c r="BT217" s="4" t="s">
        <v>5</v>
      </c>
      <c r="BU217" s="4" t="s">
        <v>6</v>
      </c>
      <c r="BV217" s="4" t="s">
        <v>7</v>
      </c>
      <c r="BW217" s="4" t="s">
        <v>8</v>
      </c>
      <c r="BX217" s="3" t="s">
        <v>322</v>
      </c>
      <c r="BY217" s="3" t="s">
        <v>323</v>
      </c>
      <c r="BZ217" s="3" t="s">
        <v>322</v>
      </c>
      <c r="CA217" s="3" t="s">
        <v>323</v>
      </c>
    </row>
    <row r="218" spans="1:79" x14ac:dyDescent="0.3">
      <c r="A218" s="4" t="s">
        <v>134</v>
      </c>
      <c r="B218" s="4">
        <v>0.9</v>
      </c>
      <c r="C218" s="4">
        <v>0.5</v>
      </c>
      <c r="D218" s="4">
        <v>0.6</v>
      </c>
      <c r="E218" s="4">
        <v>0.3</v>
      </c>
      <c r="F218" s="4">
        <v>600.08557099999996</v>
      </c>
      <c r="G218" s="4">
        <v>2E-3</v>
      </c>
      <c r="I218" s="4" t="s">
        <v>134</v>
      </c>
      <c r="J218" s="4">
        <v>0.9</v>
      </c>
      <c r="K218" s="4">
        <v>0.5</v>
      </c>
      <c r="L218" s="4">
        <v>0.6</v>
      </c>
      <c r="M218" s="4">
        <v>0.01</v>
      </c>
      <c r="N218" s="6">
        <v>588.62658699999997</v>
      </c>
      <c r="O218" s="4">
        <v>0.01</v>
      </c>
      <c r="P218" s="4" t="s">
        <v>324</v>
      </c>
      <c r="Q218" s="4" t="s">
        <v>324</v>
      </c>
      <c r="R218" s="4" t="s">
        <v>327</v>
      </c>
      <c r="S218" s="4" t="s">
        <v>327</v>
      </c>
      <c r="U218" s="4" t="s">
        <v>134</v>
      </c>
      <c r="V218" s="4">
        <v>0.9</v>
      </c>
      <c r="W218" s="4">
        <v>0.5</v>
      </c>
      <c r="X218" s="4">
        <v>0.6</v>
      </c>
      <c r="Y218" s="4">
        <v>0.3</v>
      </c>
      <c r="Z218" s="4">
        <v>553.515625</v>
      </c>
      <c r="AA218" s="4">
        <v>2E-3</v>
      </c>
      <c r="AC218" s="4" t="s">
        <v>134</v>
      </c>
      <c r="AD218" s="4">
        <v>0.9</v>
      </c>
      <c r="AE218" s="4">
        <v>0.5</v>
      </c>
      <c r="AF218" s="4">
        <v>0.6</v>
      </c>
      <c r="AG218" s="4">
        <v>0.01</v>
      </c>
      <c r="AH218" s="6">
        <v>549.27002000000005</v>
      </c>
      <c r="AI218" s="4">
        <v>1.4E-2</v>
      </c>
      <c r="AJ218" s="4" t="s">
        <v>324</v>
      </c>
      <c r="AK218" s="4" t="s">
        <v>324</v>
      </c>
      <c r="AL218" s="4" t="s">
        <v>327</v>
      </c>
      <c r="AM218" s="4" t="s">
        <v>327</v>
      </c>
      <c r="AO218" s="4" t="s">
        <v>135</v>
      </c>
      <c r="AP218" s="4">
        <v>0.9</v>
      </c>
      <c r="AQ218" s="4">
        <v>0.5</v>
      </c>
      <c r="AR218" s="4">
        <v>0.6</v>
      </c>
      <c r="AS218" s="4">
        <v>0.3</v>
      </c>
      <c r="AT218" s="4">
        <v>793.36767599999996</v>
      </c>
      <c r="AU218" s="4">
        <v>5.0000000000000001E-3</v>
      </c>
      <c r="AW218" s="4" t="s">
        <v>135</v>
      </c>
      <c r="AX218" s="4">
        <v>0.9</v>
      </c>
      <c r="AY218" s="4">
        <v>0.5</v>
      </c>
      <c r="AZ218" s="4">
        <v>0.6</v>
      </c>
      <c r="BA218" s="4">
        <v>0.01</v>
      </c>
      <c r="BB218" s="6">
        <v>714.575378</v>
      </c>
      <c r="BC218" s="4">
        <v>8.0000000000000002E-3</v>
      </c>
      <c r="BD218" s="4" t="s">
        <v>324</v>
      </c>
      <c r="BE218" s="4" t="s">
        <v>324</v>
      </c>
      <c r="BF218" s="4" t="s">
        <v>327</v>
      </c>
      <c r="BG218" s="4" t="s">
        <v>327</v>
      </c>
      <c r="BI218" s="4" t="s">
        <v>135</v>
      </c>
      <c r="BJ218" s="4">
        <v>0.9</v>
      </c>
      <c r="BK218" s="4">
        <v>0.5</v>
      </c>
      <c r="BL218" s="4">
        <v>0.6</v>
      </c>
      <c r="BM218" s="4">
        <v>0.3</v>
      </c>
      <c r="BN218" s="4">
        <v>729.96337900000003</v>
      </c>
      <c r="BO218" s="4">
        <v>4.0000000000000001E-3</v>
      </c>
      <c r="BQ218" s="4" t="s">
        <v>135</v>
      </c>
      <c r="BR218" s="4">
        <v>0.9</v>
      </c>
      <c r="BS218" s="4">
        <v>0.5</v>
      </c>
      <c r="BT218" s="4">
        <v>0.6</v>
      </c>
      <c r="BU218" s="4">
        <v>0.01</v>
      </c>
      <c r="BV218" s="6">
        <v>661.21929899999998</v>
      </c>
      <c r="BW218" s="4">
        <v>3.5999999999999997E-2</v>
      </c>
      <c r="BX218" s="4" t="s">
        <v>324</v>
      </c>
      <c r="BY218" s="4" t="s">
        <v>324</v>
      </c>
      <c r="BZ218" s="4" t="s">
        <v>327</v>
      </c>
      <c r="CA218" s="4" t="s">
        <v>327</v>
      </c>
    </row>
    <row r="219" spans="1:79" x14ac:dyDescent="0.3">
      <c r="A219" s="4" t="s">
        <v>136</v>
      </c>
      <c r="B219" s="4">
        <v>0.9</v>
      </c>
      <c r="C219" s="4">
        <v>0.5</v>
      </c>
      <c r="D219" s="4">
        <v>0.6</v>
      </c>
      <c r="E219" s="4">
        <v>0.3</v>
      </c>
      <c r="F219" s="6">
        <v>544.890625</v>
      </c>
      <c r="G219" s="4">
        <v>1E-3</v>
      </c>
      <c r="I219" s="4" t="s">
        <v>136</v>
      </c>
      <c r="J219" s="4">
        <v>0.9</v>
      </c>
      <c r="K219" s="4">
        <v>0.5</v>
      </c>
      <c r="L219" s="4">
        <v>0.6</v>
      </c>
      <c r="M219" s="4">
        <v>0.84</v>
      </c>
      <c r="N219" s="4">
        <v>587.77807600000006</v>
      </c>
      <c r="O219" s="4">
        <v>1.9E-2</v>
      </c>
      <c r="P219" s="3">
        <f>COUNT(F219:F231,F233:F238,F240,F242:F247)</f>
        <v>26</v>
      </c>
      <c r="Q219" s="3">
        <f>30-P219</f>
        <v>4</v>
      </c>
      <c r="R219" s="3">
        <f>COUNT(N218,N232,N239,N241)</f>
        <v>4</v>
      </c>
      <c r="S219" s="3">
        <f>30-R219</f>
        <v>26</v>
      </c>
      <c r="U219" s="4" t="s">
        <v>136</v>
      </c>
      <c r="V219" s="4">
        <v>0.9</v>
      </c>
      <c r="W219" s="4">
        <v>0.5</v>
      </c>
      <c r="X219" s="4">
        <v>0.6</v>
      </c>
      <c r="Y219" s="4">
        <v>0.3</v>
      </c>
      <c r="Z219" s="4">
        <v>458.34362800000002</v>
      </c>
      <c r="AA219" s="4">
        <v>2E-3</v>
      </c>
      <c r="AC219" s="4" t="s">
        <v>136</v>
      </c>
      <c r="AD219" s="4">
        <v>0.9</v>
      </c>
      <c r="AE219" s="4">
        <v>0.5</v>
      </c>
      <c r="AF219" s="4">
        <v>0.6</v>
      </c>
      <c r="AG219" s="4">
        <v>0.08</v>
      </c>
      <c r="AH219" s="6">
        <v>447.411743</v>
      </c>
      <c r="AI219" s="4">
        <v>1.4E-2</v>
      </c>
      <c r="AJ219" s="3">
        <f>COUNT(Z220:Z224,Z226:Z230,Z232:Z233,Z235:Z241,Z245:Z247)</f>
        <v>22</v>
      </c>
      <c r="AK219" s="3">
        <f>30-AJ219</f>
        <v>8</v>
      </c>
      <c r="AL219" s="3">
        <f>COUNT(AH218:AH219,AH225,AH231,AH234,AH242:AH244)</f>
        <v>8</v>
      </c>
      <c r="AM219" s="3">
        <f>30-AL219</f>
        <v>22</v>
      </c>
      <c r="AO219" s="4" t="s">
        <v>137</v>
      </c>
      <c r="AP219" s="4">
        <v>0.9</v>
      </c>
      <c r="AQ219" s="4">
        <v>0.5</v>
      </c>
      <c r="AR219" s="4">
        <v>0.6</v>
      </c>
      <c r="AS219" s="4">
        <v>0.3</v>
      </c>
      <c r="AT219" s="4">
        <v>881.770264</v>
      </c>
      <c r="AU219" s="4">
        <v>5.0000000000000001E-3</v>
      </c>
      <c r="AW219" s="4" t="s">
        <v>137</v>
      </c>
      <c r="AX219" s="4">
        <v>0.9</v>
      </c>
      <c r="AY219" s="4">
        <v>0.5</v>
      </c>
      <c r="AZ219" s="4">
        <v>0.6</v>
      </c>
      <c r="BA219" s="4">
        <v>0.1</v>
      </c>
      <c r="BB219" s="6">
        <v>760.69329800000003</v>
      </c>
      <c r="BC219" s="4">
        <v>3.7999999999999999E-2</v>
      </c>
      <c r="BD219" s="3">
        <f>COUNT(AT220:AT225,AT227,AT229:AT233,AT235:AT244,AT246:AT247)</f>
        <v>24</v>
      </c>
      <c r="BE219" s="3">
        <f>30-BD219</f>
        <v>6</v>
      </c>
      <c r="BF219" s="3">
        <f>COUNT(BB218:BB219,BB226,BB228,BB234,BB245)</f>
        <v>6</v>
      </c>
      <c r="BG219" s="3">
        <f>30-BF219</f>
        <v>24</v>
      </c>
      <c r="BI219" s="4" t="s">
        <v>137</v>
      </c>
      <c r="BJ219" s="4">
        <v>0.9</v>
      </c>
      <c r="BK219" s="4">
        <v>0.5</v>
      </c>
      <c r="BL219" s="4">
        <v>0.6</v>
      </c>
      <c r="BM219" s="4">
        <v>0.3</v>
      </c>
      <c r="BN219" s="6">
        <v>829.39160200000003</v>
      </c>
      <c r="BO219" s="4">
        <v>5.0000000000000001E-3</v>
      </c>
      <c r="BQ219" s="4" t="s">
        <v>137</v>
      </c>
      <c r="BR219" s="4">
        <v>0.9</v>
      </c>
      <c r="BS219" s="4">
        <v>0.5</v>
      </c>
      <c r="BT219" s="4">
        <v>0.6</v>
      </c>
      <c r="BU219" s="4">
        <v>0.43</v>
      </c>
      <c r="BV219" s="4">
        <v>884.405396</v>
      </c>
      <c r="BW219" s="4">
        <v>2.5999999999999999E-2</v>
      </c>
      <c r="BX219" s="3">
        <f>COUNT(BN219:BN226,BN229:BN230,BN233:BN236,BN238,BN240:BN243,BN246:BN247)</f>
        <v>21</v>
      </c>
      <c r="BY219" s="3">
        <f>30-BX219</f>
        <v>9</v>
      </c>
      <c r="BZ219" s="3">
        <f>COUNT(BV218,BV227:BV228,BV231:BV232,BV237,BV239,BV244:BV245)</f>
        <v>9</v>
      </c>
      <c r="CA219" s="3">
        <f>30-BZ219</f>
        <v>21</v>
      </c>
    </row>
    <row r="220" spans="1:79" x14ac:dyDescent="0.3">
      <c r="A220" s="4" t="s">
        <v>138</v>
      </c>
      <c r="B220" s="4">
        <v>0.9</v>
      </c>
      <c r="C220" s="4">
        <v>0.5</v>
      </c>
      <c r="D220" s="4">
        <v>0.6</v>
      </c>
      <c r="E220" s="4">
        <v>0.3</v>
      </c>
      <c r="F220" s="6">
        <v>603.32708700000001</v>
      </c>
      <c r="G220" s="4">
        <v>1E-3</v>
      </c>
      <c r="I220" s="4" t="s">
        <v>138</v>
      </c>
      <c r="J220" s="4">
        <v>0.9</v>
      </c>
      <c r="K220" s="4">
        <v>0.5</v>
      </c>
      <c r="L220" s="4">
        <v>0.6</v>
      </c>
      <c r="M220" s="4">
        <v>0.34</v>
      </c>
      <c r="N220" s="4">
        <v>610.18273899999997</v>
      </c>
      <c r="O220" s="4">
        <v>2.1999999999999999E-2</v>
      </c>
      <c r="P220" s="5"/>
      <c r="Q220" s="5"/>
      <c r="R220" s="5"/>
      <c r="S220" s="5"/>
      <c r="U220" s="4" t="s">
        <v>138</v>
      </c>
      <c r="V220" s="4">
        <v>0.9</v>
      </c>
      <c r="W220" s="4">
        <v>0.5</v>
      </c>
      <c r="X220" s="4">
        <v>0.6</v>
      </c>
      <c r="Y220" s="4">
        <v>0.3</v>
      </c>
      <c r="Z220" s="6">
        <v>545.328125</v>
      </c>
      <c r="AA220" s="4">
        <v>2E-3</v>
      </c>
      <c r="AC220" s="4" t="s">
        <v>138</v>
      </c>
      <c r="AD220" s="4">
        <v>0.9</v>
      </c>
      <c r="AE220" s="4">
        <v>0.5</v>
      </c>
      <c r="AF220" s="4">
        <v>0.6</v>
      </c>
      <c r="AG220" s="4">
        <v>0.98</v>
      </c>
      <c r="AH220" s="4">
        <v>626.22241199999996</v>
      </c>
      <c r="AI220" s="4">
        <v>0.01</v>
      </c>
      <c r="AJ220" s="5"/>
      <c r="AK220" s="5"/>
      <c r="AL220" s="5"/>
      <c r="AM220" s="5"/>
      <c r="AO220" s="4" t="s">
        <v>139</v>
      </c>
      <c r="AP220" s="4">
        <v>0.9</v>
      </c>
      <c r="AQ220" s="4">
        <v>0.5</v>
      </c>
      <c r="AR220" s="4">
        <v>0.6</v>
      </c>
      <c r="AS220" s="4">
        <v>0.3</v>
      </c>
      <c r="AT220" s="6">
        <v>896.74194299999999</v>
      </c>
      <c r="AU220" s="4">
        <v>8.0000000000000002E-3</v>
      </c>
      <c r="AW220" s="4" t="s">
        <v>139</v>
      </c>
      <c r="AX220" s="4">
        <v>0.9</v>
      </c>
      <c r="AY220" s="4">
        <v>0.5</v>
      </c>
      <c r="AZ220" s="4">
        <v>0.6</v>
      </c>
      <c r="BA220" s="4">
        <v>0.73</v>
      </c>
      <c r="BB220" s="4">
        <v>1019.806213</v>
      </c>
      <c r="BC220" s="4">
        <v>3.2000000000000001E-2</v>
      </c>
      <c r="BD220" s="5"/>
      <c r="BE220" s="5"/>
      <c r="BF220" s="5"/>
      <c r="BG220" s="5"/>
      <c r="BI220" s="4" t="s">
        <v>139</v>
      </c>
      <c r="BJ220" s="4">
        <v>0.9</v>
      </c>
      <c r="BK220" s="4">
        <v>0.5</v>
      </c>
      <c r="BL220" s="4">
        <v>0.6</v>
      </c>
      <c r="BM220" s="4">
        <v>0.3</v>
      </c>
      <c r="BN220" s="6">
        <v>832.72143600000004</v>
      </c>
      <c r="BO220" s="4">
        <v>6.0000000000000001E-3</v>
      </c>
      <c r="BQ220" s="4" t="s">
        <v>139</v>
      </c>
      <c r="BR220" s="4">
        <v>0.9</v>
      </c>
      <c r="BS220" s="4">
        <v>0.5</v>
      </c>
      <c r="BT220" s="4">
        <v>0.6</v>
      </c>
      <c r="BU220" s="4">
        <v>0.52</v>
      </c>
      <c r="BV220" s="4">
        <v>944.72619599999996</v>
      </c>
      <c r="BW220" s="4">
        <v>3.5000000000000003E-2</v>
      </c>
      <c r="BX220" s="5"/>
      <c r="BY220" s="5"/>
      <c r="BZ220" s="5"/>
      <c r="CA220" s="5"/>
    </row>
    <row r="221" spans="1:79" x14ac:dyDescent="0.3">
      <c r="A221" s="4" t="s">
        <v>140</v>
      </c>
      <c r="B221" s="4">
        <v>0.9</v>
      </c>
      <c r="C221" s="4">
        <v>0.5</v>
      </c>
      <c r="D221" s="4">
        <v>0.6</v>
      </c>
      <c r="E221" s="4">
        <v>0.3</v>
      </c>
      <c r="F221" s="6">
        <v>599.78900099999998</v>
      </c>
      <c r="G221" s="4">
        <v>1E-3</v>
      </c>
      <c r="I221" s="4" t="s">
        <v>140</v>
      </c>
      <c r="J221" s="4">
        <v>0.9</v>
      </c>
      <c r="K221" s="4">
        <v>0.5</v>
      </c>
      <c r="L221" s="4">
        <v>0.6</v>
      </c>
      <c r="M221" s="4">
        <v>0.41</v>
      </c>
      <c r="N221" s="4">
        <v>635.02893100000006</v>
      </c>
      <c r="O221" s="4">
        <v>1.0999999999999999E-2</v>
      </c>
      <c r="P221" s="5"/>
      <c r="Q221" s="5"/>
      <c r="R221" s="5"/>
      <c r="S221" s="5"/>
      <c r="U221" s="4" t="s">
        <v>140</v>
      </c>
      <c r="V221" s="4">
        <v>0.9</v>
      </c>
      <c r="W221" s="4">
        <v>0.5</v>
      </c>
      <c r="X221" s="4">
        <v>0.6</v>
      </c>
      <c r="Y221" s="4">
        <v>0.3</v>
      </c>
      <c r="Z221" s="6">
        <v>544.80743399999994</v>
      </c>
      <c r="AA221" s="4">
        <v>1E-3</v>
      </c>
      <c r="AC221" s="4" t="s">
        <v>140</v>
      </c>
      <c r="AD221" s="4">
        <v>0.9</v>
      </c>
      <c r="AE221" s="4">
        <v>0.5</v>
      </c>
      <c r="AF221" s="4">
        <v>0.6</v>
      </c>
      <c r="AG221" s="4">
        <v>0.64</v>
      </c>
      <c r="AH221" s="4">
        <v>645.60797100000002</v>
      </c>
      <c r="AI221" s="4">
        <v>1.9E-2</v>
      </c>
      <c r="AJ221" s="5"/>
      <c r="AK221" s="5"/>
      <c r="AL221" s="5"/>
      <c r="AM221" s="5"/>
      <c r="AO221" s="4" t="s">
        <v>141</v>
      </c>
      <c r="AP221" s="4">
        <v>0.9</v>
      </c>
      <c r="AQ221" s="4">
        <v>0.5</v>
      </c>
      <c r="AR221" s="4">
        <v>0.6</v>
      </c>
      <c r="AS221" s="4">
        <v>0.3</v>
      </c>
      <c r="AT221" s="6">
        <v>927.65460199999995</v>
      </c>
      <c r="AU221" s="4">
        <v>5.0000000000000001E-3</v>
      </c>
      <c r="AW221" s="4" t="s">
        <v>141</v>
      </c>
      <c r="AX221" s="4">
        <v>0.9</v>
      </c>
      <c r="AY221" s="4">
        <v>0.5</v>
      </c>
      <c r="AZ221" s="4">
        <v>0.6</v>
      </c>
      <c r="BA221" s="4">
        <v>0.47</v>
      </c>
      <c r="BB221" s="4">
        <v>1007.917786</v>
      </c>
      <c r="BC221" s="4">
        <v>2.5000000000000001E-2</v>
      </c>
      <c r="BD221" s="5"/>
      <c r="BE221" s="5"/>
      <c r="BF221" s="5"/>
      <c r="BG221" s="5"/>
      <c r="BI221" s="4" t="s">
        <v>141</v>
      </c>
      <c r="BJ221" s="4">
        <v>0.9</v>
      </c>
      <c r="BK221" s="4">
        <v>0.5</v>
      </c>
      <c r="BL221" s="4">
        <v>0.6</v>
      </c>
      <c r="BM221" s="4">
        <v>0.3</v>
      </c>
      <c r="BN221" s="6">
        <v>896.203125</v>
      </c>
      <c r="BO221" s="4">
        <v>6.0000000000000001E-3</v>
      </c>
      <c r="BQ221" s="4" t="s">
        <v>141</v>
      </c>
      <c r="BR221" s="4">
        <v>0.9</v>
      </c>
      <c r="BS221" s="4">
        <v>0.5</v>
      </c>
      <c r="BT221" s="4">
        <v>0.6</v>
      </c>
      <c r="BU221" s="4">
        <v>0.36</v>
      </c>
      <c r="BV221" s="4">
        <v>934.14276099999995</v>
      </c>
      <c r="BW221" s="4">
        <v>2.5000000000000001E-2</v>
      </c>
      <c r="BX221" s="5"/>
      <c r="BY221" s="5"/>
      <c r="BZ221" s="5"/>
      <c r="CA221" s="5"/>
    </row>
    <row r="222" spans="1:79" x14ac:dyDescent="0.3">
      <c r="A222" s="4" t="s">
        <v>142</v>
      </c>
      <c r="B222" s="4">
        <v>0.9</v>
      </c>
      <c r="C222" s="4">
        <v>0.5</v>
      </c>
      <c r="D222" s="4">
        <v>0.6</v>
      </c>
      <c r="E222" s="4">
        <v>0.3</v>
      </c>
      <c r="F222" s="6">
        <v>519.76959199999999</v>
      </c>
      <c r="G222" s="4">
        <v>2E-3</v>
      </c>
      <c r="I222" s="4" t="s">
        <v>142</v>
      </c>
      <c r="J222" s="4">
        <v>0.9</v>
      </c>
      <c r="K222" s="4">
        <v>0.5</v>
      </c>
      <c r="L222" s="4">
        <v>0.6</v>
      </c>
      <c r="M222" s="4">
        <v>0.57999999999999996</v>
      </c>
      <c r="N222" s="4">
        <v>570.22283900000002</v>
      </c>
      <c r="O222" s="4">
        <v>1.0999999999999999E-2</v>
      </c>
      <c r="P222" s="5"/>
      <c r="Q222" s="5"/>
      <c r="R222" s="5"/>
      <c r="S222" s="5"/>
      <c r="U222" s="4" t="s">
        <v>142</v>
      </c>
      <c r="V222" s="4">
        <v>0.9</v>
      </c>
      <c r="W222" s="4">
        <v>0.5</v>
      </c>
      <c r="X222" s="4">
        <v>0.6</v>
      </c>
      <c r="Y222" s="4">
        <v>0.3</v>
      </c>
      <c r="Z222" s="6">
        <v>446.243652</v>
      </c>
      <c r="AA222" s="4">
        <v>2E-3</v>
      </c>
      <c r="AC222" s="4" t="s">
        <v>142</v>
      </c>
      <c r="AD222" s="4">
        <v>0.9</v>
      </c>
      <c r="AE222" s="4">
        <v>0.5</v>
      </c>
      <c r="AF222" s="4">
        <v>0.6</v>
      </c>
      <c r="AG222" s="4">
        <v>0.52</v>
      </c>
      <c r="AH222" s="4">
        <v>491.19515999999999</v>
      </c>
      <c r="AI222" s="4">
        <v>7.0000000000000001E-3</v>
      </c>
      <c r="AJ222" s="5"/>
      <c r="AK222" s="5"/>
      <c r="AL222" s="5"/>
      <c r="AM222" s="5"/>
      <c r="AO222" s="4" t="s">
        <v>143</v>
      </c>
      <c r="AP222" s="4">
        <v>0.9</v>
      </c>
      <c r="AQ222" s="4">
        <v>0.5</v>
      </c>
      <c r="AR222" s="4">
        <v>0.6</v>
      </c>
      <c r="AS222" s="4">
        <v>0.3</v>
      </c>
      <c r="AT222" s="6">
        <v>895.97418200000004</v>
      </c>
      <c r="AU222" s="4">
        <v>5.0000000000000001E-3</v>
      </c>
      <c r="AW222" s="4" t="s">
        <v>143</v>
      </c>
      <c r="AX222" s="4">
        <v>0.9</v>
      </c>
      <c r="AY222" s="4">
        <v>0.5</v>
      </c>
      <c r="AZ222" s="4">
        <v>0.6</v>
      </c>
      <c r="BA222" s="4">
        <v>0.44</v>
      </c>
      <c r="BB222" s="4">
        <v>956.38189699999998</v>
      </c>
      <c r="BC222" s="4">
        <v>1.4999999999999999E-2</v>
      </c>
      <c r="BD222" s="5"/>
      <c r="BE222" s="5"/>
      <c r="BF222" s="5"/>
      <c r="BG222" s="5"/>
      <c r="BI222" s="4" t="s">
        <v>143</v>
      </c>
      <c r="BJ222" s="4">
        <v>0.9</v>
      </c>
      <c r="BK222" s="4">
        <v>0.5</v>
      </c>
      <c r="BL222" s="4">
        <v>0.6</v>
      </c>
      <c r="BM222" s="4">
        <v>0.3</v>
      </c>
      <c r="BN222" s="6">
        <v>828.85339399999998</v>
      </c>
      <c r="BO222" s="4">
        <v>5.0000000000000001E-3</v>
      </c>
      <c r="BQ222" s="4" t="s">
        <v>143</v>
      </c>
      <c r="BR222" s="4">
        <v>0.9</v>
      </c>
      <c r="BS222" s="4">
        <v>0.5</v>
      </c>
      <c r="BT222" s="4">
        <v>0.6</v>
      </c>
      <c r="BU222" s="4">
        <v>0.68</v>
      </c>
      <c r="BV222" s="4">
        <v>968.29315199999996</v>
      </c>
      <c r="BW222" s="4">
        <v>3.3000000000000002E-2</v>
      </c>
      <c r="BX222" s="5"/>
      <c r="BY222" s="5"/>
      <c r="BZ222" s="5"/>
      <c r="CA222" s="5"/>
    </row>
    <row r="223" spans="1:79" x14ac:dyDescent="0.3">
      <c r="A223" s="4" t="s">
        <v>144</v>
      </c>
      <c r="B223" s="4">
        <v>0.9</v>
      </c>
      <c r="C223" s="4">
        <v>0.5</v>
      </c>
      <c r="D223" s="4">
        <v>0.6</v>
      </c>
      <c r="E223" s="4">
        <v>0.3</v>
      </c>
      <c r="F223" s="6">
        <v>610.307007</v>
      </c>
      <c r="G223" s="4">
        <v>2E-3</v>
      </c>
      <c r="I223" s="4" t="s">
        <v>144</v>
      </c>
      <c r="J223" s="4">
        <v>0.9</v>
      </c>
      <c r="K223" s="4">
        <v>0.5</v>
      </c>
      <c r="L223" s="4">
        <v>0.6</v>
      </c>
      <c r="M223" s="4">
        <v>0.56999999999999995</v>
      </c>
      <c r="N223" s="4">
        <v>655.37719700000002</v>
      </c>
      <c r="O223" s="4">
        <v>0.01</v>
      </c>
      <c r="P223" s="5"/>
      <c r="Q223" s="5"/>
      <c r="R223" s="5"/>
      <c r="S223" s="5"/>
      <c r="U223" s="4" t="s">
        <v>144</v>
      </c>
      <c r="V223" s="4">
        <v>0.9</v>
      </c>
      <c r="W223" s="4">
        <v>0.5</v>
      </c>
      <c r="X223" s="4">
        <v>0.6</v>
      </c>
      <c r="Y223" s="4">
        <v>0.3</v>
      </c>
      <c r="Z223" s="6">
        <v>577.97735599999999</v>
      </c>
      <c r="AA223" s="4">
        <v>1E-3</v>
      </c>
      <c r="AC223" s="4" t="s">
        <v>144</v>
      </c>
      <c r="AD223" s="4">
        <v>0.9</v>
      </c>
      <c r="AE223" s="4">
        <v>0.5</v>
      </c>
      <c r="AF223" s="4">
        <v>0.6</v>
      </c>
      <c r="AG223" s="4">
        <v>0.54</v>
      </c>
      <c r="AH223" s="4">
        <v>623.79595900000004</v>
      </c>
      <c r="AI223" s="4">
        <v>1.4999999999999999E-2</v>
      </c>
      <c r="AJ223" s="5"/>
      <c r="AK223" s="5"/>
      <c r="AL223" s="5"/>
      <c r="AM223" s="5"/>
      <c r="AO223" s="4" t="s">
        <v>145</v>
      </c>
      <c r="AP223" s="4">
        <v>0.9</v>
      </c>
      <c r="AQ223" s="4">
        <v>0.5</v>
      </c>
      <c r="AR223" s="4">
        <v>0.6</v>
      </c>
      <c r="AS223" s="4">
        <v>0.3</v>
      </c>
      <c r="AT223" s="6">
        <v>901.23089600000003</v>
      </c>
      <c r="AU223" s="4">
        <v>5.0000000000000001E-3</v>
      </c>
      <c r="AW223" s="4" t="s">
        <v>145</v>
      </c>
      <c r="AX223" s="4">
        <v>0.9</v>
      </c>
      <c r="AY223" s="4">
        <v>0.5</v>
      </c>
      <c r="AZ223" s="4">
        <v>0.6</v>
      </c>
      <c r="BA223" s="4">
        <v>0.5</v>
      </c>
      <c r="BB223" s="4">
        <v>984.19201699999996</v>
      </c>
      <c r="BC223" s="4">
        <v>1.7999999999999999E-2</v>
      </c>
      <c r="BD223" s="5"/>
      <c r="BE223" s="5"/>
      <c r="BF223" s="5"/>
      <c r="BG223" s="5"/>
      <c r="BI223" s="4" t="s">
        <v>145</v>
      </c>
      <c r="BJ223" s="4">
        <v>0.9</v>
      </c>
      <c r="BK223" s="4">
        <v>0.5</v>
      </c>
      <c r="BL223" s="4">
        <v>0.6</v>
      </c>
      <c r="BM223" s="4">
        <v>0.3</v>
      </c>
      <c r="BN223" s="6">
        <v>845.92199700000003</v>
      </c>
      <c r="BO223" s="4">
        <v>7.0000000000000001E-3</v>
      </c>
      <c r="BQ223" s="4" t="s">
        <v>145</v>
      </c>
      <c r="BR223" s="4">
        <v>0.9</v>
      </c>
      <c r="BS223" s="4">
        <v>0.5</v>
      </c>
      <c r="BT223" s="4">
        <v>0.6</v>
      </c>
      <c r="BU223" s="4">
        <v>0.75</v>
      </c>
      <c r="BV223" s="4">
        <v>1004.633545</v>
      </c>
      <c r="BW223" s="4">
        <v>2.5999999999999999E-2</v>
      </c>
      <c r="BX223" s="5"/>
      <c r="BY223" s="5"/>
      <c r="BZ223" s="5"/>
      <c r="CA223" s="5"/>
    </row>
    <row r="224" spans="1:79" x14ac:dyDescent="0.3">
      <c r="A224" s="4" t="s">
        <v>146</v>
      </c>
      <c r="B224" s="4">
        <v>0.9</v>
      </c>
      <c r="C224" s="4">
        <v>0.5</v>
      </c>
      <c r="D224" s="4">
        <v>0.6</v>
      </c>
      <c r="E224" s="4">
        <v>0.3</v>
      </c>
      <c r="F224" s="6">
        <v>543.838257</v>
      </c>
      <c r="G224" s="4">
        <v>2E-3</v>
      </c>
      <c r="I224" s="4" t="s">
        <v>146</v>
      </c>
      <c r="J224" s="4">
        <v>0.9</v>
      </c>
      <c r="K224" s="4">
        <v>0.5</v>
      </c>
      <c r="L224" s="4">
        <v>0.6</v>
      </c>
      <c r="M224" s="4">
        <v>0.83</v>
      </c>
      <c r="N224" s="4">
        <v>623.07153300000004</v>
      </c>
      <c r="O224" s="4">
        <v>1.2E-2</v>
      </c>
      <c r="P224" s="5"/>
      <c r="Q224" s="5"/>
      <c r="R224" s="5"/>
      <c r="S224" s="5"/>
      <c r="U224" s="4" t="s">
        <v>146</v>
      </c>
      <c r="V224" s="4">
        <v>0.9</v>
      </c>
      <c r="W224" s="4">
        <v>0.5</v>
      </c>
      <c r="X224" s="4">
        <v>0.6</v>
      </c>
      <c r="Y224" s="4">
        <v>0.3</v>
      </c>
      <c r="Z224" s="6">
        <v>466.94134500000001</v>
      </c>
      <c r="AA224" s="4">
        <v>2E-3</v>
      </c>
      <c r="AC224" s="4" t="s">
        <v>146</v>
      </c>
      <c r="AD224" s="4">
        <v>0.9</v>
      </c>
      <c r="AE224" s="4">
        <v>0.5</v>
      </c>
      <c r="AF224" s="4">
        <v>0.6</v>
      </c>
      <c r="AG224" s="4">
        <v>0.32</v>
      </c>
      <c r="AH224" s="4">
        <v>486.22427399999998</v>
      </c>
      <c r="AI224" s="4">
        <v>1.2E-2</v>
      </c>
      <c r="AJ224" s="5"/>
      <c r="AK224" s="5"/>
      <c r="AL224" s="5"/>
      <c r="AM224" s="5"/>
      <c r="AO224" s="4" t="s">
        <v>147</v>
      </c>
      <c r="AP224" s="4">
        <v>0.9</v>
      </c>
      <c r="AQ224" s="4">
        <v>0.5</v>
      </c>
      <c r="AR224" s="4">
        <v>0.6</v>
      </c>
      <c r="AS224" s="4">
        <v>0.3</v>
      </c>
      <c r="AT224" s="6">
        <v>847.52862500000003</v>
      </c>
      <c r="AU224" s="4">
        <v>6.0000000000000001E-3</v>
      </c>
      <c r="AW224" s="4" t="s">
        <v>147</v>
      </c>
      <c r="AX224" s="4">
        <v>0.9</v>
      </c>
      <c r="AY224" s="4">
        <v>0.5</v>
      </c>
      <c r="AZ224" s="4">
        <v>0.6</v>
      </c>
      <c r="BA224" s="4">
        <v>0.98</v>
      </c>
      <c r="BB224" s="4">
        <v>1036.6354980000001</v>
      </c>
      <c r="BC224" s="4">
        <v>1.4E-2</v>
      </c>
      <c r="BD224" s="5"/>
      <c r="BE224" s="5"/>
      <c r="BF224" s="5"/>
      <c r="BG224" s="5"/>
      <c r="BI224" s="4" t="s">
        <v>147</v>
      </c>
      <c r="BJ224" s="4">
        <v>0.9</v>
      </c>
      <c r="BK224" s="4">
        <v>0.5</v>
      </c>
      <c r="BL224" s="4">
        <v>0.6</v>
      </c>
      <c r="BM224" s="4">
        <v>0.3</v>
      </c>
      <c r="BN224" s="6">
        <v>788.03344700000002</v>
      </c>
      <c r="BO224" s="4">
        <v>5.0000000000000001E-3</v>
      </c>
      <c r="BQ224" s="4" t="s">
        <v>147</v>
      </c>
      <c r="BR224" s="4">
        <v>0.9</v>
      </c>
      <c r="BS224" s="4">
        <v>0.5</v>
      </c>
      <c r="BT224" s="4">
        <v>0.6</v>
      </c>
      <c r="BU224" s="4">
        <v>0.99</v>
      </c>
      <c r="BV224" s="4">
        <v>989.96929899999998</v>
      </c>
      <c r="BW224" s="4">
        <v>3.3000000000000002E-2</v>
      </c>
      <c r="BX224" s="5"/>
      <c r="BY224" s="5"/>
      <c r="BZ224" s="5"/>
      <c r="CA224" s="5"/>
    </row>
    <row r="225" spans="1:79" x14ac:dyDescent="0.3">
      <c r="A225" s="4" t="s">
        <v>148</v>
      </c>
      <c r="B225" s="4">
        <v>0.9</v>
      </c>
      <c r="C225" s="4">
        <v>0.5</v>
      </c>
      <c r="D225" s="4">
        <v>0.6</v>
      </c>
      <c r="E225" s="4">
        <v>0.3</v>
      </c>
      <c r="F225" s="6">
        <v>599.996216</v>
      </c>
      <c r="G225" s="4">
        <v>1E-3</v>
      </c>
      <c r="I225" s="4" t="s">
        <v>148</v>
      </c>
      <c r="J225" s="4">
        <v>0.9</v>
      </c>
      <c r="K225" s="4">
        <v>0.5</v>
      </c>
      <c r="L225" s="4">
        <v>0.6</v>
      </c>
      <c r="M225" s="4">
        <v>0.55000000000000004</v>
      </c>
      <c r="N225" s="4">
        <v>650.90686000000005</v>
      </c>
      <c r="O225" s="4">
        <v>1.4E-2</v>
      </c>
      <c r="P225" s="5"/>
      <c r="Q225" s="5"/>
      <c r="R225" s="5"/>
      <c r="S225" s="5"/>
      <c r="U225" s="4" t="s">
        <v>148</v>
      </c>
      <c r="V225" s="4">
        <v>0.9</v>
      </c>
      <c r="W225" s="4">
        <v>0.5</v>
      </c>
      <c r="X225" s="4">
        <v>0.6</v>
      </c>
      <c r="Y225" s="4">
        <v>0.3</v>
      </c>
      <c r="Z225" s="4">
        <v>541.82678199999998</v>
      </c>
      <c r="AA225" s="4">
        <v>1E-3</v>
      </c>
      <c r="AC225" s="4" t="s">
        <v>148</v>
      </c>
      <c r="AD225" s="4">
        <v>0.9</v>
      </c>
      <c r="AE225" s="4">
        <v>0.5</v>
      </c>
      <c r="AF225" s="4">
        <v>0.6</v>
      </c>
      <c r="AG225" s="4">
        <v>0.13</v>
      </c>
      <c r="AH225" s="6">
        <v>500.84716800000001</v>
      </c>
      <c r="AI225" s="4">
        <v>8.9999999999999993E-3</v>
      </c>
      <c r="AJ225" s="5"/>
      <c r="AK225" s="5"/>
      <c r="AL225" s="5"/>
      <c r="AM225" s="5"/>
      <c r="AO225" s="4" t="s">
        <v>149</v>
      </c>
      <c r="AP225" s="4">
        <v>0.9</v>
      </c>
      <c r="AQ225" s="4">
        <v>0.5</v>
      </c>
      <c r="AR225" s="4">
        <v>0.6</v>
      </c>
      <c r="AS225" s="4">
        <v>0.3</v>
      </c>
      <c r="AT225" s="6">
        <v>854.40582300000005</v>
      </c>
      <c r="AU225" s="4">
        <v>6.0000000000000001E-3</v>
      </c>
      <c r="AW225" s="4" t="s">
        <v>149</v>
      </c>
      <c r="AX225" s="4">
        <v>0.9</v>
      </c>
      <c r="AY225" s="4">
        <v>0.5</v>
      </c>
      <c r="AZ225" s="4">
        <v>0.6</v>
      </c>
      <c r="BA225" s="4">
        <v>0.83</v>
      </c>
      <c r="BB225" s="4">
        <v>985.15521200000001</v>
      </c>
      <c r="BC225" s="4">
        <v>2.4E-2</v>
      </c>
      <c r="BD225" s="5"/>
      <c r="BE225" s="5"/>
      <c r="BF225" s="5"/>
      <c r="BG225" s="5"/>
      <c r="BI225" s="4" t="s">
        <v>149</v>
      </c>
      <c r="BJ225" s="4">
        <v>0.9</v>
      </c>
      <c r="BK225" s="4">
        <v>0.5</v>
      </c>
      <c r="BL225" s="4">
        <v>0.6</v>
      </c>
      <c r="BM225" s="4">
        <v>0.3</v>
      </c>
      <c r="BN225" s="6">
        <v>816.615906</v>
      </c>
      <c r="BO225" s="4">
        <v>5.0000000000000001E-3</v>
      </c>
      <c r="BQ225" s="4" t="s">
        <v>149</v>
      </c>
      <c r="BR225" s="4">
        <v>0.9</v>
      </c>
      <c r="BS225" s="4">
        <v>0.5</v>
      </c>
      <c r="BT225" s="4">
        <v>0.6</v>
      </c>
      <c r="BU225" s="4">
        <v>0.32</v>
      </c>
      <c r="BV225" s="4">
        <v>844.99890100000005</v>
      </c>
      <c r="BW225" s="4">
        <v>1.7999999999999999E-2</v>
      </c>
      <c r="BX225" s="5"/>
      <c r="BY225" s="5"/>
      <c r="BZ225" s="5"/>
      <c r="CA225" s="5"/>
    </row>
    <row r="226" spans="1:79" x14ac:dyDescent="0.3">
      <c r="A226" s="4" t="s">
        <v>150</v>
      </c>
      <c r="B226" s="4">
        <v>0.9</v>
      </c>
      <c r="C226" s="4">
        <v>0.5</v>
      </c>
      <c r="D226" s="4">
        <v>0.6</v>
      </c>
      <c r="E226" s="4">
        <v>0.3</v>
      </c>
      <c r="F226" s="6">
        <v>536.33410600000002</v>
      </c>
      <c r="G226" s="4">
        <v>1E-3</v>
      </c>
      <c r="I226" s="4" t="s">
        <v>150</v>
      </c>
      <c r="J226" s="4">
        <v>0.9</v>
      </c>
      <c r="K226" s="4">
        <v>0.5</v>
      </c>
      <c r="L226" s="4">
        <v>0.6</v>
      </c>
      <c r="M226" s="4">
        <v>0.26</v>
      </c>
      <c r="N226" s="4">
        <v>539.45971699999996</v>
      </c>
      <c r="O226" s="4">
        <v>2.4E-2</v>
      </c>
      <c r="P226" s="5"/>
      <c r="Q226" s="5"/>
      <c r="R226" s="5"/>
      <c r="S226" s="5"/>
      <c r="U226" s="4" t="s">
        <v>150</v>
      </c>
      <c r="V226" s="4">
        <v>0.9</v>
      </c>
      <c r="W226" s="4">
        <v>0.5</v>
      </c>
      <c r="X226" s="4">
        <v>0.6</v>
      </c>
      <c r="Y226" s="4">
        <v>0.3</v>
      </c>
      <c r="Z226" s="6">
        <v>449.11697400000003</v>
      </c>
      <c r="AA226" s="4">
        <v>1E-3</v>
      </c>
      <c r="AC226" s="4" t="s">
        <v>150</v>
      </c>
      <c r="AD226" s="4">
        <v>0.9</v>
      </c>
      <c r="AE226" s="4">
        <v>0.5</v>
      </c>
      <c r="AF226" s="4">
        <v>0.6</v>
      </c>
      <c r="AG226" s="4">
        <v>0.74</v>
      </c>
      <c r="AH226" s="4">
        <v>596.15325900000005</v>
      </c>
      <c r="AI226" s="4">
        <v>1.2E-2</v>
      </c>
      <c r="AJ226" s="5"/>
      <c r="AK226" s="5"/>
      <c r="AL226" s="5"/>
      <c r="AM226" s="5"/>
      <c r="AO226" s="4" t="s">
        <v>151</v>
      </c>
      <c r="AP226" s="4">
        <v>0.9</v>
      </c>
      <c r="AQ226" s="4">
        <v>0.5</v>
      </c>
      <c r="AR226" s="4">
        <v>0.6</v>
      </c>
      <c r="AS226" s="4">
        <v>0.3</v>
      </c>
      <c r="AT226" s="4">
        <v>795.18896500000005</v>
      </c>
      <c r="AU226" s="4">
        <v>5.0000000000000001E-3</v>
      </c>
      <c r="AW226" s="4" t="s">
        <v>151</v>
      </c>
      <c r="AX226" s="4">
        <v>0.9</v>
      </c>
      <c r="AY226" s="4">
        <v>0.5</v>
      </c>
      <c r="AZ226" s="4">
        <v>0.6</v>
      </c>
      <c r="BA226" s="4">
        <v>0.02</v>
      </c>
      <c r="BB226" s="6">
        <v>691.52972399999999</v>
      </c>
      <c r="BC226" s="4">
        <v>2.1999999999999999E-2</v>
      </c>
      <c r="BD226" s="5"/>
      <c r="BE226" s="5"/>
      <c r="BF226" s="5"/>
      <c r="BG226" s="5"/>
      <c r="BI226" s="4" t="s">
        <v>151</v>
      </c>
      <c r="BJ226" s="4">
        <v>0.9</v>
      </c>
      <c r="BK226" s="4">
        <v>0.5</v>
      </c>
      <c r="BL226" s="4">
        <v>0.6</v>
      </c>
      <c r="BM226" s="4">
        <v>0.3</v>
      </c>
      <c r="BN226" s="6">
        <v>732.98535200000003</v>
      </c>
      <c r="BO226" s="4">
        <v>5.0000000000000001E-3</v>
      </c>
      <c r="BQ226" s="4" t="s">
        <v>151</v>
      </c>
      <c r="BR226" s="4">
        <v>0.9</v>
      </c>
      <c r="BS226" s="4">
        <v>0.5</v>
      </c>
      <c r="BT226" s="4">
        <v>0.6</v>
      </c>
      <c r="BU226" s="4">
        <v>0.82</v>
      </c>
      <c r="BV226" s="4">
        <v>896.35540800000001</v>
      </c>
      <c r="BW226" s="4">
        <v>2.8000000000000001E-2</v>
      </c>
      <c r="BX226" s="5"/>
      <c r="BY226" s="5"/>
      <c r="BZ226" s="5"/>
      <c r="CA226" s="5"/>
    </row>
    <row r="227" spans="1:79" x14ac:dyDescent="0.3">
      <c r="A227" s="4" t="s">
        <v>152</v>
      </c>
      <c r="B227" s="4">
        <v>0.9</v>
      </c>
      <c r="C227" s="4">
        <v>0.5</v>
      </c>
      <c r="D227" s="4">
        <v>0.6</v>
      </c>
      <c r="E227" s="4">
        <v>0.3</v>
      </c>
      <c r="F227" s="6">
        <v>582.50158699999997</v>
      </c>
      <c r="G227" s="4">
        <v>1E-3</v>
      </c>
      <c r="I227" s="4" t="s">
        <v>152</v>
      </c>
      <c r="J227" s="4">
        <v>0.9</v>
      </c>
      <c r="K227" s="4">
        <v>0.5</v>
      </c>
      <c r="L227" s="4">
        <v>0.6</v>
      </c>
      <c r="M227" s="4">
        <v>0.7</v>
      </c>
      <c r="N227" s="4">
        <v>633.68743900000004</v>
      </c>
      <c r="O227" s="4">
        <v>1.6E-2</v>
      </c>
      <c r="P227" s="5"/>
      <c r="Q227" s="5"/>
      <c r="R227" s="5"/>
      <c r="S227" s="5"/>
      <c r="U227" s="4" t="s">
        <v>152</v>
      </c>
      <c r="V227" s="4">
        <v>0.9</v>
      </c>
      <c r="W227" s="4">
        <v>0.5</v>
      </c>
      <c r="X227" s="4">
        <v>0.6</v>
      </c>
      <c r="Y227" s="4">
        <v>0.3</v>
      </c>
      <c r="Z227" s="6">
        <v>536.48095699999999</v>
      </c>
      <c r="AA227" s="4">
        <v>1E-3</v>
      </c>
      <c r="AC227" s="4" t="s">
        <v>152</v>
      </c>
      <c r="AD227" s="4">
        <v>0.9</v>
      </c>
      <c r="AE227" s="4">
        <v>0.5</v>
      </c>
      <c r="AF227" s="4">
        <v>0.6</v>
      </c>
      <c r="AG227" s="4">
        <v>0.67</v>
      </c>
      <c r="AH227" s="4">
        <v>615.50964399999998</v>
      </c>
      <c r="AI227" s="4">
        <v>2.5000000000000001E-2</v>
      </c>
      <c r="AJ227" s="5"/>
      <c r="AK227" s="5"/>
      <c r="AL227" s="5"/>
      <c r="AM227" s="5"/>
      <c r="AO227" s="4" t="s">
        <v>153</v>
      </c>
      <c r="AP227" s="4">
        <v>0.9</v>
      </c>
      <c r="AQ227" s="4">
        <v>0.5</v>
      </c>
      <c r="AR227" s="4">
        <v>0.6</v>
      </c>
      <c r="AS227" s="4">
        <v>0.3</v>
      </c>
      <c r="AT227" s="6">
        <v>850.49096699999996</v>
      </c>
      <c r="AU227" s="4">
        <v>5.0000000000000001E-3</v>
      </c>
      <c r="AW227" s="4" t="s">
        <v>153</v>
      </c>
      <c r="AX227" s="4">
        <v>0.9</v>
      </c>
      <c r="AY227" s="4">
        <v>0.5</v>
      </c>
      <c r="AZ227" s="4">
        <v>0.6</v>
      </c>
      <c r="BA227" s="4">
        <v>0.84</v>
      </c>
      <c r="BB227" s="4">
        <v>1042.763062</v>
      </c>
      <c r="BC227" s="4">
        <v>1.7000000000000001E-2</v>
      </c>
      <c r="BD227" s="5"/>
      <c r="BE227" s="5"/>
      <c r="BF227" s="5"/>
      <c r="BG227" s="5"/>
      <c r="BI227" s="4" t="s">
        <v>153</v>
      </c>
      <c r="BJ227" s="4">
        <v>0.9</v>
      </c>
      <c r="BK227" s="4">
        <v>0.5</v>
      </c>
      <c r="BL227" s="4">
        <v>0.6</v>
      </c>
      <c r="BM227" s="4">
        <v>0.3</v>
      </c>
      <c r="BN227" s="4">
        <v>789.715149</v>
      </c>
      <c r="BO227" s="4">
        <v>6.0000000000000001E-3</v>
      </c>
      <c r="BQ227" s="4" t="s">
        <v>153</v>
      </c>
      <c r="BR227" s="4">
        <v>0.9</v>
      </c>
      <c r="BS227" s="4">
        <v>0.5</v>
      </c>
      <c r="BT227" s="4">
        <v>0.6</v>
      </c>
      <c r="BU227" s="4">
        <v>0.05</v>
      </c>
      <c r="BV227" s="6">
        <v>703.79400599999997</v>
      </c>
      <c r="BW227" s="4">
        <v>3.5000000000000003E-2</v>
      </c>
      <c r="BX227" s="5"/>
      <c r="BY227" s="5"/>
      <c r="BZ227" s="5"/>
      <c r="CA227" s="5"/>
    </row>
    <row r="228" spans="1:79" x14ac:dyDescent="0.3">
      <c r="A228" s="4" t="s">
        <v>154</v>
      </c>
      <c r="B228" s="4">
        <v>0.9</v>
      </c>
      <c r="C228" s="4">
        <v>0.5</v>
      </c>
      <c r="D228" s="4">
        <v>0.6</v>
      </c>
      <c r="E228" s="4">
        <v>0.3</v>
      </c>
      <c r="F228" s="6">
        <v>573.82934599999999</v>
      </c>
      <c r="G228" s="4">
        <v>2E-3</v>
      </c>
      <c r="I228" s="4" t="s">
        <v>154</v>
      </c>
      <c r="J228" s="4">
        <v>0.9</v>
      </c>
      <c r="K228" s="4">
        <v>0.5</v>
      </c>
      <c r="L228" s="4">
        <v>0.6</v>
      </c>
      <c r="M228" s="4">
        <v>0.34</v>
      </c>
      <c r="N228" s="4">
        <v>625.53698699999995</v>
      </c>
      <c r="O228" s="4">
        <v>1.6E-2</v>
      </c>
      <c r="P228" s="5"/>
      <c r="Q228" s="5"/>
      <c r="R228" s="5"/>
      <c r="S228" s="5"/>
      <c r="U228" s="4" t="s">
        <v>154</v>
      </c>
      <c r="V228" s="4">
        <v>0.9</v>
      </c>
      <c r="W228" s="4">
        <v>0.5</v>
      </c>
      <c r="X228" s="4">
        <v>0.6</v>
      </c>
      <c r="Y228" s="4">
        <v>0.3</v>
      </c>
      <c r="Z228" s="6">
        <v>579.96484399999997</v>
      </c>
      <c r="AA228" s="4">
        <v>1E-3</v>
      </c>
      <c r="AC228" s="4" t="s">
        <v>154</v>
      </c>
      <c r="AD228" s="4">
        <v>0.9</v>
      </c>
      <c r="AE228" s="4">
        <v>0.5</v>
      </c>
      <c r="AF228" s="4">
        <v>0.6</v>
      </c>
      <c r="AG228" s="4">
        <v>0.86</v>
      </c>
      <c r="AH228" s="4">
        <v>670.85522500000002</v>
      </c>
      <c r="AI228" s="4">
        <v>2.4E-2</v>
      </c>
      <c r="AJ228" s="5"/>
      <c r="AK228" s="5"/>
      <c r="AL228" s="5"/>
      <c r="AM228" s="5"/>
      <c r="AO228" s="4" t="s">
        <v>155</v>
      </c>
      <c r="AP228" s="4">
        <v>0.9</v>
      </c>
      <c r="AQ228" s="4">
        <v>0.5</v>
      </c>
      <c r="AR228" s="4">
        <v>0.6</v>
      </c>
      <c r="AS228" s="4">
        <v>0.3</v>
      </c>
      <c r="AT228" s="4">
        <v>1067.165283</v>
      </c>
      <c r="AU228" s="4">
        <v>7.0000000000000001E-3</v>
      </c>
      <c r="AW228" s="4" t="s">
        <v>155</v>
      </c>
      <c r="AX228" s="4">
        <v>0.9</v>
      </c>
      <c r="AY228" s="4">
        <v>0.5</v>
      </c>
      <c r="AZ228" s="4">
        <v>0.6</v>
      </c>
      <c r="BA228" s="4">
        <v>0.2</v>
      </c>
      <c r="BB228" s="6">
        <v>1047.9879149999999</v>
      </c>
      <c r="BC228" s="4">
        <v>2.1999999999999999E-2</v>
      </c>
      <c r="BD228" s="5"/>
      <c r="BE228" s="5"/>
      <c r="BF228" s="5"/>
      <c r="BG228" s="5"/>
      <c r="BI228" s="4" t="s">
        <v>155</v>
      </c>
      <c r="BJ228" s="4">
        <v>0.9</v>
      </c>
      <c r="BK228" s="4">
        <v>0.5</v>
      </c>
      <c r="BL228" s="4">
        <v>0.6</v>
      </c>
      <c r="BM228" s="4">
        <v>0.3</v>
      </c>
      <c r="BN228" s="4">
        <v>1074.2280270000001</v>
      </c>
      <c r="BO228" s="4">
        <v>7.0000000000000001E-3</v>
      </c>
      <c r="BQ228" s="4" t="s">
        <v>155</v>
      </c>
      <c r="BR228" s="4">
        <v>0.9</v>
      </c>
      <c r="BS228" s="4">
        <v>0.5</v>
      </c>
      <c r="BT228" s="4">
        <v>0.6</v>
      </c>
      <c r="BU228" s="4">
        <v>0.05</v>
      </c>
      <c r="BV228" s="6">
        <v>936.830872</v>
      </c>
      <c r="BW228" s="4">
        <v>0.02</v>
      </c>
      <c r="BX228" s="5"/>
      <c r="BY228" s="5"/>
      <c r="BZ228" s="5"/>
      <c r="CA228" s="5"/>
    </row>
    <row r="229" spans="1:79" x14ac:dyDescent="0.3">
      <c r="A229" s="4" t="s">
        <v>156</v>
      </c>
      <c r="B229" s="4">
        <v>0.9</v>
      </c>
      <c r="C229" s="4">
        <v>0.5</v>
      </c>
      <c r="D229" s="4">
        <v>0.6</v>
      </c>
      <c r="E229" s="4">
        <v>0.3</v>
      </c>
      <c r="F229" s="6">
        <v>651.55474900000002</v>
      </c>
      <c r="G229" s="4">
        <v>2E-3</v>
      </c>
      <c r="I229" s="4" t="s">
        <v>156</v>
      </c>
      <c r="J229" s="4">
        <v>0.9</v>
      </c>
      <c r="K229" s="4">
        <v>0.5</v>
      </c>
      <c r="L229" s="4">
        <v>0.6</v>
      </c>
      <c r="M229" s="4">
        <v>0.28000000000000003</v>
      </c>
      <c r="N229" s="4">
        <v>663.03710899999999</v>
      </c>
      <c r="O229" s="4">
        <v>6.0000000000000001E-3</v>
      </c>
      <c r="P229" s="5"/>
      <c r="Q229" s="5"/>
      <c r="R229" s="5"/>
      <c r="S229" s="5"/>
      <c r="U229" s="4" t="s">
        <v>156</v>
      </c>
      <c r="V229" s="4">
        <v>0.9</v>
      </c>
      <c r="W229" s="4">
        <v>0.5</v>
      </c>
      <c r="X229" s="4">
        <v>0.6</v>
      </c>
      <c r="Y229" s="4">
        <v>0.3</v>
      </c>
      <c r="Z229" s="6">
        <v>627.69537400000002</v>
      </c>
      <c r="AA229" s="4">
        <v>1E-3</v>
      </c>
      <c r="AC229" s="4" t="s">
        <v>156</v>
      </c>
      <c r="AD229" s="4">
        <v>0.9</v>
      </c>
      <c r="AE229" s="4">
        <v>0.5</v>
      </c>
      <c r="AF229" s="4">
        <v>0.6</v>
      </c>
      <c r="AG229" s="4">
        <v>0.99</v>
      </c>
      <c r="AH229" s="4">
        <v>738.89019800000005</v>
      </c>
      <c r="AI229" s="4">
        <v>0.02</v>
      </c>
      <c r="AJ229" s="5"/>
      <c r="AK229" s="5"/>
      <c r="AL229" s="5"/>
      <c r="AM229" s="5"/>
      <c r="AO229" s="4" t="s">
        <v>157</v>
      </c>
      <c r="AP229" s="4">
        <v>0.9</v>
      </c>
      <c r="AQ229" s="4">
        <v>0.5</v>
      </c>
      <c r="AR229" s="4">
        <v>0.6</v>
      </c>
      <c r="AS229" s="4">
        <v>0.3</v>
      </c>
      <c r="AT229" s="6">
        <v>1023.536377</v>
      </c>
      <c r="AU229" s="4">
        <v>7.0000000000000001E-3</v>
      </c>
      <c r="AW229" s="4" t="s">
        <v>157</v>
      </c>
      <c r="AX229" s="4">
        <v>0.9</v>
      </c>
      <c r="AY229" s="4">
        <v>0.5</v>
      </c>
      <c r="AZ229" s="4">
        <v>0.6</v>
      </c>
      <c r="BA229" s="4">
        <v>0.49</v>
      </c>
      <c r="BB229" s="4">
        <v>1124.1176760000001</v>
      </c>
      <c r="BC229" s="4">
        <v>0.02</v>
      </c>
      <c r="BD229" s="5"/>
      <c r="BE229" s="5"/>
      <c r="BF229" s="5"/>
      <c r="BG229" s="5"/>
      <c r="BI229" s="4" t="s">
        <v>157</v>
      </c>
      <c r="BJ229" s="4">
        <v>0.9</v>
      </c>
      <c r="BK229" s="4">
        <v>0.5</v>
      </c>
      <c r="BL229" s="4">
        <v>0.6</v>
      </c>
      <c r="BM229" s="4">
        <v>0.3</v>
      </c>
      <c r="BN229" s="6">
        <v>985.10882600000002</v>
      </c>
      <c r="BO229" s="4">
        <v>6.0000000000000001E-3</v>
      </c>
      <c r="BQ229" s="4" t="s">
        <v>157</v>
      </c>
      <c r="BR229" s="4">
        <v>0.9</v>
      </c>
      <c r="BS229" s="4">
        <v>0.5</v>
      </c>
      <c r="BT229" s="4">
        <v>0.6</v>
      </c>
      <c r="BU229" s="4">
        <v>0.42</v>
      </c>
      <c r="BV229" s="4">
        <v>1056.4490969999999</v>
      </c>
      <c r="BW229" s="4">
        <v>3.5000000000000003E-2</v>
      </c>
      <c r="BX229" s="5"/>
      <c r="BY229" s="5"/>
      <c r="BZ229" s="5"/>
      <c r="CA229" s="5"/>
    </row>
    <row r="230" spans="1:79" x14ac:dyDescent="0.3">
      <c r="A230" s="4" t="s">
        <v>158</v>
      </c>
      <c r="B230" s="4">
        <v>0.9</v>
      </c>
      <c r="C230" s="4">
        <v>0.5</v>
      </c>
      <c r="D230" s="4">
        <v>0.6</v>
      </c>
      <c r="E230" s="4">
        <v>0.3</v>
      </c>
      <c r="F230" s="6">
        <v>641.40112299999998</v>
      </c>
      <c r="G230" s="4">
        <v>2E-3</v>
      </c>
      <c r="I230" s="4" t="s">
        <v>158</v>
      </c>
      <c r="J230" s="4">
        <v>0.9</v>
      </c>
      <c r="K230" s="4">
        <v>0.5</v>
      </c>
      <c r="L230" s="4">
        <v>0.6</v>
      </c>
      <c r="M230" s="4">
        <v>0.7</v>
      </c>
      <c r="N230" s="4">
        <v>743.25122099999999</v>
      </c>
      <c r="O230" s="4">
        <v>1.4999999999999999E-2</v>
      </c>
      <c r="P230" s="5"/>
      <c r="Q230" s="5"/>
      <c r="R230" s="5"/>
      <c r="S230" s="5"/>
      <c r="U230" s="4" t="s">
        <v>158</v>
      </c>
      <c r="V230" s="4">
        <v>0.9</v>
      </c>
      <c r="W230" s="4">
        <v>0.5</v>
      </c>
      <c r="X230" s="4">
        <v>0.6</v>
      </c>
      <c r="Y230" s="4">
        <v>0.3</v>
      </c>
      <c r="Z230" s="6">
        <v>639.66796899999997</v>
      </c>
      <c r="AA230" s="4">
        <v>1E-3</v>
      </c>
      <c r="AC230" s="4" t="s">
        <v>158</v>
      </c>
      <c r="AD230" s="4">
        <v>0.9</v>
      </c>
      <c r="AE230" s="4">
        <v>0.5</v>
      </c>
      <c r="AF230" s="4">
        <v>0.6</v>
      </c>
      <c r="AG230" s="4">
        <v>0.41</v>
      </c>
      <c r="AH230" s="4">
        <v>654.149902</v>
      </c>
      <c r="AI230" s="4">
        <v>8.9999999999999993E-3</v>
      </c>
      <c r="AJ230" s="5"/>
      <c r="AK230" s="5"/>
      <c r="AL230" s="5"/>
      <c r="AM230" s="5"/>
      <c r="AO230" s="4" t="s">
        <v>159</v>
      </c>
      <c r="AP230" s="4">
        <v>0.9</v>
      </c>
      <c r="AQ230" s="4">
        <v>0.5</v>
      </c>
      <c r="AR230" s="4">
        <v>0.6</v>
      </c>
      <c r="AS230" s="4">
        <v>0.3</v>
      </c>
      <c r="AT230" s="6">
        <v>949.64343299999996</v>
      </c>
      <c r="AU230" s="4">
        <v>7.0000000000000001E-3</v>
      </c>
      <c r="AW230" s="4" t="s">
        <v>159</v>
      </c>
      <c r="AX230" s="4">
        <v>0.9</v>
      </c>
      <c r="AY230" s="4">
        <v>0.5</v>
      </c>
      <c r="AZ230" s="4">
        <v>0.6</v>
      </c>
      <c r="BA230" s="4">
        <v>0.72</v>
      </c>
      <c r="BB230" s="4">
        <v>1144.2230219999999</v>
      </c>
      <c r="BC230" s="4">
        <v>2.5000000000000001E-2</v>
      </c>
      <c r="BD230" s="5"/>
      <c r="BE230" s="5"/>
      <c r="BF230" s="5"/>
      <c r="BG230" s="5"/>
      <c r="BI230" s="4" t="s">
        <v>159</v>
      </c>
      <c r="BJ230" s="4">
        <v>0.9</v>
      </c>
      <c r="BK230" s="4">
        <v>0.5</v>
      </c>
      <c r="BL230" s="4">
        <v>0.6</v>
      </c>
      <c r="BM230" s="4">
        <v>0.3</v>
      </c>
      <c r="BN230" s="6">
        <v>923.98962400000005</v>
      </c>
      <c r="BO230" s="4">
        <v>7.0000000000000001E-3</v>
      </c>
      <c r="BQ230" s="4" t="s">
        <v>159</v>
      </c>
      <c r="BR230" s="4">
        <v>0.9</v>
      </c>
      <c r="BS230" s="4">
        <v>0.5</v>
      </c>
      <c r="BT230" s="4">
        <v>0.6</v>
      </c>
      <c r="BU230" s="4">
        <v>0.65</v>
      </c>
      <c r="BV230" s="4">
        <v>1121.5742190000001</v>
      </c>
      <c r="BW230" s="4">
        <v>3.2000000000000001E-2</v>
      </c>
      <c r="BX230" s="5"/>
      <c r="BY230" s="5"/>
      <c r="BZ230" s="5"/>
      <c r="CA230" s="5"/>
    </row>
    <row r="231" spans="1:79" x14ac:dyDescent="0.3">
      <c r="A231" s="4" t="s">
        <v>160</v>
      </c>
      <c r="B231" s="4">
        <v>0.9</v>
      </c>
      <c r="C231" s="4">
        <v>0.5</v>
      </c>
      <c r="D231" s="4">
        <v>0.6</v>
      </c>
      <c r="E231" s="4">
        <v>0.3</v>
      </c>
      <c r="F231" s="6">
        <v>592.14892599999996</v>
      </c>
      <c r="G231" s="4">
        <v>1E-3</v>
      </c>
      <c r="I231" s="4" t="s">
        <v>160</v>
      </c>
      <c r="J231" s="4">
        <v>0.9</v>
      </c>
      <c r="K231" s="4">
        <v>0.5</v>
      </c>
      <c r="L231" s="4">
        <v>0.6</v>
      </c>
      <c r="M231" s="4">
        <v>0.42</v>
      </c>
      <c r="N231" s="4">
        <v>618.08953899999995</v>
      </c>
      <c r="O231" s="4">
        <v>1.2999999999999999E-2</v>
      </c>
      <c r="P231" s="5"/>
      <c r="Q231" s="5"/>
      <c r="R231" s="5"/>
      <c r="S231" s="5"/>
      <c r="U231" s="4" t="s">
        <v>160</v>
      </c>
      <c r="V231" s="4">
        <v>0.9</v>
      </c>
      <c r="W231" s="4">
        <v>0.5</v>
      </c>
      <c r="X231" s="4">
        <v>0.6</v>
      </c>
      <c r="Y231" s="4">
        <v>0.3</v>
      </c>
      <c r="Z231" s="4">
        <v>547.05249000000003</v>
      </c>
      <c r="AA231" s="4">
        <v>1E-3</v>
      </c>
      <c r="AC231" s="4" t="s">
        <v>160</v>
      </c>
      <c r="AD231" s="4">
        <v>0.9</v>
      </c>
      <c r="AE231" s="4">
        <v>0.5</v>
      </c>
      <c r="AF231" s="4">
        <v>0.6</v>
      </c>
      <c r="AG231" s="4">
        <v>0.01</v>
      </c>
      <c r="AH231" s="6">
        <v>525.25579800000003</v>
      </c>
      <c r="AI231" s="4">
        <v>1.0999999999999999E-2</v>
      </c>
      <c r="AJ231" s="5"/>
      <c r="AK231" s="5"/>
      <c r="AL231" s="5"/>
      <c r="AM231" s="5"/>
      <c r="AO231" s="4" t="s">
        <v>161</v>
      </c>
      <c r="AP231" s="4">
        <v>0.9</v>
      </c>
      <c r="AQ231" s="4">
        <v>0.5</v>
      </c>
      <c r="AR231" s="4">
        <v>0.6</v>
      </c>
      <c r="AS231" s="4">
        <v>0.3</v>
      </c>
      <c r="AT231" s="6">
        <v>1024.1906739999999</v>
      </c>
      <c r="AU231" s="4">
        <v>6.0000000000000001E-3</v>
      </c>
      <c r="AW231" s="4" t="s">
        <v>161</v>
      </c>
      <c r="AX231" s="4">
        <v>0.9</v>
      </c>
      <c r="AY231" s="4">
        <v>0.5</v>
      </c>
      <c r="AZ231" s="4">
        <v>0.6</v>
      </c>
      <c r="BA231" s="4">
        <v>0.35</v>
      </c>
      <c r="BB231" s="4">
        <v>1041.4854740000001</v>
      </c>
      <c r="BC231" s="4">
        <v>2.1999999999999999E-2</v>
      </c>
      <c r="BD231" s="5"/>
      <c r="BE231" s="5"/>
      <c r="BF231" s="5"/>
      <c r="BG231" s="5"/>
      <c r="BI231" s="4" t="s">
        <v>161</v>
      </c>
      <c r="BJ231" s="4">
        <v>0.9</v>
      </c>
      <c r="BK231" s="4">
        <v>0.5</v>
      </c>
      <c r="BL231" s="4">
        <v>0.6</v>
      </c>
      <c r="BM231" s="4">
        <v>0.3</v>
      </c>
      <c r="BN231" s="4">
        <v>997.95013400000005</v>
      </c>
      <c r="BO231" s="4">
        <v>6.0000000000000001E-3</v>
      </c>
      <c r="BQ231" s="4" t="s">
        <v>161</v>
      </c>
      <c r="BR231" s="4">
        <v>0.9</v>
      </c>
      <c r="BS231" s="4">
        <v>0.5</v>
      </c>
      <c r="BT231" s="4">
        <v>0.6</v>
      </c>
      <c r="BU231" s="4">
        <v>7.0000000000000007E-2</v>
      </c>
      <c r="BV231" s="6">
        <v>833.66992200000004</v>
      </c>
      <c r="BW231" s="4">
        <v>2.8000000000000001E-2</v>
      </c>
      <c r="BX231" s="5"/>
      <c r="BY231" s="5"/>
      <c r="BZ231" s="5"/>
      <c r="CA231" s="5"/>
    </row>
    <row r="232" spans="1:79" x14ac:dyDescent="0.3">
      <c r="A232" s="4" t="s">
        <v>162</v>
      </c>
      <c r="B232" s="4">
        <v>0.9</v>
      </c>
      <c r="C232" s="4">
        <v>0.5</v>
      </c>
      <c r="D232" s="4">
        <v>0.6</v>
      </c>
      <c r="E232" s="4">
        <v>0.3</v>
      </c>
      <c r="F232" s="4">
        <v>602.11248799999998</v>
      </c>
      <c r="G232" s="4">
        <v>1E-3</v>
      </c>
      <c r="I232" s="4" t="s">
        <v>162</v>
      </c>
      <c r="J232" s="4">
        <v>0.9</v>
      </c>
      <c r="K232" s="4">
        <v>0.5</v>
      </c>
      <c r="L232" s="4">
        <v>0.6</v>
      </c>
      <c r="M232" s="4">
        <v>0.05</v>
      </c>
      <c r="N232" s="6">
        <v>550.11425799999995</v>
      </c>
      <c r="O232" s="4">
        <v>1.7999999999999999E-2</v>
      </c>
      <c r="P232" s="5"/>
      <c r="Q232" s="5"/>
      <c r="R232" s="5"/>
      <c r="S232" s="5"/>
      <c r="U232" s="4" t="s">
        <v>162</v>
      </c>
      <c r="V232" s="4">
        <v>0.9</v>
      </c>
      <c r="W232" s="4">
        <v>0.5</v>
      </c>
      <c r="X232" s="4">
        <v>0.6</v>
      </c>
      <c r="Y232" s="4">
        <v>0.3</v>
      </c>
      <c r="Z232" s="6">
        <v>554.59539800000005</v>
      </c>
      <c r="AA232" s="4">
        <v>2E-3</v>
      </c>
      <c r="AC232" s="4" t="s">
        <v>162</v>
      </c>
      <c r="AD232" s="4">
        <v>0.9</v>
      </c>
      <c r="AE232" s="4">
        <v>0.5</v>
      </c>
      <c r="AF232" s="4">
        <v>0.6</v>
      </c>
      <c r="AG232" s="4">
        <v>0.15</v>
      </c>
      <c r="AH232" s="4">
        <v>561.28344700000002</v>
      </c>
      <c r="AI232" s="4">
        <v>6.0000000000000001E-3</v>
      </c>
      <c r="AJ232" s="5"/>
      <c r="AK232" s="5"/>
      <c r="AL232" s="5"/>
      <c r="AM232" s="5"/>
      <c r="AO232" s="4" t="s">
        <v>163</v>
      </c>
      <c r="AP232" s="4">
        <v>0.9</v>
      </c>
      <c r="AQ232" s="4">
        <v>0.5</v>
      </c>
      <c r="AR232" s="4">
        <v>0.6</v>
      </c>
      <c r="AS232" s="4">
        <v>0.3</v>
      </c>
      <c r="AT232" s="6">
        <v>1019.637085</v>
      </c>
      <c r="AU232" s="4">
        <v>7.0000000000000001E-3</v>
      </c>
      <c r="AW232" s="4" t="s">
        <v>163</v>
      </c>
      <c r="AX232" s="4">
        <v>0.9</v>
      </c>
      <c r="AY232" s="4">
        <v>0.5</v>
      </c>
      <c r="AZ232" s="4">
        <v>0.6</v>
      </c>
      <c r="BA232" s="4">
        <v>0.39</v>
      </c>
      <c r="BB232" s="4">
        <v>1074.0466309999999</v>
      </c>
      <c r="BC232" s="4">
        <v>1.7999999999999999E-2</v>
      </c>
      <c r="BD232" s="5"/>
      <c r="BE232" s="5"/>
      <c r="BF232" s="5"/>
      <c r="BG232" s="5"/>
      <c r="BI232" s="4" t="s">
        <v>163</v>
      </c>
      <c r="BJ232" s="4">
        <v>0.9</v>
      </c>
      <c r="BK232" s="4">
        <v>0.5</v>
      </c>
      <c r="BL232" s="4">
        <v>0.6</v>
      </c>
      <c r="BM232" s="4">
        <v>0.3</v>
      </c>
      <c r="BN232" s="4">
        <v>995.15118399999994</v>
      </c>
      <c r="BO232" s="4">
        <v>7.0000000000000001E-3</v>
      </c>
      <c r="BQ232" s="4" t="s">
        <v>163</v>
      </c>
      <c r="BR232" s="4">
        <v>0.9</v>
      </c>
      <c r="BS232" s="4">
        <v>0.5</v>
      </c>
      <c r="BT232" s="4">
        <v>0.6</v>
      </c>
      <c r="BU232" s="4">
        <v>0.16</v>
      </c>
      <c r="BV232" s="6">
        <v>887.59179700000004</v>
      </c>
      <c r="BW232" s="4">
        <v>2.1000000000000001E-2</v>
      </c>
      <c r="BX232" s="5"/>
      <c r="BY232" s="5"/>
      <c r="BZ232" s="5"/>
      <c r="CA232" s="5"/>
    </row>
    <row r="233" spans="1:79" x14ac:dyDescent="0.3">
      <c r="A233" s="4" t="s">
        <v>164</v>
      </c>
      <c r="B233" s="4">
        <v>0.9</v>
      </c>
      <c r="C233" s="4">
        <v>0.5</v>
      </c>
      <c r="D233" s="4">
        <v>0.6</v>
      </c>
      <c r="E233" s="4">
        <v>0.3</v>
      </c>
      <c r="F233" s="6">
        <v>549.76715100000001</v>
      </c>
      <c r="G233" s="4">
        <v>2E-3</v>
      </c>
      <c r="I233" s="4" t="s">
        <v>164</v>
      </c>
      <c r="J233" s="4">
        <v>0.9</v>
      </c>
      <c r="K233" s="4">
        <v>0.5</v>
      </c>
      <c r="L233" s="4">
        <v>0.6</v>
      </c>
      <c r="M233" s="4">
        <v>0.46</v>
      </c>
      <c r="N233" s="4">
        <v>592.52801499999998</v>
      </c>
      <c r="O233" s="4">
        <v>1.4999999999999999E-2</v>
      </c>
      <c r="P233" s="5"/>
      <c r="Q233" s="5"/>
      <c r="R233" s="5"/>
      <c r="S233" s="5"/>
      <c r="U233" s="4" t="s">
        <v>164</v>
      </c>
      <c r="V233" s="4">
        <v>0.9</v>
      </c>
      <c r="W233" s="4">
        <v>0.5</v>
      </c>
      <c r="X233" s="4">
        <v>0.6</v>
      </c>
      <c r="Y233" s="4">
        <v>0.3</v>
      </c>
      <c r="Z233" s="6">
        <v>461.26446499999997</v>
      </c>
      <c r="AA233" s="4">
        <v>1E-3</v>
      </c>
      <c r="AC233" s="4" t="s">
        <v>164</v>
      </c>
      <c r="AD233" s="4">
        <v>0.9</v>
      </c>
      <c r="AE233" s="4">
        <v>0.5</v>
      </c>
      <c r="AF233" s="4">
        <v>0.6</v>
      </c>
      <c r="AG233" s="4">
        <v>0.23</v>
      </c>
      <c r="AH233" s="4">
        <v>464.07223499999998</v>
      </c>
      <c r="AI233" s="4">
        <v>1.7999999999999999E-2</v>
      </c>
      <c r="AJ233" s="5"/>
      <c r="AK233" s="5"/>
      <c r="AL233" s="5"/>
      <c r="AM233" s="5"/>
      <c r="AO233" s="4" t="s">
        <v>165</v>
      </c>
      <c r="AP233" s="4">
        <v>0.9</v>
      </c>
      <c r="AQ233" s="4">
        <v>0.5</v>
      </c>
      <c r="AR233" s="4">
        <v>0.6</v>
      </c>
      <c r="AS233" s="4">
        <v>0.3</v>
      </c>
      <c r="AT233" s="6">
        <v>937.19226100000003</v>
      </c>
      <c r="AU233" s="4">
        <v>6.0000000000000001E-3</v>
      </c>
      <c r="AW233" s="4" t="s">
        <v>165</v>
      </c>
      <c r="AX233" s="4">
        <v>0.9</v>
      </c>
      <c r="AY233" s="4">
        <v>0.5</v>
      </c>
      <c r="AZ233" s="4">
        <v>0.6</v>
      </c>
      <c r="BA233" s="4">
        <v>0.96</v>
      </c>
      <c r="BB233" s="4">
        <v>1108.940063</v>
      </c>
      <c r="BC233" s="4">
        <v>1.4999999999999999E-2</v>
      </c>
      <c r="BD233" s="5"/>
      <c r="BE233" s="5"/>
      <c r="BF233" s="5"/>
      <c r="BG233" s="5"/>
      <c r="BI233" s="4" t="s">
        <v>165</v>
      </c>
      <c r="BJ233" s="4">
        <v>0.9</v>
      </c>
      <c r="BK233" s="4">
        <v>0.5</v>
      </c>
      <c r="BL233" s="4">
        <v>0.6</v>
      </c>
      <c r="BM233" s="4">
        <v>0.3</v>
      </c>
      <c r="BN233" s="6">
        <v>913.92334000000005</v>
      </c>
      <c r="BO233" s="4">
        <v>6.0000000000000001E-3</v>
      </c>
      <c r="BQ233" s="4" t="s">
        <v>165</v>
      </c>
      <c r="BR233" s="4">
        <v>0.9</v>
      </c>
      <c r="BS233" s="4">
        <v>0.5</v>
      </c>
      <c r="BT233" s="4">
        <v>0.6</v>
      </c>
      <c r="BU233" s="4">
        <v>0.87</v>
      </c>
      <c r="BV233" s="4">
        <v>1090.925293</v>
      </c>
      <c r="BW233" s="4">
        <v>2.9000000000000001E-2</v>
      </c>
      <c r="BX233" s="5"/>
      <c r="BY233" s="5"/>
      <c r="BZ233" s="5"/>
      <c r="CA233" s="5"/>
    </row>
    <row r="234" spans="1:79" x14ac:dyDescent="0.3">
      <c r="A234" s="4" t="s">
        <v>166</v>
      </c>
      <c r="B234" s="4">
        <v>0.9</v>
      </c>
      <c r="C234" s="4">
        <v>0.5</v>
      </c>
      <c r="D234" s="4">
        <v>0.6</v>
      </c>
      <c r="E234" s="4">
        <v>0.3</v>
      </c>
      <c r="F234" s="6">
        <v>724.91589399999998</v>
      </c>
      <c r="G234" s="4">
        <v>1E-3</v>
      </c>
      <c r="I234" s="4" t="s">
        <v>166</v>
      </c>
      <c r="J234" s="4">
        <v>0.9</v>
      </c>
      <c r="K234" s="4">
        <v>0.5</v>
      </c>
      <c r="L234" s="4">
        <v>0.6</v>
      </c>
      <c r="M234" s="4">
        <v>0.97</v>
      </c>
      <c r="N234" s="4">
        <v>845.95385699999997</v>
      </c>
      <c r="O234" s="4">
        <v>1.2E-2</v>
      </c>
      <c r="P234" s="5"/>
      <c r="Q234" s="5"/>
      <c r="R234" s="5"/>
      <c r="S234" s="5"/>
      <c r="U234" s="4" t="s">
        <v>166</v>
      </c>
      <c r="V234" s="4">
        <v>0.9</v>
      </c>
      <c r="W234" s="4">
        <v>0.5</v>
      </c>
      <c r="X234" s="4">
        <v>0.6</v>
      </c>
      <c r="Y234" s="4">
        <v>0.3</v>
      </c>
      <c r="Z234" s="4">
        <v>703.52337599999998</v>
      </c>
      <c r="AA234" s="4">
        <v>2E-3</v>
      </c>
      <c r="AC234" s="4" t="s">
        <v>166</v>
      </c>
      <c r="AD234" s="4">
        <v>0.9</v>
      </c>
      <c r="AE234" s="4">
        <v>0.5</v>
      </c>
      <c r="AF234" s="4">
        <v>0.6</v>
      </c>
      <c r="AG234" s="4">
        <v>0.15</v>
      </c>
      <c r="AH234" s="6">
        <v>689.65863000000002</v>
      </c>
      <c r="AI234" s="4">
        <v>1.2E-2</v>
      </c>
      <c r="AJ234" s="5"/>
      <c r="AK234" s="5"/>
      <c r="AL234" s="5"/>
      <c r="AM234" s="5"/>
      <c r="AO234" s="4" t="s">
        <v>167</v>
      </c>
      <c r="AP234" s="4">
        <v>0.9</v>
      </c>
      <c r="AQ234" s="4">
        <v>0.5</v>
      </c>
      <c r="AR234" s="4">
        <v>0.6</v>
      </c>
      <c r="AS234" s="4">
        <v>0.3</v>
      </c>
      <c r="AT234" s="4">
        <v>955.35101299999997</v>
      </c>
      <c r="AU234" s="4">
        <v>7.0000000000000001E-3</v>
      </c>
      <c r="AW234" s="4" t="s">
        <v>167</v>
      </c>
      <c r="AX234" s="4">
        <v>0.9</v>
      </c>
      <c r="AY234" s="4">
        <v>0.5</v>
      </c>
      <c r="AZ234" s="4">
        <v>0.6</v>
      </c>
      <c r="BA234" s="4">
        <v>0.25</v>
      </c>
      <c r="BB234" s="6">
        <v>941.80304000000001</v>
      </c>
      <c r="BC234" s="4">
        <v>2.1000000000000001E-2</v>
      </c>
      <c r="BD234" s="5"/>
      <c r="BE234" s="5"/>
      <c r="BF234" s="5"/>
      <c r="BG234" s="5"/>
      <c r="BI234" s="4" t="s">
        <v>167</v>
      </c>
      <c r="BJ234" s="4">
        <v>0.9</v>
      </c>
      <c r="BK234" s="4">
        <v>0.5</v>
      </c>
      <c r="BL234" s="4">
        <v>0.6</v>
      </c>
      <c r="BM234" s="4">
        <v>0.3</v>
      </c>
      <c r="BN234" s="6">
        <v>928.70996100000002</v>
      </c>
      <c r="BO234" s="4">
        <v>6.0000000000000001E-3</v>
      </c>
      <c r="BQ234" s="4" t="s">
        <v>167</v>
      </c>
      <c r="BR234" s="4">
        <v>0.9</v>
      </c>
      <c r="BS234" s="4">
        <v>0.5</v>
      </c>
      <c r="BT234" s="4">
        <v>0.6</v>
      </c>
      <c r="BU234" s="4">
        <v>0.69</v>
      </c>
      <c r="BV234" s="4">
        <v>1127.267578</v>
      </c>
      <c r="BW234" s="4">
        <v>0.03</v>
      </c>
      <c r="BX234" s="5"/>
      <c r="BY234" s="5"/>
      <c r="BZ234" s="5"/>
      <c r="CA234" s="5"/>
    </row>
    <row r="235" spans="1:79" x14ac:dyDescent="0.3">
      <c r="A235" s="4" t="s">
        <v>168</v>
      </c>
      <c r="B235" s="4">
        <v>0.9</v>
      </c>
      <c r="C235" s="4">
        <v>0.5</v>
      </c>
      <c r="D235" s="4">
        <v>0.6</v>
      </c>
      <c r="E235" s="4">
        <v>0.3</v>
      </c>
      <c r="F235" s="6">
        <v>664.11364700000001</v>
      </c>
      <c r="G235" s="4">
        <v>2E-3</v>
      </c>
      <c r="I235" s="4" t="s">
        <v>168</v>
      </c>
      <c r="J235" s="4">
        <v>0.9</v>
      </c>
      <c r="K235" s="4">
        <v>0.5</v>
      </c>
      <c r="L235" s="4">
        <v>0.6</v>
      </c>
      <c r="M235" s="4">
        <v>0.77</v>
      </c>
      <c r="N235" s="4">
        <v>741.78832999999997</v>
      </c>
      <c r="O235" s="4">
        <v>2.4E-2</v>
      </c>
      <c r="P235" s="5"/>
      <c r="Q235" s="5"/>
      <c r="R235" s="5"/>
      <c r="S235" s="5"/>
      <c r="U235" s="4" t="s">
        <v>168</v>
      </c>
      <c r="V235" s="4">
        <v>0.9</v>
      </c>
      <c r="W235" s="4">
        <v>0.5</v>
      </c>
      <c r="X235" s="4">
        <v>0.6</v>
      </c>
      <c r="Y235" s="4">
        <v>0.3</v>
      </c>
      <c r="Z235" s="6">
        <v>647.74670400000002</v>
      </c>
      <c r="AA235" s="4">
        <v>1E-3</v>
      </c>
      <c r="AC235" s="4" t="s">
        <v>168</v>
      </c>
      <c r="AD235" s="4">
        <v>0.9</v>
      </c>
      <c r="AE235" s="4">
        <v>0.5</v>
      </c>
      <c r="AF235" s="4">
        <v>0.6</v>
      </c>
      <c r="AG235" s="4">
        <v>0.52</v>
      </c>
      <c r="AH235" s="4">
        <v>680.68121299999996</v>
      </c>
      <c r="AI235" s="4">
        <v>0.01</v>
      </c>
      <c r="AJ235" s="5"/>
      <c r="AK235" s="5"/>
      <c r="AL235" s="5"/>
      <c r="AM235" s="5"/>
      <c r="AO235" s="4" t="s">
        <v>169</v>
      </c>
      <c r="AP235" s="4">
        <v>0.9</v>
      </c>
      <c r="AQ235" s="4">
        <v>0.5</v>
      </c>
      <c r="AR235" s="4">
        <v>0.6</v>
      </c>
      <c r="AS235" s="4">
        <v>0.3</v>
      </c>
      <c r="AT235" s="6">
        <v>1001.721619</v>
      </c>
      <c r="AU235" s="4">
        <v>6.0000000000000001E-3</v>
      </c>
      <c r="AW235" s="4" t="s">
        <v>169</v>
      </c>
      <c r="AX235" s="4">
        <v>0.9</v>
      </c>
      <c r="AY235" s="4">
        <v>0.5</v>
      </c>
      <c r="AZ235" s="4">
        <v>0.6</v>
      </c>
      <c r="BA235" s="4">
        <v>0.89</v>
      </c>
      <c r="BB235" s="4">
        <v>1158.7375489999999</v>
      </c>
      <c r="BC235" s="4">
        <v>2.5000000000000001E-2</v>
      </c>
      <c r="BD235" s="5"/>
      <c r="BE235" s="5"/>
      <c r="BF235" s="5"/>
      <c r="BG235" s="5"/>
      <c r="BI235" s="4" t="s">
        <v>169</v>
      </c>
      <c r="BJ235" s="4">
        <v>0.9</v>
      </c>
      <c r="BK235" s="4">
        <v>0.5</v>
      </c>
      <c r="BL235" s="4">
        <v>0.6</v>
      </c>
      <c r="BM235" s="4">
        <v>0.3</v>
      </c>
      <c r="BN235" s="6">
        <v>962.70837400000005</v>
      </c>
      <c r="BO235" s="4">
        <v>6.0000000000000001E-3</v>
      </c>
      <c r="BQ235" s="4" t="s">
        <v>169</v>
      </c>
      <c r="BR235" s="4">
        <v>0.9</v>
      </c>
      <c r="BS235" s="4">
        <v>0.5</v>
      </c>
      <c r="BT235" s="4">
        <v>0.6</v>
      </c>
      <c r="BU235" s="4">
        <v>0.86</v>
      </c>
      <c r="BV235" s="4">
        <v>1112.0158690000001</v>
      </c>
      <c r="BW235" s="4">
        <v>1.2999999999999999E-2</v>
      </c>
      <c r="BX235" s="5"/>
      <c r="BY235" s="5"/>
      <c r="BZ235" s="5"/>
      <c r="CA235" s="5"/>
    </row>
    <row r="236" spans="1:79" x14ac:dyDescent="0.3">
      <c r="A236" s="4" t="s">
        <v>170</v>
      </c>
      <c r="B236" s="4">
        <v>0.9</v>
      </c>
      <c r="C236" s="4">
        <v>0.5</v>
      </c>
      <c r="D236" s="4">
        <v>0.6</v>
      </c>
      <c r="E236" s="4">
        <v>0.3</v>
      </c>
      <c r="F236" s="6">
        <v>701.655396</v>
      </c>
      <c r="G236" s="4">
        <v>2E-3</v>
      </c>
      <c r="I236" s="4" t="s">
        <v>170</v>
      </c>
      <c r="J236" s="4">
        <v>0.9</v>
      </c>
      <c r="K236" s="4">
        <v>0.5</v>
      </c>
      <c r="L236" s="4">
        <v>0.6</v>
      </c>
      <c r="M236" s="4">
        <v>0.8</v>
      </c>
      <c r="N236" s="4">
        <v>749.87304700000004</v>
      </c>
      <c r="O236" s="4">
        <v>1.9E-2</v>
      </c>
      <c r="P236" s="5"/>
      <c r="Q236" s="5"/>
      <c r="R236" s="5"/>
      <c r="S236" s="5"/>
      <c r="U236" s="4" t="s">
        <v>170</v>
      </c>
      <c r="V236" s="4">
        <v>0.9</v>
      </c>
      <c r="W236" s="4">
        <v>0.5</v>
      </c>
      <c r="X236" s="4">
        <v>0.6</v>
      </c>
      <c r="Y236" s="4">
        <v>0.3</v>
      </c>
      <c r="Z236" s="6">
        <v>666.97839399999998</v>
      </c>
      <c r="AA236" s="4">
        <v>2E-3</v>
      </c>
      <c r="AC236" s="4" t="s">
        <v>170</v>
      </c>
      <c r="AD236" s="4">
        <v>0.9</v>
      </c>
      <c r="AE236" s="4">
        <v>0.5</v>
      </c>
      <c r="AF236" s="4">
        <v>0.6</v>
      </c>
      <c r="AG236" s="4">
        <v>0.36</v>
      </c>
      <c r="AH236" s="4">
        <v>670.20989999999995</v>
      </c>
      <c r="AI236" s="4">
        <v>0.02</v>
      </c>
      <c r="AJ236" s="5"/>
      <c r="AK236" s="5"/>
      <c r="AL236" s="5"/>
      <c r="AM236" s="5"/>
      <c r="AO236" s="4" t="s">
        <v>171</v>
      </c>
      <c r="AP236" s="4">
        <v>0.9</v>
      </c>
      <c r="AQ236" s="4">
        <v>0.5</v>
      </c>
      <c r="AR236" s="4">
        <v>0.6</v>
      </c>
      <c r="AS236" s="4">
        <v>0.3</v>
      </c>
      <c r="AT236" s="6">
        <v>923.73724400000003</v>
      </c>
      <c r="AU236" s="4">
        <v>8.0000000000000002E-3</v>
      </c>
      <c r="AW236" s="4" t="s">
        <v>171</v>
      </c>
      <c r="AX236" s="4">
        <v>0.9</v>
      </c>
      <c r="AY236" s="4">
        <v>0.5</v>
      </c>
      <c r="AZ236" s="4">
        <v>0.6</v>
      </c>
      <c r="BA236" s="4">
        <v>0.99</v>
      </c>
      <c r="BB236" s="4">
        <v>1121.197144</v>
      </c>
      <c r="BC236" s="4">
        <v>2.5000000000000001E-2</v>
      </c>
      <c r="BD236" s="5"/>
      <c r="BE236" s="5"/>
      <c r="BF236" s="5"/>
      <c r="BG236" s="5"/>
      <c r="BI236" s="4" t="s">
        <v>171</v>
      </c>
      <c r="BJ236" s="4">
        <v>0.9</v>
      </c>
      <c r="BK236" s="4">
        <v>0.5</v>
      </c>
      <c r="BL236" s="4">
        <v>0.6</v>
      </c>
      <c r="BM236" s="4">
        <v>0.3</v>
      </c>
      <c r="BN236" s="6">
        <v>848.67016599999999</v>
      </c>
      <c r="BO236" s="4">
        <v>6.0000000000000001E-3</v>
      </c>
      <c r="BQ236" s="4" t="s">
        <v>171</v>
      </c>
      <c r="BR236" s="4">
        <v>0.9</v>
      </c>
      <c r="BS236" s="4">
        <v>0.5</v>
      </c>
      <c r="BT236" s="4">
        <v>0.6</v>
      </c>
      <c r="BU236" s="4">
        <v>0.69</v>
      </c>
      <c r="BV236" s="4">
        <v>1032.0810550000001</v>
      </c>
      <c r="BW236" s="4">
        <v>1.9E-2</v>
      </c>
      <c r="BX236" s="5"/>
      <c r="BY236" s="5"/>
      <c r="BZ236" s="5"/>
      <c r="CA236" s="5"/>
    </row>
    <row r="237" spans="1:79" x14ac:dyDescent="0.3">
      <c r="A237" s="4" t="s">
        <v>172</v>
      </c>
      <c r="B237" s="4">
        <v>0.9</v>
      </c>
      <c r="C237" s="4">
        <v>0.5</v>
      </c>
      <c r="D237" s="4">
        <v>0.6</v>
      </c>
      <c r="E237" s="4">
        <v>0.3</v>
      </c>
      <c r="F237" s="6">
        <v>678.54125999999997</v>
      </c>
      <c r="G237" s="4">
        <v>1E-3</v>
      </c>
      <c r="I237" s="4" t="s">
        <v>172</v>
      </c>
      <c r="J237" s="4">
        <v>0.9</v>
      </c>
      <c r="K237" s="4">
        <v>0.5</v>
      </c>
      <c r="L237" s="4">
        <v>0.6</v>
      </c>
      <c r="M237" s="4">
        <v>0.56999999999999995</v>
      </c>
      <c r="N237" s="4">
        <v>728.47631799999999</v>
      </c>
      <c r="O237" s="4">
        <v>1.2E-2</v>
      </c>
      <c r="P237" s="5"/>
      <c r="Q237" s="5"/>
      <c r="R237" s="5"/>
      <c r="S237" s="5"/>
      <c r="U237" s="4" t="s">
        <v>172</v>
      </c>
      <c r="V237" s="4">
        <v>0.9</v>
      </c>
      <c r="W237" s="4">
        <v>0.5</v>
      </c>
      <c r="X237" s="4">
        <v>0.6</v>
      </c>
      <c r="Y237" s="4">
        <v>0.3</v>
      </c>
      <c r="Z237" s="6">
        <v>655.93591300000003</v>
      </c>
      <c r="AA237" s="4">
        <v>1E-3</v>
      </c>
      <c r="AC237" s="4" t="s">
        <v>172</v>
      </c>
      <c r="AD237" s="4">
        <v>0.9</v>
      </c>
      <c r="AE237" s="4">
        <v>0.5</v>
      </c>
      <c r="AF237" s="4">
        <v>0.6</v>
      </c>
      <c r="AG237" s="4">
        <v>0.42</v>
      </c>
      <c r="AH237" s="4">
        <v>705.44311500000003</v>
      </c>
      <c r="AI237" s="4">
        <v>1.4E-2</v>
      </c>
      <c r="AJ237" s="5"/>
      <c r="AK237" s="5"/>
      <c r="AL237" s="5"/>
      <c r="AM237" s="5"/>
      <c r="AO237" s="4" t="s">
        <v>173</v>
      </c>
      <c r="AP237" s="4">
        <v>0.9</v>
      </c>
      <c r="AQ237" s="4">
        <v>0.5</v>
      </c>
      <c r="AR237" s="4">
        <v>0.6</v>
      </c>
      <c r="AS237" s="4">
        <v>0.3</v>
      </c>
      <c r="AT237" s="6">
        <v>962.53454599999998</v>
      </c>
      <c r="AU237" s="4">
        <v>6.0000000000000001E-3</v>
      </c>
      <c r="AW237" s="4" t="s">
        <v>173</v>
      </c>
      <c r="AX237" s="4">
        <v>0.9</v>
      </c>
      <c r="AY237" s="4">
        <v>0.5</v>
      </c>
      <c r="AZ237" s="4">
        <v>0.6</v>
      </c>
      <c r="BA237" s="4">
        <v>0.1</v>
      </c>
      <c r="BB237" s="4">
        <v>999.65570100000002</v>
      </c>
      <c r="BC237" s="4">
        <v>2.3E-2</v>
      </c>
      <c r="BD237" s="5"/>
      <c r="BE237" s="5"/>
      <c r="BF237" s="5"/>
      <c r="BG237" s="5"/>
      <c r="BI237" s="4" t="s">
        <v>173</v>
      </c>
      <c r="BJ237" s="4">
        <v>0.9</v>
      </c>
      <c r="BK237" s="4">
        <v>0.5</v>
      </c>
      <c r="BL237" s="4">
        <v>0.6</v>
      </c>
      <c r="BM237" s="4">
        <v>0.3</v>
      </c>
      <c r="BN237" s="4">
        <v>957.39605700000004</v>
      </c>
      <c r="BO237" s="4">
        <v>6.0000000000000001E-3</v>
      </c>
      <c r="BQ237" s="4" t="s">
        <v>173</v>
      </c>
      <c r="BR237" s="4">
        <v>0.9</v>
      </c>
      <c r="BS237" s="4">
        <v>0.5</v>
      </c>
      <c r="BT237" s="4">
        <v>0.6</v>
      </c>
      <c r="BU237" s="4">
        <v>0.11</v>
      </c>
      <c r="BV237" s="6">
        <v>836.39996299999996</v>
      </c>
      <c r="BW237" s="4">
        <v>1.6E-2</v>
      </c>
      <c r="BX237" s="5"/>
      <c r="BY237" s="5"/>
      <c r="BZ237" s="5"/>
      <c r="CA237" s="5"/>
    </row>
    <row r="238" spans="1:79" x14ac:dyDescent="0.3">
      <c r="A238" s="4" t="s">
        <v>174</v>
      </c>
      <c r="B238" s="4">
        <v>0.9</v>
      </c>
      <c r="C238" s="4">
        <v>0.5</v>
      </c>
      <c r="D238" s="4">
        <v>0.6</v>
      </c>
      <c r="E238" s="4">
        <v>0.3</v>
      </c>
      <c r="F238" s="6">
        <v>686.09057600000006</v>
      </c>
      <c r="G238" s="4">
        <v>2E-3</v>
      </c>
      <c r="I238" s="4" t="s">
        <v>174</v>
      </c>
      <c r="J238" s="4">
        <v>0.9</v>
      </c>
      <c r="K238" s="4">
        <v>0.5</v>
      </c>
      <c r="L238" s="4">
        <v>0.6</v>
      </c>
      <c r="M238" s="4">
        <v>0.33</v>
      </c>
      <c r="N238" s="4">
        <v>695.87512200000003</v>
      </c>
      <c r="O238" s="4">
        <v>1.2999999999999999E-2</v>
      </c>
      <c r="P238" s="5"/>
      <c r="Q238" s="5"/>
      <c r="R238" s="5"/>
      <c r="S238" s="5"/>
      <c r="U238" s="4" t="s">
        <v>174</v>
      </c>
      <c r="V238" s="4">
        <v>0.9</v>
      </c>
      <c r="W238" s="4">
        <v>0.5</v>
      </c>
      <c r="X238" s="4">
        <v>0.6</v>
      </c>
      <c r="Y238" s="4">
        <v>0.3</v>
      </c>
      <c r="Z238" s="6">
        <v>670.11676</v>
      </c>
      <c r="AA238" s="4">
        <v>2E-3</v>
      </c>
      <c r="AC238" s="4" t="s">
        <v>174</v>
      </c>
      <c r="AD238" s="4">
        <v>0.9</v>
      </c>
      <c r="AE238" s="4">
        <v>0.5</v>
      </c>
      <c r="AF238" s="4">
        <v>0.6</v>
      </c>
      <c r="AG238" s="4">
        <v>0.99</v>
      </c>
      <c r="AH238" s="4">
        <v>798.53973399999995</v>
      </c>
      <c r="AI238" s="4">
        <v>1.2E-2</v>
      </c>
      <c r="AJ238" s="5"/>
      <c r="AK238" s="5"/>
      <c r="AL238" s="5"/>
      <c r="AM238" s="5"/>
      <c r="AO238" s="4" t="s">
        <v>175</v>
      </c>
      <c r="AP238" s="4">
        <v>0.9</v>
      </c>
      <c r="AQ238" s="4">
        <v>0.5</v>
      </c>
      <c r="AR238" s="4">
        <v>0.6</v>
      </c>
      <c r="AS238" s="4">
        <v>0.3</v>
      </c>
      <c r="AT238" s="6">
        <v>977.95916699999998</v>
      </c>
      <c r="AU238" s="4">
        <v>0.01</v>
      </c>
      <c r="AW238" s="4" t="s">
        <v>175</v>
      </c>
      <c r="AX238" s="4">
        <v>0.9</v>
      </c>
      <c r="AY238" s="4">
        <v>0.5</v>
      </c>
      <c r="AZ238" s="4">
        <v>0.6</v>
      </c>
      <c r="BA238" s="4">
        <v>0.92</v>
      </c>
      <c r="BB238" s="4">
        <v>1220.4769289999999</v>
      </c>
      <c r="BC238" s="4">
        <v>0.02</v>
      </c>
      <c r="BD238" s="5"/>
      <c r="BE238" s="5"/>
      <c r="BF238" s="5"/>
      <c r="BG238" s="5"/>
      <c r="BI238" s="4" t="s">
        <v>175</v>
      </c>
      <c r="BJ238" s="4">
        <v>0.9</v>
      </c>
      <c r="BK238" s="4">
        <v>0.5</v>
      </c>
      <c r="BL238" s="4">
        <v>0.6</v>
      </c>
      <c r="BM238" s="4">
        <v>0.3</v>
      </c>
      <c r="BN238" s="6">
        <v>958.14282200000002</v>
      </c>
      <c r="BO238" s="4">
        <v>7.0000000000000001E-3</v>
      </c>
      <c r="BQ238" s="4" t="s">
        <v>175</v>
      </c>
      <c r="BR238" s="4">
        <v>0.9</v>
      </c>
      <c r="BS238" s="4">
        <v>0.5</v>
      </c>
      <c r="BT238" s="4">
        <v>0.6</v>
      </c>
      <c r="BU238" s="4">
        <v>0.52</v>
      </c>
      <c r="BV238" s="4">
        <v>1097.775879</v>
      </c>
      <c r="BW238" s="4">
        <v>1.9E-2</v>
      </c>
      <c r="BX238" s="5"/>
      <c r="BY238" s="5"/>
      <c r="BZ238" s="5"/>
      <c r="CA238" s="5"/>
    </row>
    <row r="239" spans="1:79" x14ac:dyDescent="0.3">
      <c r="A239" s="4" t="s">
        <v>176</v>
      </c>
      <c r="B239" s="4">
        <v>0.9</v>
      </c>
      <c r="C239" s="4">
        <v>0.5</v>
      </c>
      <c r="D239" s="4">
        <v>0.6</v>
      </c>
      <c r="E239" s="4">
        <v>0.3</v>
      </c>
      <c r="F239" s="4">
        <v>707.24566700000003</v>
      </c>
      <c r="G239" s="4">
        <v>2E-3</v>
      </c>
      <c r="I239" s="4" t="s">
        <v>176</v>
      </c>
      <c r="J239" s="4">
        <v>0.9</v>
      </c>
      <c r="K239" s="4">
        <v>0.5</v>
      </c>
      <c r="L239" s="4">
        <v>0.6</v>
      </c>
      <c r="M239" s="4">
        <v>0.17</v>
      </c>
      <c r="N239" s="6">
        <v>683.19976799999995</v>
      </c>
      <c r="O239" s="4">
        <v>2.5000000000000001E-2</v>
      </c>
      <c r="P239" s="5"/>
      <c r="Q239" s="5"/>
      <c r="R239" s="5"/>
      <c r="S239" s="5"/>
      <c r="U239" s="4" t="s">
        <v>176</v>
      </c>
      <c r="V239" s="4">
        <v>0.9</v>
      </c>
      <c r="W239" s="4">
        <v>0.5</v>
      </c>
      <c r="X239" s="4">
        <v>0.6</v>
      </c>
      <c r="Y239" s="4">
        <v>0.3</v>
      </c>
      <c r="Z239" s="6">
        <v>694.58581500000003</v>
      </c>
      <c r="AA239" s="4">
        <v>2E-3</v>
      </c>
      <c r="AC239" s="4" t="s">
        <v>176</v>
      </c>
      <c r="AD239" s="4">
        <v>0.9</v>
      </c>
      <c r="AE239" s="4">
        <v>0.5</v>
      </c>
      <c r="AF239" s="4">
        <v>0.6</v>
      </c>
      <c r="AG239" s="4">
        <v>0.56999999999999995</v>
      </c>
      <c r="AH239" s="4">
        <v>741.64373799999998</v>
      </c>
      <c r="AI239" s="4">
        <v>0.01</v>
      </c>
      <c r="AJ239" s="5"/>
      <c r="AK239" s="5"/>
      <c r="AL239" s="5"/>
      <c r="AM239" s="5"/>
      <c r="AO239" s="4" t="s">
        <v>177</v>
      </c>
      <c r="AP239" s="4">
        <v>0.9</v>
      </c>
      <c r="AQ239" s="4">
        <v>0.5</v>
      </c>
      <c r="AR239" s="4">
        <v>0.6</v>
      </c>
      <c r="AS239" s="4">
        <v>0.3</v>
      </c>
      <c r="AT239" s="6">
        <v>1086.8961179999999</v>
      </c>
      <c r="AU239" s="4">
        <v>8.0000000000000002E-3</v>
      </c>
      <c r="AW239" s="4" t="s">
        <v>177</v>
      </c>
      <c r="AX239" s="4">
        <v>0.9</v>
      </c>
      <c r="AY239" s="4">
        <v>0.5</v>
      </c>
      <c r="AZ239" s="4">
        <v>0.6</v>
      </c>
      <c r="BA239" s="4">
        <v>0.31</v>
      </c>
      <c r="BB239" s="4">
        <v>1112.650269</v>
      </c>
      <c r="BC239" s="4">
        <v>1.4999999999999999E-2</v>
      </c>
      <c r="BD239" s="5"/>
      <c r="BE239" s="5"/>
      <c r="BF239" s="5"/>
      <c r="BG239" s="5"/>
      <c r="BI239" s="4" t="s">
        <v>177</v>
      </c>
      <c r="BJ239" s="4">
        <v>0.9</v>
      </c>
      <c r="BK239" s="4">
        <v>0.5</v>
      </c>
      <c r="BL239" s="4">
        <v>0.6</v>
      </c>
      <c r="BM239" s="4">
        <v>0.3</v>
      </c>
      <c r="BN239" s="4">
        <v>1044.595703</v>
      </c>
      <c r="BO239" s="4">
        <v>8.0000000000000002E-3</v>
      </c>
      <c r="BQ239" s="4" t="s">
        <v>177</v>
      </c>
      <c r="BR239" s="4">
        <v>0.9</v>
      </c>
      <c r="BS239" s="4">
        <v>0.5</v>
      </c>
      <c r="BT239" s="4">
        <v>0.6</v>
      </c>
      <c r="BU239" s="4">
        <v>0.16</v>
      </c>
      <c r="BV239" s="6">
        <v>976.27545199999997</v>
      </c>
      <c r="BW239" s="4">
        <v>0.03</v>
      </c>
      <c r="BX239" s="5"/>
      <c r="BY239" s="5"/>
      <c r="BZ239" s="5"/>
      <c r="CA239" s="5"/>
    </row>
    <row r="240" spans="1:79" x14ac:dyDescent="0.3">
      <c r="A240" s="4" t="s">
        <v>178</v>
      </c>
      <c r="B240" s="4">
        <v>0.9</v>
      </c>
      <c r="C240" s="4">
        <v>0.5</v>
      </c>
      <c r="D240" s="4">
        <v>0.6</v>
      </c>
      <c r="E240" s="4">
        <v>0.3</v>
      </c>
      <c r="F240" s="6">
        <v>674.61303699999996</v>
      </c>
      <c r="G240" s="4">
        <v>1E-3</v>
      </c>
      <c r="I240" s="4" t="s">
        <v>178</v>
      </c>
      <c r="J240" s="4">
        <v>0.9</v>
      </c>
      <c r="K240" s="4">
        <v>0.5</v>
      </c>
      <c r="L240" s="4">
        <v>0.6</v>
      </c>
      <c r="M240" s="4">
        <v>0.71</v>
      </c>
      <c r="N240" s="4">
        <v>817.85626200000002</v>
      </c>
      <c r="O240" s="4">
        <v>1.2E-2</v>
      </c>
      <c r="P240" s="5"/>
      <c r="Q240" s="5"/>
      <c r="R240" s="5"/>
      <c r="S240" s="5"/>
      <c r="U240" s="4" t="s">
        <v>178</v>
      </c>
      <c r="V240" s="4">
        <v>0.9</v>
      </c>
      <c r="W240" s="4">
        <v>0.5</v>
      </c>
      <c r="X240" s="4">
        <v>0.6</v>
      </c>
      <c r="Y240" s="4">
        <v>0.3</v>
      </c>
      <c r="Z240" s="6">
        <v>640.28515600000003</v>
      </c>
      <c r="AA240" s="4">
        <v>1E-3</v>
      </c>
      <c r="AC240" s="4" t="s">
        <v>178</v>
      </c>
      <c r="AD240" s="4">
        <v>0.9</v>
      </c>
      <c r="AE240" s="4">
        <v>0.5</v>
      </c>
      <c r="AF240" s="4">
        <v>0.6</v>
      </c>
      <c r="AG240" s="4">
        <v>0.35</v>
      </c>
      <c r="AH240" s="4">
        <v>682.97564699999998</v>
      </c>
      <c r="AI240" s="4">
        <v>1.9E-2</v>
      </c>
      <c r="AJ240" s="5"/>
      <c r="AK240" s="5"/>
      <c r="AL240" s="5"/>
      <c r="AM240" s="5"/>
      <c r="AO240" s="4" t="s">
        <v>179</v>
      </c>
      <c r="AP240" s="4">
        <v>0.9</v>
      </c>
      <c r="AQ240" s="4">
        <v>0.5</v>
      </c>
      <c r="AR240" s="4">
        <v>0.6</v>
      </c>
      <c r="AS240" s="4">
        <v>0.3</v>
      </c>
      <c r="AT240" s="6">
        <v>1032.3348390000001</v>
      </c>
      <c r="AU240" s="4">
        <v>7.0000000000000001E-3</v>
      </c>
      <c r="AW240" s="4" t="s">
        <v>179</v>
      </c>
      <c r="AX240" s="4">
        <v>0.9</v>
      </c>
      <c r="AY240" s="4">
        <v>0.5</v>
      </c>
      <c r="AZ240" s="4">
        <v>0.6</v>
      </c>
      <c r="BA240" s="4">
        <v>0.92</v>
      </c>
      <c r="BB240" s="4">
        <v>1294.7094729999999</v>
      </c>
      <c r="BC240" s="4">
        <v>3.9E-2</v>
      </c>
      <c r="BD240" s="5"/>
      <c r="BE240" s="5"/>
      <c r="BF240" s="5"/>
      <c r="BG240" s="5"/>
      <c r="BI240" s="4" t="s">
        <v>179</v>
      </c>
      <c r="BJ240" s="4">
        <v>0.9</v>
      </c>
      <c r="BK240" s="4">
        <v>0.5</v>
      </c>
      <c r="BL240" s="4">
        <v>0.6</v>
      </c>
      <c r="BM240" s="4">
        <v>0.3</v>
      </c>
      <c r="BN240" s="6">
        <v>1010.740784</v>
      </c>
      <c r="BO240" s="4">
        <v>6.0000000000000001E-3</v>
      </c>
      <c r="BQ240" s="4" t="s">
        <v>179</v>
      </c>
      <c r="BR240" s="4">
        <v>0.9</v>
      </c>
      <c r="BS240" s="4">
        <v>0.5</v>
      </c>
      <c r="BT240" s="4">
        <v>0.6</v>
      </c>
      <c r="BU240" s="4">
        <v>0.91</v>
      </c>
      <c r="BV240" s="4">
        <v>1267.4104</v>
      </c>
      <c r="BW240" s="4">
        <v>2.7E-2</v>
      </c>
      <c r="BX240" s="5"/>
      <c r="BY240" s="5"/>
      <c r="BZ240" s="5"/>
      <c r="CA240" s="5"/>
    </row>
    <row r="241" spans="1:79" x14ac:dyDescent="0.3">
      <c r="A241" s="4" t="s">
        <v>180</v>
      </c>
      <c r="B241" s="4">
        <v>0.9</v>
      </c>
      <c r="C241" s="4">
        <v>0.5</v>
      </c>
      <c r="D241" s="4">
        <v>0.6</v>
      </c>
      <c r="E241" s="4">
        <v>0.3</v>
      </c>
      <c r="F241" s="4">
        <v>673.78869599999996</v>
      </c>
      <c r="G241" s="4">
        <v>2E-3</v>
      </c>
      <c r="I241" s="4" t="s">
        <v>180</v>
      </c>
      <c r="J241" s="4">
        <v>0.9</v>
      </c>
      <c r="K241" s="4">
        <v>0.5</v>
      </c>
      <c r="L241" s="4">
        <v>0.6</v>
      </c>
      <c r="M241" s="4">
        <v>0.17</v>
      </c>
      <c r="N241" s="6">
        <v>655.01293899999996</v>
      </c>
      <c r="O241" s="4">
        <v>1.4999999999999999E-2</v>
      </c>
      <c r="P241" s="5"/>
      <c r="Q241" s="5"/>
      <c r="R241" s="5"/>
      <c r="S241" s="5"/>
      <c r="U241" s="4" t="s">
        <v>180</v>
      </c>
      <c r="V241" s="4">
        <v>0.9</v>
      </c>
      <c r="W241" s="4">
        <v>0.5</v>
      </c>
      <c r="X241" s="4">
        <v>0.6</v>
      </c>
      <c r="Y241" s="4">
        <v>0.3</v>
      </c>
      <c r="Z241" s="6">
        <v>669.84527600000001</v>
      </c>
      <c r="AA241" s="4">
        <v>1E-3</v>
      </c>
      <c r="AC241" s="4" t="s">
        <v>180</v>
      </c>
      <c r="AD241" s="4">
        <v>0.9</v>
      </c>
      <c r="AE241" s="4">
        <v>0.5</v>
      </c>
      <c r="AF241" s="4">
        <v>0.6</v>
      </c>
      <c r="AG241" s="4">
        <v>0.98</v>
      </c>
      <c r="AH241" s="4">
        <v>817.58148200000005</v>
      </c>
      <c r="AI241" s="4">
        <v>8.9999999999999993E-3</v>
      </c>
      <c r="AJ241" s="5"/>
      <c r="AK241" s="5"/>
      <c r="AL241" s="5"/>
      <c r="AM241" s="5"/>
      <c r="AO241" s="4" t="s">
        <v>181</v>
      </c>
      <c r="AP241" s="4">
        <v>0.9</v>
      </c>
      <c r="AQ241" s="4">
        <v>0.5</v>
      </c>
      <c r="AR241" s="4">
        <v>0.6</v>
      </c>
      <c r="AS241" s="4">
        <v>0.3</v>
      </c>
      <c r="AT241" s="6">
        <v>1039.3226320000001</v>
      </c>
      <c r="AU241" s="4">
        <v>7.0000000000000001E-3</v>
      </c>
      <c r="AW241" s="4" t="s">
        <v>181</v>
      </c>
      <c r="AX241" s="4">
        <v>0.9</v>
      </c>
      <c r="AY241" s="4">
        <v>0.5</v>
      </c>
      <c r="AZ241" s="4">
        <v>0.6</v>
      </c>
      <c r="BA241" s="4">
        <v>0.77</v>
      </c>
      <c r="BB241" s="4">
        <v>1268.0900879999999</v>
      </c>
      <c r="BC241" s="4">
        <v>0.02</v>
      </c>
      <c r="BD241" s="5"/>
      <c r="BE241" s="5"/>
      <c r="BF241" s="5"/>
      <c r="BG241" s="5"/>
      <c r="BI241" s="4" t="s">
        <v>181</v>
      </c>
      <c r="BJ241" s="4">
        <v>0.9</v>
      </c>
      <c r="BK241" s="4">
        <v>0.5</v>
      </c>
      <c r="BL241" s="4">
        <v>0.6</v>
      </c>
      <c r="BM241" s="4">
        <v>0.3</v>
      </c>
      <c r="BN241" s="6">
        <v>996.02288799999997</v>
      </c>
      <c r="BO241" s="4">
        <v>7.0000000000000001E-3</v>
      </c>
      <c r="BQ241" s="4" t="s">
        <v>181</v>
      </c>
      <c r="BR241" s="4">
        <v>0.9</v>
      </c>
      <c r="BS241" s="4">
        <v>0.5</v>
      </c>
      <c r="BT241" s="4">
        <v>0.6</v>
      </c>
      <c r="BU241" s="4">
        <v>0.76</v>
      </c>
      <c r="BV241" s="4">
        <v>1223.207764</v>
      </c>
      <c r="BW241" s="4">
        <v>2.4E-2</v>
      </c>
      <c r="BX241" s="5"/>
      <c r="BY241" s="5"/>
      <c r="BZ241" s="5"/>
      <c r="CA241" s="5"/>
    </row>
    <row r="242" spans="1:79" x14ac:dyDescent="0.3">
      <c r="A242" s="4" t="s">
        <v>182</v>
      </c>
      <c r="B242" s="4">
        <v>0.9</v>
      </c>
      <c r="C242" s="4">
        <v>0.5</v>
      </c>
      <c r="D242" s="4">
        <v>0.6</v>
      </c>
      <c r="E242" s="4">
        <v>0.3</v>
      </c>
      <c r="F242" s="6">
        <v>625.35784899999999</v>
      </c>
      <c r="G242" s="4">
        <v>1E-3</v>
      </c>
      <c r="I242" s="4" t="s">
        <v>182</v>
      </c>
      <c r="J242" s="4">
        <v>0.9</v>
      </c>
      <c r="K242" s="4">
        <v>0.5</v>
      </c>
      <c r="L242" s="4">
        <v>0.6</v>
      </c>
      <c r="M242" s="4">
        <v>0.65</v>
      </c>
      <c r="N242" s="4">
        <v>746.74005099999999</v>
      </c>
      <c r="O242" s="4">
        <v>1.0999999999999999E-2</v>
      </c>
      <c r="P242" s="5"/>
      <c r="Q242" s="5"/>
      <c r="R242" s="5"/>
      <c r="S242" s="5"/>
      <c r="U242" s="4" t="s">
        <v>182</v>
      </c>
      <c r="V242" s="4">
        <v>0.9</v>
      </c>
      <c r="W242" s="4">
        <v>0.5</v>
      </c>
      <c r="X242" s="4">
        <v>0.6</v>
      </c>
      <c r="Y242" s="4">
        <v>0.3</v>
      </c>
      <c r="Z242" s="4">
        <v>611.75146500000005</v>
      </c>
      <c r="AA242" s="4">
        <v>1E-3</v>
      </c>
      <c r="AC242" s="4" t="s">
        <v>182</v>
      </c>
      <c r="AD242" s="4">
        <v>0.9</v>
      </c>
      <c r="AE242" s="4">
        <v>0.5</v>
      </c>
      <c r="AF242" s="4">
        <v>0.6</v>
      </c>
      <c r="AG242" s="4">
        <v>0.01</v>
      </c>
      <c r="AH242" s="6">
        <v>585.84985400000005</v>
      </c>
      <c r="AI242" s="4">
        <v>1.2999999999999999E-2</v>
      </c>
      <c r="AJ242" s="5"/>
      <c r="AK242" s="5"/>
      <c r="AL242" s="5"/>
      <c r="AM242" s="5"/>
      <c r="AO242" s="4" t="s">
        <v>183</v>
      </c>
      <c r="AP242" s="4">
        <v>0.9</v>
      </c>
      <c r="AQ242" s="4">
        <v>0.5</v>
      </c>
      <c r="AR242" s="4">
        <v>0.6</v>
      </c>
      <c r="AS242" s="4">
        <v>0.3</v>
      </c>
      <c r="AT242" s="6">
        <v>1067.0251459999999</v>
      </c>
      <c r="AU242" s="4">
        <v>7.0000000000000001E-3</v>
      </c>
      <c r="AW242" s="4" t="s">
        <v>183</v>
      </c>
      <c r="AX242" s="4">
        <v>0.9</v>
      </c>
      <c r="AY242" s="4">
        <v>0.5</v>
      </c>
      <c r="AZ242" s="4">
        <v>0.6</v>
      </c>
      <c r="BA242" s="4">
        <v>0.67</v>
      </c>
      <c r="BB242" s="4">
        <v>1250.8892820000001</v>
      </c>
      <c r="BC242" s="4">
        <v>1.9E-2</v>
      </c>
      <c r="BD242" s="5"/>
      <c r="BE242" s="5"/>
      <c r="BF242" s="5"/>
      <c r="BG242" s="5"/>
      <c r="BI242" s="4" t="s">
        <v>183</v>
      </c>
      <c r="BJ242" s="4">
        <v>0.9</v>
      </c>
      <c r="BK242" s="4">
        <v>0.5</v>
      </c>
      <c r="BL242" s="4">
        <v>0.6</v>
      </c>
      <c r="BM242" s="4">
        <v>0.3</v>
      </c>
      <c r="BN242" s="6">
        <v>1047.1072999999999</v>
      </c>
      <c r="BO242" s="4">
        <v>7.0000000000000001E-3</v>
      </c>
      <c r="BQ242" s="4" t="s">
        <v>183</v>
      </c>
      <c r="BR242" s="4">
        <v>0.9</v>
      </c>
      <c r="BS242" s="4">
        <v>0.5</v>
      </c>
      <c r="BT242" s="4">
        <v>0.6</v>
      </c>
      <c r="BU242" s="4">
        <v>0.28999999999999998</v>
      </c>
      <c r="BV242" s="4">
        <v>1053.456177</v>
      </c>
      <c r="BW242" s="4">
        <v>2.4E-2</v>
      </c>
      <c r="BX242" s="5"/>
      <c r="BY242" s="5"/>
      <c r="BZ242" s="5"/>
      <c r="CA242" s="5"/>
    </row>
    <row r="243" spans="1:79" x14ac:dyDescent="0.3">
      <c r="A243" s="4" t="s">
        <v>184</v>
      </c>
      <c r="B243" s="4">
        <v>0.9</v>
      </c>
      <c r="C243" s="4">
        <v>0.5</v>
      </c>
      <c r="D243" s="4">
        <v>0.6</v>
      </c>
      <c r="E243" s="4">
        <v>0.3</v>
      </c>
      <c r="F243" s="6">
        <v>649.77593999999999</v>
      </c>
      <c r="G243" s="4">
        <v>1E-3</v>
      </c>
      <c r="I243" s="4" t="s">
        <v>184</v>
      </c>
      <c r="J243" s="4">
        <v>0.9</v>
      </c>
      <c r="K243" s="4">
        <v>0.5</v>
      </c>
      <c r="L243" s="4">
        <v>0.6</v>
      </c>
      <c r="M243" s="4">
        <v>0.79</v>
      </c>
      <c r="N243" s="4">
        <v>758.22143600000004</v>
      </c>
      <c r="O243" s="4">
        <v>8.0000000000000002E-3</v>
      </c>
      <c r="P243" s="5"/>
      <c r="Q243" s="5"/>
      <c r="R243" s="5"/>
      <c r="S243" s="5"/>
      <c r="U243" s="4" t="s">
        <v>184</v>
      </c>
      <c r="V243" s="4">
        <v>0.9</v>
      </c>
      <c r="W243" s="4">
        <v>0.5</v>
      </c>
      <c r="X243" s="4">
        <v>0.6</v>
      </c>
      <c r="Y243" s="4">
        <v>0.3</v>
      </c>
      <c r="Z243" s="4">
        <v>617.88653599999998</v>
      </c>
      <c r="AA243" s="4">
        <v>1E-3</v>
      </c>
      <c r="AC243" s="4" t="s">
        <v>184</v>
      </c>
      <c r="AD243" s="4">
        <v>0.9</v>
      </c>
      <c r="AE243" s="4">
        <v>0.5</v>
      </c>
      <c r="AF243" s="4">
        <v>0.6</v>
      </c>
      <c r="AG243" s="4">
        <v>0.06</v>
      </c>
      <c r="AH243" s="6">
        <v>590.64672900000005</v>
      </c>
      <c r="AI243" s="4">
        <v>1.7000000000000001E-2</v>
      </c>
      <c r="AJ243" s="5"/>
      <c r="AK243" s="5"/>
      <c r="AL243" s="5"/>
      <c r="AM243" s="5"/>
      <c r="AO243" s="4" t="s">
        <v>185</v>
      </c>
      <c r="AP243" s="4">
        <v>0.9</v>
      </c>
      <c r="AQ243" s="4">
        <v>0.5</v>
      </c>
      <c r="AR243" s="4">
        <v>0.6</v>
      </c>
      <c r="AS243" s="4">
        <v>0.3</v>
      </c>
      <c r="AT243" s="6">
        <v>1025.0541989999999</v>
      </c>
      <c r="AU243" s="4">
        <v>7.0000000000000001E-3</v>
      </c>
      <c r="AW243" s="4" t="s">
        <v>185</v>
      </c>
      <c r="AX243" s="4">
        <v>0.9</v>
      </c>
      <c r="AY243" s="4">
        <v>0.5</v>
      </c>
      <c r="AZ243" s="4">
        <v>0.6</v>
      </c>
      <c r="BA243" s="4">
        <v>0.39</v>
      </c>
      <c r="BB243" s="4">
        <v>1091.75647</v>
      </c>
      <c r="BC243" s="4">
        <v>1.7999999999999999E-2</v>
      </c>
      <c r="BD243" s="5"/>
      <c r="BE243" s="5"/>
      <c r="BF243" s="5"/>
      <c r="BG243" s="5"/>
      <c r="BI243" s="4" t="s">
        <v>185</v>
      </c>
      <c r="BJ243" s="4">
        <v>0.9</v>
      </c>
      <c r="BK243" s="4">
        <v>0.5</v>
      </c>
      <c r="BL243" s="4">
        <v>0.6</v>
      </c>
      <c r="BM243" s="4">
        <v>0.3</v>
      </c>
      <c r="BN243" s="6">
        <v>1023.160034</v>
      </c>
      <c r="BO243" s="4">
        <v>7.0000000000000001E-3</v>
      </c>
      <c r="BQ243" s="4" t="s">
        <v>185</v>
      </c>
      <c r="BR243" s="4">
        <v>0.9</v>
      </c>
      <c r="BS243" s="4">
        <v>0.5</v>
      </c>
      <c r="BT243" s="4">
        <v>0.6</v>
      </c>
      <c r="BU243" s="4">
        <v>0.37</v>
      </c>
      <c r="BV243" s="4">
        <v>1049.9232179999999</v>
      </c>
      <c r="BW243" s="4">
        <v>2.4E-2</v>
      </c>
      <c r="BX243" s="5"/>
      <c r="BY243" s="5"/>
      <c r="BZ243" s="5"/>
      <c r="CA243" s="5"/>
    </row>
    <row r="244" spans="1:79" x14ac:dyDescent="0.3">
      <c r="A244" s="4" t="s">
        <v>186</v>
      </c>
      <c r="B244" s="4">
        <v>0.9</v>
      </c>
      <c r="C244" s="4">
        <v>0.5</v>
      </c>
      <c r="D244" s="4">
        <v>0.6</v>
      </c>
      <c r="E244" s="4">
        <v>0.3</v>
      </c>
      <c r="F244" s="6">
        <v>745.99169900000004</v>
      </c>
      <c r="G244" s="4">
        <v>1E-3</v>
      </c>
      <c r="I244" s="4" t="s">
        <v>186</v>
      </c>
      <c r="J244" s="4">
        <v>0.9</v>
      </c>
      <c r="K244" s="4">
        <v>0.5</v>
      </c>
      <c r="L244" s="4">
        <v>0.6</v>
      </c>
      <c r="M244" s="4">
        <v>0.56000000000000005</v>
      </c>
      <c r="N244" s="4">
        <v>904.96563700000002</v>
      </c>
      <c r="O244" s="4">
        <v>8.0000000000000002E-3</v>
      </c>
      <c r="P244" s="5"/>
      <c r="Q244" s="5"/>
      <c r="R244" s="5"/>
      <c r="S244" s="5"/>
      <c r="U244" s="4" t="s">
        <v>186</v>
      </c>
      <c r="V244" s="4">
        <v>0.9</v>
      </c>
      <c r="W244" s="4">
        <v>0.5</v>
      </c>
      <c r="X244" s="4">
        <v>0.6</v>
      </c>
      <c r="Y244" s="4">
        <v>0.3</v>
      </c>
      <c r="Z244" s="4">
        <v>732.42492700000003</v>
      </c>
      <c r="AA244" s="4">
        <v>1E-3</v>
      </c>
      <c r="AC244" s="4" t="s">
        <v>186</v>
      </c>
      <c r="AD244" s="4">
        <v>0.9</v>
      </c>
      <c r="AE244" s="4">
        <v>0.5</v>
      </c>
      <c r="AF244" s="4">
        <v>0.6</v>
      </c>
      <c r="AG244" s="4">
        <v>0.09</v>
      </c>
      <c r="AH244" s="6">
        <v>713.88592500000004</v>
      </c>
      <c r="AI244" s="4">
        <v>0.01</v>
      </c>
      <c r="AJ244" s="5"/>
      <c r="AK244" s="5"/>
      <c r="AL244" s="5"/>
      <c r="AM244" s="5"/>
      <c r="AO244" s="4" t="s">
        <v>187</v>
      </c>
      <c r="AP244" s="4">
        <v>0.9</v>
      </c>
      <c r="AQ244" s="4">
        <v>0.5</v>
      </c>
      <c r="AR244" s="4">
        <v>0.6</v>
      </c>
      <c r="AS244" s="4">
        <v>0.3</v>
      </c>
      <c r="AT244" s="6">
        <v>1137.481689</v>
      </c>
      <c r="AU244" s="4">
        <v>8.0000000000000002E-3</v>
      </c>
      <c r="AW244" s="4" t="s">
        <v>187</v>
      </c>
      <c r="AX244" s="4">
        <v>0.9</v>
      </c>
      <c r="AY244" s="4">
        <v>0.5</v>
      </c>
      <c r="AZ244" s="4">
        <v>0.6</v>
      </c>
      <c r="BA244" s="4">
        <v>0.45</v>
      </c>
      <c r="BB244" s="4">
        <v>1245.3618160000001</v>
      </c>
      <c r="BC244" s="4">
        <v>2.3E-2</v>
      </c>
      <c r="BD244" s="5"/>
      <c r="BE244" s="5"/>
      <c r="BF244" s="5"/>
      <c r="BG244" s="5"/>
      <c r="BI244" s="4" t="s">
        <v>187</v>
      </c>
      <c r="BJ244" s="4">
        <v>0.9</v>
      </c>
      <c r="BK244" s="4">
        <v>0.5</v>
      </c>
      <c r="BL244" s="4">
        <v>0.6</v>
      </c>
      <c r="BM244" s="4">
        <v>0.3</v>
      </c>
      <c r="BN244" s="4">
        <v>1116.3873289999999</v>
      </c>
      <c r="BO244" s="4">
        <v>7.0000000000000001E-3</v>
      </c>
      <c r="BQ244" s="4" t="s">
        <v>187</v>
      </c>
      <c r="BR244" s="4">
        <v>0.9</v>
      </c>
      <c r="BS244" s="4">
        <v>0.5</v>
      </c>
      <c r="BT244" s="4">
        <v>0.6</v>
      </c>
      <c r="BU244" s="4">
        <v>0.01</v>
      </c>
      <c r="BV244" s="6">
        <v>1067.453125</v>
      </c>
      <c r="BW244" s="4">
        <v>4.2999999999999997E-2</v>
      </c>
      <c r="BX244" s="5"/>
      <c r="BY244" s="5"/>
      <c r="BZ244" s="5"/>
      <c r="CA244" s="5"/>
    </row>
    <row r="245" spans="1:79" x14ac:dyDescent="0.3">
      <c r="A245" s="4" t="s">
        <v>188</v>
      </c>
      <c r="B245" s="4">
        <v>0.9</v>
      </c>
      <c r="C245" s="4">
        <v>0.5</v>
      </c>
      <c r="D245" s="4">
        <v>0.6</v>
      </c>
      <c r="E245" s="4">
        <v>0.3</v>
      </c>
      <c r="F245" s="6">
        <v>676.25616500000001</v>
      </c>
      <c r="G245" s="4">
        <v>2E-3</v>
      </c>
      <c r="I245" s="4" t="s">
        <v>188</v>
      </c>
      <c r="J245" s="4">
        <v>0.9</v>
      </c>
      <c r="K245" s="4">
        <v>0.5</v>
      </c>
      <c r="L245" s="4">
        <v>0.6</v>
      </c>
      <c r="M245" s="4">
        <v>0.61</v>
      </c>
      <c r="N245" s="4">
        <v>764.84405500000003</v>
      </c>
      <c r="O245" s="4">
        <v>1.7000000000000001E-2</v>
      </c>
      <c r="P245" s="5"/>
      <c r="Q245" s="5"/>
      <c r="R245" s="5"/>
      <c r="S245" s="5"/>
      <c r="U245" s="4" t="s">
        <v>188</v>
      </c>
      <c r="V245" s="4">
        <v>0.9</v>
      </c>
      <c r="W245" s="4">
        <v>0.5</v>
      </c>
      <c r="X245" s="4">
        <v>0.6</v>
      </c>
      <c r="Y245" s="4">
        <v>0.3</v>
      </c>
      <c r="Z245" s="6">
        <v>653.67767300000003</v>
      </c>
      <c r="AA245" s="4">
        <v>4.0000000000000001E-3</v>
      </c>
      <c r="AC245" s="4" t="s">
        <v>188</v>
      </c>
      <c r="AD245" s="4">
        <v>0.9</v>
      </c>
      <c r="AE245" s="4">
        <v>0.5</v>
      </c>
      <c r="AF245" s="4">
        <v>0.6</v>
      </c>
      <c r="AG245" s="4">
        <v>0.6</v>
      </c>
      <c r="AH245" s="4">
        <v>765.93878199999995</v>
      </c>
      <c r="AI245" s="4">
        <v>1.0999999999999999E-2</v>
      </c>
      <c r="AJ245" s="5"/>
      <c r="AK245" s="5"/>
      <c r="AL245" s="5"/>
      <c r="AM245" s="5"/>
      <c r="AO245" s="4" t="s">
        <v>189</v>
      </c>
      <c r="AP245" s="4">
        <v>0.9</v>
      </c>
      <c r="AQ245" s="4">
        <v>0.5</v>
      </c>
      <c r="AR245" s="4">
        <v>0.6</v>
      </c>
      <c r="AS245" s="4">
        <v>0.3</v>
      </c>
      <c r="AT245" s="4">
        <v>983.92980999999997</v>
      </c>
      <c r="AU245" s="4">
        <v>6.0000000000000001E-3</v>
      </c>
      <c r="AW245" s="4" t="s">
        <v>189</v>
      </c>
      <c r="AX245" s="4">
        <v>0.9</v>
      </c>
      <c r="AY245" s="4">
        <v>0.5</v>
      </c>
      <c r="AZ245" s="4">
        <v>0.6</v>
      </c>
      <c r="BA245" s="4">
        <v>0.05</v>
      </c>
      <c r="BB245" s="6">
        <v>826.89904799999999</v>
      </c>
      <c r="BC245" s="4">
        <v>1.6E-2</v>
      </c>
      <c r="BD245" s="5"/>
      <c r="BE245" s="5"/>
      <c r="BF245" s="5"/>
      <c r="BG245" s="5"/>
      <c r="BI245" s="4" t="s">
        <v>189</v>
      </c>
      <c r="BJ245" s="4">
        <v>0.9</v>
      </c>
      <c r="BK245" s="4">
        <v>0.5</v>
      </c>
      <c r="BL245" s="4">
        <v>0.6</v>
      </c>
      <c r="BM245" s="4">
        <v>0.3</v>
      </c>
      <c r="BN245" s="4">
        <v>955.55792199999996</v>
      </c>
      <c r="BO245" s="4">
        <v>6.0000000000000001E-3</v>
      </c>
      <c r="BQ245" s="4" t="s">
        <v>189</v>
      </c>
      <c r="BR245" s="4">
        <v>0.9</v>
      </c>
      <c r="BS245" s="4">
        <v>0.5</v>
      </c>
      <c r="BT245" s="4">
        <v>0.6</v>
      </c>
      <c r="BU245" s="4">
        <v>0.09</v>
      </c>
      <c r="BV245" s="6">
        <v>836.98474099999999</v>
      </c>
      <c r="BW245" s="4">
        <v>2.5000000000000001E-2</v>
      </c>
      <c r="BX245" s="5"/>
      <c r="BY245" s="5"/>
      <c r="BZ245" s="5"/>
      <c r="CA245" s="5"/>
    </row>
    <row r="246" spans="1:79" x14ac:dyDescent="0.3">
      <c r="A246" s="4" t="s">
        <v>190</v>
      </c>
      <c r="B246" s="4">
        <v>0.9</v>
      </c>
      <c r="C246" s="4">
        <v>0.5</v>
      </c>
      <c r="D246" s="4">
        <v>0.6</v>
      </c>
      <c r="E246" s="4">
        <v>0.3</v>
      </c>
      <c r="F246" s="6">
        <v>662.42627000000005</v>
      </c>
      <c r="G246" s="4">
        <v>2E-3</v>
      </c>
      <c r="I246" s="4" t="s">
        <v>190</v>
      </c>
      <c r="J246" s="4">
        <v>0.9</v>
      </c>
      <c r="K246" s="4">
        <v>0.5</v>
      </c>
      <c r="L246" s="4">
        <v>0.6</v>
      </c>
      <c r="M246" s="4">
        <v>0.93</v>
      </c>
      <c r="N246" s="4">
        <v>794.73345900000004</v>
      </c>
      <c r="O246" s="4">
        <v>1.9E-2</v>
      </c>
      <c r="P246" s="5"/>
      <c r="Q246" s="5"/>
      <c r="R246" s="5"/>
      <c r="S246" s="5"/>
      <c r="U246" s="4" t="s">
        <v>190</v>
      </c>
      <c r="V246" s="4">
        <v>0.9</v>
      </c>
      <c r="W246" s="4">
        <v>0.5</v>
      </c>
      <c r="X246" s="4">
        <v>0.6</v>
      </c>
      <c r="Y246" s="4">
        <v>0.3</v>
      </c>
      <c r="Z246" s="6">
        <v>653.85784899999999</v>
      </c>
      <c r="AA246" s="4">
        <v>3.0000000000000001E-3</v>
      </c>
      <c r="AC246" s="4" t="s">
        <v>190</v>
      </c>
      <c r="AD246" s="4">
        <v>0.9</v>
      </c>
      <c r="AE246" s="4">
        <v>0.5</v>
      </c>
      <c r="AF246" s="4">
        <v>0.6</v>
      </c>
      <c r="AG246" s="4">
        <v>0.87</v>
      </c>
      <c r="AH246" s="4">
        <v>816.99408000000005</v>
      </c>
      <c r="AI246" s="4">
        <v>1.4999999999999999E-2</v>
      </c>
      <c r="AJ246" s="5"/>
      <c r="AK246" s="5"/>
      <c r="AL246" s="5"/>
      <c r="AM246" s="5"/>
      <c r="AO246" s="4" t="s">
        <v>191</v>
      </c>
      <c r="AP246" s="4">
        <v>0.9</v>
      </c>
      <c r="AQ246" s="4">
        <v>0.5</v>
      </c>
      <c r="AR246" s="4">
        <v>0.6</v>
      </c>
      <c r="AS246" s="4">
        <v>0.3</v>
      </c>
      <c r="AT246" s="6">
        <v>988.23944100000006</v>
      </c>
      <c r="AU246" s="4">
        <v>6.0000000000000001E-3</v>
      </c>
      <c r="AW246" s="4" t="s">
        <v>191</v>
      </c>
      <c r="AX246" s="4">
        <v>0.9</v>
      </c>
      <c r="AY246" s="4">
        <v>0.5</v>
      </c>
      <c r="AZ246" s="4">
        <v>0.6</v>
      </c>
      <c r="BA246" s="4">
        <v>0.51</v>
      </c>
      <c r="BB246" s="4">
        <v>1108.715942</v>
      </c>
      <c r="BC246" s="4">
        <v>2.9000000000000001E-2</v>
      </c>
      <c r="BD246" s="5"/>
      <c r="BE246" s="5"/>
      <c r="BF246" s="5"/>
      <c r="BG246" s="5"/>
      <c r="BI246" s="4" t="s">
        <v>191</v>
      </c>
      <c r="BJ246" s="4">
        <v>0.9</v>
      </c>
      <c r="BK246" s="4">
        <v>0.5</v>
      </c>
      <c r="BL246" s="4">
        <v>0.6</v>
      </c>
      <c r="BM246" s="4">
        <v>0.3</v>
      </c>
      <c r="BN246" s="6">
        <v>969.10589600000003</v>
      </c>
      <c r="BO246" s="4">
        <v>6.0000000000000001E-3</v>
      </c>
      <c r="BQ246" s="4" t="s">
        <v>191</v>
      </c>
      <c r="BR246" s="4">
        <v>0.9</v>
      </c>
      <c r="BS246" s="4">
        <v>0.5</v>
      </c>
      <c r="BT246" s="4">
        <v>0.6</v>
      </c>
      <c r="BU246" s="4">
        <v>0.79</v>
      </c>
      <c r="BV246" s="4">
        <v>1201.391846</v>
      </c>
      <c r="BW246" s="4">
        <v>2.3E-2</v>
      </c>
      <c r="BX246" s="5"/>
      <c r="BY246" s="5"/>
      <c r="BZ246" s="5"/>
      <c r="CA246" s="5"/>
    </row>
    <row r="247" spans="1:79" x14ac:dyDescent="0.3">
      <c r="A247" s="4" t="s">
        <v>192</v>
      </c>
      <c r="B247" s="4">
        <v>0.9</v>
      </c>
      <c r="C247" s="4">
        <v>0.5</v>
      </c>
      <c r="D247" s="4">
        <v>0.6</v>
      </c>
      <c r="E247" s="4">
        <v>0.3</v>
      </c>
      <c r="F247" s="6">
        <v>754.32055700000001</v>
      </c>
      <c r="G247" s="4">
        <v>2E-3</v>
      </c>
      <c r="I247" s="4" t="s">
        <v>192</v>
      </c>
      <c r="J247" s="4">
        <v>0.9</v>
      </c>
      <c r="K247" s="4">
        <v>0.5</v>
      </c>
      <c r="L247" s="4">
        <v>0.6</v>
      </c>
      <c r="M247" s="4">
        <v>0.83</v>
      </c>
      <c r="N247" s="4">
        <v>995.26727300000005</v>
      </c>
      <c r="O247" s="4">
        <v>1.0999999999999999E-2</v>
      </c>
      <c r="P247" s="5"/>
      <c r="Q247" s="5"/>
      <c r="R247" s="5"/>
      <c r="S247" s="5"/>
      <c r="U247" s="4" t="s">
        <v>192</v>
      </c>
      <c r="V247" s="4">
        <v>0.9</v>
      </c>
      <c r="W247" s="4">
        <v>0.5</v>
      </c>
      <c r="X247" s="4">
        <v>0.6</v>
      </c>
      <c r="Y247" s="4">
        <v>0.3</v>
      </c>
      <c r="Z247" s="6">
        <v>766.16589399999998</v>
      </c>
      <c r="AA247" s="4">
        <v>2E-3</v>
      </c>
      <c r="AC247" s="4" t="s">
        <v>192</v>
      </c>
      <c r="AD247" s="4">
        <v>0.9</v>
      </c>
      <c r="AE247" s="4">
        <v>0.5</v>
      </c>
      <c r="AF247" s="4">
        <v>0.6</v>
      </c>
      <c r="AG247" s="4">
        <v>0.83</v>
      </c>
      <c r="AH247" s="4">
        <v>988.34179700000004</v>
      </c>
      <c r="AI247" s="4">
        <v>8.0000000000000002E-3</v>
      </c>
      <c r="AJ247" s="5"/>
      <c r="AK247" s="5"/>
      <c r="AL247" s="5"/>
      <c r="AM247" s="5"/>
      <c r="AO247" s="4" t="s">
        <v>193</v>
      </c>
      <c r="AP247" s="4">
        <v>0.9</v>
      </c>
      <c r="AQ247" s="4">
        <v>0.5</v>
      </c>
      <c r="AR247" s="4">
        <v>0.6</v>
      </c>
      <c r="AS247" s="4">
        <v>0.3</v>
      </c>
      <c r="AT247" s="6">
        <v>1082.581909</v>
      </c>
      <c r="AU247" s="4">
        <v>7.0000000000000001E-3</v>
      </c>
      <c r="AW247" s="4" t="s">
        <v>193</v>
      </c>
      <c r="AX247" s="4">
        <v>0.9</v>
      </c>
      <c r="AY247" s="4">
        <v>0.5</v>
      </c>
      <c r="AZ247" s="4">
        <v>0.6</v>
      </c>
      <c r="BA247" s="4">
        <v>0.35</v>
      </c>
      <c r="BB247" s="4">
        <v>1120.6256100000001</v>
      </c>
      <c r="BC247" s="4">
        <v>0.02</v>
      </c>
      <c r="BD247" s="5"/>
      <c r="BE247" s="5"/>
      <c r="BF247" s="5"/>
      <c r="BG247" s="5"/>
      <c r="BI247" s="4" t="s">
        <v>193</v>
      </c>
      <c r="BJ247" s="4">
        <v>0.9</v>
      </c>
      <c r="BK247" s="4">
        <v>0.5</v>
      </c>
      <c r="BL247" s="4">
        <v>0.6</v>
      </c>
      <c r="BM247" s="4">
        <v>0.3</v>
      </c>
      <c r="BN247" s="6">
        <v>1057.0688479999999</v>
      </c>
      <c r="BO247" s="4">
        <v>8.9999999999999993E-3</v>
      </c>
      <c r="BQ247" s="4" t="s">
        <v>193</v>
      </c>
      <c r="BR247" s="4">
        <v>0.9</v>
      </c>
      <c r="BS247" s="4">
        <v>0.5</v>
      </c>
      <c r="BT247" s="4">
        <v>0.6</v>
      </c>
      <c r="BU247" s="4">
        <v>0.56999999999999995</v>
      </c>
      <c r="BV247" s="4">
        <v>1203.6517329999999</v>
      </c>
      <c r="BW247" s="4">
        <v>2.1999999999999999E-2</v>
      </c>
      <c r="BX247" s="5"/>
      <c r="BY247" s="5"/>
      <c r="BZ247" s="5"/>
      <c r="CA247" s="5"/>
    </row>
    <row r="248" spans="1:79" x14ac:dyDescent="0.3">
      <c r="A248" s="14" t="s">
        <v>316</v>
      </c>
      <c r="E248" s="14">
        <f>AVERAGE(E218:E247)</f>
        <v>0.3</v>
      </c>
      <c r="I248" s="14" t="s">
        <v>316</v>
      </c>
      <c r="M248" s="14">
        <f>AVERAGE(M218:M247)</f>
        <v>0.53999999999999992</v>
      </c>
      <c r="P248" s="5"/>
      <c r="Q248" s="5"/>
      <c r="R248" s="5"/>
      <c r="S248" s="5"/>
      <c r="U248" s="14" t="s">
        <v>316</v>
      </c>
      <c r="Y248" s="14">
        <f>AVERAGE(Y218:Y247)</f>
        <v>0.3</v>
      </c>
      <c r="AC248" s="14" t="s">
        <v>316</v>
      </c>
      <c r="AG248" s="14">
        <f>AVERAGE(AG218:AG247)</f>
        <v>0.46933333333333332</v>
      </c>
      <c r="AJ248" s="5"/>
      <c r="AK248" s="5"/>
      <c r="AL248" s="5"/>
      <c r="AM248" s="5"/>
      <c r="AO248" s="14" t="s">
        <v>316</v>
      </c>
      <c r="AS248" s="14">
        <f>AVERAGE(AS218:AS247)</f>
        <v>0.3</v>
      </c>
      <c r="AW248" s="14" t="s">
        <v>316</v>
      </c>
      <c r="BA248" s="14">
        <f>AVERAGE(BA218:BA247)</f>
        <v>0.51999999999999991</v>
      </c>
      <c r="BD248" s="5"/>
      <c r="BE248" s="5"/>
      <c r="BF248" s="5"/>
      <c r="BG248" s="5"/>
      <c r="BI248" s="14" t="s">
        <v>316</v>
      </c>
      <c r="BM248" s="14">
        <f>AVERAGE(BM218:BM247)</f>
        <v>0.3</v>
      </c>
      <c r="BQ248" s="14" t="s">
        <v>316</v>
      </c>
      <c r="BU248" s="14">
        <f>AVERAGE(BU218:BU247)</f>
        <v>0.46566666666666662</v>
      </c>
      <c r="BX248" s="5"/>
      <c r="BY248" s="5"/>
      <c r="BZ248" s="5"/>
      <c r="CA248" s="5"/>
    </row>
    <row r="249" spans="1:79" x14ac:dyDescent="0.3">
      <c r="P249" s="5"/>
      <c r="Q249" s="5"/>
      <c r="R249" s="5"/>
      <c r="S249" s="5"/>
      <c r="AJ249" s="5"/>
      <c r="AK249" s="5"/>
      <c r="AL249" s="5"/>
      <c r="AM249" s="5"/>
      <c r="BD249" s="5"/>
      <c r="BE249" s="5"/>
      <c r="BF249" s="5"/>
      <c r="BG249" s="5"/>
      <c r="BX249" s="5"/>
      <c r="BY249" s="5"/>
      <c r="BZ249" s="5"/>
      <c r="CA249" s="5"/>
    </row>
    <row r="250" spans="1:79" x14ac:dyDescent="0.3">
      <c r="P250" s="5"/>
      <c r="Q250" s="5"/>
      <c r="R250" s="5"/>
      <c r="S250" s="5"/>
      <c r="AJ250" s="5"/>
      <c r="AK250" s="5"/>
      <c r="AL250" s="5"/>
      <c r="AM250" s="5"/>
      <c r="BD250" s="5"/>
      <c r="BE250" s="5"/>
      <c r="BF250" s="5"/>
      <c r="BG250" s="5"/>
      <c r="BX250" s="5"/>
      <c r="BY250" s="5"/>
      <c r="BZ250" s="5"/>
      <c r="CA250" s="5"/>
    </row>
    <row r="251" spans="1:79" x14ac:dyDescent="0.3">
      <c r="A251" s="23" t="s">
        <v>314</v>
      </c>
      <c r="B251" s="23"/>
      <c r="C251" s="23"/>
      <c r="D251" s="23"/>
      <c r="E251" s="23"/>
      <c r="F251" s="23"/>
      <c r="G251" s="23"/>
      <c r="I251" s="24" t="s">
        <v>314</v>
      </c>
      <c r="J251" s="25"/>
      <c r="K251" s="25"/>
      <c r="L251" s="25"/>
      <c r="M251" s="25"/>
      <c r="N251" s="25"/>
      <c r="O251" s="26"/>
      <c r="P251" s="11"/>
      <c r="Q251" s="11"/>
      <c r="R251" s="11"/>
      <c r="S251" s="11"/>
      <c r="U251" s="23" t="s">
        <v>314</v>
      </c>
      <c r="V251" s="23"/>
      <c r="W251" s="23"/>
      <c r="X251" s="23"/>
      <c r="Y251" s="23"/>
      <c r="Z251" s="23"/>
      <c r="AA251" s="23"/>
      <c r="AC251" s="24" t="s">
        <v>314</v>
      </c>
      <c r="AD251" s="25"/>
      <c r="AE251" s="25"/>
      <c r="AF251" s="25"/>
      <c r="AG251" s="25"/>
      <c r="AH251" s="25"/>
      <c r="AI251" s="26"/>
      <c r="AJ251" s="11"/>
      <c r="AK251" s="11"/>
      <c r="AL251" s="11"/>
      <c r="AM251" s="11"/>
      <c r="AO251" s="23" t="s">
        <v>314</v>
      </c>
      <c r="AP251" s="23"/>
      <c r="AQ251" s="23"/>
      <c r="AR251" s="23"/>
      <c r="AS251" s="23"/>
      <c r="AT251" s="23"/>
      <c r="AU251" s="23"/>
      <c r="AW251" s="24" t="s">
        <v>314</v>
      </c>
      <c r="AX251" s="25"/>
      <c r="AY251" s="25"/>
      <c r="AZ251" s="25"/>
      <c r="BA251" s="25"/>
      <c r="BB251" s="25"/>
      <c r="BC251" s="26"/>
      <c r="BD251" s="11"/>
      <c r="BE251" s="11"/>
      <c r="BF251" s="11"/>
      <c r="BG251" s="11"/>
      <c r="BI251" s="23" t="s">
        <v>314</v>
      </c>
      <c r="BJ251" s="23"/>
      <c r="BK251" s="23"/>
      <c r="BL251" s="23"/>
      <c r="BM251" s="23"/>
      <c r="BN251" s="23"/>
      <c r="BO251" s="23"/>
      <c r="BQ251" s="24" t="s">
        <v>314</v>
      </c>
      <c r="BR251" s="25"/>
      <c r="BS251" s="25"/>
      <c r="BT251" s="25"/>
      <c r="BU251" s="25"/>
      <c r="BV251" s="25"/>
      <c r="BW251" s="26"/>
      <c r="BX251" s="11"/>
      <c r="BY251" s="11"/>
      <c r="BZ251" s="11"/>
      <c r="CA251" s="11"/>
    </row>
    <row r="252" spans="1:79" x14ac:dyDescent="0.3">
      <c r="A252" s="24" t="s">
        <v>70</v>
      </c>
      <c r="B252" s="25"/>
      <c r="C252" s="25"/>
      <c r="D252" s="25"/>
      <c r="E252" s="25"/>
      <c r="F252" s="25"/>
      <c r="G252" s="26"/>
      <c r="I252" s="4" t="s">
        <v>70</v>
      </c>
      <c r="J252" s="4"/>
      <c r="K252" s="4"/>
      <c r="L252" s="4"/>
      <c r="M252" s="4"/>
      <c r="N252" s="4"/>
      <c r="O252" s="4"/>
      <c r="P252" s="11"/>
      <c r="Q252" s="11"/>
      <c r="R252" s="11"/>
      <c r="S252" s="11"/>
      <c r="U252" s="4" t="s">
        <v>71</v>
      </c>
      <c r="V252" s="4"/>
      <c r="W252" s="4"/>
      <c r="X252" s="4"/>
      <c r="Y252" s="4"/>
      <c r="Z252" s="4"/>
      <c r="AA252" s="4"/>
      <c r="AC252" s="4" t="s">
        <v>71</v>
      </c>
      <c r="AD252" s="4"/>
      <c r="AE252" s="4"/>
      <c r="AF252" s="4"/>
      <c r="AG252" s="4"/>
      <c r="AH252" s="4"/>
      <c r="AI252" s="4"/>
      <c r="AJ252" s="11"/>
      <c r="AK252" s="11"/>
      <c r="AL252" s="11"/>
      <c r="AM252" s="11"/>
      <c r="AO252" s="4" t="s">
        <v>70</v>
      </c>
      <c r="AP252" s="4"/>
      <c r="AQ252" s="4"/>
      <c r="AR252" s="4"/>
      <c r="AS252" s="4"/>
      <c r="AT252" s="4"/>
      <c r="AU252" s="4"/>
      <c r="AW252" s="4" t="s">
        <v>70</v>
      </c>
      <c r="AX252" s="4"/>
      <c r="AY252" s="4"/>
      <c r="AZ252" s="4"/>
      <c r="BA252" s="4"/>
      <c r="BB252" s="4"/>
      <c r="BC252" s="4"/>
      <c r="BD252" s="11"/>
      <c r="BE252" s="11"/>
      <c r="BF252" s="11"/>
      <c r="BG252" s="11"/>
      <c r="BI252" s="4" t="s">
        <v>71</v>
      </c>
      <c r="BJ252" s="4"/>
      <c r="BK252" s="4"/>
      <c r="BL252" s="4"/>
      <c r="BM252" s="4"/>
      <c r="BN252" s="4"/>
      <c r="BO252" s="4"/>
      <c r="BQ252" s="4" t="s">
        <v>71</v>
      </c>
      <c r="BR252" s="4"/>
      <c r="BS252" s="4"/>
      <c r="BT252" s="4"/>
      <c r="BU252" s="4"/>
      <c r="BV252" s="4"/>
      <c r="BW252" s="4"/>
      <c r="BX252" s="11"/>
      <c r="BY252" s="11"/>
      <c r="BZ252" s="11"/>
      <c r="CA252" s="11"/>
    </row>
    <row r="253" spans="1:79" x14ac:dyDescent="0.3">
      <c r="A253" s="4" t="s">
        <v>2</v>
      </c>
      <c r="B253" s="4" t="s">
        <v>3</v>
      </c>
      <c r="C253" s="4" t="s">
        <v>4</v>
      </c>
      <c r="D253" s="4" t="s">
        <v>5</v>
      </c>
      <c r="E253" s="4" t="s">
        <v>6</v>
      </c>
      <c r="F253" s="4" t="s">
        <v>7</v>
      </c>
      <c r="G253" s="4" t="s">
        <v>8</v>
      </c>
      <c r="I253" s="4" t="s">
        <v>2</v>
      </c>
      <c r="J253" s="4" t="s">
        <v>3</v>
      </c>
      <c r="K253" s="4" t="s">
        <v>4</v>
      </c>
      <c r="L253" s="4" t="s">
        <v>5</v>
      </c>
      <c r="M253" s="4" t="s">
        <v>6</v>
      </c>
      <c r="N253" s="4" t="s">
        <v>7</v>
      </c>
      <c r="O253" s="4" t="s">
        <v>8</v>
      </c>
      <c r="P253" s="3" t="s">
        <v>322</v>
      </c>
      <c r="Q253" s="3" t="s">
        <v>323</v>
      </c>
      <c r="R253" s="3" t="s">
        <v>322</v>
      </c>
      <c r="S253" s="3" t="s">
        <v>323</v>
      </c>
      <c r="U253" s="4" t="s">
        <v>2</v>
      </c>
      <c r="V253" s="4" t="s">
        <v>3</v>
      </c>
      <c r="W253" s="4" t="s">
        <v>4</v>
      </c>
      <c r="X253" s="4" t="s">
        <v>5</v>
      </c>
      <c r="Y253" s="4" t="s">
        <v>6</v>
      </c>
      <c r="Z253" s="4" t="s">
        <v>7</v>
      </c>
      <c r="AA253" s="4" t="s">
        <v>8</v>
      </c>
      <c r="AC253" s="4" t="s">
        <v>2</v>
      </c>
      <c r="AD253" s="4" t="s">
        <v>3</v>
      </c>
      <c r="AE253" s="4" t="s">
        <v>4</v>
      </c>
      <c r="AF253" s="4" t="s">
        <v>5</v>
      </c>
      <c r="AG253" s="4" t="s">
        <v>6</v>
      </c>
      <c r="AH253" s="4" t="s">
        <v>7</v>
      </c>
      <c r="AI253" s="4" t="s">
        <v>8</v>
      </c>
      <c r="AJ253" s="3" t="s">
        <v>322</v>
      </c>
      <c r="AK253" s="3" t="s">
        <v>323</v>
      </c>
      <c r="AL253" s="3" t="s">
        <v>322</v>
      </c>
      <c r="AM253" s="3" t="s">
        <v>323</v>
      </c>
      <c r="AO253" s="4" t="s">
        <v>2</v>
      </c>
      <c r="AP253" s="4" t="s">
        <v>3</v>
      </c>
      <c r="AQ253" s="4" t="s">
        <v>4</v>
      </c>
      <c r="AR253" s="4" t="s">
        <v>5</v>
      </c>
      <c r="AS253" s="4" t="s">
        <v>6</v>
      </c>
      <c r="AT253" s="4" t="s">
        <v>7</v>
      </c>
      <c r="AU253" s="4" t="s">
        <v>8</v>
      </c>
      <c r="AW253" s="4" t="s">
        <v>2</v>
      </c>
      <c r="AX253" s="4" t="s">
        <v>3</v>
      </c>
      <c r="AY253" s="4" t="s">
        <v>4</v>
      </c>
      <c r="AZ253" s="4" t="s">
        <v>5</v>
      </c>
      <c r="BA253" s="4" t="s">
        <v>6</v>
      </c>
      <c r="BB253" s="4" t="s">
        <v>7</v>
      </c>
      <c r="BC253" s="4" t="s">
        <v>8</v>
      </c>
      <c r="BD253" s="3" t="s">
        <v>322</v>
      </c>
      <c r="BE253" s="3" t="s">
        <v>323</v>
      </c>
      <c r="BF253" s="3" t="s">
        <v>322</v>
      </c>
      <c r="BG253" s="3" t="s">
        <v>323</v>
      </c>
      <c r="BI253" s="4" t="s">
        <v>2</v>
      </c>
      <c r="BJ253" s="4" t="s">
        <v>3</v>
      </c>
      <c r="BK253" s="4" t="s">
        <v>4</v>
      </c>
      <c r="BL253" s="4" t="s">
        <v>5</v>
      </c>
      <c r="BM253" s="4" t="s">
        <v>6</v>
      </c>
      <c r="BN253" s="4" t="s">
        <v>7</v>
      </c>
      <c r="BO253" s="4" t="s">
        <v>8</v>
      </c>
      <c r="BQ253" s="4" t="s">
        <v>2</v>
      </c>
      <c r="BR253" s="4" t="s">
        <v>3</v>
      </c>
      <c r="BS253" s="4" t="s">
        <v>4</v>
      </c>
      <c r="BT253" s="4" t="s">
        <v>5</v>
      </c>
      <c r="BU253" s="4" t="s">
        <v>6</v>
      </c>
      <c r="BV253" s="4" t="s">
        <v>7</v>
      </c>
      <c r="BW253" s="4" t="s">
        <v>8</v>
      </c>
      <c r="BX253" s="3" t="s">
        <v>322</v>
      </c>
      <c r="BY253" s="3" t="s">
        <v>323</v>
      </c>
      <c r="BZ253" s="3" t="s">
        <v>322</v>
      </c>
      <c r="CA253" s="3" t="s">
        <v>323</v>
      </c>
    </row>
    <row r="254" spans="1:79" x14ac:dyDescent="0.3">
      <c r="A254" s="4" t="s">
        <v>134</v>
      </c>
      <c r="B254" s="4">
        <v>0.9</v>
      </c>
      <c r="C254" s="4">
        <v>0.5</v>
      </c>
      <c r="D254" s="4">
        <v>0.6</v>
      </c>
      <c r="E254" s="4">
        <v>0.3</v>
      </c>
      <c r="F254" s="4">
        <v>602.97082499999999</v>
      </c>
      <c r="G254" s="4">
        <v>1E-3</v>
      </c>
      <c r="I254" s="4" t="s">
        <v>134</v>
      </c>
      <c r="J254" s="4">
        <v>0.9</v>
      </c>
      <c r="K254" s="4">
        <v>0.5</v>
      </c>
      <c r="L254" s="4">
        <v>0.6</v>
      </c>
      <c r="M254" s="4">
        <v>0.01</v>
      </c>
      <c r="N254" s="6">
        <v>595.509277</v>
      </c>
      <c r="O254" s="4">
        <v>0.02</v>
      </c>
      <c r="P254" s="4" t="s">
        <v>324</v>
      </c>
      <c r="Q254" s="4" t="s">
        <v>324</v>
      </c>
      <c r="R254" s="4" t="s">
        <v>327</v>
      </c>
      <c r="S254" s="4" t="s">
        <v>327</v>
      </c>
      <c r="U254" s="4" t="s">
        <v>134</v>
      </c>
      <c r="V254" s="4">
        <v>0.9</v>
      </c>
      <c r="W254" s="4">
        <v>0.5</v>
      </c>
      <c r="X254" s="4">
        <v>0.6</v>
      </c>
      <c r="Y254" s="4">
        <v>0.3</v>
      </c>
      <c r="Z254" s="6">
        <v>571.72204599999998</v>
      </c>
      <c r="AA254" s="4">
        <v>2E-3</v>
      </c>
      <c r="AC254" s="4" t="s">
        <v>134</v>
      </c>
      <c r="AD254" s="4">
        <v>0.9</v>
      </c>
      <c r="AE254" s="4">
        <v>0.5</v>
      </c>
      <c r="AF254" s="4">
        <v>0.6</v>
      </c>
      <c r="AG254" s="4">
        <v>0.01</v>
      </c>
      <c r="AH254" s="4">
        <v>573.09020999999996</v>
      </c>
      <c r="AI254" s="4">
        <v>1.2999999999999999E-2</v>
      </c>
      <c r="AJ254" s="4" t="s">
        <v>324</v>
      </c>
      <c r="AK254" s="4" t="s">
        <v>324</v>
      </c>
      <c r="AL254" s="4" t="s">
        <v>327</v>
      </c>
      <c r="AM254" s="4" t="s">
        <v>327</v>
      </c>
      <c r="AO254" s="4" t="s">
        <v>135</v>
      </c>
      <c r="AP254" s="4">
        <v>0.9</v>
      </c>
      <c r="AQ254" s="4">
        <v>0.5</v>
      </c>
      <c r="AR254" s="4">
        <v>0.6</v>
      </c>
      <c r="AS254" s="4">
        <v>0.3</v>
      </c>
      <c r="AT254" s="4">
        <v>793.36767599999996</v>
      </c>
      <c r="AU254" s="4">
        <v>7.0000000000000001E-3</v>
      </c>
      <c r="AW254" s="4" t="s">
        <v>135</v>
      </c>
      <c r="AX254" s="4">
        <v>0.9</v>
      </c>
      <c r="AY254" s="4">
        <v>0.5</v>
      </c>
      <c r="AZ254" s="4">
        <v>0.6</v>
      </c>
      <c r="BA254" s="4">
        <v>0.01</v>
      </c>
      <c r="BB254" s="6">
        <v>715.47619599999996</v>
      </c>
      <c r="BC254" s="4">
        <v>8.9999999999999993E-3</v>
      </c>
      <c r="BD254" s="4" t="s">
        <v>324</v>
      </c>
      <c r="BE254" s="4" t="s">
        <v>324</v>
      </c>
      <c r="BF254" s="4" t="s">
        <v>327</v>
      </c>
      <c r="BG254" s="4" t="s">
        <v>327</v>
      </c>
      <c r="BI254" s="4" t="s">
        <v>135</v>
      </c>
      <c r="BJ254" s="4">
        <v>0.9</v>
      </c>
      <c r="BK254" s="4">
        <v>0.5</v>
      </c>
      <c r="BL254" s="4">
        <v>0.6</v>
      </c>
      <c r="BM254" s="4">
        <v>0.3</v>
      </c>
      <c r="BN254" s="4">
        <v>747.21997099999999</v>
      </c>
      <c r="BO254" s="4">
        <v>5.0000000000000001E-3</v>
      </c>
      <c r="BQ254" s="4" t="s">
        <v>135</v>
      </c>
      <c r="BR254" s="4">
        <v>0.9</v>
      </c>
      <c r="BS254" s="4">
        <v>0.5</v>
      </c>
      <c r="BT254" s="4">
        <v>0.6</v>
      </c>
      <c r="BU254" s="4">
        <v>0.01</v>
      </c>
      <c r="BV254" s="6">
        <v>675.18188499999997</v>
      </c>
      <c r="BW254" s="4">
        <v>1.2E-2</v>
      </c>
      <c r="BX254" s="4" t="s">
        <v>324</v>
      </c>
      <c r="BY254" s="4" t="s">
        <v>324</v>
      </c>
      <c r="BZ254" s="4" t="s">
        <v>327</v>
      </c>
      <c r="CA254" s="4" t="s">
        <v>327</v>
      </c>
    </row>
    <row r="255" spans="1:79" x14ac:dyDescent="0.3">
      <c r="A255" s="4" t="s">
        <v>136</v>
      </c>
      <c r="B255" s="4">
        <v>0.9</v>
      </c>
      <c r="C255" s="4">
        <v>0.5</v>
      </c>
      <c r="D255" s="4">
        <v>0.6</v>
      </c>
      <c r="E255" s="4">
        <v>0.3</v>
      </c>
      <c r="F255" s="6">
        <v>546.00903300000004</v>
      </c>
      <c r="G255" s="4">
        <v>1E-3</v>
      </c>
      <c r="I255" s="4" t="s">
        <v>136</v>
      </c>
      <c r="J255" s="4">
        <v>0.9</v>
      </c>
      <c r="K255" s="4">
        <v>0.5</v>
      </c>
      <c r="L255" s="4">
        <v>0.6</v>
      </c>
      <c r="M255" s="4">
        <v>0.26</v>
      </c>
      <c r="N255" s="4">
        <v>547.31719999999996</v>
      </c>
      <c r="O255" s="4">
        <v>2.5000000000000001E-2</v>
      </c>
      <c r="P255" s="3">
        <f>COUNT(F255:F264,F266:F283)</f>
        <v>28</v>
      </c>
      <c r="Q255" s="3">
        <f>30-P255</f>
        <v>2</v>
      </c>
      <c r="R255" s="3">
        <f>COUNT(N254,N265)</f>
        <v>2</v>
      </c>
      <c r="S255" s="3">
        <f>30-R255</f>
        <v>28</v>
      </c>
      <c r="U255" s="4" t="s">
        <v>136</v>
      </c>
      <c r="V255" s="4">
        <v>0.9</v>
      </c>
      <c r="W255" s="4">
        <v>0.5</v>
      </c>
      <c r="X255" s="4">
        <v>0.6</v>
      </c>
      <c r="Y255" s="4">
        <v>0.3</v>
      </c>
      <c r="Z255" s="6">
        <v>478.076843</v>
      </c>
      <c r="AA255" s="4">
        <v>2E-3</v>
      </c>
      <c r="AC255" s="4" t="s">
        <v>136</v>
      </c>
      <c r="AD255" s="4">
        <v>0.9</v>
      </c>
      <c r="AE255" s="4">
        <v>0.5</v>
      </c>
      <c r="AF255" s="4">
        <v>0.6</v>
      </c>
      <c r="AG255" s="4">
        <v>0.54</v>
      </c>
      <c r="AH255" s="4">
        <v>545.06207300000005</v>
      </c>
      <c r="AI255" s="4">
        <v>2.1999999999999999E-2</v>
      </c>
      <c r="AJ255" s="3">
        <f>COUNT(Z254:Z258,Z261,Z263:Z273,Z277:Z280,Z282:Z283)</f>
        <v>23</v>
      </c>
      <c r="AK255" s="3">
        <f>30-AJ255</f>
        <v>7</v>
      </c>
      <c r="AL255" s="3">
        <f>COUNT(AH259:AH260,AH262,AH274:AH276,AH281)</f>
        <v>7</v>
      </c>
      <c r="AM255" s="3">
        <f>30-AL255</f>
        <v>23</v>
      </c>
      <c r="AO255" s="4" t="s">
        <v>137</v>
      </c>
      <c r="AP255" s="4">
        <v>0.9</v>
      </c>
      <c r="AQ255" s="4">
        <v>0.5</v>
      </c>
      <c r="AR255" s="4">
        <v>0.6</v>
      </c>
      <c r="AS255" s="4">
        <v>0.3</v>
      </c>
      <c r="AT255" s="6">
        <v>877.59381099999996</v>
      </c>
      <c r="AU255" s="4">
        <v>6.0000000000000001E-3</v>
      </c>
      <c r="AW255" s="4" t="s">
        <v>137</v>
      </c>
      <c r="AX255" s="4">
        <v>0.9</v>
      </c>
      <c r="AY255" s="4">
        <v>0.5</v>
      </c>
      <c r="AZ255" s="4">
        <v>0.6</v>
      </c>
      <c r="BA255" s="4">
        <v>0.85</v>
      </c>
      <c r="BB255" s="4">
        <v>1027.5391850000001</v>
      </c>
      <c r="BC255" s="4">
        <v>2.5000000000000001E-2</v>
      </c>
      <c r="BD255" s="3">
        <f>COUNT(AT255:AT260,AT263:AT271,AT273:AT274,AT276:AT277,AT279,AT281:AT283)</f>
        <v>23</v>
      </c>
      <c r="BE255" s="3">
        <f>30-BD255</f>
        <v>7</v>
      </c>
      <c r="BF255" s="3">
        <f>COUNT(BB254,BB261:BB262,BB272,BB275,BB278,BB280)</f>
        <v>7</v>
      </c>
      <c r="BG255" s="3">
        <f>30-BF255</f>
        <v>23</v>
      </c>
      <c r="BI255" s="4" t="s">
        <v>137</v>
      </c>
      <c r="BJ255" s="4">
        <v>0.9</v>
      </c>
      <c r="BK255" s="4">
        <v>0.5</v>
      </c>
      <c r="BL255" s="4">
        <v>0.6</v>
      </c>
      <c r="BM255" s="4">
        <v>0.3</v>
      </c>
      <c r="BN255" s="6">
        <v>851.78186000000005</v>
      </c>
      <c r="BO255" s="4">
        <v>5.0000000000000001E-3</v>
      </c>
      <c r="BQ255" s="4" t="s">
        <v>137</v>
      </c>
      <c r="BR255" s="4">
        <v>0.9</v>
      </c>
      <c r="BS255" s="4">
        <v>0.5</v>
      </c>
      <c r="BT255" s="4">
        <v>0.6</v>
      </c>
      <c r="BU255" s="4">
        <v>0.73</v>
      </c>
      <c r="BV255" s="4">
        <v>996.850281</v>
      </c>
      <c r="BW255" s="4">
        <v>0.01</v>
      </c>
      <c r="BX255" s="3">
        <f>COUNT(BN255:BN258,BN260:BN269,BN271:BN272,BN274,BN276:BN277,BN280:BN282)</f>
        <v>22</v>
      </c>
      <c r="BY255" s="3">
        <f>30-BX255</f>
        <v>8</v>
      </c>
      <c r="BZ255" s="3">
        <f>COUNT(BV254,BV259,BV270,BV273,BV275,BV278:BV279,BV283)</f>
        <v>8</v>
      </c>
      <c r="CA255" s="3">
        <f>30-BZ255</f>
        <v>22</v>
      </c>
    </row>
    <row r="256" spans="1:79" x14ac:dyDescent="0.3">
      <c r="A256" s="4" t="s">
        <v>138</v>
      </c>
      <c r="B256" s="4">
        <v>0.9</v>
      </c>
      <c r="C256" s="4">
        <v>0.5</v>
      </c>
      <c r="D256" s="4">
        <v>0.6</v>
      </c>
      <c r="E256" s="4">
        <v>0.3</v>
      </c>
      <c r="F256" s="6">
        <v>610.01104699999996</v>
      </c>
      <c r="G256" s="4">
        <v>2E-3</v>
      </c>
      <c r="I256" s="4" t="s">
        <v>138</v>
      </c>
      <c r="J256" s="4">
        <v>0.9</v>
      </c>
      <c r="K256" s="4">
        <v>0.5</v>
      </c>
      <c r="L256" s="4">
        <v>0.6</v>
      </c>
      <c r="M256" s="4">
        <v>0.62</v>
      </c>
      <c r="N256" s="4">
        <v>662.53161599999999</v>
      </c>
      <c r="O256" s="4">
        <v>0.03</v>
      </c>
      <c r="P256" s="5"/>
      <c r="Q256" s="5"/>
      <c r="R256" s="5"/>
      <c r="S256" s="5"/>
      <c r="U256" s="4" t="s">
        <v>138</v>
      </c>
      <c r="V256" s="4">
        <v>0.9</v>
      </c>
      <c r="W256" s="4">
        <v>0.5</v>
      </c>
      <c r="X256" s="4">
        <v>0.6</v>
      </c>
      <c r="Y256" s="4">
        <v>0.3</v>
      </c>
      <c r="Z256" s="6">
        <v>586.79846199999997</v>
      </c>
      <c r="AA256" s="4">
        <v>1E-3</v>
      </c>
      <c r="AC256" s="4" t="s">
        <v>138</v>
      </c>
      <c r="AD256" s="4">
        <v>0.9</v>
      </c>
      <c r="AE256" s="4">
        <v>0.5</v>
      </c>
      <c r="AF256" s="4">
        <v>0.6</v>
      </c>
      <c r="AG256" s="4">
        <v>0.25</v>
      </c>
      <c r="AH256" s="4">
        <v>589.03533900000002</v>
      </c>
      <c r="AI256" s="4">
        <v>0.02</v>
      </c>
      <c r="AJ256" s="5"/>
      <c r="AK256" s="5"/>
      <c r="AL256" s="5"/>
      <c r="AM256" s="5"/>
      <c r="AO256" s="4" t="s">
        <v>139</v>
      </c>
      <c r="AP256" s="4">
        <v>0.9</v>
      </c>
      <c r="AQ256" s="4">
        <v>0.5</v>
      </c>
      <c r="AR256" s="4">
        <v>0.6</v>
      </c>
      <c r="AS256" s="4">
        <v>0.3</v>
      </c>
      <c r="AT256" s="6">
        <v>910.18713400000001</v>
      </c>
      <c r="AU256" s="4">
        <v>7.0000000000000001E-3</v>
      </c>
      <c r="AW256" s="4" t="s">
        <v>139</v>
      </c>
      <c r="AX256" s="4">
        <v>0.9</v>
      </c>
      <c r="AY256" s="4">
        <v>0.5</v>
      </c>
      <c r="AZ256" s="4">
        <v>0.6</v>
      </c>
      <c r="BA256" s="4">
        <v>0.97</v>
      </c>
      <c r="BB256" s="4">
        <v>1074.665405</v>
      </c>
      <c r="BC256" s="4">
        <v>2.3E-2</v>
      </c>
      <c r="BD256" s="5"/>
      <c r="BE256" s="5"/>
      <c r="BF256" s="5"/>
      <c r="BG256" s="5"/>
      <c r="BI256" s="4" t="s">
        <v>139</v>
      </c>
      <c r="BJ256" s="4">
        <v>0.9</v>
      </c>
      <c r="BK256" s="4">
        <v>0.5</v>
      </c>
      <c r="BL256" s="4">
        <v>0.6</v>
      </c>
      <c r="BM256" s="4">
        <v>0.3</v>
      </c>
      <c r="BN256" s="6">
        <v>874.46337900000003</v>
      </c>
      <c r="BO256" s="4">
        <v>5.0000000000000001E-3</v>
      </c>
      <c r="BQ256" s="4" t="s">
        <v>139</v>
      </c>
      <c r="BR256" s="4">
        <v>0.9</v>
      </c>
      <c r="BS256" s="4">
        <v>0.5</v>
      </c>
      <c r="BT256" s="4">
        <v>0.6</v>
      </c>
      <c r="BU256" s="4">
        <v>0.42</v>
      </c>
      <c r="BV256" s="4">
        <v>941.198669</v>
      </c>
      <c r="BW256" s="4">
        <v>2.5999999999999999E-2</v>
      </c>
      <c r="BX256" s="5"/>
      <c r="BY256" s="5"/>
      <c r="BZ256" s="5"/>
      <c r="CA256" s="5"/>
    </row>
    <row r="257" spans="1:79" x14ac:dyDescent="0.3">
      <c r="A257" s="4" t="s">
        <v>140</v>
      </c>
      <c r="B257" s="4">
        <v>0.9</v>
      </c>
      <c r="C257" s="4">
        <v>0.5</v>
      </c>
      <c r="D257" s="4">
        <v>0.6</v>
      </c>
      <c r="E257" s="4">
        <v>0.3</v>
      </c>
      <c r="F257" s="6">
        <v>598.04119900000001</v>
      </c>
      <c r="G257" s="4">
        <v>2E-3</v>
      </c>
      <c r="I257" s="4" t="s">
        <v>140</v>
      </c>
      <c r="J257" s="4">
        <v>0.9</v>
      </c>
      <c r="K257" s="4">
        <v>0.5</v>
      </c>
      <c r="L257" s="4">
        <v>0.6</v>
      </c>
      <c r="M257" s="4">
        <v>0.18</v>
      </c>
      <c r="N257" s="4">
        <v>579.72753899999998</v>
      </c>
      <c r="O257" s="4">
        <v>6.0000000000000001E-3</v>
      </c>
      <c r="P257" s="5"/>
      <c r="Q257" s="5"/>
      <c r="R257" s="5"/>
      <c r="S257" s="5"/>
      <c r="U257" s="4" t="s">
        <v>140</v>
      </c>
      <c r="V257" s="4">
        <v>0.9</v>
      </c>
      <c r="W257" s="4">
        <v>0.5</v>
      </c>
      <c r="X257" s="4">
        <v>0.6</v>
      </c>
      <c r="Y257" s="4">
        <v>0.3</v>
      </c>
      <c r="Z257" s="6">
        <v>576.96972700000003</v>
      </c>
      <c r="AA257" s="4">
        <v>2E-3</v>
      </c>
      <c r="AC257" s="4" t="s">
        <v>140</v>
      </c>
      <c r="AD257" s="4">
        <v>0.9</v>
      </c>
      <c r="AE257" s="4">
        <v>0.5</v>
      </c>
      <c r="AF257" s="4">
        <v>0.6</v>
      </c>
      <c r="AG257" s="4">
        <v>0.83</v>
      </c>
      <c r="AH257" s="4">
        <v>687.24786400000005</v>
      </c>
      <c r="AI257" s="4">
        <v>2.7E-2</v>
      </c>
      <c r="AJ257" s="5"/>
      <c r="AK257" s="5"/>
      <c r="AL257" s="5"/>
      <c r="AM257" s="5"/>
      <c r="AO257" s="4" t="s">
        <v>141</v>
      </c>
      <c r="AP257" s="4">
        <v>0.9</v>
      </c>
      <c r="AQ257" s="4">
        <v>0.5</v>
      </c>
      <c r="AR257" s="4">
        <v>0.6</v>
      </c>
      <c r="AS257" s="4">
        <v>0.3</v>
      </c>
      <c r="AT257" s="6">
        <v>925.49218800000006</v>
      </c>
      <c r="AU257" s="4">
        <v>0.01</v>
      </c>
      <c r="AW257" s="4" t="s">
        <v>141</v>
      </c>
      <c r="AX257" s="4">
        <v>0.9</v>
      </c>
      <c r="AY257" s="4">
        <v>0.5</v>
      </c>
      <c r="AZ257" s="4">
        <v>0.6</v>
      </c>
      <c r="BA257" s="4">
        <v>0.3</v>
      </c>
      <c r="BB257" s="4">
        <v>963.56317100000001</v>
      </c>
      <c r="BC257" s="4">
        <v>1.7000000000000001E-2</v>
      </c>
      <c r="BD257" s="5"/>
      <c r="BE257" s="5"/>
      <c r="BF257" s="5"/>
      <c r="BG257" s="5"/>
      <c r="BI257" s="4" t="s">
        <v>141</v>
      </c>
      <c r="BJ257" s="4">
        <v>0.9</v>
      </c>
      <c r="BK257" s="4">
        <v>0.5</v>
      </c>
      <c r="BL257" s="4">
        <v>0.6</v>
      </c>
      <c r="BM257" s="4">
        <v>0.3</v>
      </c>
      <c r="BN257" s="6">
        <v>918.71032700000001</v>
      </c>
      <c r="BO257" s="4">
        <v>6.0000000000000001E-3</v>
      </c>
      <c r="BQ257" s="4" t="s">
        <v>141</v>
      </c>
      <c r="BR257" s="4">
        <v>0.9</v>
      </c>
      <c r="BS257" s="4">
        <v>0.5</v>
      </c>
      <c r="BT257" s="4">
        <v>0.6</v>
      </c>
      <c r="BU257" s="4">
        <v>0.44</v>
      </c>
      <c r="BV257" s="4">
        <v>980.66870100000006</v>
      </c>
      <c r="BW257" s="4">
        <v>2.1999999999999999E-2</v>
      </c>
      <c r="BX257" s="5"/>
      <c r="BY257" s="5"/>
      <c r="BZ257" s="5"/>
      <c r="CA257" s="5"/>
    </row>
    <row r="258" spans="1:79" x14ac:dyDescent="0.3">
      <c r="A258" s="4" t="s">
        <v>142</v>
      </c>
      <c r="B258" s="4">
        <v>0.9</v>
      </c>
      <c r="C258" s="4">
        <v>0.5</v>
      </c>
      <c r="D258" s="4">
        <v>0.6</v>
      </c>
      <c r="E258" s="4">
        <v>0.3</v>
      </c>
      <c r="F258" s="6">
        <v>507.656158</v>
      </c>
      <c r="G258" s="4">
        <v>1E-3</v>
      </c>
      <c r="I258" s="4" t="s">
        <v>142</v>
      </c>
      <c r="J258" s="4">
        <v>0.9</v>
      </c>
      <c r="K258" s="4">
        <v>0.5</v>
      </c>
      <c r="L258" s="4">
        <v>0.6</v>
      </c>
      <c r="M258" s="4">
        <v>0.19</v>
      </c>
      <c r="N258" s="4">
        <v>538.87933299999997</v>
      </c>
      <c r="O258" s="4">
        <v>1.4999999999999999E-2</v>
      </c>
      <c r="P258" s="5"/>
      <c r="Q258" s="5"/>
      <c r="R258" s="5"/>
      <c r="S258" s="5"/>
      <c r="U258" s="4" t="s">
        <v>142</v>
      </c>
      <c r="V258" s="4">
        <v>0.9</v>
      </c>
      <c r="W258" s="4">
        <v>0.5</v>
      </c>
      <c r="X258" s="4">
        <v>0.6</v>
      </c>
      <c r="Y258" s="4">
        <v>0.3</v>
      </c>
      <c r="Z258" s="6">
        <v>463.92459100000002</v>
      </c>
      <c r="AA258" s="4">
        <v>2E-3</v>
      </c>
      <c r="AC258" s="4" t="s">
        <v>142</v>
      </c>
      <c r="AD258" s="4">
        <v>0.9</v>
      </c>
      <c r="AE258" s="4">
        <v>0.5</v>
      </c>
      <c r="AF258" s="4">
        <v>0.6</v>
      </c>
      <c r="AG258" s="4">
        <v>0.84</v>
      </c>
      <c r="AH258" s="4">
        <v>562.70910600000002</v>
      </c>
      <c r="AI258" s="4">
        <v>1.7999999999999999E-2</v>
      </c>
      <c r="AJ258" s="5"/>
      <c r="AK258" s="5"/>
      <c r="AL258" s="5"/>
      <c r="AM258" s="5"/>
      <c r="AO258" s="4" t="s">
        <v>143</v>
      </c>
      <c r="AP258" s="4">
        <v>0.9</v>
      </c>
      <c r="AQ258" s="4">
        <v>0.5</v>
      </c>
      <c r="AR258" s="4">
        <v>0.6</v>
      </c>
      <c r="AS258" s="4">
        <v>0.3</v>
      </c>
      <c r="AT258" s="6">
        <v>893.12524399999995</v>
      </c>
      <c r="AU258" s="4">
        <v>6.0000000000000001E-3</v>
      </c>
      <c r="AW258" s="4" t="s">
        <v>143</v>
      </c>
      <c r="AX258" s="4">
        <v>0.9</v>
      </c>
      <c r="AY258" s="4">
        <v>0.5</v>
      </c>
      <c r="AZ258" s="4">
        <v>0.6</v>
      </c>
      <c r="BA258" s="4">
        <v>0.65</v>
      </c>
      <c r="BB258" s="4">
        <v>986.16876200000002</v>
      </c>
      <c r="BC258" s="4">
        <v>3.4000000000000002E-2</v>
      </c>
      <c r="BD258" s="5"/>
      <c r="BE258" s="5"/>
      <c r="BF258" s="5"/>
      <c r="BG258" s="5"/>
      <c r="BI258" s="4" t="s">
        <v>143</v>
      </c>
      <c r="BJ258" s="4">
        <v>0.9</v>
      </c>
      <c r="BK258" s="4">
        <v>0.5</v>
      </c>
      <c r="BL258" s="4">
        <v>0.6</v>
      </c>
      <c r="BM258" s="4">
        <v>0.3</v>
      </c>
      <c r="BN258" s="6">
        <v>858.74645999999996</v>
      </c>
      <c r="BO258" s="4">
        <v>5.0000000000000001E-3</v>
      </c>
      <c r="BQ258" s="4" t="s">
        <v>143</v>
      </c>
      <c r="BR258" s="4">
        <v>0.9</v>
      </c>
      <c r="BS258" s="4">
        <v>0.5</v>
      </c>
      <c r="BT258" s="4">
        <v>0.6</v>
      </c>
      <c r="BU258" s="4">
        <v>0.47</v>
      </c>
      <c r="BV258" s="4">
        <v>951.29797399999995</v>
      </c>
      <c r="BW258" s="4">
        <v>1.4999999999999999E-2</v>
      </c>
      <c r="BX258" s="5"/>
      <c r="BY258" s="5"/>
      <c r="BZ258" s="5"/>
      <c r="CA258" s="5"/>
    </row>
    <row r="259" spans="1:79" x14ac:dyDescent="0.3">
      <c r="A259" s="4" t="s">
        <v>144</v>
      </c>
      <c r="B259" s="4">
        <v>0.9</v>
      </c>
      <c r="C259" s="4">
        <v>0.5</v>
      </c>
      <c r="D259" s="4">
        <v>0.6</v>
      </c>
      <c r="E259" s="4">
        <v>0.3</v>
      </c>
      <c r="F259" s="6">
        <v>619.31005900000002</v>
      </c>
      <c r="G259" s="4">
        <v>1E-3</v>
      </c>
      <c r="I259" s="4" t="s">
        <v>144</v>
      </c>
      <c r="J259" s="4">
        <v>0.9</v>
      </c>
      <c r="K259" s="4">
        <v>0.5</v>
      </c>
      <c r="L259" s="4">
        <v>0.6</v>
      </c>
      <c r="M259" s="4">
        <v>0.51</v>
      </c>
      <c r="N259" s="4">
        <v>657.34893799999998</v>
      </c>
      <c r="O259" s="4">
        <v>1.7000000000000001E-2</v>
      </c>
      <c r="P259" s="5"/>
      <c r="Q259" s="5"/>
      <c r="R259" s="5"/>
      <c r="S259" s="5"/>
      <c r="U259" s="4" t="s">
        <v>144</v>
      </c>
      <c r="V259" s="4">
        <v>0.9</v>
      </c>
      <c r="W259" s="4">
        <v>0.5</v>
      </c>
      <c r="X259" s="4">
        <v>0.6</v>
      </c>
      <c r="Y259" s="4">
        <v>0.3</v>
      </c>
      <c r="Z259" s="4">
        <v>592.99749799999995</v>
      </c>
      <c r="AA259" s="4">
        <v>2E-3</v>
      </c>
      <c r="AC259" s="4" t="s">
        <v>144</v>
      </c>
      <c r="AD259" s="4">
        <v>0.9</v>
      </c>
      <c r="AE259" s="4">
        <v>0.5</v>
      </c>
      <c r="AF259" s="4">
        <v>0.6</v>
      </c>
      <c r="AG259" s="4">
        <v>0.31</v>
      </c>
      <c r="AH259" s="6">
        <v>587.97711200000003</v>
      </c>
      <c r="AI259" s="4">
        <v>2.7E-2</v>
      </c>
      <c r="AJ259" s="5"/>
      <c r="AK259" s="5"/>
      <c r="AL259" s="5"/>
      <c r="AM259" s="5"/>
      <c r="AO259" s="4" t="s">
        <v>145</v>
      </c>
      <c r="AP259" s="4">
        <v>0.9</v>
      </c>
      <c r="AQ259" s="4">
        <v>0.5</v>
      </c>
      <c r="AR259" s="4">
        <v>0.6</v>
      </c>
      <c r="AS259" s="4">
        <v>0.3</v>
      </c>
      <c r="AT259" s="6">
        <v>903.25683600000002</v>
      </c>
      <c r="AU259" s="4">
        <v>7.0000000000000001E-3</v>
      </c>
      <c r="AW259" s="4" t="s">
        <v>145</v>
      </c>
      <c r="AX259" s="4">
        <v>0.9</v>
      </c>
      <c r="AY259" s="4">
        <v>0.5</v>
      </c>
      <c r="AZ259" s="4">
        <v>0.6</v>
      </c>
      <c r="BA259" s="4">
        <v>0.48</v>
      </c>
      <c r="BB259" s="4">
        <v>977.77844200000004</v>
      </c>
      <c r="BC259" s="4">
        <v>1.4E-2</v>
      </c>
      <c r="BD259" s="5"/>
      <c r="BE259" s="5"/>
      <c r="BF259" s="5"/>
      <c r="BG259" s="5"/>
      <c r="BI259" s="4" t="s">
        <v>145</v>
      </c>
      <c r="BJ259" s="4">
        <v>0.9</v>
      </c>
      <c r="BK259" s="4">
        <v>0.5</v>
      </c>
      <c r="BL259" s="4">
        <v>0.6</v>
      </c>
      <c r="BM259" s="4">
        <v>0.3</v>
      </c>
      <c r="BN259" s="4">
        <v>858.79730199999995</v>
      </c>
      <c r="BO259" s="4">
        <v>5.0000000000000001E-3</v>
      </c>
      <c r="BQ259" s="4" t="s">
        <v>145</v>
      </c>
      <c r="BR259" s="4">
        <v>0.9</v>
      </c>
      <c r="BS259" s="4">
        <v>0.5</v>
      </c>
      <c r="BT259" s="4">
        <v>0.6</v>
      </c>
      <c r="BU259" s="4">
        <v>0.24</v>
      </c>
      <c r="BV259" s="6">
        <v>827.83734100000004</v>
      </c>
      <c r="BW259" s="4">
        <v>0.02</v>
      </c>
      <c r="BX259" s="5"/>
      <c r="BY259" s="5"/>
      <c r="BZ259" s="5"/>
      <c r="CA259" s="5"/>
    </row>
    <row r="260" spans="1:79" x14ac:dyDescent="0.3">
      <c r="A260" s="4" t="s">
        <v>146</v>
      </c>
      <c r="B260" s="4">
        <v>0.9</v>
      </c>
      <c r="C260" s="4">
        <v>0.5</v>
      </c>
      <c r="D260" s="4">
        <v>0.6</v>
      </c>
      <c r="E260" s="4">
        <v>0.3</v>
      </c>
      <c r="F260" s="6">
        <v>541.67040999999995</v>
      </c>
      <c r="G260" s="4">
        <v>2E-3</v>
      </c>
      <c r="I260" s="4" t="s">
        <v>146</v>
      </c>
      <c r="J260" s="4">
        <v>0.9</v>
      </c>
      <c r="K260" s="4">
        <v>0.5</v>
      </c>
      <c r="L260" s="4">
        <v>0.6</v>
      </c>
      <c r="M260" s="4">
        <v>0.22</v>
      </c>
      <c r="N260" s="4">
        <v>548.48046899999997</v>
      </c>
      <c r="O260" s="4">
        <v>1.2999999999999999E-2</v>
      </c>
      <c r="P260" s="5"/>
      <c r="Q260" s="5"/>
      <c r="R260" s="5"/>
      <c r="S260" s="5"/>
      <c r="U260" s="4" t="s">
        <v>146</v>
      </c>
      <c r="V260" s="4">
        <v>0.9</v>
      </c>
      <c r="W260" s="4">
        <v>0.5</v>
      </c>
      <c r="X260" s="4">
        <v>0.6</v>
      </c>
      <c r="Y260" s="4">
        <v>0.3</v>
      </c>
      <c r="Z260" s="4">
        <v>525.42230199999995</v>
      </c>
      <c r="AA260" s="4">
        <v>2E-3</v>
      </c>
      <c r="AC260" s="4" t="s">
        <v>146</v>
      </c>
      <c r="AD260" s="4">
        <v>0.9</v>
      </c>
      <c r="AE260" s="4">
        <v>0.5</v>
      </c>
      <c r="AF260" s="4">
        <v>0.6</v>
      </c>
      <c r="AG260" s="4">
        <v>0</v>
      </c>
      <c r="AH260" s="6">
        <v>495.33551</v>
      </c>
      <c r="AI260" s="4">
        <v>3.2000000000000001E-2</v>
      </c>
      <c r="AJ260" s="5"/>
      <c r="AK260" s="5"/>
      <c r="AL260" s="5"/>
      <c r="AM260" s="5"/>
      <c r="AO260" s="4" t="s">
        <v>147</v>
      </c>
      <c r="AP260" s="4">
        <v>0.9</v>
      </c>
      <c r="AQ260" s="4">
        <v>0.5</v>
      </c>
      <c r="AR260" s="4">
        <v>0.6</v>
      </c>
      <c r="AS260" s="4">
        <v>0.3</v>
      </c>
      <c r="AT260" s="6">
        <v>861.83544900000004</v>
      </c>
      <c r="AU260" s="4">
        <v>8.0000000000000002E-3</v>
      </c>
      <c r="AW260" s="4" t="s">
        <v>147</v>
      </c>
      <c r="AX260" s="4">
        <v>0.9</v>
      </c>
      <c r="AY260" s="4">
        <v>0.5</v>
      </c>
      <c r="AZ260" s="4">
        <v>0.6</v>
      </c>
      <c r="BA260" s="4">
        <v>0.05</v>
      </c>
      <c r="BB260" s="4">
        <v>738.66156000000001</v>
      </c>
      <c r="BC260" s="4">
        <v>1.4E-2</v>
      </c>
      <c r="BD260" s="5"/>
      <c r="BE260" s="5"/>
      <c r="BF260" s="5"/>
      <c r="BG260" s="5"/>
      <c r="BI260" s="4" t="s">
        <v>147</v>
      </c>
      <c r="BJ260" s="4">
        <v>0.9</v>
      </c>
      <c r="BK260" s="4">
        <v>0.5</v>
      </c>
      <c r="BL260" s="4">
        <v>0.6</v>
      </c>
      <c r="BM260" s="4">
        <v>0.3</v>
      </c>
      <c r="BN260" s="6">
        <v>830.99707000000001</v>
      </c>
      <c r="BO260" s="4">
        <v>5.0000000000000001E-3</v>
      </c>
      <c r="BQ260" s="4" t="s">
        <v>147</v>
      </c>
      <c r="BR260" s="4">
        <v>0.9</v>
      </c>
      <c r="BS260" s="4">
        <v>0.5</v>
      </c>
      <c r="BT260" s="4">
        <v>0.6</v>
      </c>
      <c r="BU260" s="4">
        <v>0.88</v>
      </c>
      <c r="BV260" s="4">
        <v>997.613831</v>
      </c>
      <c r="BW260" s="4">
        <v>1.2999999999999999E-2</v>
      </c>
      <c r="BX260" s="5"/>
      <c r="BY260" s="5"/>
      <c r="BZ260" s="5"/>
      <c r="CA260" s="5"/>
    </row>
    <row r="261" spans="1:79" x14ac:dyDescent="0.3">
      <c r="A261" s="4" t="s">
        <v>148</v>
      </c>
      <c r="B261" s="4">
        <v>0.9</v>
      </c>
      <c r="C261" s="4">
        <v>0.5</v>
      </c>
      <c r="D261" s="4">
        <v>0.6</v>
      </c>
      <c r="E261" s="4">
        <v>0.3</v>
      </c>
      <c r="F261" s="6">
        <v>597.55560300000002</v>
      </c>
      <c r="G261" s="4">
        <v>1E-3</v>
      </c>
      <c r="I261" s="4" t="s">
        <v>148</v>
      </c>
      <c r="J261" s="4">
        <v>0.9</v>
      </c>
      <c r="K261" s="4">
        <v>0.5</v>
      </c>
      <c r="L261" s="4">
        <v>0.6</v>
      </c>
      <c r="M261" s="4">
        <v>0.99</v>
      </c>
      <c r="N261" s="4">
        <v>697.87249799999995</v>
      </c>
      <c r="O261" s="4">
        <v>0.02</v>
      </c>
      <c r="P261" s="5"/>
      <c r="Q261" s="5"/>
      <c r="R261" s="5"/>
      <c r="S261" s="5"/>
      <c r="U261" s="4" t="s">
        <v>148</v>
      </c>
      <c r="V261" s="4">
        <v>0.9</v>
      </c>
      <c r="W261" s="4">
        <v>0.5</v>
      </c>
      <c r="X261" s="4">
        <v>0.6</v>
      </c>
      <c r="Y261" s="4">
        <v>0.3</v>
      </c>
      <c r="Z261" s="6">
        <v>583.45239300000003</v>
      </c>
      <c r="AA261" s="4">
        <v>1E-3</v>
      </c>
      <c r="AC261" s="4" t="s">
        <v>148</v>
      </c>
      <c r="AD261" s="4">
        <v>0.9</v>
      </c>
      <c r="AE261" s="4">
        <v>0.5</v>
      </c>
      <c r="AF261" s="4">
        <v>0.6</v>
      </c>
      <c r="AG261" s="4">
        <v>0.38</v>
      </c>
      <c r="AH261" s="4">
        <v>591.415527</v>
      </c>
      <c r="AI261" s="4">
        <v>1.4999999999999999E-2</v>
      </c>
      <c r="AJ261" s="5"/>
      <c r="AK261" s="5"/>
      <c r="AL261" s="5"/>
      <c r="AM261" s="5"/>
      <c r="AO261" s="4" t="s">
        <v>149</v>
      </c>
      <c r="AP261" s="4">
        <v>0.9</v>
      </c>
      <c r="AQ261" s="4">
        <v>0.5</v>
      </c>
      <c r="AR261" s="4">
        <v>0.6</v>
      </c>
      <c r="AS261" s="4">
        <v>0.3</v>
      </c>
      <c r="AT261" s="4">
        <v>886.52050799999995</v>
      </c>
      <c r="AU261" s="4">
        <v>8.0000000000000002E-3</v>
      </c>
      <c r="AW261" s="4" t="s">
        <v>149</v>
      </c>
      <c r="AX261" s="4">
        <v>0.9</v>
      </c>
      <c r="AY261" s="4">
        <v>0.5</v>
      </c>
      <c r="AZ261" s="4">
        <v>0.6</v>
      </c>
      <c r="BA261" s="4">
        <v>0.15</v>
      </c>
      <c r="BB261" s="6">
        <v>779.63732900000002</v>
      </c>
      <c r="BC261" s="4">
        <v>1.6E-2</v>
      </c>
      <c r="BD261" s="5"/>
      <c r="BE261" s="5"/>
      <c r="BF261" s="5"/>
      <c r="BG261" s="5"/>
      <c r="BI261" s="4" t="s">
        <v>149</v>
      </c>
      <c r="BJ261" s="4">
        <v>0.9</v>
      </c>
      <c r="BK261" s="4">
        <v>0.5</v>
      </c>
      <c r="BL261" s="4">
        <v>0.6</v>
      </c>
      <c r="BM261" s="4">
        <v>0.3</v>
      </c>
      <c r="BN261" s="6">
        <v>838.00146500000005</v>
      </c>
      <c r="BO261" s="4">
        <v>5.0000000000000001E-3</v>
      </c>
      <c r="BQ261" s="4" t="s">
        <v>149</v>
      </c>
      <c r="BR261" s="4">
        <v>0.9</v>
      </c>
      <c r="BS261" s="4">
        <v>0.5</v>
      </c>
      <c r="BT261" s="4">
        <v>0.6</v>
      </c>
      <c r="BU261" s="4">
        <v>0.87</v>
      </c>
      <c r="BV261" s="4">
        <v>989.03479000000004</v>
      </c>
      <c r="BW261" s="4">
        <v>1.6E-2</v>
      </c>
      <c r="BX261" s="5"/>
      <c r="BY261" s="5"/>
      <c r="BZ261" s="5"/>
      <c r="CA261" s="5"/>
    </row>
    <row r="262" spans="1:79" x14ac:dyDescent="0.3">
      <c r="A262" s="4" t="s">
        <v>150</v>
      </c>
      <c r="B262" s="4">
        <v>0.9</v>
      </c>
      <c r="C262" s="4">
        <v>0.5</v>
      </c>
      <c r="D262" s="4">
        <v>0.6</v>
      </c>
      <c r="E262" s="4">
        <v>0.3</v>
      </c>
      <c r="F262" s="6">
        <v>541.32183799999996</v>
      </c>
      <c r="G262" s="4">
        <v>2E-3</v>
      </c>
      <c r="I262" s="4" t="s">
        <v>150</v>
      </c>
      <c r="J262" s="4">
        <v>0.9</v>
      </c>
      <c r="K262" s="4">
        <v>0.5</v>
      </c>
      <c r="L262" s="4">
        <v>0.6</v>
      </c>
      <c r="M262" s="4">
        <v>0.64</v>
      </c>
      <c r="N262" s="4">
        <v>615.37280299999998</v>
      </c>
      <c r="O262" s="4">
        <v>1.9E-2</v>
      </c>
      <c r="P262" s="5"/>
      <c r="Q262" s="5"/>
      <c r="R262" s="5"/>
      <c r="S262" s="5"/>
      <c r="U262" s="4" t="s">
        <v>150</v>
      </c>
      <c r="V262" s="4">
        <v>0.9</v>
      </c>
      <c r="W262" s="4">
        <v>0.5</v>
      </c>
      <c r="X262" s="4">
        <v>0.6</v>
      </c>
      <c r="Y262" s="4">
        <v>0.3</v>
      </c>
      <c r="Z262" s="4">
        <v>491.84719799999999</v>
      </c>
      <c r="AA262" s="4">
        <v>1E-3</v>
      </c>
      <c r="AC262" s="4" t="s">
        <v>150</v>
      </c>
      <c r="AD262" s="4">
        <v>0.9</v>
      </c>
      <c r="AE262" s="4">
        <v>0.5</v>
      </c>
      <c r="AF262" s="4">
        <v>0.6</v>
      </c>
      <c r="AG262" s="4">
        <v>0.26</v>
      </c>
      <c r="AH262" s="6">
        <v>485.88354500000003</v>
      </c>
      <c r="AI262" s="4">
        <v>0.02</v>
      </c>
      <c r="AJ262" s="5"/>
      <c r="AK262" s="5"/>
      <c r="AL262" s="5"/>
      <c r="AM262" s="5"/>
      <c r="AO262" s="4" t="s">
        <v>151</v>
      </c>
      <c r="AP262" s="4">
        <v>0.9</v>
      </c>
      <c r="AQ262" s="4">
        <v>0.5</v>
      </c>
      <c r="AR262" s="4">
        <v>0.6</v>
      </c>
      <c r="AS262" s="4">
        <v>0.3</v>
      </c>
      <c r="AT262" s="4">
        <v>771.49218800000006</v>
      </c>
      <c r="AU262" s="4">
        <v>6.0000000000000001E-3</v>
      </c>
      <c r="AW262" s="4" t="s">
        <v>151</v>
      </c>
      <c r="AX262" s="4">
        <v>0.9</v>
      </c>
      <c r="AY262" s="4">
        <v>0.5</v>
      </c>
      <c r="AZ262" s="4">
        <v>0.6</v>
      </c>
      <c r="BA262" s="4">
        <v>0.13</v>
      </c>
      <c r="BB262" s="6">
        <v>727.39782700000001</v>
      </c>
      <c r="BC262" s="4">
        <v>1.7000000000000001E-2</v>
      </c>
      <c r="BD262" s="5"/>
      <c r="BE262" s="5"/>
      <c r="BF262" s="5"/>
      <c r="BG262" s="5"/>
      <c r="BI262" s="4" t="s">
        <v>151</v>
      </c>
      <c r="BJ262" s="4">
        <v>0.9</v>
      </c>
      <c r="BK262" s="4">
        <v>0.5</v>
      </c>
      <c r="BL262" s="4">
        <v>0.6</v>
      </c>
      <c r="BM262" s="4">
        <v>0.3</v>
      </c>
      <c r="BN262" s="6">
        <v>748.54431199999999</v>
      </c>
      <c r="BO262" s="4">
        <v>5.0000000000000001E-3</v>
      </c>
      <c r="BQ262" s="4" t="s">
        <v>151</v>
      </c>
      <c r="BR262" s="4">
        <v>0.9</v>
      </c>
      <c r="BS262" s="4">
        <v>0.5</v>
      </c>
      <c r="BT262" s="4">
        <v>0.6</v>
      </c>
      <c r="BU262" s="4">
        <v>0.9</v>
      </c>
      <c r="BV262" s="4">
        <v>948.23290999999995</v>
      </c>
      <c r="BW262" s="4">
        <v>2.1000000000000001E-2</v>
      </c>
      <c r="BX262" s="5"/>
      <c r="BY262" s="5"/>
      <c r="BZ262" s="5"/>
      <c r="CA262" s="5"/>
    </row>
    <row r="263" spans="1:79" x14ac:dyDescent="0.3">
      <c r="A263" s="4" t="s">
        <v>152</v>
      </c>
      <c r="B263" s="4">
        <v>0.9</v>
      </c>
      <c r="C263" s="4">
        <v>0.5</v>
      </c>
      <c r="D263" s="4">
        <v>0.6</v>
      </c>
      <c r="E263" s="4">
        <v>0.3</v>
      </c>
      <c r="F263" s="6">
        <v>581.62884499999996</v>
      </c>
      <c r="G263" s="4">
        <v>2E-3</v>
      </c>
      <c r="I263" s="4" t="s">
        <v>152</v>
      </c>
      <c r="J263" s="4">
        <v>0.9</v>
      </c>
      <c r="K263" s="4">
        <v>0.5</v>
      </c>
      <c r="L263" s="4">
        <v>0.6</v>
      </c>
      <c r="M263" s="4">
        <v>0.53</v>
      </c>
      <c r="N263" s="4">
        <v>610.65106200000002</v>
      </c>
      <c r="O263" s="4">
        <v>7.0000000000000001E-3</v>
      </c>
      <c r="P263" s="5"/>
      <c r="Q263" s="5"/>
      <c r="R263" s="5"/>
      <c r="S263" s="5"/>
      <c r="U263" s="4" t="s">
        <v>152</v>
      </c>
      <c r="V263" s="4">
        <v>0.9</v>
      </c>
      <c r="W263" s="4">
        <v>0.5</v>
      </c>
      <c r="X263" s="4">
        <v>0.6</v>
      </c>
      <c r="Y263" s="4">
        <v>0.3</v>
      </c>
      <c r="Z263" s="6">
        <v>572.40832499999999</v>
      </c>
      <c r="AA263" s="4">
        <v>1E-3</v>
      </c>
      <c r="AC263" s="4" t="s">
        <v>152</v>
      </c>
      <c r="AD263" s="4">
        <v>0.9</v>
      </c>
      <c r="AE263" s="4">
        <v>0.5</v>
      </c>
      <c r="AF263" s="4">
        <v>0.6</v>
      </c>
      <c r="AG263" s="4">
        <v>0.39</v>
      </c>
      <c r="AH263" s="4">
        <v>597.14465299999995</v>
      </c>
      <c r="AI263" s="4">
        <v>3.4000000000000002E-2</v>
      </c>
      <c r="AJ263" s="5"/>
      <c r="AK263" s="5"/>
      <c r="AL263" s="5"/>
      <c r="AM263" s="5"/>
      <c r="AO263" s="4" t="s">
        <v>153</v>
      </c>
      <c r="AP263" s="4">
        <v>0.9</v>
      </c>
      <c r="AQ263" s="4">
        <v>0.5</v>
      </c>
      <c r="AR263" s="4">
        <v>0.6</v>
      </c>
      <c r="AS263" s="4">
        <v>0.3</v>
      </c>
      <c r="AT263" s="6">
        <v>868.51220699999999</v>
      </c>
      <c r="AU263" s="4">
        <v>6.0000000000000001E-3</v>
      </c>
      <c r="AW263" s="4" t="s">
        <v>153</v>
      </c>
      <c r="AX263" s="4">
        <v>0.9</v>
      </c>
      <c r="AY263" s="4">
        <v>0.5</v>
      </c>
      <c r="AZ263" s="4">
        <v>0.6</v>
      </c>
      <c r="BA263" s="4">
        <v>0.76</v>
      </c>
      <c r="BB263" s="4">
        <v>1032.0631100000001</v>
      </c>
      <c r="BC263" s="4">
        <v>0.03</v>
      </c>
      <c r="BD263" s="5"/>
      <c r="BE263" s="5"/>
      <c r="BF263" s="5"/>
      <c r="BG263" s="5"/>
      <c r="BI263" s="4" t="s">
        <v>153</v>
      </c>
      <c r="BJ263" s="4">
        <v>0.9</v>
      </c>
      <c r="BK263" s="4">
        <v>0.5</v>
      </c>
      <c r="BL263" s="4">
        <v>0.6</v>
      </c>
      <c r="BM263" s="4">
        <v>0.3</v>
      </c>
      <c r="BN263" s="6">
        <v>832.55505400000004</v>
      </c>
      <c r="BO263" s="4">
        <v>5.0000000000000001E-3</v>
      </c>
      <c r="BQ263" s="4" t="s">
        <v>153</v>
      </c>
      <c r="BR263" s="4">
        <v>0.9</v>
      </c>
      <c r="BS263" s="4">
        <v>0.5</v>
      </c>
      <c r="BT263" s="4">
        <v>0.6</v>
      </c>
      <c r="BU263" s="4">
        <v>0.99</v>
      </c>
      <c r="BV263" s="4">
        <v>1029.655884</v>
      </c>
      <c r="BW263" s="4">
        <v>1.6E-2</v>
      </c>
      <c r="BX263" s="5"/>
      <c r="BY263" s="5"/>
      <c r="BZ263" s="5"/>
      <c r="CA263" s="5"/>
    </row>
    <row r="264" spans="1:79" x14ac:dyDescent="0.3">
      <c r="A264" s="4" t="s">
        <v>154</v>
      </c>
      <c r="B264" s="4">
        <v>0.9</v>
      </c>
      <c r="C264" s="4">
        <v>0.5</v>
      </c>
      <c r="D264" s="4">
        <v>0.6</v>
      </c>
      <c r="E264" s="4">
        <v>0.3</v>
      </c>
      <c r="F264" s="6">
        <v>606.32208300000002</v>
      </c>
      <c r="G264" s="4">
        <v>2E-3</v>
      </c>
      <c r="I264" s="4" t="s">
        <v>154</v>
      </c>
      <c r="J264" s="4">
        <v>0.9</v>
      </c>
      <c r="K264" s="4">
        <v>0.5</v>
      </c>
      <c r="L264" s="4">
        <v>0.6</v>
      </c>
      <c r="M264" s="4">
        <v>0.98</v>
      </c>
      <c r="N264" s="4">
        <v>716.84637499999997</v>
      </c>
      <c r="O264" s="4">
        <v>1.7999999999999999E-2</v>
      </c>
      <c r="P264" s="5"/>
      <c r="Q264" s="5"/>
      <c r="R264" s="5"/>
      <c r="S264" s="5"/>
      <c r="U264" s="4" t="s">
        <v>154</v>
      </c>
      <c r="V264" s="4">
        <v>0.9</v>
      </c>
      <c r="W264" s="4">
        <v>0.5</v>
      </c>
      <c r="X264" s="4">
        <v>0.6</v>
      </c>
      <c r="Y264" s="4">
        <v>0.3</v>
      </c>
      <c r="Z264" s="6">
        <v>596.30999799999995</v>
      </c>
      <c r="AA264" s="4">
        <v>2E-3</v>
      </c>
      <c r="AC264" s="4" t="s">
        <v>154</v>
      </c>
      <c r="AD264" s="4">
        <v>0.9</v>
      </c>
      <c r="AE264" s="4">
        <v>0.5</v>
      </c>
      <c r="AF264" s="4">
        <v>0.6</v>
      </c>
      <c r="AG264" s="4">
        <v>0.84</v>
      </c>
      <c r="AH264" s="4">
        <v>707.15228300000001</v>
      </c>
      <c r="AI264" s="4">
        <v>2.5000000000000001E-2</v>
      </c>
      <c r="AJ264" s="5"/>
      <c r="AK264" s="5"/>
      <c r="AL264" s="5"/>
      <c r="AM264" s="5"/>
      <c r="AO264" s="4" t="s">
        <v>155</v>
      </c>
      <c r="AP264" s="4">
        <v>0.9</v>
      </c>
      <c r="AQ264" s="4">
        <v>0.5</v>
      </c>
      <c r="AR264" s="4">
        <v>0.6</v>
      </c>
      <c r="AS264" s="4">
        <v>0.3</v>
      </c>
      <c r="AT264" s="6">
        <v>1098.307861</v>
      </c>
      <c r="AU264" s="4">
        <v>8.0000000000000002E-3</v>
      </c>
      <c r="AW264" s="4" t="s">
        <v>155</v>
      </c>
      <c r="AX264" s="4">
        <v>0.9</v>
      </c>
      <c r="AY264" s="4">
        <v>0.5</v>
      </c>
      <c r="AZ264" s="4">
        <v>0.6</v>
      </c>
      <c r="BA264" s="4">
        <v>0.89</v>
      </c>
      <c r="BB264" s="4">
        <v>1347.3508300000001</v>
      </c>
      <c r="BC264" s="4">
        <v>2.7E-2</v>
      </c>
      <c r="BD264" s="5"/>
      <c r="BE264" s="5"/>
      <c r="BF264" s="5"/>
      <c r="BG264" s="5"/>
      <c r="BI264" s="4" t="s">
        <v>155</v>
      </c>
      <c r="BJ264" s="4">
        <v>0.9</v>
      </c>
      <c r="BK264" s="4">
        <v>0.5</v>
      </c>
      <c r="BL264" s="4">
        <v>0.6</v>
      </c>
      <c r="BM264" s="4">
        <v>0.3</v>
      </c>
      <c r="BN264" s="6">
        <v>1070.4027100000001</v>
      </c>
      <c r="BO264" s="4">
        <v>8.0000000000000002E-3</v>
      </c>
      <c r="BQ264" s="4" t="s">
        <v>155</v>
      </c>
      <c r="BR264" s="4">
        <v>0.9</v>
      </c>
      <c r="BS264" s="4">
        <v>0.5</v>
      </c>
      <c r="BT264" s="4">
        <v>0.6</v>
      </c>
      <c r="BU264" s="4">
        <v>0.42</v>
      </c>
      <c r="BV264" s="4">
        <v>1170.9228519999999</v>
      </c>
      <c r="BW264" s="4">
        <v>1.0999999999999999E-2</v>
      </c>
      <c r="BX264" s="5"/>
      <c r="BY264" s="5"/>
      <c r="BZ264" s="5"/>
      <c r="CA264" s="5"/>
    </row>
    <row r="265" spans="1:79" x14ac:dyDescent="0.3">
      <c r="A265" s="4" t="s">
        <v>156</v>
      </c>
      <c r="B265" s="4">
        <v>0.9</v>
      </c>
      <c r="C265" s="4">
        <v>0.5</v>
      </c>
      <c r="D265" s="4">
        <v>0.6</v>
      </c>
      <c r="E265" s="4">
        <v>0.3</v>
      </c>
      <c r="F265" s="4">
        <v>661.11932400000001</v>
      </c>
      <c r="G265" s="4">
        <v>2E-3</v>
      </c>
      <c r="I265" s="4" t="s">
        <v>156</v>
      </c>
      <c r="J265" s="4">
        <v>0.9</v>
      </c>
      <c r="K265" s="4">
        <v>0.5</v>
      </c>
      <c r="L265" s="4">
        <v>0.6</v>
      </c>
      <c r="M265" s="4">
        <v>0.05</v>
      </c>
      <c r="N265" s="6">
        <v>616.34698500000002</v>
      </c>
      <c r="O265" s="4">
        <v>1.7000000000000001E-2</v>
      </c>
      <c r="P265" s="5"/>
      <c r="Q265" s="5"/>
      <c r="R265" s="5"/>
      <c r="S265" s="5"/>
      <c r="U265" s="4" t="s">
        <v>156</v>
      </c>
      <c r="V265" s="4">
        <v>0.9</v>
      </c>
      <c r="W265" s="4">
        <v>0.5</v>
      </c>
      <c r="X265" s="4">
        <v>0.6</v>
      </c>
      <c r="Y265" s="4">
        <v>0.3</v>
      </c>
      <c r="Z265" s="6">
        <v>651.50170900000001</v>
      </c>
      <c r="AA265" s="4">
        <v>2E-3</v>
      </c>
      <c r="AC265" s="4" t="s">
        <v>156</v>
      </c>
      <c r="AD265" s="4">
        <v>0.9</v>
      </c>
      <c r="AE265" s="4">
        <v>0.5</v>
      </c>
      <c r="AF265" s="4">
        <v>0.6</v>
      </c>
      <c r="AG265" s="4">
        <v>0.98</v>
      </c>
      <c r="AH265" s="4">
        <v>750.31927499999995</v>
      </c>
      <c r="AI265" s="4">
        <v>1.4E-2</v>
      </c>
      <c r="AJ265" s="5"/>
      <c r="AK265" s="5"/>
      <c r="AL265" s="5"/>
      <c r="AM265" s="5"/>
      <c r="AO265" s="4" t="s">
        <v>157</v>
      </c>
      <c r="AP265" s="4">
        <v>0.9</v>
      </c>
      <c r="AQ265" s="4">
        <v>0.5</v>
      </c>
      <c r="AR265" s="4">
        <v>0.6</v>
      </c>
      <c r="AS265" s="4">
        <v>0.3</v>
      </c>
      <c r="AT265" s="6">
        <v>1018.891174</v>
      </c>
      <c r="AU265" s="4">
        <v>1.0999999999999999E-2</v>
      </c>
      <c r="AW265" s="4" t="s">
        <v>157</v>
      </c>
      <c r="AX265" s="4">
        <v>0.9</v>
      </c>
      <c r="AY265" s="4">
        <v>0.5</v>
      </c>
      <c r="AZ265" s="4">
        <v>0.6</v>
      </c>
      <c r="BA265" s="4">
        <v>0.99</v>
      </c>
      <c r="BB265" s="4">
        <v>1314.0170900000001</v>
      </c>
      <c r="BC265" s="4">
        <v>0.01</v>
      </c>
      <c r="BD265" s="5"/>
      <c r="BE265" s="5"/>
      <c r="BF265" s="5"/>
      <c r="BG265" s="5"/>
      <c r="BI265" s="4" t="s">
        <v>157</v>
      </c>
      <c r="BJ265" s="4">
        <v>0.9</v>
      </c>
      <c r="BK265" s="4">
        <v>0.5</v>
      </c>
      <c r="BL265" s="4">
        <v>0.6</v>
      </c>
      <c r="BM265" s="4">
        <v>0.3</v>
      </c>
      <c r="BN265" s="6">
        <v>1011.42395</v>
      </c>
      <c r="BO265" s="4">
        <v>6.0000000000000001E-3</v>
      </c>
      <c r="BQ265" s="4" t="s">
        <v>157</v>
      </c>
      <c r="BR265" s="4">
        <v>0.9</v>
      </c>
      <c r="BS265" s="4">
        <v>0.5</v>
      </c>
      <c r="BT265" s="4">
        <v>0.6</v>
      </c>
      <c r="BU265" s="4">
        <v>0.38</v>
      </c>
      <c r="BV265" s="4">
        <v>1079.489624</v>
      </c>
      <c r="BW265" s="4">
        <v>1.2E-2</v>
      </c>
      <c r="BX265" s="5"/>
      <c r="BY265" s="5"/>
      <c r="BZ265" s="5"/>
      <c r="CA265" s="5"/>
    </row>
    <row r="266" spans="1:79" x14ac:dyDescent="0.3">
      <c r="A266" s="4" t="s">
        <v>158</v>
      </c>
      <c r="B266" s="4">
        <v>0.9</v>
      </c>
      <c r="C266" s="4">
        <v>0.5</v>
      </c>
      <c r="D266" s="4">
        <v>0.6</v>
      </c>
      <c r="E266" s="4">
        <v>0.3</v>
      </c>
      <c r="F266" s="6">
        <v>656.95410200000003</v>
      </c>
      <c r="G266" s="4">
        <v>1E-3</v>
      </c>
      <c r="I266" s="4" t="s">
        <v>158</v>
      </c>
      <c r="J266" s="4">
        <v>0.9</v>
      </c>
      <c r="K266" s="4">
        <v>0.5</v>
      </c>
      <c r="L266" s="4">
        <v>0.6</v>
      </c>
      <c r="M266" s="4">
        <v>0.7</v>
      </c>
      <c r="N266" s="4">
        <v>746.82183799999996</v>
      </c>
      <c r="O266" s="4">
        <v>2.3E-2</v>
      </c>
      <c r="P266" s="5"/>
      <c r="Q266" s="5"/>
      <c r="R266" s="5"/>
      <c r="S266" s="5"/>
      <c r="U266" s="4" t="s">
        <v>158</v>
      </c>
      <c r="V266" s="4">
        <v>0.9</v>
      </c>
      <c r="W266" s="4">
        <v>0.5</v>
      </c>
      <c r="X266" s="4">
        <v>0.6</v>
      </c>
      <c r="Y266" s="4">
        <v>0.3</v>
      </c>
      <c r="Z266" s="6">
        <v>651.990723</v>
      </c>
      <c r="AA266" s="4">
        <v>3.0000000000000001E-3</v>
      </c>
      <c r="AC266" s="4" t="s">
        <v>158</v>
      </c>
      <c r="AD266" s="4">
        <v>0.9</v>
      </c>
      <c r="AE266" s="4">
        <v>0.5</v>
      </c>
      <c r="AF266" s="4">
        <v>0.6</v>
      </c>
      <c r="AG266" s="4">
        <v>0.8</v>
      </c>
      <c r="AH266" s="4">
        <v>761.04925500000002</v>
      </c>
      <c r="AI266" s="4">
        <v>2.5000000000000001E-2</v>
      </c>
      <c r="AJ266" s="5"/>
      <c r="AK266" s="5"/>
      <c r="AL266" s="5"/>
      <c r="AM266" s="5"/>
      <c r="AO266" s="4" t="s">
        <v>159</v>
      </c>
      <c r="AP266" s="4">
        <v>0.9</v>
      </c>
      <c r="AQ266" s="4">
        <v>0.5</v>
      </c>
      <c r="AR266" s="4">
        <v>0.6</v>
      </c>
      <c r="AS266" s="4">
        <v>0.3</v>
      </c>
      <c r="AT266" s="6">
        <v>954.64923099999999</v>
      </c>
      <c r="AU266" s="4">
        <v>7.0000000000000001E-3</v>
      </c>
      <c r="AW266" s="4" t="s">
        <v>159</v>
      </c>
      <c r="AX266" s="4">
        <v>0.9</v>
      </c>
      <c r="AY266" s="4">
        <v>0.5</v>
      </c>
      <c r="AZ266" s="4">
        <v>0.6</v>
      </c>
      <c r="BA266" s="4">
        <v>0.69</v>
      </c>
      <c r="BB266" s="4">
        <v>1130.411255</v>
      </c>
      <c r="BC266" s="4">
        <v>0.02</v>
      </c>
      <c r="BD266" s="5"/>
      <c r="BE266" s="5"/>
      <c r="BF266" s="5"/>
      <c r="BG266" s="5"/>
      <c r="BI266" s="4" t="s">
        <v>159</v>
      </c>
      <c r="BJ266" s="4">
        <v>0.9</v>
      </c>
      <c r="BK266" s="4">
        <v>0.5</v>
      </c>
      <c r="BL266" s="4">
        <v>0.6</v>
      </c>
      <c r="BM266" s="4">
        <v>0.3</v>
      </c>
      <c r="BN266" s="6">
        <v>953.14630099999999</v>
      </c>
      <c r="BO266" s="4">
        <v>6.0000000000000001E-3</v>
      </c>
      <c r="BQ266" s="4" t="s">
        <v>159</v>
      </c>
      <c r="BR266" s="4">
        <v>0.9</v>
      </c>
      <c r="BS266" s="4">
        <v>0.5</v>
      </c>
      <c r="BT266" s="4">
        <v>0.6</v>
      </c>
      <c r="BU266" s="4">
        <v>0.88</v>
      </c>
      <c r="BV266" s="4">
        <v>1165.392822</v>
      </c>
      <c r="BW266" s="4">
        <v>1.7000000000000001E-2</v>
      </c>
      <c r="BX266" s="5"/>
      <c r="BY266" s="5"/>
      <c r="BZ266" s="5"/>
      <c r="CA266" s="5"/>
    </row>
    <row r="267" spans="1:79" x14ac:dyDescent="0.3">
      <c r="A267" s="4" t="s">
        <v>160</v>
      </c>
      <c r="B267" s="4">
        <v>0.9</v>
      </c>
      <c r="C267" s="4">
        <v>0.5</v>
      </c>
      <c r="D267" s="4">
        <v>0.6</v>
      </c>
      <c r="E267" s="4">
        <v>0.3</v>
      </c>
      <c r="F267" s="6">
        <v>601.38476600000001</v>
      </c>
      <c r="G267" s="4">
        <v>2E-3</v>
      </c>
      <c r="I267" s="4" t="s">
        <v>160</v>
      </c>
      <c r="J267" s="4">
        <v>0.9</v>
      </c>
      <c r="K267" s="4">
        <v>0.5</v>
      </c>
      <c r="L267" s="4">
        <v>0.6</v>
      </c>
      <c r="M267" s="4">
        <v>0.83</v>
      </c>
      <c r="N267" s="4">
        <v>689.51580799999999</v>
      </c>
      <c r="O267" s="4">
        <v>1.0999999999999999E-2</v>
      </c>
      <c r="P267" s="5"/>
      <c r="Q267" s="5"/>
      <c r="R267" s="5"/>
      <c r="S267" s="5"/>
      <c r="U267" s="4" t="s">
        <v>160</v>
      </c>
      <c r="V267" s="4">
        <v>0.9</v>
      </c>
      <c r="W267" s="4">
        <v>0.5</v>
      </c>
      <c r="X267" s="4">
        <v>0.6</v>
      </c>
      <c r="Y267" s="4">
        <v>0.3</v>
      </c>
      <c r="Z267" s="6">
        <v>565.66815199999996</v>
      </c>
      <c r="AA267" s="4">
        <v>2E-3</v>
      </c>
      <c r="AC267" s="4" t="s">
        <v>160</v>
      </c>
      <c r="AD267" s="4">
        <v>0.9</v>
      </c>
      <c r="AE267" s="4">
        <v>0.5</v>
      </c>
      <c r="AF267" s="4">
        <v>0.6</v>
      </c>
      <c r="AG267" s="4">
        <v>0.59</v>
      </c>
      <c r="AH267" s="4">
        <v>636.59258999999997</v>
      </c>
      <c r="AI267" s="4">
        <v>3.7999999999999999E-2</v>
      </c>
      <c r="AJ267" s="5"/>
      <c r="AK267" s="5"/>
      <c r="AL267" s="5"/>
      <c r="AM267" s="5"/>
      <c r="AO267" s="4" t="s">
        <v>161</v>
      </c>
      <c r="AP267" s="4">
        <v>0.9</v>
      </c>
      <c r="AQ267" s="4">
        <v>0.5</v>
      </c>
      <c r="AR267" s="4">
        <v>0.6</v>
      </c>
      <c r="AS267" s="4">
        <v>0.3</v>
      </c>
      <c r="AT267" s="6">
        <v>1031.9688719999999</v>
      </c>
      <c r="AU267" s="4">
        <v>8.9999999999999993E-3</v>
      </c>
      <c r="AW267" s="4" t="s">
        <v>161</v>
      </c>
      <c r="AX267" s="4">
        <v>0.9</v>
      </c>
      <c r="AY267" s="4">
        <v>0.5</v>
      </c>
      <c r="AZ267" s="4">
        <v>0.6</v>
      </c>
      <c r="BA267" s="4">
        <v>0.57999999999999996</v>
      </c>
      <c r="BB267" s="4">
        <v>1138.960327</v>
      </c>
      <c r="BC267" s="4">
        <v>1.2999999999999999E-2</v>
      </c>
      <c r="BD267" s="5"/>
      <c r="BE267" s="5"/>
      <c r="BF267" s="5"/>
      <c r="BG267" s="5"/>
      <c r="BI267" s="4" t="s">
        <v>161</v>
      </c>
      <c r="BJ267" s="4">
        <v>0.9</v>
      </c>
      <c r="BK267" s="4">
        <v>0.5</v>
      </c>
      <c r="BL267" s="4">
        <v>0.6</v>
      </c>
      <c r="BM267" s="4">
        <v>0.3</v>
      </c>
      <c r="BN267" s="6">
        <v>1022.027161</v>
      </c>
      <c r="BO267" s="4">
        <v>7.0000000000000001E-3</v>
      </c>
      <c r="BQ267" s="4" t="s">
        <v>161</v>
      </c>
      <c r="BR267" s="4">
        <v>0.9</v>
      </c>
      <c r="BS267" s="4">
        <v>0.5</v>
      </c>
      <c r="BT267" s="4">
        <v>0.6</v>
      </c>
      <c r="BU267" s="4">
        <v>0.56999999999999995</v>
      </c>
      <c r="BV267" s="4">
        <v>1114.329712</v>
      </c>
      <c r="BW267" s="4">
        <v>1.4999999999999999E-2</v>
      </c>
      <c r="BX267" s="5"/>
      <c r="BY267" s="5"/>
      <c r="BZ267" s="5"/>
      <c r="CA267" s="5"/>
    </row>
    <row r="268" spans="1:79" x14ac:dyDescent="0.3">
      <c r="A268" s="4" t="s">
        <v>162</v>
      </c>
      <c r="B268" s="4">
        <v>0.9</v>
      </c>
      <c r="C268" s="4">
        <v>0.5</v>
      </c>
      <c r="D268" s="4">
        <v>0.6</v>
      </c>
      <c r="E268" s="4">
        <v>0.3</v>
      </c>
      <c r="F268" s="6">
        <v>610.64428699999996</v>
      </c>
      <c r="G268" s="4">
        <v>2E-3</v>
      </c>
      <c r="I268" s="4" t="s">
        <v>162</v>
      </c>
      <c r="J268" s="4">
        <v>0.9</v>
      </c>
      <c r="K268" s="4">
        <v>0.5</v>
      </c>
      <c r="L268" s="4">
        <v>0.6</v>
      </c>
      <c r="M268" s="4">
        <v>0.45</v>
      </c>
      <c r="N268" s="4">
        <v>667.95117200000004</v>
      </c>
      <c r="O268" s="4">
        <v>1.4999999999999999E-2</v>
      </c>
      <c r="P268" s="5"/>
      <c r="Q268" s="5"/>
      <c r="R268" s="5"/>
      <c r="S268" s="5"/>
      <c r="U268" s="4" t="s">
        <v>162</v>
      </c>
      <c r="V268" s="4">
        <v>0.9</v>
      </c>
      <c r="W268" s="4">
        <v>0.5</v>
      </c>
      <c r="X268" s="4">
        <v>0.6</v>
      </c>
      <c r="Y268" s="4">
        <v>0.3</v>
      </c>
      <c r="Z268" s="6">
        <v>606.20794699999999</v>
      </c>
      <c r="AA268" s="4">
        <v>2E-3</v>
      </c>
      <c r="AC268" s="4" t="s">
        <v>162</v>
      </c>
      <c r="AD268" s="4">
        <v>0.9</v>
      </c>
      <c r="AE268" s="4">
        <v>0.5</v>
      </c>
      <c r="AF268" s="4">
        <v>0.6</v>
      </c>
      <c r="AG268" s="4">
        <v>0.5</v>
      </c>
      <c r="AH268" s="4">
        <v>658.07971199999997</v>
      </c>
      <c r="AI268" s="4">
        <v>8.0000000000000002E-3</v>
      </c>
      <c r="AJ268" s="5"/>
      <c r="AK268" s="5"/>
      <c r="AL268" s="5"/>
      <c r="AM268" s="5"/>
      <c r="AO268" s="4" t="s">
        <v>163</v>
      </c>
      <c r="AP268" s="4">
        <v>0.9</v>
      </c>
      <c r="AQ268" s="4">
        <v>0.5</v>
      </c>
      <c r="AR268" s="4">
        <v>0.6</v>
      </c>
      <c r="AS268" s="4">
        <v>0.3</v>
      </c>
      <c r="AT268" s="6">
        <v>1022.341675</v>
      </c>
      <c r="AU268" s="4">
        <v>0.01</v>
      </c>
      <c r="AW268" s="4" t="s">
        <v>163</v>
      </c>
      <c r="AX268" s="4">
        <v>0.9</v>
      </c>
      <c r="AY268" s="4">
        <v>0.5</v>
      </c>
      <c r="AZ268" s="4">
        <v>0.6</v>
      </c>
      <c r="BA268" s="4">
        <v>0.37</v>
      </c>
      <c r="BB268" s="4">
        <v>1061.407837</v>
      </c>
      <c r="BC268" s="4">
        <v>2.1999999999999999E-2</v>
      </c>
      <c r="BD268" s="5"/>
      <c r="BE268" s="5"/>
      <c r="BF268" s="5"/>
      <c r="BG268" s="5"/>
      <c r="BI268" s="4" t="s">
        <v>163</v>
      </c>
      <c r="BJ268" s="4">
        <v>0.9</v>
      </c>
      <c r="BK268" s="4">
        <v>0.5</v>
      </c>
      <c r="BL268" s="4">
        <v>0.6</v>
      </c>
      <c r="BM268" s="4">
        <v>0.3</v>
      </c>
      <c r="BN268" s="6">
        <v>1011.451416</v>
      </c>
      <c r="BO268" s="4">
        <v>8.0000000000000002E-3</v>
      </c>
      <c r="BQ268" s="4" t="s">
        <v>163</v>
      </c>
      <c r="BR268" s="4">
        <v>0.9</v>
      </c>
      <c r="BS268" s="4">
        <v>0.5</v>
      </c>
      <c r="BT268" s="4">
        <v>0.6</v>
      </c>
      <c r="BU268" s="4">
        <v>0.9</v>
      </c>
      <c r="BV268" s="4">
        <v>1256.3546140000001</v>
      </c>
      <c r="BW268" s="4">
        <v>3.5000000000000003E-2</v>
      </c>
      <c r="BX268" s="5"/>
      <c r="BY268" s="5"/>
      <c r="BZ268" s="5"/>
      <c r="CA268" s="5"/>
    </row>
    <row r="269" spans="1:79" x14ac:dyDescent="0.3">
      <c r="A269" s="4" t="s">
        <v>164</v>
      </c>
      <c r="B269" s="4">
        <v>0.9</v>
      </c>
      <c r="C269" s="4">
        <v>0.5</v>
      </c>
      <c r="D269" s="4">
        <v>0.6</v>
      </c>
      <c r="E269" s="4">
        <v>0.3</v>
      </c>
      <c r="F269" s="6">
        <v>548.58795199999997</v>
      </c>
      <c r="G269" s="4">
        <v>2E-3</v>
      </c>
      <c r="I269" s="4" t="s">
        <v>164</v>
      </c>
      <c r="J269" s="4">
        <v>0.9</v>
      </c>
      <c r="K269" s="4">
        <v>0.5</v>
      </c>
      <c r="L269" s="4">
        <v>0.6</v>
      </c>
      <c r="M269" s="4">
        <v>0.8</v>
      </c>
      <c r="N269" s="4">
        <v>621.11822500000005</v>
      </c>
      <c r="O269" s="4">
        <v>2.5000000000000001E-2</v>
      </c>
      <c r="P269" s="5"/>
      <c r="Q269" s="5"/>
      <c r="R269" s="5"/>
      <c r="S269" s="5"/>
      <c r="U269" s="4" t="s">
        <v>164</v>
      </c>
      <c r="V269" s="4">
        <v>0.9</v>
      </c>
      <c r="W269" s="4">
        <v>0.5</v>
      </c>
      <c r="X269" s="4">
        <v>0.6</v>
      </c>
      <c r="Y269" s="4">
        <v>0.3</v>
      </c>
      <c r="Z269" s="6">
        <v>509.26385499999998</v>
      </c>
      <c r="AA269" s="4">
        <v>2E-3</v>
      </c>
      <c r="AC269" s="4" t="s">
        <v>164</v>
      </c>
      <c r="AD269" s="4">
        <v>0.9</v>
      </c>
      <c r="AE269" s="4">
        <v>0.5</v>
      </c>
      <c r="AF269" s="4">
        <v>0.6</v>
      </c>
      <c r="AG269" s="4">
        <v>1</v>
      </c>
      <c r="AH269" s="4">
        <v>667.94909700000005</v>
      </c>
      <c r="AI269" s="4">
        <v>1.9E-2</v>
      </c>
      <c r="AJ269" s="5"/>
      <c r="AK269" s="5"/>
      <c r="AL269" s="5"/>
      <c r="AM269" s="5"/>
      <c r="AO269" s="4" t="s">
        <v>165</v>
      </c>
      <c r="AP269" s="4">
        <v>0.9</v>
      </c>
      <c r="AQ269" s="4">
        <v>0.5</v>
      </c>
      <c r="AR269" s="4">
        <v>0.6</v>
      </c>
      <c r="AS269" s="4">
        <v>0.3</v>
      </c>
      <c r="AT269" s="6">
        <v>951.10406499999999</v>
      </c>
      <c r="AU269" s="4">
        <v>8.9999999999999993E-3</v>
      </c>
      <c r="AW269" s="4" t="s">
        <v>165</v>
      </c>
      <c r="AX269" s="4">
        <v>0.9</v>
      </c>
      <c r="AY269" s="4">
        <v>0.5</v>
      </c>
      <c r="AZ269" s="4">
        <v>0.6</v>
      </c>
      <c r="BA269" s="4">
        <v>0.41</v>
      </c>
      <c r="BB269" s="4">
        <v>1019.716125</v>
      </c>
      <c r="BC269" s="4">
        <v>2.1999999999999999E-2</v>
      </c>
      <c r="BD269" s="5"/>
      <c r="BE269" s="5"/>
      <c r="BF269" s="5"/>
      <c r="BG269" s="5"/>
      <c r="BI269" s="4" t="s">
        <v>165</v>
      </c>
      <c r="BJ269" s="4">
        <v>0.9</v>
      </c>
      <c r="BK269" s="4">
        <v>0.5</v>
      </c>
      <c r="BL269" s="4">
        <v>0.6</v>
      </c>
      <c r="BM269" s="4">
        <v>0.3</v>
      </c>
      <c r="BN269" s="6">
        <v>931.61773700000003</v>
      </c>
      <c r="BO269" s="4">
        <v>6.0000000000000001E-3</v>
      </c>
      <c r="BQ269" s="4" t="s">
        <v>165</v>
      </c>
      <c r="BR269" s="4">
        <v>0.9</v>
      </c>
      <c r="BS269" s="4">
        <v>0.5</v>
      </c>
      <c r="BT269" s="4">
        <v>0.6</v>
      </c>
      <c r="BU269" s="4">
        <v>0.37</v>
      </c>
      <c r="BV269" s="4">
        <v>984.806152</v>
      </c>
      <c r="BW269" s="4">
        <v>1.6E-2</v>
      </c>
      <c r="BX269" s="5"/>
      <c r="BY269" s="5"/>
      <c r="BZ269" s="5"/>
      <c r="CA269" s="5"/>
    </row>
    <row r="270" spans="1:79" x14ac:dyDescent="0.3">
      <c r="A270" s="4" t="s">
        <v>166</v>
      </c>
      <c r="B270" s="4">
        <v>0.9</v>
      </c>
      <c r="C270" s="4">
        <v>0.5</v>
      </c>
      <c r="D270" s="4">
        <v>0.6</v>
      </c>
      <c r="E270" s="4">
        <v>0.3</v>
      </c>
      <c r="F270" s="6">
        <v>734.97833300000002</v>
      </c>
      <c r="G270" s="4">
        <v>2E-3</v>
      </c>
      <c r="I270" s="4" t="s">
        <v>166</v>
      </c>
      <c r="J270" s="4">
        <v>0.9</v>
      </c>
      <c r="K270" s="4">
        <v>0.5</v>
      </c>
      <c r="L270" s="4">
        <v>0.6</v>
      </c>
      <c r="M270" s="4">
        <v>0.51</v>
      </c>
      <c r="N270" s="4">
        <v>800.00561500000003</v>
      </c>
      <c r="O270" s="4">
        <v>2.5000000000000001E-2</v>
      </c>
      <c r="P270" s="5"/>
      <c r="Q270" s="5"/>
      <c r="R270" s="5"/>
      <c r="S270" s="5"/>
      <c r="U270" s="4" t="s">
        <v>166</v>
      </c>
      <c r="V270" s="4">
        <v>0.9</v>
      </c>
      <c r="W270" s="4">
        <v>0.5</v>
      </c>
      <c r="X270" s="4">
        <v>0.6</v>
      </c>
      <c r="Y270" s="4">
        <v>0.3</v>
      </c>
      <c r="Z270" s="6">
        <v>730.42553699999996</v>
      </c>
      <c r="AA270" s="4">
        <v>2E-3</v>
      </c>
      <c r="AC270" s="4" t="s">
        <v>166</v>
      </c>
      <c r="AD270" s="4">
        <v>0.9</v>
      </c>
      <c r="AE270" s="4">
        <v>0.5</v>
      </c>
      <c r="AF270" s="4">
        <v>0.6</v>
      </c>
      <c r="AG270" s="4">
        <v>0.98</v>
      </c>
      <c r="AH270" s="4">
        <v>817.46569799999997</v>
      </c>
      <c r="AI270" s="4">
        <v>1.0999999999999999E-2</v>
      </c>
      <c r="AJ270" s="5"/>
      <c r="AK270" s="5"/>
      <c r="AL270" s="5"/>
      <c r="AM270" s="5"/>
      <c r="AO270" s="4" t="s">
        <v>167</v>
      </c>
      <c r="AP270" s="4">
        <v>0.9</v>
      </c>
      <c r="AQ270" s="4">
        <v>0.5</v>
      </c>
      <c r="AR270" s="4">
        <v>0.6</v>
      </c>
      <c r="AS270" s="4">
        <v>0.3</v>
      </c>
      <c r="AT270" s="6">
        <v>980.29046600000004</v>
      </c>
      <c r="AU270" s="4">
        <v>7.0000000000000001E-3</v>
      </c>
      <c r="AW270" s="4" t="s">
        <v>167</v>
      </c>
      <c r="AX270" s="4">
        <v>0.9</v>
      </c>
      <c r="AY270" s="4">
        <v>0.5</v>
      </c>
      <c r="AZ270" s="4">
        <v>0.6</v>
      </c>
      <c r="BA270" s="4">
        <v>0.63</v>
      </c>
      <c r="BB270" s="4">
        <v>1143.900269</v>
      </c>
      <c r="BC270" s="4">
        <v>1.7000000000000001E-2</v>
      </c>
      <c r="BD270" s="5"/>
      <c r="BE270" s="5"/>
      <c r="BF270" s="5"/>
      <c r="BG270" s="5"/>
      <c r="BI270" s="4" t="s">
        <v>167</v>
      </c>
      <c r="BJ270" s="4">
        <v>0.9</v>
      </c>
      <c r="BK270" s="4">
        <v>0.5</v>
      </c>
      <c r="BL270" s="4">
        <v>0.6</v>
      </c>
      <c r="BM270" s="4">
        <v>0.3</v>
      </c>
      <c r="BN270" s="4">
        <v>968.76995799999997</v>
      </c>
      <c r="BO270" s="4">
        <v>7.0000000000000001E-3</v>
      </c>
      <c r="BQ270" s="4" t="s">
        <v>167</v>
      </c>
      <c r="BR270" s="4">
        <v>0.9</v>
      </c>
      <c r="BS270" s="4">
        <v>0.5</v>
      </c>
      <c r="BT270" s="4">
        <v>0.6</v>
      </c>
      <c r="BU270" s="4">
        <v>0.13</v>
      </c>
      <c r="BV270" s="6">
        <v>835.03008999999997</v>
      </c>
      <c r="BW270" s="4">
        <v>1.9E-2</v>
      </c>
      <c r="BX270" s="5"/>
      <c r="BY270" s="5"/>
      <c r="BZ270" s="5"/>
      <c r="CA270" s="5"/>
    </row>
    <row r="271" spans="1:79" x14ac:dyDescent="0.3">
      <c r="A271" s="4" t="s">
        <v>168</v>
      </c>
      <c r="B271" s="4">
        <v>0.9</v>
      </c>
      <c r="C271" s="4">
        <v>0.5</v>
      </c>
      <c r="D271" s="4">
        <v>0.6</v>
      </c>
      <c r="E271" s="4">
        <v>0.3</v>
      </c>
      <c r="F271" s="6">
        <v>663.56536900000003</v>
      </c>
      <c r="G271" s="4">
        <v>2E-3</v>
      </c>
      <c r="I271" s="4" t="s">
        <v>168</v>
      </c>
      <c r="J271" s="4">
        <v>0.9</v>
      </c>
      <c r="K271" s="4">
        <v>0.5</v>
      </c>
      <c r="L271" s="4">
        <v>0.6</v>
      </c>
      <c r="M271" s="4">
        <v>0.61</v>
      </c>
      <c r="N271" s="4">
        <v>713.12823500000002</v>
      </c>
      <c r="O271" s="4">
        <v>1.7999999999999999E-2</v>
      </c>
      <c r="P271" s="5"/>
      <c r="Q271" s="5"/>
      <c r="R271" s="5"/>
      <c r="S271" s="5"/>
      <c r="U271" s="4" t="s">
        <v>168</v>
      </c>
      <c r="V271" s="4">
        <v>0.9</v>
      </c>
      <c r="W271" s="4">
        <v>0.5</v>
      </c>
      <c r="X271" s="4">
        <v>0.6</v>
      </c>
      <c r="Y271" s="4">
        <v>0.3</v>
      </c>
      <c r="Z271" s="6">
        <v>657.15277100000003</v>
      </c>
      <c r="AA271" s="4">
        <v>2E-3</v>
      </c>
      <c r="AC271" s="4" t="s">
        <v>168</v>
      </c>
      <c r="AD271" s="4">
        <v>0.9</v>
      </c>
      <c r="AE271" s="4">
        <v>0.5</v>
      </c>
      <c r="AF271" s="4">
        <v>0.6</v>
      </c>
      <c r="AG271" s="4">
        <v>0.79</v>
      </c>
      <c r="AH271" s="4">
        <v>722.12823500000002</v>
      </c>
      <c r="AI271" s="4">
        <v>3.6999999999999998E-2</v>
      </c>
      <c r="AJ271" s="5"/>
      <c r="AK271" s="5"/>
      <c r="AL271" s="5"/>
      <c r="AM271" s="5"/>
      <c r="AO271" s="4" t="s">
        <v>169</v>
      </c>
      <c r="AP271" s="4">
        <v>0.9</v>
      </c>
      <c r="AQ271" s="4">
        <v>0.5</v>
      </c>
      <c r="AR271" s="4">
        <v>0.6</v>
      </c>
      <c r="AS271" s="4">
        <v>0.3</v>
      </c>
      <c r="AT271" s="6">
        <v>1000.102356</v>
      </c>
      <c r="AU271" s="4">
        <v>8.0000000000000002E-3</v>
      </c>
      <c r="AW271" s="4" t="s">
        <v>169</v>
      </c>
      <c r="AX271" s="4">
        <v>0.9</v>
      </c>
      <c r="AY271" s="4">
        <v>0.5</v>
      </c>
      <c r="AZ271" s="4">
        <v>0.6</v>
      </c>
      <c r="BA271" s="4">
        <v>0.33</v>
      </c>
      <c r="BB271" s="4">
        <v>1023.144409</v>
      </c>
      <c r="BC271" s="4">
        <v>1.6E-2</v>
      </c>
      <c r="BD271" s="5"/>
      <c r="BE271" s="5"/>
      <c r="BF271" s="5"/>
      <c r="BG271" s="5"/>
      <c r="BI271" s="4" t="s">
        <v>169</v>
      </c>
      <c r="BJ271" s="4">
        <v>0.9</v>
      </c>
      <c r="BK271" s="4">
        <v>0.5</v>
      </c>
      <c r="BL271" s="4">
        <v>0.6</v>
      </c>
      <c r="BM271" s="4">
        <v>0.3</v>
      </c>
      <c r="BN271" s="6">
        <v>989.870361</v>
      </c>
      <c r="BO271" s="4">
        <v>5.0000000000000001E-3</v>
      </c>
      <c r="BQ271" s="4" t="s">
        <v>169</v>
      </c>
      <c r="BR271" s="4">
        <v>0.9</v>
      </c>
      <c r="BS271" s="4">
        <v>0.5</v>
      </c>
      <c r="BT271" s="4">
        <v>0.6</v>
      </c>
      <c r="BU271" s="4">
        <v>0.8</v>
      </c>
      <c r="BV271" s="4">
        <v>1117.8420410000001</v>
      </c>
      <c r="BW271" s="4">
        <v>1.4999999999999999E-2</v>
      </c>
      <c r="BX271" s="5"/>
      <c r="BY271" s="5"/>
      <c r="BZ271" s="5"/>
      <c r="CA271" s="5"/>
    </row>
    <row r="272" spans="1:79" x14ac:dyDescent="0.3">
      <c r="A272" s="4" t="s">
        <v>170</v>
      </c>
      <c r="B272" s="4">
        <v>0.9</v>
      </c>
      <c r="C272" s="4">
        <v>0.5</v>
      </c>
      <c r="D272" s="4">
        <v>0.6</v>
      </c>
      <c r="E272" s="4">
        <v>0.3</v>
      </c>
      <c r="F272" s="6">
        <v>699.19152799999995</v>
      </c>
      <c r="G272" s="4">
        <v>3.0000000000000001E-3</v>
      </c>
      <c r="I272" s="4" t="s">
        <v>170</v>
      </c>
      <c r="J272" s="4">
        <v>0.9</v>
      </c>
      <c r="K272" s="4">
        <v>0.5</v>
      </c>
      <c r="L272" s="4">
        <v>0.6</v>
      </c>
      <c r="M272" s="4">
        <v>0.4</v>
      </c>
      <c r="N272" s="4">
        <v>718.37866199999996</v>
      </c>
      <c r="O272" s="4">
        <v>1.0999999999999999E-2</v>
      </c>
      <c r="P272" s="5"/>
      <c r="Q272" s="5"/>
      <c r="R272" s="5"/>
      <c r="S272" s="5"/>
      <c r="U272" s="4" t="s">
        <v>170</v>
      </c>
      <c r="V272" s="4">
        <v>0.9</v>
      </c>
      <c r="W272" s="4">
        <v>0.5</v>
      </c>
      <c r="X272" s="4">
        <v>0.6</v>
      </c>
      <c r="Y272" s="4">
        <v>0.3</v>
      </c>
      <c r="Z272" s="6">
        <v>678.58715800000004</v>
      </c>
      <c r="AA272" s="4">
        <v>2E-3</v>
      </c>
      <c r="AC272" s="4" t="s">
        <v>170</v>
      </c>
      <c r="AD272" s="4">
        <v>0.9</v>
      </c>
      <c r="AE272" s="4">
        <v>0.5</v>
      </c>
      <c r="AF272" s="4">
        <v>0.6</v>
      </c>
      <c r="AG272" s="4">
        <v>0.82</v>
      </c>
      <c r="AH272" s="4">
        <v>730.75097700000003</v>
      </c>
      <c r="AI272" s="4">
        <v>2.1999999999999999E-2</v>
      </c>
      <c r="AJ272" s="5"/>
      <c r="AK272" s="5"/>
      <c r="AL272" s="5"/>
      <c r="AM272" s="5"/>
      <c r="AO272" s="4" t="s">
        <v>171</v>
      </c>
      <c r="AP272" s="4">
        <v>0.9</v>
      </c>
      <c r="AQ272" s="4">
        <v>0.5</v>
      </c>
      <c r="AR272" s="4">
        <v>0.6</v>
      </c>
      <c r="AS272" s="4">
        <v>0.3</v>
      </c>
      <c r="AT272" s="4">
        <v>935.05474900000002</v>
      </c>
      <c r="AU272" s="4">
        <v>8.9999999999999993E-3</v>
      </c>
      <c r="AW272" s="4" t="s">
        <v>171</v>
      </c>
      <c r="AX272" s="4">
        <v>0.9</v>
      </c>
      <c r="AY272" s="4">
        <v>0.5</v>
      </c>
      <c r="AZ272" s="4">
        <v>0.6</v>
      </c>
      <c r="BA272" s="4">
        <v>0.03</v>
      </c>
      <c r="BB272" s="6">
        <v>761.87579300000004</v>
      </c>
      <c r="BC272" s="4">
        <v>2.5999999999999999E-2</v>
      </c>
      <c r="BD272" s="5"/>
      <c r="BE272" s="5"/>
      <c r="BF272" s="5"/>
      <c r="BG272" s="5"/>
      <c r="BI272" s="4" t="s">
        <v>171</v>
      </c>
      <c r="BJ272" s="4">
        <v>0.9</v>
      </c>
      <c r="BK272" s="4">
        <v>0.5</v>
      </c>
      <c r="BL272" s="4">
        <v>0.6</v>
      </c>
      <c r="BM272" s="4">
        <v>0.3</v>
      </c>
      <c r="BN272" s="6">
        <v>882.70043899999996</v>
      </c>
      <c r="BO272" s="4">
        <v>5.0000000000000001E-3</v>
      </c>
      <c r="BQ272" s="4" t="s">
        <v>171</v>
      </c>
      <c r="BR272" s="4">
        <v>0.9</v>
      </c>
      <c r="BS272" s="4">
        <v>0.5</v>
      </c>
      <c r="BT272" s="4">
        <v>0.6</v>
      </c>
      <c r="BU272" s="4">
        <v>0.99</v>
      </c>
      <c r="BV272" s="4">
        <v>1087.86853</v>
      </c>
      <c r="BW272" s="4">
        <v>1.7999999999999999E-2</v>
      </c>
      <c r="BX272" s="5"/>
      <c r="BY272" s="5"/>
      <c r="BZ272" s="5"/>
      <c r="CA272" s="5"/>
    </row>
    <row r="273" spans="1:79" x14ac:dyDescent="0.3">
      <c r="A273" s="4" t="s">
        <v>172</v>
      </c>
      <c r="B273" s="4">
        <v>0.9</v>
      </c>
      <c r="C273" s="4">
        <v>0.5</v>
      </c>
      <c r="D273" s="4">
        <v>0.6</v>
      </c>
      <c r="E273" s="4">
        <v>0.3</v>
      </c>
      <c r="F273" s="6">
        <v>672.48913600000003</v>
      </c>
      <c r="G273" s="4">
        <v>2E-3</v>
      </c>
      <c r="I273" s="4" t="s">
        <v>172</v>
      </c>
      <c r="J273" s="4">
        <v>0.9</v>
      </c>
      <c r="K273" s="4">
        <v>0.5</v>
      </c>
      <c r="L273" s="4">
        <v>0.6</v>
      </c>
      <c r="M273" s="4">
        <v>0.69</v>
      </c>
      <c r="N273" s="4">
        <v>729.42559800000004</v>
      </c>
      <c r="O273" s="4">
        <v>1.9E-2</v>
      </c>
      <c r="P273" s="5"/>
      <c r="Q273" s="5"/>
      <c r="R273" s="5"/>
      <c r="S273" s="5"/>
      <c r="U273" s="4" t="s">
        <v>172</v>
      </c>
      <c r="V273" s="4">
        <v>0.9</v>
      </c>
      <c r="W273" s="4">
        <v>0.5</v>
      </c>
      <c r="X273" s="4">
        <v>0.6</v>
      </c>
      <c r="Y273" s="4">
        <v>0.3</v>
      </c>
      <c r="Z273" s="6">
        <v>655.62994400000002</v>
      </c>
      <c r="AA273" s="4">
        <v>2E-3</v>
      </c>
      <c r="AC273" s="4" t="s">
        <v>172</v>
      </c>
      <c r="AD273" s="4">
        <v>0.9</v>
      </c>
      <c r="AE273" s="4">
        <v>0.5</v>
      </c>
      <c r="AF273" s="4">
        <v>0.6</v>
      </c>
      <c r="AG273" s="4">
        <v>0.56999999999999995</v>
      </c>
      <c r="AH273" s="4">
        <v>746.11981200000002</v>
      </c>
      <c r="AI273" s="4">
        <v>3.1E-2</v>
      </c>
      <c r="AJ273" s="5"/>
      <c r="AK273" s="5"/>
      <c r="AL273" s="5"/>
      <c r="AM273" s="5"/>
      <c r="AO273" s="4" t="s">
        <v>173</v>
      </c>
      <c r="AP273" s="4">
        <v>0.9</v>
      </c>
      <c r="AQ273" s="4">
        <v>0.5</v>
      </c>
      <c r="AR273" s="4">
        <v>0.6</v>
      </c>
      <c r="AS273" s="4">
        <v>0.3</v>
      </c>
      <c r="AT273" s="6">
        <v>980.75146500000005</v>
      </c>
      <c r="AU273" s="4">
        <v>8.9999999999999993E-3</v>
      </c>
      <c r="AW273" s="4" t="s">
        <v>173</v>
      </c>
      <c r="AX273" s="4">
        <v>0.9</v>
      </c>
      <c r="AY273" s="4">
        <v>0.5</v>
      </c>
      <c r="AZ273" s="4">
        <v>0.6</v>
      </c>
      <c r="BA273" s="4">
        <v>0.27</v>
      </c>
      <c r="BB273" s="4">
        <v>982.54553199999998</v>
      </c>
      <c r="BC273" s="4">
        <v>1.9E-2</v>
      </c>
      <c r="BD273" s="5"/>
      <c r="BE273" s="5"/>
      <c r="BF273" s="5"/>
      <c r="BG273" s="5"/>
      <c r="BI273" s="4" t="s">
        <v>173</v>
      </c>
      <c r="BJ273" s="4">
        <v>0.9</v>
      </c>
      <c r="BK273" s="4">
        <v>0.5</v>
      </c>
      <c r="BL273" s="4">
        <v>0.6</v>
      </c>
      <c r="BM273" s="4">
        <v>0.3</v>
      </c>
      <c r="BN273" s="4">
        <v>994.211365</v>
      </c>
      <c r="BO273" s="4">
        <v>7.0000000000000001E-3</v>
      </c>
      <c r="BQ273" s="4" t="s">
        <v>173</v>
      </c>
      <c r="BR273" s="4">
        <v>0.9</v>
      </c>
      <c r="BS273" s="4">
        <v>0.5</v>
      </c>
      <c r="BT273" s="4">
        <v>0.6</v>
      </c>
      <c r="BU273" s="4">
        <v>0.11</v>
      </c>
      <c r="BV273" s="6">
        <v>844.17114300000003</v>
      </c>
      <c r="BW273" s="4">
        <v>2.5999999999999999E-2</v>
      </c>
      <c r="BX273" s="5"/>
      <c r="BY273" s="5"/>
      <c r="BZ273" s="5"/>
      <c r="CA273" s="5"/>
    </row>
    <row r="274" spans="1:79" x14ac:dyDescent="0.3">
      <c r="A274" s="4" t="s">
        <v>174</v>
      </c>
      <c r="B274" s="4">
        <v>0.9</v>
      </c>
      <c r="C274" s="4">
        <v>0.5</v>
      </c>
      <c r="D274" s="4">
        <v>0.6</v>
      </c>
      <c r="E274" s="4">
        <v>0.3</v>
      </c>
      <c r="F274" s="6">
        <v>670.67425500000002</v>
      </c>
      <c r="G274" s="4">
        <v>1E-3</v>
      </c>
      <c r="I274" s="4" t="s">
        <v>174</v>
      </c>
      <c r="J274" s="4">
        <v>0.9</v>
      </c>
      <c r="K274" s="4">
        <v>0.5</v>
      </c>
      <c r="L274" s="4">
        <v>0.6</v>
      </c>
      <c r="M274" s="4">
        <v>0.73</v>
      </c>
      <c r="N274" s="4">
        <v>764.25524900000005</v>
      </c>
      <c r="O274" s="4">
        <v>2.3E-2</v>
      </c>
      <c r="P274" s="5"/>
      <c r="Q274" s="5"/>
      <c r="R274" s="5"/>
      <c r="S274" s="5"/>
      <c r="U274" s="4" t="s">
        <v>174</v>
      </c>
      <c r="V274" s="4">
        <v>0.9</v>
      </c>
      <c r="W274" s="4">
        <v>0.5</v>
      </c>
      <c r="X274" s="4">
        <v>0.6</v>
      </c>
      <c r="Y274" s="4">
        <v>0.3</v>
      </c>
      <c r="Z274" s="4">
        <v>673.00030500000003</v>
      </c>
      <c r="AA274" s="4">
        <v>3.0000000000000001E-3</v>
      </c>
      <c r="AC274" s="4" t="s">
        <v>174</v>
      </c>
      <c r="AD274" s="4">
        <v>0.9</v>
      </c>
      <c r="AE274" s="4">
        <v>0.5</v>
      </c>
      <c r="AF274" s="4">
        <v>0.6</v>
      </c>
      <c r="AG274" s="4">
        <v>0.1</v>
      </c>
      <c r="AH274" s="6">
        <v>647.67932099999996</v>
      </c>
      <c r="AI274" s="4">
        <v>8.9999999999999993E-3</v>
      </c>
      <c r="AJ274" s="5"/>
      <c r="AK274" s="5"/>
      <c r="AL274" s="5"/>
      <c r="AM274" s="5"/>
      <c r="AO274" s="4" t="s">
        <v>175</v>
      </c>
      <c r="AP274" s="4">
        <v>0.9</v>
      </c>
      <c r="AQ274" s="4">
        <v>0.5</v>
      </c>
      <c r="AR274" s="4">
        <v>0.6</v>
      </c>
      <c r="AS274" s="4">
        <v>0.3</v>
      </c>
      <c r="AT274" s="6">
        <v>985.865906</v>
      </c>
      <c r="AU274" s="4">
        <v>8.0000000000000002E-3</v>
      </c>
      <c r="AW274" s="4" t="s">
        <v>175</v>
      </c>
      <c r="AX274" s="4">
        <v>0.9</v>
      </c>
      <c r="AY274" s="4">
        <v>0.5</v>
      </c>
      <c r="AZ274" s="4">
        <v>0.6</v>
      </c>
      <c r="BA274" s="4">
        <v>0.98</v>
      </c>
      <c r="BB274" s="4">
        <v>1255.1049800000001</v>
      </c>
      <c r="BC274" s="4">
        <v>1.4999999999999999E-2</v>
      </c>
      <c r="BD274" s="5"/>
      <c r="BE274" s="5"/>
      <c r="BF274" s="5"/>
      <c r="BG274" s="5"/>
      <c r="BI274" s="4" t="s">
        <v>175</v>
      </c>
      <c r="BJ274" s="4">
        <v>0.9</v>
      </c>
      <c r="BK274" s="4">
        <v>0.5</v>
      </c>
      <c r="BL274" s="4">
        <v>0.6</v>
      </c>
      <c r="BM274" s="4">
        <v>0.3</v>
      </c>
      <c r="BN274" s="6">
        <v>968.78832999999997</v>
      </c>
      <c r="BO274" s="4">
        <v>8.0000000000000002E-3</v>
      </c>
      <c r="BQ274" s="4" t="s">
        <v>175</v>
      </c>
      <c r="BR274" s="4">
        <v>0.9</v>
      </c>
      <c r="BS274" s="4">
        <v>0.5</v>
      </c>
      <c r="BT274" s="4">
        <v>0.6</v>
      </c>
      <c r="BU274" s="4">
        <v>0.34</v>
      </c>
      <c r="BV274" s="4">
        <v>999.96881099999996</v>
      </c>
      <c r="BW274" s="4">
        <v>1.4E-2</v>
      </c>
      <c r="BX274" s="5"/>
      <c r="BY274" s="5"/>
      <c r="BZ274" s="5"/>
      <c r="CA274" s="5"/>
    </row>
    <row r="275" spans="1:79" x14ac:dyDescent="0.3">
      <c r="A275" s="4" t="s">
        <v>176</v>
      </c>
      <c r="B275" s="4">
        <v>0.9</v>
      </c>
      <c r="C275" s="4">
        <v>0.5</v>
      </c>
      <c r="D275" s="4">
        <v>0.6</v>
      </c>
      <c r="E275" s="4">
        <v>0.3</v>
      </c>
      <c r="F275" s="6">
        <v>695.13195800000005</v>
      </c>
      <c r="G275" s="4">
        <v>2E-3</v>
      </c>
      <c r="I275" s="4" t="s">
        <v>176</v>
      </c>
      <c r="J275" s="4">
        <v>0.9</v>
      </c>
      <c r="K275" s="4">
        <v>0.5</v>
      </c>
      <c r="L275" s="4">
        <v>0.6</v>
      </c>
      <c r="M275" s="4">
        <v>0.02</v>
      </c>
      <c r="N275" s="4">
        <v>746.35382100000004</v>
      </c>
      <c r="O275" s="4">
        <v>2.1999999999999999E-2</v>
      </c>
      <c r="P275" s="5"/>
      <c r="Q275" s="5"/>
      <c r="R275" s="5"/>
      <c r="S275" s="5"/>
      <c r="U275" s="4" t="s">
        <v>176</v>
      </c>
      <c r="V275" s="4">
        <v>0.9</v>
      </c>
      <c r="W275" s="4">
        <v>0.5</v>
      </c>
      <c r="X275" s="4">
        <v>0.6</v>
      </c>
      <c r="Y275" s="4">
        <v>0.3</v>
      </c>
      <c r="Z275" s="4">
        <v>692.47045900000001</v>
      </c>
      <c r="AA275" s="4">
        <v>2E-3</v>
      </c>
      <c r="AC275" s="4" t="s">
        <v>176</v>
      </c>
      <c r="AD275" s="4">
        <v>0.9</v>
      </c>
      <c r="AE275" s="4">
        <v>0.5</v>
      </c>
      <c r="AF275" s="4">
        <v>0.6</v>
      </c>
      <c r="AG275" s="4">
        <v>0.11</v>
      </c>
      <c r="AH275" s="6">
        <v>663.27002000000005</v>
      </c>
      <c r="AI275" s="4">
        <v>5.5E-2</v>
      </c>
      <c r="AJ275" s="5"/>
      <c r="AK275" s="5"/>
      <c r="AL275" s="5"/>
      <c r="AM275" s="5"/>
      <c r="AO275" s="4" t="s">
        <v>177</v>
      </c>
      <c r="AP275" s="4">
        <v>0.9</v>
      </c>
      <c r="AQ275" s="4">
        <v>0.5</v>
      </c>
      <c r="AR275" s="4">
        <v>0.6</v>
      </c>
      <c r="AS275" s="4">
        <v>0.3</v>
      </c>
      <c r="AT275" s="4">
        <v>1085.953857</v>
      </c>
      <c r="AU275" s="4">
        <v>8.9999999999999993E-3</v>
      </c>
      <c r="AW275" s="4" t="s">
        <v>177</v>
      </c>
      <c r="AX275" s="4">
        <v>0.9</v>
      </c>
      <c r="AY275" s="4">
        <v>0.5</v>
      </c>
      <c r="AZ275" s="4">
        <v>0.6</v>
      </c>
      <c r="BA275" s="4">
        <v>0.17</v>
      </c>
      <c r="BB275" s="6">
        <v>1010.104065</v>
      </c>
      <c r="BC275" s="4">
        <v>3.1E-2</v>
      </c>
      <c r="BD275" s="5"/>
      <c r="BE275" s="5"/>
      <c r="BF275" s="5"/>
      <c r="BG275" s="5"/>
      <c r="BI275" s="4" t="s">
        <v>177</v>
      </c>
      <c r="BJ275" s="4">
        <v>0.9</v>
      </c>
      <c r="BK275" s="4">
        <v>0.5</v>
      </c>
      <c r="BL275" s="4">
        <v>0.6</v>
      </c>
      <c r="BM275" s="4">
        <v>0.3</v>
      </c>
      <c r="BN275" s="4">
        <v>1102.1328120000001</v>
      </c>
      <c r="BO275" s="4">
        <v>7.0000000000000001E-3</v>
      </c>
      <c r="BQ275" s="4" t="s">
        <v>177</v>
      </c>
      <c r="BR275" s="4">
        <v>0.9</v>
      </c>
      <c r="BS275" s="4">
        <v>0.5</v>
      </c>
      <c r="BT275" s="4">
        <v>0.6</v>
      </c>
      <c r="BU275" s="4">
        <v>0.19</v>
      </c>
      <c r="BV275" s="6">
        <v>1019.459778</v>
      </c>
      <c r="BW275" s="4">
        <v>1.4999999999999999E-2</v>
      </c>
      <c r="BX275" s="5"/>
      <c r="BY275" s="5"/>
      <c r="BZ275" s="5"/>
      <c r="CA275" s="5"/>
    </row>
    <row r="276" spans="1:79" x14ac:dyDescent="0.3">
      <c r="A276" s="4" t="s">
        <v>178</v>
      </c>
      <c r="B276" s="4">
        <v>0.9</v>
      </c>
      <c r="C276" s="4">
        <v>0.5</v>
      </c>
      <c r="D276" s="4">
        <v>0.6</v>
      </c>
      <c r="E276" s="4">
        <v>0.3</v>
      </c>
      <c r="F276" s="6">
        <v>679.95544400000006</v>
      </c>
      <c r="G276" s="4">
        <v>1E-3</v>
      </c>
      <c r="I276" s="4" t="s">
        <v>178</v>
      </c>
      <c r="J276" s="4">
        <v>0.9</v>
      </c>
      <c r="K276" s="4">
        <v>0.5</v>
      </c>
      <c r="L276" s="4">
        <v>0.6</v>
      </c>
      <c r="M276" s="4">
        <v>0.94</v>
      </c>
      <c r="N276" s="4">
        <v>854.71545400000002</v>
      </c>
      <c r="O276" s="4">
        <v>1.7999999999999999E-2</v>
      </c>
      <c r="P276" s="5"/>
      <c r="Q276" s="5"/>
      <c r="R276" s="5"/>
      <c r="S276" s="5"/>
      <c r="U276" s="4" t="s">
        <v>178</v>
      </c>
      <c r="V276" s="4">
        <v>0.9</v>
      </c>
      <c r="W276" s="4">
        <v>0.5</v>
      </c>
      <c r="X276" s="4">
        <v>0.6</v>
      </c>
      <c r="Y276" s="4">
        <v>0.3</v>
      </c>
      <c r="Z276" s="4">
        <v>673.79382299999997</v>
      </c>
      <c r="AA276" s="4">
        <v>2E-3</v>
      </c>
      <c r="AC276" s="4" t="s">
        <v>178</v>
      </c>
      <c r="AD276" s="4">
        <v>0.9</v>
      </c>
      <c r="AE276" s="4">
        <v>0.5</v>
      </c>
      <c r="AF276" s="4">
        <v>0.6</v>
      </c>
      <c r="AG276" s="4">
        <v>0.55000000000000004</v>
      </c>
      <c r="AH276" s="6">
        <v>747.77398700000003</v>
      </c>
      <c r="AI276" s="4">
        <v>1.6E-2</v>
      </c>
      <c r="AJ276" s="5"/>
      <c r="AK276" s="5"/>
      <c r="AL276" s="5"/>
      <c r="AM276" s="5"/>
      <c r="AO276" s="4" t="s">
        <v>179</v>
      </c>
      <c r="AP276" s="4">
        <v>0.9</v>
      </c>
      <c r="AQ276" s="4">
        <v>0.5</v>
      </c>
      <c r="AR276" s="4">
        <v>0.6</v>
      </c>
      <c r="AS276" s="4">
        <v>0.3</v>
      </c>
      <c r="AT276" s="6">
        <v>1053.384888</v>
      </c>
      <c r="AU276" s="4">
        <v>8.0000000000000002E-3</v>
      </c>
      <c r="AW276" s="4" t="s">
        <v>179</v>
      </c>
      <c r="AX276" s="4">
        <v>0.9</v>
      </c>
      <c r="AY276" s="4">
        <v>0.5</v>
      </c>
      <c r="AZ276" s="4">
        <v>0.6</v>
      </c>
      <c r="BA276" s="4">
        <v>0.59</v>
      </c>
      <c r="BB276" s="4">
        <v>1240.708374</v>
      </c>
      <c r="BC276" s="4">
        <v>1.4999999999999999E-2</v>
      </c>
      <c r="BD276" s="5"/>
      <c r="BE276" s="5"/>
      <c r="BF276" s="5"/>
      <c r="BG276" s="5"/>
      <c r="BI276" s="4" t="s">
        <v>179</v>
      </c>
      <c r="BJ276" s="4">
        <v>0.9</v>
      </c>
      <c r="BK276" s="4">
        <v>0.5</v>
      </c>
      <c r="BL276" s="4">
        <v>0.6</v>
      </c>
      <c r="BM276" s="4">
        <v>0.3</v>
      </c>
      <c r="BN276" s="6">
        <v>1040.7761230000001</v>
      </c>
      <c r="BO276" s="4">
        <v>7.0000000000000001E-3</v>
      </c>
      <c r="BQ276" s="4" t="s">
        <v>179</v>
      </c>
      <c r="BR276" s="4">
        <v>0.9</v>
      </c>
      <c r="BS276" s="4">
        <v>0.5</v>
      </c>
      <c r="BT276" s="4">
        <v>0.6</v>
      </c>
      <c r="BU276" s="4">
        <v>0.5</v>
      </c>
      <c r="BV276" s="4">
        <v>1171.6759030000001</v>
      </c>
      <c r="BW276" s="4">
        <v>2.1000000000000001E-2</v>
      </c>
      <c r="BX276" s="5"/>
      <c r="BY276" s="5"/>
      <c r="BZ276" s="5"/>
      <c r="CA276" s="5"/>
    </row>
    <row r="277" spans="1:79" x14ac:dyDescent="0.3">
      <c r="A277" s="4" t="s">
        <v>180</v>
      </c>
      <c r="B277" s="4">
        <v>0.9</v>
      </c>
      <c r="C277" s="4">
        <v>0.5</v>
      </c>
      <c r="D277" s="4">
        <v>0.6</v>
      </c>
      <c r="E277" s="4">
        <v>0.3</v>
      </c>
      <c r="F277" s="6">
        <v>681.17511000000002</v>
      </c>
      <c r="G277" s="4">
        <v>2E-3</v>
      </c>
      <c r="I277" s="4" t="s">
        <v>180</v>
      </c>
      <c r="J277" s="4">
        <v>0.9</v>
      </c>
      <c r="K277" s="4">
        <v>0.5</v>
      </c>
      <c r="L277" s="4">
        <v>0.6</v>
      </c>
      <c r="M277" s="4">
        <v>0.95</v>
      </c>
      <c r="N277" s="4">
        <v>854.72540300000003</v>
      </c>
      <c r="O277" s="4">
        <v>0.03</v>
      </c>
      <c r="P277" s="5"/>
      <c r="Q277" s="5"/>
      <c r="R277" s="5"/>
      <c r="S277" s="5"/>
      <c r="U277" s="4" t="s">
        <v>180</v>
      </c>
      <c r="V277" s="4">
        <v>0.9</v>
      </c>
      <c r="W277" s="4">
        <v>0.5</v>
      </c>
      <c r="X277" s="4">
        <v>0.6</v>
      </c>
      <c r="Y277" s="4">
        <v>0.3</v>
      </c>
      <c r="Z277" s="6">
        <v>676.91803000000004</v>
      </c>
      <c r="AA277" s="4">
        <v>2E-3</v>
      </c>
      <c r="AC277" s="4" t="s">
        <v>180</v>
      </c>
      <c r="AD277" s="4">
        <v>0.9</v>
      </c>
      <c r="AE277" s="4">
        <v>0.5</v>
      </c>
      <c r="AF277" s="4">
        <v>0.6</v>
      </c>
      <c r="AG277" s="4">
        <v>0.95</v>
      </c>
      <c r="AH277" s="4">
        <v>831.84173599999997</v>
      </c>
      <c r="AI277" s="4">
        <v>2.5000000000000001E-2</v>
      </c>
      <c r="AJ277" s="5"/>
      <c r="AK277" s="5"/>
      <c r="AL277" s="5"/>
      <c r="AM277" s="5"/>
      <c r="AO277" s="4" t="s">
        <v>181</v>
      </c>
      <c r="AP277" s="4">
        <v>0.9</v>
      </c>
      <c r="AQ277" s="4">
        <v>0.5</v>
      </c>
      <c r="AR277" s="4">
        <v>0.6</v>
      </c>
      <c r="AS277" s="4">
        <v>0.3</v>
      </c>
      <c r="AT277" s="6">
        <v>1065.596436</v>
      </c>
      <c r="AU277" s="4">
        <v>7.0000000000000001E-3</v>
      </c>
      <c r="AW277" s="4" t="s">
        <v>181</v>
      </c>
      <c r="AX277" s="4">
        <v>0.9</v>
      </c>
      <c r="AY277" s="4">
        <v>0.5</v>
      </c>
      <c r="AZ277" s="4">
        <v>0.6</v>
      </c>
      <c r="BA277" s="4">
        <v>0.37</v>
      </c>
      <c r="BB277" s="4">
        <v>1106.7807620000001</v>
      </c>
      <c r="BC277" s="4">
        <v>0.02</v>
      </c>
      <c r="BD277" s="5"/>
      <c r="BE277" s="5"/>
      <c r="BF277" s="5"/>
      <c r="BG277" s="5"/>
      <c r="BI277" s="4" t="s">
        <v>181</v>
      </c>
      <c r="BJ277" s="4">
        <v>0.9</v>
      </c>
      <c r="BK277" s="4">
        <v>0.5</v>
      </c>
      <c r="BL277" s="4">
        <v>0.6</v>
      </c>
      <c r="BM277" s="4">
        <v>0.3</v>
      </c>
      <c r="BN277" s="6">
        <v>1031.7326660000001</v>
      </c>
      <c r="BO277" s="4">
        <v>7.0000000000000001E-3</v>
      </c>
      <c r="BQ277" s="4" t="s">
        <v>181</v>
      </c>
      <c r="BR277" s="4">
        <v>0.9</v>
      </c>
      <c r="BS277" s="4">
        <v>0.5</v>
      </c>
      <c r="BT277" s="4">
        <v>0.6</v>
      </c>
      <c r="BU277" s="4">
        <v>0.99</v>
      </c>
      <c r="BV277" s="4">
        <v>1313.6102289999999</v>
      </c>
      <c r="BW277" s="4">
        <v>0.03</v>
      </c>
      <c r="BX277" s="5"/>
      <c r="BY277" s="5"/>
      <c r="BZ277" s="5"/>
      <c r="CA277" s="5"/>
    </row>
    <row r="278" spans="1:79" x14ac:dyDescent="0.3">
      <c r="A278" s="4" t="s">
        <v>182</v>
      </c>
      <c r="B278" s="4">
        <v>0.9</v>
      </c>
      <c r="C278" s="4">
        <v>0.5</v>
      </c>
      <c r="D278" s="4">
        <v>0.6</v>
      </c>
      <c r="E278" s="4">
        <v>0.3</v>
      </c>
      <c r="F278" s="6">
        <v>628.23889199999996</v>
      </c>
      <c r="G278" s="4">
        <v>2E-3</v>
      </c>
      <c r="I278" s="4" t="s">
        <v>182</v>
      </c>
      <c r="J278" s="4">
        <v>0.9</v>
      </c>
      <c r="K278" s="4">
        <v>0.5</v>
      </c>
      <c r="L278" s="4">
        <v>0.6</v>
      </c>
      <c r="M278" s="4">
        <v>0.91</v>
      </c>
      <c r="N278" s="4">
        <v>758.64227300000005</v>
      </c>
      <c r="O278" s="4">
        <v>1.4999999999999999E-2</v>
      </c>
      <c r="P278" s="5"/>
      <c r="Q278" s="5"/>
      <c r="R278" s="5"/>
      <c r="S278" s="5"/>
      <c r="U278" s="4" t="s">
        <v>182</v>
      </c>
      <c r="V278" s="4">
        <v>0.9</v>
      </c>
      <c r="W278" s="4">
        <v>0.5</v>
      </c>
      <c r="X278" s="4">
        <v>0.6</v>
      </c>
      <c r="Y278" s="4">
        <v>0.3</v>
      </c>
      <c r="Z278" s="6">
        <v>647.35906999999997</v>
      </c>
      <c r="AA278" s="4">
        <v>2E-3</v>
      </c>
      <c r="AC278" s="4" t="s">
        <v>182</v>
      </c>
      <c r="AD278" s="4">
        <v>0.9</v>
      </c>
      <c r="AE278" s="4">
        <v>0.5</v>
      </c>
      <c r="AF278" s="4">
        <v>0.6</v>
      </c>
      <c r="AG278" s="4">
        <v>0.99</v>
      </c>
      <c r="AH278" s="4">
        <v>757.51367200000004</v>
      </c>
      <c r="AI278" s="4">
        <v>1.2E-2</v>
      </c>
      <c r="AJ278" s="5"/>
      <c r="AK278" s="5"/>
      <c r="AL278" s="5"/>
      <c r="AM278" s="5"/>
      <c r="AO278" s="4" t="s">
        <v>183</v>
      </c>
      <c r="AP278" s="4">
        <v>0.9</v>
      </c>
      <c r="AQ278" s="4">
        <v>0.5</v>
      </c>
      <c r="AR278" s="4">
        <v>0.6</v>
      </c>
      <c r="AS278" s="4">
        <v>0.3</v>
      </c>
      <c r="AT278" s="4">
        <v>1057.515625</v>
      </c>
      <c r="AU278" s="4">
        <v>1.0999999999999999E-2</v>
      </c>
      <c r="AW278" s="4" t="s">
        <v>183</v>
      </c>
      <c r="AX278" s="4">
        <v>0.9</v>
      </c>
      <c r="AY278" s="4">
        <v>0.5</v>
      </c>
      <c r="AZ278" s="4">
        <v>0.6</v>
      </c>
      <c r="BA278" s="4">
        <v>0.17</v>
      </c>
      <c r="BB278" s="6">
        <v>1017.561279</v>
      </c>
      <c r="BC278" s="4">
        <v>2.7E-2</v>
      </c>
      <c r="BD278" s="5"/>
      <c r="BE278" s="5"/>
      <c r="BF278" s="5"/>
      <c r="BG278" s="5"/>
      <c r="BI278" s="4" t="s">
        <v>183</v>
      </c>
      <c r="BJ278" s="4">
        <v>0.9</v>
      </c>
      <c r="BK278" s="4">
        <v>0.5</v>
      </c>
      <c r="BL278" s="4">
        <v>0.6</v>
      </c>
      <c r="BM278" s="4">
        <v>0.3</v>
      </c>
      <c r="BN278" s="4">
        <v>1067.8366699999999</v>
      </c>
      <c r="BO278" s="4">
        <v>7.0000000000000001E-3</v>
      </c>
      <c r="BQ278" s="4" t="s">
        <v>183</v>
      </c>
      <c r="BR278" s="4">
        <v>0.9</v>
      </c>
      <c r="BS278" s="4">
        <v>0.5</v>
      </c>
      <c r="BT278" s="4">
        <v>0.6</v>
      </c>
      <c r="BU278" s="4">
        <v>0.19</v>
      </c>
      <c r="BV278" s="6">
        <v>1013.749634</v>
      </c>
      <c r="BW278" s="4">
        <v>2.5999999999999999E-2</v>
      </c>
      <c r="BX278" s="5"/>
      <c r="BY278" s="5"/>
      <c r="BZ278" s="5"/>
      <c r="CA278" s="5"/>
    </row>
    <row r="279" spans="1:79" x14ac:dyDescent="0.3">
      <c r="A279" s="4" t="s">
        <v>184</v>
      </c>
      <c r="B279" s="4">
        <v>0.9</v>
      </c>
      <c r="C279" s="4">
        <v>0.5</v>
      </c>
      <c r="D279" s="4">
        <v>0.6</v>
      </c>
      <c r="E279" s="4">
        <v>0.3</v>
      </c>
      <c r="F279" s="6">
        <v>639.90045199999997</v>
      </c>
      <c r="G279" s="4">
        <v>2E-3</v>
      </c>
      <c r="I279" s="4" t="s">
        <v>184</v>
      </c>
      <c r="J279" s="4">
        <v>0.9</v>
      </c>
      <c r="K279" s="4">
        <v>0.5</v>
      </c>
      <c r="L279" s="4">
        <v>0.6</v>
      </c>
      <c r="M279" s="4">
        <v>0.68</v>
      </c>
      <c r="N279" s="4">
        <v>737.65130599999998</v>
      </c>
      <c r="O279" s="4">
        <v>1.7999999999999999E-2</v>
      </c>
      <c r="P279" s="5"/>
      <c r="Q279" s="5"/>
      <c r="R279" s="5"/>
      <c r="S279" s="5"/>
      <c r="U279" s="4" t="s">
        <v>184</v>
      </c>
      <c r="V279" s="4">
        <v>0.9</v>
      </c>
      <c r="W279" s="4">
        <v>0.5</v>
      </c>
      <c r="X279" s="4">
        <v>0.6</v>
      </c>
      <c r="Y279" s="4">
        <v>0.3</v>
      </c>
      <c r="Z279" s="6">
        <v>644.26946999999996</v>
      </c>
      <c r="AA279" s="4">
        <v>2E-3</v>
      </c>
      <c r="AC279" s="4" t="s">
        <v>184</v>
      </c>
      <c r="AD279" s="4">
        <v>0.9</v>
      </c>
      <c r="AE279" s="4">
        <v>0.5</v>
      </c>
      <c r="AF279" s="4">
        <v>0.6</v>
      </c>
      <c r="AG279" s="4">
        <v>0.38</v>
      </c>
      <c r="AH279" s="4">
        <v>679.06036400000005</v>
      </c>
      <c r="AI279" s="4">
        <v>1.2999999999999999E-2</v>
      </c>
      <c r="AJ279" s="5"/>
      <c r="AK279" s="5"/>
      <c r="AL279" s="5"/>
      <c r="AM279" s="5"/>
      <c r="AO279" s="4" t="s">
        <v>185</v>
      </c>
      <c r="AP279" s="4">
        <v>0.9</v>
      </c>
      <c r="AQ279" s="4">
        <v>0.5</v>
      </c>
      <c r="AR279" s="4">
        <v>0.6</v>
      </c>
      <c r="AS279" s="4">
        <v>0.3</v>
      </c>
      <c r="AT279" s="6">
        <v>1029.994751</v>
      </c>
      <c r="AU279" s="4">
        <v>1.2999999999999999E-2</v>
      </c>
      <c r="AW279" s="4" t="s">
        <v>185</v>
      </c>
      <c r="AX279" s="4">
        <v>0.9</v>
      </c>
      <c r="AY279" s="4">
        <v>0.5</v>
      </c>
      <c r="AZ279" s="4">
        <v>0.6</v>
      </c>
      <c r="BA279" s="4">
        <v>0.6</v>
      </c>
      <c r="BB279" s="4">
        <v>1232.194336</v>
      </c>
      <c r="BC279" s="4">
        <v>1.9E-2</v>
      </c>
      <c r="BD279" s="5"/>
      <c r="BE279" s="5"/>
      <c r="BF279" s="5"/>
      <c r="BG279" s="5"/>
      <c r="BI279" s="4" t="s">
        <v>185</v>
      </c>
      <c r="BJ279" s="4">
        <v>0.9</v>
      </c>
      <c r="BK279" s="4">
        <v>0.5</v>
      </c>
      <c r="BL279" s="4">
        <v>0.6</v>
      </c>
      <c r="BM279" s="4">
        <v>0.3</v>
      </c>
      <c r="BN279" s="4">
        <v>1023.047791</v>
      </c>
      <c r="BO279" s="4">
        <v>7.0000000000000001E-3</v>
      </c>
      <c r="BQ279" s="4" t="s">
        <v>185</v>
      </c>
      <c r="BR279" s="4">
        <v>0.9</v>
      </c>
      <c r="BS279" s="4">
        <v>0.5</v>
      </c>
      <c r="BT279" s="4">
        <v>0.6</v>
      </c>
      <c r="BU279" s="4">
        <v>0.08</v>
      </c>
      <c r="BV279" s="6">
        <v>830.90258800000004</v>
      </c>
      <c r="BW279" s="4">
        <v>1.7000000000000001E-2</v>
      </c>
      <c r="BX279" s="5"/>
      <c r="BY279" s="5"/>
      <c r="BZ279" s="5"/>
      <c r="CA279" s="5"/>
    </row>
    <row r="280" spans="1:79" x14ac:dyDescent="0.3">
      <c r="A280" s="4" t="s">
        <v>186</v>
      </c>
      <c r="B280" s="4">
        <v>0.9</v>
      </c>
      <c r="C280" s="4">
        <v>0.5</v>
      </c>
      <c r="D280" s="4">
        <v>0.6</v>
      </c>
      <c r="E280" s="4">
        <v>0.3</v>
      </c>
      <c r="F280" s="6">
        <v>760.58868399999994</v>
      </c>
      <c r="G280" s="4">
        <v>2E-3</v>
      </c>
      <c r="I280" s="4" t="s">
        <v>186</v>
      </c>
      <c r="J280" s="4">
        <v>0.9</v>
      </c>
      <c r="K280" s="4">
        <v>0.5</v>
      </c>
      <c r="L280" s="4">
        <v>0.6</v>
      </c>
      <c r="M280" s="4">
        <v>0.28999999999999998</v>
      </c>
      <c r="N280" s="4">
        <v>772.33270300000004</v>
      </c>
      <c r="O280" s="4">
        <v>3.5000000000000003E-2</v>
      </c>
      <c r="P280" s="5"/>
      <c r="Q280" s="5"/>
      <c r="R280" s="5"/>
      <c r="S280" s="5"/>
      <c r="U280" s="4" t="s">
        <v>186</v>
      </c>
      <c r="V280" s="4">
        <v>0.9</v>
      </c>
      <c r="W280" s="4">
        <v>0.5</v>
      </c>
      <c r="X280" s="4">
        <v>0.6</v>
      </c>
      <c r="Y280" s="4">
        <v>0.3</v>
      </c>
      <c r="Z280" s="6">
        <v>758.42913799999997</v>
      </c>
      <c r="AA280" s="4">
        <v>2E-3</v>
      </c>
      <c r="AC280" s="4" t="s">
        <v>186</v>
      </c>
      <c r="AD280" s="4">
        <v>0.9</v>
      </c>
      <c r="AE280" s="4">
        <v>0.5</v>
      </c>
      <c r="AF280" s="4">
        <v>0.6</v>
      </c>
      <c r="AG280" s="4">
        <v>0.34</v>
      </c>
      <c r="AH280" s="4">
        <v>787.134277</v>
      </c>
      <c r="AI280" s="4">
        <v>6.0000000000000001E-3</v>
      </c>
      <c r="AJ280" s="5"/>
      <c r="AK280" s="5"/>
      <c r="AL280" s="5"/>
      <c r="AM280" s="5"/>
      <c r="AO280" s="4" t="s">
        <v>187</v>
      </c>
      <c r="AP280" s="4">
        <v>0.9</v>
      </c>
      <c r="AQ280" s="4">
        <v>0.5</v>
      </c>
      <c r="AR280" s="4">
        <v>0.6</v>
      </c>
      <c r="AS280" s="4">
        <v>0.3</v>
      </c>
      <c r="AT280" s="4">
        <v>1133.8686520000001</v>
      </c>
      <c r="AU280" s="4">
        <v>1.0999999999999999E-2</v>
      </c>
      <c r="AW280" s="4" t="s">
        <v>187</v>
      </c>
      <c r="AX280" s="4">
        <v>0.9</v>
      </c>
      <c r="AY280" s="4">
        <v>0.5</v>
      </c>
      <c r="AZ280" s="4">
        <v>0.6</v>
      </c>
      <c r="BA280" s="4">
        <v>0.22</v>
      </c>
      <c r="BB280" s="6">
        <v>1095.1170649999999</v>
      </c>
      <c r="BC280" s="4">
        <v>1.7999999999999999E-2</v>
      </c>
      <c r="BD280" s="5"/>
      <c r="BE280" s="5"/>
      <c r="BF280" s="5"/>
      <c r="BG280" s="5"/>
      <c r="BI280" s="4" t="s">
        <v>187</v>
      </c>
      <c r="BJ280" s="4">
        <v>0.9</v>
      </c>
      <c r="BK280" s="4">
        <v>0.5</v>
      </c>
      <c r="BL280" s="4">
        <v>0.6</v>
      </c>
      <c r="BM280" s="4">
        <v>0.3</v>
      </c>
      <c r="BN280" s="6">
        <v>1149.111572</v>
      </c>
      <c r="BO280" s="4">
        <v>8.0000000000000002E-3</v>
      </c>
      <c r="BQ280" s="4" t="s">
        <v>187</v>
      </c>
      <c r="BR280" s="4">
        <v>0.9</v>
      </c>
      <c r="BS280" s="4">
        <v>0.5</v>
      </c>
      <c r="BT280" s="4">
        <v>0.6</v>
      </c>
      <c r="BU280" s="4">
        <v>0.51</v>
      </c>
      <c r="BV280" s="4">
        <v>1271.6999510000001</v>
      </c>
      <c r="BW280" s="4">
        <v>2.7E-2</v>
      </c>
      <c r="BX280" s="5"/>
      <c r="BY280" s="5"/>
      <c r="BZ280" s="5"/>
      <c r="CA280" s="5"/>
    </row>
    <row r="281" spans="1:79" x14ac:dyDescent="0.3">
      <c r="A281" s="4" t="s">
        <v>188</v>
      </c>
      <c r="B281" s="4">
        <v>0.9</v>
      </c>
      <c r="C281" s="4">
        <v>0.5</v>
      </c>
      <c r="D281" s="4">
        <v>0.6</v>
      </c>
      <c r="E281" s="4">
        <v>0.3</v>
      </c>
      <c r="F281" s="6">
        <v>695.56366000000003</v>
      </c>
      <c r="G281" s="4">
        <v>2E-3</v>
      </c>
      <c r="I281" s="4" t="s">
        <v>188</v>
      </c>
      <c r="J281" s="4">
        <v>0.9</v>
      </c>
      <c r="K281" s="4">
        <v>0.5</v>
      </c>
      <c r="L281" s="4">
        <v>0.6</v>
      </c>
      <c r="M281" s="4">
        <v>0.54</v>
      </c>
      <c r="N281" s="4">
        <v>772.46093800000006</v>
      </c>
      <c r="O281" s="4">
        <v>1.7999999999999999E-2</v>
      </c>
      <c r="P281" s="5"/>
      <c r="Q281" s="5"/>
      <c r="R281" s="5"/>
      <c r="S281" s="5"/>
      <c r="U281" s="4" t="s">
        <v>188</v>
      </c>
      <c r="V281" s="4">
        <v>0.9</v>
      </c>
      <c r="W281" s="4">
        <v>0.5</v>
      </c>
      <c r="X281" s="4">
        <v>0.6</v>
      </c>
      <c r="Y281" s="4">
        <v>0.3</v>
      </c>
      <c r="Z281" s="4">
        <v>674.33642599999996</v>
      </c>
      <c r="AA281" s="4">
        <v>2E-3</v>
      </c>
      <c r="AC281" s="4" t="s">
        <v>188</v>
      </c>
      <c r="AD281" s="4">
        <v>0.9</v>
      </c>
      <c r="AE281" s="4">
        <v>0.5</v>
      </c>
      <c r="AF281" s="4">
        <v>0.6</v>
      </c>
      <c r="AG281" s="4">
        <v>7.0000000000000007E-2</v>
      </c>
      <c r="AH281" s="6">
        <v>650.521118</v>
      </c>
      <c r="AI281" s="4">
        <v>1.4999999999999999E-2</v>
      </c>
      <c r="AJ281" s="5"/>
      <c r="AK281" s="5"/>
      <c r="AL281" s="5"/>
      <c r="AM281" s="5"/>
      <c r="AO281" s="4" t="s">
        <v>189</v>
      </c>
      <c r="AP281" s="4">
        <v>0.9</v>
      </c>
      <c r="AQ281" s="4">
        <v>0.5</v>
      </c>
      <c r="AR281" s="4">
        <v>0.6</v>
      </c>
      <c r="AS281" s="4">
        <v>0.3</v>
      </c>
      <c r="AT281" s="6">
        <v>1004.11145</v>
      </c>
      <c r="AU281" s="4">
        <v>0.01</v>
      </c>
      <c r="AW281" s="4" t="s">
        <v>189</v>
      </c>
      <c r="AX281" s="4">
        <v>0.9</v>
      </c>
      <c r="AY281" s="4">
        <v>0.5</v>
      </c>
      <c r="AZ281" s="4">
        <v>0.6</v>
      </c>
      <c r="BA281" s="4">
        <v>0.84</v>
      </c>
      <c r="BB281" s="4">
        <v>1256.3354489999999</v>
      </c>
      <c r="BC281" s="4">
        <v>0.02</v>
      </c>
      <c r="BD281" s="5"/>
      <c r="BE281" s="5"/>
      <c r="BF281" s="5"/>
      <c r="BG281" s="5"/>
      <c r="BI281" s="4" t="s">
        <v>189</v>
      </c>
      <c r="BJ281" s="4">
        <v>0.9</v>
      </c>
      <c r="BK281" s="4">
        <v>0.5</v>
      </c>
      <c r="BL281" s="4">
        <v>0.6</v>
      </c>
      <c r="BM281" s="4">
        <v>0.3</v>
      </c>
      <c r="BN281" s="6">
        <v>996.77612299999998</v>
      </c>
      <c r="BO281" s="4">
        <v>6.0000000000000001E-3</v>
      </c>
      <c r="BQ281" s="4" t="s">
        <v>189</v>
      </c>
      <c r="BR281" s="4">
        <v>0.9</v>
      </c>
      <c r="BS281" s="4">
        <v>0.5</v>
      </c>
      <c r="BT281" s="4">
        <v>0.6</v>
      </c>
      <c r="BU281" s="4">
        <v>0.32</v>
      </c>
      <c r="BV281" s="4">
        <v>997.12127699999996</v>
      </c>
      <c r="BW281" s="4">
        <v>1.6E-2</v>
      </c>
      <c r="BX281" s="5"/>
      <c r="BY281" s="5"/>
      <c r="BZ281" s="5"/>
      <c r="CA281" s="5"/>
    </row>
    <row r="282" spans="1:79" x14ac:dyDescent="0.3">
      <c r="A282" s="4" t="s">
        <v>190</v>
      </c>
      <c r="B282" s="4">
        <v>0.9</v>
      </c>
      <c r="C282" s="4">
        <v>0.5</v>
      </c>
      <c r="D282" s="4">
        <v>0.6</v>
      </c>
      <c r="E282" s="4">
        <v>0.3</v>
      </c>
      <c r="F282" s="6">
        <v>667.17370600000004</v>
      </c>
      <c r="G282" s="4">
        <v>2E-3</v>
      </c>
      <c r="I282" s="4" t="s">
        <v>190</v>
      </c>
      <c r="J282" s="4">
        <v>0.9</v>
      </c>
      <c r="K282" s="4">
        <v>0.5</v>
      </c>
      <c r="L282" s="4">
        <v>0.6</v>
      </c>
      <c r="M282" s="4">
        <v>0.61</v>
      </c>
      <c r="N282" s="4">
        <v>732.98584000000005</v>
      </c>
      <c r="O282" s="4">
        <v>3.5000000000000003E-2</v>
      </c>
      <c r="P282" s="5"/>
      <c r="Q282" s="5"/>
      <c r="R282" s="5"/>
      <c r="S282" s="5"/>
      <c r="U282" s="4" t="s">
        <v>190</v>
      </c>
      <c r="V282" s="4">
        <v>0.9</v>
      </c>
      <c r="W282" s="4">
        <v>0.5</v>
      </c>
      <c r="X282" s="4">
        <v>0.6</v>
      </c>
      <c r="Y282" s="4">
        <v>0.3</v>
      </c>
      <c r="Z282" s="6">
        <v>650.27075200000002</v>
      </c>
      <c r="AA282" s="4">
        <v>2E-3</v>
      </c>
      <c r="AC282" s="4" t="s">
        <v>190</v>
      </c>
      <c r="AD282" s="4">
        <v>0.9</v>
      </c>
      <c r="AE282" s="4">
        <v>0.5</v>
      </c>
      <c r="AF282" s="4">
        <v>0.6</v>
      </c>
      <c r="AG282" s="4">
        <v>0.22</v>
      </c>
      <c r="AH282" s="4">
        <v>659.24395800000002</v>
      </c>
      <c r="AI282" s="4">
        <v>2.3E-2</v>
      </c>
      <c r="AJ282" s="5"/>
      <c r="AK282" s="5"/>
      <c r="AL282" s="5"/>
      <c r="AM282" s="5"/>
      <c r="AO282" s="4" t="s">
        <v>191</v>
      </c>
      <c r="AP282" s="4">
        <v>0.9</v>
      </c>
      <c r="AQ282" s="4">
        <v>0.5</v>
      </c>
      <c r="AR282" s="4">
        <v>0.6</v>
      </c>
      <c r="AS282" s="4">
        <v>0.3</v>
      </c>
      <c r="AT282" s="6">
        <v>1001.541687</v>
      </c>
      <c r="AU282" s="4">
        <v>8.9999999999999993E-3</v>
      </c>
      <c r="AW282" s="4" t="s">
        <v>191</v>
      </c>
      <c r="AX282" s="4">
        <v>0.9</v>
      </c>
      <c r="AY282" s="4">
        <v>0.5</v>
      </c>
      <c r="AZ282" s="4">
        <v>0.6</v>
      </c>
      <c r="BA282" s="4">
        <v>0.33</v>
      </c>
      <c r="BB282" s="4">
        <v>1004.008423</v>
      </c>
      <c r="BC282" s="4">
        <v>0.02</v>
      </c>
      <c r="BD282" s="5"/>
      <c r="BE282" s="5"/>
      <c r="BF282" s="5"/>
      <c r="BG282" s="5"/>
      <c r="BI282" s="4" t="s">
        <v>191</v>
      </c>
      <c r="BJ282" s="4">
        <v>0.9</v>
      </c>
      <c r="BK282" s="4">
        <v>0.5</v>
      </c>
      <c r="BL282" s="4">
        <v>0.6</v>
      </c>
      <c r="BM282" s="4">
        <v>0.3</v>
      </c>
      <c r="BN282" s="6">
        <v>985.70343000000003</v>
      </c>
      <c r="BO282" s="4">
        <v>7.0000000000000001E-3</v>
      </c>
      <c r="BQ282" s="4" t="s">
        <v>191</v>
      </c>
      <c r="BR282" s="4">
        <v>0.9</v>
      </c>
      <c r="BS282" s="4">
        <v>0.5</v>
      </c>
      <c r="BT282" s="4">
        <v>0.6</v>
      </c>
      <c r="BU282" s="4">
        <v>0.48</v>
      </c>
      <c r="BV282" s="4">
        <v>1103.6324460000001</v>
      </c>
      <c r="BW282" s="4">
        <v>2.5000000000000001E-2</v>
      </c>
      <c r="BX282" s="5"/>
      <c r="BY282" s="5"/>
      <c r="BZ282" s="5"/>
      <c r="CA282" s="5"/>
    </row>
    <row r="283" spans="1:79" x14ac:dyDescent="0.3">
      <c r="A283" s="4" t="s">
        <v>192</v>
      </c>
      <c r="B283" s="4">
        <v>0.9</v>
      </c>
      <c r="C283" s="4">
        <v>0.5</v>
      </c>
      <c r="D283" s="4">
        <v>0.6</v>
      </c>
      <c r="E283" s="4">
        <v>0.3</v>
      </c>
      <c r="F283" s="6">
        <v>773.48443599999996</v>
      </c>
      <c r="G283" s="4">
        <v>3.0000000000000001E-3</v>
      </c>
      <c r="I283" s="4" t="s">
        <v>192</v>
      </c>
      <c r="J283" s="4">
        <v>0.9</v>
      </c>
      <c r="K283" s="4">
        <v>0.5</v>
      </c>
      <c r="L283" s="4">
        <v>0.6</v>
      </c>
      <c r="M283" s="4">
        <v>0.59</v>
      </c>
      <c r="N283" s="4">
        <v>918.519409</v>
      </c>
      <c r="O283" s="4">
        <v>1.4E-2</v>
      </c>
      <c r="P283" s="5"/>
      <c r="Q283" s="5"/>
      <c r="R283" s="5"/>
      <c r="S283" s="5"/>
      <c r="U283" s="4" t="s">
        <v>192</v>
      </c>
      <c r="V283" s="4">
        <v>0.9</v>
      </c>
      <c r="W283" s="4">
        <v>0.5</v>
      </c>
      <c r="X283" s="4">
        <v>0.6</v>
      </c>
      <c r="Y283" s="4">
        <v>0.3</v>
      </c>
      <c r="Z283" s="6">
        <v>777.46905500000003</v>
      </c>
      <c r="AA283" s="4">
        <v>2E-3</v>
      </c>
      <c r="AC283" s="4" t="s">
        <v>192</v>
      </c>
      <c r="AD283" s="4">
        <v>0.9</v>
      </c>
      <c r="AE283" s="4">
        <v>0.5</v>
      </c>
      <c r="AF283" s="4">
        <v>0.6</v>
      </c>
      <c r="AG283" s="4">
        <v>0.86</v>
      </c>
      <c r="AH283" s="4">
        <v>969.93609600000002</v>
      </c>
      <c r="AI283" s="4">
        <v>2.4E-2</v>
      </c>
      <c r="AJ283" s="5"/>
      <c r="AK283" s="5"/>
      <c r="AL283" s="5"/>
      <c r="AM283" s="5"/>
      <c r="AO283" s="4" t="s">
        <v>193</v>
      </c>
      <c r="AP283" s="4">
        <v>0.9</v>
      </c>
      <c r="AQ283" s="4">
        <v>0.5</v>
      </c>
      <c r="AR283" s="4">
        <v>0.6</v>
      </c>
      <c r="AS283" s="4">
        <v>0.3</v>
      </c>
      <c r="AT283" s="6">
        <v>1097.972534</v>
      </c>
      <c r="AU283" s="4">
        <v>1.2E-2</v>
      </c>
      <c r="AW283" s="4" t="s">
        <v>193</v>
      </c>
      <c r="AX283" s="4">
        <v>0.9</v>
      </c>
      <c r="AY283" s="4">
        <v>0.5</v>
      </c>
      <c r="AZ283" s="4">
        <v>0.6</v>
      </c>
      <c r="BA283" s="4">
        <v>0.91</v>
      </c>
      <c r="BB283" s="4">
        <v>1345.402832</v>
      </c>
      <c r="BC283" s="4">
        <v>1.4E-2</v>
      </c>
      <c r="BD283" s="5"/>
      <c r="BE283" s="5"/>
      <c r="BF283" s="5"/>
      <c r="BG283" s="5"/>
      <c r="BI283" s="4" t="s">
        <v>193</v>
      </c>
      <c r="BJ283" s="4">
        <v>0.9</v>
      </c>
      <c r="BK283" s="4">
        <v>0.5</v>
      </c>
      <c r="BL283" s="4">
        <v>0.6</v>
      </c>
      <c r="BM283" s="4">
        <v>0.3</v>
      </c>
      <c r="BN283" s="4">
        <v>1086.8801269999999</v>
      </c>
      <c r="BO283" s="4">
        <v>7.0000000000000001E-3</v>
      </c>
      <c r="BQ283" s="4" t="s">
        <v>193</v>
      </c>
      <c r="BR283" s="4">
        <v>0.9</v>
      </c>
      <c r="BS283" s="4">
        <v>0.5</v>
      </c>
      <c r="BT283" s="4">
        <v>0.6</v>
      </c>
      <c r="BU283" s="4">
        <v>0.22</v>
      </c>
      <c r="BV283" s="6">
        <v>1047.727173</v>
      </c>
      <c r="BW283" s="4">
        <v>1.2999999999999999E-2</v>
      </c>
      <c r="BX283" s="5"/>
      <c r="BY283" s="5"/>
      <c r="BZ283" s="5"/>
      <c r="CA283" s="5"/>
    </row>
    <row r="284" spans="1:79" x14ac:dyDescent="0.3">
      <c r="A284" s="14" t="s">
        <v>316</v>
      </c>
      <c r="E284" s="14">
        <f>AVERAGE(E254:E283)</f>
        <v>0.3</v>
      </c>
      <c r="I284" s="14" t="s">
        <v>316</v>
      </c>
      <c r="M284" s="14">
        <f>AVERAGE(M254:M283)</f>
        <v>0.54766666666666652</v>
      </c>
      <c r="P284" s="5"/>
      <c r="Q284" s="5"/>
      <c r="R284" s="5"/>
      <c r="S284" s="5"/>
      <c r="U284" s="14" t="s">
        <v>316</v>
      </c>
      <c r="Y284" s="14">
        <f>AVERAGE(Y254:Y283)</f>
        <v>0.3</v>
      </c>
      <c r="AC284" s="14" t="s">
        <v>316</v>
      </c>
      <c r="AG284" s="14">
        <f>AVERAGE(AG254:AG283)</f>
        <v>0.54166666666666663</v>
      </c>
      <c r="AJ284" s="5"/>
      <c r="AK284" s="5"/>
      <c r="AL284" s="5"/>
      <c r="AM284" s="5"/>
      <c r="AO284" s="14" t="s">
        <v>316</v>
      </c>
      <c r="AS284" s="14">
        <f>AVERAGE(AS254:AS283)</f>
        <v>0.3</v>
      </c>
      <c r="AW284" s="14" t="s">
        <v>316</v>
      </c>
      <c r="BA284" s="14">
        <f>AVERAGE(BA254:BA283)</f>
        <v>0.49066666666666664</v>
      </c>
      <c r="BD284" s="5"/>
      <c r="BE284" s="5"/>
      <c r="BF284" s="5"/>
      <c r="BG284" s="5"/>
      <c r="BI284" s="14" t="s">
        <v>316</v>
      </c>
      <c r="BM284" s="14">
        <f>AVERAGE(BM254:BM283)</f>
        <v>0.3</v>
      </c>
      <c r="BQ284" s="14" t="s">
        <v>316</v>
      </c>
      <c r="BU284" s="14">
        <f>AVERAGE(BU254:BU283)</f>
        <v>0.51066666666666671</v>
      </c>
      <c r="BX284" s="5"/>
      <c r="BY284" s="5"/>
      <c r="BZ284" s="5"/>
      <c r="CA284" s="5"/>
    </row>
    <row r="285" spans="1:79" x14ac:dyDescent="0.3">
      <c r="P285" s="5"/>
      <c r="Q285" s="5"/>
      <c r="R285" s="5"/>
      <c r="S285" s="5"/>
      <c r="AJ285" s="5"/>
      <c r="AK285" s="5"/>
      <c r="AL285" s="5"/>
      <c r="AM285" s="5"/>
      <c r="BD285" s="5"/>
      <c r="BE285" s="5"/>
      <c r="BF285" s="5"/>
      <c r="BG285" s="5"/>
      <c r="BX285" s="5"/>
      <c r="BY285" s="5"/>
      <c r="BZ285" s="5"/>
      <c r="CA285" s="5"/>
    </row>
    <row r="286" spans="1:79" x14ac:dyDescent="0.3">
      <c r="P286" s="5"/>
      <c r="Q286" s="5"/>
      <c r="R286" s="5"/>
      <c r="S286" s="5"/>
      <c r="AJ286" s="5"/>
      <c r="AK286" s="5"/>
      <c r="AL286" s="5"/>
      <c r="AM286" s="5"/>
      <c r="BD286" s="5"/>
      <c r="BE286" s="5"/>
      <c r="BF286" s="5"/>
      <c r="BG286" s="5"/>
      <c r="BX286" s="5"/>
      <c r="BY286" s="5"/>
      <c r="BZ286" s="5"/>
      <c r="CA286" s="5"/>
    </row>
    <row r="287" spans="1:79" x14ac:dyDescent="0.3">
      <c r="A287" s="23" t="s">
        <v>314</v>
      </c>
      <c r="B287" s="23"/>
      <c r="C287" s="23"/>
      <c r="D287" s="23"/>
      <c r="E287" s="23"/>
      <c r="F287" s="23"/>
      <c r="G287" s="23"/>
      <c r="I287" s="24" t="s">
        <v>314</v>
      </c>
      <c r="J287" s="25"/>
      <c r="K287" s="25"/>
      <c r="L287" s="25"/>
      <c r="M287" s="25"/>
      <c r="N287" s="25"/>
      <c r="O287" s="26"/>
      <c r="P287" s="11"/>
      <c r="Q287" s="11"/>
      <c r="R287" s="11"/>
      <c r="S287" s="11"/>
      <c r="U287" s="23" t="s">
        <v>314</v>
      </c>
      <c r="V287" s="23"/>
      <c r="W287" s="23"/>
      <c r="X287" s="23"/>
      <c r="Y287" s="23"/>
      <c r="Z287" s="23"/>
      <c r="AA287" s="23"/>
      <c r="AC287" s="24" t="s">
        <v>314</v>
      </c>
      <c r="AD287" s="25"/>
      <c r="AE287" s="25"/>
      <c r="AF287" s="25"/>
      <c r="AG287" s="25"/>
      <c r="AH287" s="25"/>
      <c r="AI287" s="26"/>
      <c r="AJ287" s="11"/>
      <c r="AK287" s="11"/>
      <c r="AL287" s="11"/>
      <c r="AM287" s="11"/>
      <c r="AO287" s="23" t="s">
        <v>314</v>
      </c>
      <c r="AP287" s="23"/>
      <c r="AQ287" s="23"/>
      <c r="AR287" s="23"/>
      <c r="AS287" s="23"/>
      <c r="AT287" s="23"/>
      <c r="AU287" s="23"/>
      <c r="AW287" s="23" t="s">
        <v>314</v>
      </c>
      <c r="AX287" s="23"/>
      <c r="AY287" s="23"/>
      <c r="AZ287" s="23"/>
      <c r="BA287" s="23"/>
      <c r="BB287" s="23"/>
      <c r="BC287" s="23"/>
      <c r="BD287" s="11"/>
      <c r="BE287" s="11"/>
      <c r="BF287" s="11"/>
      <c r="BG287" s="11"/>
      <c r="BI287" s="23" t="s">
        <v>314</v>
      </c>
      <c r="BJ287" s="23"/>
      <c r="BK287" s="23"/>
      <c r="BL287" s="23"/>
      <c r="BM287" s="23"/>
      <c r="BN287" s="23"/>
      <c r="BO287" s="23"/>
      <c r="BQ287" s="24" t="s">
        <v>314</v>
      </c>
      <c r="BR287" s="25"/>
      <c r="BS287" s="25"/>
      <c r="BT287" s="25"/>
      <c r="BU287" s="25"/>
      <c r="BV287" s="25"/>
      <c r="BW287" s="26"/>
      <c r="BX287" s="11"/>
      <c r="BY287" s="11"/>
      <c r="BZ287" s="11"/>
      <c r="CA287" s="11"/>
    </row>
    <row r="288" spans="1:79" x14ac:dyDescent="0.3">
      <c r="A288" s="24" t="s">
        <v>72</v>
      </c>
      <c r="B288" s="25"/>
      <c r="C288" s="25"/>
      <c r="D288" s="25"/>
      <c r="E288" s="25"/>
      <c r="F288" s="25"/>
      <c r="G288" s="26"/>
      <c r="I288" s="4" t="s">
        <v>72</v>
      </c>
      <c r="J288" s="4"/>
      <c r="K288" s="4"/>
      <c r="L288" s="4"/>
      <c r="M288" s="4"/>
      <c r="N288" s="4"/>
      <c r="O288" s="4"/>
      <c r="P288" s="11"/>
      <c r="Q288" s="11"/>
      <c r="R288" s="11"/>
      <c r="S288" s="11"/>
      <c r="U288" s="4" t="s">
        <v>73</v>
      </c>
      <c r="V288" s="4"/>
      <c r="W288" s="4"/>
      <c r="X288" s="4"/>
      <c r="Y288" s="4"/>
      <c r="Z288" s="4"/>
      <c r="AA288" s="4"/>
      <c r="AC288" s="4" t="s">
        <v>73</v>
      </c>
      <c r="AD288" s="4"/>
      <c r="AE288" s="4"/>
      <c r="AF288" s="4"/>
      <c r="AG288" s="4"/>
      <c r="AH288" s="4"/>
      <c r="AI288" s="4"/>
      <c r="AJ288" s="11"/>
      <c r="AK288" s="11"/>
      <c r="AL288" s="11"/>
      <c r="AM288" s="11"/>
      <c r="AO288" s="4" t="s">
        <v>72</v>
      </c>
      <c r="AP288" s="4"/>
      <c r="AQ288" s="4"/>
      <c r="AR288" s="4"/>
      <c r="AS288" s="4"/>
      <c r="AT288" s="4"/>
      <c r="AU288" s="4"/>
      <c r="AW288" s="4" t="s">
        <v>72</v>
      </c>
      <c r="AX288" s="4"/>
      <c r="AY288" s="4"/>
      <c r="AZ288" s="4"/>
      <c r="BA288" s="4"/>
      <c r="BB288" s="4"/>
      <c r="BC288" s="4"/>
      <c r="BD288" s="11"/>
      <c r="BE288" s="11"/>
      <c r="BF288" s="11"/>
      <c r="BG288" s="11"/>
      <c r="BI288" s="4" t="s">
        <v>73</v>
      </c>
      <c r="BJ288" s="4"/>
      <c r="BK288" s="4"/>
      <c r="BL288" s="4"/>
      <c r="BM288" s="4"/>
      <c r="BN288" s="4"/>
      <c r="BO288" s="4"/>
      <c r="BQ288" s="4" t="s">
        <v>73</v>
      </c>
      <c r="BR288" s="4"/>
      <c r="BS288" s="4"/>
      <c r="BT288" s="4"/>
      <c r="BU288" s="4"/>
      <c r="BV288" s="4"/>
      <c r="BW288" s="4"/>
      <c r="BX288" s="11"/>
      <c r="BY288" s="11"/>
      <c r="BZ288" s="11"/>
      <c r="CA288" s="11"/>
    </row>
    <row r="289" spans="1:79" x14ac:dyDescent="0.3">
      <c r="A289" s="4" t="s">
        <v>2</v>
      </c>
      <c r="B289" s="4" t="s">
        <v>3</v>
      </c>
      <c r="C289" s="4" t="s">
        <v>4</v>
      </c>
      <c r="D289" s="4" t="s">
        <v>5</v>
      </c>
      <c r="E289" s="4" t="s">
        <v>6</v>
      </c>
      <c r="F289" s="4" t="s">
        <v>7</v>
      </c>
      <c r="G289" s="4" t="s">
        <v>8</v>
      </c>
      <c r="I289" s="4" t="s">
        <v>2</v>
      </c>
      <c r="J289" s="4" t="s">
        <v>3</v>
      </c>
      <c r="K289" s="4" t="s">
        <v>4</v>
      </c>
      <c r="L289" s="4" t="s">
        <v>5</v>
      </c>
      <c r="M289" s="4" t="s">
        <v>6</v>
      </c>
      <c r="N289" s="4" t="s">
        <v>7</v>
      </c>
      <c r="O289" s="4" t="s">
        <v>8</v>
      </c>
      <c r="P289" s="3" t="s">
        <v>322</v>
      </c>
      <c r="Q289" s="3" t="s">
        <v>323</v>
      </c>
      <c r="R289" s="3" t="s">
        <v>322</v>
      </c>
      <c r="S289" s="3" t="s">
        <v>323</v>
      </c>
      <c r="U289" s="4" t="s">
        <v>2</v>
      </c>
      <c r="V289" s="4" t="s">
        <v>3</v>
      </c>
      <c r="W289" s="4" t="s">
        <v>4</v>
      </c>
      <c r="X289" s="4" t="s">
        <v>5</v>
      </c>
      <c r="Y289" s="4" t="s">
        <v>6</v>
      </c>
      <c r="Z289" s="4" t="s">
        <v>7</v>
      </c>
      <c r="AA289" s="4" t="s">
        <v>8</v>
      </c>
      <c r="AC289" s="4" t="s">
        <v>2</v>
      </c>
      <c r="AD289" s="4" t="s">
        <v>3</v>
      </c>
      <c r="AE289" s="4" t="s">
        <v>4</v>
      </c>
      <c r="AF289" s="4" t="s">
        <v>5</v>
      </c>
      <c r="AG289" s="4" t="s">
        <v>6</v>
      </c>
      <c r="AH289" s="4" t="s">
        <v>7</v>
      </c>
      <c r="AI289" s="4" t="s">
        <v>8</v>
      </c>
      <c r="AJ289" s="3" t="s">
        <v>322</v>
      </c>
      <c r="AK289" s="3" t="s">
        <v>323</v>
      </c>
      <c r="AL289" s="3" t="s">
        <v>322</v>
      </c>
      <c r="AM289" s="3" t="s">
        <v>323</v>
      </c>
      <c r="AO289" s="4" t="s">
        <v>2</v>
      </c>
      <c r="AP289" s="4" t="s">
        <v>3</v>
      </c>
      <c r="AQ289" s="4" t="s">
        <v>4</v>
      </c>
      <c r="AR289" s="4" t="s">
        <v>5</v>
      </c>
      <c r="AS289" s="4" t="s">
        <v>6</v>
      </c>
      <c r="AT289" s="4" t="s">
        <v>7</v>
      </c>
      <c r="AU289" s="4" t="s">
        <v>8</v>
      </c>
      <c r="AW289" s="4" t="s">
        <v>2</v>
      </c>
      <c r="AX289" s="4" t="s">
        <v>3</v>
      </c>
      <c r="AY289" s="4" t="s">
        <v>4</v>
      </c>
      <c r="AZ289" s="4" t="s">
        <v>5</v>
      </c>
      <c r="BA289" s="4" t="s">
        <v>6</v>
      </c>
      <c r="BB289" s="4" t="s">
        <v>7</v>
      </c>
      <c r="BC289" s="4" t="s">
        <v>8</v>
      </c>
      <c r="BD289" s="3" t="s">
        <v>322</v>
      </c>
      <c r="BE289" s="3" t="s">
        <v>323</v>
      </c>
      <c r="BF289" s="3" t="s">
        <v>322</v>
      </c>
      <c r="BG289" s="3" t="s">
        <v>323</v>
      </c>
      <c r="BI289" s="4" t="s">
        <v>2</v>
      </c>
      <c r="BJ289" s="4" t="s">
        <v>3</v>
      </c>
      <c r="BK289" s="4" t="s">
        <v>4</v>
      </c>
      <c r="BL289" s="4" t="s">
        <v>5</v>
      </c>
      <c r="BM289" s="4" t="s">
        <v>6</v>
      </c>
      <c r="BN289" s="4" t="s">
        <v>7</v>
      </c>
      <c r="BO289" s="4" t="s">
        <v>8</v>
      </c>
      <c r="BQ289" s="4" t="s">
        <v>2</v>
      </c>
      <c r="BR289" s="4" t="s">
        <v>3</v>
      </c>
      <c r="BS289" s="4" t="s">
        <v>4</v>
      </c>
      <c r="BT289" s="4" t="s">
        <v>5</v>
      </c>
      <c r="BU289" s="4" t="s">
        <v>6</v>
      </c>
      <c r="BV289" s="4" t="s">
        <v>7</v>
      </c>
      <c r="BW289" s="4" t="s">
        <v>8</v>
      </c>
      <c r="BX289" s="3" t="s">
        <v>322</v>
      </c>
      <c r="BY289" s="3" t="s">
        <v>323</v>
      </c>
      <c r="BZ289" s="3" t="s">
        <v>322</v>
      </c>
      <c r="CA289" s="3" t="s">
        <v>323</v>
      </c>
    </row>
    <row r="290" spans="1:79" x14ac:dyDescent="0.3">
      <c r="A290" s="4" t="s">
        <v>134</v>
      </c>
      <c r="B290" s="4">
        <v>0.9</v>
      </c>
      <c r="C290" s="4">
        <v>0.5</v>
      </c>
      <c r="D290" s="4">
        <v>0.6</v>
      </c>
      <c r="E290" s="4">
        <v>0.3</v>
      </c>
      <c r="F290" s="4">
        <v>607.80249000000003</v>
      </c>
      <c r="G290" s="4">
        <v>1E-3</v>
      </c>
      <c r="I290" s="4" t="s">
        <v>134</v>
      </c>
      <c r="J290" s="4">
        <v>0.9</v>
      </c>
      <c r="K290" s="4">
        <v>0.5</v>
      </c>
      <c r="L290" s="4">
        <v>0.6</v>
      </c>
      <c r="M290" s="4">
        <v>0.01</v>
      </c>
      <c r="N290" s="6">
        <v>599.87524399999995</v>
      </c>
      <c r="O290" s="4">
        <v>1.7000000000000001E-2</v>
      </c>
      <c r="P290" s="4" t="s">
        <v>324</v>
      </c>
      <c r="Q290" s="4" t="s">
        <v>324</v>
      </c>
      <c r="R290" s="4" t="s">
        <v>327</v>
      </c>
      <c r="S290" s="4" t="s">
        <v>327</v>
      </c>
      <c r="U290" s="4" t="s">
        <v>134</v>
      </c>
      <c r="V290" s="4">
        <v>0.9</v>
      </c>
      <c r="W290" s="4">
        <v>0.5</v>
      </c>
      <c r="X290" s="4">
        <v>0.6</v>
      </c>
      <c r="Y290" s="4">
        <v>0.3</v>
      </c>
      <c r="Z290" s="4">
        <v>591.97027600000001</v>
      </c>
      <c r="AA290" s="4">
        <v>2E-3</v>
      </c>
      <c r="AC290" s="4" t="s">
        <v>134</v>
      </c>
      <c r="AD290" s="4">
        <v>0.9</v>
      </c>
      <c r="AE290" s="4">
        <v>0.5</v>
      </c>
      <c r="AF290" s="4">
        <v>0.6</v>
      </c>
      <c r="AG290" s="4">
        <v>0.01</v>
      </c>
      <c r="AH290" s="6">
        <v>588.34466599999996</v>
      </c>
      <c r="AI290" s="4">
        <v>2.1000000000000001E-2</v>
      </c>
      <c r="AJ290" s="4" t="s">
        <v>324</v>
      </c>
      <c r="AK290" s="4" t="s">
        <v>324</v>
      </c>
      <c r="AL290" s="4" t="s">
        <v>327</v>
      </c>
      <c r="AM290" s="4" t="s">
        <v>327</v>
      </c>
      <c r="AO290" s="4" t="s">
        <v>135</v>
      </c>
      <c r="AP290" s="4">
        <v>0.9</v>
      </c>
      <c r="AQ290" s="4">
        <v>0.5</v>
      </c>
      <c r="AR290" s="4">
        <v>0.6</v>
      </c>
      <c r="AS290" s="4">
        <v>0.3</v>
      </c>
      <c r="AT290" s="4">
        <v>793.36767599999996</v>
      </c>
      <c r="AU290" s="4">
        <v>7.0000000000000001E-3</v>
      </c>
      <c r="AW290" s="4" t="s">
        <v>135</v>
      </c>
      <c r="AX290" s="4">
        <v>0.9</v>
      </c>
      <c r="AY290" s="4">
        <v>0.5</v>
      </c>
      <c r="AZ290" s="4">
        <v>0.6</v>
      </c>
      <c r="BA290" s="4">
        <v>0.01</v>
      </c>
      <c r="BB290" s="6">
        <v>716.35314900000003</v>
      </c>
      <c r="BC290" s="4">
        <v>0.02</v>
      </c>
      <c r="BD290" s="4" t="s">
        <v>324</v>
      </c>
      <c r="BE290" s="4" t="s">
        <v>324</v>
      </c>
      <c r="BF290" s="4" t="s">
        <v>327</v>
      </c>
      <c r="BG290" s="4" t="s">
        <v>327</v>
      </c>
      <c r="BI290" s="4" t="s">
        <v>135</v>
      </c>
      <c r="BJ290" s="4">
        <v>0.9</v>
      </c>
      <c r="BK290" s="4">
        <v>0.5</v>
      </c>
      <c r="BL290" s="4">
        <v>0.6</v>
      </c>
      <c r="BM290" s="4">
        <v>0.3</v>
      </c>
      <c r="BN290" s="4">
        <v>776.23455799999999</v>
      </c>
      <c r="BO290" s="4">
        <v>8.0000000000000002E-3</v>
      </c>
      <c r="BQ290" s="4" t="s">
        <v>135</v>
      </c>
      <c r="BR290" s="4">
        <v>0.9</v>
      </c>
      <c r="BS290" s="4">
        <v>0.5</v>
      </c>
      <c r="BT290" s="4">
        <v>0.6</v>
      </c>
      <c r="BU290" s="4">
        <v>0.01</v>
      </c>
      <c r="BV290" s="6">
        <v>703.35192900000004</v>
      </c>
      <c r="BW290" s="4">
        <v>0.02</v>
      </c>
      <c r="BX290" s="4" t="s">
        <v>324</v>
      </c>
      <c r="BY290" s="4" t="s">
        <v>324</v>
      </c>
      <c r="BZ290" s="4" t="s">
        <v>327</v>
      </c>
      <c r="CA290" s="4" t="s">
        <v>327</v>
      </c>
    </row>
    <row r="291" spans="1:79" x14ac:dyDescent="0.3">
      <c r="A291" s="4" t="s">
        <v>136</v>
      </c>
      <c r="B291" s="4">
        <v>0.9</v>
      </c>
      <c r="C291" s="4">
        <v>0.5</v>
      </c>
      <c r="D291" s="4">
        <v>0.6</v>
      </c>
      <c r="E291" s="4">
        <v>0.3</v>
      </c>
      <c r="F291" s="6">
        <v>543.58019999999999</v>
      </c>
      <c r="G291" s="4">
        <v>1E-3</v>
      </c>
      <c r="I291" s="4" t="s">
        <v>136</v>
      </c>
      <c r="J291" s="4">
        <v>0.9</v>
      </c>
      <c r="K291" s="4">
        <v>0.5</v>
      </c>
      <c r="L291" s="4">
        <v>0.6</v>
      </c>
      <c r="M291" s="4">
        <v>0.86</v>
      </c>
      <c r="N291" s="4">
        <v>588.854736</v>
      </c>
      <c r="O291" s="4">
        <v>0.02</v>
      </c>
      <c r="P291" s="3">
        <f>COUNT(F291,F294:F298,F300:F301,F305:F314,F318:F319)</f>
        <v>20</v>
      </c>
      <c r="Q291" s="3">
        <f>30-P291</f>
        <v>10</v>
      </c>
      <c r="R291" s="3">
        <f>COUNT(N290,N292:N293,N299,N302:N304,N315:N317)</f>
        <v>10</v>
      </c>
      <c r="S291" s="3">
        <f>30-R291</f>
        <v>20</v>
      </c>
      <c r="U291" s="4" t="s">
        <v>136</v>
      </c>
      <c r="V291" s="4">
        <v>0.9</v>
      </c>
      <c r="W291" s="4">
        <v>0.5</v>
      </c>
      <c r="X291" s="4">
        <v>0.6</v>
      </c>
      <c r="Y291" s="4">
        <v>0.3</v>
      </c>
      <c r="Z291" s="4">
        <v>527.18621800000005</v>
      </c>
      <c r="AA291" s="4">
        <v>2E-3</v>
      </c>
      <c r="AC291" s="4" t="s">
        <v>136</v>
      </c>
      <c r="AD291" s="4">
        <v>0.9</v>
      </c>
      <c r="AE291" s="4">
        <v>0.5</v>
      </c>
      <c r="AF291" s="4">
        <v>0.6</v>
      </c>
      <c r="AG291" s="4">
        <v>0.2</v>
      </c>
      <c r="AH291" s="6">
        <v>511.52551299999999</v>
      </c>
      <c r="AI291" s="4">
        <v>1.6E-2</v>
      </c>
      <c r="AJ291" s="3">
        <f>COUNT(Z292:Z301,Z303,Z306,Z308,Z310:Z319)</f>
        <v>23</v>
      </c>
      <c r="AK291" s="3">
        <f>30-AJ291</f>
        <v>7</v>
      </c>
      <c r="AL291" s="3">
        <f>COUNT(AH290:AH291,AH302,AH304:AH305,AH307,AH309)</f>
        <v>7</v>
      </c>
      <c r="AM291" s="3">
        <f>30-AL291</f>
        <v>23</v>
      </c>
      <c r="AO291" s="4" t="s">
        <v>137</v>
      </c>
      <c r="AP291" s="4">
        <v>0.9</v>
      </c>
      <c r="AQ291" s="4">
        <v>0.5</v>
      </c>
      <c r="AR291" s="4">
        <v>0.6</v>
      </c>
      <c r="AS291" s="4">
        <v>0.3</v>
      </c>
      <c r="AT291" s="6">
        <v>865.50488299999995</v>
      </c>
      <c r="AU291" s="4">
        <v>0.01</v>
      </c>
      <c r="AW291" s="4" t="s">
        <v>137</v>
      </c>
      <c r="AX291" s="4">
        <v>0.9</v>
      </c>
      <c r="AY291" s="4">
        <v>0.5</v>
      </c>
      <c r="AZ291" s="4">
        <v>0.6</v>
      </c>
      <c r="BA291" s="4">
        <v>0.94</v>
      </c>
      <c r="BB291" s="4">
        <v>1058.2014160000001</v>
      </c>
      <c r="BC291" s="4">
        <v>1.4999999999999999E-2</v>
      </c>
      <c r="BD291" s="3">
        <f>COUNT(AT291,AT293:AT303,AT305:AT310,AT312,AT314:AT316,AT318)</f>
        <v>23</v>
      </c>
      <c r="BE291" s="3">
        <f>30-BD291</f>
        <v>7</v>
      </c>
      <c r="BF291" s="3">
        <f>COUNT(BB290,BB292,BB304,BB311,BB313,BB317,BB319)</f>
        <v>7</v>
      </c>
      <c r="BG291" s="3">
        <f>30-BF291</f>
        <v>23</v>
      </c>
      <c r="BI291" s="4" t="s">
        <v>137</v>
      </c>
      <c r="BJ291" s="4">
        <v>0.9</v>
      </c>
      <c r="BK291" s="4">
        <v>0.5</v>
      </c>
      <c r="BL291" s="4">
        <v>0.6</v>
      </c>
      <c r="BM291" s="4">
        <v>0.3</v>
      </c>
      <c r="BN291" s="4">
        <v>860.05987500000003</v>
      </c>
      <c r="BO291" s="4">
        <v>8.0000000000000002E-3</v>
      </c>
      <c r="BQ291" s="4" t="s">
        <v>137</v>
      </c>
      <c r="BR291" s="4">
        <v>0.9</v>
      </c>
      <c r="BS291" s="4">
        <v>0.5</v>
      </c>
      <c r="BT291" s="4">
        <v>0.6</v>
      </c>
      <c r="BU291" s="4">
        <v>0.03</v>
      </c>
      <c r="BV291" s="6">
        <v>725.99591099999998</v>
      </c>
      <c r="BW291" s="4">
        <v>4.9000000000000002E-2</v>
      </c>
      <c r="BX291" s="3">
        <f>COUNT(BN292,BN295:BN296,BN298:BN299,BN301:BN305,BN307,BN309,BN311,BN314:BN315,BN318:BN319)</f>
        <v>17</v>
      </c>
      <c r="BY291" s="3">
        <f>30-BX291</f>
        <v>13</v>
      </c>
      <c r="BZ291" s="3">
        <f>COUNT(BV290:BV291,BV293:BV294,BV297,BV300,BV306,BV308,BV310,BV312:BV313,BV316:BV317)</f>
        <v>13</v>
      </c>
      <c r="CA291" s="3">
        <f>30-BZ291</f>
        <v>17</v>
      </c>
    </row>
    <row r="292" spans="1:79" x14ac:dyDescent="0.3">
      <c r="A292" s="4" t="s">
        <v>138</v>
      </c>
      <c r="B292" s="4">
        <v>0.9</v>
      </c>
      <c r="C292" s="4">
        <v>0.5</v>
      </c>
      <c r="D292" s="4">
        <v>0.6</v>
      </c>
      <c r="E292" s="4">
        <v>0.3</v>
      </c>
      <c r="F292" s="4">
        <v>609.14862100000005</v>
      </c>
      <c r="G292" s="4">
        <v>2E-3</v>
      </c>
      <c r="I292" s="4" t="s">
        <v>138</v>
      </c>
      <c r="J292" s="4">
        <v>0.9</v>
      </c>
      <c r="K292" s="4">
        <v>0.5</v>
      </c>
      <c r="L292" s="4">
        <v>0.6</v>
      </c>
      <c r="M292" s="4">
        <v>0.15</v>
      </c>
      <c r="N292" s="6">
        <v>590.714294</v>
      </c>
      <c r="O292" s="4">
        <v>2.1000000000000001E-2</v>
      </c>
      <c r="P292" s="5"/>
      <c r="Q292" s="5"/>
      <c r="R292" s="5"/>
      <c r="S292" s="5"/>
      <c r="U292" s="4" t="s">
        <v>138</v>
      </c>
      <c r="V292" s="4">
        <v>0.9</v>
      </c>
      <c r="W292" s="4">
        <v>0.5</v>
      </c>
      <c r="X292" s="4">
        <v>0.6</v>
      </c>
      <c r="Y292" s="4">
        <v>0.3</v>
      </c>
      <c r="Z292" s="6">
        <v>602.66760299999999</v>
      </c>
      <c r="AA292" s="4">
        <v>2E-3</v>
      </c>
      <c r="AC292" s="4" t="s">
        <v>138</v>
      </c>
      <c r="AD292" s="4">
        <v>0.9</v>
      </c>
      <c r="AE292" s="4">
        <v>0.5</v>
      </c>
      <c r="AF292" s="4">
        <v>0.6</v>
      </c>
      <c r="AG292" s="4">
        <v>0.34</v>
      </c>
      <c r="AH292" s="4">
        <v>614.344604</v>
      </c>
      <c r="AI292" s="4">
        <v>1.6E-2</v>
      </c>
      <c r="AJ292" s="5"/>
      <c r="AK292" s="5"/>
      <c r="AL292" s="5"/>
      <c r="AM292" s="5"/>
      <c r="AO292" s="4" t="s">
        <v>139</v>
      </c>
      <c r="AP292" s="4">
        <v>0.9</v>
      </c>
      <c r="AQ292" s="4">
        <v>0.5</v>
      </c>
      <c r="AR292" s="4">
        <v>0.6</v>
      </c>
      <c r="AS292" s="4">
        <v>0.3</v>
      </c>
      <c r="AT292" s="4">
        <v>897.87896699999999</v>
      </c>
      <c r="AU292" s="4">
        <v>8.9999999999999993E-3</v>
      </c>
      <c r="AW292" s="4" t="s">
        <v>139</v>
      </c>
      <c r="AX292" s="4">
        <v>0.9</v>
      </c>
      <c r="AY292" s="4">
        <v>0.5</v>
      </c>
      <c r="AZ292" s="4">
        <v>0.6</v>
      </c>
      <c r="BA292" s="4">
        <v>0.15</v>
      </c>
      <c r="BB292" s="6">
        <v>834.441956</v>
      </c>
      <c r="BC292" s="4">
        <v>2.8000000000000001E-2</v>
      </c>
      <c r="BD292" s="5"/>
      <c r="BE292" s="5"/>
      <c r="BF292" s="5"/>
      <c r="BG292" s="5"/>
      <c r="BI292" s="4" t="s">
        <v>139</v>
      </c>
      <c r="BJ292" s="4">
        <v>0.9</v>
      </c>
      <c r="BK292" s="4">
        <v>0.5</v>
      </c>
      <c r="BL292" s="4">
        <v>0.6</v>
      </c>
      <c r="BM292" s="4">
        <v>0.3</v>
      </c>
      <c r="BN292" s="6">
        <v>899.84265100000005</v>
      </c>
      <c r="BO292" s="4">
        <v>6.0000000000000001E-3</v>
      </c>
      <c r="BQ292" s="4" t="s">
        <v>139</v>
      </c>
      <c r="BR292" s="4">
        <v>0.9</v>
      </c>
      <c r="BS292" s="4">
        <v>0.5</v>
      </c>
      <c r="BT292" s="4">
        <v>0.6</v>
      </c>
      <c r="BU292" s="4">
        <v>0.42</v>
      </c>
      <c r="BV292" s="4">
        <v>946.74774200000002</v>
      </c>
      <c r="BW292" s="4">
        <v>2.1999999999999999E-2</v>
      </c>
      <c r="BX292" s="5"/>
      <c r="BY292" s="5"/>
      <c r="BZ292" s="5"/>
      <c r="CA292" s="5"/>
    </row>
    <row r="293" spans="1:79" x14ac:dyDescent="0.3">
      <c r="A293" s="4" t="s">
        <v>140</v>
      </c>
      <c r="B293" s="4">
        <v>0.9</v>
      </c>
      <c r="C293" s="4">
        <v>0.5</v>
      </c>
      <c r="D293" s="4">
        <v>0.6</v>
      </c>
      <c r="E293" s="4">
        <v>0.3</v>
      </c>
      <c r="F293" s="4">
        <v>596.95281999999997</v>
      </c>
      <c r="G293" s="4">
        <v>1E-3</v>
      </c>
      <c r="I293" s="4" t="s">
        <v>140</v>
      </c>
      <c r="J293" s="4">
        <v>0.9</v>
      </c>
      <c r="K293" s="4">
        <v>0.5</v>
      </c>
      <c r="L293" s="4">
        <v>0.6</v>
      </c>
      <c r="M293" s="4">
        <v>0.15</v>
      </c>
      <c r="N293" s="6">
        <v>584.35754399999996</v>
      </c>
      <c r="O293" s="4">
        <v>1.4999999999999999E-2</v>
      </c>
      <c r="P293" s="5"/>
      <c r="Q293" s="5"/>
      <c r="R293" s="5"/>
      <c r="S293" s="5"/>
      <c r="U293" s="4" t="s">
        <v>140</v>
      </c>
      <c r="V293" s="4">
        <v>0.9</v>
      </c>
      <c r="W293" s="4">
        <v>0.5</v>
      </c>
      <c r="X293" s="4">
        <v>0.6</v>
      </c>
      <c r="Y293" s="4">
        <v>0.3</v>
      </c>
      <c r="Z293" s="6">
        <v>588.49896200000001</v>
      </c>
      <c r="AA293" s="4">
        <v>1.0999999999999999E-2</v>
      </c>
      <c r="AC293" s="4" t="s">
        <v>140</v>
      </c>
      <c r="AD293" s="4">
        <v>0.9</v>
      </c>
      <c r="AE293" s="4">
        <v>0.5</v>
      </c>
      <c r="AF293" s="4">
        <v>0.6</v>
      </c>
      <c r="AG293" s="4">
        <v>0.79</v>
      </c>
      <c r="AH293" s="4">
        <v>694.71868900000004</v>
      </c>
      <c r="AI293" s="4">
        <v>8.9999999999999993E-3</v>
      </c>
      <c r="AJ293" s="5"/>
      <c r="AK293" s="5"/>
      <c r="AL293" s="5"/>
      <c r="AM293" s="5"/>
      <c r="AO293" s="4" t="s">
        <v>141</v>
      </c>
      <c r="AP293" s="4">
        <v>0.9</v>
      </c>
      <c r="AQ293" s="4">
        <v>0.5</v>
      </c>
      <c r="AR293" s="4">
        <v>0.6</v>
      </c>
      <c r="AS293" s="4">
        <v>0.3</v>
      </c>
      <c r="AT293" s="6">
        <v>952.30480999999997</v>
      </c>
      <c r="AU293" s="4">
        <v>6.0000000000000001E-3</v>
      </c>
      <c r="AW293" s="4" t="s">
        <v>141</v>
      </c>
      <c r="AX293" s="4">
        <v>0.9</v>
      </c>
      <c r="AY293" s="4">
        <v>0.5</v>
      </c>
      <c r="AZ293" s="4">
        <v>0.6</v>
      </c>
      <c r="BA293" s="4">
        <v>0.5</v>
      </c>
      <c r="BB293" s="4">
        <v>1017.619568</v>
      </c>
      <c r="BC293" s="4">
        <v>2.4E-2</v>
      </c>
      <c r="BD293" s="5"/>
      <c r="BE293" s="5"/>
      <c r="BF293" s="5"/>
      <c r="BG293" s="5"/>
      <c r="BI293" s="4" t="s">
        <v>141</v>
      </c>
      <c r="BJ293" s="4">
        <v>0.9</v>
      </c>
      <c r="BK293" s="4">
        <v>0.5</v>
      </c>
      <c r="BL293" s="4">
        <v>0.6</v>
      </c>
      <c r="BM293" s="4">
        <v>0.3</v>
      </c>
      <c r="BN293" s="4">
        <v>942.00305200000003</v>
      </c>
      <c r="BO293" s="4">
        <v>8.9999999999999993E-3</v>
      </c>
      <c r="BQ293" s="4" t="s">
        <v>141</v>
      </c>
      <c r="BR293" s="4">
        <v>0.9</v>
      </c>
      <c r="BS293" s="4">
        <v>0.5</v>
      </c>
      <c r="BT293" s="4">
        <v>0.6</v>
      </c>
      <c r="BU293" s="4">
        <v>0.14000000000000001</v>
      </c>
      <c r="BV293" s="6">
        <v>862.33111599999995</v>
      </c>
      <c r="BW293" s="4">
        <v>2.5000000000000001E-2</v>
      </c>
      <c r="BX293" s="5"/>
      <c r="BY293" s="5"/>
      <c r="BZ293" s="5"/>
      <c r="CA293" s="5"/>
    </row>
    <row r="294" spans="1:79" x14ac:dyDescent="0.3">
      <c r="A294" s="4" t="s">
        <v>142</v>
      </c>
      <c r="B294" s="4">
        <v>0.9</v>
      </c>
      <c r="C294" s="4">
        <v>0.5</v>
      </c>
      <c r="D294" s="4">
        <v>0.6</v>
      </c>
      <c r="E294" s="4">
        <v>0.3</v>
      </c>
      <c r="F294" s="6">
        <v>533.50683600000002</v>
      </c>
      <c r="G294" s="4">
        <v>1E-3</v>
      </c>
      <c r="I294" s="4" t="s">
        <v>142</v>
      </c>
      <c r="J294" s="4">
        <v>0.9</v>
      </c>
      <c r="K294" s="4">
        <v>0.5</v>
      </c>
      <c r="L294" s="4">
        <v>0.6</v>
      </c>
      <c r="M294" s="4">
        <v>0.28000000000000003</v>
      </c>
      <c r="N294" s="4">
        <v>545.78381300000001</v>
      </c>
      <c r="O294" s="4">
        <v>1.6E-2</v>
      </c>
      <c r="P294" s="5"/>
      <c r="Q294" s="5"/>
      <c r="R294" s="5"/>
      <c r="S294" s="5"/>
      <c r="U294" s="4" t="s">
        <v>142</v>
      </c>
      <c r="V294" s="4">
        <v>0.9</v>
      </c>
      <c r="W294" s="4">
        <v>0.5</v>
      </c>
      <c r="X294" s="4">
        <v>0.6</v>
      </c>
      <c r="Y294" s="4">
        <v>0.3</v>
      </c>
      <c r="Z294" s="6">
        <v>495.536224</v>
      </c>
      <c r="AA294" s="4">
        <v>1E-3</v>
      </c>
      <c r="AC294" s="4" t="s">
        <v>142</v>
      </c>
      <c r="AD294" s="4">
        <v>0.9</v>
      </c>
      <c r="AE294" s="4">
        <v>0.5</v>
      </c>
      <c r="AF294" s="4">
        <v>0.6</v>
      </c>
      <c r="AG294" s="4">
        <v>7.0000000000000007E-2</v>
      </c>
      <c r="AH294" s="4">
        <v>499.19107100000002</v>
      </c>
      <c r="AI294" s="4">
        <v>4.0000000000000001E-3</v>
      </c>
      <c r="AJ294" s="5"/>
      <c r="AK294" s="5"/>
      <c r="AL294" s="5"/>
      <c r="AM294" s="5"/>
      <c r="AO294" s="4" t="s">
        <v>143</v>
      </c>
      <c r="AP294" s="4">
        <v>0.9</v>
      </c>
      <c r="AQ294" s="4">
        <v>0.5</v>
      </c>
      <c r="AR294" s="4">
        <v>0.6</v>
      </c>
      <c r="AS294" s="4">
        <v>0.3</v>
      </c>
      <c r="AT294" s="6">
        <v>894.67608600000005</v>
      </c>
      <c r="AU294" s="4">
        <v>7.0000000000000001E-3</v>
      </c>
      <c r="AW294" s="4" t="s">
        <v>143</v>
      </c>
      <c r="AX294" s="4">
        <v>0.9</v>
      </c>
      <c r="AY294" s="4">
        <v>0.5</v>
      </c>
      <c r="AZ294" s="4">
        <v>0.6</v>
      </c>
      <c r="BA294" s="4">
        <v>0.87</v>
      </c>
      <c r="BB294" s="4">
        <v>1032.3248289999999</v>
      </c>
      <c r="BC294" s="4">
        <v>1.7999999999999999E-2</v>
      </c>
      <c r="BD294" s="5"/>
      <c r="BE294" s="5"/>
      <c r="BF294" s="5"/>
      <c r="BG294" s="5"/>
      <c r="BI294" s="4" t="s">
        <v>143</v>
      </c>
      <c r="BJ294" s="4">
        <v>0.9</v>
      </c>
      <c r="BK294" s="4">
        <v>0.5</v>
      </c>
      <c r="BL294" s="4">
        <v>0.6</v>
      </c>
      <c r="BM294" s="4">
        <v>0.3</v>
      </c>
      <c r="BN294" s="4">
        <v>867.90679899999998</v>
      </c>
      <c r="BO294" s="4">
        <v>6.0000000000000001E-3</v>
      </c>
      <c r="BQ294" s="4" t="s">
        <v>143</v>
      </c>
      <c r="BR294" s="4">
        <v>0.9</v>
      </c>
      <c r="BS294" s="4">
        <v>0.5</v>
      </c>
      <c r="BT294" s="4">
        <v>0.6</v>
      </c>
      <c r="BU294" s="4">
        <v>0.21</v>
      </c>
      <c r="BV294" s="6">
        <v>820.024719</v>
      </c>
      <c r="BW294" s="4">
        <v>2.5999999999999999E-2</v>
      </c>
      <c r="BX294" s="5"/>
      <c r="BY294" s="5"/>
      <c r="BZ294" s="5"/>
      <c r="CA294" s="5"/>
    </row>
    <row r="295" spans="1:79" x14ac:dyDescent="0.3">
      <c r="A295" s="4" t="s">
        <v>144</v>
      </c>
      <c r="B295" s="4">
        <v>0.9</v>
      </c>
      <c r="C295" s="4">
        <v>0.5</v>
      </c>
      <c r="D295" s="4">
        <v>0.6</v>
      </c>
      <c r="E295" s="4">
        <v>0.3</v>
      </c>
      <c r="F295" s="6">
        <v>621.29754600000001</v>
      </c>
      <c r="G295" s="4">
        <v>1E-3</v>
      </c>
      <c r="I295" s="4" t="s">
        <v>144</v>
      </c>
      <c r="J295" s="4">
        <v>0.9</v>
      </c>
      <c r="K295" s="4">
        <v>0.5</v>
      </c>
      <c r="L295" s="4">
        <v>0.6</v>
      </c>
      <c r="M295" s="4">
        <v>0.8</v>
      </c>
      <c r="N295" s="4">
        <v>694.78851299999997</v>
      </c>
      <c r="O295" s="4">
        <v>1.7000000000000001E-2</v>
      </c>
      <c r="P295" s="5"/>
      <c r="Q295" s="5"/>
      <c r="R295" s="5"/>
      <c r="S295" s="5"/>
      <c r="U295" s="4" t="s">
        <v>144</v>
      </c>
      <c r="V295" s="4">
        <v>0.9</v>
      </c>
      <c r="W295" s="4">
        <v>0.5</v>
      </c>
      <c r="X295" s="4">
        <v>0.6</v>
      </c>
      <c r="Y295" s="4">
        <v>0.3</v>
      </c>
      <c r="Z295" s="6">
        <v>609.12786900000003</v>
      </c>
      <c r="AA295" s="4">
        <v>1E-3</v>
      </c>
      <c r="AC295" s="4" t="s">
        <v>144</v>
      </c>
      <c r="AD295" s="4">
        <v>0.9</v>
      </c>
      <c r="AE295" s="4">
        <v>0.5</v>
      </c>
      <c r="AF295" s="4">
        <v>0.6</v>
      </c>
      <c r="AG295" s="4">
        <v>0.44</v>
      </c>
      <c r="AH295" s="4">
        <v>644.75647000000004</v>
      </c>
      <c r="AI295" s="4">
        <v>1.9E-2</v>
      </c>
      <c r="AJ295" s="5"/>
      <c r="AK295" s="5"/>
      <c r="AL295" s="5"/>
      <c r="AM295" s="5"/>
      <c r="AO295" s="4" t="s">
        <v>145</v>
      </c>
      <c r="AP295" s="4">
        <v>0.9</v>
      </c>
      <c r="AQ295" s="4">
        <v>0.5</v>
      </c>
      <c r="AR295" s="4">
        <v>0.6</v>
      </c>
      <c r="AS295" s="4">
        <v>0.3</v>
      </c>
      <c r="AT295" s="6">
        <v>888.05981399999996</v>
      </c>
      <c r="AU295" s="4">
        <v>6.0000000000000001E-3</v>
      </c>
      <c r="AW295" s="4" t="s">
        <v>145</v>
      </c>
      <c r="AX295" s="4">
        <v>0.9</v>
      </c>
      <c r="AY295" s="4">
        <v>0.5</v>
      </c>
      <c r="AZ295" s="4">
        <v>0.6</v>
      </c>
      <c r="BA295" s="4">
        <v>0.8</v>
      </c>
      <c r="BB295" s="4">
        <v>1064.786499</v>
      </c>
      <c r="BC295" s="4">
        <v>1.6E-2</v>
      </c>
      <c r="BD295" s="5"/>
      <c r="BE295" s="5"/>
      <c r="BF295" s="5"/>
      <c r="BG295" s="5"/>
      <c r="BI295" s="4" t="s">
        <v>145</v>
      </c>
      <c r="BJ295" s="4">
        <v>0.9</v>
      </c>
      <c r="BK295" s="4">
        <v>0.5</v>
      </c>
      <c r="BL295" s="4">
        <v>0.6</v>
      </c>
      <c r="BM295" s="4">
        <v>0.3</v>
      </c>
      <c r="BN295" s="6">
        <v>874.24951199999998</v>
      </c>
      <c r="BO295" s="4">
        <v>8.0000000000000002E-3</v>
      </c>
      <c r="BQ295" s="4" t="s">
        <v>145</v>
      </c>
      <c r="BR295" s="4">
        <v>0.9</v>
      </c>
      <c r="BS295" s="4">
        <v>0.5</v>
      </c>
      <c r="BT295" s="4">
        <v>0.6</v>
      </c>
      <c r="BU295" s="4">
        <v>0.34</v>
      </c>
      <c r="BV295" s="4">
        <v>924.56622300000004</v>
      </c>
      <c r="BW295" s="4">
        <v>1.7999999999999999E-2</v>
      </c>
      <c r="BX295" s="5"/>
      <c r="BY295" s="5"/>
      <c r="BZ295" s="5"/>
      <c r="CA295" s="5"/>
    </row>
    <row r="296" spans="1:79" x14ac:dyDescent="0.3">
      <c r="A296" s="4" t="s">
        <v>146</v>
      </c>
      <c r="B296" s="4">
        <v>0.9</v>
      </c>
      <c r="C296" s="4">
        <v>0.5</v>
      </c>
      <c r="D296" s="4">
        <v>0.6</v>
      </c>
      <c r="E296" s="4">
        <v>0.3</v>
      </c>
      <c r="F296" s="6">
        <v>550.74993900000004</v>
      </c>
      <c r="G296" s="4">
        <v>1E-3</v>
      </c>
      <c r="I296" s="4" t="s">
        <v>146</v>
      </c>
      <c r="J296" s="4">
        <v>0.9</v>
      </c>
      <c r="K296" s="4">
        <v>0.5</v>
      </c>
      <c r="L296" s="4">
        <v>0.6</v>
      </c>
      <c r="M296" s="4">
        <v>0.84</v>
      </c>
      <c r="N296" s="4">
        <v>634.11102300000005</v>
      </c>
      <c r="O296" s="4">
        <v>1.9E-2</v>
      </c>
      <c r="P296" s="5"/>
      <c r="Q296" s="5"/>
      <c r="R296" s="5"/>
      <c r="S296" s="5"/>
      <c r="U296" s="4" t="s">
        <v>146</v>
      </c>
      <c r="V296" s="4">
        <v>0.9</v>
      </c>
      <c r="W296" s="4">
        <v>0.5</v>
      </c>
      <c r="X296" s="4">
        <v>0.6</v>
      </c>
      <c r="Y296" s="4">
        <v>0.3</v>
      </c>
      <c r="Z296" s="6">
        <v>538.41711399999997</v>
      </c>
      <c r="AA296" s="4">
        <v>2E-3</v>
      </c>
      <c r="AC296" s="4" t="s">
        <v>146</v>
      </c>
      <c r="AD296" s="4">
        <v>0.9</v>
      </c>
      <c r="AE296" s="4">
        <v>0.5</v>
      </c>
      <c r="AF296" s="4">
        <v>0.6</v>
      </c>
      <c r="AG296" s="4">
        <v>0.39</v>
      </c>
      <c r="AH296" s="4">
        <v>573.92974900000002</v>
      </c>
      <c r="AI296" s="4">
        <v>0.03</v>
      </c>
      <c r="AJ296" s="5"/>
      <c r="AK296" s="5"/>
      <c r="AL296" s="5"/>
      <c r="AM296" s="5"/>
      <c r="AO296" s="4" t="s">
        <v>147</v>
      </c>
      <c r="AP296" s="4">
        <v>0.9</v>
      </c>
      <c r="AQ296" s="4">
        <v>0.5</v>
      </c>
      <c r="AR296" s="4">
        <v>0.6</v>
      </c>
      <c r="AS296" s="4">
        <v>0.3</v>
      </c>
      <c r="AT296" s="6">
        <v>865.25726299999997</v>
      </c>
      <c r="AU296" s="4">
        <v>0.01</v>
      </c>
      <c r="AW296" s="4" t="s">
        <v>147</v>
      </c>
      <c r="AX296" s="4">
        <v>0.9</v>
      </c>
      <c r="AY296" s="4">
        <v>0.5</v>
      </c>
      <c r="AZ296" s="4">
        <v>0.6</v>
      </c>
      <c r="BA296" s="4">
        <v>0.82</v>
      </c>
      <c r="BB296" s="4">
        <v>1025.697754</v>
      </c>
      <c r="BC296" s="4">
        <v>1.4E-2</v>
      </c>
      <c r="BD296" s="5"/>
      <c r="BE296" s="5"/>
      <c r="BF296" s="5"/>
      <c r="BG296" s="5"/>
      <c r="BI296" s="4" t="s">
        <v>147</v>
      </c>
      <c r="BJ296" s="4">
        <v>0.9</v>
      </c>
      <c r="BK296" s="4">
        <v>0.5</v>
      </c>
      <c r="BL296" s="4">
        <v>0.6</v>
      </c>
      <c r="BM296" s="4">
        <v>0.3</v>
      </c>
      <c r="BN296" s="6">
        <v>844.38079800000003</v>
      </c>
      <c r="BO296" s="4">
        <v>6.0000000000000001E-3</v>
      </c>
      <c r="BQ296" s="4" t="s">
        <v>147</v>
      </c>
      <c r="BR296" s="4">
        <v>0.9</v>
      </c>
      <c r="BS296" s="4">
        <v>0.5</v>
      </c>
      <c r="BT296" s="4">
        <v>0.6</v>
      </c>
      <c r="BU296" s="4">
        <v>0.79</v>
      </c>
      <c r="BV296" s="4">
        <v>1006.799622</v>
      </c>
      <c r="BW296" s="4">
        <v>4.2999999999999997E-2</v>
      </c>
      <c r="BX296" s="5"/>
      <c r="BY296" s="5"/>
      <c r="BZ296" s="5"/>
      <c r="CA296" s="5"/>
    </row>
    <row r="297" spans="1:79" x14ac:dyDescent="0.3">
      <c r="A297" s="4" t="s">
        <v>148</v>
      </c>
      <c r="B297" s="4">
        <v>0.9</v>
      </c>
      <c r="C297" s="4">
        <v>0.5</v>
      </c>
      <c r="D297" s="4">
        <v>0.6</v>
      </c>
      <c r="E297" s="4">
        <v>0.3</v>
      </c>
      <c r="F297" s="6">
        <v>596.07830799999999</v>
      </c>
      <c r="G297" s="4">
        <v>1E-3</v>
      </c>
      <c r="I297" s="4" t="s">
        <v>148</v>
      </c>
      <c r="J297" s="4">
        <v>0.9</v>
      </c>
      <c r="K297" s="4">
        <v>0.5</v>
      </c>
      <c r="L297" s="4">
        <v>0.6</v>
      </c>
      <c r="M297" s="4">
        <v>0.24</v>
      </c>
      <c r="N297" s="4">
        <v>605.14807099999996</v>
      </c>
      <c r="O297" s="4">
        <v>1.4999999999999999E-2</v>
      </c>
      <c r="P297" s="5"/>
      <c r="Q297" s="5"/>
      <c r="R297" s="5"/>
      <c r="S297" s="5"/>
      <c r="U297" s="4" t="s">
        <v>148</v>
      </c>
      <c r="V297" s="4">
        <v>0.9</v>
      </c>
      <c r="W297" s="4">
        <v>0.5</v>
      </c>
      <c r="X297" s="4">
        <v>0.6</v>
      </c>
      <c r="Y297" s="4">
        <v>0.3</v>
      </c>
      <c r="Z297" s="6">
        <v>602.31835899999999</v>
      </c>
      <c r="AA297" s="4">
        <v>1E-3</v>
      </c>
      <c r="AC297" s="4" t="s">
        <v>148</v>
      </c>
      <c r="AD297" s="4">
        <v>0.9</v>
      </c>
      <c r="AE297" s="4">
        <v>0.5</v>
      </c>
      <c r="AF297" s="4">
        <v>0.6</v>
      </c>
      <c r="AG297" s="4">
        <v>0.88</v>
      </c>
      <c r="AH297" s="4">
        <v>681.82055700000001</v>
      </c>
      <c r="AI297" s="4">
        <v>1.6E-2</v>
      </c>
      <c r="AJ297" s="5"/>
      <c r="AK297" s="5"/>
      <c r="AL297" s="5"/>
      <c r="AM297" s="5"/>
      <c r="AO297" s="4" t="s">
        <v>149</v>
      </c>
      <c r="AP297" s="4">
        <v>0.9</v>
      </c>
      <c r="AQ297" s="4">
        <v>0.5</v>
      </c>
      <c r="AR297" s="4">
        <v>0.6</v>
      </c>
      <c r="AS297" s="4">
        <v>0.3</v>
      </c>
      <c r="AT297" s="6">
        <v>874.792236</v>
      </c>
      <c r="AU297" s="4">
        <v>7.0000000000000001E-3</v>
      </c>
      <c r="AW297" s="4" t="s">
        <v>149</v>
      </c>
      <c r="AX297" s="4">
        <v>0.9</v>
      </c>
      <c r="AY297" s="4">
        <v>0.5</v>
      </c>
      <c r="AZ297" s="4">
        <v>0.6</v>
      </c>
      <c r="BA297" s="4">
        <v>0.93</v>
      </c>
      <c r="BB297" s="4">
        <v>1015.722534</v>
      </c>
      <c r="BC297" s="4">
        <v>1.7000000000000001E-2</v>
      </c>
      <c r="BD297" s="5"/>
      <c r="BE297" s="5"/>
      <c r="BF297" s="5"/>
      <c r="BG297" s="5"/>
      <c r="BI297" s="4" t="s">
        <v>149</v>
      </c>
      <c r="BJ297" s="4">
        <v>0.9</v>
      </c>
      <c r="BK297" s="4">
        <v>0.5</v>
      </c>
      <c r="BL297" s="4">
        <v>0.6</v>
      </c>
      <c r="BM297" s="4">
        <v>0.3</v>
      </c>
      <c r="BN297" s="4">
        <v>857.71936000000005</v>
      </c>
      <c r="BO297" s="4">
        <v>5.0000000000000001E-3</v>
      </c>
      <c r="BQ297" s="4" t="s">
        <v>149</v>
      </c>
      <c r="BR297" s="4">
        <v>0.9</v>
      </c>
      <c r="BS297" s="4">
        <v>0.5</v>
      </c>
      <c r="BT297" s="4">
        <v>0.6</v>
      </c>
      <c r="BU297" s="4">
        <v>0.27</v>
      </c>
      <c r="BV297" s="6">
        <v>850.76495399999999</v>
      </c>
      <c r="BW297" s="4">
        <v>2.5999999999999999E-2</v>
      </c>
      <c r="BX297" s="5"/>
      <c r="BY297" s="5"/>
      <c r="BZ297" s="5"/>
      <c r="CA297" s="5"/>
    </row>
    <row r="298" spans="1:79" x14ac:dyDescent="0.3">
      <c r="A298" s="4" t="s">
        <v>150</v>
      </c>
      <c r="B298" s="4">
        <v>0.9</v>
      </c>
      <c r="C298" s="4">
        <v>0.5</v>
      </c>
      <c r="D298" s="4">
        <v>0.6</v>
      </c>
      <c r="E298" s="4">
        <v>0.3</v>
      </c>
      <c r="F298" s="6">
        <v>541.16216999999995</v>
      </c>
      <c r="G298" s="4">
        <v>1E-3</v>
      </c>
      <c r="I298" s="4" t="s">
        <v>150</v>
      </c>
      <c r="J298" s="4">
        <v>0.9</v>
      </c>
      <c r="K298" s="4">
        <v>0.5</v>
      </c>
      <c r="L298" s="4">
        <v>0.6</v>
      </c>
      <c r="M298" s="4">
        <v>0.74</v>
      </c>
      <c r="N298" s="4">
        <v>630.19695999999999</v>
      </c>
      <c r="O298" s="4">
        <v>2.7E-2</v>
      </c>
      <c r="P298" s="5"/>
      <c r="Q298" s="5"/>
      <c r="R298" s="5"/>
      <c r="S298" s="5"/>
      <c r="U298" s="4" t="s">
        <v>150</v>
      </c>
      <c r="V298" s="4">
        <v>0.9</v>
      </c>
      <c r="W298" s="4">
        <v>0.5</v>
      </c>
      <c r="X298" s="4">
        <v>0.6</v>
      </c>
      <c r="Y298" s="4">
        <v>0.3</v>
      </c>
      <c r="Z298" s="6">
        <v>521.92016599999999</v>
      </c>
      <c r="AA298" s="4">
        <v>1E-3</v>
      </c>
      <c r="AC298" s="4" t="s">
        <v>150</v>
      </c>
      <c r="AD298" s="4">
        <v>0.9</v>
      </c>
      <c r="AE298" s="4">
        <v>0.5</v>
      </c>
      <c r="AF298" s="4">
        <v>0.6</v>
      </c>
      <c r="AG298" s="4">
        <v>0.73</v>
      </c>
      <c r="AH298" s="4">
        <v>631.82049600000005</v>
      </c>
      <c r="AI298" s="4">
        <v>0.02</v>
      </c>
      <c r="AJ298" s="5"/>
      <c r="AK298" s="5"/>
      <c r="AL298" s="5"/>
      <c r="AM298" s="5"/>
      <c r="AO298" s="4" t="s">
        <v>151</v>
      </c>
      <c r="AP298" s="4">
        <v>0.9</v>
      </c>
      <c r="AQ298" s="4">
        <v>0.5</v>
      </c>
      <c r="AR298" s="4">
        <v>0.6</v>
      </c>
      <c r="AS298" s="4">
        <v>0.3</v>
      </c>
      <c r="AT298" s="6">
        <v>789.73742700000003</v>
      </c>
      <c r="AU298" s="4">
        <v>5.0000000000000001E-3</v>
      </c>
      <c r="AW298" s="4" t="s">
        <v>151</v>
      </c>
      <c r="AX298" s="4">
        <v>0.9</v>
      </c>
      <c r="AY298" s="4">
        <v>0.5</v>
      </c>
      <c r="AZ298" s="4">
        <v>0.6</v>
      </c>
      <c r="BA298" s="4">
        <v>0.34</v>
      </c>
      <c r="BB298" s="4">
        <v>830.20007299999997</v>
      </c>
      <c r="BC298" s="4">
        <v>2.5999999999999999E-2</v>
      </c>
      <c r="BD298" s="5"/>
      <c r="BE298" s="5"/>
      <c r="BF298" s="5"/>
      <c r="BG298" s="5"/>
      <c r="BI298" s="4" t="s">
        <v>151</v>
      </c>
      <c r="BJ298" s="4">
        <v>0.9</v>
      </c>
      <c r="BK298" s="4">
        <v>0.5</v>
      </c>
      <c r="BL298" s="4">
        <v>0.6</v>
      </c>
      <c r="BM298" s="4">
        <v>0.3</v>
      </c>
      <c r="BN298" s="6">
        <v>770.75048800000002</v>
      </c>
      <c r="BO298" s="4">
        <v>7.0000000000000001E-3</v>
      </c>
      <c r="BQ298" s="4" t="s">
        <v>151</v>
      </c>
      <c r="BR298" s="4">
        <v>0.9</v>
      </c>
      <c r="BS298" s="4">
        <v>0.5</v>
      </c>
      <c r="BT298" s="4">
        <v>0.6</v>
      </c>
      <c r="BU298" s="4">
        <v>0.77</v>
      </c>
      <c r="BV298" s="4">
        <v>946.919128</v>
      </c>
      <c r="BW298" s="4">
        <v>1.6E-2</v>
      </c>
      <c r="BX298" s="5"/>
      <c r="BY298" s="5"/>
      <c r="BZ298" s="5"/>
      <c r="CA298" s="5"/>
    </row>
    <row r="299" spans="1:79" x14ac:dyDescent="0.3">
      <c r="A299" s="4" t="s">
        <v>152</v>
      </c>
      <c r="B299" s="4">
        <v>0.9</v>
      </c>
      <c r="C299" s="4">
        <v>0.5</v>
      </c>
      <c r="D299" s="4">
        <v>0.6</v>
      </c>
      <c r="E299" s="4">
        <v>0.3</v>
      </c>
      <c r="F299" s="4">
        <v>598.81457499999999</v>
      </c>
      <c r="G299" s="4">
        <v>1E-3</v>
      </c>
      <c r="I299" s="4" t="s">
        <v>152</v>
      </c>
      <c r="J299" s="4">
        <v>0.9</v>
      </c>
      <c r="K299" s="4">
        <v>0.5</v>
      </c>
      <c r="L299" s="4">
        <v>0.6</v>
      </c>
      <c r="M299" s="4">
        <v>0.09</v>
      </c>
      <c r="N299" s="6">
        <v>574.66540499999996</v>
      </c>
      <c r="O299" s="4">
        <v>2.8000000000000001E-2</v>
      </c>
      <c r="P299" s="5"/>
      <c r="Q299" s="5"/>
      <c r="R299" s="5"/>
      <c r="S299" s="5"/>
      <c r="U299" s="4" t="s">
        <v>152</v>
      </c>
      <c r="V299" s="4">
        <v>0.9</v>
      </c>
      <c r="W299" s="4">
        <v>0.5</v>
      </c>
      <c r="X299" s="4">
        <v>0.6</v>
      </c>
      <c r="Y299" s="4">
        <v>0.3</v>
      </c>
      <c r="Z299" s="6">
        <v>581.80120799999997</v>
      </c>
      <c r="AA299" s="4">
        <v>2E-3</v>
      </c>
      <c r="AC299" s="4" t="s">
        <v>152</v>
      </c>
      <c r="AD299" s="4">
        <v>0.9</v>
      </c>
      <c r="AE299" s="4">
        <v>0.5</v>
      </c>
      <c r="AF299" s="4">
        <v>0.6</v>
      </c>
      <c r="AG299" s="4">
        <v>0.4</v>
      </c>
      <c r="AH299" s="4">
        <v>609.22344999999996</v>
      </c>
      <c r="AI299" s="4">
        <v>2.5999999999999999E-2</v>
      </c>
      <c r="AJ299" s="5"/>
      <c r="AK299" s="5"/>
      <c r="AL299" s="5"/>
      <c r="AM299" s="5"/>
      <c r="AO299" s="4" t="s">
        <v>153</v>
      </c>
      <c r="AP299" s="4">
        <v>0.9</v>
      </c>
      <c r="AQ299" s="4">
        <v>0.5</v>
      </c>
      <c r="AR299" s="4">
        <v>0.6</v>
      </c>
      <c r="AS299" s="4">
        <v>0.3</v>
      </c>
      <c r="AT299" s="6">
        <v>873.22882100000004</v>
      </c>
      <c r="AU299" s="4">
        <v>8.0000000000000002E-3</v>
      </c>
      <c r="AW299" s="4" t="s">
        <v>153</v>
      </c>
      <c r="AX299" s="4">
        <v>0.9</v>
      </c>
      <c r="AY299" s="4">
        <v>0.5</v>
      </c>
      <c r="AZ299" s="4">
        <v>0.6</v>
      </c>
      <c r="BA299" s="4">
        <v>0.37</v>
      </c>
      <c r="BB299" s="4">
        <v>921.94726600000001</v>
      </c>
      <c r="BC299" s="4">
        <v>1.2E-2</v>
      </c>
      <c r="BD299" s="5"/>
      <c r="BE299" s="5"/>
      <c r="BF299" s="5"/>
      <c r="BG299" s="5"/>
      <c r="BI299" s="4" t="s">
        <v>153</v>
      </c>
      <c r="BJ299" s="4">
        <v>0.9</v>
      </c>
      <c r="BK299" s="4">
        <v>0.5</v>
      </c>
      <c r="BL299" s="4">
        <v>0.6</v>
      </c>
      <c r="BM299" s="4">
        <v>0.3</v>
      </c>
      <c r="BN299" s="6">
        <v>847.91674799999998</v>
      </c>
      <c r="BO299" s="4">
        <v>6.0000000000000001E-3</v>
      </c>
      <c r="BQ299" s="4" t="s">
        <v>153</v>
      </c>
      <c r="BR299" s="4">
        <v>0.9</v>
      </c>
      <c r="BS299" s="4">
        <v>0.5</v>
      </c>
      <c r="BT299" s="4">
        <v>0.6</v>
      </c>
      <c r="BU299" s="4">
        <v>0.59</v>
      </c>
      <c r="BV299" s="4">
        <v>957.81329300000004</v>
      </c>
      <c r="BW299" s="4">
        <v>1.7999999999999999E-2</v>
      </c>
      <c r="BX299" s="5"/>
      <c r="BY299" s="5"/>
      <c r="BZ299" s="5"/>
      <c r="CA299" s="5"/>
    </row>
    <row r="300" spans="1:79" x14ac:dyDescent="0.3">
      <c r="A300" s="4" t="s">
        <v>154</v>
      </c>
      <c r="B300" s="4">
        <v>0.9</v>
      </c>
      <c r="C300" s="4">
        <v>0.5</v>
      </c>
      <c r="D300" s="4">
        <v>0.6</v>
      </c>
      <c r="E300" s="4">
        <v>0.3</v>
      </c>
      <c r="F300" s="6">
        <v>606.855774</v>
      </c>
      <c r="G300" s="4">
        <v>1E-3</v>
      </c>
      <c r="I300" s="4" t="s">
        <v>154</v>
      </c>
      <c r="J300" s="4">
        <v>0.9</v>
      </c>
      <c r="K300" s="4">
        <v>0.5</v>
      </c>
      <c r="L300" s="4">
        <v>0.6</v>
      </c>
      <c r="M300" s="4">
        <v>0.46</v>
      </c>
      <c r="N300" s="4">
        <v>668.62097200000005</v>
      </c>
      <c r="O300" s="4">
        <v>1.4E-2</v>
      </c>
      <c r="P300" s="5"/>
      <c r="Q300" s="5"/>
      <c r="R300" s="5"/>
      <c r="S300" s="5"/>
      <c r="U300" s="4" t="s">
        <v>154</v>
      </c>
      <c r="V300" s="4">
        <v>0.9</v>
      </c>
      <c r="W300" s="4">
        <v>0.5</v>
      </c>
      <c r="X300" s="4">
        <v>0.6</v>
      </c>
      <c r="Y300" s="4">
        <v>0.3</v>
      </c>
      <c r="Z300" s="6">
        <v>603.57415800000001</v>
      </c>
      <c r="AA300" s="4">
        <v>3.0000000000000001E-3</v>
      </c>
      <c r="AC300" s="4" t="s">
        <v>154</v>
      </c>
      <c r="AD300" s="4">
        <v>0.9</v>
      </c>
      <c r="AE300" s="4">
        <v>0.5</v>
      </c>
      <c r="AF300" s="4">
        <v>0.6</v>
      </c>
      <c r="AG300" s="4">
        <v>0.27</v>
      </c>
      <c r="AH300" s="4">
        <v>617.07855199999995</v>
      </c>
      <c r="AI300" s="4">
        <v>5.0000000000000001E-3</v>
      </c>
      <c r="AJ300" s="5"/>
      <c r="AK300" s="5"/>
      <c r="AL300" s="5"/>
      <c r="AM300" s="5"/>
      <c r="AO300" s="4" t="s">
        <v>155</v>
      </c>
      <c r="AP300" s="4">
        <v>0.9</v>
      </c>
      <c r="AQ300" s="4">
        <v>0.5</v>
      </c>
      <c r="AR300" s="4">
        <v>0.6</v>
      </c>
      <c r="AS300" s="4">
        <v>0.3</v>
      </c>
      <c r="AT300" s="6">
        <v>1103.6235349999999</v>
      </c>
      <c r="AU300" s="4">
        <v>8.9999999999999993E-3</v>
      </c>
      <c r="AW300" s="4" t="s">
        <v>155</v>
      </c>
      <c r="AX300" s="4">
        <v>0.9</v>
      </c>
      <c r="AY300" s="4">
        <v>0.5</v>
      </c>
      <c r="AZ300" s="4">
        <v>0.6</v>
      </c>
      <c r="BA300" s="4">
        <v>0.51</v>
      </c>
      <c r="BB300" s="4">
        <v>1213.6604</v>
      </c>
      <c r="BC300" s="4">
        <v>1.2E-2</v>
      </c>
      <c r="BD300" s="5"/>
      <c r="BE300" s="5"/>
      <c r="BF300" s="5"/>
      <c r="BG300" s="5"/>
      <c r="BI300" s="4" t="s">
        <v>155</v>
      </c>
      <c r="BJ300" s="4">
        <v>0.9</v>
      </c>
      <c r="BK300" s="4">
        <v>0.5</v>
      </c>
      <c r="BL300" s="4">
        <v>0.6</v>
      </c>
      <c r="BM300" s="4">
        <v>0.3</v>
      </c>
      <c r="BN300" s="4">
        <v>1099.0969239999999</v>
      </c>
      <c r="BO300" s="4">
        <v>8.0000000000000002E-3</v>
      </c>
      <c r="BQ300" s="4" t="s">
        <v>155</v>
      </c>
      <c r="BR300" s="4">
        <v>0.9</v>
      </c>
      <c r="BS300" s="4">
        <v>0.5</v>
      </c>
      <c r="BT300" s="4">
        <v>0.6</v>
      </c>
      <c r="BU300" s="4">
        <v>0.14000000000000001</v>
      </c>
      <c r="BV300" s="6">
        <v>1023.253906</v>
      </c>
      <c r="BW300" s="4">
        <v>2.1000000000000001E-2</v>
      </c>
      <c r="BX300" s="5"/>
      <c r="BY300" s="5"/>
      <c r="BZ300" s="5"/>
      <c r="CA300" s="5"/>
    </row>
    <row r="301" spans="1:79" x14ac:dyDescent="0.3">
      <c r="A301" s="4" t="s">
        <v>156</v>
      </c>
      <c r="B301" s="4">
        <v>0.9</v>
      </c>
      <c r="C301" s="4">
        <v>0.5</v>
      </c>
      <c r="D301" s="4">
        <v>0.6</v>
      </c>
      <c r="E301" s="4">
        <v>0.3</v>
      </c>
      <c r="F301" s="6">
        <v>662.14514199999996</v>
      </c>
      <c r="G301" s="4">
        <v>1E-3</v>
      </c>
      <c r="I301" s="4" t="s">
        <v>156</v>
      </c>
      <c r="J301" s="4">
        <v>0.9</v>
      </c>
      <c r="K301" s="4">
        <v>0.5</v>
      </c>
      <c r="L301" s="4">
        <v>0.6</v>
      </c>
      <c r="M301" s="4">
        <v>0.01</v>
      </c>
      <c r="N301" s="4">
        <v>719.83660899999995</v>
      </c>
      <c r="O301" s="4">
        <v>1.4999999999999999E-2</v>
      </c>
      <c r="P301" s="5"/>
      <c r="Q301" s="5"/>
      <c r="R301" s="5"/>
      <c r="S301" s="5"/>
      <c r="U301" s="4" t="s">
        <v>156</v>
      </c>
      <c r="V301" s="4">
        <v>0.9</v>
      </c>
      <c r="W301" s="4">
        <v>0.5</v>
      </c>
      <c r="X301" s="4">
        <v>0.6</v>
      </c>
      <c r="Y301" s="4">
        <v>0.3</v>
      </c>
      <c r="Z301" s="6">
        <v>648.69305399999996</v>
      </c>
      <c r="AA301" s="4">
        <v>1E-3</v>
      </c>
      <c r="AC301" s="4" t="s">
        <v>156</v>
      </c>
      <c r="AD301" s="4">
        <v>0.9</v>
      </c>
      <c r="AE301" s="4">
        <v>0.5</v>
      </c>
      <c r="AF301" s="4">
        <v>0.6</v>
      </c>
      <c r="AG301" s="4">
        <v>0.8</v>
      </c>
      <c r="AH301" s="4">
        <v>726.00561500000003</v>
      </c>
      <c r="AI301" s="4">
        <v>8.9999999999999993E-3</v>
      </c>
      <c r="AJ301" s="5"/>
      <c r="AK301" s="5"/>
      <c r="AL301" s="5"/>
      <c r="AM301" s="5"/>
      <c r="AO301" s="4" t="s">
        <v>157</v>
      </c>
      <c r="AP301" s="4">
        <v>0.9</v>
      </c>
      <c r="AQ301" s="4">
        <v>0.5</v>
      </c>
      <c r="AR301" s="4">
        <v>0.6</v>
      </c>
      <c r="AS301" s="4">
        <v>0.3</v>
      </c>
      <c r="AT301" s="6">
        <v>1041.415283</v>
      </c>
      <c r="AU301" s="4">
        <v>0.01</v>
      </c>
      <c r="AW301" s="4" t="s">
        <v>157</v>
      </c>
      <c r="AX301" s="4">
        <v>0.9</v>
      </c>
      <c r="AY301" s="4">
        <v>0.5</v>
      </c>
      <c r="AZ301" s="4">
        <v>0.6</v>
      </c>
      <c r="BA301" s="4">
        <v>0.28999999999999998</v>
      </c>
      <c r="BB301" s="4">
        <v>1042.4837649999999</v>
      </c>
      <c r="BC301" s="4">
        <v>2.5999999999999999E-2</v>
      </c>
      <c r="BD301" s="5"/>
      <c r="BE301" s="5"/>
      <c r="BF301" s="5"/>
      <c r="BG301" s="5"/>
      <c r="BI301" s="4" t="s">
        <v>157</v>
      </c>
      <c r="BJ301" s="4">
        <v>0.9</v>
      </c>
      <c r="BK301" s="4">
        <v>0.5</v>
      </c>
      <c r="BL301" s="4">
        <v>0.6</v>
      </c>
      <c r="BM301" s="4">
        <v>0.3</v>
      </c>
      <c r="BN301" s="6">
        <v>1031.7647710000001</v>
      </c>
      <c r="BO301" s="4">
        <v>8.0000000000000002E-3</v>
      </c>
      <c r="BQ301" s="4" t="s">
        <v>157</v>
      </c>
      <c r="BR301" s="4">
        <v>0.9</v>
      </c>
      <c r="BS301" s="4">
        <v>0.5</v>
      </c>
      <c r="BT301" s="4">
        <v>0.6</v>
      </c>
      <c r="BU301" s="4">
        <v>0.32</v>
      </c>
      <c r="BV301" s="4">
        <v>1051.9157709999999</v>
      </c>
      <c r="BW301" s="4">
        <v>1.7000000000000001E-2</v>
      </c>
      <c r="BX301" s="5"/>
      <c r="BY301" s="5"/>
      <c r="BZ301" s="5"/>
      <c r="CA301" s="5"/>
    </row>
    <row r="302" spans="1:79" x14ac:dyDescent="0.3">
      <c r="A302" s="4" t="s">
        <v>158</v>
      </c>
      <c r="B302" s="4">
        <v>0.9</v>
      </c>
      <c r="C302" s="4">
        <v>0.5</v>
      </c>
      <c r="D302" s="4">
        <v>0.6</v>
      </c>
      <c r="E302" s="4">
        <v>0.3</v>
      </c>
      <c r="F302" s="4">
        <v>662.15148899999997</v>
      </c>
      <c r="G302" s="4">
        <v>2E-3</v>
      </c>
      <c r="I302" s="4" t="s">
        <v>158</v>
      </c>
      <c r="J302" s="4">
        <v>0.9</v>
      </c>
      <c r="K302" s="4">
        <v>0.5</v>
      </c>
      <c r="L302" s="4">
        <v>0.6</v>
      </c>
      <c r="M302" s="4">
        <v>0.06</v>
      </c>
      <c r="N302" s="6">
        <v>645.24377400000003</v>
      </c>
      <c r="O302" s="4">
        <v>0.01</v>
      </c>
      <c r="P302" s="5"/>
      <c r="Q302" s="5"/>
      <c r="R302" s="5"/>
      <c r="S302" s="5"/>
      <c r="U302" s="4" t="s">
        <v>158</v>
      </c>
      <c r="V302" s="4">
        <v>0.9</v>
      </c>
      <c r="W302" s="4">
        <v>0.5</v>
      </c>
      <c r="X302" s="4">
        <v>0.6</v>
      </c>
      <c r="Y302" s="4">
        <v>0.3</v>
      </c>
      <c r="Z302" s="4">
        <v>663.27984600000002</v>
      </c>
      <c r="AA302" s="4">
        <v>2E-3</v>
      </c>
      <c r="AC302" s="4" t="s">
        <v>158</v>
      </c>
      <c r="AD302" s="4">
        <v>0.9</v>
      </c>
      <c r="AE302" s="4">
        <v>0.5</v>
      </c>
      <c r="AF302" s="4">
        <v>0.6</v>
      </c>
      <c r="AG302" s="4">
        <v>0.01</v>
      </c>
      <c r="AH302" s="6">
        <v>661.64031999999997</v>
      </c>
      <c r="AI302" s="4">
        <v>2.1000000000000001E-2</v>
      </c>
      <c r="AJ302" s="5"/>
      <c r="AK302" s="5"/>
      <c r="AL302" s="5"/>
      <c r="AM302" s="5"/>
      <c r="AO302" s="4" t="s">
        <v>159</v>
      </c>
      <c r="AP302" s="4">
        <v>0.9</v>
      </c>
      <c r="AQ302" s="4">
        <v>0.5</v>
      </c>
      <c r="AR302" s="4">
        <v>0.6</v>
      </c>
      <c r="AS302" s="4">
        <v>0.3</v>
      </c>
      <c r="AT302" s="6">
        <v>969.98309300000005</v>
      </c>
      <c r="AU302" s="4">
        <v>8.0000000000000002E-3</v>
      </c>
      <c r="AW302" s="4" t="s">
        <v>159</v>
      </c>
      <c r="AX302" s="4">
        <v>0.9</v>
      </c>
      <c r="AY302" s="4">
        <v>0.5</v>
      </c>
      <c r="AZ302" s="4">
        <v>0.6</v>
      </c>
      <c r="BA302" s="4">
        <v>0.95</v>
      </c>
      <c r="BB302" s="4">
        <v>1246.2745359999999</v>
      </c>
      <c r="BC302" s="4">
        <v>5.0999999999999997E-2</v>
      </c>
      <c r="BD302" s="5"/>
      <c r="BE302" s="5"/>
      <c r="BF302" s="5"/>
      <c r="BG302" s="5"/>
      <c r="BI302" s="4" t="s">
        <v>159</v>
      </c>
      <c r="BJ302" s="4">
        <v>0.9</v>
      </c>
      <c r="BK302" s="4">
        <v>0.5</v>
      </c>
      <c r="BL302" s="4">
        <v>0.6</v>
      </c>
      <c r="BM302" s="4">
        <v>0.3</v>
      </c>
      <c r="BN302" s="6">
        <v>963.83734100000004</v>
      </c>
      <c r="BO302" s="4">
        <v>7.0000000000000001E-3</v>
      </c>
      <c r="BQ302" s="4" t="s">
        <v>159</v>
      </c>
      <c r="BR302" s="4">
        <v>0.9</v>
      </c>
      <c r="BS302" s="4">
        <v>0.5</v>
      </c>
      <c r="BT302" s="4">
        <v>0.6</v>
      </c>
      <c r="BU302" s="4">
        <v>0.73</v>
      </c>
      <c r="BV302" s="4">
        <v>1182.1861570000001</v>
      </c>
      <c r="BW302" s="4">
        <v>0.03</v>
      </c>
      <c r="BX302" s="5"/>
      <c r="BY302" s="5"/>
      <c r="BZ302" s="5"/>
      <c r="CA302" s="5"/>
    </row>
    <row r="303" spans="1:79" x14ac:dyDescent="0.3">
      <c r="A303" s="4" t="s">
        <v>160</v>
      </c>
      <c r="B303" s="4">
        <v>0.9</v>
      </c>
      <c r="C303" s="4">
        <v>0.5</v>
      </c>
      <c r="D303" s="4">
        <v>0.6</v>
      </c>
      <c r="E303" s="4">
        <v>0.3</v>
      </c>
      <c r="F303" s="4">
        <v>600.62872300000004</v>
      </c>
      <c r="G303" s="4">
        <v>1E-3</v>
      </c>
      <c r="I303" s="4" t="s">
        <v>160</v>
      </c>
      <c r="J303" s="4">
        <v>0.9</v>
      </c>
      <c r="K303" s="4">
        <v>0.5</v>
      </c>
      <c r="L303" s="4">
        <v>0.6</v>
      </c>
      <c r="M303" s="4">
        <v>0.09</v>
      </c>
      <c r="N303" s="6">
        <v>579.69250499999998</v>
      </c>
      <c r="O303" s="4">
        <v>1.2E-2</v>
      </c>
      <c r="P303" s="5"/>
      <c r="Q303" s="5"/>
      <c r="R303" s="5"/>
      <c r="S303" s="5"/>
      <c r="U303" s="4" t="s">
        <v>160</v>
      </c>
      <c r="V303" s="4">
        <v>0.9</v>
      </c>
      <c r="W303" s="4">
        <v>0.5</v>
      </c>
      <c r="X303" s="4">
        <v>0.6</v>
      </c>
      <c r="Y303" s="4">
        <v>0.3</v>
      </c>
      <c r="Z303" s="6">
        <v>591.32275400000003</v>
      </c>
      <c r="AA303" s="4">
        <v>2E-3</v>
      </c>
      <c r="AC303" s="4" t="s">
        <v>160</v>
      </c>
      <c r="AD303" s="4">
        <v>0.9</v>
      </c>
      <c r="AE303" s="4">
        <v>0.5</v>
      </c>
      <c r="AF303" s="4">
        <v>0.6</v>
      </c>
      <c r="AG303" s="4">
        <v>0.64</v>
      </c>
      <c r="AH303" s="4">
        <v>655.29785200000003</v>
      </c>
      <c r="AI303" s="4">
        <v>1.0999999999999999E-2</v>
      </c>
      <c r="AJ303" s="5"/>
      <c r="AK303" s="5"/>
      <c r="AL303" s="5"/>
      <c r="AM303" s="5"/>
      <c r="AO303" s="4" t="s">
        <v>161</v>
      </c>
      <c r="AP303" s="4">
        <v>0.9</v>
      </c>
      <c r="AQ303" s="4">
        <v>0.5</v>
      </c>
      <c r="AR303" s="4">
        <v>0.6</v>
      </c>
      <c r="AS303" s="4">
        <v>0.3</v>
      </c>
      <c r="AT303" s="6">
        <v>1060.4702150000001</v>
      </c>
      <c r="AU303" s="4">
        <v>0.01</v>
      </c>
      <c r="AW303" s="4" t="s">
        <v>161</v>
      </c>
      <c r="AX303" s="4">
        <v>0.9</v>
      </c>
      <c r="AY303" s="4">
        <v>0.5</v>
      </c>
      <c r="AZ303" s="4">
        <v>0.6</v>
      </c>
      <c r="BA303" s="4">
        <v>0.71</v>
      </c>
      <c r="BB303" s="4">
        <v>1170.354736</v>
      </c>
      <c r="BC303" s="4">
        <v>0.03</v>
      </c>
      <c r="BD303" s="5"/>
      <c r="BE303" s="5"/>
      <c r="BF303" s="5"/>
      <c r="BG303" s="5"/>
      <c r="BI303" s="4" t="s">
        <v>161</v>
      </c>
      <c r="BJ303" s="4">
        <v>0.9</v>
      </c>
      <c r="BK303" s="4">
        <v>0.5</v>
      </c>
      <c r="BL303" s="4">
        <v>0.6</v>
      </c>
      <c r="BM303" s="4">
        <v>0.3</v>
      </c>
      <c r="BN303" s="6">
        <v>1029.383423</v>
      </c>
      <c r="BO303" s="4">
        <v>7.0000000000000001E-3</v>
      </c>
      <c r="BQ303" s="4" t="s">
        <v>161</v>
      </c>
      <c r="BR303" s="4">
        <v>0.9</v>
      </c>
      <c r="BS303" s="4">
        <v>0.5</v>
      </c>
      <c r="BT303" s="4">
        <v>0.6</v>
      </c>
      <c r="BU303" s="4">
        <v>0.48</v>
      </c>
      <c r="BV303" s="4">
        <v>1109.1870120000001</v>
      </c>
      <c r="BW303" s="4">
        <v>4.4999999999999998E-2</v>
      </c>
      <c r="BX303" s="5"/>
      <c r="BY303" s="5"/>
      <c r="BZ303" s="5"/>
      <c r="CA303" s="5"/>
    </row>
    <row r="304" spans="1:79" x14ac:dyDescent="0.3">
      <c r="A304" s="4" t="s">
        <v>162</v>
      </c>
      <c r="B304" s="4">
        <v>0.9</v>
      </c>
      <c r="C304" s="4">
        <v>0.5</v>
      </c>
      <c r="D304" s="4">
        <v>0.6</v>
      </c>
      <c r="E304" s="4">
        <v>0.3</v>
      </c>
      <c r="F304" s="4">
        <v>600.643372</v>
      </c>
      <c r="G304" s="4">
        <v>2E-3</v>
      </c>
      <c r="I304" s="4" t="s">
        <v>162</v>
      </c>
      <c r="J304" s="4">
        <v>0.9</v>
      </c>
      <c r="K304" s="4">
        <v>0.5</v>
      </c>
      <c r="L304" s="4">
        <v>0.6</v>
      </c>
      <c r="M304" s="4">
        <v>0.05</v>
      </c>
      <c r="N304" s="6">
        <v>574.16528300000004</v>
      </c>
      <c r="O304" s="4">
        <v>1.7999999999999999E-2</v>
      </c>
      <c r="P304" s="5"/>
      <c r="Q304" s="5"/>
      <c r="R304" s="5"/>
      <c r="S304" s="5"/>
      <c r="U304" s="4" t="s">
        <v>162</v>
      </c>
      <c r="V304" s="4">
        <v>0.9</v>
      </c>
      <c r="W304" s="4">
        <v>0.5</v>
      </c>
      <c r="X304" s="4">
        <v>0.6</v>
      </c>
      <c r="Y304" s="4">
        <v>0.3</v>
      </c>
      <c r="Z304" s="4">
        <v>615.48120100000006</v>
      </c>
      <c r="AA304" s="4">
        <v>4.0000000000000001E-3</v>
      </c>
      <c r="AC304" s="4" t="s">
        <v>162</v>
      </c>
      <c r="AD304" s="4">
        <v>0.9</v>
      </c>
      <c r="AE304" s="4">
        <v>0.5</v>
      </c>
      <c r="AF304" s="4">
        <v>0.6</v>
      </c>
      <c r="AG304" s="4">
        <v>0.04</v>
      </c>
      <c r="AH304" s="6">
        <v>610.21466099999998</v>
      </c>
      <c r="AI304" s="4">
        <v>2.3E-2</v>
      </c>
      <c r="AJ304" s="5"/>
      <c r="AK304" s="5"/>
      <c r="AL304" s="5"/>
      <c r="AM304" s="5"/>
      <c r="AO304" s="4" t="s">
        <v>163</v>
      </c>
      <c r="AP304" s="4">
        <v>0.9</v>
      </c>
      <c r="AQ304" s="4">
        <v>0.5</v>
      </c>
      <c r="AR304" s="4">
        <v>0.6</v>
      </c>
      <c r="AS304" s="4">
        <v>0.3</v>
      </c>
      <c r="AT304" s="4">
        <v>1019.076416</v>
      </c>
      <c r="AU304" s="4">
        <v>1.0999999999999999E-2</v>
      </c>
      <c r="AW304" s="4" t="s">
        <v>163</v>
      </c>
      <c r="AX304" s="4">
        <v>0.9</v>
      </c>
      <c r="AY304" s="4">
        <v>0.5</v>
      </c>
      <c r="AZ304" s="4">
        <v>0.6</v>
      </c>
      <c r="BA304" s="4">
        <v>0.16</v>
      </c>
      <c r="BB304" s="6">
        <v>936.61993399999994</v>
      </c>
      <c r="BC304" s="4">
        <v>3.6999999999999998E-2</v>
      </c>
      <c r="BD304" s="5"/>
      <c r="BE304" s="5"/>
      <c r="BF304" s="5"/>
      <c r="BG304" s="5"/>
      <c r="BI304" s="4" t="s">
        <v>163</v>
      </c>
      <c r="BJ304" s="4">
        <v>0.9</v>
      </c>
      <c r="BK304" s="4">
        <v>0.5</v>
      </c>
      <c r="BL304" s="4">
        <v>0.6</v>
      </c>
      <c r="BM304" s="4">
        <v>0.3</v>
      </c>
      <c r="BN304" s="6">
        <v>1018.272827</v>
      </c>
      <c r="BO304" s="4">
        <v>7.0000000000000001E-3</v>
      </c>
      <c r="BQ304" s="4" t="s">
        <v>163</v>
      </c>
      <c r="BR304" s="4">
        <v>0.9</v>
      </c>
      <c r="BS304" s="4">
        <v>0.5</v>
      </c>
      <c r="BT304" s="4">
        <v>0.6</v>
      </c>
      <c r="BU304" s="4">
        <v>0.99</v>
      </c>
      <c r="BV304" s="4">
        <v>1284.2353519999999</v>
      </c>
      <c r="BW304" s="4">
        <v>1.4999999999999999E-2</v>
      </c>
      <c r="BX304" s="5"/>
      <c r="BY304" s="5"/>
      <c r="BZ304" s="5"/>
      <c r="CA304" s="5"/>
    </row>
    <row r="305" spans="1:79" x14ac:dyDescent="0.3">
      <c r="A305" s="4" t="s">
        <v>164</v>
      </c>
      <c r="B305" s="4">
        <v>0.9</v>
      </c>
      <c r="C305" s="4">
        <v>0.5</v>
      </c>
      <c r="D305" s="4">
        <v>0.6</v>
      </c>
      <c r="E305" s="4">
        <v>0.3</v>
      </c>
      <c r="F305" s="6">
        <v>546.13262899999995</v>
      </c>
      <c r="G305" s="4">
        <v>2E-3</v>
      </c>
      <c r="I305" s="4" t="s">
        <v>164</v>
      </c>
      <c r="J305" s="4">
        <v>0.9</v>
      </c>
      <c r="K305" s="4">
        <v>0.5</v>
      </c>
      <c r="L305" s="4">
        <v>0.6</v>
      </c>
      <c r="M305" s="4">
        <v>0.83</v>
      </c>
      <c r="N305" s="4">
        <v>632.242615</v>
      </c>
      <c r="O305" s="4">
        <v>2.5000000000000001E-2</v>
      </c>
      <c r="P305" s="5"/>
      <c r="Q305" s="5"/>
      <c r="R305" s="5"/>
      <c r="S305" s="5"/>
      <c r="U305" s="4" t="s">
        <v>164</v>
      </c>
      <c r="V305" s="4">
        <v>0.9</v>
      </c>
      <c r="W305" s="4">
        <v>0.5</v>
      </c>
      <c r="X305" s="4">
        <v>0.6</v>
      </c>
      <c r="Y305" s="4">
        <v>0.3</v>
      </c>
      <c r="Z305" s="4">
        <v>535.23461899999995</v>
      </c>
      <c r="AA305" s="4">
        <v>2E-3</v>
      </c>
      <c r="AC305" s="4" t="s">
        <v>164</v>
      </c>
      <c r="AD305" s="4">
        <v>0.9</v>
      </c>
      <c r="AE305" s="4">
        <v>0.5</v>
      </c>
      <c r="AF305" s="4">
        <v>0.6</v>
      </c>
      <c r="AG305" s="4">
        <v>0.02</v>
      </c>
      <c r="AH305" s="6">
        <v>531.58221400000002</v>
      </c>
      <c r="AI305" s="4">
        <v>1.6E-2</v>
      </c>
      <c r="AJ305" s="5"/>
      <c r="AK305" s="5"/>
      <c r="AL305" s="5"/>
      <c r="AM305" s="5"/>
      <c r="AO305" s="4" t="s">
        <v>165</v>
      </c>
      <c r="AP305" s="4">
        <v>0.9</v>
      </c>
      <c r="AQ305" s="4">
        <v>0.5</v>
      </c>
      <c r="AR305" s="4">
        <v>0.6</v>
      </c>
      <c r="AS305" s="4">
        <v>0.3</v>
      </c>
      <c r="AT305" s="6">
        <v>959.12274200000002</v>
      </c>
      <c r="AU305" s="4">
        <v>8.9999999999999993E-3</v>
      </c>
      <c r="AW305" s="4" t="s">
        <v>165</v>
      </c>
      <c r="AX305" s="4">
        <v>0.9</v>
      </c>
      <c r="AY305" s="4">
        <v>0.5</v>
      </c>
      <c r="AZ305" s="4">
        <v>0.6</v>
      </c>
      <c r="BA305" s="4">
        <v>0.73</v>
      </c>
      <c r="BB305" s="4">
        <v>1112.8323969999999</v>
      </c>
      <c r="BC305" s="4">
        <v>3.5000000000000003E-2</v>
      </c>
      <c r="BD305" s="5"/>
      <c r="BE305" s="5"/>
      <c r="BF305" s="5"/>
      <c r="BG305" s="5"/>
      <c r="BI305" s="4" t="s">
        <v>165</v>
      </c>
      <c r="BJ305" s="4">
        <v>0.9</v>
      </c>
      <c r="BK305" s="4">
        <v>0.5</v>
      </c>
      <c r="BL305" s="4">
        <v>0.6</v>
      </c>
      <c r="BM305" s="4">
        <v>0.3</v>
      </c>
      <c r="BN305" s="6">
        <v>946.27728300000001</v>
      </c>
      <c r="BO305" s="4">
        <v>7.0000000000000001E-3</v>
      </c>
      <c r="BQ305" s="4" t="s">
        <v>165</v>
      </c>
      <c r="BR305" s="4">
        <v>0.9</v>
      </c>
      <c r="BS305" s="4">
        <v>0.5</v>
      </c>
      <c r="BT305" s="4">
        <v>0.6</v>
      </c>
      <c r="BU305" s="4">
        <v>0.48</v>
      </c>
      <c r="BV305" s="4">
        <v>1049.3604740000001</v>
      </c>
      <c r="BW305" s="4">
        <v>1.7999999999999999E-2</v>
      </c>
      <c r="BX305" s="5"/>
      <c r="BY305" s="5"/>
      <c r="BZ305" s="5"/>
      <c r="CA305" s="5"/>
    </row>
    <row r="306" spans="1:79" x14ac:dyDescent="0.3">
      <c r="A306" s="4" t="s">
        <v>166</v>
      </c>
      <c r="B306" s="4">
        <v>0.9</v>
      </c>
      <c r="C306" s="4">
        <v>0.5</v>
      </c>
      <c r="D306" s="4">
        <v>0.6</v>
      </c>
      <c r="E306" s="4">
        <v>0.3</v>
      </c>
      <c r="F306" s="6">
        <v>740.06402600000001</v>
      </c>
      <c r="G306" s="4">
        <v>2E-3</v>
      </c>
      <c r="I306" s="4" t="s">
        <v>166</v>
      </c>
      <c r="J306" s="4">
        <v>0.9</v>
      </c>
      <c r="K306" s="4">
        <v>0.5</v>
      </c>
      <c r="L306" s="4">
        <v>0.6</v>
      </c>
      <c r="M306" s="4">
        <v>0.36</v>
      </c>
      <c r="N306" s="4">
        <v>759.84991500000001</v>
      </c>
      <c r="O306" s="4">
        <v>1.7000000000000001E-2</v>
      </c>
      <c r="P306" s="5"/>
      <c r="Q306" s="5"/>
      <c r="R306" s="5"/>
      <c r="S306" s="5"/>
      <c r="U306" s="4" t="s">
        <v>166</v>
      </c>
      <c r="V306" s="4">
        <v>0.9</v>
      </c>
      <c r="W306" s="4">
        <v>0.5</v>
      </c>
      <c r="X306" s="4">
        <v>0.6</v>
      </c>
      <c r="Y306" s="4">
        <v>0.3</v>
      </c>
      <c r="Z306" s="6">
        <v>733.37536599999999</v>
      </c>
      <c r="AA306" s="4">
        <v>2E-3</v>
      </c>
      <c r="AC306" s="4" t="s">
        <v>166</v>
      </c>
      <c r="AD306" s="4">
        <v>0.9</v>
      </c>
      <c r="AE306" s="4">
        <v>0.5</v>
      </c>
      <c r="AF306" s="4">
        <v>0.6</v>
      </c>
      <c r="AG306" s="4">
        <v>0.71</v>
      </c>
      <c r="AH306" s="4">
        <v>875.10974099999999</v>
      </c>
      <c r="AI306" s="4">
        <v>1.0999999999999999E-2</v>
      </c>
      <c r="AJ306" s="5"/>
      <c r="AK306" s="5"/>
      <c r="AL306" s="5"/>
      <c r="AM306" s="5"/>
      <c r="AO306" s="4" t="s">
        <v>167</v>
      </c>
      <c r="AP306" s="4">
        <v>0.9</v>
      </c>
      <c r="AQ306" s="4">
        <v>0.5</v>
      </c>
      <c r="AR306" s="4">
        <v>0.6</v>
      </c>
      <c r="AS306" s="4">
        <v>0.3</v>
      </c>
      <c r="AT306" s="6">
        <v>970.05682400000001</v>
      </c>
      <c r="AU306" s="4">
        <v>8.0000000000000002E-3</v>
      </c>
      <c r="AW306" s="4" t="s">
        <v>167</v>
      </c>
      <c r="AX306" s="4">
        <v>0.9</v>
      </c>
      <c r="AY306" s="4">
        <v>0.5</v>
      </c>
      <c r="AZ306" s="4">
        <v>0.6</v>
      </c>
      <c r="BA306" s="4">
        <v>0.47</v>
      </c>
      <c r="BB306" s="4">
        <v>1095.2414550000001</v>
      </c>
      <c r="BC306" s="4">
        <v>2.1000000000000001E-2</v>
      </c>
      <c r="BD306" s="5"/>
      <c r="BE306" s="5"/>
      <c r="BF306" s="5"/>
      <c r="BG306" s="5"/>
      <c r="BI306" s="4" t="s">
        <v>167</v>
      </c>
      <c r="BJ306" s="4">
        <v>0.9</v>
      </c>
      <c r="BK306" s="4">
        <v>0.5</v>
      </c>
      <c r="BL306" s="4">
        <v>0.6</v>
      </c>
      <c r="BM306" s="4">
        <v>0.3</v>
      </c>
      <c r="BN306" s="4">
        <v>991.74468999999999</v>
      </c>
      <c r="BO306" s="4">
        <v>0.01</v>
      </c>
      <c r="BQ306" s="4" t="s">
        <v>167</v>
      </c>
      <c r="BR306" s="4">
        <v>0.9</v>
      </c>
      <c r="BS306" s="4">
        <v>0.5</v>
      </c>
      <c r="BT306" s="4">
        <v>0.6</v>
      </c>
      <c r="BU306" s="4">
        <v>0.2</v>
      </c>
      <c r="BV306" s="6">
        <v>905.81445299999996</v>
      </c>
      <c r="BW306" s="4">
        <v>3.2000000000000001E-2</v>
      </c>
      <c r="BX306" s="5"/>
      <c r="BY306" s="5"/>
      <c r="BZ306" s="5"/>
      <c r="CA306" s="5"/>
    </row>
    <row r="307" spans="1:79" x14ac:dyDescent="0.3">
      <c r="A307" s="4" t="s">
        <v>168</v>
      </c>
      <c r="B307" s="4">
        <v>0.9</v>
      </c>
      <c r="C307" s="4">
        <v>0.5</v>
      </c>
      <c r="D307" s="4">
        <v>0.6</v>
      </c>
      <c r="E307" s="4">
        <v>0.3</v>
      </c>
      <c r="F307" s="6">
        <v>658.28814699999998</v>
      </c>
      <c r="G307" s="4">
        <v>1E-3</v>
      </c>
      <c r="I307" s="4" t="s">
        <v>168</v>
      </c>
      <c r="J307" s="4">
        <v>0.9</v>
      </c>
      <c r="K307" s="4">
        <v>0.5</v>
      </c>
      <c r="L307" s="4">
        <v>0.6</v>
      </c>
      <c r="M307" s="4">
        <v>0.3</v>
      </c>
      <c r="N307" s="4">
        <v>665.54132100000004</v>
      </c>
      <c r="O307" s="4">
        <v>1.9E-2</v>
      </c>
      <c r="P307" s="5"/>
      <c r="Q307" s="5"/>
      <c r="R307" s="5"/>
      <c r="S307" s="5"/>
      <c r="U307" s="4" t="s">
        <v>168</v>
      </c>
      <c r="V307" s="4">
        <v>0.9</v>
      </c>
      <c r="W307" s="4">
        <v>0.5</v>
      </c>
      <c r="X307" s="4">
        <v>0.6</v>
      </c>
      <c r="Y307" s="4">
        <v>0.3</v>
      </c>
      <c r="Z307" s="4">
        <v>667.80120799999997</v>
      </c>
      <c r="AA307" s="4">
        <v>3.0000000000000001E-3</v>
      </c>
      <c r="AC307" s="4" t="s">
        <v>168</v>
      </c>
      <c r="AD307" s="4">
        <v>0.9</v>
      </c>
      <c r="AE307" s="4">
        <v>0.5</v>
      </c>
      <c r="AF307" s="4">
        <v>0.6</v>
      </c>
      <c r="AG307" s="4">
        <v>0.2</v>
      </c>
      <c r="AH307" s="6">
        <v>665.57824700000003</v>
      </c>
      <c r="AI307" s="4">
        <v>1.7000000000000001E-2</v>
      </c>
      <c r="AJ307" s="5"/>
      <c r="AK307" s="5"/>
      <c r="AL307" s="5"/>
      <c r="AM307" s="5"/>
      <c r="AO307" s="4" t="s">
        <v>169</v>
      </c>
      <c r="AP307" s="4">
        <v>0.9</v>
      </c>
      <c r="AQ307" s="4">
        <v>0.5</v>
      </c>
      <c r="AR307" s="4">
        <v>0.6</v>
      </c>
      <c r="AS307" s="4">
        <v>0.3</v>
      </c>
      <c r="AT307" s="6">
        <v>1015.312683</v>
      </c>
      <c r="AU307" s="4">
        <v>7.0000000000000001E-3</v>
      </c>
      <c r="AW307" s="4" t="s">
        <v>169</v>
      </c>
      <c r="AX307" s="4">
        <v>0.9</v>
      </c>
      <c r="AY307" s="4">
        <v>0.5</v>
      </c>
      <c r="AZ307" s="4">
        <v>0.6</v>
      </c>
      <c r="BA307" s="4">
        <v>0.82</v>
      </c>
      <c r="BB307" s="4">
        <v>1135.83374</v>
      </c>
      <c r="BC307" s="4">
        <v>1.9E-2</v>
      </c>
      <c r="BD307" s="5"/>
      <c r="BE307" s="5"/>
      <c r="BF307" s="5"/>
      <c r="BG307" s="5"/>
      <c r="BI307" s="4" t="s">
        <v>169</v>
      </c>
      <c r="BJ307" s="4">
        <v>0.9</v>
      </c>
      <c r="BK307" s="4">
        <v>0.5</v>
      </c>
      <c r="BL307" s="4">
        <v>0.6</v>
      </c>
      <c r="BM307" s="4">
        <v>0.3</v>
      </c>
      <c r="BN307" s="6">
        <v>1011.398071</v>
      </c>
      <c r="BO307" s="4">
        <v>6.0000000000000001E-3</v>
      </c>
      <c r="BQ307" s="4" t="s">
        <v>169</v>
      </c>
      <c r="BR307" s="4">
        <v>0.9</v>
      </c>
      <c r="BS307" s="4">
        <v>0.5</v>
      </c>
      <c r="BT307" s="4">
        <v>0.6</v>
      </c>
      <c r="BU307" s="4">
        <v>0.78</v>
      </c>
      <c r="BV307" s="4">
        <v>1137.5142820000001</v>
      </c>
      <c r="BW307" s="4">
        <v>2.9000000000000001E-2</v>
      </c>
      <c r="BX307" s="5"/>
      <c r="BY307" s="5"/>
      <c r="BZ307" s="5"/>
      <c r="CA307" s="5"/>
    </row>
    <row r="308" spans="1:79" x14ac:dyDescent="0.3">
      <c r="A308" s="4" t="s">
        <v>170</v>
      </c>
      <c r="B308" s="4">
        <v>0.9</v>
      </c>
      <c r="C308" s="4">
        <v>0.5</v>
      </c>
      <c r="D308" s="4">
        <v>0.6</v>
      </c>
      <c r="E308" s="4">
        <v>0.3</v>
      </c>
      <c r="F308" s="6">
        <v>701.655396</v>
      </c>
      <c r="G308" s="4">
        <v>1E-3</v>
      </c>
      <c r="I308" s="4" t="s">
        <v>170</v>
      </c>
      <c r="J308" s="4">
        <v>0.9</v>
      </c>
      <c r="K308" s="4">
        <v>0.5</v>
      </c>
      <c r="L308" s="4">
        <v>0.6</v>
      </c>
      <c r="M308" s="4">
        <v>0.89</v>
      </c>
      <c r="N308" s="4">
        <v>769.44274900000005</v>
      </c>
      <c r="O308" s="4">
        <v>1.4E-2</v>
      </c>
      <c r="P308" s="5"/>
      <c r="Q308" s="5"/>
      <c r="R308" s="5"/>
      <c r="S308" s="5"/>
      <c r="U308" s="4" t="s">
        <v>170</v>
      </c>
      <c r="V308" s="4">
        <v>0.9</v>
      </c>
      <c r="W308" s="4">
        <v>0.5</v>
      </c>
      <c r="X308" s="4">
        <v>0.6</v>
      </c>
      <c r="Y308" s="4">
        <v>0.3</v>
      </c>
      <c r="Z308" s="6">
        <v>691.20379600000001</v>
      </c>
      <c r="AA308" s="4">
        <v>2E-3</v>
      </c>
      <c r="AC308" s="4" t="s">
        <v>170</v>
      </c>
      <c r="AD308" s="4">
        <v>0.9</v>
      </c>
      <c r="AE308" s="4">
        <v>0.5</v>
      </c>
      <c r="AF308" s="4">
        <v>0.6</v>
      </c>
      <c r="AG308" s="4">
        <v>0.27</v>
      </c>
      <c r="AH308" s="4">
        <v>699.65917999999999</v>
      </c>
      <c r="AI308" s="4">
        <v>1.2E-2</v>
      </c>
      <c r="AJ308" s="5"/>
      <c r="AK308" s="5"/>
      <c r="AL308" s="5"/>
      <c r="AM308" s="5"/>
      <c r="AO308" s="4" t="s">
        <v>171</v>
      </c>
      <c r="AP308" s="4">
        <v>0.9</v>
      </c>
      <c r="AQ308" s="4">
        <v>0.5</v>
      </c>
      <c r="AR308" s="4">
        <v>0.6</v>
      </c>
      <c r="AS308" s="4">
        <v>0.3</v>
      </c>
      <c r="AT308" s="6">
        <v>899.73120100000006</v>
      </c>
      <c r="AU308" s="4">
        <v>6.0000000000000001E-3</v>
      </c>
      <c r="AW308" s="4" t="s">
        <v>171</v>
      </c>
      <c r="AX308" s="4">
        <v>0.9</v>
      </c>
      <c r="AY308" s="4">
        <v>0.5</v>
      </c>
      <c r="AZ308" s="4">
        <v>0.6</v>
      </c>
      <c r="BA308" s="4">
        <v>0.49</v>
      </c>
      <c r="BB308" s="4">
        <v>1027.060669</v>
      </c>
      <c r="BC308" s="4">
        <v>2.5999999999999999E-2</v>
      </c>
      <c r="BD308" s="5"/>
      <c r="BE308" s="5"/>
      <c r="BF308" s="5"/>
      <c r="BG308" s="5"/>
      <c r="BI308" s="4" t="s">
        <v>171</v>
      </c>
      <c r="BJ308" s="4">
        <v>0.9</v>
      </c>
      <c r="BK308" s="4">
        <v>0.5</v>
      </c>
      <c r="BL308" s="4">
        <v>0.6</v>
      </c>
      <c r="BM308" s="4">
        <v>0.3</v>
      </c>
      <c r="BN308" s="4">
        <v>913.94464100000005</v>
      </c>
      <c r="BO308" s="4">
        <v>7.0000000000000001E-3</v>
      </c>
      <c r="BQ308" s="4" t="s">
        <v>171</v>
      </c>
      <c r="BR308" s="4">
        <v>0.9</v>
      </c>
      <c r="BS308" s="4">
        <v>0.5</v>
      </c>
      <c r="BT308" s="4">
        <v>0.6</v>
      </c>
      <c r="BU308" s="4">
        <v>0.14000000000000001</v>
      </c>
      <c r="BV308" s="6">
        <v>790.066284</v>
      </c>
      <c r="BW308" s="4">
        <v>1.2999999999999999E-2</v>
      </c>
      <c r="BX308" s="5"/>
      <c r="BY308" s="5"/>
      <c r="BZ308" s="5"/>
      <c r="CA308" s="5"/>
    </row>
    <row r="309" spans="1:79" x14ac:dyDescent="0.3">
      <c r="A309" s="4" t="s">
        <v>172</v>
      </c>
      <c r="B309" s="4">
        <v>0.9</v>
      </c>
      <c r="C309" s="4">
        <v>0.5</v>
      </c>
      <c r="D309" s="4">
        <v>0.6</v>
      </c>
      <c r="E309" s="4">
        <v>0.3</v>
      </c>
      <c r="F309" s="6">
        <v>682.14819299999999</v>
      </c>
      <c r="G309" s="4">
        <v>2E-3</v>
      </c>
      <c r="I309" s="4" t="s">
        <v>172</v>
      </c>
      <c r="J309" s="4">
        <v>0.9</v>
      </c>
      <c r="K309" s="4">
        <v>0.5</v>
      </c>
      <c r="L309" s="4">
        <v>0.6</v>
      </c>
      <c r="M309" s="4">
        <v>0.93</v>
      </c>
      <c r="N309" s="4">
        <v>802.20709199999999</v>
      </c>
      <c r="O309" s="4">
        <v>1.2E-2</v>
      </c>
      <c r="P309" s="5"/>
      <c r="Q309" s="5"/>
      <c r="R309" s="5"/>
      <c r="S309" s="5"/>
      <c r="U309" s="4" t="s">
        <v>172</v>
      </c>
      <c r="V309" s="4">
        <v>0.9</v>
      </c>
      <c r="W309" s="4">
        <v>0.5</v>
      </c>
      <c r="X309" s="4">
        <v>0.6</v>
      </c>
      <c r="Y309" s="4">
        <v>0.3</v>
      </c>
      <c r="Z309" s="4">
        <v>677.95031700000004</v>
      </c>
      <c r="AA309" s="4">
        <v>2E-3</v>
      </c>
      <c r="AC309" s="4" t="s">
        <v>172</v>
      </c>
      <c r="AD309" s="4">
        <v>0.9</v>
      </c>
      <c r="AE309" s="4">
        <v>0.5</v>
      </c>
      <c r="AF309" s="4">
        <v>0.6</v>
      </c>
      <c r="AG309" s="4">
        <v>0.12</v>
      </c>
      <c r="AH309" s="6">
        <v>646.26379399999996</v>
      </c>
      <c r="AI309" s="4">
        <v>1.6E-2</v>
      </c>
      <c r="AJ309" s="5"/>
      <c r="AK309" s="5"/>
      <c r="AL309" s="5"/>
      <c r="AM309" s="5"/>
      <c r="AO309" s="4" t="s">
        <v>173</v>
      </c>
      <c r="AP309" s="4">
        <v>0.9</v>
      </c>
      <c r="AQ309" s="4">
        <v>0.5</v>
      </c>
      <c r="AR309" s="4">
        <v>0.6</v>
      </c>
      <c r="AS309" s="4">
        <v>0.3</v>
      </c>
      <c r="AT309" s="6">
        <v>1001.416016</v>
      </c>
      <c r="AU309" s="4">
        <v>1.2E-2</v>
      </c>
      <c r="AW309" s="4" t="s">
        <v>173</v>
      </c>
      <c r="AX309" s="4">
        <v>0.9</v>
      </c>
      <c r="AY309" s="4">
        <v>0.5</v>
      </c>
      <c r="AZ309" s="4">
        <v>0.6</v>
      </c>
      <c r="BA309" s="4">
        <v>0.01</v>
      </c>
      <c r="BB309" s="4">
        <v>1008.614014</v>
      </c>
      <c r="BC309" s="4">
        <v>0.02</v>
      </c>
      <c r="BD309" s="5"/>
      <c r="BE309" s="5"/>
      <c r="BF309" s="5"/>
      <c r="BG309" s="5"/>
      <c r="BI309" s="4" t="s">
        <v>173</v>
      </c>
      <c r="BJ309" s="4">
        <v>0.9</v>
      </c>
      <c r="BK309" s="4">
        <v>0.5</v>
      </c>
      <c r="BL309" s="4">
        <v>0.6</v>
      </c>
      <c r="BM309" s="4">
        <v>0.3</v>
      </c>
      <c r="BN309" s="6">
        <v>988.808044</v>
      </c>
      <c r="BO309" s="4">
        <v>1.0999999999999999E-2</v>
      </c>
      <c r="BQ309" s="4" t="s">
        <v>173</v>
      </c>
      <c r="BR309" s="4">
        <v>0.9</v>
      </c>
      <c r="BS309" s="4">
        <v>0.5</v>
      </c>
      <c r="BT309" s="4">
        <v>0.6</v>
      </c>
      <c r="BU309" s="4">
        <v>0.98</v>
      </c>
      <c r="BV309" s="4">
        <v>1246.2270510000001</v>
      </c>
      <c r="BW309" s="4">
        <v>3.6999999999999998E-2</v>
      </c>
      <c r="BX309" s="5"/>
      <c r="BY309" s="5"/>
      <c r="BZ309" s="5"/>
      <c r="CA309" s="5"/>
    </row>
    <row r="310" spans="1:79" x14ac:dyDescent="0.3">
      <c r="A310" s="4" t="s">
        <v>174</v>
      </c>
      <c r="B310" s="4">
        <v>0.9</v>
      </c>
      <c r="C310" s="4">
        <v>0.5</v>
      </c>
      <c r="D310" s="4">
        <v>0.6</v>
      </c>
      <c r="E310" s="4">
        <v>0.3</v>
      </c>
      <c r="F310" s="6">
        <v>679.55279499999995</v>
      </c>
      <c r="G310" s="4">
        <v>1E-3</v>
      </c>
      <c r="I310" s="4" t="s">
        <v>174</v>
      </c>
      <c r="J310" s="4">
        <v>0.9</v>
      </c>
      <c r="K310" s="4">
        <v>0.5</v>
      </c>
      <c r="L310" s="4">
        <v>0.6</v>
      </c>
      <c r="M310" s="4">
        <v>0.73</v>
      </c>
      <c r="N310" s="4">
        <v>769.83270300000004</v>
      </c>
      <c r="O310" s="4">
        <v>1.2999999999999999E-2</v>
      </c>
      <c r="P310" s="5"/>
      <c r="Q310" s="5"/>
      <c r="R310" s="5"/>
      <c r="S310" s="5"/>
      <c r="U310" s="4" t="s">
        <v>174</v>
      </c>
      <c r="V310" s="4">
        <v>0.9</v>
      </c>
      <c r="W310" s="4">
        <v>0.5</v>
      </c>
      <c r="X310" s="4">
        <v>0.6</v>
      </c>
      <c r="Y310" s="4">
        <v>0.3</v>
      </c>
      <c r="Z310" s="6">
        <v>679.08923300000004</v>
      </c>
      <c r="AA310" s="4">
        <v>2E-3</v>
      </c>
      <c r="AC310" s="4" t="s">
        <v>174</v>
      </c>
      <c r="AD310" s="4">
        <v>0.9</v>
      </c>
      <c r="AE310" s="4">
        <v>0.5</v>
      </c>
      <c r="AF310" s="4">
        <v>0.6</v>
      </c>
      <c r="AG310" s="4">
        <v>0.44</v>
      </c>
      <c r="AH310" s="4">
        <v>722.65069600000004</v>
      </c>
      <c r="AI310" s="4">
        <v>1.7000000000000001E-2</v>
      </c>
      <c r="AJ310" s="5"/>
      <c r="AK310" s="5"/>
      <c r="AL310" s="5"/>
      <c r="AM310" s="5"/>
      <c r="AO310" s="4" t="s">
        <v>175</v>
      </c>
      <c r="AP310" s="4">
        <v>0.9</v>
      </c>
      <c r="AQ310" s="4">
        <v>0.5</v>
      </c>
      <c r="AR310" s="4">
        <v>0.6</v>
      </c>
      <c r="AS310" s="4">
        <v>0.3</v>
      </c>
      <c r="AT310" s="6">
        <v>994.76025400000003</v>
      </c>
      <c r="AU310" s="4">
        <v>8.0000000000000002E-3</v>
      </c>
      <c r="AW310" s="4" t="s">
        <v>175</v>
      </c>
      <c r="AX310" s="4">
        <v>0.9</v>
      </c>
      <c r="AY310" s="4">
        <v>0.5</v>
      </c>
      <c r="AZ310" s="4">
        <v>0.6</v>
      </c>
      <c r="BA310" s="4">
        <v>0.34</v>
      </c>
      <c r="BB310" s="4">
        <v>1017.729004</v>
      </c>
      <c r="BC310" s="4">
        <v>1.7999999999999999E-2</v>
      </c>
      <c r="BD310" s="5"/>
      <c r="BE310" s="5"/>
      <c r="BF310" s="5"/>
      <c r="BG310" s="5"/>
      <c r="BI310" s="4" t="s">
        <v>175</v>
      </c>
      <c r="BJ310" s="4">
        <v>0.9</v>
      </c>
      <c r="BK310" s="4">
        <v>0.5</v>
      </c>
      <c r="BL310" s="4">
        <v>0.6</v>
      </c>
      <c r="BM310" s="4">
        <v>0.3</v>
      </c>
      <c r="BN310" s="4">
        <v>986.171021</v>
      </c>
      <c r="BO310" s="4">
        <v>8.0000000000000002E-3</v>
      </c>
      <c r="BQ310" s="4" t="s">
        <v>175</v>
      </c>
      <c r="BR310" s="4">
        <v>0.9</v>
      </c>
      <c r="BS310" s="4">
        <v>0.5</v>
      </c>
      <c r="BT310" s="4">
        <v>0.6</v>
      </c>
      <c r="BU310" s="4">
        <v>7.0000000000000007E-2</v>
      </c>
      <c r="BV310" s="6">
        <v>821.44604500000003</v>
      </c>
      <c r="BW310" s="4">
        <v>3.1E-2</v>
      </c>
      <c r="BX310" s="5"/>
      <c r="BY310" s="5"/>
      <c r="BZ310" s="5"/>
      <c r="CA310" s="5"/>
    </row>
    <row r="311" spans="1:79" x14ac:dyDescent="0.3">
      <c r="A311" s="4" t="s">
        <v>176</v>
      </c>
      <c r="B311" s="4">
        <v>0.9</v>
      </c>
      <c r="C311" s="4">
        <v>0.5</v>
      </c>
      <c r="D311" s="4">
        <v>0.6</v>
      </c>
      <c r="E311" s="4">
        <v>0.3</v>
      </c>
      <c r="F311" s="6">
        <v>711.51544200000001</v>
      </c>
      <c r="G311" s="4">
        <v>2E-3</v>
      </c>
      <c r="I311" s="4" t="s">
        <v>176</v>
      </c>
      <c r="J311" s="4">
        <v>0.9</v>
      </c>
      <c r="K311" s="4">
        <v>0.5</v>
      </c>
      <c r="L311" s="4">
        <v>0.6</v>
      </c>
      <c r="M311" s="4">
        <v>0.31</v>
      </c>
      <c r="N311" s="4">
        <v>713.35375999999997</v>
      </c>
      <c r="O311" s="4">
        <v>1.4E-2</v>
      </c>
      <c r="P311" s="5"/>
      <c r="Q311" s="5"/>
      <c r="R311" s="5"/>
      <c r="S311" s="5"/>
      <c r="U311" s="4" t="s">
        <v>176</v>
      </c>
      <c r="V311" s="4">
        <v>0.9</v>
      </c>
      <c r="W311" s="4">
        <v>0.5</v>
      </c>
      <c r="X311" s="4">
        <v>0.6</v>
      </c>
      <c r="Y311" s="4">
        <v>0.3</v>
      </c>
      <c r="Z311" s="6">
        <v>704.65795900000001</v>
      </c>
      <c r="AA311" s="4">
        <v>3.0000000000000001E-3</v>
      </c>
      <c r="AC311" s="4" t="s">
        <v>176</v>
      </c>
      <c r="AD311" s="4">
        <v>0.9</v>
      </c>
      <c r="AE311" s="4">
        <v>0.5</v>
      </c>
      <c r="AF311" s="4">
        <v>0.6</v>
      </c>
      <c r="AG311" s="4">
        <v>0.5</v>
      </c>
      <c r="AH311" s="4">
        <v>757.23138400000005</v>
      </c>
      <c r="AI311" s="4">
        <v>1.4E-2</v>
      </c>
      <c r="AJ311" s="5"/>
      <c r="AK311" s="5"/>
      <c r="AL311" s="5"/>
      <c r="AM311" s="5"/>
      <c r="AO311" s="4" t="s">
        <v>177</v>
      </c>
      <c r="AP311" s="4">
        <v>0.9</v>
      </c>
      <c r="AQ311" s="4">
        <v>0.5</v>
      </c>
      <c r="AR311" s="4">
        <v>0.6</v>
      </c>
      <c r="AS311" s="4">
        <v>0.3</v>
      </c>
      <c r="AT311" s="4">
        <v>1094.015625</v>
      </c>
      <c r="AU311" s="4">
        <v>1.0999999999999999E-2</v>
      </c>
      <c r="AW311" s="4" t="s">
        <v>177</v>
      </c>
      <c r="AX311" s="4">
        <v>0.9</v>
      </c>
      <c r="AY311" s="4">
        <v>0.5</v>
      </c>
      <c r="AZ311" s="4">
        <v>0.6</v>
      </c>
      <c r="BA311" s="4">
        <v>0.13</v>
      </c>
      <c r="BB311" s="6">
        <v>1003.579895</v>
      </c>
      <c r="BC311" s="4">
        <v>0.01</v>
      </c>
      <c r="BD311" s="5"/>
      <c r="BE311" s="5"/>
      <c r="BF311" s="5"/>
      <c r="BG311" s="5"/>
      <c r="BI311" s="4" t="s">
        <v>177</v>
      </c>
      <c r="BJ311" s="4">
        <v>0.9</v>
      </c>
      <c r="BK311" s="4">
        <v>0.5</v>
      </c>
      <c r="BL311" s="4">
        <v>0.6</v>
      </c>
      <c r="BM311" s="4">
        <v>0.3</v>
      </c>
      <c r="BN311" s="6">
        <v>1096.2398679999999</v>
      </c>
      <c r="BO311" s="4">
        <v>0.01</v>
      </c>
      <c r="BQ311" s="4" t="s">
        <v>177</v>
      </c>
      <c r="BR311" s="4">
        <v>0.9</v>
      </c>
      <c r="BS311" s="4">
        <v>0.5</v>
      </c>
      <c r="BT311" s="4">
        <v>0.6</v>
      </c>
      <c r="BU311" s="4">
        <v>0.36</v>
      </c>
      <c r="BV311" s="4">
        <v>1145.895264</v>
      </c>
      <c r="BW311" s="4">
        <v>0.04</v>
      </c>
      <c r="BX311" s="5"/>
      <c r="BY311" s="5"/>
      <c r="BZ311" s="5"/>
      <c r="CA311" s="5"/>
    </row>
    <row r="312" spans="1:79" x14ac:dyDescent="0.3">
      <c r="A312" s="4" t="s">
        <v>178</v>
      </c>
      <c r="B312" s="4">
        <v>0.9</v>
      </c>
      <c r="C312" s="4">
        <v>0.5</v>
      </c>
      <c r="D312" s="4">
        <v>0.6</v>
      </c>
      <c r="E312" s="4">
        <v>0.3</v>
      </c>
      <c r="F312" s="6">
        <v>681.59948699999995</v>
      </c>
      <c r="G312" s="4">
        <v>2E-3</v>
      </c>
      <c r="I312" s="4" t="s">
        <v>178</v>
      </c>
      <c r="J312" s="4">
        <v>0.9</v>
      </c>
      <c r="K312" s="4">
        <v>0.5</v>
      </c>
      <c r="L312" s="4">
        <v>0.6</v>
      </c>
      <c r="M312" s="4">
        <v>0.53</v>
      </c>
      <c r="N312" s="4">
        <v>785.84918200000004</v>
      </c>
      <c r="O312" s="4">
        <v>2.3E-2</v>
      </c>
      <c r="P312" s="5"/>
      <c r="Q312" s="5"/>
      <c r="R312" s="5"/>
      <c r="S312" s="5"/>
      <c r="U312" s="4" t="s">
        <v>178</v>
      </c>
      <c r="V312" s="4">
        <v>0.9</v>
      </c>
      <c r="W312" s="4">
        <v>0.5</v>
      </c>
      <c r="X312" s="4">
        <v>0.6</v>
      </c>
      <c r="Y312" s="4">
        <v>0.3</v>
      </c>
      <c r="Z312" s="6">
        <v>663.02569600000004</v>
      </c>
      <c r="AA312" s="4">
        <v>3.0000000000000001E-3</v>
      </c>
      <c r="AC312" s="4" t="s">
        <v>178</v>
      </c>
      <c r="AD312" s="4">
        <v>0.9</v>
      </c>
      <c r="AE312" s="4">
        <v>0.5</v>
      </c>
      <c r="AF312" s="4">
        <v>0.6</v>
      </c>
      <c r="AG312" s="4">
        <v>0.6</v>
      </c>
      <c r="AH312" s="4">
        <v>835.92645300000004</v>
      </c>
      <c r="AI312" s="4">
        <v>3.4000000000000002E-2</v>
      </c>
      <c r="AJ312" s="5"/>
      <c r="AK312" s="5"/>
      <c r="AL312" s="5"/>
      <c r="AM312" s="5"/>
      <c r="AO312" s="4" t="s">
        <v>179</v>
      </c>
      <c r="AP312" s="4">
        <v>0.9</v>
      </c>
      <c r="AQ312" s="4">
        <v>0.5</v>
      </c>
      <c r="AR312" s="4">
        <v>0.6</v>
      </c>
      <c r="AS312" s="4">
        <v>0.3</v>
      </c>
      <c r="AT312" s="6">
        <v>1064.6329350000001</v>
      </c>
      <c r="AU312" s="4">
        <v>8.9999999999999993E-3</v>
      </c>
      <c r="AW312" s="4" t="s">
        <v>179</v>
      </c>
      <c r="AX312" s="4">
        <v>0.9</v>
      </c>
      <c r="AY312" s="4">
        <v>0.5</v>
      </c>
      <c r="AZ312" s="4">
        <v>0.6</v>
      </c>
      <c r="BA312" s="4">
        <v>0.74</v>
      </c>
      <c r="BB312" s="4">
        <v>1234.939697</v>
      </c>
      <c r="BC312" s="4">
        <v>1.6E-2</v>
      </c>
      <c r="BD312" s="5"/>
      <c r="BE312" s="5"/>
      <c r="BF312" s="5"/>
      <c r="BG312" s="5"/>
      <c r="BI312" s="4" t="s">
        <v>179</v>
      </c>
      <c r="BJ312" s="4">
        <v>0.9</v>
      </c>
      <c r="BK312" s="4">
        <v>0.5</v>
      </c>
      <c r="BL312" s="4">
        <v>0.6</v>
      </c>
      <c r="BM312" s="4">
        <v>0.3</v>
      </c>
      <c r="BN312" s="4">
        <v>1032.007202</v>
      </c>
      <c r="BO312" s="4">
        <v>7.0000000000000001E-3</v>
      </c>
      <c r="BQ312" s="4" t="s">
        <v>179</v>
      </c>
      <c r="BR312" s="4">
        <v>0.9</v>
      </c>
      <c r="BS312" s="4">
        <v>0.5</v>
      </c>
      <c r="BT312" s="4">
        <v>0.6</v>
      </c>
      <c r="BU312" s="4">
        <v>0.12</v>
      </c>
      <c r="BV312" s="6">
        <v>920.82781999999997</v>
      </c>
      <c r="BW312" s="4">
        <v>1.4E-2</v>
      </c>
      <c r="BX312" s="5"/>
      <c r="BY312" s="5"/>
      <c r="BZ312" s="5"/>
      <c r="CA312" s="5"/>
    </row>
    <row r="313" spans="1:79" x14ac:dyDescent="0.3">
      <c r="A313" s="4" t="s">
        <v>180</v>
      </c>
      <c r="B313" s="4">
        <v>0.9</v>
      </c>
      <c r="C313" s="4">
        <v>0.5</v>
      </c>
      <c r="D313" s="4">
        <v>0.6</v>
      </c>
      <c r="E313" s="4">
        <v>0.3</v>
      </c>
      <c r="F313" s="6">
        <v>679.16375700000003</v>
      </c>
      <c r="G313" s="4">
        <v>2E-3</v>
      </c>
      <c r="I313" s="4" t="s">
        <v>180</v>
      </c>
      <c r="J313" s="4">
        <v>0.9</v>
      </c>
      <c r="K313" s="4">
        <v>0.5</v>
      </c>
      <c r="L313" s="4">
        <v>0.6</v>
      </c>
      <c r="M313" s="4">
        <v>0.63</v>
      </c>
      <c r="N313" s="4">
        <v>788.38195800000005</v>
      </c>
      <c r="O313" s="4">
        <v>2.4E-2</v>
      </c>
      <c r="P313" s="5"/>
      <c r="Q313" s="5"/>
      <c r="R313" s="5"/>
      <c r="S313" s="5"/>
      <c r="U313" s="4" t="s">
        <v>180</v>
      </c>
      <c r="V313" s="4">
        <v>0.9</v>
      </c>
      <c r="W313" s="4">
        <v>0.5</v>
      </c>
      <c r="X313" s="4">
        <v>0.6</v>
      </c>
      <c r="Y313" s="4">
        <v>0.3</v>
      </c>
      <c r="Z313" s="6">
        <v>679.68573000000004</v>
      </c>
      <c r="AA313" s="4">
        <v>2E-3</v>
      </c>
      <c r="AC313" s="4" t="s">
        <v>180</v>
      </c>
      <c r="AD313" s="4">
        <v>0.9</v>
      </c>
      <c r="AE313" s="4">
        <v>0.5</v>
      </c>
      <c r="AF313" s="4">
        <v>0.6</v>
      </c>
      <c r="AG313" s="4">
        <v>0.8</v>
      </c>
      <c r="AH313" s="4">
        <v>819.02954099999999</v>
      </c>
      <c r="AI313" s="4">
        <v>8.0000000000000002E-3</v>
      </c>
      <c r="AJ313" s="5"/>
      <c r="AK313" s="5"/>
      <c r="AL313" s="5"/>
      <c r="AM313" s="5"/>
      <c r="AO313" s="4" t="s">
        <v>181</v>
      </c>
      <c r="AP313" s="4">
        <v>0.9</v>
      </c>
      <c r="AQ313" s="4">
        <v>0.5</v>
      </c>
      <c r="AR313" s="4">
        <v>0.6</v>
      </c>
      <c r="AS313" s="4">
        <v>0.3</v>
      </c>
      <c r="AT313" s="4">
        <v>1077.0948490000001</v>
      </c>
      <c r="AU313" s="4">
        <v>1.2E-2</v>
      </c>
      <c r="AW313" s="4" t="s">
        <v>181</v>
      </c>
      <c r="AX313" s="4">
        <v>0.9</v>
      </c>
      <c r="AY313" s="4">
        <v>0.5</v>
      </c>
      <c r="AZ313" s="4">
        <v>0.6</v>
      </c>
      <c r="BA313" s="4">
        <v>0.23</v>
      </c>
      <c r="BB313" s="6">
        <v>994.587219</v>
      </c>
      <c r="BC313" s="4">
        <v>1.7000000000000001E-2</v>
      </c>
      <c r="BD313" s="5"/>
      <c r="BE313" s="5"/>
      <c r="BF313" s="5"/>
      <c r="BG313" s="5"/>
      <c r="BI313" s="4" t="s">
        <v>181</v>
      </c>
      <c r="BJ313" s="4">
        <v>0.9</v>
      </c>
      <c r="BK313" s="4">
        <v>0.5</v>
      </c>
      <c r="BL313" s="4">
        <v>0.6</v>
      </c>
      <c r="BM313" s="4">
        <v>0.3</v>
      </c>
      <c r="BN313" s="4">
        <v>1059.1956789999999</v>
      </c>
      <c r="BO313" s="4">
        <v>0.01</v>
      </c>
      <c r="BQ313" s="4" t="s">
        <v>181</v>
      </c>
      <c r="BR313" s="4">
        <v>0.9</v>
      </c>
      <c r="BS313" s="4">
        <v>0.5</v>
      </c>
      <c r="BT313" s="4">
        <v>0.6</v>
      </c>
      <c r="BU313" s="4">
        <v>0.19</v>
      </c>
      <c r="BV313" s="6">
        <v>976.29638699999998</v>
      </c>
      <c r="BW313" s="4">
        <v>0.02</v>
      </c>
      <c r="BX313" s="5"/>
      <c r="BY313" s="5"/>
      <c r="BZ313" s="5"/>
      <c r="CA313" s="5"/>
    </row>
    <row r="314" spans="1:79" x14ac:dyDescent="0.3">
      <c r="A314" s="4" t="s">
        <v>182</v>
      </c>
      <c r="B314" s="4">
        <v>0.9</v>
      </c>
      <c r="C314" s="4">
        <v>0.5</v>
      </c>
      <c r="D314" s="4">
        <v>0.6</v>
      </c>
      <c r="E314" s="4">
        <v>0.3</v>
      </c>
      <c r="F314" s="6">
        <v>646.34417699999995</v>
      </c>
      <c r="G314" s="4">
        <v>1E-3</v>
      </c>
      <c r="I314" s="4" t="s">
        <v>182</v>
      </c>
      <c r="J314" s="4">
        <v>0.9</v>
      </c>
      <c r="K314" s="4">
        <v>0.5</v>
      </c>
      <c r="L314" s="4">
        <v>0.6</v>
      </c>
      <c r="M314" s="4">
        <v>0.66</v>
      </c>
      <c r="N314" s="4">
        <v>744.70556599999998</v>
      </c>
      <c r="O314" s="4">
        <v>8.9999999999999993E-3</v>
      </c>
      <c r="P314" s="5"/>
      <c r="Q314" s="5"/>
      <c r="R314" s="5"/>
      <c r="S314" s="5"/>
      <c r="U314" s="4" t="s">
        <v>182</v>
      </c>
      <c r="V314" s="4">
        <v>0.9</v>
      </c>
      <c r="W314" s="4">
        <v>0.5</v>
      </c>
      <c r="X314" s="4">
        <v>0.6</v>
      </c>
      <c r="Y314" s="4">
        <v>0.3</v>
      </c>
      <c r="Z314" s="6">
        <v>642.31994599999996</v>
      </c>
      <c r="AA314" s="4">
        <v>2E-3</v>
      </c>
      <c r="AC314" s="4" t="s">
        <v>182</v>
      </c>
      <c r="AD314" s="4">
        <v>0.9</v>
      </c>
      <c r="AE314" s="4">
        <v>0.5</v>
      </c>
      <c r="AF314" s="4">
        <v>0.6</v>
      </c>
      <c r="AG314" s="4">
        <v>0.48</v>
      </c>
      <c r="AH314" s="4">
        <v>683.54858400000001</v>
      </c>
      <c r="AI314" s="4">
        <v>1.4999999999999999E-2</v>
      </c>
      <c r="AJ314" s="5"/>
      <c r="AK314" s="5"/>
      <c r="AL314" s="5"/>
      <c r="AM314" s="5"/>
      <c r="AO314" s="4" t="s">
        <v>183</v>
      </c>
      <c r="AP314" s="4">
        <v>0.9</v>
      </c>
      <c r="AQ314" s="4">
        <v>0.5</v>
      </c>
      <c r="AR314" s="4">
        <v>0.6</v>
      </c>
      <c r="AS314" s="4">
        <v>0.3</v>
      </c>
      <c r="AT314" s="6">
        <v>1066.544312</v>
      </c>
      <c r="AU314" s="4">
        <v>8.9999999999999993E-3</v>
      </c>
      <c r="AW314" s="4" t="s">
        <v>183</v>
      </c>
      <c r="AX314" s="4">
        <v>0.9</v>
      </c>
      <c r="AY314" s="4">
        <v>0.5</v>
      </c>
      <c r="AZ314" s="4">
        <v>0.6</v>
      </c>
      <c r="BA314" s="4">
        <v>0.68</v>
      </c>
      <c r="BB314" s="4">
        <v>1277.256226</v>
      </c>
      <c r="BC314" s="4">
        <v>0.02</v>
      </c>
      <c r="BD314" s="5"/>
      <c r="BE314" s="5"/>
      <c r="BF314" s="5"/>
      <c r="BG314" s="5"/>
      <c r="BI314" s="4" t="s">
        <v>183</v>
      </c>
      <c r="BJ314" s="4">
        <v>0.9</v>
      </c>
      <c r="BK314" s="4">
        <v>0.5</v>
      </c>
      <c r="BL314" s="4">
        <v>0.6</v>
      </c>
      <c r="BM314" s="4">
        <v>0.3</v>
      </c>
      <c r="BN314" s="6">
        <v>1040.484375</v>
      </c>
      <c r="BO314" s="4">
        <v>1.2E-2</v>
      </c>
      <c r="BQ314" s="4" t="s">
        <v>183</v>
      </c>
      <c r="BR314" s="4">
        <v>0.9</v>
      </c>
      <c r="BS314" s="4">
        <v>0.5</v>
      </c>
      <c r="BT314" s="4">
        <v>0.6</v>
      </c>
      <c r="BU314" s="4">
        <v>0.78</v>
      </c>
      <c r="BV314" s="4">
        <v>1265.6301269999999</v>
      </c>
      <c r="BW314" s="4">
        <v>2.9000000000000001E-2</v>
      </c>
      <c r="BX314" s="5"/>
      <c r="BY314" s="5"/>
      <c r="BZ314" s="5"/>
      <c r="CA314" s="5"/>
    </row>
    <row r="315" spans="1:79" x14ac:dyDescent="0.3">
      <c r="A315" s="4" t="s">
        <v>184</v>
      </c>
      <c r="B315" s="4">
        <v>0.9</v>
      </c>
      <c r="C315" s="4">
        <v>0.5</v>
      </c>
      <c r="D315" s="4">
        <v>0.6</v>
      </c>
      <c r="E315" s="4">
        <v>0.3</v>
      </c>
      <c r="F315" s="4">
        <v>649.77593999999999</v>
      </c>
      <c r="G315" s="4">
        <v>2E-3</v>
      </c>
      <c r="I315" s="4" t="s">
        <v>184</v>
      </c>
      <c r="J315" s="4">
        <v>0.9</v>
      </c>
      <c r="K315" s="4">
        <v>0.5</v>
      </c>
      <c r="L315" s="4">
        <v>0.6</v>
      </c>
      <c r="M315" s="4">
        <v>0.2</v>
      </c>
      <c r="N315" s="6">
        <v>640.79394500000001</v>
      </c>
      <c r="O315" s="4">
        <v>1.9E-2</v>
      </c>
      <c r="P315" s="5"/>
      <c r="Q315" s="5"/>
      <c r="R315" s="5"/>
      <c r="S315" s="5"/>
      <c r="U315" s="4" t="s">
        <v>184</v>
      </c>
      <c r="V315" s="4">
        <v>0.9</v>
      </c>
      <c r="W315" s="4">
        <v>0.5</v>
      </c>
      <c r="X315" s="4">
        <v>0.6</v>
      </c>
      <c r="Y315" s="4">
        <v>0.3</v>
      </c>
      <c r="Z315" s="6">
        <v>644.09020999999996</v>
      </c>
      <c r="AA315" s="4">
        <v>2E-3</v>
      </c>
      <c r="AC315" s="4" t="s">
        <v>184</v>
      </c>
      <c r="AD315" s="4">
        <v>0.9</v>
      </c>
      <c r="AE315" s="4">
        <v>0.5</v>
      </c>
      <c r="AF315" s="4">
        <v>0.6</v>
      </c>
      <c r="AG315" s="4">
        <v>0.54</v>
      </c>
      <c r="AH315" s="4">
        <v>705.02465800000004</v>
      </c>
      <c r="AI315" s="4">
        <v>2.3E-2</v>
      </c>
      <c r="AJ315" s="5"/>
      <c r="AK315" s="5"/>
      <c r="AL315" s="5"/>
      <c r="AM315" s="5"/>
      <c r="AO315" s="4" t="s">
        <v>185</v>
      </c>
      <c r="AP315" s="4">
        <v>0.9</v>
      </c>
      <c r="AQ315" s="4">
        <v>0.5</v>
      </c>
      <c r="AR315" s="4">
        <v>0.6</v>
      </c>
      <c r="AS315" s="4">
        <v>0.3</v>
      </c>
      <c r="AT315" s="6">
        <v>1033.1480710000001</v>
      </c>
      <c r="AU315" s="4">
        <v>1.0999999999999999E-2</v>
      </c>
      <c r="AW315" s="4" t="s">
        <v>185</v>
      </c>
      <c r="AX315" s="4">
        <v>0.9</v>
      </c>
      <c r="AY315" s="4">
        <v>0.5</v>
      </c>
      <c r="AZ315" s="4">
        <v>0.6</v>
      </c>
      <c r="BA315" s="4">
        <v>0.48</v>
      </c>
      <c r="BB315" s="4">
        <v>1176.3264160000001</v>
      </c>
      <c r="BC315" s="4">
        <v>1.7000000000000001E-2</v>
      </c>
      <c r="BD315" s="5"/>
      <c r="BE315" s="5"/>
      <c r="BF315" s="5"/>
      <c r="BG315" s="5"/>
      <c r="BI315" s="4" t="s">
        <v>185</v>
      </c>
      <c r="BJ315" s="4">
        <v>0.9</v>
      </c>
      <c r="BK315" s="4">
        <v>0.5</v>
      </c>
      <c r="BL315" s="4">
        <v>0.6</v>
      </c>
      <c r="BM315" s="4">
        <v>0.3</v>
      </c>
      <c r="BN315" s="6">
        <v>1045.4296879999999</v>
      </c>
      <c r="BO315" s="4">
        <v>1.0999999999999999E-2</v>
      </c>
      <c r="BQ315" s="4" t="s">
        <v>185</v>
      </c>
      <c r="BR315" s="4">
        <v>0.9</v>
      </c>
      <c r="BS315" s="4">
        <v>0.5</v>
      </c>
      <c r="BT315" s="4">
        <v>0.6</v>
      </c>
      <c r="BU315" s="4">
        <v>0.94</v>
      </c>
      <c r="BV315" s="4">
        <v>1374.533447</v>
      </c>
      <c r="BW315" s="4">
        <v>2.4E-2</v>
      </c>
      <c r="BX315" s="5"/>
      <c r="BY315" s="5"/>
      <c r="BZ315" s="5"/>
      <c r="CA315" s="5"/>
    </row>
    <row r="316" spans="1:79" x14ac:dyDescent="0.3">
      <c r="A316" s="4" t="s">
        <v>186</v>
      </c>
      <c r="B316" s="4">
        <v>0.9</v>
      </c>
      <c r="C316" s="4">
        <v>0.5</v>
      </c>
      <c r="D316" s="4">
        <v>0.6</v>
      </c>
      <c r="E316" s="4">
        <v>0.3</v>
      </c>
      <c r="F316" s="4">
        <v>753.48980700000004</v>
      </c>
      <c r="G316" s="4">
        <v>2E-3</v>
      </c>
      <c r="I316" s="4" t="s">
        <v>186</v>
      </c>
      <c r="J316" s="4">
        <v>0.9</v>
      </c>
      <c r="K316" s="4">
        <v>0.5</v>
      </c>
      <c r="L316" s="4">
        <v>0.6</v>
      </c>
      <c r="M316" s="4">
        <v>0.15</v>
      </c>
      <c r="N316" s="6">
        <v>729.073486</v>
      </c>
      <c r="O316" s="4">
        <v>0.01</v>
      </c>
      <c r="P316" s="5"/>
      <c r="Q316" s="5"/>
      <c r="R316" s="5"/>
      <c r="S316" s="5"/>
      <c r="U316" s="4" t="s">
        <v>186</v>
      </c>
      <c r="V316" s="4">
        <v>0.9</v>
      </c>
      <c r="W316" s="4">
        <v>0.5</v>
      </c>
      <c r="X316" s="4">
        <v>0.6</v>
      </c>
      <c r="Y316" s="4">
        <v>0.3</v>
      </c>
      <c r="Z316" s="6">
        <v>768.12579300000004</v>
      </c>
      <c r="AA316" s="4">
        <v>4.0000000000000001E-3</v>
      </c>
      <c r="AC316" s="4" t="s">
        <v>186</v>
      </c>
      <c r="AD316" s="4">
        <v>0.9</v>
      </c>
      <c r="AE316" s="4">
        <v>0.5</v>
      </c>
      <c r="AF316" s="4">
        <v>0.6</v>
      </c>
      <c r="AG316" s="4">
        <v>0.37</v>
      </c>
      <c r="AH316" s="4">
        <v>819.81555200000003</v>
      </c>
      <c r="AI316" s="4">
        <v>1.9E-2</v>
      </c>
      <c r="AJ316" s="5"/>
      <c r="AK316" s="5"/>
      <c r="AL316" s="5"/>
      <c r="AM316" s="5"/>
      <c r="AO316" s="4" t="s">
        <v>187</v>
      </c>
      <c r="AP316" s="4">
        <v>0.9</v>
      </c>
      <c r="AQ316" s="4">
        <v>0.5</v>
      </c>
      <c r="AR316" s="4">
        <v>0.6</v>
      </c>
      <c r="AS316" s="4">
        <v>0.3</v>
      </c>
      <c r="AT316" s="6">
        <v>1149.893311</v>
      </c>
      <c r="AU316" s="4">
        <v>8.0000000000000002E-3</v>
      </c>
      <c r="AW316" s="4" t="s">
        <v>187</v>
      </c>
      <c r="AX316" s="4">
        <v>0.9</v>
      </c>
      <c r="AY316" s="4">
        <v>0.5</v>
      </c>
      <c r="AZ316" s="4">
        <v>0.6</v>
      </c>
      <c r="BA316" s="4">
        <v>0.52</v>
      </c>
      <c r="BB316" s="4">
        <v>1328.8201899999999</v>
      </c>
      <c r="BC316" s="4">
        <v>1.7000000000000001E-2</v>
      </c>
      <c r="BD316" s="5"/>
      <c r="BE316" s="5"/>
      <c r="BF316" s="5"/>
      <c r="BG316" s="5"/>
      <c r="BI316" s="4" t="s">
        <v>187</v>
      </c>
      <c r="BJ316" s="4">
        <v>0.9</v>
      </c>
      <c r="BK316" s="4">
        <v>0.5</v>
      </c>
      <c r="BL316" s="4">
        <v>0.6</v>
      </c>
      <c r="BM316" s="4">
        <v>0.3</v>
      </c>
      <c r="BN316" s="4">
        <v>1156.548462</v>
      </c>
      <c r="BO316" s="4">
        <v>1.2999999999999999E-2</v>
      </c>
      <c r="BQ316" s="4" t="s">
        <v>187</v>
      </c>
      <c r="BR316" s="4">
        <v>0.9</v>
      </c>
      <c r="BS316" s="4">
        <v>0.5</v>
      </c>
      <c r="BT316" s="4">
        <v>0.6</v>
      </c>
      <c r="BU316" s="4">
        <v>0.01</v>
      </c>
      <c r="BV316" s="6">
        <v>1020.625</v>
      </c>
      <c r="BW316" s="4">
        <v>1.9E-2</v>
      </c>
      <c r="BX316" s="5"/>
      <c r="BY316" s="5"/>
      <c r="BZ316" s="5"/>
      <c r="CA316" s="5"/>
    </row>
    <row r="317" spans="1:79" x14ac:dyDescent="0.3">
      <c r="A317" s="4" t="s">
        <v>188</v>
      </c>
      <c r="B317" s="4">
        <v>0.9</v>
      </c>
      <c r="C317" s="4">
        <v>0.5</v>
      </c>
      <c r="D317" s="4">
        <v>0.6</v>
      </c>
      <c r="E317" s="4">
        <v>0.3</v>
      </c>
      <c r="F317" s="4">
        <v>689.41198699999995</v>
      </c>
      <c r="G317" s="4">
        <v>2E-3</v>
      </c>
      <c r="I317" s="4" t="s">
        <v>188</v>
      </c>
      <c r="J317" s="4">
        <v>0.9</v>
      </c>
      <c r="K317" s="4">
        <v>0.5</v>
      </c>
      <c r="L317" s="4">
        <v>0.6</v>
      </c>
      <c r="M317" s="4">
        <v>0.21</v>
      </c>
      <c r="N317" s="6">
        <v>681.14215100000001</v>
      </c>
      <c r="O317" s="4">
        <v>2.9000000000000001E-2</v>
      </c>
      <c r="P317" s="5"/>
      <c r="Q317" s="5"/>
      <c r="R317" s="5"/>
      <c r="S317" s="5"/>
      <c r="U317" s="4" t="s">
        <v>188</v>
      </c>
      <c r="V317" s="4">
        <v>0.9</v>
      </c>
      <c r="W317" s="4">
        <v>0.5</v>
      </c>
      <c r="X317" s="4">
        <v>0.6</v>
      </c>
      <c r="Y317" s="4">
        <v>0.3</v>
      </c>
      <c r="Z317" s="6">
        <v>688.69348100000002</v>
      </c>
      <c r="AA317" s="4">
        <v>2E-3</v>
      </c>
      <c r="AC317" s="4" t="s">
        <v>188</v>
      </c>
      <c r="AD317" s="4">
        <v>0.9</v>
      </c>
      <c r="AE317" s="4">
        <v>0.5</v>
      </c>
      <c r="AF317" s="4">
        <v>0.6</v>
      </c>
      <c r="AG317" s="4">
        <v>0.71</v>
      </c>
      <c r="AH317" s="4">
        <v>755.63415499999996</v>
      </c>
      <c r="AI317" s="4">
        <v>1.4E-2</v>
      </c>
      <c r="AJ317" s="5"/>
      <c r="AK317" s="5"/>
      <c r="AL317" s="5"/>
      <c r="AM317" s="5"/>
      <c r="AO317" s="4" t="s">
        <v>189</v>
      </c>
      <c r="AP317" s="4">
        <v>0.9</v>
      </c>
      <c r="AQ317" s="4">
        <v>0.5</v>
      </c>
      <c r="AR317" s="4">
        <v>0.6</v>
      </c>
      <c r="AS317" s="4">
        <v>0.3</v>
      </c>
      <c r="AT317" s="4">
        <v>1010.663086</v>
      </c>
      <c r="AU317" s="4">
        <v>1.0999999999999999E-2</v>
      </c>
      <c r="AW317" s="4" t="s">
        <v>189</v>
      </c>
      <c r="AX317" s="4">
        <v>0.9</v>
      </c>
      <c r="AY317" s="4">
        <v>0.5</v>
      </c>
      <c r="AZ317" s="4">
        <v>0.6</v>
      </c>
      <c r="BA317" s="4">
        <v>0.02</v>
      </c>
      <c r="BB317" s="6">
        <v>814.90594499999997</v>
      </c>
      <c r="BC317" s="4">
        <v>3.3000000000000002E-2</v>
      </c>
      <c r="BD317" s="5"/>
      <c r="BE317" s="5"/>
      <c r="BF317" s="5"/>
      <c r="BG317" s="5"/>
      <c r="BI317" s="4" t="s">
        <v>189</v>
      </c>
      <c r="BJ317" s="4">
        <v>0.9</v>
      </c>
      <c r="BK317" s="4">
        <v>0.5</v>
      </c>
      <c r="BL317" s="4">
        <v>0.6</v>
      </c>
      <c r="BM317" s="4">
        <v>0.3</v>
      </c>
      <c r="BN317" s="4">
        <v>999.27160600000002</v>
      </c>
      <c r="BO317" s="4">
        <v>7.0000000000000001E-3</v>
      </c>
      <c r="BQ317" s="4" t="s">
        <v>189</v>
      </c>
      <c r="BR317" s="4">
        <v>0.9</v>
      </c>
      <c r="BS317" s="4">
        <v>0.5</v>
      </c>
      <c r="BT317" s="4">
        <v>0.6</v>
      </c>
      <c r="BU317" s="4">
        <v>0.13</v>
      </c>
      <c r="BV317" s="6">
        <v>904.98327600000005</v>
      </c>
      <c r="BW317" s="4">
        <v>1.7999999999999999E-2</v>
      </c>
      <c r="BX317" s="5"/>
      <c r="BY317" s="5"/>
      <c r="BZ317" s="5"/>
      <c r="CA317" s="5"/>
    </row>
    <row r="318" spans="1:79" x14ac:dyDescent="0.3">
      <c r="A318" s="4" t="s">
        <v>190</v>
      </c>
      <c r="B318" s="4">
        <v>0.9</v>
      </c>
      <c r="C318" s="4">
        <v>0.5</v>
      </c>
      <c r="D318" s="4">
        <v>0.6</v>
      </c>
      <c r="E318" s="4">
        <v>0.3</v>
      </c>
      <c r="F318" s="6">
        <v>655.55908199999999</v>
      </c>
      <c r="G318" s="4">
        <v>2E-3</v>
      </c>
      <c r="I318" s="4" t="s">
        <v>190</v>
      </c>
      <c r="J318" s="4">
        <v>0.9</v>
      </c>
      <c r="K318" s="4">
        <v>0.5</v>
      </c>
      <c r="L318" s="4">
        <v>0.6</v>
      </c>
      <c r="M318" s="4">
        <v>0.7</v>
      </c>
      <c r="N318" s="4">
        <v>769.34985400000005</v>
      </c>
      <c r="O318" s="4">
        <v>1.2999999999999999E-2</v>
      </c>
      <c r="P318" s="5"/>
      <c r="Q318" s="5"/>
      <c r="R318" s="5"/>
      <c r="S318" s="5"/>
      <c r="U318" s="4" t="s">
        <v>190</v>
      </c>
      <c r="V318" s="4">
        <v>0.9</v>
      </c>
      <c r="W318" s="4">
        <v>0.5</v>
      </c>
      <c r="X318" s="4">
        <v>0.6</v>
      </c>
      <c r="Y318" s="4">
        <v>0.3</v>
      </c>
      <c r="Z318" s="6">
        <v>656.23266599999999</v>
      </c>
      <c r="AA318" s="4">
        <v>3.0000000000000001E-3</v>
      </c>
      <c r="AC318" s="4" t="s">
        <v>190</v>
      </c>
      <c r="AD318" s="4">
        <v>0.9</v>
      </c>
      <c r="AE318" s="4">
        <v>0.5</v>
      </c>
      <c r="AF318" s="4">
        <v>0.6</v>
      </c>
      <c r="AG318" s="4">
        <v>0.94</v>
      </c>
      <c r="AH318" s="4">
        <v>872.66375700000003</v>
      </c>
      <c r="AI318" s="4">
        <v>2.4E-2</v>
      </c>
      <c r="AJ318" s="5"/>
      <c r="AK318" s="5"/>
      <c r="AL318" s="5"/>
      <c r="AM318" s="5"/>
      <c r="AO318" s="4" t="s">
        <v>191</v>
      </c>
      <c r="AP318" s="4">
        <v>0.9</v>
      </c>
      <c r="AQ318" s="4">
        <v>0.5</v>
      </c>
      <c r="AR318" s="4">
        <v>0.6</v>
      </c>
      <c r="AS318" s="4">
        <v>0.3</v>
      </c>
      <c r="AT318" s="6">
        <v>1002.039673</v>
      </c>
      <c r="AU318" s="4">
        <v>7.0000000000000001E-3</v>
      </c>
      <c r="AW318" s="4" t="s">
        <v>191</v>
      </c>
      <c r="AX318" s="4">
        <v>0.9</v>
      </c>
      <c r="AY318" s="4">
        <v>0.5</v>
      </c>
      <c r="AZ318" s="4">
        <v>0.6</v>
      </c>
      <c r="BA318" s="4">
        <v>0.85</v>
      </c>
      <c r="BB318" s="4">
        <v>1233.317505</v>
      </c>
      <c r="BC318" s="4">
        <v>0.01</v>
      </c>
      <c r="BD318" s="5"/>
      <c r="BE318" s="5"/>
      <c r="BF318" s="5"/>
      <c r="BG318" s="5"/>
      <c r="BI318" s="4" t="s">
        <v>191</v>
      </c>
      <c r="BJ318" s="4">
        <v>0.9</v>
      </c>
      <c r="BK318" s="4">
        <v>0.5</v>
      </c>
      <c r="BL318" s="4">
        <v>0.6</v>
      </c>
      <c r="BM318" s="4">
        <v>0.3</v>
      </c>
      <c r="BN318" s="6">
        <v>990.06018100000006</v>
      </c>
      <c r="BO318" s="4">
        <v>8.0000000000000002E-3</v>
      </c>
      <c r="BQ318" s="4" t="s">
        <v>191</v>
      </c>
      <c r="BR318" s="4">
        <v>0.9</v>
      </c>
      <c r="BS318" s="4">
        <v>0.5</v>
      </c>
      <c r="BT318" s="4">
        <v>0.6</v>
      </c>
      <c r="BU318" s="4">
        <v>0.9</v>
      </c>
      <c r="BV318" s="4">
        <v>1246.0886230000001</v>
      </c>
      <c r="BW318" s="4">
        <v>2.5999999999999999E-2</v>
      </c>
      <c r="BX318" s="5"/>
      <c r="BY318" s="5"/>
      <c r="BZ318" s="5"/>
      <c r="CA318" s="5"/>
    </row>
    <row r="319" spans="1:79" x14ac:dyDescent="0.3">
      <c r="A319" s="4" t="s">
        <v>192</v>
      </c>
      <c r="B319" s="4">
        <v>0.9</v>
      </c>
      <c r="C319" s="4">
        <v>0.5</v>
      </c>
      <c r="D319" s="4">
        <v>0.6</v>
      </c>
      <c r="E319" s="4">
        <v>0.3</v>
      </c>
      <c r="F319" s="6">
        <v>790.22961399999997</v>
      </c>
      <c r="G319" s="4">
        <v>2E-3</v>
      </c>
      <c r="I319" s="4" t="s">
        <v>192</v>
      </c>
      <c r="J319" s="4">
        <v>0.9</v>
      </c>
      <c r="K319" s="4">
        <v>0.5</v>
      </c>
      <c r="L319" s="4">
        <v>0.6</v>
      </c>
      <c r="M319" s="4">
        <v>0.45</v>
      </c>
      <c r="N319" s="4">
        <v>873.11462400000005</v>
      </c>
      <c r="O319" s="4">
        <v>1.6E-2</v>
      </c>
      <c r="P319" s="5"/>
      <c r="Q319" s="5"/>
      <c r="R319" s="5"/>
      <c r="S319" s="5"/>
      <c r="U319" s="4" t="s">
        <v>192</v>
      </c>
      <c r="V319" s="4">
        <v>0.9</v>
      </c>
      <c r="W319" s="4">
        <v>0.5</v>
      </c>
      <c r="X319" s="4">
        <v>0.6</v>
      </c>
      <c r="Y319" s="4">
        <v>0.3</v>
      </c>
      <c r="Z319" s="6">
        <v>772.13433799999996</v>
      </c>
      <c r="AA319" s="4">
        <v>4.0000000000000001E-3</v>
      </c>
      <c r="AC319" s="4" t="s">
        <v>192</v>
      </c>
      <c r="AD319" s="4">
        <v>0.9</v>
      </c>
      <c r="AE319" s="4">
        <v>0.5</v>
      </c>
      <c r="AF319" s="4">
        <v>0.6</v>
      </c>
      <c r="AG319" s="4">
        <v>0.28000000000000003</v>
      </c>
      <c r="AH319" s="4">
        <v>769.28204300000004</v>
      </c>
      <c r="AI319" s="4">
        <v>3.5999999999999997E-2</v>
      </c>
      <c r="AJ319" s="5"/>
      <c r="AK319" s="5"/>
      <c r="AL319" s="5"/>
      <c r="AM319" s="5"/>
      <c r="AO319" s="4" t="s">
        <v>193</v>
      </c>
      <c r="AP319" s="4">
        <v>0.9</v>
      </c>
      <c r="AQ319" s="4">
        <v>0.5</v>
      </c>
      <c r="AR319" s="4">
        <v>0.6</v>
      </c>
      <c r="AS319" s="4">
        <v>0.3</v>
      </c>
      <c r="AT319" s="4">
        <v>1109.337158</v>
      </c>
      <c r="AU319" s="4">
        <v>8.9999999999999993E-3</v>
      </c>
      <c r="AW319" s="4" t="s">
        <v>193</v>
      </c>
      <c r="AX319" s="4">
        <v>0.9</v>
      </c>
      <c r="AY319" s="4">
        <v>0.5</v>
      </c>
      <c r="AZ319" s="4">
        <v>0.6</v>
      </c>
      <c r="BA319" s="4">
        <v>0.1</v>
      </c>
      <c r="BB319" s="6">
        <v>985.97027600000001</v>
      </c>
      <c r="BC319" s="4">
        <v>0.02</v>
      </c>
      <c r="BD319" s="5"/>
      <c r="BE319" s="5"/>
      <c r="BF319" s="5"/>
      <c r="BG319" s="5"/>
      <c r="BI319" s="4" t="s">
        <v>193</v>
      </c>
      <c r="BJ319" s="4">
        <v>0.9</v>
      </c>
      <c r="BK319" s="4">
        <v>0.5</v>
      </c>
      <c r="BL319" s="4">
        <v>0.6</v>
      </c>
      <c r="BM319" s="4">
        <v>0.3</v>
      </c>
      <c r="BN319" s="6">
        <v>1101.0153809999999</v>
      </c>
      <c r="BO319" s="4">
        <v>7.0000000000000001E-3</v>
      </c>
      <c r="BQ319" s="4" t="s">
        <v>193</v>
      </c>
      <c r="BR319" s="4">
        <v>0.9</v>
      </c>
      <c r="BS319" s="4">
        <v>0.5</v>
      </c>
      <c r="BT319" s="4">
        <v>0.6</v>
      </c>
      <c r="BU319" s="4">
        <v>0.39</v>
      </c>
      <c r="BV319" s="4">
        <v>1129.2817379999999</v>
      </c>
      <c r="BW319" s="4">
        <v>2.5000000000000001E-2</v>
      </c>
      <c r="BX319" s="5"/>
      <c r="BY319" s="5"/>
      <c r="BZ319" s="5"/>
      <c r="CA319" s="5"/>
    </row>
    <row r="320" spans="1:79" x14ac:dyDescent="0.3">
      <c r="A320" s="14" t="s">
        <v>316</v>
      </c>
      <c r="E320" s="14">
        <f>AVERAGE(E290:E319)</f>
        <v>0.3</v>
      </c>
      <c r="I320" s="14" t="s">
        <v>316</v>
      </c>
      <c r="M320" s="14">
        <f>AVERAGE(M290:M319)</f>
        <v>0.42366666666666664</v>
      </c>
      <c r="U320" s="14" t="s">
        <v>316</v>
      </c>
      <c r="Y320" s="14">
        <f>AVERAGE(Y290:Y319)</f>
        <v>0.3</v>
      </c>
      <c r="AC320" s="14" t="s">
        <v>316</v>
      </c>
      <c r="AG320" s="14">
        <f>AVERAGE(AG290:AG319)</f>
        <v>0.43299999999999994</v>
      </c>
      <c r="AO320" s="14" t="s">
        <v>316</v>
      </c>
      <c r="AS320" s="14">
        <f>AVERAGE(AS290:AS319)</f>
        <v>0.3</v>
      </c>
      <c r="AW320" s="14" t="s">
        <v>316</v>
      </c>
      <c r="BA320" s="14">
        <f>AVERAGE(BA290:BA319)</f>
        <v>0.4986666666666667</v>
      </c>
      <c r="BI320" s="14" t="s">
        <v>316</v>
      </c>
      <c r="BM320" s="14">
        <f>AVERAGE(BM290:BM319)</f>
        <v>0.3</v>
      </c>
      <c r="BQ320" s="14" t="s">
        <v>316</v>
      </c>
      <c r="BU320" s="14">
        <f>AVERAGE(BU290:BU319)</f>
        <v>0.42333333333333328</v>
      </c>
    </row>
    <row r="321" spans="1:79" s="1" customFormat="1" x14ac:dyDescent="0.3"/>
    <row r="322" spans="1:79" x14ac:dyDescent="0.3">
      <c r="A322" s="23" t="s">
        <v>314</v>
      </c>
      <c r="B322" s="23"/>
      <c r="C322" s="23"/>
      <c r="D322" s="23"/>
      <c r="E322" s="23"/>
      <c r="F322" s="23"/>
      <c r="G322" s="23"/>
      <c r="I322" s="24" t="s">
        <v>314</v>
      </c>
      <c r="J322" s="25"/>
      <c r="K322" s="25"/>
      <c r="L322" s="25"/>
      <c r="M322" s="25"/>
      <c r="N322" s="25"/>
      <c r="O322" s="26"/>
      <c r="P322" s="11"/>
      <c r="Q322" s="11"/>
      <c r="R322" s="11"/>
      <c r="S322" s="11"/>
      <c r="U322" s="23" t="s">
        <v>314</v>
      </c>
      <c r="V322" s="23"/>
      <c r="W322" s="23"/>
      <c r="X322" s="23"/>
      <c r="Y322" s="23"/>
      <c r="Z322" s="23"/>
      <c r="AA322" s="23"/>
      <c r="AC322" s="24" t="s">
        <v>314</v>
      </c>
      <c r="AD322" s="25"/>
      <c r="AE322" s="25"/>
      <c r="AF322" s="25"/>
      <c r="AG322" s="25"/>
      <c r="AH322" s="25"/>
      <c r="AI322" s="26"/>
      <c r="AJ322" s="11"/>
      <c r="AK322" s="11"/>
      <c r="AL322" s="11"/>
      <c r="AM322" s="11"/>
      <c r="AO322" s="23" t="s">
        <v>314</v>
      </c>
      <c r="AP322" s="23"/>
      <c r="AQ322" s="23"/>
      <c r="AR322" s="23"/>
      <c r="AS322" s="23"/>
      <c r="AT322" s="23"/>
      <c r="AU322" s="23"/>
      <c r="AW322" s="24" t="s">
        <v>314</v>
      </c>
      <c r="AX322" s="25"/>
      <c r="AY322" s="25"/>
      <c r="AZ322" s="25"/>
      <c r="BA322" s="25"/>
      <c r="BB322" s="25"/>
      <c r="BC322" s="26"/>
      <c r="BD322" s="11"/>
      <c r="BE322" s="11"/>
      <c r="BF322" s="11"/>
      <c r="BG322" s="11"/>
      <c r="BI322" s="23" t="s">
        <v>314</v>
      </c>
      <c r="BJ322" s="23"/>
      <c r="BK322" s="23"/>
      <c r="BL322" s="23"/>
      <c r="BM322" s="23"/>
      <c r="BN322" s="23"/>
      <c r="BO322" s="23"/>
      <c r="BQ322" s="24" t="s">
        <v>314</v>
      </c>
      <c r="BR322" s="25"/>
      <c r="BS322" s="25"/>
      <c r="BT322" s="25"/>
      <c r="BU322" s="25"/>
      <c r="BV322" s="25"/>
      <c r="BW322" s="26"/>
      <c r="BX322" s="11"/>
      <c r="BY322" s="11"/>
      <c r="BZ322" s="11"/>
      <c r="CA322" s="11"/>
    </row>
    <row r="323" spans="1:79" x14ac:dyDescent="0.3">
      <c r="A323" s="4" t="s">
        <v>0</v>
      </c>
      <c r="B323" s="4"/>
      <c r="C323" s="4"/>
      <c r="D323" s="4"/>
      <c r="E323" s="4"/>
      <c r="F323" s="4"/>
      <c r="G323" s="4"/>
      <c r="I323" s="4" t="s">
        <v>0</v>
      </c>
      <c r="J323" s="4"/>
      <c r="K323" s="4"/>
      <c r="L323" s="4"/>
      <c r="M323" s="4"/>
      <c r="N323" s="4"/>
      <c r="O323" s="4"/>
      <c r="P323" s="5"/>
      <c r="Q323" s="5"/>
      <c r="R323" s="5"/>
      <c r="S323" s="5"/>
      <c r="U323" s="4" t="s">
        <v>1</v>
      </c>
      <c r="V323" s="4"/>
      <c r="W323" s="4"/>
      <c r="X323" s="4"/>
      <c r="Y323" s="4"/>
      <c r="Z323" s="4"/>
      <c r="AA323" s="4"/>
      <c r="AC323" s="4" t="s">
        <v>1</v>
      </c>
      <c r="AD323" s="4"/>
      <c r="AE323" s="4"/>
      <c r="AF323" s="4"/>
      <c r="AG323" s="4"/>
      <c r="AH323" s="4"/>
      <c r="AI323" s="4"/>
      <c r="AJ323" s="5"/>
      <c r="AK323" s="5"/>
      <c r="AL323" s="5"/>
      <c r="AM323" s="5"/>
      <c r="AO323" s="4" t="s">
        <v>0</v>
      </c>
      <c r="AP323" s="4"/>
      <c r="AQ323" s="4"/>
      <c r="AR323" s="4"/>
      <c r="AS323" s="4"/>
      <c r="AT323" s="4"/>
      <c r="AU323" s="4"/>
      <c r="AW323" s="4" t="s">
        <v>0</v>
      </c>
      <c r="AX323" s="4"/>
      <c r="AY323" s="4"/>
      <c r="AZ323" s="4"/>
      <c r="BA323" s="4"/>
      <c r="BB323" s="4"/>
      <c r="BC323" s="4"/>
      <c r="BD323" s="5"/>
      <c r="BE323" s="5"/>
      <c r="BF323" s="5"/>
      <c r="BG323" s="5"/>
      <c r="BI323" s="4" t="s">
        <v>1</v>
      </c>
      <c r="BJ323" s="4"/>
      <c r="BK323" s="4"/>
      <c r="BL323" s="4"/>
      <c r="BM323" s="4"/>
      <c r="BN323" s="4"/>
      <c r="BO323" s="4"/>
      <c r="BQ323" s="4" t="s">
        <v>1</v>
      </c>
      <c r="BR323" s="4"/>
      <c r="BS323" s="4"/>
      <c r="BT323" s="4"/>
      <c r="BU323" s="4"/>
      <c r="BV323" s="4"/>
      <c r="BW323" s="4"/>
      <c r="BX323" s="5"/>
      <c r="BY323" s="5"/>
      <c r="BZ323" s="5"/>
      <c r="CA323" s="5"/>
    </row>
    <row r="324" spans="1:79" x14ac:dyDescent="0.3">
      <c r="A324" s="4" t="s">
        <v>2</v>
      </c>
      <c r="B324" s="4" t="s">
        <v>3</v>
      </c>
      <c r="C324" s="4" t="s">
        <v>4</v>
      </c>
      <c r="D324" s="4" t="s">
        <v>5</v>
      </c>
      <c r="E324" s="4" t="s">
        <v>6</v>
      </c>
      <c r="F324" s="4" t="s">
        <v>7</v>
      </c>
      <c r="G324" s="4" t="s">
        <v>8</v>
      </c>
      <c r="I324" s="4" t="s">
        <v>2</v>
      </c>
      <c r="J324" s="4" t="s">
        <v>3</v>
      </c>
      <c r="K324" s="4" t="s">
        <v>4</v>
      </c>
      <c r="L324" s="4" t="s">
        <v>5</v>
      </c>
      <c r="M324" s="4" t="s">
        <v>6</v>
      </c>
      <c r="N324" s="4" t="s">
        <v>7</v>
      </c>
      <c r="O324" s="4" t="s">
        <v>8</v>
      </c>
      <c r="P324" s="3" t="s">
        <v>322</v>
      </c>
      <c r="Q324" s="3" t="s">
        <v>323</v>
      </c>
      <c r="R324" s="3" t="s">
        <v>322</v>
      </c>
      <c r="S324" s="3" t="s">
        <v>323</v>
      </c>
      <c r="U324" s="4" t="s">
        <v>2</v>
      </c>
      <c r="V324" s="4" t="s">
        <v>3</v>
      </c>
      <c r="W324" s="4" t="s">
        <v>4</v>
      </c>
      <c r="X324" s="4" t="s">
        <v>5</v>
      </c>
      <c r="Y324" s="4" t="s">
        <v>6</v>
      </c>
      <c r="Z324" s="4" t="s">
        <v>7</v>
      </c>
      <c r="AA324" s="4" t="s">
        <v>8</v>
      </c>
      <c r="AC324" s="4" t="s">
        <v>2</v>
      </c>
      <c r="AD324" s="4" t="s">
        <v>3</v>
      </c>
      <c r="AE324" s="4" t="s">
        <v>4</v>
      </c>
      <c r="AF324" s="4" t="s">
        <v>5</v>
      </c>
      <c r="AG324" s="4" t="s">
        <v>6</v>
      </c>
      <c r="AH324" s="4" t="s">
        <v>7</v>
      </c>
      <c r="AI324" s="4" t="s">
        <v>8</v>
      </c>
      <c r="AJ324" s="3" t="s">
        <v>322</v>
      </c>
      <c r="AK324" s="3" t="s">
        <v>323</v>
      </c>
      <c r="AL324" s="3" t="s">
        <v>322</v>
      </c>
      <c r="AM324" s="3" t="s">
        <v>323</v>
      </c>
      <c r="AO324" s="4" t="s">
        <v>2</v>
      </c>
      <c r="AP324" s="4" t="s">
        <v>3</v>
      </c>
      <c r="AQ324" s="4" t="s">
        <v>4</v>
      </c>
      <c r="AR324" s="4" t="s">
        <v>5</v>
      </c>
      <c r="AS324" s="4" t="s">
        <v>6</v>
      </c>
      <c r="AT324" s="4" t="s">
        <v>7</v>
      </c>
      <c r="AU324" s="4" t="s">
        <v>8</v>
      </c>
      <c r="AW324" s="4" t="s">
        <v>2</v>
      </c>
      <c r="AX324" s="4" t="s">
        <v>3</v>
      </c>
      <c r="AY324" s="4" t="s">
        <v>4</v>
      </c>
      <c r="AZ324" s="4" t="s">
        <v>5</v>
      </c>
      <c r="BA324" s="4" t="s">
        <v>6</v>
      </c>
      <c r="BB324" s="4" t="s">
        <v>7</v>
      </c>
      <c r="BC324" s="4" t="s">
        <v>8</v>
      </c>
      <c r="BD324" s="3" t="s">
        <v>322</v>
      </c>
      <c r="BE324" s="3" t="s">
        <v>323</v>
      </c>
      <c r="BF324" s="3" t="s">
        <v>322</v>
      </c>
      <c r="BG324" s="3" t="s">
        <v>323</v>
      </c>
      <c r="BI324" s="4" t="s">
        <v>2</v>
      </c>
      <c r="BJ324" s="4" t="s">
        <v>3</v>
      </c>
      <c r="BK324" s="4" t="s">
        <v>4</v>
      </c>
      <c r="BL324" s="4" t="s">
        <v>5</v>
      </c>
      <c r="BM324" s="4" t="s">
        <v>6</v>
      </c>
      <c r="BN324" s="4" t="s">
        <v>7</v>
      </c>
      <c r="BO324" s="4" t="s">
        <v>8</v>
      </c>
      <c r="BQ324" s="4" t="s">
        <v>2</v>
      </c>
      <c r="BR324" s="4" t="s">
        <v>3</v>
      </c>
      <c r="BS324" s="4" t="s">
        <v>4</v>
      </c>
      <c r="BT324" s="4" t="s">
        <v>5</v>
      </c>
      <c r="BU324" s="4" t="s">
        <v>6</v>
      </c>
      <c r="BV324" s="4" t="s">
        <v>7</v>
      </c>
      <c r="BW324" s="4" t="s">
        <v>8</v>
      </c>
      <c r="BX324" s="3" t="s">
        <v>322</v>
      </c>
      <c r="BY324" s="3" t="s">
        <v>323</v>
      </c>
      <c r="BZ324" s="3" t="s">
        <v>322</v>
      </c>
      <c r="CA324" s="3" t="s">
        <v>323</v>
      </c>
    </row>
    <row r="325" spans="1:79" x14ac:dyDescent="0.3">
      <c r="A325" s="4" t="s">
        <v>194</v>
      </c>
      <c r="B325" s="4">
        <v>0.9</v>
      </c>
      <c r="C325" s="4">
        <v>0.5</v>
      </c>
      <c r="D325" s="4">
        <v>0.6</v>
      </c>
      <c r="E325" s="4">
        <v>0.3</v>
      </c>
      <c r="F325" s="4">
        <v>665.81909199999996</v>
      </c>
      <c r="G325" s="4">
        <v>2E-3</v>
      </c>
      <c r="I325" s="4" t="s">
        <v>194</v>
      </c>
      <c r="J325" s="4">
        <v>0.9</v>
      </c>
      <c r="K325" s="4">
        <v>0.5</v>
      </c>
      <c r="L325" s="4">
        <v>0.6</v>
      </c>
      <c r="M325" s="4">
        <v>0.01</v>
      </c>
      <c r="N325" s="6">
        <v>660.891479</v>
      </c>
      <c r="O325" s="4">
        <v>1.4E-2</v>
      </c>
      <c r="P325" s="4" t="s">
        <v>324</v>
      </c>
      <c r="Q325" s="4" t="s">
        <v>324</v>
      </c>
      <c r="R325" s="4" t="s">
        <v>327</v>
      </c>
      <c r="S325" s="4" t="s">
        <v>327</v>
      </c>
      <c r="U325" s="4" t="s">
        <v>194</v>
      </c>
      <c r="V325" s="4">
        <v>0.9</v>
      </c>
      <c r="W325" s="4">
        <v>0.5</v>
      </c>
      <c r="X325" s="4">
        <v>0.6</v>
      </c>
      <c r="Y325" s="4">
        <v>0.3</v>
      </c>
      <c r="Z325" s="6">
        <v>640.28265399999998</v>
      </c>
      <c r="AA325" s="4">
        <v>2E-3</v>
      </c>
      <c r="AC325" s="4" t="s">
        <v>194</v>
      </c>
      <c r="AD325" s="4">
        <v>0.9</v>
      </c>
      <c r="AE325" s="4">
        <v>0.5</v>
      </c>
      <c r="AF325" s="4">
        <v>0.6</v>
      </c>
      <c r="AG325" s="4">
        <v>0.01</v>
      </c>
      <c r="AH325" s="4">
        <v>641.78924600000005</v>
      </c>
      <c r="AI325" s="4">
        <v>1.7000000000000001E-2</v>
      </c>
      <c r="AJ325" s="4" t="s">
        <v>324</v>
      </c>
      <c r="AK325" s="4" t="s">
        <v>324</v>
      </c>
      <c r="AL325" s="4" t="s">
        <v>327</v>
      </c>
      <c r="AM325" s="4" t="s">
        <v>327</v>
      </c>
      <c r="AO325" s="4" t="s">
        <v>195</v>
      </c>
      <c r="AP325" s="4">
        <v>0.9</v>
      </c>
      <c r="AQ325" s="4">
        <v>0.5</v>
      </c>
      <c r="AR325" s="4">
        <v>0.6</v>
      </c>
      <c r="AS325" s="4">
        <v>0.3</v>
      </c>
      <c r="AT325" s="4">
        <v>984.61639400000001</v>
      </c>
      <c r="AU325" s="4">
        <v>8.0000000000000002E-3</v>
      </c>
      <c r="AW325" s="4" t="s">
        <v>195</v>
      </c>
      <c r="AX325" s="4">
        <v>0.9</v>
      </c>
      <c r="AY325" s="4">
        <v>0.5</v>
      </c>
      <c r="AZ325" s="4">
        <v>0.6</v>
      </c>
      <c r="BA325" s="4">
        <v>0.01</v>
      </c>
      <c r="BB325" s="6">
        <v>830.61834699999997</v>
      </c>
      <c r="BC325" s="4">
        <v>3.2000000000000001E-2</v>
      </c>
      <c r="BD325" s="4" t="s">
        <v>324</v>
      </c>
      <c r="BE325" s="4" t="s">
        <v>324</v>
      </c>
      <c r="BF325" s="4" t="s">
        <v>327</v>
      </c>
      <c r="BG325" s="4" t="s">
        <v>327</v>
      </c>
      <c r="BI325" s="4" t="s">
        <v>195</v>
      </c>
      <c r="BJ325" s="4">
        <v>0.9</v>
      </c>
      <c r="BK325" s="4">
        <v>0.5</v>
      </c>
      <c r="BL325" s="4">
        <v>0.6</v>
      </c>
      <c r="BM325" s="4">
        <v>0.3</v>
      </c>
      <c r="BN325" s="4">
        <v>904.89178500000003</v>
      </c>
      <c r="BO325" s="4">
        <v>7.0000000000000001E-3</v>
      </c>
      <c r="BQ325" s="4" t="s">
        <v>195</v>
      </c>
      <c r="BR325" s="4">
        <v>0.9</v>
      </c>
      <c r="BS325" s="4">
        <v>0.5</v>
      </c>
      <c r="BT325" s="4">
        <v>0.6</v>
      </c>
      <c r="BU325" s="4">
        <v>0.01</v>
      </c>
      <c r="BV325" s="6">
        <v>760.58209199999999</v>
      </c>
      <c r="BW325" s="4">
        <v>1.4999999999999999E-2</v>
      </c>
      <c r="BX325" s="4" t="s">
        <v>324</v>
      </c>
      <c r="BY325" s="4" t="s">
        <v>324</v>
      </c>
      <c r="BZ325" s="4" t="s">
        <v>327</v>
      </c>
      <c r="CA325" s="4" t="s">
        <v>327</v>
      </c>
    </row>
    <row r="326" spans="1:79" x14ac:dyDescent="0.3">
      <c r="A326" s="4" t="s">
        <v>196</v>
      </c>
      <c r="B326" s="4">
        <v>0.9</v>
      </c>
      <c r="C326" s="4">
        <v>0.5</v>
      </c>
      <c r="D326" s="4">
        <v>0.6</v>
      </c>
      <c r="E326" s="4">
        <v>0.3</v>
      </c>
      <c r="F326" s="4">
        <v>640.26318400000002</v>
      </c>
      <c r="G326" s="4">
        <v>3.0000000000000001E-3</v>
      </c>
      <c r="I326" s="4" t="s">
        <v>196</v>
      </c>
      <c r="J326" s="4">
        <v>0.9</v>
      </c>
      <c r="K326" s="4">
        <v>0.5</v>
      </c>
      <c r="L326" s="4">
        <v>0.6</v>
      </c>
      <c r="M326" s="4">
        <v>0.26</v>
      </c>
      <c r="N326" s="6">
        <v>628.17627000000005</v>
      </c>
      <c r="O326" s="4">
        <v>0.02</v>
      </c>
      <c r="P326" s="3">
        <f>COUNT(F327:F329,F331,F333:F334,F336:F338,F340,F342:F343,F345:F354)</f>
        <v>22</v>
      </c>
      <c r="Q326" s="3">
        <f>30-P326</f>
        <v>8</v>
      </c>
      <c r="R326" s="3">
        <f>COUNT(N325:N326,N330,N332,N335,N339,N341,N344)</f>
        <v>8</v>
      </c>
      <c r="S326" s="3">
        <f>30-R326</f>
        <v>22</v>
      </c>
      <c r="U326" s="4" t="s">
        <v>196</v>
      </c>
      <c r="V326" s="4">
        <v>0.9</v>
      </c>
      <c r="W326" s="4">
        <v>0.5</v>
      </c>
      <c r="X326" s="4">
        <v>0.6</v>
      </c>
      <c r="Y326" s="4">
        <v>0.3</v>
      </c>
      <c r="Z326" s="4">
        <v>606.60955799999999</v>
      </c>
      <c r="AA326" s="4">
        <v>2E-3</v>
      </c>
      <c r="AC326" s="4" t="s">
        <v>196</v>
      </c>
      <c r="AD326" s="4">
        <v>0.9</v>
      </c>
      <c r="AE326" s="4">
        <v>0.5</v>
      </c>
      <c r="AF326" s="4">
        <v>0.6</v>
      </c>
      <c r="AG326" s="4">
        <v>0.04</v>
      </c>
      <c r="AH326" s="6">
        <v>556.16241500000001</v>
      </c>
      <c r="AI326" s="4">
        <v>7.0000000000000001E-3</v>
      </c>
      <c r="AJ326" s="3">
        <f>COUNT(Z325,Z327:Z334,Z336:Z339,Z342:Z347,Z349,Z351,Z353:Z354)</f>
        <v>23</v>
      </c>
      <c r="AK326" s="3">
        <f>30-AJ326</f>
        <v>7</v>
      </c>
      <c r="AL326" s="3">
        <f>COUNT(AH326,AH335,AH340:AH341,AH348,AH350,AH352)</f>
        <v>7</v>
      </c>
      <c r="AM326" s="3">
        <f>30-AL326</f>
        <v>23</v>
      </c>
      <c r="AO326" s="4" t="s">
        <v>197</v>
      </c>
      <c r="AP326" s="4">
        <v>0.9</v>
      </c>
      <c r="AQ326" s="4">
        <v>0.5</v>
      </c>
      <c r="AR326" s="4">
        <v>0.6</v>
      </c>
      <c r="AS326" s="4">
        <v>0.3</v>
      </c>
      <c r="AT326" s="6">
        <v>905.06854199999998</v>
      </c>
      <c r="AU326" s="4">
        <v>7.0000000000000001E-3</v>
      </c>
      <c r="AW326" s="4" t="s">
        <v>197</v>
      </c>
      <c r="AX326" s="4">
        <v>0.9</v>
      </c>
      <c r="AY326" s="4">
        <v>0.5</v>
      </c>
      <c r="AZ326" s="4">
        <v>0.6</v>
      </c>
      <c r="BA326" s="4">
        <v>0.32</v>
      </c>
      <c r="BB326" s="4">
        <v>950.97778300000004</v>
      </c>
      <c r="BC326" s="4">
        <v>1.7999999999999999E-2</v>
      </c>
      <c r="BD326" s="3">
        <f>COUNT(AT326:AT328,AT330:AT333,AT336:AT337,AT339:AT342,AT344:AT349,AT354)</f>
        <v>20</v>
      </c>
      <c r="BE326" s="3">
        <f>30-BD326</f>
        <v>10</v>
      </c>
      <c r="BF326" s="3">
        <f>COUNT(BB325,BB329,BB334:BB335,BB338,BB343,BB350:BB353)</f>
        <v>10</v>
      </c>
      <c r="BG326" s="3">
        <f>30-BF326</f>
        <v>20</v>
      </c>
      <c r="BI326" s="4" t="s">
        <v>197</v>
      </c>
      <c r="BJ326" s="4">
        <v>0.9</v>
      </c>
      <c r="BK326" s="4">
        <v>0.5</v>
      </c>
      <c r="BL326" s="4">
        <v>0.6</v>
      </c>
      <c r="BM326" s="4">
        <v>0.3</v>
      </c>
      <c r="BN326" s="6">
        <v>862.50341800000001</v>
      </c>
      <c r="BO326" s="4">
        <v>6.0000000000000001E-3</v>
      </c>
      <c r="BQ326" s="4" t="s">
        <v>197</v>
      </c>
      <c r="BR326" s="4">
        <v>0.9</v>
      </c>
      <c r="BS326" s="4">
        <v>0.5</v>
      </c>
      <c r="BT326" s="4">
        <v>0.6</v>
      </c>
      <c r="BU326" s="4">
        <v>0.55000000000000004</v>
      </c>
      <c r="BV326" s="4">
        <v>965.54949999999997</v>
      </c>
      <c r="BW326" s="4">
        <v>0.03</v>
      </c>
      <c r="BX326" s="3">
        <f>COUNT(BN326:BN327,BN330:BN333,BN335,BN337:BN338,BN340:BN342,BN344:BN347,BN349:BN354)</f>
        <v>22</v>
      </c>
      <c r="BY326" s="3">
        <f>30-BX326</f>
        <v>8</v>
      </c>
      <c r="BZ326" s="3">
        <f>COUNT(BV325,BV328:BV329,BV334,BV336,BV339,BV343,BV348)</f>
        <v>8</v>
      </c>
      <c r="CA326" s="3">
        <f>30-BZ326</f>
        <v>22</v>
      </c>
    </row>
    <row r="327" spans="1:79" x14ac:dyDescent="0.3">
      <c r="A327" s="4" t="s">
        <v>198</v>
      </c>
      <c r="B327" s="4">
        <v>0.9</v>
      </c>
      <c r="C327" s="4">
        <v>0.5</v>
      </c>
      <c r="D327" s="4">
        <v>0.6</v>
      </c>
      <c r="E327" s="4">
        <v>0.3</v>
      </c>
      <c r="F327" s="6">
        <v>621.59417699999995</v>
      </c>
      <c r="G327" s="4">
        <v>2E-3</v>
      </c>
      <c r="I327" s="4" t="s">
        <v>198</v>
      </c>
      <c r="J327" s="4">
        <v>0.9</v>
      </c>
      <c r="K327" s="4">
        <v>0.5</v>
      </c>
      <c r="L327" s="4">
        <v>0.6</v>
      </c>
      <c r="M327" s="4">
        <v>0.27</v>
      </c>
      <c r="N327" s="4">
        <v>625.83960000000002</v>
      </c>
      <c r="O327" s="4">
        <v>1.2999999999999999E-2</v>
      </c>
      <c r="P327" s="5"/>
      <c r="Q327" s="5"/>
      <c r="R327" s="5"/>
      <c r="S327" s="5"/>
      <c r="U327" s="4" t="s">
        <v>198</v>
      </c>
      <c r="V327" s="4">
        <v>0.9</v>
      </c>
      <c r="W327" s="4">
        <v>0.5</v>
      </c>
      <c r="X327" s="4">
        <v>0.6</v>
      </c>
      <c r="Y327" s="4">
        <v>0.3</v>
      </c>
      <c r="Z327" s="6">
        <v>588.62487799999997</v>
      </c>
      <c r="AA327" s="4">
        <v>2E-3</v>
      </c>
      <c r="AC327" s="4" t="s">
        <v>198</v>
      </c>
      <c r="AD327" s="4">
        <v>0.9</v>
      </c>
      <c r="AE327" s="4">
        <v>0.5</v>
      </c>
      <c r="AF327" s="4">
        <v>0.6</v>
      </c>
      <c r="AG327" s="4">
        <v>0.94</v>
      </c>
      <c r="AH327" s="4">
        <v>679.36816399999998</v>
      </c>
      <c r="AI327" s="4">
        <v>1.0999999999999999E-2</v>
      </c>
      <c r="AJ327" s="5"/>
      <c r="AK327" s="5"/>
      <c r="AL327" s="5"/>
      <c r="AM327" s="5"/>
      <c r="AO327" s="4" t="s">
        <v>199</v>
      </c>
      <c r="AP327" s="4">
        <v>0.9</v>
      </c>
      <c r="AQ327" s="4">
        <v>0.5</v>
      </c>
      <c r="AR327" s="4">
        <v>0.6</v>
      </c>
      <c r="AS327" s="4">
        <v>0.3</v>
      </c>
      <c r="AT327" s="6">
        <v>919.47515899999996</v>
      </c>
      <c r="AU327" s="4">
        <v>7.0000000000000001E-3</v>
      </c>
      <c r="AW327" s="4" t="s">
        <v>199</v>
      </c>
      <c r="AX327" s="4">
        <v>0.9</v>
      </c>
      <c r="AY327" s="4">
        <v>0.5</v>
      </c>
      <c r="AZ327" s="4">
        <v>0.6</v>
      </c>
      <c r="BA327" s="4">
        <v>0.89</v>
      </c>
      <c r="BB327" s="4">
        <v>1123.2719729999999</v>
      </c>
      <c r="BC327" s="4">
        <v>3.5999999999999997E-2</v>
      </c>
      <c r="BD327" s="5"/>
      <c r="BE327" s="5"/>
      <c r="BF327" s="5"/>
      <c r="BG327" s="5"/>
      <c r="BI327" s="4" t="s">
        <v>199</v>
      </c>
      <c r="BJ327" s="4">
        <v>0.9</v>
      </c>
      <c r="BK327" s="4">
        <v>0.5</v>
      </c>
      <c r="BL327" s="4">
        <v>0.6</v>
      </c>
      <c r="BM327" s="4">
        <v>0.3</v>
      </c>
      <c r="BN327" s="6">
        <v>876.94537400000002</v>
      </c>
      <c r="BO327" s="4">
        <v>7.0000000000000001E-3</v>
      </c>
      <c r="BQ327" s="4" t="s">
        <v>199</v>
      </c>
      <c r="BR327" s="4">
        <v>0.9</v>
      </c>
      <c r="BS327" s="4">
        <v>0.5</v>
      </c>
      <c r="BT327" s="4">
        <v>0.6</v>
      </c>
      <c r="BU327" s="4">
        <v>0.97</v>
      </c>
      <c r="BV327" s="4">
        <v>1109.735107</v>
      </c>
      <c r="BW327" s="4">
        <v>1.7000000000000001E-2</v>
      </c>
      <c r="BX327" s="5"/>
      <c r="BY327" s="5"/>
      <c r="BZ327" s="5"/>
      <c r="CA327" s="5"/>
    </row>
    <row r="328" spans="1:79" x14ac:dyDescent="0.3">
      <c r="A328" s="4" t="s">
        <v>200</v>
      </c>
      <c r="B328" s="4">
        <v>0.9</v>
      </c>
      <c r="C328" s="4">
        <v>0.5</v>
      </c>
      <c r="D328" s="4">
        <v>0.6</v>
      </c>
      <c r="E328" s="4">
        <v>0.3</v>
      </c>
      <c r="F328" s="6">
        <v>584.62457300000005</v>
      </c>
      <c r="G328" s="4">
        <v>2E-3</v>
      </c>
      <c r="I328" s="4" t="s">
        <v>200</v>
      </c>
      <c r="J328" s="4">
        <v>0.9</v>
      </c>
      <c r="K328" s="4">
        <v>0.5</v>
      </c>
      <c r="L328" s="4">
        <v>0.6</v>
      </c>
      <c r="M328" s="4">
        <v>0.28000000000000003</v>
      </c>
      <c r="N328" s="4">
        <v>592.60784899999999</v>
      </c>
      <c r="O328" s="4">
        <v>1.4E-2</v>
      </c>
      <c r="P328" s="5"/>
      <c r="Q328" s="5"/>
      <c r="R328" s="5"/>
      <c r="S328" s="5"/>
      <c r="U328" s="4" t="s">
        <v>200</v>
      </c>
      <c r="V328" s="4">
        <v>0.9</v>
      </c>
      <c r="W328" s="4">
        <v>0.5</v>
      </c>
      <c r="X328" s="4">
        <v>0.6</v>
      </c>
      <c r="Y328" s="4">
        <v>0.3</v>
      </c>
      <c r="Z328" s="6">
        <v>512.32098399999995</v>
      </c>
      <c r="AA328" s="4">
        <v>2E-3</v>
      </c>
      <c r="AC328" s="4" t="s">
        <v>200</v>
      </c>
      <c r="AD328" s="4">
        <v>0.9</v>
      </c>
      <c r="AE328" s="4">
        <v>0.5</v>
      </c>
      <c r="AF328" s="4">
        <v>0.6</v>
      </c>
      <c r="AG328" s="4">
        <v>0.35</v>
      </c>
      <c r="AH328" s="4">
        <v>545.64605700000004</v>
      </c>
      <c r="AI328" s="4">
        <v>1.0999999999999999E-2</v>
      </c>
      <c r="AJ328" s="5"/>
      <c r="AK328" s="5"/>
      <c r="AL328" s="5"/>
      <c r="AM328" s="5"/>
      <c r="AO328" s="4" t="s">
        <v>201</v>
      </c>
      <c r="AP328" s="4">
        <v>0.9</v>
      </c>
      <c r="AQ328" s="4">
        <v>0.5</v>
      </c>
      <c r="AR328" s="4">
        <v>0.6</v>
      </c>
      <c r="AS328" s="4">
        <v>0.3</v>
      </c>
      <c r="AT328" s="6">
        <v>996.49212599999998</v>
      </c>
      <c r="AU328" s="4">
        <v>7.0000000000000001E-3</v>
      </c>
      <c r="AW328" s="4" t="s">
        <v>201</v>
      </c>
      <c r="AX328" s="4">
        <v>0.9</v>
      </c>
      <c r="AY328" s="4">
        <v>0.5</v>
      </c>
      <c r="AZ328" s="4">
        <v>0.6</v>
      </c>
      <c r="BA328" s="4">
        <v>0.61</v>
      </c>
      <c r="BB328" s="4">
        <v>1111.361938</v>
      </c>
      <c r="BC328" s="4">
        <v>1.6E-2</v>
      </c>
      <c r="BD328" s="5"/>
      <c r="BE328" s="5"/>
      <c r="BF328" s="5"/>
      <c r="BG328" s="5"/>
      <c r="BI328" s="4" t="s">
        <v>201</v>
      </c>
      <c r="BJ328" s="4">
        <v>0.9</v>
      </c>
      <c r="BK328" s="4">
        <v>0.5</v>
      </c>
      <c r="BL328" s="4">
        <v>0.6</v>
      </c>
      <c r="BM328" s="4">
        <v>0.3</v>
      </c>
      <c r="BN328" s="4">
        <v>939.31604000000004</v>
      </c>
      <c r="BO328" s="4">
        <v>7.0000000000000001E-3</v>
      </c>
      <c r="BQ328" s="4" t="s">
        <v>201</v>
      </c>
      <c r="BR328" s="4">
        <v>0.9</v>
      </c>
      <c r="BS328" s="4">
        <v>0.5</v>
      </c>
      <c r="BT328" s="4">
        <v>0.6</v>
      </c>
      <c r="BU328" s="4">
        <v>0.14000000000000001</v>
      </c>
      <c r="BV328" s="6">
        <v>860.91711399999997</v>
      </c>
      <c r="BW328" s="4">
        <v>2.1999999999999999E-2</v>
      </c>
      <c r="BX328" s="5"/>
      <c r="BY328" s="5"/>
      <c r="BZ328" s="5"/>
      <c r="CA328" s="5"/>
    </row>
    <row r="329" spans="1:79" x14ac:dyDescent="0.3">
      <c r="A329" s="4" t="s">
        <v>202</v>
      </c>
      <c r="B329" s="4">
        <v>0.9</v>
      </c>
      <c r="C329" s="4">
        <v>0.5</v>
      </c>
      <c r="D329" s="4">
        <v>0.6</v>
      </c>
      <c r="E329" s="4">
        <v>0.3</v>
      </c>
      <c r="F329" s="6">
        <v>581.249146</v>
      </c>
      <c r="G329" s="4">
        <v>2E-3</v>
      </c>
      <c r="I329" s="4" t="s">
        <v>202</v>
      </c>
      <c r="J329" s="4">
        <v>0.9</v>
      </c>
      <c r="K329" s="4">
        <v>0.5</v>
      </c>
      <c r="L329" s="4">
        <v>0.6</v>
      </c>
      <c r="M329" s="4">
        <v>0.9</v>
      </c>
      <c r="N329" s="4">
        <v>713.09594700000002</v>
      </c>
      <c r="O329" s="4">
        <v>0.02</v>
      </c>
      <c r="P329" s="5"/>
      <c r="Q329" s="5"/>
      <c r="R329" s="5"/>
      <c r="S329" s="5"/>
      <c r="U329" s="4" t="s">
        <v>202</v>
      </c>
      <c r="V329" s="4">
        <v>0.9</v>
      </c>
      <c r="W329" s="4">
        <v>0.5</v>
      </c>
      <c r="X329" s="4">
        <v>0.6</v>
      </c>
      <c r="Y329" s="4">
        <v>0.3</v>
      </c>
      <c r="Z329" s="6">
        <v>519.90783699999997</v>
      </c>
      <c r="AA329" s="4">
        <v>1E-3</v>
      </c>
      <c r="AC329" s="4" t="s">
        <v>202</v>
      </c>
      <c r="AD329" s="4">
        <v>0.9</v>
      </c>
      <c r="AE329" s="4">
        <v>0.5</v>
      </c>
      <c r="AF329" s="4">
        <v>0.6</v>
      </c>
      <c r="AG329" s="4">
        <v>0.78</v>
      </c>
      <c r="AH329" s="4">
        <v>640.15783699999997</v>
      </c>
      <c r="AI329" s="4">
        <v>1.4E-2</v>
      </c>
      <c r="AJ329" s="5"/>
      <c r="AK329" s="5"/>
      <c r="AL329" s="5"/>
      <c r="AM329" s="5"/>
      <c r="AO329" s="4" t="s">
        <v>203</v>
      </c>
      <c r="AP329" s="4">
        <v>0.9</v>
      </c>
      <c r="AQ329" s="4">
        <v>0.5</v>
      </c>
      <c r="AR329" s="4">
        <v>0.6</v>
      </c>
      <c r="AS329" s="4">
        <v>0.3</v>
      </c>
      <c r="AT329" s="4">
        <v>952.42340100000001</v>
      </c>
      <c r="AU329" s="4">
        <v>6.0000000000000001E-3</v>
      </c>
      <c r="AW329" s="4" t="s">
        <v>203</v>
      </c>
      <c r="AX329" s="4">
        <v>0.9</v>
      </c>
      <c r="AY329" s="4">
        <v>0.5</v>
      </c>
      <c r="AZ329" s="4">
        <v>0.6</v>
      </c>
      <c r="BA329" s="4">
        <v>0.1</v>
      </c>
      <c r="BB329" s="6">
        <v>831.826233</v>
      </c>
      <c r="BC329" s="4">
        <v>1.7999999999999999E-2</v>
      </c>
      <c r="BD329" s="5"/>
      <c r="BE329" s="5"/>
      <c r="BF329" s="5"/>
      <c r="BG329" s="5"/>
      <c r="BI329" s="4" t="s">
        <v>203</v>
      </c>
      <c r="BJ329" s="4">
        <v>0.9</v>
      </c>
      <c r="BK329" s="4">
        <v>0.5</v>
      </c>
      <c r="BL329" s="4">
        <v>0.6</v>
      </c>
      <c r="BM329" s="4">
        <v>0.3</v>
      </c>
      <c r="BN329" s="4">
        <v>894.94897500000002</v>
      </c>
      <c r="BO329" s="4">
        <v>6.0000000000000001E-3</v>
      </c>
      <c r="BQ329" s="4" t="s">
        <v>203</v>
      </c>
      <c r="BR329" s="4">
        <v>0.9</v>
      </c>
      <c r="BS329" s="4">
        <v>0.5</v>
      </c>
      <c r="BT329" s="4">
        <v>0.6</v>
      </c>
      <c r="BU329" s="4">
        <v>0.09</v>
      </c>
      <c r="BV329" s="6">
        <v>768.32519500000001</v>
      </c>
      <c r="BW329" s="4">
        <v>2.4E-2</v>
      </c>
      <c r="BX329" s="5"/>
      <c r="BY329" s="5"/>
      <c r="BZ329" s="5"/>
      <c r="CA329" s="5"/>
    </row>
    <row r="330" spans="1:79" x14ac:dyDescent="0.3">
      <c r="A330" s="4" t="s">
        <v>204</v>
      </c>
      <c r="B330" s="4">
        <v>0.9</v>
      </c>
      <c r="C330" s="4">
        <v>0.5</v>
      </c>
      <c r="D330" s="4">
        <v>0.6</v>
      </c>
      <c r="E330" s="4">
        <v>0.3</v>
      </c>
      <c r="F330" s="4">
        <v>623.68798800000002</v>
      </c>
      <c r="G330" s="4">
        <v>3.0000000000000001E-3</v>
      </c>
      <c r="I330" s="4" t="s">
        <v>204</v>
      </c>
      <c r="J330" s="4">
        <v>0.9</v>
      </c>
      <c r="K330" s="4">
        <v>0.5</v>
      </c>
      <c r="L330" s="4">
        <v>0.6</v>
      </c>
      <c r="M330" s="4">
        <v>0.2</v>
      </c>
      <c r="N330" s="6">
        <v>616.376892</v>
      </c>
      <c r="O330" s="4">
        <v>3.1E-2</v>
      </c>
      <c r="P330" s="5"/>
      <c r="Q330" s="5"/>
      <c r="R330" s="5"/>
      <c r="S330" s="5"/>
      <c r="U330" s="4" t="s">
        <v>204</v>
      </c>
      <c r="V330" s="4">
        <v>0.9</v>
      </c>
      <c r="W330" s="4">
        <v>0.5</v>
      </c>
      <c r="X330" s="4">
        <v>0.6</v>
      </c>
      <c r="Y330" s="4">
        <v>0.3</v>
      </c>
      <c r="Z330" s="6">
        <v>604.13671899999997</v>
      </c>
      <c r="AA330" s="4">
        <v>2E-3</v>
      </c>
      <c r="AC330" s="4" t="s">
        <v>204</v>
      </c>
      <c r="AD330" s="4">
        <v>0.9</v>
      </c>
      <c r="AE330" s="4">
        <v>0.5</v>
      </c>
      <c r="AF330" s="4">
        <v>0.6</v>
      </c>
      <c r="AG330" s="4">
        <v>0.52</v>
      </c>
      <c r="AH330" s="4">
        <v>659.82250999999997</v>
      </c>
      <c r="AI330" s="4">
        <v>1.6E-2</v>
      </c>
      <c r="AJ330" s="5"/>
      <c r="AK330" s="5"/>
      <c r="AL330" s="5"/>
      <c r="AM330" s="5"/>
      <c r="AO330" s="4" t="s">
        <v>205</v>
      </c>
      <c r="AP330" s="4">
        <v>0.9</v>
      </c>
      <c r="AQ330" s="4">
        <v>0.5</v>
      </c>
      <c r="AR330" s="4">
        <v>0.6</v>
      </c>
      <c r="AS330" s="4">
        <v>0.3</v>
      </c>
      <c r="AT330" s="6">
        <v>966.86163299999998</v>
      </c>
      <c r="AU330" s="4">
        <v>7.0000000000000001E-3</v>
      </c>
      <c r="AW330" s="4" t="s">
        <v>205</v>
      </c>
      <c r="AX330" s="4">
        <v>0.9</v>
      </c>
      <c r="AY330" s="4">
        <v>0.5</v>
      </c>
      <c r="AZ330" s="4">
        <v>0.6</v>
      </c>
      <c r="BA330" s="4">
        <v>0.39</v>
      </c>
      <c r="BB330" s="4">
        <v>1018.575134</v>
      </c>
      <c r="BC330" s="4">
        <v>2.7E-2</v>
      </c>
      <c r="BD330" s="5"/>
      <c r="BE330" s="5"/>
      <c r="BF330" s="5"/>
      <c r="BG330" s="5"/>
      <c r="BI330" s="4" t="s">
        <v>205</v>
      </c>
      <c r="BJ330" s="4">
        <v>0.9</v>
      </c>
      <c r="BK330" s="4">
        <v>0.5</v>
      </c>
      <c r="BL330" s="4">
        <v>0.6</v>
      </c>
      <c r="BM330" s="4">
        <v>0.3</v>
      </c>
      <c r="BN330" s="6">
        <v>906.92327899999998</v>
      </c>
      <c r="BO330" s="4">
        <v>7.0000000000000001E-3</v>
      </c>
      <c r="BQ330" s="4" t="s">
        <v>205</v>
      </c>
      <c r="BR330" s="4">
        <v>0.9</v>
      </c>
      <c r="BS330" s="4">
        <v>0.5</v>
      </c>
      <c r="BT330" s="4">
        <v>0.6</v>
      </c>
      <c r="BU330" s="4">
        <v>0.68</v>
      </c>
      <c r="BV330" s="4">
        <v>1023.1779790000001</v>
      </c>
      <c r="BW330" s="4">
        <v>1.7000000000000001E-2</v>
      </c>
      <c r="BX330" s="5"/>
      <c r="BY330" s="5"/>
      <c r="BZ330" s="5"/>
      <c r="CA330" s="5"/>
    </row>
    <row r="331" spans="1:79" x14ac:dyDescent="0.3">
      <c r="A331" s="4" t="s">
        <v>206</v>
      </c>
      <c r="B331" s="4">
        <v>0.9</v>
      </c>
      <c r="C331" s="4">
        <v>0.5</v>
      </c>
      <c r="D331" s="4">
        <v>0.6</v>
      </c>
      <c r="E331" s="4">
        <v>0.3</v>
      </c>
      <c r="F331" s="6">
        <v>650.65106200000002</v>
      </c>
      <c r="G331" s="4">
        <v>2E-3</v>
      </c>
      <c r="I331" s="4" t="s">
        <v>206</v>
      </c>
      <c r="J331" s="4">
        <v>0.9</v>
      </c>
      <c r="K331" s="4">
        <v>0.5</v>
      </c>
      <c r="L331" s="4">
        <v>0.6</v>
      </c>
      <c r="M331" s="4">
        <v>0.81</v>
      </c>
      <c r="N331" s="4">
        <v>701.19378700000004</v>
      </c>
      <c r="O331" s="4">
        <v>2.4E-2</v>
      </c>
      <c r="P331" s="5"/>
      <c r="Q331" s="5"/>
      <c r="R331" s="5"/>
      <c r="S331" s="5"/>
      <c r="U331" s="4" t="s">
        <v>206</v>
      </c>
      <c r="V331" s="4">
        <v>0.9</v>
      </c>
      <c r="W331" s="4">
        <v>0.5</v>
      </c>
      <c r="X331" s="4">
        <v>0.6</v>
      </c>
      <c r="Y331" s="4">
        <v>0.3</v>
      </c>
      <c r="Z331" s="6">
        <v>608.07702600000005</v>
      </c>
      <c r="AA331" s="4">
        <v>2E-3</v>
      </c>
      <c r="AC331" s="4" t="s">
        <v>206</v>
      </c>
      <c r="AD331" s="4">
        <v>0.9</v>
      </c>
      <c r="AE331" s="4">
        <v>0.5</v>
      </c>
      <c r="AF331" s="4">
        <v>0.6</v>
      </c>
      <c r="AG331" s="4">
        <v>0.68</v>
      </c>
      <c r="AH331" s="4">
        <v>665.25054899999998</v>
      </c>
      <c r="AI331" s="4">
        <v>6.0000000000000001E-3</v>
      </c>
      <c r="AJ331" s="5"/>
      <c r="AK331" s="5"/>
      <c r="AL331" s="5"/>
      <c r="AM331" s="5"/>
      <c r="AO331" s="4" t="s">
        <v>207</v>
      </c>
      <c r="AP331" s="4">
        <v>0.9</v>
      </c>
      <c r="AQ331" s="4">
        <v>0.5</v>
      </c>
      <c r="AR331" s="4">
        <v>0.6</v>
      </c>
      <c r="AS331" s="4">
        <v>0.3</v>
      </c>
      <c r="AT331" s="6">
        <v>892.67394999999999</v>
      </c>
      <c r="AU331" s="4">
        <v>6.0000000000000001E-3</v>
      </c>
      <c r="AW331" s="4" t="s">
        <v>207</v>
      </c>
      <c r="AX331" s="4">
        <v>0.9</v>
      </c>
      <c r="AY331" s="4">
        <v>0.5</v>
      </c>
      <c r="AZ331" s="4">
        <v>0.6</v>
      </c>
      <c r="BA331" s="4">
        <v>0.91</v>
      </c>
      <c r="BB331" s="4">
        <v>1019.6345209999999</v>
      </c>
      <c r="BC331" s="4">
        <v>2.5000000000000001E-2</v>
      </c>
      <c r="BD331" s="5"/>
      <c r="BE331" s="5"/>
      <c r="BF331" s="5"/>
      <c r="BG331" s="5"/>
      <c r="BI331" s="4" t="s">
        <v>207</v>
      </c>
      <c r="BJ331" s="4">
        <v>0.9</v>
      </c>
      <c r="BK331" s="4">
        <v>0.5</v>
      </c>
      <c r="BL331" s="4">
        <v>0.6</v>
      </c>
      <c r="BM331" s="4">
        <v>0.3</v>
      </c>
      <c r="BN331" s="6">
        <v>823.70959500000004</v>
      </c>
      <c r="BO331" s="4">
        <v>5.0000000000000001E-3</v>
      </c>
      <c r="BQ331" s="4" t="s">
        <v>207</v>
      </c>
      <c r="BR331" s="4">
        <v>0.9</v>
      </c>
      <c r="BS331" s="4">
        <v>0.5</v>
      </c>
      <c r="BT331" s="4">
        <v>0.6</v>
      </c>
      <c r="BU331" s="4">
        <v>0.57999999999999996</v>
      </c>
      <c r="BV331" s="4">
        <v>926.701233</v>
      </c>
      <c r="BW331" s="4">
        <v>1.7999999999999999E-2</v>
      </c>
      <c r="BX331" s="5"/>
      <c r="BY331" s="5"/>
      <c r="BZ331" s="5"/>
      <c r="CA331" s="5"/>
    </row>
    <row r="332" spans="1:79" x14ac:dyDescent="0.3">
      <c r="A332" s="4" t="s">
        <v>208</v>
      </c>
      <c r="B332" s="4">
        <v>0.9</v>
      </c>
      <c r="C332" s="4">
        <v>0.5</v>
      </c>
      <c r="D332" s="4">
        <v>0.6</v>
      </c>
      <c r="E332" s="4">
        <v>0.3</v>
      </c>
      <c r="F332" s="4">
        <v>618.52227800000003</v>
      </c>
      <c r="G332" s="4">
        <v>2E-3</v>
      </c>
      <c r="I332" s="4" t="s">
        <v>208</v>
      </c>
      <c r="J332" s="4">
        <v>0.9</v>
      </c>
      <c r="K332" s="4">
        <v>0.5</v>
      </c>
      <c r="L332" s="4">
        <v>0.6</v>
      </c>
      <c r="M332" s="4">
        <v>0.25</v>
      </c>
      <c r="N332" s="6">
        <v>607.71612500000003</v>
      </c>
      <c r="O332" s="4">
        <v>1.6E-2</v>
      </c>
      <c r="P332" s="5"/>
      <c r="Q332" s="5"/>
      <c r="R332" s="5"/>
      <c r="S332" s="5"/>
      <c r="U332" s="4" t="s">
        <v>208</v>
      </c>
      <c r="V332" s="4">
        <v>0.9</v>
      </c>
      <c r="W332" s="4">
        <v>0.5</v>
      </c>
      <c r="X332" s="4">
        <v>0.6</v>
      </c>
      <c r="Y332" s="4">
        <v>0.3</v>
      </c>
      <c r="Z332" s="6">
        <v>556.91619900000001</v>
      </c>
      <c r="AA332" s="4">
        <v>2E-3</v>
      </c>
      <c r="AC332" s="4" t="s">
        <v>208</v>
      </c>
      <c r="AD332" s="4">
        <v>0.9</v>
      </c>
      <c r="AE332" s="4">
        <v>0.5</v>
      </c>
      <c r="AF332" s="4">
        <v>0.6</v>
      </c>
      <c r="AG332" s="4">
        <v>0.48</v>
      </c>
      <c r="AH332" s="4">
        <v>611.70251499999995</v>
      </c>
      <c r="AI332" s="4">
        <v>0.02</v>
      </c>
      <c r="AJ332" s="5"/>
      <c r="AK332" s="5"/>
      <c r="AL332" s="5"/>
      <c r="AM332" s="5"/>
      <c r="AO332" s="4" t="s">
        <v>209</v>
      </c>
      <c r="AP332" s="4">
        <v>0.9</v>
      </c>
      <c r="AQ332" s="4">
        <v>0.5</v>
      </c>
      <c r="AR332" s="4">
        <v>0.6</v>
      </c>
      <c r="AS332" s="4">
        <v>0.3</v>
      </c>
      <c r="AT332" s="6">
        <v>879.33618200000001</v>
      </c>
      <c r="AU332" s="4">
        <v>6.0000000000000001E-3</v>
      </c>
      <c r="AW332" s="4" t="s">
        <v>209</v>
      </c>
      <c r="AX332" s="4">
        <v>0.9</v>
      </c>
      <c r="AY332" s="4">
        <v>0.5</v>
      </c>
      <c r="AZ332" s="4">
        <v>0.6</v>
      </c>
      <c r="BA332" s="4">
        <v>0.86</v>
      </c>
      <c r="BB332" s="4">
        <v>1045.1875</v>
      </c>
      <c r="BC332" s="4">
        <v>2.1000000000000001E-2</v>
      </c>
      <c r="BD332" s="5"/>
      <c r="BE332" s="5"/>
      <c r="BF332" s="5"/>
      <c r="BG332" s="5"/>
      <c r="BI332" s="4" t="s">
        <v>209</v>
      </c>
      <c r="BJ332" s="4">
        <v>0.9</v>
      </c>
      <c r="BK332" s="4">
        <v>0.5</v>
      </c>
      <c r="BL332" s="4">
        <v>0.6</v>
      </c>
      <c r="BM332" s="4">
        <v>0.3</v>
      </c>
      <c r="BN332" s="6">
        <v>802.61377000000005</v>
      </c>
      <c r="BO332" s="4">
        <v>6.0000000000000001E-3</v>
      </c>
      <c r="BQ332" s="4" t="s">
        <v>209</v>
      </c>
      <c r="BR332" s="4">
        <v>0.9</v>
      </c>
      <c r="BS332" s="4">
        <v>0.5</v>
      </c>
      <c r="BT332" s="4">
        <v>0.6</v>
      </c>
      <c r="BU332" s="4">
        <v>0.75</v>
      </c>
      <c r="BV332" s="4">
        <v>971.104919</v>
      </c>
      <c r="BW332" s="4">
        <v>1.4999999999999999E-2</v>
      </c>
      <c r="BX332" s="5"/>
      <c r="BY332" s="5"/>
      <c r="BZ332" s="5"/>
      <c r="CA332" s="5"/>
    </row>
    <row r="333" spans="1:79" x14ac:dyDescent="0.3">
      <c r="A333" s="4" t="s">
        <v>210</v>
      </c>
      <c r="B333" s="4">
        <v>0.9</v>
      </c>
      <c r="C333" s="4">
        <v>0.5</v>
      </c>
      <c r="D333" s="4">
        <v>0.6</v>
      </c>
      <c r="E333" s="4">
        <v>0.3</v>
      </c>
      <c r="F333" s="6">
        <v>601.227844</v>
      </c>
      <c r="G333" s="4">
        <v>2E-3</v>
      </c>
      <c r="I333" s="4" t="s">
        <v>210</v>
      </c>
      <c r="J333" s="4">
        <v>0.9</v>
      </c>
      <c r="K333" s="4">
        <v>0.5</v>
      </c>
      <c r="L333" s="4">
        <v>0.6</v>
      </c>
      <c r="M333" s="4">
        <v>0.9</v>
      </c>
      <c r="N333" s="4">
        <v>691.98242200000004</v>
      </c>
      <c r="O333" s="4">
        <v>0.01</v>
      </c>
      <c r="P333" s="5"/>
      <c r="Q333" s="5"/>
      <c r="R333" s="5"/>
      <c r="S333" s="5"/>
      <c r="U333" s="4" t="s">
        <v>210</v>
      </c>
      <c r="V333" s="4">
        <v>0.9</v>
      </c>
      <c r="W333" s="4">
        <v>0.5</v>
      </c>
      <c r="X333" s="4">
        <v>0.6</v>
      </c>
      <c r="Y333" s="4">
        <v>0.3</v>
      </c>
      <c r="Z333" s="6">
        <v>560.67224099999999</v>
      </c>
      <c r="AA333" s="4">
        <v>2E-3</v>
      </c>
      <c r="AC333" s="4" t="s">
        <v>210</v>
      </c>
      <c r="AD333" s="4">
        <v>0.9</v>
      </c>
      <c r="AE333" s="4">
        <v>0.5</v>
      </c>
      <c r="AF333" s="4">
        <v>0.6</v>
      </c>
      <c r="AG333" s="4">
        <v>0.89</v>
      </c>
      <c r="AH333" s="4">
        <v>673.95770300000004</v>
      </c>
      <c r="AI333" s="4">
        <v>1.4E-2</v>
      </c>
      <c r="AJ333" s="5"/>
      <c r="AK333" s="5"/>
      <c r="AL333" s="5"/>
      <c r="AM333" s="5"/>
      <c r="AO333" s="4" t="s">
        <v>211</v>
      </c>
      <c r="AP333" s="4">
        <v>0.9</v>
      </c>
      <c r="AQ333" s="4">
        <v>0.5</v>
      </c>
      <c r="AR333" s="4">
        <v>0.6</v>
      </c>
      <c r="AS333" s="4">
        <v>0.3</v>
      </c>
      <c r="AT333" s="6">
        <v>923.92132600000002</v>
      </c>
      <c r="AU333" s="4">
        <v>6.0000000000000001E-3</v>
      </c>
      <c r="AW333" s="4" t="s">
        <v>211</v>
      </c>
      <c r="AX333" s="4">
        <v>0.9</v>
      </c>
      <c r="AY333" s="4">
        <v>0.5</v>
      </c>
      <c r="AZ333" s="4">
        <v>0.6</v>
      </c>
      <c r="BA333" s="4">
        <v>0.96</v>
      </c>
      <c r="BB333" s="4">
        <v>1050.771606</v>
      </c>
      <c r="BC333" s="4">
        <v>2.1999999999999999E-2</v>
      </c>
      <c r="BD333" s="5"/>
      <c r="BE333" s="5"/>
      <c r="BF333" s="5"/>
      <c r="BG333" s="5"/>
      <c r="BI333" s="4" t="s">
        <v>211</v>
      </c>
      <c r="BJ333" s="4">
        <v>0.9</v>
      </c>
      <c r="BK333" s="4">
        <v>0.5</v>
      </c>
      <c r="BL333" s="4">
        <v>0.6</v>
      </c>
      <c r="BM333" s="4">
        <v>0.3</v>
      </c>
      <c r="BN333" s="6">
        <v>864.67895499999997</v>
      </c>
      <c r="BO333" s="4">
        <v>5.0000000000000001E-3</v>
      </c>
      <c r="BQ333" s="4" t="s">
        <v>211</v>
      </c>
      <c r="BR333" s="4">
        <v>0.9</v>
      </c>
      <c r="BS333" s="4">
        <v>0.5</v>
      </c>
      <c r="BT333" s="4">
        <v>0.6</v>
      </c>
      <c r="BU333" s="4">
        <v>0.5</v>
      </c>
      <c r="BV333" s="4">
        <v>939.24823000000004</v>
      </c>
      <c r="BW333" s="4">
        <v>2.1999999999999999E-2</v>
      </c>
      <c r="BX333" s="5"/>
      <c r="BY333" s="5"/>
      <c r="BZ333" s="5"/>
      <c r="CA333" s="5"/>
    </row>
    <row r="334" spans="1:79" x14ac:dyDescent="0.3">
      <c r="A334" s="4" t="s">
        <v>212</v>
      </c>
      <c r="B334" s="4">
        <v>0.9</v>
      </c>
      <c r="C334" s="4">
        <v>0.5</v>
      </c>
      <c r="D334" s="4">
        <v>0.6</v>
      </c>
      <c r="E334" s="4">
        <v>0.3</v>
      </c>
      <c r="F334" s="6">
        <v>632.23492399999998</v>
      </c>
      <c r="G334" s="4">
        <v>2E-3</v>
      </c>
      <c r="I334" s="4" t="s">
        <v>212</v>
      </c>
      <c r="J334" s="4">
        <v>0.9</v>
      </c>
      <c r="K334" s="4">
        <v>0.5</v>
      </c>
      <c r="L334" s="4">
        <v>0.6</v>
      </c>
      <c r="M334" s="4">
        <v>0.42</v>
      </c>
      <c r="N334" s="4">
        <v>648.47302200000001</v>
      </c>
      <c r="O334" s="4">
        <v>0.03</v>
      </c>
      <c r="P334" s="5"/>
      <c r="Q334" s="5"/>
      <c r="R334" s="5"/>
      <c r="S334" s="5"/>
      <c r="U334" s="4" t="s">
        <v>212</v>
      </c>
      <c r="V334" s="4">
        <v>0.9</v>
      </c>
      <c r="W334" s="4">
        <v>0.5</v>
      </c>
      <c r="X334" s="4">
        <v>0.6</v>
      </c>
      <c r="Y334" s="4">
        <v>0.3</v>
      </c>
      <c r="Z334" s="6">
        <v>600.80981399999996</v>
      </c>
      <c r="AA334" s="4">
        <v>1E-3</v>
      </c>
      <c r="AC334" s="4" t="s">
        <v>212</v>
      </c>
      <c r="AD334" s="4">
        <v>0.9</v>
      </c>
      <c r="AE334" s="4">
        <v>0.5</v>
      </c>
      <c r="AF334" s="4">
        <v>0.6</v>
      </c>
      <c r="AG334" s="4">
        <v>0.46</v>
      </c>
      <c r="AH334" s="4">
        <v>644.86517300000003</v>
      </c>
      <c r="AI334" s="4">
        <v>8.0000000000000002E-3</v>
      </c>
      <c r="AJ334" s="5"/>
      <c r="AK334" s="5"/>
      <c r="AL334" s="5"/>
      <c r="AM334" s="5"/>
      <c r="AO334" s="4" t="s">
        <v>213</v>
      </c>
      <c r="AP334" s="4">
        <v>0.9</v>
      </c>
      <c r="AQ334" s="4">
        <v>0.5</v>
      </c>
      <c r="AR334" s="4">
        <v>0.6</v>
      </c>
      <c r="AS334" s="4">
        <v>0.3</v>
      </c>
      <c r="AT334" s="4">
        <v>916.23138400000005</v>
      </c>
      <c r="AU334" s="4">
        <v>6.0000000000000001E-3</v>
      </c>
      <c r="AW334" s="4" t="s">
        <v>213</v>
      </c>
      <c r="AX334" s="4">
        <v>0.9</v>
      </c>
      <c r="AY334" s="4">
        <v>0.5</v>
      </c>
      <c r="AZ334" s="4">
        <v>0.6</v>
      </c>
      <c r="BA334" s="4">
        <v>0.01</v>
      </c>
      <c r="BB334" s="6">
        <v>797.57910200000003</v>
      </c>
      <c r="BC334" s="4">
        <v>0.02</v>
      </c>
      <c r="BD334" s="5"/>
      <c r="BE334" s="5"/>
      <c r="BF334" s="5"/>
      <c r="BG334" s="5"/>
      <c r="BI334" s="4" t="s">
        <v>213</v>
      </c>
      <c r="BJ334" s="4">
        <v>0.9</v>
      </c>
      <c r="BK334" s="4">
        <v>0.5</v>
      </c>
      <c r="BL334" s="4">
        <v>0.6</v>
      </c>
      <c r="BM334" s="4">
        <v>0.3</v>
      </c>
      <c r="BN334" s="4">
        <v>896.51104699999996</v>
      </c>
      <c r="BO334" s="4">
        <v>7.0000000000000001E-3</v>
      </c>
      <c r="BQ334" s="4" t="s">
        <v>213</v>
      </c>
      <c r="BR334" s="4">
        <v>0.9</v>
      </c>
      <c r="BS334" s="4">
        <v>0.5</v>
      </c>
      <c r="BT334" s="4">
        <v>0.6</v>
      </c>
      <c r="BU334" s="4">
        <v>0.02</v>
      </c>
      <c r="BV334" s="6">
        <v>735.37683100000004</v>
      </c>
      <c r="BW334" s="4">
        <v>1.4999999999999999E-2</v>
      </c>
      <c r="BX334" s="5"/>
      <c r="BY334" s="5"/>
      <c r="BZ334" s="5"/>
      <c r="CA334" s="5"/>
    </row>
    <row r="335" spans="1:79" x14ac:dyDescent="0.3">
      <c r="A335" s="4" t="s">
        <v>214</v>
      </c>
      <c r="B335" s="4">
        <v>0.9</v>
      </c>
      <c r="C335" s="4">
        <v>0.5</v>
      </c>
      <c r="D335" s="4">
        <v>0.6</v>
      </c>
      <c r="E335" s="4">
        <v>0.3</v>
      </c>
      <c r="F335" s="4">
        <v>648.76824999999997</v>
      </c>
      <c r="G335" s="4">
        <v>2E-3</v>
      </c>
      <c r="I335" s="4" t="s">
        <v>214</v>
      </c>
      <c r="J335" s="4">
        <v>0.9</v>
      </c>
      <c r="K335" s="4">
        <v>0.5</v>
      </c>
      <c r="L335" s="4">
        <v>0.6</v>
      </c>
      <c r="M335" s="4">
        <v>0.01</v>
      </c>
      <c r="N335" s="6">
        <v>640.33776899999998</v>
      </c>
      <c r="O335" s="4">
        <v>0.02</v>
      </c>
      <c r="P335" s="5"/>
      <c r="Q335" s="5"/>
      <c r="R335" s="5"/>
      <c r="S335" s="5"/>
      <c r="U335" s="4" t="s">
        <v>214</v>
      </c>
      <c r="V335" s="4">
        <v>0.9</v>
      </c>
      <c r="W335" s="4">
        <v>0.5</v>
      </c>
      <c r="X335" s="4">
        <v>0.6</v>
      </c>
      <c r="Y335" s="4">
        <v>0.3</v>
      </c>
      <c r="Z335" s="4">
        <v>616.80480999999997</v>
      </c>
      <c r="AA335" s="4">
        <v>2E-3</v>
      </c>
      <c r="AC335" s="4" t="s">
        <v>214</v>
      </c>
      <c r="AD335" s="4">
        <v>0.9</v>
      </c>
      <c r="AE335" s="4">
        <v>0.5</v>
      </c>
      <c r="AF335" s="4">
        <v>0.6</v>
      </c>
      <c r="AG335" s="4">
        <v>0.01</v>
      </c>
      <c r="AH335" s="6">
        <v>588.11926300000005</v>
      </c>
      <c r="AI335" s="4">
        <v>1.7999999999999999E-2</v>
      </c>
      <c r="AJ335" s="5"/>
      <c r="AK335" s="5"/>
      <c r="AL335" s="5"/>
      <c r="AM335" s="5"/>
      <c r="AO335" s="4" t="s">
        <v>215</v>
      </c>
      <c r="AP335" s="4">
        <v>0.9</v>
      </c>
      <c r="AQ335" s="4">
        <v>0.5</v>
      </c>
      <c r="AR335" s="4">
        <v>0.6</v>
      </c>
      <c r="AS335" s="4">
        <v>0.3</v>
      </c>
      <c r="AT335" s="4">
        <v>1014.385681</v>
      </c>
      <c r="AU335" s="4">
        <v>8.0000000000000002E-3</v>
      </c>
      <c r="AW335" s="4" t="s">
        <v>215</v>
      </c>
      <c r="AX335" s="4">
        <v>0.9</v>
      </c>
      <c r="AY335" s="4">
        <v>0.5</v>
      </c>
      <c r="AZ335" s="4">
        <v>0.6</v>
      </c>
      <c r="BA335" s="4">
        <v>0.23</v>
      </c>
      <c r="BB335" s="6">
        <v>977.084473</v>
      </c>
      <c r="BC335" s="4">
        <v>1.4E-2</v>
      </c>
      <c r="BD335" s="5"/>
      <c r="BE335" s="5"/>
      <c r="BF335" s="5"/>
      <c r="BG335" s="5"/>
      <c r="BI335" s="4" t="s">
        <v>215</v>
      </c>
      <c r="BJ335" s="4">
        <v>0.9</v>
      </c>
      <c r="BK335" s="4">
        <v>0.5</v>
      </c>
      <c r="BL335" s="4">
        <v>0.6</v>
      </c>
      <c r="BM335" s="4">
        <v>0.3</v>
      </c>
      <c r="BN335" s="6">
        <v>980.00140399999998</v>
      </c>
      <c r="BO335" s="4">
        <v>8.0000000000000002E-3</v>
      </c>
      <c r="BQ335" s="4" t="s">
        <v>215</v>
      </c>
      <c r="BR335" s="4">
        <v>0.9</v>
      </c>
      <c r="BS335" s="4">
        <v>0.5</v>
      </c>
      <c r="BT335" s="4">
        <v>0.6</v>
      </c>
      <c r="BU335" s="4">
        <v>0.68</v>
      </c>
      <c r="BV335" s="4">
        <v>1176.1429439999999</v>
      </c>
      <c r="BW335" s="4">
        <v>1.7000000000000001E-2</v>
      </c>
      <c r="BX335" s="5"/>
      <c r="BY335" s="5"/>
      <c r="BZ335" s="5"/>
      <c r="CA335" s="5"/>
    </row>
    <row r="336" spans="1:79" x14ac:dyDescent="0.3">
      <c r="A336" s="4" t="s">
        <v>216</v>
      </c>
      <c r="B336" s="4">
        <v>0.9</v>
      </c>
      <c r="C336" s="4">
        <v>0.5</v>
      </c>
      <c r="D336" s="4">
        <v>0.6</v>
      </c>
      <c r="E336" s="4">
        <v>0.3</v>
      </c>
      <c r="F336" s="6">
        <v>601.20922900000005</v>
      </c>
      <c r="G336" s="4">
        <v>1E-3</v>
      </c>
      <c r="I336" s="4" t="s">
        <v>216</v>
      </c>
      <c r="J336" s="4">
        <v>0.9</v>
      </c>
      <c r="K336" s="4">
        <v>0.5</v>
      </c>
      <c r="L336" s="4">
        <v>0.6</v>
      </c>
      <c r="M336" s="4">
        <v>0.61</v>
      </c>
      <c r="N336" s="4">
        <v>690.06494099999998</v>
      </c>
      <c r="O336" s="4">
        <v>4.2000000000000003E-2</v>
      </c>
      <c r="P336" s="5"/>
      <c r="Q336" s="5"/>
      <c r="R336" s="5"/>
      <c r="S336" s="5"/>
      <c r="U336" s="4" t="s">
        <v>216</v>
      </c>
      <c r="V336" s="4">
        <v>0.9</v>
      </c>
      <c r="W336" s="4">
        <v>0.5</v>
      </c>
      <c r="X336" s="4">
        <v>0.6</v>
      </c>
      <c r="Y336" s="4">
        <v>0.3</v>
      </c>
      <c r="Z336" s="6">
        <v>559.15551800000003</v>
      </c>
      <c r="AA336" s="4">
        <v>1E-3</v>
      </c>
      <c r="AC336" s="4" t="s">
        <v>216</v>
      </c>
      <c r="AD336" s="4">
        <v>0.9</v>
      </c>
      <c r="AE336" s="4">
        <v>0.5</v>
      </c>
      <c r="AF336" s="4">
        <v>0.6</v>
      </c>
      <c r="AG336" s="4">
        <v>0.37</v>
      </c>
      <c r="AH336" s="4">
        <v>565.176514</v>
      </c>
      <c r="AI336" s="4">
        <v>8.9999999999999993E-3</v>
      </c>
      <c r="AJ336" s="5"/>
      <c r="AK336" s="5"/>
      <c r="AL336" s="5"/>
      <c r="AM336" s="5"/>
      <c r="AO336" s="4" t="s">
        <v>217</v>
      </c>
      <c r="AP336" s="4">
        <v>0.9</v>
      </c>
      <c r="AQ336" s="4">
        <v>0.5</v>
      </c>
      <c r="AR336" s="4">
        <v>0.6</v>
      </c>
      <c r="AS336" s="4">
        <v>0.3</v>
      </c>
      <c r="AT336" s="6">
        <v>1031.9259030000001</v>
      </c>
      <c r="AU336" s="4">
        <v>8.0000000000000002E-3</v>
      </c>
      <c r="AW336" s="4" t="s">
        <v>217</v>
      </c>
      <c r="AX336" s="4">
        <v>0.9</v>
      </c>
      <c r="AY336" s="4">
        <v>0.5</v>
      </c>
      <c r="AZ336" s="4">
        <v>0.6</v>
      </c>
      <c r="BA336" s="4">
        <v>0.54</v>
      </c>
      <c r="BB336" s="4">
        <v>1170.4914550000001</v>
      </c>
      <c r="BC336" s="4">
        <v>3.1E-2</v>
      </c>
      <c r="BD336" s="5"/>
      <c r="BE336" s="5"/>
      <c r="BF336" s="5"/>
      <c r="BG336" s="5"/>
      <c r="BI336" s="4" t="s">
        <v>217</v>
      </c>
      <c r="BJ336" s="4">
        <v>0.9</v>
      </c>
      <c r="BK336" s="4">
        <v>0.5</v>
      </c>
      <c r="BL336" s="4">
        <v>0.6</v>
      </c>
      <c r="BM336" s="4">
        <v>0.3</v>
      </c>
      <c r="BN336" s="4">
        <v>1004.4351810000001</v>
      </c>
      <c r="BO336" s="4">
        <v>8.0000000000000002E-3</v>
      </c>
      <c r="BQ336" s="4" t="s">
        <v>217</v>
      </c>
      <c r="BR336" s="4">
        <v>0.9</v>
      </c>
      <c r="BS336" s="4">
        <v>0.5</v>
      </c>
      <c r="BT336" s="4">
        <v>0.6</v>
      </c>
      <c r="BU336" s="4">
        <v>0.05</v>
      </c>
      <c r="BV336" s="6">
        <v>863.42749000000003</v>
      </c>
      <c r="BW336" s="4">
        <v>2.5999999999999999E-2</v>
      </c>
      <c r="BX336" s="5"/>
      <c r="BY336" s="5"/>
      <c r="BZ336" s="5"/>
      <c r="CA336" s="5"/>
    </row>
    <row r="337" spans="1:79" x14ac:dyDescent="0.3">
      <c r="A337" s="4" t="s">
        <v>218</v>
      </c>
      <c r="B337" s="4">
        <v>0.9</v>
      </c>
      <c r="C337" s="4">
        <v>0.5</v>
      </c>
      <c r="D337" s="4">
        <v>0.6</v>
      </c>
      <c r="E337" s="4">
        <v>0.3</v>
      </c>
      <c r="F337" s="6">
        <v>650.98706100000004</v>
      </c>
      <c r="G337" s="4">
        <v>2E-3</v>
      </c>
      <c r="I337" s="4" t="s">
        <v>218</v>
      </c>
      <c r="J337" s="4">
        <v>0.9</v>
      </c>
      <c r="K337" s="4">
        <v>0.5</v>
      </c>
      <c r="L337" s="4">
        <v>0.6</v>
      </c>
      <c r="M337" s="4">
        <v>0.67</v>
      </c>
      <c r="N337" s="4">
        <v>746.21191399999998</v>
      </c>
      <c r="O337" s="4">
        <v>1.4E-2</v>
      </c>
      <c r="P337" s="5"/>
      <c r="Q337" s="5"/>
      <c r="R337" s="5"/>
      <c r="S337" s="5"/>
      <c r="U337" s="4" t="s">
        <v>218</v>
      </c>
      <c r="V337" s="4">
        <v>0.9</v>
      </c>
      <c r="W337" s="4">
        <v>0.5</v>
      </c>
      <c r="X337" s="4">
        <v>0.6</v>
      </c>
      <c r="Y337" s="4">
        <v>0.3</v>
      </c>
      <c r="Z337" s="6">
        <v>646.25183100000004</v>
      </c>
      <c r="AA337" s="4">
        <v>2E-3</v>
      </c>
      <c r="AC337" s="4" t="s">
        <v>218</v>
      </c>
      <c r="AD337" s="4">
        <v>0.9</v>
      </c>
      <c r="AE337" s="4">
        <v>0.5</v>
      </c>
      <c r="AF337" s="4">
        <v>0.6</v>
      </c>
      <c r="AG337" s="4">
        <v>0.34</v>
      </c>
      <c r="AH337" s="4">
        <v>654.50439500000005</v>
      </c>
      <c r="AI337" s="4">
        <v>1.2E-2</v>
      </c>
      <c r="AJ337" s="5"/>
      <c r="AK337" s="5"/>
      <c r="AL337" s="5"/>
      <c r="AM337" s="5"/>
      <c r="AO337" s="4" t="s">
        <v>219</v>
      </c>
      <c r="AP337" s="4">
        <v>0.9</v>
      </c>
      <c r="AQ337" s="4">
        <v>0.5</v>
      </c>
      <c r="AR337" s="4">
        <v>0.6</v>
      </c>
      <c r="AS337" s="4">
        <v>0.3</v>
      </c>
      <c r="AT337" s="6">
        <v>1037.631836</v>
      </c>
      <c r="AU337" s="4">
        <v>8.0000000000000002E-3</v>
      </c>
      <c r="AW337" s="4" t="s">
        <v>219</v>
      </c>
      <c r="AX337" s="4">
        <v>0.9</v>
      </c>
      <c r="AY337" s="4">
        <v>0.5</v>
      </c>
      <c r="AZ337" s="4">
        <v>0.6</v>
      </c>
      <c r="BA337" s="4">
        <v>0.42</v>
      </c>
      <c r="BB337" s="4">
        <v>1127.346313</v>
      </c>
      <c r="BC337" s="4">
        <v>0.03</v>
      </c>
      <c r="BD337" s="5"/>
      <c r="BE337" s="5"/>
      <c r="BF337" s="5"/>
      <c r="BG337" s="5"/>
      <c r="BI337" s="4" t="s">
        <v>219</v>
      </c>
      <c r="BJ337" s="4">
        <v>0.9</v>
      </c>
      <c r="BK337" s="4">
        <v>0.5</v>
      </c>
      <c r="BL337" s="4">
        <v>0.6</v>
      </c>
      <c r="BM337" s="4">
        <v>0.3</v>
      </c>
      <c r="BN337" s="6">
        <v>1019.759094</v>
      </c>
      <c r="BO337" s="4">
        <v>8.9999999999999993E-3</v>
      </c>
      <c r="BQ337" s="4" t="s">
        <v>219</v>
      </c>
      <c r="BR337" s="4">
        <v>0.9</v>
      </c>
      <c r="BS337" s="4">
        <v>0.5</v>
      </c>
      <c r="BT337" s="4">
        <v>0.6</v>
      </c>
      <c r="BU337" s="4">
        <v>0.8</v>
      </c>
      <c r="BV337" s="4">
        <v>1232.7028809999999</v>
      </c>
      <c r="BW337" s="4">
        <v>2.3E-2</v>
      </c>
      <c r="BX337" s="5"/>
      <c r="BY337" s="5"/>
      <c r="BZ337" s="5"/>
      <c r="CA337" s="5"/>
    </row>
    <row r="338" spans="1:79" x14ac:dyDescent="0.3">
      <c r="A338" s="4" t="s">
        <v>220</v>
      </c>
      <c r="B338" s="4">
        <v>0.9</v>
      </c>
      <c r="C338" s="4">
        <v>0.5</v>
      </c>
      <c r="D338" s="4">
        <v>0.6</v>
      </c>
      <c r="E338" s="4">
        <v>0.3</v>
      </c>
      <c r="F338" s="6">
        <v>675.104919</v>
      </c>
      <c r="G338" s="4">
        <v>2E-3</v>
      </c>
      <c r="I338" s="4" t="s">
        <v>220</v>
      </c>
      <c r="J338" s="4">
        <v>0.9</v>
      </c>
      <c r="K338" s="4">
        <v>0.5</v>
      </c>
      <c r="L338" s="4">
        <v>0.6</v>
      </c>
      <c r="M338" s="4">
        <v>0.35</v>
      </c>
      <c r="N338" s="4">
        <v>699.54205300000001</v>
      </c>
      <c r="O338" s="4">
        <v>1.4999999999999999E-2</v>
      </c>
      <c r="P338" s="5"/>
      <c r="Q338" s="5"/>
      <c r="R338" s="5"/>
      <c r="S338" s="5"/>
      <c r="U338" s="4" t="s">
        <v>220</v>
      </c>
      <c r="V338" s="4">
        <v>0.9</v>
      </c>
      <c r="W338" s="4">
        <v>0.5</v>
      </c>
      <c r="X338" s="4">
        <v>0.6</v>
      </c>
      <c r="Y338" s="4">
        <v>0.3</v>
      </c>
      <c r="Z338" s="6">
        <v>652.27722200000005</v>
      </c>
      <c r="AA338" s="4">
        <v>2E-3</v>
      </c>
      <c r="AC338" s="4" t="s">
        <v>220</v>
      </c>
      <c r="AD338" s="4">
        <v>0.9</v>
      </c>
      <c r="AE338" s="4">
        <v>0.5</v>
      </c>
      <c r="AF338" s="4">
        <v>0.6</v>
      </c>
      <c r="AG338" s="4">
        <v>0.42</v>
      </c>
      <c r="AH338" s="4">
        <v>710.35778800000003</v>
      </c>
      <c r="AI338" s="4">
        <v>1.2E-2</v>
      </c>
      <c r="AJ338" s="5"/>
      <c r="AK338" s="5"/>
      <c r="AL338" s="5"/>
      <c r="AM338" s="5"/>
      <c r="AO338" s="4" t="s">
        <v>221</v>
      </c>
      <c r="AP338" s="4">
        <v>0.9</v>
      </c>
      <c r="AQ338" s="4">
        <v>0.5</v>
      </c>
      <c r="AR338" s="4">
        <v>0.6</v>
      </c>
      <c r="AS338" s="4">
        <v>0.3</v>
      </c>
      <c r="AT338" s="4">
        <v>982.07775900000001</v>
      </c>
      <c r="AU338" s="4">
        <v>7.0000000000000001E-3</v>
      </c>
      <c r="AW338" s="4" t="s">
        <v>221</v>
      </c>
      <c r="AX338" s="4">
        <v>0.9</v>
      </c>
      <c r="AY338" s="4">
        <v>0.5</v>
      </c>
      <c r="AZ338" s="4">
        <v>0.6</v>
      </c>
      <c r="BA338" s="4">
        <v>0.22</v>
      </c>
      <c r="BB338" s="6">
        <v>938.475281</v>
      </c>
      <c r="BC338" s="4">
        <v>1.6E-2</v>
      </c>
      <c r="BD338" s="5"/>
      <c r="BE338" s="5"/>
      <c r="BF338" s="5"/>
      <c r="BG338" s="5"/>
      <c r="BI338" s="4" t="s">
        <v>221</v>
      </c>
      <c r="BJ338" s="4">
        <v>0.9</v>
      </c>
      <c r="BK338" s="4">
        <v>0.5</v>
      </c>
      <c r="BL338" s="4">
        <v>0.6</v>
      </c>
      <c r="BM338" s="4">
        <v>0.3</v>
      </c>
      <c r="BN338" s="6">
        <v>925.73260500000004</v>
      </c>
      <c r="BO338" s="4">
        <v>7.0000000000000001E-3</v>
      </c>
      <c r="BQ338" s="4" t="s">
        <v>221</v>
      </c>
      <c r="BR338" s="4">
        <v>0.9</v>
      </c>
      <c r="BS338" s="4">
        <v>0.5</v>
      </c>
      <c r="BT338" s="4">
        <v>0.6</v>
      </c>
      <c r="BU338" s="4">
        <v>0.96</v>
      </c>
      <c r="BV338" s="4">
        <v>1112.8675539999999</v>
      </c>
      <c r="BW338" s="4">
        <v>1.7999999999999999E-2</v>
      </c>
      <c r="BX338" s="5"/>
      <c r="BY338" s="5"/>
      <c r="BZ338" s="5"/>
      <c r="CA338" s="5"/>
    </row>
    <row r="339" spans="1:79" x14ac:dyDescent="0.3">
      <c r="A339" s="4" t="s">
        <v>222</v>
      </c>
      <c r="B339" s="4">
        <v>0.9</v>
      </c>
      <c r="C339" s="4">
        <v>0.5</v>
      </c>
      <c r="D339" s="4">
        <v>0.6</v>
      </c>
      <c r="E339" s="4">
        <v>0.3</v>
      </c>
      <c r="F339" s="4">
        <v>685.50866699999995</v>
      </c>
      <c r="G339" s="4">
        <v>3.0000000000000001E-3</v>
      </c>
      <c r="I339" s="4" t="s">
        <v>222</v>
      </c>
      <c r="J339" s="4">
        <v>0.9</v>
      </c>
      <c r="K339" s="4">
        <v>0.5</v>
      </c>
      <c r="L339" s="4">
        <v>0.6</v>
      </c>
      <c r="M339" s="4">
        <v>0.11</v>
      </c>
      <c r="N339" s="6">
        <v>638.43292199999996</v>
      </c>
      <c r="O339" s="4">
        <v>0.01</v>
      </c>
      <c r="P339" s="5"/>
      <c r="Q339" s="5"/>
      <c r="R339" s="5"/>
      <c r="S339" s="5"/>
      <c r="U339" s="4" t="s">
        <v>222</v>
      </c>
      <c r="V339" s="4">
        <v>0.9</v>
      </c>
      <c r="W339" s="4">
        <v>0.5</v>
      </c>
      <c r="X339" s="4">
        <v>0.6</v>
      </c>
      <c r="Y339" s="4">
        <v>0.3</v>
      </c>
      <c r="Z339" s="6">
        <v>661.85058600000002</v>
      </c>
      <c r="AA339" s="4">
        <v>2E-3</v>
      </c>
      <c r="AC339" s="4" t="s">
        <v>222</v>
      </c>
      <c r="AD339" s="4">
        <v>0.9</v>
      </c>
      <c r="AE339" s="4">
        <v>0.5</v>
      </c>
      <c r="AF339" s="4">
        <v>0.6</v>
      </c>
      <c r="AG339" s="4">
        <v>0.55000000000000004</v>
      </c>
      <c r="AH339" s="4">
        <v>715.707764</v>
      </c>
      <c r="AI339" s="4">
        <v>1.2999999999999999E-2</v>
      </c>
      <c r="AJ339" s="5"/>
      <c r="AK339" s="5"/>
      <c r="AL339" s="5"/>
      <c r="AM339" s="5"/>
      <c r="AO339" s="4" t="s">
        <v>223</v>
      </c>
      <c r="AP339" s="4">
        <v>0.9</v>
      </c>
      <c r="AQ339" s="4">
        <v>0.5</v>
      </c>
      <c r="AR339" s="4">
        <v>0.6</v>
      </c>
      <c r="AS339" s="4">
        <v>0.3</v>
      </c>
      <c r="AT339" s="6">
        <v>1078.3679199999999</v>
      </c>
      <c r="AU339" s="4">
        <v>8.0000000000000002E-3</v>
      </c>
      <c r="AW339" s="4" t="s">
        <v>223</v>
      </c>
      <c r="AX339" s="4">
        <v>0.9</v>
      </c>
      <c r="AY339" s="4">
        <v>0.5</v>
      </c>
      <c r="AZ339" s="4">
        <v>0.6</v>
      </c>
      <c r="BA339" s="4">
        <v>0.77</v>
      </c>
      <c r="BB339" s="4">
        <v>1236.334595</v>
      </c>
      <c r="BC339" s="4">
        <v>2.4E-2</v>
      </c>
      <c r="BD339" s="5"/>
      <c r="BE339" s="5"/>
      <c r="BF339" s="5"/>
      <c r="BG339" s="5"/>
      <c r="BI339" s="4" t="s">
        <v>223</v>
      </c>
      <c r="BJ339" s="4">
        <v>0.9</v>
      </c>
      <c r="BK339" s="4">
        <v>0.5</v>
      </c>
      <c r="BL339" s="4">
        <v>0.6</v>
      </c>
      <c r="BM339" s="4">
        <v>0.3</v>
      </c>
      <c r="BN339" s="4">
        <v>1042.91687</v>
      </c>
      <c r="BO339" s="4">
        <v>7.0000000000000001E-3</v>
      </c>
      <c r="BQ339" s="4" t="s">
        <v>223</v>
      </c>
      <c r="BR339" s="4">
        <v>0.9</v>
      </c>
      <c r="BS339" s="4">
        <v>0.5</v>
      </c>
      <c r="BT339" s="4">
        <v>0.6</v>
      </c>
      <c r="BU339" s="4">
        <v>0.19</v>
      </c>
      <c r="BV339" s="6">
        <v>983.903503</v>
      </c>
      <c r="BW339" s="4">
        <v>0.03</v>
      </c>
      <c r="BX339" s="5"/>
      <c r="BY339" s="5"/>
      <c r="BZ339" s="5"/>
      <c r="CA339" s="5"/>
    </row>
    <row r="340" spans="1:79" x14ac:dyDescent="0.3">
      <c r="A340" s="4" t="s">
        <v>224</v>
      </c>
      <c r="B340" s="4">
        <v>0.9</v>
      </c>
      <c r="C340" s="4">
        <v>0.5</v>
      </c>
      <c r="D340" s="4">
        <v>0.6</v>
      </c>
      <c r="E340" s="4">
        <v>0.3</v>
      </c>
      <c r="F340" s="6">
        <v>708.69818099999998</v>
      </c>
      <c r="G340" s="4">
        <v>2E-3</v>
      </c>
      <c r="I340" s="4" t="s">
        <v>224</v>
      </c>
      <c r="J340" s="4">
        <v>0.9</v>
      </c>
      <c r="K340" s="4">
        <v>0.5</v>
      </c>
      <c r="L340" s="4">
        <v>0.6</v>
      </c>
      <c r="M340" s="4">
        <v>0.21</v>
      </c>
      <c r="N340" s="4">
        <v>723.50036599999999</v>
      </c>
      <c r="O340" s="4">
        <v>6.0000000000000001E-3</v>
      </c>
      <c r="P340" s="5"/>
      <c r="Q340" s="5"/>
      <c r="R340" s="5"/>
      <c r="S340" s="5"/>
      <c r="U340" s="4" t="s">
        <v>224</v>
      </c>
      <c r="V340" s="4">
        <v>0.9</v>
      </c>
      <c r="W340" s="4">
        <v>0.5</v>
      </c>
      <c r="X340" s="4">
        <v>0.6</v>
      </c>
      <c r="Y340" s="4">
        <v>0.3</v>
      </c>
      <c r="Z340" s="4">
        <v>731.49499500000002</v>
      </c>
      <c r="AA340" s="4">
        <v>2E-3</v>
      </c>
      <c r="AC340" s="4" t="s">
        <v>224</v>
      </c>
      <c r="AD340" s="4">
        <v>0.9</v>
      </c>
      <c r="AE340" s="4">
        <v>0.5</v>
      </c>
      <c r="AF340" s="4">
        <v>0.6</v>
      </c>
      <c r="AG340" s="4">
        <v>0.04</v>
      </c>
      <c r="AH340" s="6">
        <v>670.303223</v>
      </c>
      <c r="AI340" s="4">
        <v>1.2999999999999999E-2</v>
      </c>
      <c r="AJ340" s="5"/>
      <c r="AK340" s="5"/>
      <c r="AL340" s="5"/>
      <c r="AM340" s="5"/>
      <c r="AO340" s="4" t="s">
        <v>225</v>
      </c>
      <c r="AP340" s="4">
        <v>0.9</v>
      </c>
      <c r="AQ340" s="4">
        <v>0.5</v>
      </c>
      <c r="AR340" s="4">
        <v>0.6</v>
      </c>
      <c r="AS340" s="4">
        <v>0.3</v>
      </c>
      <c r="AT340" s="6">
        <v>994.72357199999999</v>
      </c>
      <c r="AU340" s="4">
        <v>7.0000000000000001E-3</v>
      </c>
      <c r="AW340" s="4" t="s">
        <v>225</v>
      </c>
      <c r="AX340" s="4">
        <v>0.9</v>
      </c>
      <c r="AY340" s="4">
        <v>0.5</v>
      </c>
      <c r="AZ340" s="4">
        <v>0.6</v>
      </c>
      <c r="BA340" s="4">
        <v>0.65</v>
      </c>
      <c r="BB340" s="4">
        <v>1160.613159</v>
      </c>
      <c r="BC340" s="4">
        <v>1.6E-2</v>
      </c>
      <c r="BD340" s="5"/>
      <c r="BE340" s="5"/>
      <c r="BF340" s="5"/>
      <c r="BG340" s="5"/>
      <c r="BI340" s="4" t="s">
        <v>225</v>
      </c>
      <c r="BJ340" s="4">
        <v>0.9</v>
      </c>
      <c r="BK340" s="4">
        <v>0.5</v>
      </c>
      <c r="BL340" s="4">
        <v>0.6</v>
      </c>
      <c r="BM340" s="4">
        <v>0.3</v>
      </c>
      <c r="BN340" s="6">
        <v>966.62097200000005</v>
      </c>
      <c r="BO340" s="4">
        <v>7.0000000000000001E-3</v>
      </c>
      <c r="BQ340" s="4" t="s">
        <v>225</v>
      </c>
      <c r="BR340" s="4">
        <v>0.9</v>
      </c>
      <c r="BS340" s="4">
        <v>0.5</v>
      </c>
      <c r="BT340" s="4">
        <v>0.6</v>
      </c>
      <c r="BU340" s="4">
        <v>0.56000000000000005</v>
      </c>
      <c r="BV340" s="4">
        <v>1102.3466800000001</v>
      </c>
      <c r="BW340" s="4">
        <v>1.4999999999999999E-2</v>
      </c>
      <c r="BX340" s="5"/>
      <c r="BY340" s="5"/>
      <c r="BZ340" s="5"/>
      <c r="CA340" s="5"/>
    </row>
    <row r="341" spans="1:79" x14ac:dyDescent="0.3">
      <c r="A341" s="4" t="s">
        <v>226</v>
      </c>
      <c r="B341" s="4">
        <v>0.9</v>
      </c>
      <c r="C341" s="4">
        <v>0.5</v>
      </c>
      <c r="D341" s="4">
        <v>0.6</v>
      </c>
      <c r="E341" s="4">
        <v>0.3</v>
      </c>
      <c r="F341" s="4">
        <v>734.53149399999995</v>
      </c>
      <c r="G341" s="4">
        <v>2E-3</v>
      </c>
      <c r="I341" s="4" t="s">
        <v>226</v>
      </c>
      <c r="J341" s="4">
        <v>0.9</v>
      </c>
      <c r="K341" s="4">
        <v>0.5</v>
      </c>
      <c r="L341" s="4">
        <v>0.6</v>
      </c>
      <c r="M341" s="4">
        <v>0.06</v>
      </c>
      <c r="N341" s="6">
        <v>692.52770999999996</v>
      </c>
      <c r="O341" s="4">
        <v>1.4E-2</v>
      </c>
      <c r="P341" s="5"/>
      <c r="Q341" s="5"/>
      <c r="R341" s="5"/>
      <c r="S341" s="5"/>
      <c r="U341" s="4" t="s">
        <v>226</v>
      </c>
      <c r="V341" s="4">
        <v>0.9</v>
      </c>
      <c r="W341" s="4">
        <v>0.5</v>
      </c>
      <c r="X341" s="4">
        <v>0.6</v>
      </c>
      <c r="Y341" s="4">
        <v>0.3</v>
      </c>
      <c r="Z341" s="4">
        <v>700.42407200000002</v>
      </c>
      <c r="AA341" s="4">
        <v>2E-3</v>
      </c>
      <c r="AC341" s="4" t="s">
        <v>226</v>
      </c>
      <c r="AD341" s="4">
        <v>0.9</v>
      </c>
      <c r="AE341" s="4">
        <v>0.5</v>
      </c>
      <c r="AF341" s="4">
        <v>0.6</v>
      </c>
      <c r="AG341" s="4">
        <v>0.24</v>
      </c>
      <c r="AH341" s="6">
        <v>686.14862100000005</v>
      </c>
      <c r="AI341" s="4">
        <v>1.9E-2</v>
      </c>
      <c r="AJ341" s="5"/>
      <c r="AK341" s="5"/>
      <c r="AL341" s="5"/>
      <c r="AM341" s="5"/>
      <c r="AO341" s="4" t="s">
        <v>227</v>
      </c>
      <c r="AP341" s="4">
        <v>0.9</v>
      </c>
      <c r="AQ341" s="4">
        <v>0.5</v>
      </c>
      <c r="AR341" s="4">
        <v>0.6</v>
      </c>
      <c r="AS341" s="4">
        <v>0.3</v>
      </c>
      <c r="AT341" s="6">
        <v>996.33300799999995</v>
      </c>
      <c r="AU341" s="4">
        <v>7.0000000000000001E-3</v>
      </c>
      <c r="AW341" s="4" t="s">
        <v>227</v>
      </c>
      <c r="AX341" s="4">
        <v>0.9</v>
      </c>
      <c r="AY341" s="4">
        <v>0.5</v>
      </c>
      <c r="AZ341" s="4">
        <v>0.6</v>
      </c>
      <c r="BA341" s="4">
        <v>0.92</v>
      </c>
      <c r="BB341" s="4">
        <v>1151.8873289999999</v>
      </c>
      <c r="BC341" s="4">
        <v>0.02</v>
      </c>
      <c r="BD341" s="5"/>
      <c r="BE341" s="5"/>
      <c r="BF341" s="5"/>
      <c r="BG341" s="5"/>
      <c r="BI341" s="4" t="s">
        <v>227</v>
      </c>
      <c r="BJ341" s="4">
        <v>0.9</v>
      </c>
      <c r="BK341" s="4">
        <v>0.5</v>
      </c>
      <c r="BL341" s="4">
        <v>0.6</v>
      </c>
      <c r="BM341" s="4">
        <v>0.3</v>
      </c>
      <c r="BN341" s="6">
        <v>952.65362500000003</v>
      </c>
      <c r="BO341" s="4">
        <v>7.0000000000000001E-3</v>
      </c>
      <c r="BQ341" s="4" t="s">
        <v>227</v>
      </c>
      <c r="BR341" s="4">
        <v>0.9</v>
      </c>
      <c r="BS341" s="4">
        <v>0.5</v>
      </c>
      <c r="BT341" s="4">
        <v>0.6</v>
      </c>
      <c r="BU341" s="4">
        <v>0.78</v>
      </c>
      <c r="BV341" s="4">
        <v>1120.5852050000001</v>
      </c>
      <c r="BW341" s="4">
        <v>1.4E-2</v>
      </c>
      <c r="BX341" s="5"/>
      <c r="BY341" s="5"/>
      <c r="BZ341" s="5"/>
      <c r="CA341" s="5"/>
    </row>
    <row r="342" spans="1:79" x14ac:dyDescent="0.3">
      <c r="A342" s="4" t="s">
        <v>228</v>
      </c>
      <c r="B342" s="4">
        <v>0.9</v>
      </c>
      <c r="C342" s="4">
        <v>0.5</v>
      </c>
      <c r="D342" s="4">
        <v>0.6</v>
      </c>
      <c r="E342" s="4">
        <v>0.3</v>
      </c>
      <c r="F342" s="6">
        <v>626.37707499999999</v>
      </c>
      <c r="G342" s="4">
        <v>2E-3</v>
      </c>
      <c r="I342" s="4" t="s">
        <v>228</v>
      </c>
      <c r="J342" s="4">
        <v>0.9</v>
      </c>
      <c r="K342" s="4">
        <v>0.5</v>
      </c>
      <c r="L342" s="4">
        <v>0.6</v>
      </c>
      <c r="M342" s="4">
        <v>0.3</v>
      </c>
      <c r="N342" s="4">
        <v>643.17620799999997</v>
      </c>
      <c r="O342" s="4">
        <v>1.6E-2</v>
      </c>
      <c r="P342" s="5"/>
      <c r="Q342" s="5"/>
      <c r="R342" s="5"/>
      <c r="S342" s="5"/>
      <c r="U342" s="4" t="s">
        <v>228</v>
      </c>
      <c r="V342" s="4">
        <v>0.9</v>
      </c>
      <c r="W342" s="4">
        <v>0.5</v>
      </c>
      <c r="X342" s="4">
        <v>0.6</v>
      </c>
      <c r="Y342" s="4">
        <v>0.3</v>
      </c>
      <c r="Z342" s="6">
        <v>614.99603300000001</v>
      </c>
      <c r="AA342" s="4">
        <v>2E-3</v>
      </c>
      <c r="AC342" s="4" t="s">
        <v>228</v>
      </c>
      <c r="AD342" s="4">
        <v>0.9</v>
      </c>
      <c r="AE342" s="4">
        <v>0.5</v>
      </c>
      <c r="AF342" s="4">
        <v>0.6</v>
      </c>
      <c r="AG342" s="4">
        <v>0.65</v>
      </c>
      <c r="AH342" s="4">
        <v>715.98004200000003</v>
      </c>
      <c r="AI342" s="4">
        <v>8.9999999999999993E-3</v>
      </c>
      <c r="AJ342" s="5"/>
      <c r="AK342" s="5"/>
      <c r="AL342" s="5"/>
      <c r="AM342" s="5"/>
      <c r="AO342" s="4" t="s">
        <v>229</v>
      </c>
      <c r="AP342" s="4">
        <v>0.9</v>
      </c>
      <c r="AQ342" s="4">
        <v>0.5</v>
      </c>
      <c r="AR342" s="4">
        <v>0.6</v>
      </c>
      <c r="AS342" s="4">
        <v>0.3</v>
      </c>
      <c r="AT342" s="6">
        <v>1077.3245850000001</v>
      </c>
      <c r="AU342" s="4">
        <v>8.0000000000000002E-3</v>
      </c>
      <c r="AW342" s="4" t="s">
        <v>229</v>
      </c>
      <c r="AX342" s="4">
        <v>0.9</v>
      </c>
      <c r="AY342" s="4">
        <v>0.5</v>
      </c>
      <c r="AZ342" s="4">
        <v>0.6</v>
      </c>
      <c r="BA342" s="4">
        <v>0.41</v>
      </c>
      <c r="BB342" s="4">
        <v>1069.4854740000001</v>
      </c>
      <c r="BC342" s="4">
        <v>2.1999999999999999E-2</v>
      </c>
      <c r="BD342" s="5"/>
      <c r="BE342" s="5"/>
      <c r="BF342" s="5"/>
      <c r="BG342" s="5"/>
      <c r="BI342" s="4" t="s">
        <v>229</v>
      </c>
      <c r="BJ342" s="4">
        <v>0.9</v>
      </c>
      <c r="BK342" s="4">
        <v>0.5</v>
      </c>
      <c r="BL342" s="4">
        <v>0.6</v>
      </c>
      <c r="BM342" s="4">
        <v>0.3</v>
      </c>
      <c r="BN342" s="6">
        <v>1031.559082</v>
      </c>
      <c r="BO342" s="4">
        <v>8.0000000000000002E-3</v>
      </c>
      <c r="BQ342" s="4" t="s">
        <v>229</v>
      </c>
      <c r="BR342" s="4">
        <v>0.9</v>
      </c>
      <c r="BS342" s="4">
        <v>0.5</v>
      </c>
      <c r="BT342" s="4">
        <v>0.6</v>
      </c>
      <c r="BU342" s="4">
        <v>0.45</v>
      </c>
      <c r="BV342" s="4">
        <v>1043.8321530000001</v>
      </c>
      <c r="BW342" s="4">
        <v>2.5000000000000001E-2</v>
      </c>
      <c r="BX342" s="5"/>
      <c r="BY342" s="5"/>
      <c r="BZ342" s="5"/>
      <c r="CA342" s="5"/>
    </row>
    <row r="343" spans="1:79" x14ac:dyDescent="0.3">
      <c r="A343" s="4" t="s">
        <v>230</v>
      </c>
      <c r="B343" s="4">
        <v>0.9</v>
      </c>
      <c r="C343" s="4">
        <v>0.5</v>
      </c>
      <c r="D343" s="4">
        <v>0.6</v>
      </c>
      <c r="E343" s="4">
        <v>0.3</v>
      </c>
      <c r="F343" s="6">
        <v>723.94006300000001</v>
      </c>
      <c r="G343" s="4">
        <v>2E-3</v>
      </c>
      <c r="I343" s="4" t="s">
        <v>230</v>
      </c>
      <c r="J343" s="4">
        <v>0.9</v>
      </c>
      <c r="K343" s="4">
        <v>0.5</v>
      </c>
      <c r="L343" s="4">
        <v>0.6</v>
      </c>
      <c r="M343" s="4">
        <v>0.69</v>
      </c>
      <c r="N343" s="4">
        <v>879.71350099999995</v>
      </c>
      <c r="O343" s="4">
        <v>1.7999999999999999E-2</v>
      </c>
      <c r="P343" s="5"/>
      <c r="Q343" s="5"/>
      <c r="R343" s="5"/>
      <c r="S343" s="5"/>
      <c r="U343" s="4" t="s">
        <v>230</v>
      </c>
      <c r="V343" s="4">
        <v>0.9</v>
      </c>
      <c r="W343" s="4">
        <v>0.5</v>
      </c>
      <c r="X343" s="4">
        <v>0.6</v>
      </c>
      <c r="Y343" s="4">
        <v>0.3</v>
      </c>
      <c r="Z343" s="6">
        <v>718.56689500000005</v>
      </c>
      <c r="AA343" s="4">
        <v>3.0000000000000001E-3</v>
      </c>
      <c r="AC343" s="4" t="s">
        <v>230</v>
      </c>
      <c r="AD343" s="4">
        <v>0.9</v>
      </c>
      <c r="AE343" s="4">
        <v>0.5</v>
      </c>
      <c r="AF343" s="4">
        <v>0.6</v>
      </c>
      <c r="AG343" s="4">
        <v>0.91</v>
      </c>
      <c r="AH343" s="4">
        <v>883.990906</v>
      </c>
      <c r="AI343" s="4">
        <v>8.9999999999999993E-3</v>
      </c>
      <c r="AJ343" s="5"/>
      <c r="AK343" s="5"/>
      <c r="AL343" s="5"/>
      <c r="AM343" s="5"/>
      <c r="AO343" s="4" t="s">
        <v>231</v>
      </c>
      <c r="AP343" s="4">
        <v>0.9</v>
      </c>
      <c r="AQ343" s="4">
        <v>0.5</v>
      </c>
      <c r="AR343" s="4">
        <v>0.6</v>
      </c>
      <c r="AS343" s="4">
        <v>0.3</v>
      </c>
      <c r="AT343" s="4">
        <v>939.11566200000004</v>
      </c>
      <c r="AU343" s="4">
        <v>7.0000000000000001E-3</v>
      </c>
      <c r="AW343" s="4" t="s">
        <v>231</v>
      </c>
      <c r="AX343" s="4">
        <v>0.9</v>
      </c>
      <c r="AY343" s="4">
        <v>0.5</v>
      </c>
      <c r="AZ343" s="4">
        <v>0.6</v>
      </c>
      <c r="BA343" s="4">
        <v>0.11</v>
      </c>
      <c r="BB343" s="6">
        <v>802.87841800000001</v>
      </c>
      <c r="BC343" s="4">
        <v>1.4999999999999999E-2</v>
      </c>
      <c r="BD343" s="5"/>
      <c r="BE343" s="5"/>
      <c r="BF343" s="5"/>
      <c r="BG343" s="5"/>
      <c r="BI343" s="4" t="s">
        <v>231</v>
      </c>
      <c r="BJ343" s="4">
        <v>0.9</v>
      </c>
      <c r="BK343" s="4">
        <v>0.5</v>
      </c>
      <c r="BL343" s="4">
        <v>0.6</v>
      </c>
      <c r="BM343" s="4">
        <v>0.3</v>
      </c>
      <c r="BN343" s="4">
        <v>937.78308100000004</v>
      </c>
      <c r="BO343" s="4">
        <v>7.0000000000000001E-3</v>
      </c>
      <c r="BQ343" s="4" t="s">
        <v>231</v>
      </c>
      <c r="BR343" s="4">
        <v>0.9</v>
      </c>
      <c r="BS343" s="4">
        <v>0.5</v>
      </c>
      <c r="BT343" s="4">
        <v>0.6</v>
      </c>
      <c r="BU343" s="4">
        <v>0.2</v>
      </c>
      <c r="BV343" s="6">
        <v>850.93298300000004</v>
      </c>
      <c r="BW343" s="4">
        <v>2.4E-2</v>
      </c>
      <c r="BX343" s="5"/>
      <c r="BY343" s="5"/>
      <c r="BZ343" s="5"/>
      <c r="CA343" s="5"/>
    </row>
    <row r="344" spans="1:79" x14ac:dyDescent="0.3">
      <c r="A344" s="4" t="s">
        <v>232</v>
      </c>
      <c r="B344" s="4">
        <v>0.9</v>
      </c>
      <c r="C344" s="4">
        <v>0.5</v>
      </c>
      <c r="D344" s="4">
        <v>0.6</v>
      </c>
      <c r="E344" s="4">
        <v>0.3</v>
      </c>
      <c r="F344" s="4">
        <v>777.87933299999997</v>
      </c>
      <c r="G344" s="4">
        <v>2E-3</v>
      </c>
      <c r="I344" s="4" t="s">
        <v>232</v>
      </c>
      <c r="J344" s="4">
        <v>0.9</v>
      </c>
      <c r="K344" s="4">
        <v>0.5</v>
      </c>
      <c r="L344" s="4">
        <v>0.6</v>
      </c>
      <c r="M344" s="4">
        <v>0.08</v>
      </c>
      <c r="N344" s="6">
        <v>717.395264</v>
      </c>
      <c r="O344" s="4">
        <v>0.01</v>
      </c>
      <c r="P344" s="5"/>
      <c r="Q344" s="5"/>
      <c r="R344" s="5"/>
      <c r="S344" s="5"/>
      <c r="U344" s="4" t="s">
        <v>232</v>
      </c>
      <c r="V344" s="4">
        <v>0.9</v>
      </c>
      <c r="W344" s="4">
        <v>0.5</v>
      </c>
      <c r="X344" s="4">
        <v>0.6</v>
      </c>
      <c r="Y344" s="4">
        <v>0.3</v>
      </c>
      <c r="Z344" s="6">
        <v>749.48809800000004</v>
      </c>
      <c r="AA344" s="4">
        <v>3.0000000000000001E-3</v>
      </c>
      <c r="AC344" s="4" t="s">
        <v>232</v>
      </c>
      <c r="AD344" s="4">
        <v>0.9</v>
      </c>
      <c r="AE344" s="4">
        <v>0.5</v>
      </c>
      <c r="AF344" s="4">
        <v>0.6</v>
      </c>
      <c r="AG344" s="4">
        <v>0.33</v>
      </c>
      <c r="AH344" s="4">
        <v>778.39917000000003</v>
      </c>
      <c r="AI344" s="4">
        <v>1.4E-2</v>
      </c>
      <c r="AJ344" s="5"/>
      <c r="AK344" s="5"/>
      <c r="AL344" s="5"/>
      <c r="AM344" s="5"/>
      <c r="AO344" s="4" t="s">
        <v>233</v>
      </c>
      <c r="AP344" s="4">
        <v>0.9</v>
      </c>
      <c r="AQ344" s="4">
        <v>0.5</v>
      </c>
      <c r="AR344" s="4">
        <v>0.6</v>
      </c>
      <c r="AS344" s="4">
        <v>0.3</v>
      </c>
      <c r="AT344" s="6">
        <v>1024.7148440000001</v>
      </c>
      <c r="AU344" s="4">
        <v>8.0000000000000002E-3</v>
      </c>
      <c r="AW344" s="4" t="s">
        <v>233</v>
      </c>
      <c r="AX344" s="4">
        <v>0.9</v>
      </c>
      <c r="AY344" s="4">
        <v>0.5</v>
      </c>
      <c r="AZ344" s="4">
        <v>0.6</v>
      </c>
      <c r="BA344" s="4">
        <v>0.66</v>
      </c>
      <c r="BB344" s="4">
        <v>1177.995361</v>
      </c>
      <c r="BC344" s="4">
        <v>0.02</v>
      </c>
      <c r="BD344" s="5"/>
      <c r="BE344" s="5"/>
      <c r="BF344" s="5"/>
      <c r="BG344" s="5"/>
      <c r="BI344" s="4" t="s">
        <v>233</v>
      </c>
      <c r="BJ344" s="4">
        <v>0.9</v>
      </c>
      <c r="BK344" s="4">
        <v>0.5</v>
      </c>
      <c r="BL344" s="4">
        <v>0.6</v>
      </c>
      <c r="BM344" s="4">
        <v>0.3</v>
      </c>
      <c r="BN344" s="6">
        <v>988.91381799999999</v>
      </c>
      <c r="BO344" s="4">
        <v>8.0000000000000002E-3</v>
      </c>
      <c r="BQ344" s="4" t="s">
        <v>233</v>
      </c>
      <c r="BR344" s="4">
        <v>0.9</v>
      </c>
      <c r="BS344" s="4">
        <v>0.5</v>
      </c>
      <c r="BT344" s="4">
        <v>0.6</v>
      </c>
      <c r="BU344" s="4">
        <v>0.36</v>
      </c>
      <c r="BV344" s="4">
        <v>1049.901611</v>
      </c>
      <c r="BW344" s="4">
        <v>1.4E-2</v>
      </c>
      <c r="BX344" s="5"/>
      <c r="BY344" s="5"/>
      <c r="BZ344" s="5"/>
      <c r="CA344" s="5"/>
    </row>
    <row r="345" spans="1:79" x14ac:dyDescent="0.3">
      <c r="A345" s="4" t="s">
        <v>234</v>
      </c>
      <c r="B345" s="4">
        <v>0.9</v>
      </c>
      <c r="C345" s="4">
        <v>0.5</v>
      </c>
      <c r="D345" s="4">
        <v>0.6</v>
      </c>
      <c r="E345" s="4">
        <v>0.3</v>
      </c>
      <c r="F345" s="6">
        <v>698.61218299999996</v>
      </c>
      <c r="G345" s="4">
        <v>2E-3</v>
      </c>
      <c r="I345" s="4" t="s">
        <v>234</v>
      </c>
      <c r="J345" s="4">
        <v>0.9</v>
      </c>
      <c r="K345" s="4">
        <v>0.5</v>
      </c>
      <c r="L345" s="4">
        <v>0.6</v>
      </c>
      <c r="M345" s="4">
        <v>0.18</v>
      </c>
      <c r="N345" s="4">
        <v>703.06957999999997</v>
      </c>
      <c r="O345" s="4">
        <v>1.4E-2</v>
      </c>
      <c r="P345" s="5"/>
      <c r="Q345" s="5"/>
      <c r="R345" s="5"/>
      <c r="S345" s="5"/>
      <c r="U345" s="4" t="s">
        <v>234</v>
      </c>
      <c r="V345" s="4">
        <v>0.9</v>
      </c>
      <c r="W345" s="4">
        <v>0.5</v>
      </c>
      <c r="X345" s="4">
        <v>0.6</v>
      </c>
      <c r="Y345" s="4">
        <v>0.3</v>
      </c>
      <c r="Z345" s="6">
        <v>707.502747</v>
      </c>
      <c r="AA345" s="4">
        <v>3.0000000000000001E-3</v>
      </c>
      <c r="AC345" s="4" t="s">
        <v>234</v>
      </c>
      <c r="AD345" s="4">
        <v>0.9</v>
      </c>
      <c r="AE345" s="4">
        <v>0.5</v>
      </c>
      <c r="AF345" s="4">
        <v>0.6</v>
      </c>
      <c r="AG345" s="4">
        <v>0.49</v>
      </c>
      <c r="AH345" s="4">
        <v>785.89434800000004</v>
      </c>
      <c r="AI345" s="4">
        <v>2.1000000000000001E-2</v>
      </c>
      <c r="AJ345" s="5"/>
      <c r="AK345" s="5"/>
      <c r="AL345" s="5"/>
      <c r="AM345" s="5"/>
      <c r="AO345" s="4" t="s">
        <v>235</v>
      </c>
      <c r="AP345" s="4">
        <v>0.9</v>
      </c>
      <c r="AQ345" s="4">
        <v>0.5</v>
      </c>
      <c r="AR345" s="4">
        <v>0.6</v>
      </c>
      <c r="AS345" s="4">
        <v>0.3</v>
      </c>
      <c r="AT345" s="6">
        <v>1031.9842530000001</v>
      </c>
      <c r="AU345" s="4">
        <v>8.0000000000000002E-3</v>
      </c>
      <c r="AW345" s="4" t="s">
        <v>235</v>
      </c>
      <c r="AX345" s="4">
        <v>0.9</v>
      </c>
      <c r="AY345" s="4">
        <v>0.5</v>
      </c>
      <c r="AZ345" s="4">
        <v>0.6</v>
      </c>
      <c r="BA345" s="4">
        <v>0.7</v>
      </c>
      <c r="BB345" s="4">
        <v>1309.2692870000001</v>
      </c>
      <c r="BC345" s="4">
        <v>2.3E-2</v>
      </c>
      <c r="BD345" s="5"/>
      <c r="BE345" s="5"/>
      <c r="BF345" s="5"/>
      <c r="BG345" s="5"/>
      <c r="BI345" s="4" t="s">
        <v>235</v>
      </c>
      <c r="BJ345" s="4">
        <v>0.9</v>
      </c>
      <c r="BK345" s="4">
        <v>0.5</v>
      </c>
      <c r="BL345" s="4">
        <v>0.6</v>
      </c>
      <c r="BM345" s="4">
        <v>0.3</v>
      </c>
      <c r="BN345" s="6">
        <v>1032.2100829999999</v>
      </c>
      <c r="BO345" s="4">
        <v>8.0000000000000002E-3</v>
      </c>
      <c r="BQ345" s="4" t="s">
        <v>235</v>
      </c>
      <c r="BR345" s="4">
        <v>0.9</v>
      </c>
      <c r="BS345" s="4">
        <v>0.5</v>
      </c>
      <c r="BT345" s="4">
        <v>0.6</v>
      </c>
      <c r="BU345" s="4">
        <v>0.42</v>
      </c>
      <c r="BV345" s="4">
        <v>1123.2208250000001</v>
      </c>
      <c r="BW345" s="4">
        <v>1.6E-2</v>
      </c>
      <c r="BX345" s="5"/>
      <c r="BY345" s="5"/>
      <c r="BZ345" s="5"/>
      <c r="CA345" s="5"/>
    </row>
    <row r="346" spans="1:79" x14ac:dyDescent="0.3">
      <c r="A346" s="4" t="s">
        <v>236</v>
      </c>
      <c r="B346" s="4">
        <v>0.9</v>
      </c>
      <c r="C346" s="4">
        <v>0.5</v>
      </c>
      <c r="D346" s="4">
        <v>0.6</v>
      </c>
      <c r="E346" s="4">
        <v>0.3</v>
      </c>
      <c r="F346" s="6">
        <v>745.65997300000004</v>
      </c>
      <c r="G346" s="4">
        <v>2E-3</v>
      </c>
      <c r="I346" s="4" t="s">
        <v>236</v>
      </c>
      <c r="J346" s="4">
        <v>0.9</v>
      </c>
      <c r="K346" s="4">
        <v>0.5</v>
      </c>
      <c r="L346" s="4">
        <v>0.6</v>
      </c>
      <c r="M346" s="4">
        <v>0.25</v>
      </c>
      <c r="N346" s="4">
        <v>749.319885</v>
      </c>
      <c r="O346" s="4">
        <v>1.9E-2</v>
      </c>
      <c r="P346" s="5"/>
      <c r="Q346" s="5"/>
      <c r="R346" s="5"/>
      <c r="S346" s="5"/>
      <c r="U346" s="4" t="s">
        <v>236</v>
      </c>
      <c r="V346" s="4">
        <v>0.9</v>
      </c>
      <c r="W346" s="4">
        <v>0.5</v>
      </c>
      <c r="X346" s="4">
        <v>0.6</v>
      </c>
      <c r="Y346" s="4">
        <v>0.3</v>
      </c>
      <c r="Z346" s="6">
        <v>740.31555200000003</v>
      </c>
      <c r="AA346" s="4">
        <v>2E-3</v>
      </c>
      <c r="AC346" s="4" t="s">
        <v>236</v>
      </c>
      <c r="AD346" s="4">
        <v>0.9</v>
      </c>
      <c r="AE346" s="4">
        <v>0.5</v>
      </c>
      <c r="AF346" s="4">
        <v>0.6</v>
      </c>
      <c r="AG346" s="4">
        <v>0.47</v>
      </c>
      <c r="AH346" s="4">
        <v>840.60430899999994</v>
      </c>
      <c r="AI346" s="4">
        <v>1.4E-2</v>
      </c>
      <c r="AJ346" s="5"/>
      <c r="AK346" s="5"/>
      <c r="AL346" s="5"/>
      <c r="AM346" s="5"/>
      <c r="AO346" s="4" t="s">
        <v>237</v>
      </c>
      <c r="AP346" s="4">
        <v>0.9</v>
      </c>
      <c r="AQ346" s="4">
        <v>0.5</v>
      </c>
      <c r="AR346" s="4">
        <v>0.6</v>
      </c>
      <c r="AS346" s="4">
        <v>0.3</v>
      </c>
      <c r="AT346" s="6">
        <v>1076.0958250000001</v>
      </c>
      <c r="AU346" s="4">
        <v>8.0000000000000002E-3</v>
      </c>
      <c r="AW346" s="4" t="s">
        <v>237</v>
      </c>
      <c r="AX346" s="4">
        <v>0.9</v>
      </c>
      <c r="AY346" s="4">
        <v>0.5</v>
      </c>
      <c r="AZ346" s="4">
        <v>0.6</v>
      </c>
      <c r="BA346" s="4">
        <v>0.87</v>
      </c>
      <c r="BB346" s="4">
        <v>1343.505615</v>
      </c>
      <c r="BC346" s="4">
        <v>1.6E-2</v>
      </c>
      <c r="BD346" s="5"/>
      <c r="BE346" s="5"/>
      <c r="BF346" s="5"/>
      <c r="BG346" s="5"/>
      <c r="BI346" s="4" t="s">
        <v>237</v>
      </c>
      <c r="BJ346" s="4">
        <v>0.9</v>
      </c>
      <c r="BK346" s="4">
        <v>0.5</v>
      </c>
      <c r="BL346" s="4">
        <v>0.6</v>
      </c>
      <c r="BM346" s="4">
        <v>0.3</v>
      </c>
      <c r="BN346" s="6">
        <v>1072.9780270000001</v>
      </c>
      <c r="BO346" s="4">
        <v>8.0000000000000002E-3</v>
      </c>
      <c r="BQ346" s="4" t="s">
        <v>237</v>
      </c>
      <c r="BR346" s="4">
        <v>0.9</v>
      </c>
      <c r="BS346" s="4">
        <v>0.5</v>
      </c>
      <c r="BT346" s="4">
        <v>0.6</v>
      </c>
      <c r="BU346" s="4">
        <v>0.39</v>
      </c>
      <c r="BV346" s="4">
        <v>1121.5070800000001</v>
      </c>
      <c r="BW346" s="4">
        <v>1.6E-2</v>
      </c>
      <c r="BX346" s="5"/>
      <c r="BY346" s="5"/>
      <c r="BZ346" s="5"/>
      <c r="CA346" s="5"/>
    </row>
    <row r="347" spans="1:79" x14ac:dyDescent="0.3">
      <c r="A347" s="4" t="s">
        <v>238</v>
      </c>
      <c r="B347" s="4">
        <v>0.9</v>
      </c>
      <c r="C347" s="4">
        <v>0.5</v>
      </c>
      <c r="D347" s="4">
        <v>0.6</v>
      </c>
      <c r="E347" s="4">
        <v>0.3</v>
      </c>
      <c r="F347" s="6">
        <v>735.08056599999998</v>
      </c>
      <c r="G347" s="4">
        <v>2E-3</v>
      </c>
      <c r="I347" s="4" t="s">
        <v>238</v>
      </c>
      <c r="J347" s="4">
        <v>0.9</v>
      </c>
      <c r="K347" s="4">
        <v>0.5</v>
      </c>
      <c r="L347" s="4">
        <v>0.6</v>
      </c>
      <c r="M347" s="4">
        <v>0.97</v>
      </c>
      <c r="N347" s="4">
        <v>973.22717299999999</v>
      </c>
      <c r="O347" s="4">
        <v>1.0999999999999999E-2</v>
      </c>
      <c r="P347" s="5"/>
      <c r="Q347" s="5"/>
      <c r="R347" s="5"/>
      <c r="S347" s="5"/>
      <c r="U347" s="4" t="s">
        <v>238</v>
      </c>
      <c r="V347" s="4">
        <v>0.9</v>
      </c>
      <c r="W347" s="4">
        <v>0.5</v>
      </c>
      <c r="X347" s="4">
        <v>0.6</v>
      </c>
      <c r="Y347" s="4">
        <v>0.3</v>
      </c>
      <c r="Z347" s="6">
        <v>722.87670900000001</v>
      </c>
      <c r="AA347" s="4">
        <v>3.0000000000000001E-3</v>
      </c>
      <c r="AC347" s="4" t="s">
        <v>238</v>
      </c>
      <c r="AD347" s="4">
        <v>0.9</v>
      </c>
      <c r="AE347" s="4">
        <v>0.5</v>
      </c>
      <c r="AF347" s="4">
        <v>0.6</v>
      </c>
      <c r="AG347" s="4">
        <v>0.75</v>
      </c>
      <c r="AH347" s="4">
        <v>893.51654099999996</v>
      </c>
      <c r="AI347" s="4">
        <v>1.4E-2</v>
      </c>
      <c r="AJ347" s="5"/>
      <c r="AK347" s="5"/>
      <c r="AL347" s="5"/>
      <c r="AM347" s="5"/>
      <c r="AO347" s="4" t="s">
        <v>239</v>
      </c>
      <c r="AP347" s="4">
        <v>0.9</v>
      </c>
      <c r="AQ347" s="4">
        <v>0.5</v>
      </c>
      <c r="AR347" s="4">
        <v>0.6</v>
      </c>
      <c r="AS347" s="4">
        <v>0.3</v>
      </c>
      <c r="AT347" s="6">
        <v>1121.3854980000001</v>
      </c>
      <c r="AU347" s="4">
        <v>8.9999999999999993E-3</v>
      </c>
      <c r="AW347" s="4" t="s">
        <v>239</v>
      </c>
      <c r="AX347" s="4">
        <v>0.9</v>
      </c>
      <c r="AY347" s="4">
        <v>0.5</v>
      </c>
      <c r="AZ347" s="4">
        <v>0.6</v>
      </c>
      <c r="BA347" s="4">
        <v>0.74</v>
      </c>
      <c r="BB347" s="4">
        <v>1455.5083010000001</v>
      </c>
      <c r="BC347" s="4">
        <v>2.1999999999999999E-2</v>
      </c>
      <c r="BD347" s="5"/>
      <c r="BE347" s="5"/>
      <c r="BF347" s="5"/>
      <c r="BG347" s="5"/>
      <c r="BI347" s="4" t="s">
        <v>239</v>
      </c>
      <c r="BJ347" s="4">
        <v>0.9</v>
      </c>
      <c r="BK347" s="4">
        <v>0.5</v>
      </c>
      <c r="BL347" s="4">
        <v>0.6</v>
      </c>
      <c r="BM347" s="4">
        <v>0.3</v>
      </c>
      <c r="BN347" s="6">
        <v>1081.10376</v>
      </c>
      <c r="BO347" s="4">
        <v>8.9999999999999993E-3</v>
      </c>
      <c r="BQ347" s="4" t="s">
        <v>239</v>
      </c>
      <c r="BR347" s="4">
        <v>0.9</v>
      </c>
      <c r="BS347" s="4">
        <v>0.5</v>
      </c>
      <c r="BT347" s="4">
        <v>0.6</v>
      </c>
      <c r="BU347" s="4">
        <v>0.28999999999999998</v>
      </c>
      <c r="BV347" s="4">
        <v>1107.529053</v>
      </c>
      <c r="BW347" s="4">
        <v>0.03</v>
      </c>
      <c r="BX347" s="5"/>
      <c r="BY347" s="5"/>
      <c r="BZ347" s="5"/>
      <c r="CA347" s="5"/>
    </row>
    <row r="348" spans="1:79" x14ac:dyDescent="0.3">
      <c r="A348" s="4" t="s">
        <v>240</v>
      </c>
      <c r="B348" s="4">
        <v>0.9</v>
      </c>
      <c r="C348" s="4">
        <v>0.5</v>
      </c>
      <c r="D348" s="4">
        <v>0.6</v>
      </c>
      <c r="E348" s="4">
        <v>0.3</v>
      </c>
      <c r="F348" s="6">
        <v>681.07525599999997</v>
      </c>
      <c r="G348" s="4">
        <v>2E-3</v>
      </c>
      <c r="I348" s="4" t="s">
        <v>240</v>
      </c>
      <c r="J348" s="4">
        <v>0.9</v>
      </c>
      <c r="K348" s="4">
        <v>0.5</v>
      </c>
      <c r="L348" s="4">
        <v>0.6</v>
      </c>
      <c r="M348" s="4">
        <v>0.88</v>
      </c>
      <c r="N348" s="4">
        <v>921.17620799999997</v>
      </c>
      <c r="O348" s="4">
        <v>1.0999999999999999E-2</v>
      </c>
      <c r="P348" s="5"/>
      <c r="Q348" s="5"/>
      <c r="R348" s="5"/>
      <c r="S348" s="5"/>
      <c r="U348" s="4" t="s">
        <v>240</v>
      </c>
      <c r="V348" s="4">
        <v>0.9</v>
      </c>
      <c r="W348" s="4">
        <v>0.5</v>
      </c>
      <c r="X348" s="4">
        <v>0.6</v>
      </c>
      <c r="Y348" s="4">
        <v>0.3</v>
      </c>
      <c r="Z348" s="4">
        <v>702.74102800000003</v>
      </c>
      <c r="AA348" s="4">
        <v>2E-3</v>
      </c>
      <c r="AC348" s="4" t="s">
        <v>240</v>
      </c>
      <c r="AD348" s="4">
        <v>0.9</v>
      </c>
      <c r="AE348" s="4">
        <v>0.5</v>
      </c>
      <c r="AF348" s="4">
        <v>0.6</v>
      </c>
      <c r="AG348" s="4">
        <v>0.05</v>
      </c>
      <c r="AH348" s="6">
        <v>644.80865500000004</v>
      </c>
      <c r="AI348" s="4">
        <v>1.6E-2</v>
      </c>
      <c r="AJ348" s="5"/>
      <c r="AK348" s="5"/>
      <c r="AL348" s="5"/>
      <c r="AM348" s="5"/>
      <c r="AO348" s="4" t="s">
        <v>241</v>
      </c>
      <c r="AP348" s="4">
        <v>0.9</v>
      </c>
      <c r="AQ348" s="4">
        <v>0.5</v>
      </c>
      <c r="AR348" s="4">
        <v>0.6</v>
      </c>
      <c r="AS348" s="4">
        <v>0.3</v>
      </c>
      <c r="AT348" s="6">
        <v>1064.5008539999999</v>
      </c>
      <c r="AU348" s="4">
        <v>8.0000000000000002E-3</v>
      </c>
      <c r="AW348" s="4" t="s">
        <v>241</v>
      </c>
      <c r="AX348" s="4">
        <v>0.9</v>
      </c>
      <c r="AY348" s="4">
        <v>0.5</v>
      </c>
      <c r="AZ348" s="4">
        <v>0.6</v>
      </c>
      <c r="BA348" s="4">
        <v>0.91</v>
      </c>
      <c r="BB348" s="4">
        <v>1315.493164</v>
      </c>
      <c r="BC348" s="4">
        <v>0.03</v>
      </c>
      <c r="BD348" s="5"/>
      <c r="BE348" s="5"/>
      <c r="BF348" s="5"/>
      <c r="BG348" s="5"/>
      <c r="BI348" s="4" t="s">
        <v>241</v>
      </c>
      <c r="BJ348" s="4">
        <v>0.9</v>
      </c>
      <c r="BK348" s="4">
        <v>0.5</v>
      </c>
      <c r="BL348" s="4">
        <v>0.6</v>
      </c>
      <c r="BM348" s="4">
        <v>0.3</v>
      </c>
      <c r="BN348" s="4">
        <v>1039.0943600000001</v>
      </c>
      <c r="BO348" s="4">
        <v>8.0000000000000002E-3</v>
      </c>
      <c r="BQ348" s="4" t="s">
        <v>241</v>
      </c>
      <c r="BR348" s="4">
        <v>0.9</v>
      </c>
      <c r="BS348" s="4">
        <v>0.5</v>
      </c>
      <c r="BT348" s="4">
        <v>0.6</v>
      </c>
      <c r="BU348" s="4">
        <v>0.28999999999999998</v>
      </c>
      <c r="BV348" s="6">
        <v>1034.9086910000001</v>
      </c>
      <c r="BW348" s="4">
        <v>1.4999999999999999E-2</v>
      </c>
      <c r="BX348" s="5"/>
      <c r="BY348" s="5"/>
      <c r="BZ348" s="5"/>
      <c r="CA348" s="5"/>
    </row>
    <row r="349" spans="1:79" x14ac:dyDescent="0.3">
      <c r="A349" s="4" t="s">
        <v>242</v>
      </c>
      <c r="B349" s="4">
        <v>0.9</v>
      </c>
      <c r="C349" s="4">
        <v>0.5</v>
      </c>
      <c r="D349" s="4">
        <v>0.6</v>
      </c>
      <c r="E349" s="4">
        <v>0.3</v>
      </c>
      <c r="F349" s="6">
        <v>694.27105700000004</v>
      </c>
      <c r="G349" s="4">
        <v>2E-3</v>
      </c>
      <c r="I349" s="4" t="s">
        <v>242</v>
      </c>
      <c r="J349" s="4">
        <v>0.9</v>
      </c>
      <c r="K349" s="4">
        <v>0.5</v>
      </c>
      <c r="L349" s="4">
        <v>0.6</v>
      </c>
      <c r="M349" s="4">
        <v>0.5</v>
      </c>
      <c r="N349" s="4">
        <v>791.317993</v>
      </c>
      <c r="O349" s="4">
        <v>2.3E-2</v>
      </c>
      <c r="P349" s="5"/>
      <c r="Q349" s="5"/>
      <c r="R349" s="5"/>
      <c r="S349" s="5"/>
      <c r="U349" s="4" t="s">
        <v>242</v>
      </c>
      <c r="V349" s="4">
        <v>0.9</v>
      </c>
      <c r="W349" s="4">
        <v>0.5</v>
      </c>
      <c r="X349" s="4">
        <v>0.6</v>
      </c>
      <c r="Y349" s="4">
        <v>0.3</v>
      </c>
      <c r="Z349" s="6">
        <v>709.65295400000002</v>
      </c>
      <c r="AA349" s="4">
        <v>3.0000000000000001E-3</v>
      </c>
      <c r="AC349" s="4" t="s">
        <v>242</v>
      </c>
      <c r="AD349" s="4">
        <v>0.9</v>
      </c>
      <c r="AE349" s="4">
        <v>0.5</v>
      </c>
      <c r="AF349" s="4">
        <v>0.6</v>
      </c>
      <c r="AG349" s="4">
        <v>0.51</v>
      </c>
      <c r="AH349" s="4">
        <v>778.02856399999996</v>
      </c>
      <c r="AI349" s="4">
        <v>1.0999999999999999E-2</v>
      </c>
      <c r="AJ349" s="5"/>
      <c r="AK349" s="5"/>
      <c r="AL349" s="5"/>
      <c r="AM349" s="5"/>
      <c r="AO349" s="4" t="s">
        <v>243</v>
      </c>
      <c r="AP349" s="4">
        <v>0.9</v>
      </c>
      <c r="AQ349" s="4">
        <v>0.5</v>
      </c>
      <c r="AR349" s="4">
        <v>0.6</v>
      </c>
      <c r="AS349" s="4">
        <v>0.3</v>
      </c>
      <c r="AT349" s="6">
        <v>1133.727173</v>
      </c>
      <c r="AU349" s="4">
        <v>8.9999999999999993E-3</v>
      </c>
      <c r="AW349" s="4" t="s">
        <v>243</v>
      </c>
      <c r="AX349" s="4">
        <v>0.9</v>
      </c>
      <c r="AY349" s="4">
        <v>0.5</v>
      </c>
      <c r="AZ349" s="4">
        <v>0.6</v>
      </c>
      <c r="BA349" s="4">
        <v>0.34</v>
      </c>
      <c r="BB349" s="4">
        <v>1236.799683</v>
      </c>
      <c r="BC349" s="4">
        <v>1.6E-2</v>
      </c>
      <c r="BD349" s="5"/>
      <c r="BE349" s="5"/>
      <c r="BF349" s="5"/>
      <c r="BG349" s="5"/>
      <c r="BI349" s="4" t="s">
        <v>243</v>
      </c>
      <c r="BJ349" s="4">
        <v>0.9</v>
      </c>
      <c r="BK349" s="4">
        <v>0.5</v>
      </c>
      <c r="BL349" s="4">
        <v>0.6</v>
      </c>
      <c r="BM349" s="4">
        <v>0.3</v>
      </c>
      <c r="BN349" s="6">
        <v>1148.880371</v>
      </c>
      <c r="BO349" s="4">
        <v>8.9999999999999993E-3</v>
      </c>
      <c r="BQ349" s="4" t="s">
        <v>243</v>
      </c>
      <c r="BR349" s="4">
        <v>0.9</v>
      </c>
      <c r="BS349" s="4">
        <v>0.5</v>
      </c>
      <c r="BT349" s="4">
        <v>0.6</v>
      </c>
      <c r="BU349" s="4">
        <v>0.79</v>
      </c>
      <c r="BV349" s="4">
        <v>1530.826172</v>
      </c>
      <c r="BW349" s="4">
        <v>1.4E-2</v>
      </c>
      <c r="BX349" s="5"/>
      <c r="BY349" s="5"/>
      <c r="BZ349" s="5"/>
      <c r="CA349" s="5"/>
    </row>
    <row r="350" spans="1:79" x14ac:dyDescent="0.3">
      <c r="A350" s="4" t="s">
        <v>244</v>
      </c>
      <c r="B350" s="4">
        <v>0.9</v>
      </c>
      <c r="C350" s="4">
        <v>0.5</v>
      </c>
      <c r="D350" s="4">
        <v>0.6</v>
      </c>
      <c r="E350" s="4">
        <v>0.3</v>
      </c>
      <c r="F350" s="6">
        <v>717.97674600000005</v>
      </c>
      <c r="G350" s="4">
        <v>3.0000000000000001E-3</v>
      </c>
      <c r="I350" s="4" t="s">
        <v>244</v>
      </c>
      <c r="J350" s="4">
        <v>0.9</v>
      </c>
      <c r="K350" s="4">
        <v>0.5</v>
      </c>
      <c r="L350" s="4">
        <v>0.6</v>
      </c>
      <c r="M350" s="4">
        <v>0.91</v>
      </c>
      <c r="N350" s="4">
        <v>935.87652600000001</v>
      </c>
      <c r="O350" s="4">
        <v>1.2999999999999999E-2</v>
      </c>
      <c r="P350" s="5"/>
      <c r="Q350" s="5"/>
      <c r="R350" s="5"/>
      <c r="S350" s="5"/>
      <c r="U350" s="4" t="s">
        <v>244</v>
      </c>
      <c r="V350" s="4">
        <v>0.9</v>
      </c>
      <c r="W350" s="4">
        <v>0.5</v>
      </c>
      <c r="X350" s="4">
        <v>0.6</v>
      </c>
      <c r="Y350" s="4">
        <v>0.3</v>
      </c>
      <c r="Z350" s="4">
        <v>680.64819299999999</v>
      </c>
      <c r="AA350" s="4">
        <v>2E-3</v>
      </c>
      <c r="AC350" s="4" t="s">
        <v>244</v>
      </c>
      <c r="AD350" s="4">
        <v>0.9</v>
      </c>
      <c r="AE350" s="4">
        <v>0.5</v>
      </c>
      <c r="AF350" s="4">
        <v>0.6</v>
      </c>
      <c r="AG350" s="4">
        <v>0.08</v>
      </c>
      <c r="AH350" s="6">
        <v>650.52703899999995</v>
      </c>
      <c r="AI350" s="4">
        <v>1.7000000000000001E-2</v>
      </c>
      <c r="AJ350" s="5"/>
      <c r="AK350" s="5"/>
      <c r="AL350" s="5"/>
      <c r="AM350" s="5"/>
      <c r="AO350" s="4" t="s">
        <v>245</v>
      </c>
      <c r="AP350" s="4">
        <v>0.9</v>
      </c>
      <c r="AQ350" s="4">
        <v>0.5</v>
      </c>
      <c r="AR350" s="4">
        <v>0.6</v>
      </c>
      <c r="AS350" s="4">
        <v>0.3</v>
      </c>
      <c r="AT350" s="4">
        <v>1170.4904790000001</v>
      </c>
      <c r="AU350" s="4">
        <v>8.9999999999999993E-3</v>
      </c>
      <c r="AW350" s="4" t="s">
        <v>245</v>
      </c>
      <c r="AX350" s="4">
        <v>0.9</v>
      </c>
      <c r="AY350" s="4">
        <v>0.5</v>
      </c>
      <c r="AZ350" s="4">
        <v>0.6</v>
      </c>
      <c r="BA350" s="4">
        <v>0.13</v>
      </c>
      <c r="BB350" s="6">
        <v>1025.7016599999999</v>
      </c>
      <c r="BC350" s="4">
        <v>3.3000000000000002E-2</v>
      </c>
      <c r="BD350" s="5"/>
      <c r="BE350" s="5"/>
      <c r="BF350" s="5"/>
      <c r="BG350" s="5"/>
      <c r="BI350" s="4" t="s">
        <v>245</v>
      </c>
      <c r="BJ350" s="4">
        <v>0.9</v>
      </c>
      <c r="BK350" s="4">
        <v>0.5</v>
      </c>
      <c r="BL350" s="4">
        <v>0.6</v>
      </c>
      <c r="BM350" s="4">
        <v>0.3</v>
      </c>
      <c r="BN350" s="6">
        <v>1138.998169</v>
      </c>
      <c r="BO350" s="4">
        <v>8.0000000000000002E-3</v>
      </c>
      <c r="BQ350" s="4" t="s">
        <v>245</v>
      </c>
      <c r="BR350" s="4">
        <v>0.9</v>
      </c>
      <c r="BS350" s="4">
        <v>0.5</v>
      </c>
      <c r="BT350" s="4">
        <v>0.6</v>
      </c>
      <c r="BU350" s="4">
        <v>0.46</v>
      </c>
      <c r="BV350" s="4">
        <v>1263.467529</v>
      </c>
      <c r="BW350" s="4">
        <v>2.5000000000000001E-2</v>
      </c>
      <c r="BX350" s="5"/>
      <c r="BY350" s="5"/>
      <c r="BZ350" s="5"/>
      <c r="CA350" s="5"/>
    </row>
    <row r="351" spans="1:79" x14ac:dyDescent="0.3">
      <c r="A351" s="4" t="s">
        <v>246</v>
      </c>
      <c r="B351" s="4">
        <v>0.9</v>
      </c>
      <c r="C351" s="4">
        <v>0.5</v>
      </c>
      <c r="D351" s="4">
        <v>0.6</v>
      </c>
      <c r="E351" s="4">
        <v>0.3</v>
      </c>
      <c r="F351" s="6">
        <v>690.23468000000003</v>
      </c>
      <c r="G351" s="4">
        <v>2E-3</v>
      </c>
      <c r="I351" s="4" t="s">
        <v>246</v>
      </c>
      <c r="J351" s="4">
        <v>0.9</v>
      </c>
      <c r="K351" s="4">
        <v>0.5</v>
      </c>
      <c r="L351" s="4">
        <v>0.6</v>
      </c>
      <c r="M351" s="4">
        <v>0.27</v>
      </c>
      <c r="N351" s="4">
        <v>709.62792999999999</v>
      </c>
      <c r="O351" s="4">
        <v>0.01</v>
      </c>
      <c r="P351" s="5"/>
      <c r="Q351" s="5"/>
      <c r="R351" s="5"/>
      <c r="S351" s="5"/>
      <c r="U351" s="4" t="s">
        <v>246</v>
      </c>
      <c r="V351" s="4">
        <v>0.9</v>
      </c>
      <c r="W351" s="4">
        <v>0.5</v>
      </c>
      <c r="X351" s="4">
        <v>0.6</v>
      </c>
      <c r="Y351" s="4">
        <v>0.3</v>
      </c>
      <c r="Z351" s="6">
        <v>702.84143100000006</v>
      </c>
      <c r="AA351" s="4">
        <v>3.0000000000000001E-3</v>
      </c>
      <c r="AC351" s="4" t="s">
        <v>246</v>
      </c>
      <c r="AD351" s="4">
        <v>0.9</v>
      </c>
      <c r="AE351" s="4">
        <v>0.5</v>
      </c>
      <c r="AF351" s="4">
        <v>0.6</v>
      </c>
      <c r="AG351" s="4">
        <v>0.82</v>
      </c>
      <c r="AH351" s="4">
        <v>882.59808299999997</v>
      </c>
      <c r="AI351" s="4">
        <v>2.1000000000000001E-2</v>
      </c>
      <c r="AJ351" s="5"/>
      <c r="AK351" s="5"/>
      <c r="AL351" s="5"/>
      <c r="AM351" s="5"/>
      <c r="AO351" s="4" t="s">
        <v>247</v>
      </c>
      <c r="AP351" s="4">
        <v>0.9</v>
      </c>
      <c r="AQ351" s="4">
        <v>0.5</v>
      </c>
      <c r="AR351" s="4">
        <v>0.6</v>
      </c>
      <c r="AS351" s="4">
        <v>0.3</v>
      </c>
      <c r="AT351" s="4">
        <v>1022.055908</v>
      </c>
      <c r="AU351" s="4">
        <v>7.0000000000000001E-3</v>
      </c>
      <c r="AW351" s="4" t="s">
        <v>247</v>
      </c>
      <c r="AX351" s="4">
        <v>0.9</v>
      </c>
      <c r="AY351" s="4">
        <v>0.5</v>
      </c>
      <c r="AZ351" s="4">
        <v>0.6</v>
      </c>
      <c r="BA351" s="4">
        <v>0.09</v>
      </c>
      <c r="BB351" s="6">
        <v>863.61450200000002</v>
      </c>
      <c r="BC351" s="4">
        <v>1.7000000000000001E-2</v>
      </c>
      <c r="BD351" s="5"/>
      <c r="BE351" s="5"/>
      <c r="BF351" s="5"/>
      <c r="BG351" s="5"/>
      <c r="BI351" s="4" t="s">
        <v>247</v>
      </c>
      <c r="BJ351" s="4">
        <v>0.9</v>
      </c>
      <c r="BK351" s="4">
        <v>0.5</v>
      </c>
      <c r="BL351" s="4">
        <v>0.6</v>
      </c>
      <c r="BM351" s="4">
        <v>0.3</v>
      </c>
      <c r="BN351" s="6">
        <v>993.74890100000005</v>
      </c>
      <c r="BO351" s="4">
        <v>1.0999999999999999E-2</v>
      </c>
      <c r="BQ351" s="4" t="s">
        <v>247</v>
      </c>
      <c r="BR351" s="4">
        <v>0.9</v>
      </c>
      <c r="BS351" s="4">
        <v>0.5</v>
      </c>
      <c r="BT351" s="4">
        <v>0.6</v>
      </c>
      <c r="BU351" s="4">
        <v>0.55000000000000004</v>
      </c>
      <c r="BV351" s="4">
        <v>1151.6552730000001</v>
      </c>
      <c r="BW351" s="4">
        <v>2.1000000000000001E-2</v>
      </c>
      <c r="BX351" s="5"/>
      <c r="BY351" s="5"/>
      <c r="BZ351" s="5"/>
      <c r="CA351" s="5"/>
    </row>
    <row r="352" spans="1:79" x14ac:dyDescent="0.3">
      <c r="A352" s="4" t="s">
        <v>248</v>
      </c>
      <c r="B352" s="4">
        <v>0.9</v>
      </c>
      <c r="C352" s="4">
        <v>0.5</v>
      </c>
      <c r="D352" s="4">
        <v>0.6</v>
      </c>
      <c r="E352" s="4">
        <v>0.3</v>
      </c>
      <c r="F352" s="6">
        <v>755.01165800000001</v>
      </c>
      <c r="G352" s="4">
        <v>3.0000000000000001E-3</v>
      </c>
      <c r="I352" s="4" t="s">
        <v>248</v>
      </c>
      <c r="J352" s="4">
        <v>0.9</v>
      </c>
      <c r="K352" s="4">
        <v>0.5</v>
      </c>
      <c r="L352" s="4">
        <v>0.6</v>
      </c>
      <c r="M352" s="4">
        <v>0.53</v>
      </c>
      <c r="N352" s="4">
        <v>839.39648399999999</v>
      </c>
      <c r="O352" s="4">
        <v>2.1999999999999999E-2</v>
      </c>
      <c r="P352" s="5"/>
      <c r="Q352" s="5"/>
      <c r="R352" s="5"/>
      <c r="S352" s="5"/>
      <c r="U352" s="4" t="s">
        <v>248</v>
      </c>
      <c r="V352" s="4">
        <v>0.9</v>
      </c>
      <c r="W352" s="4">
        <v>0.5</v>
      </c>
      <c r="X352" s="4">
        <v>0.6</v>
      </c>
      <c r="Y352" s="4">
        <v>0.3</v>
      </c>
      <c r="Z352" s="4">
        <v>724.80450399999995</v>
      </c>
      <c r="AA352" s="4">
        <v>2E-3</v>
      </c>
      <c r="AC352" s="4" t="s">
        <v>248</v>
      </c>
      <c r="AD352" s="4">
        <v>0.9</v>
      </c>
      <c r="AE352" s="4">
        <v>0.5</v>
      </c>
      <c r="AF352" s="4">
        <v>0.6</v>
      </c>
      <c r="AG352" s="4">
        <v>0.17</v>
      </c>
      <c r="AH352" s="6">
        <v>722.833618</v>
      </c>
      <c r="AI352" s="4">
        <v>1.7999999999999999E-2</v>
      </c>
      <c r="AJ352" s="5"/>
      <c r="AK352" s="5"/>
      <c r="AL352" s="5"/>
      <c r="AM352" s="5"/>
      <c r="AO352" s="4" t="s">
        <v>249</v>
      </c>
      <c r="AP352" s="4">
        <v>0.9</v>
      </c>
      <c r="AQ352" s="4">
        <v>0.5</v>
      </c>
      <c r="AR352" s="4">
        <v>0.6</v>
      </c>
      <c r="AS352" s="4">
        <v>0.3</v>
      </c>
      <c r="AT352" s="4">
        <v>1115.928345</v>
      </c>
      <c r="AU352" s="4">
        <v>8.0000000000000002E-3</v>
      </c>
      <c r="AW352" s="4" t="s">
        <v>249</v>
      </c>
      <c r="AX352" s="4">
        <v>0.9</v>
      </c>
      <c r="AY352" s="4">
        <v>0.5</v>
      </c>
      <c r="AZ352" s="4">
        <v>0.6</v>
      </c>
      <c r="BA352" s="4">
        <v>0.19</v>
      </c>
      <c r="BB352" s="6">
        <v>1060.0360109999999</v>
      </c>
      <c r="BC352" s="4">
        <v>2.5000000000000001E-2</v>
      </c>
      <c r="BD352" s="5"/>
      <c r="BE352" s="5"/>
      <c r="BF352" s="5"/>
      <c r="BG352" s="5"/>
      <c r="BI352" s="4" t="s">
        <v>249</v>
      </c>
      <c r="BJ352" s="4">
        <v>0.9</v>
      </c>
      <c r="BK352" s="4">
        <v>0.5</v>
      </c>
      <c r="BL352" s="4">
        <v>0.6</v>
      </c>
      <c r="BM352" s="4">
        <v>0.3</v>
      </c>
      <c r="BN352" s="6">
        <v>1106.5699460000001</v>
      </c>
      <c r="BO352" s="4">
        <v>8.0000000000000002E-3</v>
      </c>
      <c r="BQ352" s="4" t="s">
        <v>249</v>
      </c>
      <c r="BR352" s="4">
        <v>0.9</v>
      </c>
      <c r="BS352" s="4">
        <v>0.5</v>
      </c>
      <c r="BT352" s="4">
        <v>0.6</v>
      </c>
      <c r="BU352" s="4">
        <v>0.47</v>
      </c>
      <c r="BV352" s="4">
        <v>1227.2082519999999</v>
      </c>
      <c r="BW352" s="4">
        <v>2.5999999999999999E-2</v>
      </c>
      <c r="BX352" s="5"/>
      <c r="BY352" s="5"/>
      <c r="BZ352" s="5"/>
      <c r="CA352" s="5"/>
    </row>
    <row r="353" spans="1:79" x14ac:dyDescent="0.3">
      <c r="A353" s="4" t="s">
        <v>250</v>
      </c>
      <c r="B353" s="4">
        <v>0.9</v>
      </c>
      <c r="C353" s="4">
        <v>0.5</v>
      </c>
      <c r="D353" s="4">
        <v>0.6</v>
      </c>
      <c r="E353" s="4">
        <v>0.3</v>
      </c>
      <c r="F353" s="6">
        <v>752.99292000000003</v>
      </c>
      <c r="G353" s="4">
        <v>2E-3</v>
      </c>
      <c r="I353" s="4" t="s">
        <v>250</v>
      </c>
      <c r="J353" s="4">
        <v>0.9</v>
      </c>
      <c r="K353" s="4">
        <v>0.5</v>
      </c>
      <c r="L353" s="4">
        <v>0.6</v>
      </c>
      <c r="M353" s="4">
        <v>0.46</v>
      </c>
      <c r="N353" s="4">
        <v>843.613831</v>
      </c>
      <c r="O353" s="4">
        <v>0.02</v>
      </c>
      <c r="P353" s="5"/>
      <c r="Q353" s="5"/>
      <c r="R353" s="5"/>
      <c r="S353" s="5"/>
      <c r="U353" s="4" t="s">
        <v>250</v>
      </c>
      <c r="V353" s="4">
        <v>0.9</v>
      </c>
      <c r="W353" s="4">
        <v>0.5</v>
      </c>
      <c r="X353" s="4">
        <v>0.6</v>
      </c>
      <c r="Y353" s="4">
        <v>0.3</v>
      </c>
      <c r="Z353" s="6">
        <v>717.00689699999998</v>
      </c>
      <c r="AA353" s="4">
        <v>2E-3</v>
      </c>
      <c r="AC353" s="4" t="s">
        <v>250</v>
      </c>
      <c r="AD353" s="4">
        <v>0.9</v>
      </c>
      <c r="AE353" s="4">
        <v>0.5</v>
      </c>
      <c r="AF353" s="4">
        <v>0.6</v>
      </c>
      <c r="AG353" s="4">
        <v>0.89</v>
      </c>
      <c r="AH353" s="4">
        <v>909.220642</v>
      </c>
      <c r="AI353" s="4">
        <v>2.1999999999999999E-2</v>
      </c>
      <c r="AJ353" s="5"/>
      <c r="AK353" s="5"/>
      <c r="AL353" s="5"/>
      <c r="AM353" s="5"/>
      <c r="AO353" s="4" t="s">
        <v>251</v>
      </c>
      <c r="AP353" s="4">
        <v>0.9</v>
      </c>
      <c r="AQ353" s="4">
        <v>0.5</v>
      </c>
      <c r="AR353" s="4">
        <v>0.6</v>
      </c>
      <c r="AS353" s="4">
        <v>0.3</v>
      </c>
      <c r="AT353" s="4">
        <v>1123.8942870000001</v>
      </c>
      <c r="AU353" s="4">
        <v>8.0000000000000002E-3</v>
      </c>
      <c r="AW353" s="4" t="s">
        <v>251</v>
      </c>
      <c r="AX353" s="4">
        <v>0.9</v>
      </c>
      <c r="AY353" s="4">
        <v>0.5</v>
      </c>
      <c r="AZ353" s="4">
        <v>0.6</v>
      </c>
      <c r="BA353" s="4">
        <v>0.17</v>
      </c>
      <c r="BB353" s="6">
        <v>1042.052246</v>
      </c>
      <c r="BC353" s="4">
        <v>1.9E-2</v>
      </c>
      <c r="BD353" s="5"/>
      <c r="BE353" s="5"/>
      <c r="BF353" s="5"/>
      <c r="BG353" s="5"/>
      <c r="BI353" s="4" t="s">
        <v>251</v>
      </c>
      <c r="BJ353" s="4">
        <v>0.9</v>
      </c>
      <c r="BK353" s="4">
        <v>0.5</v>
      </c>
      <c r="BL353" s="4">
        <v>0.6</v>
      </c>
      <c r="BM353" s="4">
        <v>0.3</v>
      </c>
      <c r="BN353" s="6">
        <v>1060.976318</v>
      </c>
      <c r="BO353" s="4">
        <v>7.0000000000000001E-3</v>
      </c>
      <c r="BQ353" s="4" t="s">
        <v>251</v>
      </c>
      <c r="BR353" s="4">
        <v>0.9</v>
      </c>
      <c r="BS353" s="4">
        <v>0.5</v>
      </c>
      <c r="BT353" s="4">
        <v>0.6</v>
      </c>
      <c r="BU353" s="4">
        <v>0.52</v>
      </c>
      <c r="BV353" s="4">
        <v>1214.9257809999999</v>
      </c>
      <c r="BW353" s="4">
        <v>1.2E-2</v>
      </c>
      <c r="BX353" s="5"/>
      <c r="BY353" s="5"/>
      <c r="BZ353" s="5"/>
      <c r="CA353" s="5"/>
    </row>
    <row r="354" spans="1:79" x14ac:dyDescent="0.3">
      <c r="A354" s="4" t="s">
        <v>252</v>
      </c>
      <c r="B354" s="4">
        <v>0.9</v>
      </c>
      <c r="C354" s="4">
        <v>0.5</v>
      </c>
      <c r="D354" s="4">
        <v>0.6</v>
      </c>
      <c r="E354" s="4">
        <v>0.3</v>
      </c>
      <c r="F354" s="6">
        <v>765.98925799999995</v>
      </c>
      <c r="G354" s="4">
        <v>2E-3</v>
      </c>
      <c r="I354" s="4" t="s">
        <v>252</v>
      </c>
      <c r="J354" s="4">
        <v>0.9</v>
      </c>
      <c r="K354" s="4">
        <v>0.5</v>
      </c>
      <c r="L354" s="4">
        <v>0.6</v>
      </c>
      <c r="M354" s="4">
        <v>0.28000000000000003</v>
      </c>
      <c r="N354" s="4">
        <v>813.68536400000005</v>
      </c>
      <c r="O354" s="4">
        <v>1.7000000000000001E-2</v>
      </c>
      <c r="P354" s="5"/>
      <c r="Q354" s="5"/>
      <c r="R354" s="5"/>
      <c r="S354" s="5"/>
      <c r="U354" s="4" t="s">
        <v>252</v>
      </c>
      <c r="V354" s="4">
        <v>0.9</v>
      </c>
      <c r="W354" s="4">
        <v>0.5</v>
      </c>
      <c r="X354" s="4">
        <v>0.6</v>
      </c>
      <c r="Y354" s="4">
        <v>0.3</v>
      </c>
      <c r="Z354" s="6">
        <v>772.81329300000004</v>
      </c>
      <c r="AA354" s="4">
        <v>2E-3</v>
      </c>
      <c r="AC354" s="4" t="s">
        <v>252</v>
      </c>
      <c r="AD354" s="4">
        <v>0.9</v>
      </c>
      <c r="AE354" s="4">
        <v>0.5</v>
      </c>
      <c r="AF354" s="4">
        <v>0.6</v>
      </c>
      <c r="AG354" s="4">
        <v>0.78</v>
      </c>
      <c r="AH354" s="4">
        <v>999.13311799999997</v>
      </c>
      <c r="AI354" s="4">
        <v>1.2999999999999999E-2</v>
      </c>
      <c r="AJ354" s="5"/>
      <c r="AK354" s="5"/>
      <c r="AL354" s="5"/>
      <c r="AM354" s="5"/>
      <c r="AO354" s="4" t="s">
        <v>253</v>
      </c>
      <c r="AP354" s="4">
        <v>0.9</v>
      </c>
      <c r="AQ354" s="4">
        <v>0.5</v>
      </c>
      <c r="AR354" s="4">
        <v>0.6</v>
      </c>
      <c r="AS354" s="4">
        <v>0.3</v>
      </c>
      <c r="AT354" s="6">
        <v>1145.8729249999999</v>
      </c>
      <c r="AU354" s="4">
        <v>0.01</v>
      </c>
      <c r="AW354" s="4" t="s">
        <v>253</v>
      </c>
      <c r="AX354" s="4">
        <v>0.9</v>
      </c>
      <c r="AY354" s="4">
        <v>0.5</v>
      </c>
      <c r="AZ354" s="4">
        <v>0.6</v>
      </c>
      <c r="BA354" s="4">
        <v>0.3</v>
      </c>
      <c r="BB354" s="4">
        <v>1159.5375979999999</v>
      </c>
      <c r="BC354" s="4">
        <v>2.5000000000000001E-2</v>
      </c>
      <c r="BD354" s="5"/>
      <c r="BE354" s="5"/>
      <c r="BF354" s="5"/>
      <c r="BG354" s="5"/>
      <c r="BI354" s="4" t="s">
        <v>253</v>
      </c>
      <c r="BJ354" s="4">
        <v>0.9</v>
      </c>
      <c r="BK354" s="4">
        <v>0.5</v>
      </c>
      <c r="BL354" s="4">
        <v>0.6</v>
      </c>
      <c r="BM354" s="4">
        <v>0.3</v>
      </c>
      <c r="BN354" s="6">
        <v>1133.9616699999999</v>
      </c>
      <c r="BO354" s="4">
        <v>8.9999999999999993E-3</v>
      </c>
      <c r="BQ354" s="4" t="s">
        <v>253</v>
      </c>
      <c r="BR354" s="4">
        <v>0.9</v>
      </c>
      <c r="BS354" s="4">
        <v>0.5</v>
      </c>
      <c r="BT354" s="4">
        <v>0.6</v>
      </c>
      <c r="BU354" s="4">
        <v>0.53</v>
      </c>
      <c r="BV354" s="4">
        <v>1272.0928960000001</v>
      </c>
      <c r="BW354" s="4">
        <v>1.2999999999999999E-2</v>
      </c>
      <c r="BX354" s="5"/>
      <c r="BY354" s="5"/>
      <c r="BZ354" s="5"/>
      <c r="CA354" s="5"/>
    </row>
    <row r="355" spans="1:79" x14ac:dyDescent="0.3">
      <c r="A355" s="14" t="s">
        <v>316</v>
      </c>
      <c r="E355" s="14">
        <f>AVERAGE(E325:E354)</f>
        <v>0.3</v>
      </c>
      <c r="I355" s="14" t="s">
        <v>316</v>
      </c>
      <c r="M355" s="14">
        <f>AVERAGE(M325:M354)</f>
        <v>0.42066666666666669</v>
      </c>
      <c r="P355" s="5"/>
      <c r="Q355" s="5"/>
      <c r="R355" s="5"/>
      <c r="S355" s="5"/>
      <c r="U355" s="14" t="s">
        <v>316</v>
      </c>
      <c r="Y355" s="14">
        <f>AVERAGE(Y325:Y354)</f>
        <v>0.3</v>
      </c>
      <c r="AC355" s="14" t="s">
        <v>316</v>
      </c>
      <c r="AG355" s="14">
        <f>AVERAGE(AG325:AG354)</f>
        <v>0.46733333333333338</v>
      </c>
      <c r="AJ355" s="5"/>
      <c r="AK355" s="5"/>
      <c r="AL355" s="5"/>
      <c r="AM355" s="5"/>
      <c r="AO355" s="14" t="s">
        <v>316</v>
      </c>
      <c r="AS355" s="14">
        <f>AVERAGE(AS325:AS354)</f>
        <v>0.3</v>
      </c>
      <c r="AW355" s="14" t="s">
        <v>316</v>
      </c>
      <c r="BA355" s="14">
        <f>AVERAGE(BA325:BA354)</f>
        <v>0.48099999999999998</v>
      </c>
      <c r="BD355" s="5"/>
      <c r="BE355" s="5"/>
      <c r="BF355" s="5"/>
      <c r="BG355" s="5"/>
      <c r="BI355" s="14" t="s">
        <v>316</v>
      </c>
      <c r="BM355" s="14">
        <f>AVERAGE(BM325:BM354)</f>
        <v>0.3</v>
      </c>
      <c r="BQ355" s="14" t="s">
        <v>316</v>
      </c>
      <c r="BU355" s="14">
        <f>AVERAGE(BU325:BU354)</f>
        <v>0.46766666666666656</v>
      </c>
      <c r="BX355" s="5"/>
      <c r="BY355" s="5"/>
      <c r="BZ355" s="5"/>
      <c r="CA355" s="5"/>
    </row>
    <row r="356" spans="1:79" x14ac:dyDescent="0.3">
      <c r="P356" s="5"/>
      <c r="Q356" s="5"/>
      <c r="R356" s="5"/>
      <c r="S356" s="5"/>
      <c r="AJ356" s="5"/>
      <c r="AK356" s="5"/>
      <c r="AL356" s="5"/>
      <c r="AM356" s="5"/>
      <c r="BD356" s="5"/>
      <c r="BE356" s="5"/>
      <c r="BF356" s="5"/>
      <c r="BG356" s="5"/>
      <c r="BX356" s="5"/>
      <c r="BY356" s="5"/>
      <c r="BZ356" s="5"/>
      <c r="CA356" s="5"/>
    </row>
    <row r="357" spans="1:79" x14ac:dyDescent="0.3">
      <c r="P357" s="5"/>
      <c r="Q357" s="5"/>
      <c r="R357" s="5"/>
      <c r="S357" s="5"/>
      <c r="AJ357" s="5"/>
      <c r="AK357" s="5"/>
      <c r="AL357" s="5"/>
      <c r="AM357" s="5"/>
      <c r="BD357" s="5"/>
      <c r="BE357" s="5"/>
      <c r="BF357" s="5"/>
      <c r="BG357" s="5"/>
      <c r="BX357" s="5"/>
      <c r="BY357" s="5"/>
      <c r="BZ357" s="5"/>
      <c r="CA357" s="5"/>
    </row>
    <row r="358" spans="1:79" x14ac:dyDescent="0.3">
      <c r="A358" s="23" t="s">
        <v>314</v>
      </c>
      <c r="B358" s="23"/>
      <c r="C358" s="23"/>
      <c r="D358" s="23"/>
      <c r="E358" s="23"/>
      <c r="F358" s="23"/>
      <c r="G358" s="23"/>
      <c r="I358" s="24" t="s">
        <v>314</v>
      </c>
      <c r="J358" s="25"/>
      <c r="K358" s="25"/>
      <c r="L358" s="25"/>
      <c r="M358" s="25"/>
      <c r="N358" s="25"/>
      <c r="O358" s="26"/>
      <c r="P358" s="11"/>
      <c r="Q358" s="11"/>
      <c r="R358" s="11"/>
      <c r="S358" s="11"/>
      <c r="U358" s="23" t="s">
        <v>314</v>
      </c>
      <c r="V358" s="23"/>
      <c r="W358" s="23"/>
      <c r="X358" s="23"/>
      <c r="Y358" s="23"/>
      <c r="Z358" s="23"/>
      <c r="AA358" s="23"/>
      <c r="AC358" s="24" t="s">
        <v>314</v>
      </c>
      <c r="AD358" s="25"/>
      <c r="AE358" s="25"/>
      <c r="AF358" s="25"/>
      <c r="AG358" s="25"/>
      <c r="AH358" s="25"/>
      <c r="AI358" s="26"/>
      <c r="AJ358" s="11"/>
      <c r="AK358" s="11"/>
      <c r="AL358" s="11"/>
      <c r="AM358" s="11"/>
      <c r="AO358" s="23" t="s">
        <v>314</v>
      </c>
      <c r="AP358" s="23"/>
      <c r="AQ358" s="23"/>
      <c r="AR358" s="23"/>
      <c r="AS358" s="23"/>
      <c r="AT358" s="23"/>
      <c r="AU358" s="23"/>
      <c r="AW358" s="24" t="s">
        <v>314</v>
      </c>
      <c r="AX358" s="25"/>
      <c r="AY358" s="25"/>
      <c r="AZ358" s="25"/>
      <c r="BA358" s="25"/>
      <c r="BB358" s="25"/>
      <c r="BC358" s="26"/>
      <c r="BD358" s="11"/>
      <c r="BE358" s="11"/>
      <c r="BF358" s="11"/>
      <c r="BG358" s="11"/>
      <c r="BI358" s="23" t="s">
        <v>314</v>
      </c>
      <c r="BJ358" s="23"/>
      <c r="BK358" s="23"/>
      <c r="BL358" s="23"/>
      <c r="BM358" s="23"/>
      <c r="BN358" s="23"/>
      <c r="BO358" s="23"/>
      <c r="BQ358" s="24" t="s">
        <v>314</v>
      </c>
      <c r="BR358" s="25"/>
      <c r="BS358" s="25"/>
      <c r="BT358" s="25"/>
      <c r="BU358" s="25"/>
      <c r="BV358" s="25"/>
      <c r="BW358" s="26"/>
      <c r="BX358" s="11"/>
      <c r="BY358" s="11"/>
      <c r="BZ358" s="11"/>
      <c r="CA358" s="11"/>
    </row>
    <row r="359" spans="1:79" x14ac:dyDescent="0.3">
      <c r="A359" s="4" t="s">
        <v>70</v>
      </c>
      <c r="B359" s="4"/>
      <c r="C359" s="4"/>
      <c r="D359" s="4"/>
      <c r="E359" s="4"/>
      <c r="F359" s="4"/>
      <c r="G359" s="4"/>
      <c r="I359" s="4" t="s">
        <v>70</v>
      </c>
      <c r="J359" s="4"/>
      <c r="K359" s="4"/>
      <c r="L359" s="4"/>
      <c r="M359" s="4"/>
      <c r="N359" s="4"/>
      <c r="O359" s="4"/>
      <c r="P359" s="5"/>
      <c r="Q359" s="5"/>
      <c r="R359" s="5"/>
      <c r="S359" s="5"/>
      <c r="U359" s="4" t="s">
        <v>71</v>
      </c>
      <c r="V359" s="4"/>
      <c r="W359" s="4"/>
      <c r="X359" s="4"/>
      <c r="Y359" s="4"/>
      <c r="Z359" s="4"/>
      <c r="AA359" s="4"/>
      <c r="AC359" s="4" t="s">
        <v>71</v>
      </c>
      <c r="AD359" s="4"/>
      <c r="AE359" s="4"/>
      <c r="AF359" s="4"/>
      <c r="AG359" s="4"/>
      <c r="AH359" s="4"/>
      <c r="AI359" s="4"/>
      <c r="AJ359" s="5"/>
      <c r="AK359" s="5"/>
      <c r="AL359" s="5"/>
      <c r="AM359" s="5"/>
      <c r="AO359" s="4" t="s">
        <v>70</v>
      </c>
      <c r="AP359" s="4"/>
      <c r="AQ359" s="4"/>
      <c r="AR359" s="4"/>
      <c r="AS359" s="4"/>
      <c r="AT359" s="4"/>
      <c r="AU359" s="4"/>
      <c r="AW359" s="4" t="s">
        <v>70</v>
      </c>
      <c r="AX359" s="4"/>
      <c r="AY359" s="4"/>
      <c r="AZ359" s="4"/>
      <c r="BA359" s="4"/>
      <c r="BB359" s="4"/>
      <c r="BC359" s="4"/>
      <c r="BD359" s="5"/>
      <c r="BE359" s="5"/>
      <c r="BF359" s="5"/>
      <c r="BG359" s="5"/>
      <c r="BI359" s="4" t="s">
        <v>71</v>
      </c>
      <c r="BJ359" s="4"/>
      <c r="BK359" s="4"/>
      <c r="BL359" s="4"/>
      <c r="BM359" s="4"/>
      <c r="BN359" s="4"/>
      <c r="BO359" s="4"/>
      <c r="BQ359" s="4" t="s">
        <v>71</v>
      </c>
      <c r="BR359" s="4"/>
      <c r="BS359" s="4"/>
      <c r="BT359" s="4"/>
      <c r="BU359" s="4"/>
      <c r="BV359" s="4"/>
      <c r="BW359" s="4"/>
      <c r="BX359" s="5"/>
      <c r="BY359" s="5"/>
      <c r="BZ359" s="5"/>
      <c r="CA359" s="5"/>
    </row>
    <row r="360" spans="1:79" x14ac:dyDescent="0.3">
      <c r="A360" s="4" t="s">
        <v>2</v>
      </c>
      <c r="B360" s="4" t="s">
        <v>3</v>
      </c>
      <c r="C360" s="4" t="s">
        <v>4</v>
      </c>
      <c r="D360" s="4" t="s">
        <v>5</v>
      </c>
      <c r="E360" s="4" t="s">
        <v>6</v>
      </c>
      <c r="F360" s="4" t="s">
        <v>7</v>
      </c>
      <c r="G360" s="4" t="s">
        <v>8</v>
      </c>
      <c r="I360" s="4" t="s">
        <v>2</v>
      </c>
      <c r="J360" s="4" t="s">
        <v>3</v>
      </c>
      <c r="K360" s="4" t="s">
        <v>4</v>
      </c>
      <c r="L360" s="4" t="s">
        <v>5</v>
      </c>
      <c r="M360" s="4" t="s">
        <v>6</v>
      </c>
      <c r="N360" s="4" t="s">
        <v>7</v>
      </c>
      <c r="O360" s="4" t="s">
        <v>8</v>
      </c>
      <c r="P360" s="3" t="s">
        <v>322</v>
      </c>
      <c r="Q360" s="3" t="s">
        <v>323</v>
      </c>
      <c r="R360" s="3" t="s">
        <v>322</v>
      </c>
      <c r="S360" s="3" t="s">
        <v>323</v>
      </c>
      <c r="U360" s="4" t="s">
        <v>2</v>
      </c>
      <c r="V360" s="4" t="s">
        <v>3</v>
      </c>
      <c r="W360" s="4" t="s">
        <v>4</v>
      </c>
      <c r="X360" s="4" t="s">
        <v>5</v>
      </c>
      <c r="Y360" s="4" t="s">
        <v>6</v>
      </c>
      <c r="Z360" s="4" t="s">
        <v>7</v>
      </c>
      <c r="AA360" s="4" t="s">
        <v>8</v>
      </c>
      <c r="AC360" s="4" t="s">
        <v>2</v>
      </c>
      <c r="AD360" s="4" t="s">
        <v>3</v>
      </c>
      <c r="AE360" s="4" t="s">
        <v>4</v>
      </c>
      <c r="AF360" s="4" t="s">
        <v>5</v>
      </c>
      <c r="AG360" s="4" t="s">
        <v>6</v>
      </c>
      <c r="AH360" s="4" t="s">
        <v>7</v>
      </c>
      <c r="AI360" s="4" t="s">
        <v>8</v>
      </c>
      <c r="AJ360" s="3" t="s">
        <v>322</v>
      </c>
      <c r="AK360" s="3" t="s">
        <v>323</v>
      </c>
      <c r="AL360" s="3" t="s">
        <v>322</v>
      </c>
      <c r="AM360" s="3" t="s">
        <v>323</v>
      </c>
      <c r="AO360" s="4" t="s">
        <v>2</v>
      </c>
      <c r="AP360" s="4" t="s">
        <v>3</v>
      </c>
      <c r="AQ360" s="4" t="s">
        <v>4</v>
      </c>
      <c r="AR360" s="4" t="s">
        <v>5</v>
      </c>
      <c r="AS360" s="4" t="s">
        <v>6</v>
      </c>
      <c r="AT360" s="4" t="s">
        <v>7</v>
      </c>
      <c r="AU360" s="4" t="s">
        <v>8</v>
      </c>
      <c r="AW360" s="4" t="s">
        <v>2</v>
      </c>
      <c r="AX360" s="4" t="s">
        <v>3</v>
      </c>
      <c r="AY360" s="4" t="s">
        <v>4</v>
      </c>
      <c r="AZ360" s="4" t="s">
        <v>5</v>
      </c>
      <c r="BA360" s="4" t="s">
        <v>6</v>
      </c>
      <c r="BB360" s="4" t="s">
        <v>7</v>
      </c>
      <c r="BC360" s="4" t="s">
        <v>8</v>
      </c>
      <c r="BD360" s="3" t="s">
        <v>322</v>
      </c>
      <c r="BE360" s="3" t="s">
        <v>323</v>
      </c>
      <c r="BF360" s="3" t="s">
        <v>322</v>
      </c>
      <c r="BG360" s="3" t="s">
        <v>323</v>
      </c>
      <c r="BI360" s="4" t="s">
        <v>2</v>
      </c>
      <c r="BJ360" s="4" t="s">
        <v>3</v>
      </c>
      <c r="BK360" s="4" t="s">
        <v>4</v>
      </c>
      <c r="BL360" s="4" t="s">
        <v>5</v>
      </c>
      <c r="BM360" s="4" t="s">
        <v>6</v>
      </c>
      <c r="BN360" s="4" t="s">
        <v>7</v>
      </c>
      <c r="BO360" s="4" t="s">
        <v>8</v>
      </c>
      <c r="BQ360" s="4" t="s">
        <v>2</v>
      </c>
      <c r="BR360" s="4" t="s">
        <v>3</v>
      </c>
      <c r="BS360" s="4" t="s">
        <v>4</v>
      </c>
      <c r="BT360" s="4" t="s">
        <v>5</v>
      </c>
      <c r="BU360" s="4" t="s">
        <v>6</v>
      </c>
      <c r="BV360" s="4" t="s">
        <v>7</v>
      </c>
      <c r="BW360" s="4" t="s">
        <v>8</v>
      </c>
      <c r="BX360" s="3" t="s">
        <v>322</v>
      </c>
      <c r="BY360" s="3" t="s">
        <v>323</v>
      </c>
      <c r="BZ360" s="3" t="s">
        <v>322</v>
      </c>
      <c r="CA360" s="3" t="s">
        <v>323</v>
      </c>
    </row>
    <row r="361" spans="1:79" x14ac:dyDescent="0.3">
      <c r="A361" s="4" t="s">
        <v>194</v>
      </c>
      <c r="B361" s="4">
        <v>0.9</v>
      </c>
      <c r="C361" s="4">
        <v>0.5</v>
      </c>
      <c r="D361" s="4">
        <v>0.6</v>
      </c>
      <c r="E361" s="4">
        <v>0.3</v>
      </c>
      <c r="F361" s="4">
        <v>667.43408199999999</v>
      </c>
      <c r="G361" s="4">
        <v>2E-3</v>
      </c>
      <c r="I361" s="4" t="s">
        <v>194</v>
      </c>
      <c r="J361" s="4">
        <v>0.9</v>
      </c>
      <c r="K361" s="4">
        <v>0.5</v>
      </c>
      <c r="L361" s="4">
        <v>0.6</v>
      </c>
      <c r="M361" s="4">
        <v>0.01</v>
      </c>
      <c r="N361" s="6">
        <v>662.51580799999999</v>
      </c>
      <c r="O361" s="4">
        <v>2.5000000000000001E-2</v>
      </c>
      <c r="P361" s="4" t="s">
        <v>324</v>
      </c>
      <c r="Q361" s="4" t="s">
        <v>324</v>
      </c>
      <c r="R361" s="4" t="s">
        <v>327</v>
      </c>
      <c r="S361" s="4" t="s">
        <v>327</v>
      </c>
      <c r="U361" s="4" t="s">
        <v>194</v>
      </c>
      <c r="V361" s="4">
        <v>0.9</v>
      </c>
      <c r="W361" s="4">
        <v>0.5</v>
      </c>
      <c r="X361" s="4">
        <v>0.6</v>
      </c>
      <c r="Y361" s="4">
        <v>0.3</v>
      </c>
      <c r="Z361" s="4">
        <v>655.00640899999996</v>
      </c>
      <c r="AA361" s="4">
        <v>2E-3</v>
      </c>
      <c r="AC361" s="4" t="s">
        <v>194</v>
      </c>
      <c r="AD361" s="4">
        <v>0.9</v>
      </c>
      <c r="AE361" s="4">
        <v>0.5</v>
      </c>
      <c r="AF361" s="4">
        <v>0.6</v>
      </c>
      <c r="AG361" s="4">
        <v>0.01</v>
      </c>
      <c r="AH361" s="6">
        <v>650.76556400000004</v>
      </c>
      <c r="AI361" s="4">
        <v>0.03</v>
      </c>
      <c r="AJ361" s="4" t="s">
        <v>324</v>
      </c>
      <c r="AK361" s="4" t="s">
        <v>324</v>
      </c>
      <c r="AL361" s="4" t="s">
        <v>327</v>
      </c>
      <c r="AM361" s="4" t="s">
        <v>327</v>
      </c>
      <c r="AO361" s="4" t="s">
        <v>195</v>
      </c>
      <c r="AP361" s="4">
        <v>0.9</v>
      </c>
      <c r="AQ361" s="4">
        <v>0.5</v>
      </c>
      <c r="AR361" s="4">
        <v>0.6</v>
      </c>
      <c r="AS361" s="4">
        <v>0.3</v>
      </c>
      <c r="AT361" s="4">
        <v>986.91784700000005</v>
      </c>
      <c r="AU361" s="4">
        <v>8.9999999999999993E-3</v>
      </c>
      <c r="AW361" s="4" t="s">
        <v>195</v>
      </c>
      <c r="AX361" s="4">
        <v>0.9</v>
      </c>
      <c r="AY361" s="4">
        <v>0.5</v>
      </c>
      <c r="AZ361" s="4">
        <v>0.6</v>
      </c>
      <c r="BA361" s="4">
        <v>0.01</v>
      </c>
      <c r="BB361" s="6">
        <v>843.37664800000005</v>
      </c>
      <c r="BC361" s="4">
        <v>4.1000000000000002E-2</v>
      </c>
      <c r="BD361" s="4" t="s">
        <v>324</v>
      </c>
      <c r="BE361" s="4" t="s">
        <v>324</v>
      </c>
      <c r="BF361" s="4" t="s">
        <v>327</v>
      </c>
      <c r="BG361" s="4" t="s">
        <v>327</v>
      </c>
      <c r="BI361" s="4" t="s">
        <v>195</v>
      </c>
      <c r="BJ361" s="4">
        <v>0.9</v>
      </c>
      <c r="BK361" s="4">
        <v>0.5</v>
      </c>
      <c r="BL361" s="4">
        <v>0.6</v>
      </c>
      <c r="BM361" s="4">
        <v>0.3</v>
      </c>
      <c r="BN361" s="4">
        <v>967.10290499999996</v>
      </c>
      <c r="BO361" s="4">
        <v>1.2999999999999999E-2</v>
      </c>
      <c r="BQ361" s="4" t="s">
        <v>195</v>
      </c>
      <c r="BR361" s="4">
        <v>0.9</v>
      </c>
      <c r="BS361" s="4">
        <v>0.5</v>
      </c>
      <c r="BT361" s="4">
        <v>0.6</v>
      </c>
      <c r="BU361" s="4">
        <v>0.01</v>
      </c>
      <c r="BV361" s="6">
        <v>793.76568599999996</v>
      </c>
      <c r="BW361" s="4">
        <v>4.5999999999999999E-2</v>
      </c>
      <c r="BX361" s="4" t="s">
        <v>324</v>
      </c>
      <c r="BY361" s="4" t="s">
        <v>324</v>
      </c>
      <c r="BZ361" s="4" t="s">
        <v>327</v>
      </c>
      <c r="CA361" s="4" t="s">
        <v>327</v>
      </c>
    </row>
    <row r="362" spans="1:79" x14ac:dyDescent="0.3">
      <c r="A362" s="4" t="s">
        <v>196</v>
      </c>
      <c r="B362" s="4">
        <v>0.9</v>
      </c>
      <c r="C362" s="4">
        <v>0.5</v>
      </c>
      <c r="D362" s="4">
        <v>0.6</v>
      </c>
      <c r="E362" s="4">
        <v>0.3</v>
      </c>
      <c r="F362" s="6">
        <v>640.12219200000004</v>
      </c>
      <c r="G362" s="4">
        <v>2E-3</v>
      </c>
      <c r="I362" s="4" t="s">
        <v>196</v>
      </c>
      <c r="J362" s="4">
        <v>0.9</v>
      </c>
      <c r="K362" s="4">
        <v>0.5</v>
      </c>
      <c r="L362" s="4">
        <v>0.6</v>
      </c>
      <c r="M362" s="4">
        <v>0.93</v>
      </c>
      <c r="N362" s="4">
        <v>757.83123799999998</v>
      </c>
      <c r="O362" s="4">
        <v>1.0999999999999999E-2</v>
      </c>
      <c r="P362" s="3">
        <f>COUNT(F362:F366,F368,F370:F371,F373:F387,F389)</f>
        <v>24</v>
      </c>
      <c r="Q362" s="3">
        <f>30-P362</f>
        <v>6</v>
      </c>
      <c r="R362" s="3">
        <f>COUNT(N361,N367,N369,N372,N384,N388,N390)</f>
        <v>7</v>
      </c>
      <c r="S362" s="3">
        <f>30-R362</f>
        <v>23</v>
      </c>
      <c r="U362" s="4" t="s">
        <v>196</v>
      </c>
      <c r="V362" s="4">
        <v>0.9</v>
      </c>
      <c r="W362" s="4">
        <v>0.5</v>
      </c>
      <c r="X362" s="4">
        <v>0.6</v>
      </c>
      <c r="Y362" s="4">
        <v>0.3</v>
      </c>
      <c r="Z362" s="6">
        <v>625.43231200000002</v>
      </c>
      <c r="AA362" s="4">
        <v>2E-3</v>
      </c>
      <c r="AC362" s="4" t="s">
        <v>196</v>
      </c>
      <c r="AD362" s="4">
        <v>0.9</v>
      </c>
      <c r="AE362" s="4">
        <v>0.5</v>
      </c>
      <c r="AF362" s="4">
        <v>0.6</v>
      </c>
      <c r="AG362" s="4">
        <v>0.33</v>
      </c>
      <c r="AH362" s="4">
        <v>642.30633499999999</v>
      </c>
      <c r="AI362" s="4">
        <v>1.2999999999999999E-2</v>
      </c>
      <c r="AJ362" s="3">
        <f>COUNT(Z362:Z383,Z385:Z390)</f>
        <v>28</v>
      </c>
      <c r="AK362" s="3">
        <f>30-AJ362</f>
        <v>2</v>
      </c>
      <c r="AL362" s="3">
        <f>COUNT(AH361,AH384)</f>
        <v>2</v>
      </c>
      <c r="AM362" s="3">
        <f>30-AL362</f>
        <v>28</v>
      </c>
      <c r="AO362" s="4" t="s">
        <v>197</v>
      </c>
      <c r="AP362" s="4">
        <v>0.9</v>
      </c>
      <c r="AQ362" s="4">
        <v>0.5</v>
      </c>
      <c r="AR362" s="4">
        <v>0.6</v>
      </c>
      <c r="AS362" s="4">
        <v>0.3</v>
      </c>
      <c r="AT362" s="6">
        <v>916.41046100000005</v>
      </c>
      <c r="AU362" s="4">
        <v>7.0000000000000001E-3</v>
      </c>
      <c r="AW362" s="4" t="s">
        <v>197</v>
      </c>
      <c r="AX362" s="4">
        <v>0.9</v>
      </c>
      <c r="AY362" s="4">
        <v>0.5</v>
      </c>
      <c r="AZ362" s="4">
        <v>0.6</v>
      </c>
      <c r="BA362" s="4">
        <v>0.9</v>
      </c>
      <c r="BB362" s="4">
        <v>1063.540405</v>
      </c>
      <c r="BC362" s="4">
        <v>4.2000000000000003E-2</v>
      </c>
      <c r="BD362" s="3">
        <f>COUNT(AT362,AT364:AT365,AT367:AT370,AT372:AT375,AT379,AT381:AT382,AT385:AT388,AT390)</f>
        <v>19</v>
      </c>
      <c r="BE362" s="3">
        <f>30-BD362</f>
        <v>11</v>
      </c>
      <c r="BF362" s="3">
        <f>COUNT(BB361,BB363,BB366,BB371,BB376:BB378,BB380,BB383:BB384,BB389)</f>
        <v>11</v>
      </c>
      <c r="BG362" s="3">
        <f>30-BF362</f>
        <v>19</v>
      </c>
      <c r="BI362" s="4" t="s">
        <v>197</v>
      </c>
      <c r="BJ362" s="4">
        <v>0.9</v>
      </c>
      <c r="BK362" s="4">
        <v>0.5</v>
      </c>
      <c r="BL362" s="4">
        <v>0.6</v>
      </c>
      <c r="BM362" s="4">
        <v>0.3</v>
      </c>
      <c r="BN362" s="6">
        <v>894.31420900000001</v>
      </c>
      <c r="BO362" s="4">
        <v>1.2E-2</v>
      </c>
      <c r="BQ362" s="4" t="s">
        <v>197</v>
      </c>
      <c r="BR362" s="4">
        <v>0.9</v>
      </c>
      <c r="BS362" s="4">
        <v>0.5</v>
      </c>
      <c r="BT362" s="4">
        <v>0.6</v>
      </c>
      <c r="BU362" s="4">
        <v>0.72</v>
      </c>
      <c r="BV362" s="4">
        <v>997.76470900000004</v>
      </c>
      <c r="BW362" s="4">
        <v>1.7000000000000001E-2</v>
      </c>
      <c r="BX362" s="3">
        <f>COUNT(BN362,BN364,BN366:BN368,BN370:BN371,BN373,BN375,BN378:BN381,BN383:BN385,BN388:BN390)</f>
        <v>19</v>
      </c>
      <c r="BY362" s="3">
        <f>30-BX362</f>
        <v>11</v>
      </c>
      <c r="BZ362" s="3">
        <f>COUNT(BV361,BV363,BV365,BV369,BV372,BV374,BV376:BV377,BV382,BV386:BV387)</f>
        <v>11</v>
      </c>
      <c r="CA362" s="3">
        <f>30-BZ362</f>
        <v>19</v>
      </c>
    </row>
    <row r="363" spans="1:79" x14ac:dyDescent="0.3">
      <c r="A363" s="4" t="s">
        <v>198</v>
      </c>
      <c r="B363" s="4">
        <v>0.9</v>
      </c>
      <c r="C363" s="4">
        <v>0.5</v>
      </c>
      <c r="D363" s="4">
        <v>0.6</v>
      </c>
      <c r="E363" s="4">
        <v>0.3</v>
      </c>
      <c r="F363" s="6">
        <v>628.67797900000005</v>
      </c>
      <c r="G363" s="4">
        <v>2E-3</v>
      </c>
      <c r="I363" s="4" t="s">
        <v>198</v>
      </c>
      <c r="J363" s="4">
        <v>0.9</v>
      </c>
      <c r="K363" s="4">
        <v>0.5</v>
      </c>
      <c r="L363" s="4">
        <v>0.6</v>
      </c>
      <c r="M363" s="4">
        <v>0.4</v>
      </c>
      <c r="N363" s="4">
        <v>667.28002900000001</v>
      </c>
      <c r="O363" s="4">
        <v>0.02</v>
      </c>
      <c r="P363" s="5"/>
      <c r="Q363" s="5"/>
      <c r="R363" s="5"/>
      <c r="S363" s="5"/>
      <c r="U363" s="4" t="s">
        <v>198</v>
      </c>
      <c r="V363" s="4">
        <v>0.9</v>
      </c>
      <c r="W363" s="4">
        <v>0.5</v>
      </c>
      <c r="X363" s="4">
        <v>0.6</v>
      </c>
      <c r="Y363" s="4">
        <v>0.3</v>
      </c>
      <c r="Z363" s="6">
        <v>601.25146500000005</v>
      </c>
      <c r="AA363" s="4">
        <v>3.0000000000000001E-3</v>
      </c>
      <c r="AC363" s="4" t="s">
        <v>198</v>
      </c>
      <c r="AD363" s="4">
        <v>0.9</v>
      </c>
      <c r="AE363" s="4">
        <v>0.5</v>
      </c>
      <c r="AF363" s="4">
        <v>0.6</v>
      </c>
      <c r="AG363" s="4">
        <v>0.25</v>
      </c>
      <c r="AH363" s="4">
        <v>603.62432899999999</v>
      </c>
      <c r="AI363" s="4">
        <v>2.4E-2</v>
      </c>
      <c r="AJ363" s="5"/>
      <c r="AK363" s="5"/>
      <c r="AL363" s="5"/>
      <c r="AM363" s="5"/>
      <c r="AO363" s="4" t="s">
        <v>199</v>
      </c>
      <c r="AP363" s="4">
        <v>0.9</v>
      </c>
      <c r="AQ363" s="4">
        <v>0.5</v>
      </c>
      <c r="AR363" s="4">
        <v>0.6</v>
      </c>
      <c r="AS363" s="4">
        <v>0.3</v>
      </c>
      <c r="AT363" s="4">
        <v>904.87780799999996</v>
      </c>
      <c r="AU363" s="4">
        <v>8.0000000000000002E-3</v>
      </c>
      <c r="AW363" s="4" t="s">
        <v>199</v>
      </c>
      <c r="AX363" s="4">
        <v>0.9</v>
      </c>
      <c r="AY363" s="4">
        <v>0.5</v>
      </c>
      <c r="AZ363" s="4">
        <v>0.6</v>
      </c>
      <c r="BA363" s="4">
        <v>0.04</v>
      </c>
      <c r="BB363" s="6">
        <v>765.94049099999995</v>
      </c>
      <c r="BC363" s="4">
        <v>2.5999999999999999E-2</v>
      </c>
      <c r="BD363" s="5"/>
      <c r="BE363" s="5"/>
      <c r="BF363" s="5"/>
      <c r="BG363" s="5"/>
      <c r="BI363" s="4" t="s">
        <v>199</v>
      </c>
      <c r="BJ363" s="4">
        <v>0.9</v>
      </c>
      <c r="BK363" s="4">
        <v>0.5</v>
      </c>
      <c r="BL363" s="4">
        <v>0.6</v>
      </c>
      <c r="BM363" s="4">
        <v>0.3</v>
      </c>
      <c r="BN363" s="4">
        <v>924.524902</v>
      </c>
      <c r="BO363" s="4">
        <v>0.01</v>
      </c>
      <c r="BQ363" s="4" t="s">
        <v>199</v>
      </c>
      <c r="BR363" s="4">
        <v>0.9</v>
      </c>
      <c r="BS363" s="4">
        <v>0.5</v>
      </c>
      <c r="BT363" s="4">
        <v>0.6</v>
      </c>
      <c r="BU363" s="4">
        <v>0.02</v>
      </c>
      <c r="BV363" s="6">
        <v>759.69958499999996</v>
      </c>
      <c r="BW363" s="4">
        <v>0.05</v>
      </c>
      <c r="BX363" s="5"/>
      <c r="BY363" s="5"/>
      <c r="BZ363" s="5"/>
      <c r="CA363" s="5"/>
    </row>
    <row r="364" spans="1:79" x14ac:dyDescent="0.3">
      <c r="A364" s="4" t="s">
        <v>200</v>
      </c>
      <c r="B364" s="4">
        <v>0.9</v>
      </c>
      <c r="C364" s="4">
        <v>0.5</v>
      </c>
      <c r="D364" s="4">
        <v>0.6</v>
      </c>
      <c r="E364" s="4">
        <v>0.3</v>
      </c>
      <c r="F364" s="6">
        <v>583.72283900000002</v>
      </c>
      <c r="G364" s="4">
        <v>2E-3</v>
      </c>
      <c r="I364" s="4" t="s">
        <v>200</v>
      </c>
      <c r="J364" s="4">
        <v>0.9</v>
      </c>
      <c r="K364" s="4">
        <v>0.5</v>
      </c>
      <c r="L364" s="4">
        <v>0.6</v>
      </c>
      <c r="M364" s="4">
        <v>0.48</v>
      </c>
      <c r="N364" s="4">
        <v>637.20788600000003</v>
      </c>
      <c r="O364" s="4">
        <v>2.4E-2</v>
      </c>
      <c r="P364" s="5"/>
      <c r="Q364" s="5"/>
      <c r="R364" s="5"/>
      <c r="S364" s="5"/>
      <c r="U364" s="4" t="s">
        <v>200</v>
      </c>
      <c r="V364" s="4">
        <v>0.9</v>
      </c>
      <c r="W364" s="4">
        <v>0.5</v>
      </c>
      <c r="X364" s="4">
        <v>0.6</v>
      </c>
      <c r="Y364" s="4">
        <v>0.3</v>
      </c>
      <c r="Z364" s="6">
        <v>545.19604500000003</v>
      </c>
      <c r="AA364" s="4">
        <v>3.0000000000000001E-3</v>
      </c>
      <c r="AC364" s="4" t="s">
        <v>200</v>
      </c>
      <c r="AD364" s="4">
        <v>0.9</v>
      </c>
      <c r="AE364" s="4">
        <v>0.5</v>
      </c>
      <c r="AF364" s="4">
        <v>0.6</v>
      </c>
      <c r="AG364" s="4">
        <v>0.71</v>
      </c>
      <c r="AH364" s="4">
        <v>630.69946300000004</v>
      </c>
      <c r="AI364" s="4">
        <v>3.5000000000000003E-2</v>
      </c>
      <c r="AJ364" s="5"/>
      <c r="AK364" s="5"/>
      <c r="AL364" s="5"/>
      <c r="AM364" s="5"/>
      <c r="AO364" s="4" t="s">
        <v>201</v>
      </c>
      <c r="AP364" s="4">
        <v>0.9</v>
      </c>
      <c r="AQ364" s="4">
        <v>0.5</v>
      </c>
      <c r="AR364" s="4">
        <v>0.6</v>
      </c>
      <c r="AS364" s="4">
        <v>0.3</v>
      </c>
      <c r="AT364" s="6">
        <v>1008.607422</v>
      </c>
      <c r="AU364" s="4">
        <v>8.0000000000000002E-3</v>
      </c>
      <c r="AW364" s="4" t="s">
        <v>201</v>
      </c>
      <c r="AX364" s="4">
        <v>0.9</v>
      </c>
      <c r="AY364" s="4">
        <v>0.5</v>
      </c>
      <c r="AZ364" s="4">
        <v>0.6</v>
      </c>
      <c r="BA364" s="4">
        <v>0.73</v>
      </c>
      <c r="BB364" s="4">
        <v>1126.313721</v>
      </c>
      <c r="BC364" s="4">
        <v>1.6E-2</v>
      </c>
      <c r="BD364" s="5"/>
      <c r="BE364" s="5"/>
      <c r="BF364" s="5"/>
      <c r="BG364" s="5"/>
      <c r="BI364" s="4" t="s">
        <v>201</v>
      </c>
      <c r="BJ364" s="4">
        <v>0.9</v>
      </c>
      <c r="BK364" s="4">
        <v>0.5</v>
      </c>
      <c r="BL364" s="4">
        <v>0.6</v>
      </c>
      <c r="BM364" s="4">
        <v>0.3</v>
      </c>
      <c r="BN364" s="6">
        <v>973.05737299999998</v>
      </c>
      <c r="BO364" s="4">
        <v>1.0999999999999999E-2</v>
      </c>
      <c r="BQ364" s="4" t="s">
        <v>201</v>
      </c>
      <c r="BR364" s="4">
        <v>0.9</v>
      </c>
      <c r="BS364" s="4">
        <v>0.5</v>
      </c>
      <c r="BT364" s="4">
        <v>0.6</v>
      </c>
      <c r="BU364" s="4">
        <v>0.85</v>
      </c>
      <c r="BV364" s="4">
        <v>1145.429077</v>
      </c>
      <c r="BW364" s="4">
        <v>0.03</v>
      </c>
      <c r="BX364" s="5"/>
      <c r="BY364" s="5"/>
      <c r="BZ364" s="5"/>
      <c r="CA364" s="5"/>
    </row>
    <row r="365" spans="1:79" x14ac:dyDescent="0.3">
      <c r="A365" s="4" t="s">
        <v>202</v>
      </c>
      <c r="B365" s="4">
        <v>0.9</v>
      </c>
      <c r="C365" s="4">
        <v>0.5</v>
      </c>
      <c r="D365" s="4">
        <v>0.6</v>
      </c>
      <c r="E365" s="4">
        <v>0.3</v>
      </c>
      <c r="F365" s="6">
        <v>583.55474900000002</v>
      </c>
      <c r="G365" s="4">
        <v>2E-3</v>
      </c>
      <c r="I365" s="4" t="s">
        <v>202</v>
      </c>
      <c r="J365" s="4">
        <v>0.9</v>
      </c>
      <c r="K365" s="4">
        <v>0.5</v>
      </c>
      <c r="L365" s="4">
        <v>0.6</v>
      </c>
      <c r="M365" s="4">
        <v>0.41</v>
      </c>
      <c r="N365" s="4">
        <v>628.70831299999998</v>
      </c>
      <c r="O365" s="4">
        <v>1.4E-2</v>
      </c>
      <c r="P365" s="5"/>
      <c r="Q365" s="5"/>
      <c r="R365" s="5"/>
      <c r="S365" s="5"/>
      <c r="U365" s="4" t="s">
        <v>202</v>
      </c>
      <c r="V365" s="4">
        <v>0.9</v>
      </c>
      <c r="W365" s="4">
        <v>0.5</v>
      </c>
      <c r="X365" s="4">
        <v>0.6</v>
      </c>
      <c r="Y365" s="4">
        <v>0.3</v>
      </c>
      <c r="Z365" s="6">
        <v>553.40844700000002</v>
      </c>
      <c r="AA365" s="4">
        <v>3.0000000000000001E-3</v>
      </c>
      <c r="AC365" s="4" t="s">
        <v>202</v>
      </c>
      <c r="AD365" s="4">
        <v>0.9</v>
      </c>
      <c r="AE365" s="4">
        <v>0.5</v>
      </c>
      <c r="AF365" s="4">
        <v>0.6</v>
      </c>
      <c r="AG365" s="4">
        <v>0.83</v>
      </c>
      <c r="AH365" s="4">
        <v>682.79272500000002</v>
      </c>
      <c r="AI365" s="4">
        <v>1.7000000000000001E-2</v>
      </c>
      <c r="AJ365" s="5"/>
      <c r="AK365" s="5"/>
      <c r="AL365" s="5"/>
      <c r="AM365" s="5"/>
      <c r="AO365" s="4" t="s">
        <v>203</v>
      </c>
      <c r="AP365" s="4">
        <v>0.9</v>
      </c>
      <c r="AQ365" s="4">
        <v>0.5</v>
      </c>
      <c r="AR365" s="4">
        <v>0.6</v>
      </c>
      <c r="AS365" s="4">
        <v>0.3</v>
      </c>
      <c r="AT365" s="6">
        <v>953.05639599999995</v>
      </c>
      <c r="AU365" s="4">
        <v>1.7999999999999999E-2</v>
      </c>
      <c r="AW365" s="4" t="s">
        <v>203</v>
      </c>
      <c r="AX365" s="4">
        <v>0.9</v>
      </c>
      <c r="AY365" s="4">
        <v>0.5</v>
      </c>
      <c r="AZ365" s="4">
        <v>0.6</v>
      </c>
      <c r="BA365" s="4">
        <v>0.38</v>
      </c>
      <c r="BB365" s="4">
        <v>997.25769000000003</v>
      </c>
      <c r="BC365" s="4">
        <v>2.1999999999999999E-2</v>
      </c>
      <c r="BD365" s="5"/>
      <c r="BE365" s="5"/>
      <c r="BF365" s="5"/>
      <c r="BG365" s="5"/>
      <c r="BI365" s="4" t="s">
        <v>203</v>
      </c>
      <c r="BJ365" s="4">
        <v>0.9</v>
      </c>
      <c r="BK365" s="4">
        <v>0.5</v>
      </c>
      <c r="BL365" s="4">
        <v>0.6</v>
      </c>
      <c r="BM365" s="4">
        <v>0.3</v>
      </c>
      <c r="BN365" s="4">
        <v>913.91119400000002</v>
      </c>
      <c r="BO365" s="4">
        <v>8.0000000000000002E-3</v>
      </c>
      <c r="BQ365" s="4" t="s">
        <v>203</v>
      </c>
      <c r="BR365" s="4">
        <v>0.9</v>
      </c>
      <c r="BS365" s="4">
        <v>0.5</v>
      </c>
      <c r="BT365" s="4">
        <v>0.6</v>
      </c>
      <c r="BU365" s="4">
        <v>0.22</v>
      </c>
      <c r="BV365" s="6">
        <v>876.67181400000004</v>
      </c>
      <c r="BW365" s="4">
        <v>2.8000000000000001E-2</v>
      </c>
      <c r="BX365" s="5"/>
      <c r="BY365" s="5"/>
      <c r="BZ365" s="5"/>
      <c r="CA365" s="5"/>
    </row>
    <row r="366" spans="1:79" x14ac:dyDescent="0.3">
      <c r="A366" s="4" t="s">
        <v>204</v>
      </c>
      <c r="B366" s="4">
        <v>0.9</v>
      </c>
      <c r="C366" s="4">
        <v>0.5</v>
      </c>
      <c r="D366" s="4">
        <v>0.6</v>
      </c>
      <c r="E366" s="4">
        <v>0.3</v>
      </c>
      <c r="F366" s="6">
        <v>631.30499299999997</v>
      </c>
      <c r="G366" s="4">
        <v>1E-3</v>
      </c>
      <c r="I366" s="4" t="s">
        <v>204</v>
      </c>
      <c r="J366" s="4">
        <v>0.9</v>
      </c>
      <c r="K366" s="4">
        <v>0.5</v>
      </c>
      <c r="L366" s="4">
        <v>0.6</v>
      </c>
      <c r="M366" s="4">
        <v>0.69</v>
      </c>
      <c r="N366" s="4">
        <v>716.30645800000002</v>
      </c>
      <c r="O366" s="4">
        <v>1.0999999999999999E-2</v>
      </c>
      <c r="P366" s="5"/>
      <c r="Q366" s="5"/>
      <c r="R366" s="5"/>
      <c r="S366" s="5"/>
      <c r="U366" s="4" t="s">
        <v>204</v>
      </c>
      <c r="V366" s="4">
        <v>0.9</v>
      </c>
      <c r="W366" s="4">
        <v>0.5</v>
      </c>
      <c r="X366" s="4">
        <v>0.6</v>
      </c>
      <c r="Y366" s="4">
        <v>0.3</v>
      </c>
      <c r="Z366" s="6">
        <v>609.98449700000003</v>
      </c>
      <c r="AA366" s="4">
        <v>4.0000000000000001E-3</v>
      </c>
      <c r="AC366" s="4" t="s">
        <v>204</v>
      </c>
      <c r="AD366" s="4">
        <v>0.9</v>
      </c>
      <c r="AE366" s="4">
        <v>0.5</v>
      </c>
      <c r="AF366" s="4">
        <v>0.6</v>
      </c>
      <c r="AG366" s="4">
        <v>0.64</v>
      </c>
      <c r="AH366" s="4">
        <v>681.44525099999998</v>
      </c>
      <c r="AI366" s="4">
        <v>0.02</v>
      </c>
      <c r="AJ366" s="5"/>
      <c r="AK366" s="5"/>
      <c r="AL366" s="5"/>
      <c r="AM366" s="5"/>
      <c r="AO366" s="4" t="s">
        <v>205</v>
      </c>
      <c r="AP366" s="4">
        <v>0.9</v>
      </c>
      <c r="AQ366" s="4">
        <v>0.5</v>
      </c>
      <c r="AR366" s="4">
        <v>0.6</v>
      </c>
      <c r="AS366" s="4">
        <v>0.3</v>
      </c>
      <c r="AT366" s="4">
        <v>974.09295699999996</v>
      </c>
      <c r="AU366" s="4">
        <v>8.0000000000000002E-3</v>
      </c>
      <c r="AW366" s="4" t="s">
        <v>205</v>
      </c>
      <c r="AX366" s="4">
        <v>0.9</v>
      </c>
      <c r="AY366" s="4">
        <v>0.5</v>
      </c>
      <c r="AZ366" s="4">
        <v>0.6</v>
      </c>
      <c r="BA366" s="4">
        <v>0.22</v>
      </c>
      <c r="BB366" s="6">
        <v>905.017517</v>
      </c>
      <c r="BC366" s="4">
        <v>0.03</v>
      </c>
      <c r="BD366" s="5"/>
      <c r="BE366" s="5"/>
      <c r="BF366" s="5"/>
      <c r="BG366" s="5"/>
      <c r="BI366" s="4" t="s">
        <v>205</v>
      </c>
      <c r="BJ366" s="4">
        <v>0.9</v>
      </c>
      <c r="BK366" s="4">
        <v>0.5</v>
      </c>
      <c r="BL366" s="4">
        <v>0.6</v>
      </c>
      <c r="BM366" s="4">
        <v>0.3</v>
      </c>
      <c r="BN366" s="6">
        <v>942.10369900000001</v>
      </c>
      <c r="BO366" s="4">
        <v>0.01</v>
      </c>
      <c r="BQ366" s="4" t="s">
        <v>205</v>
      </c>
      <c r="BR366" s="4">
        <v>0.9</v>
      </c>
      <c r="BS366" s="4">
        <v>0.5</v>
      </c>
      <c r="BT366" s="4">
        <v>0.6</v>
      </c>
      <c r="BU366" s="4">
        <v>0.64</v>
      </c>
      <c r="BV366" s="4">
        <v>1054.5722659999999</v>
      </c>
      <c r="BW366" s="4">
        <v>4.2000000000000003E-2</v>
      </c>
      <c r="BX366" s="5"/>
      <c r="BY366" s="5"/>
      <c r="BZ366" s="5"/>
      <c r="CA366" s="5"/>
    </row>
    <row r="367" spans="1:79" x14ac:dyDescent="0.3">
      <c r="A367" s="4" t="s">
        <v>206</v>
      </c>
      <c r="B367" s="4">
        <v>0.9</v>
      </c>
      <c r="C367" s="4">
        <v>0.5</v>
      </c>
      <c r="D367" s="4">
        <v>0.6</v>
      </c>
      <c r="E367" s="4">
        <v>0.3</v>
      </c>
      <c r="F367" s="4">
        <v>654.57299799999998</v>
      </c>
      <c r="G367" s="4">
        <v>3.0000000000000001E-3</v>
      </c>
      <c r="I367" s="4" t="s">
        <v>206</v>
      </c>
      <c r="J367" s="4">
        <v>0.9</v>
      </c>
      <c r="K367" s="4">
        <v>0.5</v>
      </c>
      <c r="L367" s="4">
        <v>0.6</v>
      </c>
      <c r="M367" s="4">
        <v>0.22</v>
      </c>
      <c r="N367" s="6">
        <v>652.96215800000004</v>
      </c>
      <c r="O367" s="4">
        <v>1.6E-2</v>
      </c>
      <c r="P367" s="5"/>
      <c r="Q367" s="5"/>
      <c r="R367" s="5"/>
      <c r="S367" s="5"/>
      <c r="U367" s="4" t="s">
        <v>206</v>
      </c>
      <c r="V367" s="4">
        <v>0.9</v>
      </c>
      <c r="W367" s="4">
        <v>0.5</v>
      </c>
      <c r="X367" s="4">
        <v>0.6</v>
      </c>
      <c r="Y367" s="4">
        <v>0.3</v>
      </c>
      <c r="Z367" s="6">
        <v>626.39178500000003</v>
      </c>
      <c r="AA367" s="4">
        <v>3.0000000000000001E-3</v>
      </c>
      <c r="AC367" s="4" t="s">
        <v>206</v>
      </c>
      <c r="AD367" s="4">
        <v>0.9</v>
      </c>
      <c r="AE367" s="4">
        <v>0.5</v>
      </c>
      <c r="AF367" s="4">
        <v>0.6</v>
      </c>
      <c r="AG367" s="4">
        <v>0.99</v>
      </c>
      <c r="AH367" s="4">
        <v>678.83734100000004</v>
      </c>
      <c r="AI367" s="4">
        <v>2.5999999999999999E-2</v>
      </c>
      <c r="AJ367" s="5"/>
      <c r="AK367" s="5"/>
      <c r="AL367" s="5"/>
      <c r="AM367" s="5"/>
      <c r="AO367" s="4" t="s">
        <v>207</v>
      </c>
      <c r="AP367" s="4">
        <v>0.9</v>
      </c>
      <c r="AQ367" s="4">
        <v>0.5</v>
      </c>
      <c r="AR367" s="4">
        <v>0.6</v>
      </c>
      <c r="AS367" s="4">
        <v>0.3</v>
      </c>
      <c r="AT367" s="6">
        <v>873.34606900000006</v>
      </c>
      <c r="AU367" s="4">
        <v>6.0000000000000001E-3</v>
      </c>
      <c r="AW367" s="4" t="s">
        <v>207</v>
      </c>
      <c r="AX367" s="4">
        <v>0.9</v>
      </c>
      <c r="AY367" s="4">
        <v>0.5</v>
      </c>
      <c r="AZ367" s="4">
        <v>0.6</v>
      </c>
      <c r="BA367" s="4">
        <v>0.55000000000000004</v>
      </c>
      <c r="BB367" s="4">
        <v>980.39465299999995</v>
      </c>
      <c r="BC367" s="4">
        <v>5.5E-2</v>
      </c>
      <c r="BD367" s="5"/>
      <c r="BE367" s="5"/>
      <c r="BF367" s="5"/>
      <c r="BG367" s="5"/>
      <c r="BI367" s="4" t="s">
        <v>207</v>
      </c>
      <c r="BJ367" s="4">
        <v>0.9</v>
      </c>
      <c r="BK367" s="4">
        <v>0.5</v>
      </c>
      <c r="BL367" s="4">
        <v>0.6</v>
      </c>
      <c r="BM367" s="4">
        <v>0.3</v>
      </c>
      <c r="BN367" s="6">
        <v>849.70019500000001</v>
      </c>
      <c r="BO367" s="4">
        <v>8.0000000000000002E-3</v>
      </c>
      <c r="BQ367" s="4" t="s">
        <v>207</v>
      </c>
      <c r="BR367" s="4">
        <v>0.9</v>
      </c>
      <c r="BS367" s="4">
        <v>0.5</v>
      </c>
      <c r="BT367" s="4">
        <v>0.6</v>
      </c>
      <c r="BU367" s="4">
        <v>0.59</v>
      </c>
      <c r="BV367" s="4">
        <v>958.26531999999997</v>
      </c>
      <c r="BW367" s="4">
        <v>0.01</v>
      </c>
      <c r="BX367" s="5"/>
      <c r="BY367" s="5"/>
      <c r="BZ367" s="5"/>
      <c r="CA367" s="5"/>
    </row>
    <row r="368" spans="1:79" x14ac:dyDescent="0.3">
      <c r="A368" s="4" t="s">
        <v>208</v>
      </c>
      <c r="B368" s="4">
        <v>0.9</v>
      </c>
      <c r="C368" s="4">
        <v>0.5</v>
      </c>
      <c r="D368" s="4">
        <v>0.6</v>
      </c>
      <c r="E368" s="4">
        <v>0.3</v>
      </c>
      <c r="F368" s="6">
        <v>604.713257</v>
      </c>
      <c r="G368" s="4">
        <v>2E-3</v>
      </c>
      <c r="I368" s="4" t="s">
        <v>208</v>
      </c>
      <c r="J368" s="4">
        <v>0.9</v>
      </c>
      <c r="K368" s="4">
        <v>0.5</v>
      </c>
      <c r="L368" s="4">
        <v>0.6</v>
      </c>
      <c r="M368" s="4">
        <v>0.56999999999999995</v>
      </c>
      <c r="N368" s="4">
        <v>666.59698500000002</v>
      </c>
      <c r="O368" s="4">
        <v>1.7999999999999999E-2</v>
      </c>
      <c r="P368" s="5"/>
      <c r="Q368" s="5"/>
      <c r="R368" s="5"/>
      <c r="S368" s="5"/>
      <c r="U368" s="4" t="s">
        <v>208</v>
      </c>
      <c r="V368" s="4">
        <v>0.9</v>
      </c>
      <c r="W368" s="4">
        <v>0.5</v>
      </c>
      <c r="X368" s="4">
        <v>0.6</v>
      </c>
      <c r="Y368" s="4">
        <v>0.3</v>
      </c>
      <c r="Z368" s="6">
        <v>590.78656000000001</v>
      </c>
      <c r="AA368" s="4">
        <v>2E-3</v>
      </c>
      <c r="AC368" s="4" t="s">
        <v>208</v>
      </c>
      <c r="AD368" s="4">
        <v>0.9</v>
      </c>
      <c r="AE368" s="4">
        <v>0.5</v>
      </c>
      <c r="AF368" s="4">
        <v>0.6</v>
      </c>
      <c r="AG368" s="4">
        <v>0.69</v>
      </c>
      <c r="AH368" s="4">
        <v>657.25</v>
      </c>
      <c r="AI368" s="4">
        <v>3.3000000000000002E-2</v>
      </c>
      <c r="AJ368" s="5"/>
      <c r="AK368" s="5"/>
      <c r="AL368" s="5"/>
      <c r="AM368" s="5"/>
      <c r="AO368" s="4" t="s">
        <v>209</v>
      </c>
      <c r="AP368" s="4">
        <v>0.9</v>
      </c>
      <c r="AQ368" s="4">
        <v>0.5</v>
      </c>
      <c r="AR368" s="4">
        <v>0.6</v>
      </c>
      <c r="AS368" s="4">
        <v>0.3</v>
      </c>
      <c r="AT368" s="6">
        <v>872.98541299999999</v>
      </c>
      <c r="AU368" s="4">
        <v>7.0000000000000001E-3</v>
      </c>
      <c r="AW368" s="4" t="s">
        <v>209</v>
      </c>
      <c r="AX368" s="4">
        <v>0.9</v>
      </c>
      <c r="AY368" s="4">
        <v>0.5</v>
      </c>
      <c r="AZ368" s="4">
        <v>0.6</v>
      </c>
      <c r="BA368" s="4">
        <v>0.87</v>
      </c>
      <c r="BB368" s="4">
        <v>1047.4610600000001</v>
      </c>
      <c r="BC368" s="4">
        <v>2.4E-2</v>
      </c>
      <c r="BD368" s="5"/>
      <c r="BE368" s="5"/>
      <c r="BF368" s="5"/>
      <c r="BG368" s="5"/>
      <c r="BI368" s="4" t="s">
        <v>209</v>
      </c>
      <c r="BJ368" s="4">
        <v>0.9</v>
      </c>
      <c r="BK368" s="4">
        <v>0.5</v>
      </c>
      <c r="BL368" s="4">
        <v>0.6</v>
      </c>
      <c r="BM368" s="4">
        <v>0.3</v>
      </c>
      <c r="BN368" s="6">
        <v>863.71014400000001</v>
      </c>
      <c r="BO368" s="4">
        <v>8.9999999999999993E-3</v>
      </c>
      <c r="BQ368" s="4" t="s">
        <v>209</v>
      </c>
      <c r="BR368" s="4">
        <v>0.9</v>
      </c>
      <c r="BS368" s="4">
        <v>0.5</v>
      </c>
      <c r="BT368" s="4">
        <v>0.6</v>
      </c>
      <c r="BU368" s="4">
        <v>0.37</v>
      </c>
      <c r="BV368" s="4">
        <v>899.51525900000001</v>
      </c>
      <c r="BW368" s="4">
        <v>4.2999999999999997E-2</v>
      </c>
      <c r="BX368" s="5"/>
      <c r="BY368" s="5"/>
      <c r="BZ368" s="5"/>
      <c r="CA368" s="5"/>
    </row>
    <row r="369" spans="1:79" x14ac:dyDescent="0.3">
      <c r="A369" s="4" t="s">
        <v>210</v>
      </c>
      <c r="B369" s="4">
        <v>0.9</v>
      </c>
      <c r="C369" s="4">
        <v>0.5</v>
      </c>
      <c r="D369" s="4">
        <v>0.6</v>
      </c>
      <c r="E369" s="4">
        <v>0.3</v>
      </c>
      <c r="F369" s="4">
        <v>617.13720699999999</v>
      </c>
      <c r="G369" s="4">
        <v>1E-3</v>
      </c>
      <c r="I369" s="4" t="s">
        <v>210</v>
      </c>
      <c r="J369" s="4">
        <v>0.9</v>
      </c>
      <c r="K369" s="4">
        <v>0.5</v>
      </c>
      <c r="L369" s="4">
        <v>0.6</v>
      </c>
      <c r="M369" s="4">
        <v>0.05</v>
      </c>
      <c r="N369" s="6">
        <v>587.06469700000002</v>
      </c>
      <c r="O369" s="4">
        <v>3.6999999999999998E-2</v>
      </c>
      <c r="P369" s="5"/>
      <c r="Q369" s="5"/>
      <c r="R369" s="5"/>
      <c r="S369" s="5"/>
      <c r="U369" s="4" t="s">
        <v>210</v>
      </c>
      <c r="V369" s="4">
        <v>0.9</v>
      </c>
      <c r="W369" s="4">
        <v>0.5</v>
      </c>
      <c r="X369" s="4">
        <v>0.6</v>
      </c>
      <c r="Y369" s="4">
        <v>0.3</v>
      </c>
      <c r="Z369" s="6">
        <v>591.90429700000004</v>
      </c>
      <c r="AA369" s="4">
        <v>4.0000000000000001E-3</v>
      </c>
      <c r="AC369" s="4" t="s">
        <v>210</v>
      </c>
      <c r="AD369" s="4">
        <v>0.9</v>
      </c>
      <c r="AE369" s="4">
        <v>0.5</v>
      </c>
      <c r="AF369" s="4">
        <v>0.6</v>
      </c>
      <c r="AG369" s="4">
        <v>0.36</v>
      </c>
      <c r="AH369" s="4">
        <v>615.75012200000003</v>
      </c>
      <c r="AI369" s="4">
        <v>2.5000000000000001E-2</v>
      </c>
      <c r="AJ369" s="5"/>
      <c r="AK369" s="5"/>
      <c r="AL369" s="5"/>
      <c r="AM369" s="5"/>
      <c r="AO369" s="4" t="s">
        <v>211</v>
      </c>
      <c r="AP369" s="4">
        <v>0.9</v>
      </c>
      <c r="AQ369" s="4">
        <v>0.5</v>
      </c>
      <c r="AR369" s="4">
        <v>0.6</v>
      </c>
      <c r="AS369" s="4">
        <v>0.3</v>
      </c>
      <c r="AT369" s="6">
        <v>907.98956299999998</v>
      </c>
      <c r="AU369" s="4">
        <v>8.9999999999999993E-3</v>
      </c>
      <c r="AW369" s="4" t="s">
        <v>211</v>
      </c>
      <c r="AX369" s="4">
        <v>0.9</v>
      </c>
      <c r="AY369" s="4">
        <v>0.5</v>
      </c>
      <c r="AZ369" s="4">
        <v>0.6</v>
      </c>
      <c r="BA369" s="4">
        <v>0.68</v>
      </c>
      <c r="BB369" s="4">
        <v>997.37579300000004</v>
      </c>
      <c r="BC369" s="4">
        <v>2.1000000000000001E-2</v>
      </c>
      <c r="BD369" s="5"/>
      <c r="BE369" s="5"/>
      <c r="BF369" s="5"/>
      <c r="BG369" s="5"/>
      <c r="BI369" s="4" t="s">
        <v>211</v>
      </c>
      <c r="BJ369" s="4">
        <v>0.9</v>
      </c>
      <c r="BK369" s="4">
        <v>0.5</v>
      </c>
      <c r="BL369" s="4">
        <v>0.6</v>
      </c>
      <c r="BM369" s="4">
        <v>0.3</v>
      </c>
      <c r="BN369" s="4">
        <v>889.89453100000003</v>
      </c>
      <c r="BO369" s="4">
        <v>8.9999999999999993E-3</v>
      </c>
      <c r="BQ369" s="4" t="s">
        <v>211</v>
      </c>
      <c r="BR369" s="4">
        <v>0.9</v>
      </c>
      <c r="BS369" s="4">
        <v>0.5</v>
      </c>
      <c r="BT369" s="4">
        <v>0.6</v>
      </c>
      <c r="BU369" s="4">
        <v>0.02</v>
      </c>
      <c r="BV369" s="6">
        <v>742.197632</v>
      </c>
      <c r="BW369" s="4">
        <v>1.4999999999999999E-2</v>
      </c>
      <c r="BX369" s="5"/>
      <c r="BY369" s="5"/>
      <c r="BZ369" s="5"/>
      <c r="CA369" s="5"/>
    </row>
    <row r="370" spans="1:79" x14ac:dyDescent="0.3">
      <c r="A370" s="4" t="s">
        <v>212</v>
      </c>
      <c r="B370" s="4">
        <v>0.9</v>
      </c>
      <c r="C370" s="4">
        <v>0.5</v>
      </c>
      <c r="D370" s="4">
        <v>0.6</v>
      </c>
      <c r="E370" s="4">
        <v>0.3</v>
      </c>
      <c r="F370" s="6">
        <v>622.45550500000002</v>
      </c>
      <c r="G370" s="4">
        <v>2E-3</v>
      </c>
      <c r="I370" s="4" t="s">
        <v>212</v>
      </c>
      <c r="J370" s="4">
        <v>0.9</v>
      </c>
      <c r="K370" s="4">
        <v>0.5</v>
      </c>
      <c r="L370" s="4">
        <v>0.6</v>
      </c>
      <c r="M370" s="4">
        <v>0.55000000000000004</v>
      </c>
      <c r="N370" s="4">
        <v>687.16815199999996</v>
      </c>
      <c r="O370" s="4">
        <v>1.0999999999999999E-2</v>
      </c>
      <c r="P370" s="5"/>
      <c r="Q370" s="5"/>
      <c r="R370" s="5"/>
      <c r="S370" s="5"/>
      <c r="U370" s="4" t="s">
        <v>212</v>
      </c>
      <c r="V370" s="4">
        <v>0.9</v>
      </c>
      <c r="W370" s="4">
        <v>0.5</v>
      </c>
      <c r="X370" s="4">
        <v>0.6</v>
      </c>
      <c r="Y370" s="4">
        <v>0.3</v>
      </c>
      <c r="Z370" s="6">
        <v>610.40472399999999</v>
      </c>
      <c r="AA370" s="4">
        <v>2E-3</v>
      </c>
      <c r="AC370" s="4" t="s">
        <v>212</v>
      </c>
      <c r="AD370" s="4">
        <v>0.9</v>
      </c>
      <c r="AE370" s="4">
        <v>0.5</v>
      </c>
      <c r="AF370" s="4">
        <v>0.6</v>
      </c>
      <c r="AG370" s="4">
        <v>0.25</v>
      </c>
      <c r="AH370" s="4">
        <v>613.61560099999997</v>
      </c>
      <c r="AI370" s="4">
        <v>1.6E-2</v>
      </c>
      <c r="AJ370" s="5"/>
      <c r="AK370" s="5"/>
      <c r="AL370" s="5"/>
      <c r="AM370" s="5"/>
      <c r="AO370" s="4" t="s">
        <v>213</v>
      </c>
      <c r="AP370" s="4">
        <v>0.9</v>
      </c>
      <c r="AQ370" s="4">
        <v>0.5</v>
      </c>
      <c r="AR370" s="4">
        <v>0.6</v>
      </c>
      <c r="AS370" s="4">
        <v>0.3</v>
      </c>
      <c r="AT370" s="6">
        <v>945.67816200000004</v>
      </c>
      <c r="AU370" s="4">
        <v>8.0000000000000002E-3</v>
      </c>
      <c r="AW370" s="4" t="s">
        <v>213</v>
      </c>
      <c r="AX370" s="4">
        <v>0.9</v>
      </c>
      <c r="AY370" s="4">
        <v>0.5</v>
      </c>
      <c r="AZ370" s="4">
        <v>0.6</v>
      </c>
      <c r="BA370" s="4">
        <v>0.59</v>
      </c>
      <c r="BB370" s="4">
        <v>1070.981567</v>
      </c>
      <c r="BC370" s="4">
        <v>2.5999999999999999E-2</v>
      </c>
      <c r="BD370" s="5"/>
      <c r="BE370" s="5"/>
      <c r="BF370" s="5"/>
      <c r="BG370" s="5"/>
      <c r="BI370" s="4" t="s">
        <v>213</v>
      </c>
      <c r="BJ370" s="4">
        <v>0.9</v>
      </c>
      <c r="BK370" s="4">
        <v>0.5</v>
      </c>
      <c r="BL370" s="4">
        <v>0.6</v>
      </c>
      <c r="BM370" s="4">
        <v>0.3</v>
      </c>
      <c r="BN370" s="6">
        <v>925.47296100000005</v>
      </c>
      <c r="BO370" s="4">
        <v>0.01</v>
      </c>
      <c r="BQ370" s="4" t="s">
        <v>213</v>
      </c>
      <c r="BR370" s="4">
        <v>0.9</v>
      </c>
      <c r="BS370" s="4">
        <v>0.5</v>
      </c>
      <c r="BT370" s="4">
        <v>0.6</v>
      </c>
      <c r="BU370" s="4">
        <v>0.38</v>
      </c>
      <c r="BV370" s="4">
        <v>989.40112299999998</v>
      </c>
      <c r="BW370" s="4">
        <v>2.4E-2</v>
      </c>
      <c r="BX370" s="5"/>
      <c r="BY370" s="5"/>
      <c r="BZ370" s="5"/>
      <c r="CA370" s="5"/>
    </row>
    <row r="371" spans="1:79" x14ac:dyDescent="0.3">
      <c r="A371" s="4" t="s">
        <v>214</v>
      </c>
      <c r="B371" s="4">
        <v>0.9</v>
      </c>
      <c r="C371" s="4">
        <v>0.5</v>
      </c>
      <c r="D371" s="4">
        <v>0.6</v>
      </c>
      <c r="E371" s="4">
        <v>0.3</v>
      </c>
      <c r="F371" s="6">
        <v>646.69726600000001</v>
      </c>
      <c r="G371" s="4">
        <v>2E-3</v>
      </c>
      <c r="I371" s="4" t="s">
        <v>214</v>
      </c>
      <c r="J371" s="4">
        <v>0.9</v>
      </c>
      <c r="K371" s="4">
        <v>0.5</v>
      </c>
      <c r="L371" s="4">
        <v>0.6</v>
      </c>
      <c r="M371" s="4">
        <v>0.95</v>
      </c>
      <c r="N371" s="4">
        <v>757.880493</v>
      </c>
      <c r="O371" s="4">
        <v>1.2999999999999999E-2</v>
      </c>
      <c r="P371" s="5"/>
      <c r="Q371" s="5"/>
      <c r="R371" s="5"/>
      <c r="S371" s="5"/>
      <c r="U371" s="4" t="s">
        <v>214</v>
      </c>
      <c r="V371" s="4">
        <v>0.9</v>
      </c>
      <c r="W371" s="4">
        <v>0.5</v>
      </c>
      <c r="X371" s="4">
        <v>0.6</v>
      </c>
      <c r="Y371" s="4">
        <v>0.3</v>
      </c>
      <c r="Z371" s="6">
        <v>606.00457800000004</v>
      </c>
      <c r="AA371" s="4">
        <v>3.0000000000000001E-3</v>
      </c>
      <c r="AC371" s="4" t="s">
        <v>214</v>
      </c>
      <c r="AD371" s="4">
        <v>0.9</v>
      </c>
      <c r="AE371" s="4">
        <v>0.5</v>
      </c>
      <c r="AF371" s="4">
        <v>0.6</v>
      </c>
      <c r="AG371" s="4">
        <v>0.4</v>
      </c>
      <c r="AH371" s="4">
        <v>663.28881799999999</v>
      </c>
      <c r="AI371" s="4">
        <v>1.2E-2</v>
      </c>
      <c r="AJ371" s="5"/>
      <c r="AK371" s="5"/>
      <c r="AL371" s="5"/>
      <c r="AM371" s="5"/>
      <c r="AO371" s="4" t="s">
        <v>215</v>
      </c>
      <c r="AP371" s="4">
        <v>0.9</v>
      </c>
      <c r="AQ371" s="4">
        <v>0.5</v>
      </c>
      <c r="AR371" s="4">
        <v>0.6</v>
      </c>
      <c r="AS371" s="4">
        <v>0.3</v>
      </c>
      <c r="AT371" s="4">
        <v>1019.388977</v>
      </c>
      <c r="AU371" s="4">
        <v>1.0999999999999999E-2</v>
      </c>
      <c r="AW371" s="4" t="s">
        <v>215</v>
      </c>
      <c r="AX371" s="4">
        <v>0.9</v>
      </c>
      <c r="AY371" s="4">
        <v>0.5</v>
      </c>
      <c r="AZ371" s="4">
        <v>0.6</v>
      </c>
      <c r="BA371" s="4">
        <v>0.12</v>
      </c>
      <c r="BB371" s="6">
        <v>912.89209000000005</v>
      </c>
      <c r="BC371" s="4">
        <v>3.5999999999999997E-2</v>
      </c>
      <c r="BD371" s="5"/>
      <c r="BE371" s="5"/>
      <c r="BF371" s="5"/>
      <c r="BG371" s="5"/>
      <c r="BI371" s="4" t="s">
        <v>215</v>
      </c>
      <c r="BJ371" s="4">
        <v>0.9</v>
      </c>
      <c r="BK371" s="4">
        <v>0.5</v>
      </c>
      <c r="BL371" s="4">
        <v>0.6</v>
      </c>
      <c r="BM371" s="4">
        <v>0.3</v>
      </c>
      <c r="BN371" s="6">
        <v>997.26342799999998</v>
      </c>
      <c r="BO371" s="4">
        <v>1.2E-2</v>
      </c>
      <c r="BQ371" s="4" t="s">
        <v>215</v>
      </c>
      <c r="BR371" s="4">
        <v>0.9</v>
      </c>
      <c r="BS371" s="4">
        <v>0.5</v>
      </c>
      <c r="BT371" s="4">
        <v>0.6</v>
      </c>
      <c r="BU371" s="4">
        <v>0.54</v>
      </c>
      <c r="BV371" s="4">
        <v>1146.8811040000001</v>
      </c>
      <c r="BW371" s="4">
        <v>3.5000000000000003E-2</v>
      </c>
      <c r="BX371" s="5"/>
      <c r="BY371" s="5"/>
      <c r="BZ371" s="5"/>
      <c r="CA371" s="5"/>
    </row>
    <row r="372" spans="1:79" x14ac:dyDescent="0.3">
      <c r="A372" s="4" t="s">
        <v>216</v>
      </c>
      <c r="B372" s="4">
        <v>0.9</v>
      </c>
      <c r="C372" s="4">
        <v>0.5</v>
      </c>
      <c r="D372" s="4">
        <v>0.6</v>
      </c>
      <c r="E372" s="4">
        <v>0.3</v>
      </c>
      <c r="F372" s="4">
        <v>604.108521</v>
      </c>
      <c r="G372" s="4">
        <v>2E-3</v>
      </c>
      <c r="I372" s="4" t="s">
        <v>216</v>
      </c>
      <c r="J372" s="4">
        <v>0.9</v>
      </c>
      <c r="K372" s="4">
        <v>0.5</v>
      </c>
      <c r="L372" s="4">
        <v>0.6</v>
      </c>
      <c r="M372" s="4">
        <v>7.0000000000000007E-2</v>
      </c>
      <c r="N372" s="6">
        <v>570.18603499999995</v>
      </c>
      <c r="O372" s="4">
        <v>2.3E-2</v>
      </c>
      <c r="P372" s="5"/>
      <c r="Q372" s="5"/>
      <c r="R372" s="5"/>
      <c r="S372" s="5"/>
      <c r="U372" s="4" t="s">
        <v>216</v>
      </c>
      <c r="V372" s="4">
        <v>0.9</v>
      </c>
      <c r="W372" s="4">
        <v>0.5</v>
      </c>
      <c r="X372" s="4">
        <v>0.6</v>
      </c>
      <c r="Y372" s="4">
        <v>0.3</v>
      </c>
      <c r="Z372" s="6">
        <v>589.09912099999997</v>
      </c>
      <c r="AA372" s="4">
        <v>3.0000000000000001E-3</v>
      </c>
      <c r="AC372" s="4" t="s">
        <v>216</v>
      </c>
      <c r="AD372" s="4">
        <v>0.9</v>
      </c>
      <c r="AE372" s="4">
        <v>0.5</v>
      </c>
      <c r="AF372" s="4">
        <v>0.6</v>
      </c>
      <c r="AG372" s="4">
        <v>0.48</v>
      </c>
      <c r="AH372" s="4">
        <v>629.43811000000005</v>
      </c>
      <c r="AI372" s="4">
        <v>3.4000000000000002E-2</v>
      </c>
      <c r="AJ372" s="5"/>
      <c r="AK372" s="5"/>
      <c r="AL372" s="5"/>
      <c r="AM372" s="5"/>
      <c r="AO372" s="4" t="s">
        <v>217</v>
      </c>
      <c r="AP372" s="4">
        <v>0.9</v>
      </c>
      <c r="AQ372" s="4">
        <v>0.5</v>
      </c>
      <c r="AR372" s="4">
        <v>0.6</v>
      </c>
      <c r="AS372" s="4">
        <v>0.3</v>
      </c>
      <c r="AT372" s="6">
        <v>1055.928467</v>
      </c>
      <c r="AU372" s="4">
        <v>0.01</v>
      </c>
      <c r="AW372" s="4" t="s">
        <v>217</v>
      </c>
      <c r="AX372" s="4">
        <v>0.9</v>
      </c>
      <c r="AY372" s="4">
        <v>0.5</v>
      </c>
      <c r="AZ372" s="4">
        <v>0.6</v>
      </c>
      <c r="BA372" s="4">
        <v>0.6</v>
      </c>
      <c r="BB372" s="4">
        <v>1186.633057</v>
      </c>
      <c r="BC372" s="4">
        <v>5.5E-2</v>
      </c>
      <c r="BD372" s="5"/>
      <c r="BE372" s="5"/>
      <c r="BF372" s="5"/>
      <c r="BG372" s="5"/>
      <c r="BI372" s="4" t="s">
        <v>217</v>
      </c>
      <c r="BJ372" s="4">
        <v>0.9</v>
      </c>
      <c r="BK372" s="4">
        <v>0.5</v>
      </c>
      <c r="BL372" s="4">
        <v>0.6</v>
      </c>
      <c r="BM372" s="4">
        <v>0.3</v>
      </c>
      <c r="BN372" s="4">
        <v>1030.3835449999999</v>
      </c>
      <c r="BO372" s="4">
        <v>1.7000000000000001E-2</v>
      </c>
      <c r="BQ372" s="4" t="s">
        <v>217</v>
      </c>
      <c r="BR372" s="4">
        <v>0.9</v>
      </c>
      <c r="BS372" s="4">
        <v>0.5</v>
      </c>
      <c r="BT372" s="4">
        <v>0.6</v>
      </c>
      <c r="BU372" s="4">
        <v>0.08</v>
      </c>
      <c r="BV372" s="6">
        <v>906.47790499999996</v>
      </c>
      <c r="BW372" s="4">
        <v>1.4999999999999999E-2</v>
      </c>
      <c r="BX372" s="5"/>
      <c r="BY372" s="5"/>
      <c r="BZ372" s="5"/>
      <c r="CA372" s="5"/>
    </row>
    <row r="373" spans="1:79" x14ac:dyDescent="0.3">
      <c r="A373" s="4" t="s">
        <v>218</v>
      </c>
      <c r="B373" s="4">
        <v>0.9</v>
      </c>
      <c r="C373" s="4">
        <v>0.5</v>
      </c>
      <c r="D373" s="4">
        <v>0.6</v>
      </c>
      <c r="E373" s="4">
        <v>0.3</v>
      </c>
      <c r="F373" s="6">
        <v>665.62249799999995</v>
      </c>
      <c r="G373" s="4">
        <v>3.0000000000000001E-3</v>
      </c>
      <c r="I373" s="4" t="s">
        <v>218</v>
      </c>
      <c r="J373" s="4">
        <v>0.9</v>
      </c>
      <c r="K373" s="4">
        <v>0.5</v>
      </c>
      <c r="L373" s="4">
        <v>0.6</v>
      </c>
      <c r="M373" s="4">
        <v>0.43</v>
      </c>
      <c r="N373" s="4">
        <v>709.50604199999998</v>
      </c>
      <c r="O373" s="4">
        <v>2.1000000000000001E-2</v>
      </c>
      <c r="P373" s="5"/>
      <c r="Q373" s="5"/>
      <c r="R373" s="5"/>
      <c r="S373" s="5"/>
      <c r="U373" s="4" t="s">
        <v>218</v>
      </c>
      <c r="V373" s="4">
        <v>0.9</v>
      </c>
      <c r="W373" s="4">
        <v>0.5</v>
      </c>
      <c r="X373" s="4">
        <v>0.6</v>
      </c>
      <c r="Y373" s="4">
        <v>0.3</v>
      </c>
      <c r="Z373" s="6">
        <v>655.576233</v>
      </c>
      <c r="AA373" s="4">
        <v>2E-3</v>
      </c>
      <c r="AC373" s="4" t="s">
        <v>218</v>
      </c>
      <c r="AD373" s="4">
        <v>0.9</v>
      </c>
      <c r="AE373" s="4">
        <v>0.5</v>
      </c>
      <c r="AF373" s="4">
        <v>0.6</v>
      </c>
      <c r="AG373" s="4">
        <v>0.72</v>
      </c>
      <c r="AH373" s="4">
        <v>751.56616199999996</v>
      </c>
      <c r="AI373" s="4">
        <v>0.03</v>
      </c>
      <c r="AJ373" s="5"/>
      <c r="AK373" s="5"/>
      <c r="AL373" s="5"/>
      <c r="AM373" s="5"/>
      <c r="AO373" s="4" t="s">
        <v>219</v>
      </c>
      <c r="AP373" s="4">
        <v>0.9</v>
      </c>
      <c r="AQ373" s="4">
        <v>0.5</v>
      </c>
      <c r="AR373" s="4">
        <v>0.6</v>
      </c>
      <c r="AS373" s="4">
        <v>0.3</v>
      </c>
      <c r="AT373" s="6">
        <v>1048.2973629999999</v>
      </c>
      <c r="AU373" s="4">
        <v>8.9999999999999993E-3</v>
      </c>
      <c r="AW373" s="4" t="s">
        <v>219</v>
      </c>
      <c r="AX373" s="4">
        <v>0.9</v>
      </c>
      <c r="AY373" s="4">
        <v>0.5</v>
      </c>
      <c r="AZ373" s="4">
        <v>0.6</v>
      </c>
      <c r="BA373" s="4">
        <v>0.61</v>
      </c>
      <c r="BB373" s="4">
        <v>1222.0756839999999</v>
      </c>
      <c r="BC373" s="4">
        <v>5.0999999999999997E-2</v>
      </c>
      <c r="BD373" s="5"/>
      <c r="BE373" s="5"/>
      <c r="BF373" s="5"/>
      <c r="BG373" s="5"/>
      <c r="BI373" s="4" t="s">
        <v>219</v>
      </c>
      <c r="BJ373" s="4">
        <v>0.9</v>
      </c>
      <c r="BK373" s="4">
        <v>0.5</v>
      </c>
      <c r="BL373" s="4">
        <v>0.6</v>
      </c>
      <c r="BM373" s="4">
        <v>0.3</v>
      </c>
      <c r="BN373" s="6">
        <v>1044.0557859999999</v>
      </c>
      <c r="BO373" s="4">
        <v>1.2999999999999999E-2</v>
      </c>
      <c r="BQ373" s="4" t="s">
        <v>219</v>
      </c>
      <c r="BR373" s="4">
        <v>0.9</v>
      </c>
      <c r="BS373" s="4">
        <v>0.5</v>
      </c>
      <c r="BT373" s="4">
        <v>0.6</v>
      </c>
      <c r="BU373" s="4">
        <v>0.8</v>
      </c>
      <c r="BV373" s="4">
        <v>1249.4291989999999</v>
      </c>
      <c r="BW373" s="4">
        <v>2.1999999999999999E-2</v>
      </c>
      <c r="BX373" s="5"/>
      <c r="BY373" s="5"/>
      <c r="BZ373" s="5"/>
      <c r="CA373" s="5"/>
    </row>
    <row r="374" spans="1:79" x14ac:dyDescent="0.3">
      <c r="A374" s="4" t="s">
        <v>220</v>
      </c>
      <c r="B374" s="4">
        <v>0.9</v>
      </c>
      <c r="C374" s="4">
        <v>0.5</v>
      </c>
      <c r="D374" s="4">
        <v>0.6</v>
      </c>
      <c r="E374" s="4">
        <v>0.3</v>
      </c>
      <c r="F374" s="6">
        <v>685.40863000000002</v>
      </c>
      <c r="G374" s="4">
        <v>3.0000000000000001E-3</v>
      </c>
      <c r="I374" s="4" t="s">
        <v>220</v>
      </c>
      <c r="J374" s="4">
        <v>0.9</v>
      </c>
      <c r="K374" s="4">
        <v>0.5</v>
      </c>
      <c r="L374" s="4">
        <v>0.6</v>
      </c>
      <c r="M374" s="4">
        <v>0.75</v>
      </c>
      <c r="N374" s="4">
        <v>803.02844200000004</v>
      </c>
      <c r="O374" s="4">
        <v>0.04</v>
      </c>
      <c r="P374" s="5"/>
      <c r="Q374" s="5"/>
      <c r="R374" s="5"/>
      <c r="S374" s="5"/>
      <c r="U374" s="4" t="s">
        <v>220</v>
      </c>
      <c r="V374" s="4">
        <v>0.9</v>
      </c>
      <c r="W374" s="4">
        <v>0.5</v>
      </c>
      <c r="X374" s="4">
        <v>0.6</v>
      </c>
      <c r="Y374" s="4">
        <v>0.3</v>
      </c>
      <c r="Z374" s="6">
        <v>667.96423300000004</v>
      </c>
      <c r="AA374" s="4">
        <v>4.0000000000000001E-3</v>
      </c>
      <c r="AC374" s="4" t="s">
        <v>220</v>
      </c>
      <c r="AD374" s="4">
        <v>0.9</v>
      </c>
      <c r="AE374" s="4">
        <v>0.5</v>
      </c>
      <c r="AF374" s="4">
        <v>0.6</v>
      </c>
      <c r="AG374" s="4">
        <v>0.75</v>
      </c>
      <c r="AH374" s="4">
        <v>840.67126499999995</v>
      </c>
      <c r="AI374" s="4">
        <v>1.7999999999999999E-2</v>
      </c>
      <c r="AJ374" s="5"/>
      <c r="AK374" s="5"/>
      <c r="AL374" s="5"/>
      <c r="AM374" s="5"/>
      <c r="AO374" s="4" t="s">
        <v>221</v>
      </c>
      <c r="AP374" s="4">
        <v>0.9</v>
      </c>
      <c r="AQ374" s="4">
        <v>0.5</v>
      </c>
      <c r="AR374" s="4">
        <v>0.6</v>
      </c>
      <c r="AS374" s="4">
        <v>0.3</v>
      </c>
      <c r="AT374" s="6">
        <v>994.970642</v>
      </c>
      <c r="AU374" s="4">
        <v>8.9999999999999993E-3</v>
      </c>
      <c r="AW374" s="4" t="s">
        <v>221</v>
      </c>
      <c r="AX374" s="4">
        <v>0.9</v>
      </c>
      <c r="AY374" s="4">
        <v>0.5</v>
      </c>
      <c r="AZ374" s="4">
        <v>0.6</v>
      </c>
      <c r="BA374" s="4">
        <v>0.47</v>
      </c>
      <c r="BB374" s="4">
        <v>1068.7384030000001</v>
      </c>
      <c r="BC374" s="4">
        <v>2.5999999999999999E-2</v>
      </c>
      <c r="BD374" s="5"/>
      <c r="BE374" s="5"/>
      <c r="BF374" s="5"/>
      <c r="BG374" s="5"/>
      <c r="BI374" s="4" t="s">
        <v>221</v>
      </c>
      <c r="BJ374" s="4">
        <v>0.9</v>
      </c>
      <c r="BK374" s="4">
        <v>0.5</v>
      </c>
      <c r="BL374" s="4">
        <v>0.6</v>
      </c>
      <c r="BM374" s="4">
        <v>0.3</v>
      </c>
      <c r="BN374" s="4">
        <v>974.99578899999995</v>
      </c>
      <c r="BO374" s="4">
        <v>1.0999999999999999E-2</v>
      </c>
      <c r="BQ374" s="4" t="s">
        <v>221</v>
      </c>
      <c r="BR374" s="4">
        <v>0.9</v>
      </c>
      <c r="BS374" s="4">
        <v>0.5</v>
      </c>
      <c r="BT374" s="4">
        <v>0.6</v>
      </c>
      <c r="BU374" s="4">
        <v>0.13</v>
      </c>
      <c r="BV374" s="6">
        <v>850.92089799999997</v>
      </c>
      <c r="BW374" s="4">
        <v>0.02</v>
      </c>
      <c r="BX374" s="5"/>
      <c r="BY374" s="5"/>
      <c r="BZ374" s="5"/>
      <c r="CA374" s="5"/>
    </row>
    <row r="375" spans="1:79" x14ac:dyDescent="0.3">
      <c r="A375" s="4" t="s">
        <v>222</v>
      </c>
      <c r="B375" s="4">
        <v>0.9</v>
      </c>
      <c r="C375" s="4">
        <v>0.5</v>
      </c>
      <c r="D375" s="4">
        <v>0.6</v>
      </c>
      <c r="E375" s="4">
        <v>0.3</v>
      </c>
      <c r="F375" s="6">
        <v>687.29913299999998</v>
      </c>
      <c r="G375" s="4">
        <v>3.0000000000000001E-3</v>
      </c>
      <c r="I375" s="4" t="s">
        <v>222</v>
      </c>
      <c r="J375" s="4">
        <v>0.9</v>
      </c>
      <c r="K375" s="4">
        <v>0.5</v>
      </c>
      <c r="L375" s="4">
        <v>0.6</v>
      </c>
      <c r="M375" s="4">
        <v>0.67</v>
      </c>
      <c r="N375" s="4">
        <v>810.93310499999995</v>
      </c>
      <c r="O375" s="4">
        <v>9.6000000000000002E-2</v>
      </c>
      <c r="P375" s="5"/>
      <c r="Q375" s="5"/>
      <c r="R375" s="5"/>
      <c r="S375" s="5"/>
      <c r="U375" s="4" t="s">
        <v>222</v>
      </c>
      <c r="V375" s="4">
        <v>0.9</v>
      </c>
      <c r="W375" s="4">
        <v>0.5</v>
      </c>
      <c r="X375" s="4">
        <v>0.6</v>
      </c>
      <c r="Y375" s="4">
        <v>0.3</v>
      </c>
      <c r="Z375" s="6">
        <v>685.38366699999995</v>
      </c>
      <c r="AA375" s="4">
        <v>5.0000000000000001E-3</v>
      </c>
      <c r="AC375" s="4" t="s">
        <v>222</v>
      </c>
      <c r="AD375" s="4">
        <v>0.9</v>
      </c>
      <c r="AE375" s="4">
        <v>0.5</v>
      </c>
      <c r="AF375" s="4">
        <v>0.6</v>
      </c>
      <c r="AG375" s="4">
        <v>0.88</v>
      </c>
      <c r="AH375" s="4">
        <v>826.48699999999997</v>
      </c>
      <c r="AI375" s="4">
        <v>2.1000000000000001E-2</v>
      </c>
      <c r="AJ375" s="5"/>
      <c r="AK375" s="5"/>
      <c r="AL375" s="5"/>
      <c r="AM375" s="5"/>
      <c r="AO375" s="4" t="s">
        <v>223</v>
      </c>
      <c r="AP375" s="4">
        <v>0.9</v>
      </c>
      <c r="AQ375" s="4">
        <v>0.5</v>
      </c>
      <c r="AR375" s="4">
        <v>0.6</v>
      </c>
      <c r="AS375" s="4">
        <v>0.3</v>
      </c>
      <c r="AT375" s="6">
        <v>1091.0042719999999</v>
      </c>
      <c r="AU375" s="4">
        <v>1.2999999999999999E-2</v>
      </c>
      <c r="AW375" s="4" t="s">
        <v>223</v>
      </c>
      <c r="AX375" s="4">
        <v>0.9</v>
      </c>
      <c r="AY375" s="4">
        <v>0.5</v>
      </c>
      <c r="AZ375" s="4">
        <v>0.6</v>
      </c>
      <c r="BA375" s="4">
        <v>0.92</v>
      </c>
      <c r="BB375" s="4">
        <v>1296.890991</v>
      </c>
      <c r="BC375" s="4">
        <v>1.7999999999999999E-2</v>
      </c>
      <c r="BD375" s="5"/>
      <c r="BE375" s="5"/>
      <c r="BF375" s="5"/>
      <c r="BG375" s="5"/>
      <c r="BI375" s="4" t="s">
        <v>223</v>
      </c>
      <c r="BJ375" s="4">
        <v>0.9</v>
      </c>
      <c r="BK375" s="4">
        <v>0.5</v>
      </c>
      <c r="BL375" s="4">
        <v>0.6</v>
      </c>
      <c r="BM375" s="4">
        <v>0.3</v>
      </c>
      <c r="BN375" s="6">
        <v>1078.3093260000001</v>
      </c>
      <c r="BO375" s="4">
        <v>2.5999999999999999E-2</v>
      </c>
      <c r="BQ375" s="4" t="s">
        <v>223</v>
      </c>
      <c r="BR375" s="4">
        <v>0.9</v>
      </c>
      <c r="BS375" s="4">
        <v>0.5</v>
      </c>
      <c r="BT375" s="4">
        <v>0.6</v>
      </c>
      <c r="BU375" s="4">
        <v>0.61</v>
      </c>
      <c r="BV375" s="4">
        <v>1210.274048</v>
      </c>
      <c r="BW375" s="4">
        <v>2.7E-2</v>
      </c>
      <c r="BX375" s="5"/>
      <c r="BY375" s="5"/>
      <c r="BZ375" s="5"/>
      <c r="CA375" s="5"/>
    </row>
    <row r="376" spans="1:79" x14ac:dyDescent="0.3">
      <c r="A376" s="4" t="s">
        <v>224</v>
      </c>
      <c r="B376" s="4">
        <v>0.9</v>
      </c>
      <c r="C376" s="4">
        <v>0.5</v>
      </c>
      <c r="D376" s="4">
        <v>0.6</v>
      </c>
      <c r="E376" s="4">
        <v>0.3</v>
      </c>
      <c r="F376" s="6">
        <v>728.85180700000001</v>
      </c>
      <c r="G376" s="4">
        <v>3.0000000000000001E-3</v>
      </c>
      <c r="I376" s="4" t="s">
        <v>224</v>
      </c>
      <c r="J376" s="4">
        <v>0.9</v>
      </c>
      <c r="K376" s="4">
        <v>0.5</v>
      </c>
      <c r="L376" s="4">
        <v>0.6</v>
      </c>
      <c r="M376" s="4">
        <v>0.75</v>
      </c>
      <c r="N376" s="4">
        <v>872.43811000000005</v>
      </c>
      <c r="O376" s="4">
        <v>2.1000000000000001E-2</v>
      </c>
      <c r="P376" s="5"/>
      <c r="Q376" s="5"/>
      <c r="R376" s="5"/>
      <c r="S376" s="5"/>
      <c r="U376" s="4" t="s">
        <v>224</v>
      </c>
      <c r="V376" s="4">
        <v>0.9</v>
      </c>
      <c r="W376" s="4">
        <v>0.5</v>
      </c>
      <c r="X376" s="4">
        <v>0.6</v>
      </c>
      <c r="Y376" s="4">
        <v>0.3</v>
      </c>
      <c r="Z376" s="6">
        <v>736.25665300000003</v>
      </c>
      <c r="AA376" s="4">
        <v>5.0000000000000001E-3</v>
      </c>
      <c r="AC376" s="4" t="s">
        <v>224</v>
      </c>
      <c r="AD376" s="4">
        <v>0.9</v>
      </c>
      <c r="AE376" s="4">
        <v>0.5</v>
      </c>
      <c r="AF376" s="4">
        <v>0.6</v>
      </c>
      <c r="AG376" s="4">
        <v>0.67</v>
      </c>
      <c r="AH376" s="4">
        <v>850.74627699999996</v>
      </c>
      <c r="AI376" s="4">
        <v>4.8000000000000001E-2</v>
      </c>
      <c r="AJ376" s="5"/>
      <c r="AK376" s="5"/>
      <c r="AL376" s="5"/>
      <c r="AM376" s="5"/>
      <c r="AO376" s="4" t="s">
        <v>225</v>
      </c>
      <c r="AP376" s="4">
        <v>0.9</v>
      </c>
      <c r="AQ376" s="4">
        <v>0.5</v>
      </c>
      <c r="AR376" s="4">
        <v>0.6</v>
      </c>
      <c r="AS376" s="4">
        <v>0.3</v>
      </c>
      <c r="AT376" s="4">
        <v>1011.3331910000001</v>
      </c>
      <c r="AU376" s="4">
        <v>1.0999999999999999E-2</v>
      </c>
      <c r="AW376" s="4" t="s">
        <v>225</v>
      </c>
      <c r="AX376" s="4">
        <v>0.9</v>
      </c>
      <c r="AY376" s="4">
        <v>0.5</v>
      </c>
      <c r="AZ376" s="4">
        <v>0.6</v>
      </c>
      <c r="BA376" s="4">
        <v>0.13</v>
      </c>
      <c r="BB376" s="6">
        <v>906.89404300000001</v>
      </c>
      <c r="BC376" s="4">
        <v>2.8000000000000001E-2</v>
      </c>
      <c r="BD376" s="5"/>
      <c r="BE376" s="5"/>
      <c r="BF376" s="5"/>
      <c r="BG376" s="5"/>
      <c r="BI376" s="4" t="s">
        <v>225</v>
      </c>
      <c r="BJ376" s="4">
        <v>0.9</v>
      </c>
      <c r="BK376" s="4">
        <v>0.5</v>
      </c>
      <c r="BL376" s="4">
        <v>0.6</v>
      </c>
      <c r="BM376" s="4">
        <v>0.3</v>
      </c>
      <c r="BN376" s="4">
        <v>981.44872999999995</v>
      </c>
      <c r="BO376" s="4">
        <v>1.0999999999999999E-2</v>
      </c>
      <c r="BQ376" s="4" t="s">
        <v>225</v>
      </c>
      <c r="BR376" s="4">
        <v>0.9</v>
      </c>
      <c r="BS376" s="4">
        <v>0.5</v>
      </c>
      <c r="BT376" s="4">
        <v>0.6</v>
      </c>
      <c r="BU376" s="4">
        <v>0.11</v>
      </c>
      <c r="BV376" s="6">
        <v>865.36956799999996</v>
      </c>
      <c r="BW376" s="4">
        <v>1.6E-2</v>
      </c>
      <c r="BX376" s="5"/>
      <c r="BY376" s="5"/>
      <c r="BZ376" s="5"/>
      <c r="CA376" s="5"/>
    </row>
    <row r="377" spans="1:79" x14ac:dyDescent="0.3">
      <c r="A377" s="4" t="s">
        <v>226</v>
      </c>
      <c r="B377" s="4">
        <v>0.9</v>
      </c>
      <c r="C377" s="4">
        <v>0.5</v>
      </c>
      <c r="D377" s="4">
        <v>0.6</v>
      </c>
      <c r="E377" s="4">
        <v>0.3</v>
      </c>
      <c r="F377" s="6">
        <v>744.40441899999996</v>
      </c>
      <c r="G377" s="4">
        <v>3.0000000000000001E-3</v>
      </c>
      <c r="I377" s="4" t="s">
        <v>226</v>
      </c>
      <c r="J377" s="4">
        <v>0.9</v>
      </c>
      <c r="K377" s="4">
        <v>0.5</v>
      </c>
      <c r="L377" s="4">
        <v>0.6</v>
      </c>
      <c r="M377" s="4">
        <v>0.32</v>
      </c>
      <c r="N377" s="4">
        <v>751.52801499999998</v>
      </c>
      <c r="O377" s="4">
        <v>3.1E-2</v>
      </c>
      <c r="P377" s="5"/>
      <c r="Q377" s="5"/>
      <c r="R377" s="5"/>
      <c r="S377" s="5"/>
      <c r="U377" s="4" t="s">
        <v>226</v>
      </c>
      <c r="V377" s="4">
        <v>0.9</v>
      </c>
      <c r="W377" s="4">
        <v>0.5</v>
      </c>
      <c r="X377" s="4">
        <v>0.6</v>
      </c>
      <c r="Y377" s="4">
        <v>0.3</v>
      </c>
      <c r="Z377" s="6">
        <v>714.59729000000004</v>
      </c>
      <c r="AA377" s="4">
        <v>3.0000000000000001E-3</v>
      </c>
      <c r="AC377" s="4" t="s">
        <v>226</v>
      </c>
      <c r="AD377" s="4">
        <v>0.9</v>
      </c>
      <c r="AE377" s="4">
        <v>0.5</v>
      </c>
      <c r="AF377" s="4">
        <v>0.6</v>
      </c>
      <c r="AG377" s="4">
        <v>0.53</v>
      </c>
      <c r="AH377" s="4">
        <v>800.09899900000005</v>
      </c>
      <c r="AI377" s="4">
        <v>1.2E-2</v>
      </c>
      <c r="AJ377" s="5"/>
      <c r="AK377" s="5"/>
      <c r="AL377" s="5"/>
      <c r="AM377" s="5"/>
      <c r="AO377" s="4" t="s">
        <v>227</v>
      </c>
      <c r="AP377" s="4">
        <v>0.9</v>
      </c>
      <c r="AQ377" s="4">
        <v>0.5</v>
      </c>
      <c r="AR377" s="4">
        <v>0.6</v>
      </c>
      <c r="AS377" s="4">
        <v>0.3</v>
      </c>
      <c r="AT377" s="4">
        <v>974.12176499999998</v>
      </c>
      <c r="AU377" s="4">
        <v>8.9999999999999993E-3</v>
      </c>
      <c r="AW377" s="4" t="s">
        <v>227</v>
      </c>
      <c r="AX377" s="4">
        <v>0.9</v>
      </c>
      <c r="AY377" s="4">
        <v>0.5</v>
      </c>
      <c r="AZ377" s="4">
        <v>0.6</v>
      </c>
      <c r="BA377" s="4">
        <v>0.4</v>
      </c>
      <c r="BB377" s="6">
        <v>1040.3572999999999</v>
      </c>
      <c r="BC377" s="4">
        <v>2.3E-2</v>
      </c>
      <c r="BD377" s="5"/>
      <c r="BE377" s="5"/>
      <c r="BF377" s="5"/>
      <c r="BG377" s="5"/>
      <c r="BI377" s="4" t="s">
        <v>227</v>
      </c>
      <c r="BJ377" s="4">
        <v>0.9</v>
      </c>
      <c r="BK377" s="4">
        <v>0.5</v>
      </c>
      <c r="BL377" s="4">
        <v>0.6</v>
      </c>
      <c r="BM377" s="4">
        <v>0.3</v>
      </c>
      <c r="BN377" s="4">
        <v>964.27978499999995</v>
      </c>
      <c r="BO377" s="4">
        <v>2.1999999999999999E-2</v>
      </c>
      <c r="BQ377" s="4" t="s">
        <v>227</v>
      </c>
      <c r="BR377" s="4">
        <v>0.9</v>
      </c>
      <c r="BS377" s="4">
        <v>0.5</v>
      </c>
      <c r="BT377" s="4">
        <v>0.6</v>
      </c>
      <c r="BU377" s="4">
        <v>0.23</v>
      </c>
      <c r="BV377" s="6">
        <v>931.54699700000003</v>
      </c>
      <c r="BW377" s="4">
        <v>2.1999999999999999E-2</v>
      </c>
      <c r="BX377" s="5"/>
      <c r="BY377" s="5"/>
      <c r="BZ377" s="5"/>
      <c r="CA377" s="5"/>
    </row>
    <row r="378" spans="1:79" x14ac:dyDescent="0.3">
      <c r="A378" s="4" t="s">
        <v>228</v>
      </c>
      <c r="B378" s="4">
        <v>0.9</v>
      </c>
      <c r="C378" s="4">
        <v>0.5</v>
      </c>
      <c r="D378" s="4">
        <v>0.6</v>
      </c>
      <c r="E378" s="4">
        <v>0.3</v>
      </c>
      <c r="F378" s="6">
        <v>642.85540800000001</v>
      </c>
      <c r="G378" s="4">
        <v>3.0000000000000001E-3</v>
      </c>
      <c r="I378" s="4" t="s">
        <v>228</v>
      </c>
      <c r="J378" s="4">
        <v>0.9</v>
      </c>
      <c r="K378" s="4">
        <v>0.5</v>
      </c>
      <c r="L378" s="4">
        <v>0.6</v>
      </c>
      <c r="M378" s="4">
        <v>0.48</v>
      </c>
      <c r="N378" s="4">
        <v>718.10858199999996</v>
      </c>
      <c r="O378" s="4">
        <v>1.7999999999999999E-2</v>
      </c>
      <c r="P378" s="5"/>
      <c r="Q378" s="5"/>
      <c r="R378" s="5"/>
      <c r="S378" s="5"/>
      <c r="U378" s="4" t="s">
        <v>228</v>
      </c>
      <c r="V378" s="4">
        <v>0.9</v>
      </c>
      <c r="W378" s="4">
        <v>0.5</v>
      </c>
      <c r="X378" s="4">
        <v>0.6</v>
      </c>
      <c r="Y378" s="4">
        <v>0.3</v>
      </c>
      <c r="Z378" s="6">
        <v>626.67498799999998</v>
      </c>
      <c r="AA378" s="4">
        <v>3.0000000000000001E-3</v>
      </c>
      <c r="AC378" s="4" t="s">
        <v>228</v>
      </c>
      <c r="AD378" s="4">
        <v>0.9</v>
      </c>
      <c r="AE378" s="4">
        <v>0.5</v>
      </c>
      <c r="AF378" s="4">
        <v>0.6</v>
      </c>
      <c r="AG378" s="4">
        <v>0.85</v>
      </c>
      <c r="AH378" s="4">
        <v>769.82702600000005</v>
      </c>
      <c r="AI378" s="4">
        <v>1.7999999999999999E-2</v>
      </c>
      <c r="AJ378" s="5"/>
      <c r="AK378" s="5"/>
      <c r="AL378" s="5"/>
      <c r="AM378" s="5"/>
      <c r="AO378" s="4" t="s">
        <v>229</v>
      </c>
      <c r="AP378" s="4">
        <v>0.9</v>
      </c>
      <c r="AQ378" s="4">
        <v>0.5</v>
      </c>
      <c r="AR378" s="4">
        <v>0.6</v>
      </c>
      <c r="AS378" s="4">
        <v>0.3</v>
      </c>
      <c r="AT378" s="4">
        <v>1094.27063</v>
      </c>
      <c r="AU378" s="4">
        <v>1.0999999999999999E-2</v>
      </c>
      <c r="AW378" s="4" t="s">
        <v>229</v>
      </c>
      <c r="AX378" s="4">
        <v>0.9</v>
      </c>
      <c r="AY378" s="4">
        <v>0.5</v>
      </c>
      <c r="AZ378" s="4">
        <v>0.6</v>
      </c>
      <c r="BA378" s="4">
        <v>0.37</v>
      </c>
      <c r="BB378" s="6">
        <v>1064.0792240000001</v>
      </c>
      <c r="BC378" s="4">
        <v>2.1000000000000001E-2</v>
      </c>
      <c r="BD378" s="5"/>
      <c r="BE378" s="5"/>
      <c r="BF378" s="5"/>
      <c r="BG378" s="5"/>
      <c r="BI378" s="4" t="s">
        <v>229</v>
      </c>
      <c r="BJ378" s="4">
        <v>0.9</v>
      </c>
      <c r="BK378" s="4">
        <v>0.5</v>
      </c>
      <c r="BL378" s="4">
        <v>0.6</v>
      </c>
      <c r="BM378" s="4">
        <v>0.3</v>
      </c>
      <c r="BN378" s="6">
        <v>1051.4392089999999</v>
      </c>
      <c r="BO378" s="4">
        <v>8.0000000000000002E-3</v>
      </c>
      <c r="BQ378" s="4" t="s">
        <v>229</v>
      </c>
      <c r="BR378" s="4">
        <v>0.9</v>
      </c>
      <c r="BS378" s="4">
        <v>0.5</v>
      </c>
      <c r="BT378" s="4">
        <v>0.6</v>
      </c>
      <c r="BU378" s="4">
        <v>0.87</v>
      </c>
      <c r="BV378" s="4">
        <v>1224.3005370000001</v>
      </c>
      <c r="BW378" s="4">
        <v>2.4E-2</v>
      </c>
      <c r="BX378" s="5"/>
      <c r="BY378" s="5"/>
      <c r="BZ378" s="5"/>
      <c r="CA378" s="5"/>
    </row>
    <row r="379" spans="1:79" x14ac:dyDescent="0.3">
      <c r="A379" s="4" t="s">
        <v>230</v>
      </c>
      <c r="B379" s="4">
        <v>0.9</v>
      </c>
      <c r="C379" s="4">
        <v>0.5</v>
      </c>
      <c r="D379" s="4">
        <v>0.6</v>
      </c>
      <c r="E379" s="4">
        <v>0.3</v>
      </c>
      <c r="F379" s="6">
        <v>719.83123799999998</v>
      </c>
      <c r="G379" s="4">
        <v>2E-3</v>
      </c>
      <c r="I379" s="4" t="s">
        <v>230</v>
      </c>
      <c r="J379" s="4">
        <v>0.9</v>
      </c>
      <c r="K379" s="4">
        <v>0.5</v>
      </c>
      <c r="L379" s="4">
        <v>0.6</v>
      </c>
      <c r="M379" s="4">
        <v>0.95</v>
      </c>
      <c r="N379" s="4">
        <v>941.57385299999999</v>
      </c>
      <c r="O379" s="4">
        <v>2.1000000000000001E-2</v>
      </c>
      <c r="P379" s="5"/>
      <c r="Q379" s="5"/>
      <c r="R379" s="5"/>
      <c r="S379" s="5"/>
      <c r="U379" s="4" t="s">
        <v>230</v>
      </c>
      <c r="V379" s="4">
        <v>0.9</v>
      </c>
      <c r="W379" s="4">
        <v>0.5</v>
      </c>
      <c r="X379" s="4">
        <v>0.6</v>
      </c>
      <c r="Y379" s="4">
        <v>0.3</v>
      </c>
      <c r="Z379" s="6">
        <v>724.73187299999995</v>
      </c>
      <c r="AA379" s="4">
        <v>4.0000000000000001E-3</v>
      </c>
      <c r="AC379" s="4" t="s">
        <v>230</v>
      </c>
      <c r="AD379" s="4">
        <v>0.9</v>
      </c>
      <c r="AE379" s="4">
        <v>0.5</v>
      </c>
      <c r="AF379" s="4">
        <v>0.6</v>
      </c>
      <c r="AG379" s="4">
        <v>0.98</v>
      </c>
      <c r="AH379" s="4">
        <v>933.00958300000002</v>
      </c>
      <c r="AI379" s="4">
        <v>1.2999999999999999E-2</v>
      </c>
      <c r="AJ379" s="5"/>
      <c r="AK379" s="5"/>
      <c r="AL379" s="5"/>
      <c r="AM379" s="5"/>
      <c r="AO379" s="4" t="s">
        <v>231</v>
      </c>
      <c r="AP379" s="4">
        <v>0.9</v>
      </c>
      <c r="AQ379" s="4">
        <v>0.5</v>
      </c>
      <c r="AR379" s="4">
        <v>0.6</v>
      </c>
      <c r="AS379" s="4">
        <v>0.3</v>
      </c>
      <c r="AT379" s="6">
        <v>968.31634499999996</v>
      </c>
      <c r="AU379" s="4">
        <v>8.0000000000000002E-3</v>
      </c>
      <c r="AW379" s="4" t="s">
        <v>231</v>
      </c>
      <c r="AX379" s="4">
        <v>0.9</v>
      </c>
      <c r="AY379" s="4">
        <v>0.5</v>
      </c>
      <c r="AZ379" s="4">
        <v>0.6</v>
      </c>
      <c r="BA379" s="4">
        <v>0.76</v>
      </c>
      <c r="BB379" s="4">
        <v>1155.006592</v>
      </c>
      <c r="BC379" s="4">
        <v>2.8000000000000001E-2</v>
      </c>
      <c r="BD379" s="5"/>
      <c r="BE379" s="5"/>
      <c r="BF379" s="5"/>
      <c r="BG379" s="5"/>
      <c r="BI379" s="4" t="s">
        <v>231</v>
      </c>
      <c r="BJ379" s="4">
        <v>0.9</v>
      </c>
      <c r="BK379" s="4">
        <v>0.5</v>
      </c>
      <c r="BL379" s="4">
        <v>0.6</v>
      </c>
      <c r="BM379" s="4">
        <v>0.3</v>
      </c>
      <c r="BN379" s="6">
        <v>946.57067900000004</v>
      </c>
      <c r="BO379" s="4">
        <v>8.0000000000000002E-3</v>
      </c>
      <c r="BQ379" s="4" t="s">
        <v>231</v>
      </c>
      <c r="BR379" s="4">
        <v>0.9</v>
      </c>
      <c r="BS379" s="4">
        <v>0.5</v>
      </c>
      <c r="BT379" s="4">
        <v>0.6</v>
      </c>
      <c r="BU379" s="4">
        <v>0.92</v>
      </c>
      <c r="BV379" s="4">
        <v>1164.9454350000001</v>
      </c>
      <c r="BW379" s="4">
        <v>2.1000000000000001E-2</v>
      </c>
      <c r="BX379" s="5"/>
      <c r="BY379" s="5"/>
      <c r="BZ379" s="5"/>
      <c r="CA379" s="5"/>
    </row>
    <row r="380" spans="1:79" x14ac:dyDescent="0.3">
      <c r="A380" s="4" t="s">
        <v>232</v>
      </c>
      <c r="B380" s="4">
        <v>0.9</v>
      </c>
      <c r="C380" s="4">
        <v>0.5</v>
      </c>
      <c r="D380" s="4">
        <v>0.6</v>
      </c>
      <c r="E380" s="4">
        <v>0.3</v>
      </c>
      <c r="F380" s="6">
        <v>779.52960199999995</v>
      </c>
      <c r="G380" s="4">
        <v>3.0000000000000001E-3</v>
      </c>
      <c r="I380" s="4" t="s">
        <v>232</v>
      </c>
      <c r="J380" s="4">
        <v>0.9</v>
      </c>
      <c r="K380" s="4">
        <v>0.5</v>
      </c>
      <c r="L380" s="4">
        <v>0.6</v>
      </c>
      <c r="M380" s="4">
        <v>0.77</v>
      </c>
      <c r="N380" s="4">
        <v>908.09930399999996</v>
      </c>
      <c r="O380" s="4">
        <v>1.7999999999999999E-2</v>
      </c>
      <c r="P380" s="5"/>
      <c r="Q380" s="5"/>
      <c r="R380" s="5"/>
      <c r="S380" s="5"/>
      <c r="U380" s="4" t="s">
        <v>232</v>
      </c>
      <c r="V380" s="4">
        <v>0.9</v>
      </c>
      <c r="W380" s="4">
        <v>0.5</v>
      </c>
      <c r="X380" s="4">
        <v>0.6</v>
      </c>
      <c r="Y380" s="4">
        <v>0.3</v>
      </c>
      <c r="Z380" s="6">
        <v>765.20343000000003</v>
      </c>
      <c r="AA380" s="4">
        <v>3.0000000000000001E-3</v>
      </c>
      <c r="AC380" s="4" t="s">
        <v>232</v>
      </c>
      <c r="AD380" s="4">
        <v>0.9</v>
      </c>
      <c r="AE380" s="4">
        <v>0.5</v>
      </c>
      <c r="AF380" s="4">
        <v>0.6</v>
      </c>
      <c r="AG380" s="4">
        <v>0.81</v>
      </c>
      <c r="AH380" s="4">
        <v>883.21807899999999</v>
      </c>
      <c r="AI380" s="4">
        <v>1.7999999999999999E-2</v>
      </c>
      <c r="AJ380" s="5"/>
      <c r="AK380" s="5"/>
      <c r="AL380" s="5"/>
      <c r="AM380" s="5"/>
      <c r="AO380" s="4" t="s">
        <v>233</v>
      </c>
      <c r="AP380" s="4">
        <v>0.9</v>
      </c>
      <c r="AQ380" s="4">
        <v>0.5</v>
      </c>
      <c r="AR380" s="4">
        <v>0.6</v>
      </c>
      <c r="AS380" s="4">
        <v>0.3</v>
      </c>
      <c r="AT380" s="4">
        <v>1038.423096</v>
      </c>
      <c r="AU380" s="4">
        <v>1.2E-2</v>
      </c>
      <c r="AW380" s="4" t="s">
        <v>233</v>
      </c>
      <c r="AX380" s="4">
        <v>0.9</v>
      </c>
      <c r="AY380" s="4">
        <v>0.5</v>
      </c>
      <c r="AZ380" s="4">
        <v>0.6</v>
      </c>
      <c r="BA380" s="4">
        <v>0.28000000000000003</v>
      </c>
      <c r="BB380" s="6">
        <v>1025.5543210000001</v>
      </c>
      <c r="BC380" s="4">
        <v>2.5999999999999999E-2</v>
      </c>
      <c r="BD380" s="5"/>
      <c r="BE380" s="5"/>
      <c r="BF380" s="5"/>
      <c r="BG380" s="5"/>
      <c r="BI380" s="4" t="s">
        <v>233</v>
      </c>
      <c r="BJ380" s="4">
        <v>0.9</v>
      </c>
      <c r="BK380" s="4">
        <v>0.5</v>
      </c>
      <c r="BL380" s="4">
        <v>0.6</v>
      </c>
      <c r="BM380" s="4">
        <v>0.3</v>
      </c>
      <c r="BN380" s="6">
        <v>988.76812700000005</v>
      </c>
      <c r="BO380" s="4">
        <v>8.0000000000000002E-3</v>
      </c>
      <c r="BQ380" s="4" t="s">
        <v>233</v>
      </c>
      <c r="BR380" s="4">
        <v>0.9</v>
      </c>
      <c r="BS380" s="4">
        <v>0.5</v>
      </c>
      <c r="BT380" s="4">
        <v>0.6</v>
      </c>
      <c r="BU380" s="4">
        <v>0.51</v>
      </c>
      <c r="BV380" s="4">
        <v>1099.9486079999999</v>
      </c>
      <c r="BW380" s="4">
        <v>2.9000000000000001E-2</v>
      </c>
      <c r="BX380" s="5"/>
      <c r="BY380" s="5"/>
      <c r="BZ380" s="5"/>
      <c r="CA380" s="5"/>
    </row>
    <row r="381" spans="1:79" x14ac:dyDescent="0.3">
      <c r="A381" s="4" t="s">
        <v>234</v>
      </c>
      <c r="B381" s="4">
        <v>0.9</v>
      </c>
      <c r="C381" s="4">
        <v>0.5</v>
      </c>
      <c r="D381" s="4">
        <v>0.6</v>
      </c>
      <c r="E381" s="4">
        <v>0.3</v>
      </c>
      <c r="F381" s="6">
        <v>731.55694600000004</v>
      </c>
      <c r="G381" s="4">
        <v>3.0000000000000001E-3</v>
      </c>
      <c r="I381" s="4" t="s">
        <v>234</v>
      </c>
      <c r="J381" s="4">
        <v>0.9</v>
      </c>
      <c r="K381" s="4">
        <v>0.5</v>
      </c>
      <c r="L381" s="4">
        <v>0.6</v>
      </c>
      <c r="M381" s="4">
        <v>0.32</v>
      </c>
      <c r="N381" s="4">
        <v>738.85931400000004</v>
      </c>
      <c r="O381" s="4">
        <v>2.1000000000000001E-2</v>
      </c>
      <c r="P381" s="5"/>
      <c r="Q381" s="5"/>
      <c r="R381" s="5"/>
      <c r="S381" s="5"/>
      <c r="U381" s="4" t="s">
        <v>234</v>
      </c>
      <c r="V381" s="4">
        <v>0.9</v>
      </c>
      <c r="W381" s="4">
        <v>0.5</v>
      </c>
      <c r="X381" s="4">
        <v>0.6</v>
      </c>
      <c r="Y381" s="4">
        <v>0.3</v>
      </c>
      <c r="Z381" s="6">
        <v>726.13848900000005</v>
      </c>
      <c r="AA381" s="4">
        <v>3.0000000000000001E-3</v>
      </c>
      <c r="AC381" s="4" t="s">
        <v>234</v>
      </c>
      <c r="AD381" s="4">
        <v>0.9</v>
      </c>
      <c r="AE381" s="4">
        <v>0.5</v>
      </c>
      <c r="AF381" s="4">
        <v>0.6</v>
      </c>
      <c r="AG381" s="4">
        <v>0.84</v>
      </c>
      <c r="AH381" s="4">
        <v>942.22222899999997</v>
      </c>
      <c r="AI381" s="4">
        <v>3.5999999999999997E-2</v>
      </c>
      <c r="AJ381" s="5"/>
      <c r="AK381" s="5"/>
      <c r="AL381" s="5"/>
      <c r="AM381" s="5"/>
      <c r="AO381" s="4" t="s">
        <v>235</v>
      </c>
      <c r="AP381" s="4">
        <v>0.9</v>
      </c>
      <c r="AQ381" s="4">
        <v>0.5</v>
      </c>
      <c r="AR381" s="4">
        <v>0.6</v>
      </c>
      <c r="AS381" s="4">
        <v>0.3</v>
      </c>
      <c r="AT381" s="6">
        <v>1082.5665280000001</v>
      </c>
      <c r="AU381" s="4">
        <v>1.4E-2</v>
      </c>
      <c r="AW381" s="4" t="s">
        <v>235</v>
      </c>
      <c r="AX381" s="4">
        <v>0.9</v>
      </c>
      <c r="AY381" s="4">
        <v>0.5</v>
      </c>
      <c r="AZ381" s="4">
        <v>0.6</v>
      </c>
      <c r="BA381" s="4">
        <v>0.67</v>
      </c>
      <c r="BB381" s="4">
        <v>1316.280029</v>
      </c>
      <c r="BC381" s="4">
        <v>2.1000000000000001E-2</v>
      </c>
      <c r="BD381" s="5"/>
      <c r="BE381" s="5"/>
      <c r="BF381" s="5"/>
      <c r="BG381" s="5"/>
      <c r="BI381" s="4" t="s">
        <v>235</v>
      </c>
      <c r="BJ381" s="4">
        <v>0.9</v>
      </c>
      <c r="BK381" s="4">
        <v>0.5</v>
      </c>
      <c r="BL381" s="4">
        <v>0.6</v>
      </c>
      <c r="BM381" s="4">
        <v>0.3</v>
      </c>
      <c r="BN381" s="6">
        <v>1070.9417719999999</v>
      </c>
      <c r="BO381" s="4">
        <v>1.4E-2</v>
      </c>
      <c r="BQ381" s="4" t="s">
        <v>235</v>
      </c>
      <c r="BR381" s="4">
        <v>0.9</v>
      </c>
      <c r="BS381" s="4">
        <v>0.5</v>
      </c>
      <c r="BT381" s="4">
        <v>0.6</v>
      </c>
      <c r="BU381" s="4">
        <v>0.55000000000000004</v>
      </c>
      <c r="BV381" s="4">
        <v>1244.4613039999999</v>
      </c>
      <c r="BW381" s="4">
        <v>0.02</v>
      </c>
      <c r="BX381" s="5"/>
      <c r="BY381" s="5"/>
      <c r="BZ381" s="5"/>
      <c r="CA381" s="5"/>
    </row>
    <row r="382" spans="1:79" x14ac:dyDescent="0.3">
      <c r="A382" s="4" t="s">
        <v>236</v>
      </c>
      <c r="B382" s="4">
        <v>0.9</v>
      </c>
      <c r="C382" s="4">
        <v>0.5</v>
      </c>
      <c r="D382" s="4">
        <v>0.6</v>
      </c>
      <c r="E382" s="4">
        <v>0.3</v>
      </c>
      <c r="F382" s="6">
        <v>753.32720900000004</v>
      </c>
      <c r="G382" s="4">
        <v>4.0000000000000001E-3</v>
      </c>
      <c r="I382" s="4" t="s">
        <v>236</v>
      </c>
      <c r="J382" s="4">
        <v>0.9</v>
      </c>
      <c r="K382" s="4">
        <v>0.5</v>
      </c>
      <c r="L382" s="4">
        <v>0.6</v>
      </c>
      <c r="M382" s="4">
        <v>0.75</v>
      </c>
      <c r="N382" s="4">
        <v>973.57360800000004</v>
      </c>
      <c r="O382" s="4">
        <v>1.2999999999999999E-2</v>
      </c>
      <c r="P382" s="5"/>
      <c r="Q382" s="5"/>
      <c r="R382" s="5"/>
      <c r="S382" s="5"/>
      <c r="U382" s="4" t="s">
        <v>236</v>
      </c>
      <c r="V382" s="4">
        <v>0.9</v>
      </c>
      <c r="W382" s="4">
        <v>0.5</v>
      </c>
      <c r="X382" s="4">
        <v>0.6</v>
      </c>
      <c r="Y382" s="4">
        <v>0.3</v>
      </c>
      <c r="Z382" s="6">
        <v>736.35382100000004</v>
      </c>
      <c r="AA382" s="4">
        <v>3.0000000000000001E-3</v>
      </c>
      <c r="AC382" s="4" t="s">
        <v>236</v>
      </c>
      <c r="AD382" s="4">
        <v>0.9</v>
      </c>
      <c r="AE382" s="4">
        <v>0.5</v>
      </c>
      <c r="AF382" s="4">
        <v>0.6</v>
      </c>
      <c r="AG382" s="4">
        <v>0.75</v>
      </c>
      <c r="AH382" s="4">
        <v>979.87512200000003</v>
      </c>
      <c r="AI382" s="4">
        <v>0.05</v>
      </c>
      <c r="AJ382" s="5"/>
      <c r="AK382" s="5"/>
      <c r="AL382" s="5"/>
      <c r="AM382" s="5"/>
      <c r="AO382" s="4" t="s">
        <v>237</v>
      </c>
      <c r="AP382" s="4">
        <v>0.9</v>
      </c>
      <c r="AQ382" s="4">
        <v>0.5</v>
      </c>
      <c r="AR382" s="4">
        <v>0.6</v>
      </c>
      <c r="AS382" s="4">
        <v>0.3</v>
      </c>
      <c r="AT382" s="6">
        <v>1092.003784</v>
      </c>
      <c r="AU382" s="4">
        <v>1.2E-2</v>
      </c>
      <c r="AW382" s="4" t="s">
        <v>237</v>
      </c>
      <c r="AX382" s="4">
        <v>0.9</v>
      </c>
      <c r="AY382" s="4">
        <v>0.5</v>
      </c>
      <c r="AZ382" s="4">
        <v>0.6</v>
      </c>
      <c r="BA382" s="4">
        <v>0.63</v>
      </c>
      <c r="BB382" s="4">
        <v>1302.2495120000001</v>
      </c>
      <c r="BC382" s="4">
        <v>2.8000000000000001E-2</v>
      </c>
      <c r="BD382" s="5"/>
      <c r="BE382" s="5"/>
      <c r="BF382" s="5"/>
      <c r="BG382" s="5"/>
      <c r="BI382" s="4" t="s">
        <v>237</v>
      </c>
      <c r="BJ382" s="4">
        <v>0.9</v>
      </c>
      <c r="BK382" s="4">
        <v>0.5</v>
      </c>
      <c r="BL382" s="4">
        <v>0.6</v>
      </c>
      <c r="BM382" s="4">
        <v>0.3</v>
      </c>
      <c r="BN382" s="4">
        <v>1089.5878909999999</v>
      </c>
      <c r="BO382" s="4">
        <v>1.9E-2</v>
      </c>
      <c r="BQ382" s="4" t="s">
        <v>237</v>
      </c>
      <c r="BR382" s="4">
        <v>0.9</v>
      </c>
      <c r="BS382" s="4">
        <v>0.5</v>
      </c>
      <c r="BT382" s="4">
        <v>0.6</v>
      </c>
      <c r="BU382" s="4">
        <v>0.26</v>
      </c>
      <c r="BV382" s="6">
        <v>1077.183716</v>
      </c>
      <c r="BW382" s="4">
        <v>3.1E-2</v>
      </c>
      <c r="BX382" s="5"/>
      <c r="BY382" s="5"/>
      <c r="BZ382" s="5"/>
      <c r="CA382" s="5"/>
    </row>
    <row r="383" spans="1:79" x14ac:dyDescent="0.3">
      <c r="A383" s="4" t="s">
        <v>238</v>
      </c>
      <c r="B383" s="4">
        <v>0.9</v>
      </c>
      <c r="C383" s="4">
        <v>0.5</v>
      </c>
      <c r="D383" s="4">
        <v>0.6</v>
      </c>
      <c r="E383" s="4">
        <v>0.3</v>
      </c>
      <c r="F383" s="6">
        <v>738.862976</v>
      </c>
      <c r="G383" s="4">
        <v>4.0000000000000001E-3</v>
      </c>
      <c r="I383" s="4" t="s">
        <v>238</v>
      </c>
      <c r="J383" s="4">
        <v>0.9</v>
      </c>
      <c r="K383" s="4">
        <v>0.5</v>
      </c>
      <c r="L383" s="4">
        <v>0.6</v>
      </c>
      <c r="M383" s="4">
        <v>0.33</v>
      </c>
      <c r="N383" s="4">
        <v>768.68395999999996</v>
      </c>
      <c r="O383" s="4">
        <v>2.4E-2</v>
      </c>
      <c r="P383" s="5"/>
      <c r="Q383" s="5"/>
      <c r="R383" s="5"/>
      <c r="S383" s="5"/>
      <c r="U383" s="4" t="s">
        <v>238</v>
      </c>
      <c r="V383" s="4">
        <v>0.9</v>
      </c>
      <c r="W383" s="4">
        <v>0.5</v>
      </c>
      <c r="X383" s="4">
        <v>0.6</v>
      </c>
      <c r="Y383" s="4">
        <v>0.3</v>
      </c>
      <c r="Z383" s="6">
        <v>723.82745399999999</v>
      </c>
      <c r="AA383" s="4">
        <v>4.0000000000000001E-3</v>
      </c>
      <c r="AC383" s="4" t="s">
        <v>238</v>
      </c>
      <c r="AD383" s="4">
        <v>0.9</v>
      </c>
      <c r="AE383" s="4">
        <v>0.5</v>
      </c>
      <c r="AF383" s="4">
        <v>0.6</v>
      </c>
      <c r="AG383" s="4">
        <v>0.27</v>
      </c>
      <c r="AH383" s="4">
        <v>735.53546100000005</v>
      </c>
      <c r="AI383" s="4">
        <v>2.5000000000000001E-2</v>
      </c>
      <c r="AJ383" s="5"/>
      <c r="AK383" s="5"/>
      <c r="AL383" s="5"/>
      <c r="AM383" s="5"/>
      <c r="AO383" s="4" t="s">
        <v>239</v>
      </c>
      <c r="AP383" s="4">
        <v>0.9</v>
      </c>
      <c r="AQ383" s="4">
        <v>0.5</v>
      </c>
      <c r="AR383" s="4">
        <v>0.6</v>
      </c>
      <c r="AS383" s="4">
        <v>0.3</v>
      </c>
      <c r="AT383" s="4">
        <v>1138.068481</v>
      </c>
      <c r="AU383" s="4">
        <v>1.4999999999999999E-2</v>
      </c>
      <c r="AW383" s="4" t="s">
        <v>239</v>
      </c>
      <c r="AX383" s="4">
        <v>0.9</v>
      </c>
      <c r="AY383" s="4">
        <v>0.5</v>
      </c>
      <c r="AZ383" s="4">
        <v>0.6</v>
      </c>
      <c r="BA383" s="4">
        <v>0.08</v>
      </c>
      <c r="BB383" s="6">
        <v>953.33831799999996</v>
      </c>
      <c r="BC383" s="4">
        <v>0.02</v>
      </c>
      <c r="BD383" s="5"/>
      <c r="BE383" s="5"/>
      <c r="BF383" s="5"/>
      <c r="BG383" s="5"/>
      <c r="BI383" s="4" t="s">
        <v>239</v>
      </c>
      <c r="BJ383" s="4">
        <v>0.9</v>
      </c>
      <c r="BK383" s="4">
        <v>0.5</v>
      </c>
      <c r="BL383" s="4">
        <v>0.6</v>
      </c>
      <c r="BM383" s="4">
        <v>0.3</v>
      </c>
      <c r="BN383" s="6">
        <v>1136.320068</v>
      </c>
      <c r="BO383" s="4">
        <v>1.0999999999999999E-2</v>
      </c>
      <c r="BQ383" s="4" t="s">
        <v>239</v>
      </c>
      <c r="BR383" s="4">
        <v>0.9</v>
      </c>
      <c r="BS383" s="4">
        <v>0.5</v>
      </c>
      <c r="BT383" s="4">
        <v>0.6</v>
      </c>
      <c r="BU383" s="4">
        <v>0.77</v>
      </c>
      <c r="BV383" s="4">
        <v>1491.5498050000001</v>
      </c>
      <c r="BW383" s="4">
        <v>3.5999999999999997E-2</v>
      </c>
      <c r="BX383" s="5"/>
      <c r="BY383" s="5"/>
      <c r="BZ383" s="5"/>
      <c r="CA383" s="5"/>
    </row>
    <row r="384" spans="1:79" x14ac:dyDescent="0.3">
      <c r="A384" s="4" t="s">
        <v>240</v>
      </c>
      <c r="B384" s="4">
        <v>0.9</v>
      </c>
      <c r="C384" s="4">
        <v>0.5</v>
      </c>
      <c r="D384" s="4">
        <v>0.6</v>
      </c>
      <c r="E384" s="4">
        <v>0.3</v>
      </c>
      <c r="F384" s="8">
        <v>709.969604</v>
      </c>
      <c r="G384" s="4">
        <v>3.0000000000000001E-3</v>
      </c>
      <c r="I384" s="4" t="s">
        <v>240</v>
      </c>
      <c r="J384" s="4">
        <v>0.9</v>
      </c>
      <c r="K384" s="4">
        <v>0.5</v>
      </c>
      <c r="L384" s="4">
        <v>0.6</v>
      </c>
      <c r="M384" s="4">
        <v>0.25</v>
      </c>
      <c r="N384" s="6">
        <v>709.04553199999998</v>
      </c>
      <c r="O384" s="4">
        <v>3.5999999999999997E-2</v>
      </c>
      <c r="P384" s="5"/>
      <c r="Q384" s="5"/>
      <c r="R384" s="5"/>
      <c r="S384" s="5"/>
      <c r="U384" s="4" t="s">
        <v>240</v>
      </c>
      <c r="V384" s="4">
        <v>0.9</v>
      </c>
      <c r="W384" s="4">
        <v>0.5</v>
      </c>
      <c r="X384" s="4">
        <v>0.6</v>
      </c>
      <c r="Y384" s="4">
        <v>0.3</v>
      </c>
      <c r="Z384" s="4">
        <v>709.32336399999997</v>
      </c>
      <c r="AA384" s="4">
        <v>4.0000000000000001E-3</v>
      </c>
      <c r="AC384" s="4" t="s">
        <v>240</v>
      </c>
      <c r="AD384" s="4">
        <v>0.9</v>
      </c>
      <c r="AE384" s="4">
        <v>0.5</v>
      </c>
      <c r="AF384" s="4">
        <v>0.6</v>
      </c>
      <c r="AG384" s="4">
        <v>0.1</v>
      </c>
      <c r="AH384" s="6">
        <v>656.382385</v>
      </c>
      <c r="AI384" s="4">
        <v>1.9E-2</v>
      </c>
      <c r="AJ384" s="5"/>
      <c r="AK384" s="5"/>
      <c r="AL384" s="5"/>
      <c r="AM384" s="5"/>
      <c r="AO384" s="4" t="s">
        <v>241</v>
      </c>
      <c r="AP384" s="4">
        <v>0.9</v>
      </c>
      <c r="AQ384" s="4">
        <v>0.5</v>
      </c>
      <c r="AR384" s="4">
        <v>0.6</v>
      </c>
      <c r="AS384" s="4">
        <v>0.3</v>
      </c>
      <c r="AT384" s="4">
        <v>1078.2054439999999</v>
      </c>
      <c r="AU384" s="4">
        <v>8.9999999999999993E-3</v>
      </c>
      <c r="AW384" s="4" t="s">
        <v>241</v>
      </c>
      <c r="AX384" s="4">
        <v>0.9</v>
      </c>
      <c r="AY384" s="4">
        <v>0.5</v>
      </c>
      <c r="AZ384" s="4">
        <v>0.6</v>
      </c>
      <c r="BA384" s="4">
        <v>0.11</v>
      </c>
      <c r="BB384" s="6">
        <v>962.26678500000003</v>
      </c>
      <c r="BC384" s="4">
        <v>2.8000000000000001E-2</v>
      </c>
      <c r="BD384" s="5"/>
      <c r="BE384" s="5"/>
      <c r="BF384" s="5"/>
      <c r="BG384" s="5"/>
      <c r="BI384" s="4" t="s">
        <v>241</v>
      </c>
      <c r="BJ384" s="4">
        <v>0.9</v>
      </c>
      <c r="BK384" s="4">
        <v>0.5</v>
      </c>
      <c r="BL384" s="4">
        <v>0.6</v>
      </c>
      <c r="BM384" s="4">
        <v>0.3</v>
      </c>
      <c r="BN384" s="6">
        <v>1055.713379</v>
      </c>
      <c r="BO384" s="4">
        <v>8.9999999999999993E-3</v>
      </c>
      <c r="BQ384" s="4" t="s">
        <v>241</v>
      </c>
      <c r="BR384" s="4">
        <v>0.9</v>
      </c>
      <c r="BS384" s="4">
        <v>0.5</v>
      </c>
      <c r="BT384" s="4">
        <v>0.6</v>
      </c>
      <c r="BU384" s="4">
        <v>0.95</v>
      </c>
      <c r="BV384" s="4">
        <v>1333.256226</v>
      </c>
      <c r="BW384" s="4">
        <v>3.4000000000000002E-2</v>
      </c>
      <c r="BX384" s="5"/>
      <c r="BY384" s="5"/>
      <c r="BZ384" s="5"/>
      <c r="CA384" s="5"/>
    </row>
    <row r="385" spans="1:79" x14ac:dyDescent="0.3">
      <c r="A385" s="4" t="s">
        <v>242</v>
      </c>
      <c r="B385" s="4">
        <v>0.9</v>
      </c>
      <c r="C385" s="4">
        <v>0.5</v>
      </c>
      <c r="D385" s="4">
        <v>0.6</v>
      </c>
      <c r="E385" s="4">
        <v>0.3</v>
      </c>
      <c r="F385" s="6">
        <v>716.10992399999998</v>
      </c>
      <c r="G385" s="4">
        <v>3.0000000000000001E-3</v>
      </c>
      <c r="I385" s="4" t="s">
        <v>242</v>
      </c>
      <c r="J385" s="4">
        <v>0.9</v>
      </c>
      <c r="K385" s="4">
        <v>0.5</v>
      </c>
      <c r="L385" s="4">
        <v>0.6</v>
      </c>
      <c r="M385" s="4">
        <v>0.88</v>
      </c>
      <c r="N385" s="4">
        <v>962.94897500000002</v>
      </c>
      <c r="O385" s="4">
        <v>8.0000000000000002E-3</v>
      </c>
      <c r="P385" s="5"/>
      <c r="Q385" s="5"/>
      <c r="R385" s="5"/>
      <c r="S385" s="5"/>
      <c r="U385" s="4" t="s">
        <v>242</v>
      </c>
      <c r="V385" s="4">
        <v>0.9</v>
      </c>
      <c r="W385" s="4">
        <v>0.5</v>
      </c>
      <c r="X385" s="4">
        <v>0.6</v>
      </c>
      <c r="Y385" s="4">
        <v>0.3</v>
      </c>
      <c r="Z385" s="6">
        <v>705.05310099999997</v>
      </c>
      <c r="AA385" s="4">
        <v>2E-3</v>
      </c>
      <c r="AC385" s="4" t="s">
        <v>242</v>
      </c>
      <c r="AD385" s="4">
        <v>0.9</v>
      </c>
      <c r="AE385" s="4">
        <v>0.5</v>
      </c>
      <c r="AF385" s="4">
        <v>0.6</v>
      </c>
      <c r="AG385" s="4">
        <v>0.71</v>
      </c>
      <c r="AH385" s="4">
        <v>915.15924099999995</v>
      </c>
      <c r="AI385" s="4">
        <v>2.5000000000000001E-2</v>
      </c>
      <c r="AJ385" s="5"/>
      <c r="AK385" s="5"/>
      <c r="AL385" s="5"/>
      <c r="AM385" s="5"/>
      <c r="AO385" s="4" t="s">
        <v>243</v>
      </c>
      <c r="AP385" s="4">
        <v>0.9</v>
      </c>
      <c r="AQ385" s="4">
        <v>0.5</v>
      </c>
      <c r="AR385" s="4">
        <v>0.6</v>
      </c>
      <c r="AS385" s="4">
        <v>0.3</v>
      </c>
      <c r="AT385" s="6">
        <v>1183.1057129999999</v>
      </c>
      <c r="AU385" s="4">
        <v>2.3E-2</v>
      </c>
      <c r="AW385" s="4" t="s">
        <v>243</v>
      </c>
      <c r="AX385" s="4">
        <v>0.9</v>
      </c>
      <c r="AY385" s="4">
        <v>0.5</v>
      </c>
      <c r="AZ385" s="4">
        <v>0.6</v>
      </c>
      <c r="BA385" s="4">
        <v>0.75</v>
      </c>
      <c r="BB385" s="4">
        <v>1514.9414059999999</v>
      </c>
      <c r="BC385" s="4">
        <v>2.5000000000000001E-2</v>
      </c>
      <c r="BD385" s="5"/>
      <c r="BE385" s="5"/>
      <c r="BF385" s="5"/>
      <c r="BG385" s="5"/>
      <c r="BI385" s="4" t="s">
        <v>243</v>
      </c>
      <c r="BJ385" s="4">
        <v>0.9</v>
      </c>
      <c r="BK385" s="4">
        <v>0.5</v>
      </c>
      <c r="BL385" s="4">
        <v>0.6</v>
      </c>
      <c r="BM385" s="4">
        <v>0.3</v>
      </c>
      <c r="BN385" s="6">
        <v>1166.8808590000001</v>
      </c>
      <c r="BO385" s="4">
        <v>1.0999999999999999E-2</v>
      </c>
      <c r="BQ385" s="4" t="s">
        <v>243</v>
      </c>
      <c r="BR385" s="4">
        <v>0.9</v>
      </c>
      <c r="BS385" s="4">
        <v>0.5</v>
      </c>
      <c r="BT385" s="4">
        <v>0.6</v>
      </c>
      <c r="BU385" s="4">
        <v>0.51</v>
      </c>
      <c r="BV385" s="4">
        <v>1340.3930660000001</v>
      </c>
      <c r="BW385" s="4">
        <v>1.7000000000000001E-2</v>
      </c>
      <c r="BX385" s="5"/>
      <c r="BY385" s="5"/>
      <c r="BZ385" s="5"/>
      <c r="CA385" s="5"/>
    </row>
    <row r="386" spans="1:79" x14ac:dyDescent="0.3">
      <c r="A386" s="4" t="s">
        <v>244</v>
      </c>
      <c r="B386" s="4">
        <v>0.9</v>
      </c>
      <c r="C386" s="4">
        <v>0.5</v>
      </c>
      <c r="D386" s="4">
        <v>0.6</v>
      </c>
      <c r="E386" s="4">
        <v>0.3</v>
      </c>
      <c r="F386" s="6">
        <v>708.62890600000003</v>
      </c>
      <c r="G386" s="4">
        <v>3.0000000000000001E-3</v>
      </c>
      <c r="I386" s="4" t="s">
        <v>244</v>
      </c>
      <c r="J386" s="4">
        <v>0.9</v>
      </c>
      <c r="K386" s="4">
        <v>0.5</v>
      </c>
      <c r="L386" s="4">
        <v>0.6</v>
      </c>
      <c r="M386" s="4">
        <v>0.43</v>
      </c>
      <c r="N386" s="4">
        <v>773.79632600000002</v>
      </c>
      <c r="O386" s="4">
        <v>1.4999999999999999E-2</v>
      </c>
      <c r="P386" s="5"/>
      <c r="Q386" s="5"/>
      <c r="R386" s="5"/>
      <c r="S386" s="5"/>
      <c r="U386" s="4" t="s">
        <v>244</v>
      </c>
      <c r="V386" s="4">
        <v>0.9</v>
      </c>
      <c r="W386" s="4">
        <v>0.5</v>
      </c>
      <c r="X386" s="4">
        <v>0.6</v>
      </c>
      <c r="Y386" s="4">
        <v>0.3</v>
      </c>
      <c r="Z386" s="6">
        <v>718.08758499999999</v>
      </c>
      <c r="AA386" s="4">
        <v>4.0000000000000001E-3</v>
      </c>
      <c r="AC386" s="4" t="s">
        <v>244</v>
      </c>
      <c r="AD386" s="4">
        <v>0.9</v>
      </c>
      <c r="AE386" s="4">
        <v>0.5</v>
      </c>
      <c r="AF386" s="4">
        <v>0.6</v>
      </c>
      <c r="AG386" s="4">
        <v>0.59</v>
      </c>
      <c r="AH386" s="4">
        <v>845.25677499999995</v>
      </c>
      <c r="AI386" s="4">
        <v>1.4999999999999999E-2</v>
      </c>
      <c r="AJ386" s="5"/>
      <c r="AK386" s="5"/>
      <c r="AL386" s="5"/>
      <c r="AM386" s="5"/>
      <c r="AO386" s="4" t="s">
        <v>245</v>
      </c>
      <c r="AP386" s="4">
        <v>0.9</v>
      </c>
      <c r="AQ386" s="4">
        <v>0.5</v>
      </c>
      <c r="AR386" s="4">
        <v>0.6</v>
      </c>
      <c r="AS386" s="4">
        <v>0.3</v>
      </c>
      <c r="AT386" s="6">
        <v>1160.4848629999999</v>
      </c>
      <c r="AU386" s="4">
        <v>1.4E-2</v>
      </c>
      <c r="AW386" s="4" t="s">
        <v>245</v>
      </c>
      <c r="AX386" s="4">
        <v>0.9</v>
      </c>
      <c r="AY386" s="4">
        <v>0.5</v>
      </c>
      <c r="AZ386" s="4">
        <v>0.6</v>
      </c>
      <c r="BA386" s="4">
        <v>0.95</v>
      </c>
      <c r="BB386" s="4">
        <v>1591.674561</v>
      </c>
      <c r="BC386" s="4">
        <v>0.03</v>
      </c>
      <c r="BD386" s="5"/>
      <c r="BE386" s="5"/>
      <c r="BF386" s="5"/>
      <c r="BG386" s="5"/>
      <c r="BI386" s="4" t="s">
        <v>245</v>
      </c>
      <c r="BJ386" s="4">
        <v>0.9</v>
      </c>
      <c r="BK386" s="4">
        <v>0.5</v>
      </c>
      <c r="BL386" s="4">
        <v>0.6</v>
      </c>
      <c r="BM386" s="4">
        <v>0.3</v>
      </c>
      <c r="BN386" s="4">
        <v>1161.6685789999999</v>
      </c>
      <c r="BO386" s="4">
        <v>1.2E-2</v>
      </c>
      <c r="BQ386" s="4" t="s">
        <v>245</v>
      </c>
      <c r="BR386" s="4">
        <v>0.9</v>
      </c>
      <c r="BS386" s="4">
        <v>0.5</v>
      </c>
      <c r="BT386" s="4">
        <v>0.6</v>
      </c>
      <c r="BU386" s="4">
        <v>0.08</v>
      </c>
      <c r="BV386" s="6">
        <v>984.29400599999997</v>
      </c>
      <c r="BW386" s="4">
        <v>2.1999999999999999E-2</v>
      </c>
      <c r="BX386" s="5"/>
      <c r="BY386" s="5"/>
      <c r="BZ386" s="5"/>
      <c r="CA386" s="5"/>
    </row>
    <row r="387" spans="1:79" x14ac:dyDescent="0.3">
      <c r="A387" s="4" t="s">
        <v>246</v>
      </c>
      <c r="B387" s="4">
        <v>0.9</v>
      </c>
      <c r="C387" s="4">
        <v>0.5</v>
      </c>
      <c r="D387" s="4">
        <v>0.6</v>
      </c>
      <c r="E387" s="4">
        <v>0.3</v>
      </c>
      <c r="F387" s="6">
        <v>710.27606200000002</v>
      </c>
      <c r="G387" s="4">
        <v>3.0000000000000001E-3</v>
      </c>
      <c r="I387" s="4" t="s">
        <v>246</v>
      </c>
      <c r="J387" s="4">
        <v>0.9</v>
      </c>
      <c r="K387" s="4">
        <v>0.5</v>
      </c>
      <c r="L387" s="4">
        <v>0.6</v>
      </c>
      <c r="M387" s="4">
        <v>0.34</v>
      </c>
      <c r="N387" s="4">
        <v>753.03295900000001</v>
      </c>
      <c r="O387" s="4">
        <v>0.01</v>
      </c>
      <c r="P387" s="5"/>
      <c r="Q387" s="5"/>
      <c r="R387" s="5"/>
      <c r="S387" s="5"/>
      <c r="U387" s="4" t="s">
        <v>246</v>
      </c>
      <c r="V387" s="4">
        <v>0.9</v>
      </c>
      <c r="W387" s="4">
        <v>0.5</v>
      </c>
      <c r="X387" s="4">
        <v>0.6</v>
      </c>
      <c r="Y387" s="4">
        <v>0.3</v>
      </c>
      <c r="Z387" s="6">
        <v>710.20068400000002</v>
      </c>
      <c r="AA387" s="4">
        <v>3.0000000000000001E-3</v>
      </c>
      <c r="AC387" s="4" t="s">
        <v>246</v>
      </c>
      <c r="AD387" s="4">
        <v>0.9</v>
      </c>
      <c r="AE387" s="4">
        <v>0.5</v>
      </c>
      <c r="AF387" s="4">
        <v>0.6</v>
      </c>
      <c r="AG387" s="4">
        <v>0.56999999999999995</v>
      </c>
      <c r="AH387" s="4">
        <v>861.59912099999997</v>
      </c>
      <c r="AI387" s="4">
        <v>1.4E-2</v>
      </c>
      <c r="AJ387" s="5"/>
      <c r="AK387" s="5"/>
      <c r="AL387" s="5"/>
      <c r="AM387" s="5"/>
      <c r="AO387" s="4" t="s">
        <v>247</v>
      </c>
      <c r="AP387" s="4">
        <v>0.9</v>
      </c>
      <c r="AQ387" s="4">
        <v>0.5</v>
      </c>
      <c r="AR387" s="4">
        <v>0.6</v>
      </c>
      <c r="AS387" s="4">
        <v>0.3</v>
      </c>
      <c r="AT387" s="6">
        <v>1037.850952</v>
      </c>
      <c r="AU387" s="4">
        <v>0.01</v>
      </c>
      <c r="AW387" s="4" t="s">
        <v>247</v>
      </c>
      <c r="AX387" s="4">
        <v>0.9</v>
      </c>
      <c r="AY387" s="4">
        <v>0.5</v>
      </c>
      <c r="AZ387" s="4">
        <v>0.6</v>
      </c>
      <c r="BA387" s="4">
        <v>0.32</v>
      </c>
      <c r="BB387" s="4">
        <v>1077.89563</v>
      </c>
      <c r="BC387" s="4">
        <v>2.1000000000000001E-2</v>
      </c>
      <c r="BD387" s="5"/>
      <c r="BE387" s="5"/>
      <c r="BF387" s="5"/>
      <c r="BG387" s="5"/>
      <c r="BI387" s="4" t="s">
        <v>247</v>
      </c>
      <c r="BJ387" s="4">
        <v>0.9</v>
      </c>
      <c r="BK387" s="4">
        <v>0.5</v>
      </c>
      <c r="BL387" s="4">
        <v>0.6</v>
      </c>
      <c r="BM387" s="4">
        <v>0.3</v>
      </c>
      <c r="BN387" s="4">
        <v>1025.4229740000001</v>
      </c>
      <c r="BO387" s="4">
        <v>8.0000000000000002E-3</v>
      </c>
      <c r="BQ387" s="4" t="s">
        <v>247</v>
      </c>
      <c r="BR387" s="4">
        <v>0.9</v>
      </c>
      <c r="BS387" s="4">
        <v>0.5</v>
      </c>
      <c r="BT387" s="4">
        <v>0.6</v>
      </c>
      <c r="BU387" s="4">
        <v>0.26</v>
      </c>
      <c r="BV387" s="6">
        <v>1003.3403929999999</v>
      </c>
      <c r="BW387" s="4">
        <v>1.4999999999999999E-2</v>
      </c>
      <c r="BX387" s="5"/>
      <c r="BY387" s="5"/>
      <c r="BZ387" s="5"/>
      <c r="CA387" s="5"/>
    </row>
    <row r="388" spans="1:79" x14ac:dyDescent="0.3">
      <c r="A388" s="4" t="s">
        <v>248</v>
      </c>
      <c r="B388" s="4">
        <v>0.9</v>
      </c>
      <c r="C388" s="4">
        <v>0.5</v>
      </c>
      <c r="D388" s="4">
        <v>0.6</v>
      </c>
      <c r="E388" s="4">
        <v>0.3</v>
      </c>
      <c r="F388" s="4">
        <v>748.12725799999998</v>
      </c>
      <c r="G388" s="4">
        <v>3.0000000000000001E-3</v>
      </c>
      <c r="I388" s="4" t="s">
        <v>248</v>
      </c>
      <c r="J388" s="4">
        <v>0.9</v>
      </c>
      <c r="K388" s="4">
        <v>0.5</v>
      </c>
      <c r="L388" s="4">
        <v>0.6</v>
      </c>
      <c r="M388" s="4">
        <v>0.19</v>
      </c>
      <c r="N388" s="6">
        <v>740.60314900000003</v>
      </c>
      <c r="O388" s="4">
        <v>2.7E-2</v>
      </c>
      <c r="P388" s="5"/>
      <c r="Q388" s="5"/>
      <c r="R388" s="5"/>
      <c r="S388" s="5"/>
      <c r="U388" s="4" t="s">
        <v>248</v>
      </c>
      <c r="V388" s="4">
        <v>0.9</v>
      </c>
      <c r="W388" s="4">
        <v>0.5</v>
      </c>
      <c r="X388" s="4">
        <v>0.6</v>
      </c>
      <c r="Y388" s="4">
        <v>0.3</v>
      </c>
      <c r="Z388" s="6">
        <v>749.39605700000004</v>
      </c>
      <c r="AA388" s="4">
        <v>4.0000000000000001E-3</v>
      </c>
      <c r="AC388" s="4" t="s">
        <v>248</v>
      </c>
      <c r="AD388" s="4">
        <v>0.9</v>
      </c>
      <c r="AE388" s="4">
        <v>0.5</v>
      </c>
      <c r="AF388" s="4">
        <v>0.6</v>
      </c>
      <c r="AG388" s="4">
        <v>0.43</v>
      </c>
      <c r="AH388" s="4">
        <v>814.73132299999997</v>
      </c>
      <c r="AI388" s="4">
        <v>3.6999999999999998E-2</v>
      </c>
      <c r="AJ388" s="5"/>
      <c r="AK388" s="5"/>
      <c r="AL388" s="5"/>
      <c r="AM388" s="5"/>
      <c r="AO388" s="4" t="s">
        <v>249</v>
      </c>
      <c r="AP388" s="4">
        <v>0.9</v>
      </c>
      <c r="AQ388" s="4">
        <v>0.5</v>
      </c>
      <c r="AR388" s="4">
        <v>0.6</v>
      </c>
      <c r="AS388" s="4">
        <v>0.3</v>
      </c>
      <c r="AT388" s="6">
        <v>1125.3458250000001</v>
      </c>
      <c r="AU388" s="4">
        <v>1.2999999999999999E-2</v>
      </c>
      <c r="AW388" s="4" t="s">
        <v>249</v>
      </c>
      <c r="AX388" s="4">
        <v>0.9</v>
      </c>
      <c r="AY388" s="4">
        <v>0.5</v>
      </c>
      <c r="AZ388" s="4">
        <v>0.6</v>
      </c>
      <c r="BA388" s="4">
        <v>0.86</v>
      </c>
      <c r="BB388" s="4">
        <v>1442.9963379999999</v>
      </c>
      <c r="BC388" s="4">
        <v>2.5999999999999999E-2</v>
      </c>
      <c r="BD388" s="5"/>
      <c r="BE388" s="5"/>
      <c r="BF388" s="5"/>
      <c r="BG388" s="5"/>
      <c r="BI388" s="4" t="s">
        <v>249</v>
      </c>
      <c r="BJ388" s="4">
        <v>0.9</v>
      </c>
      <c r="BK388" s="4">
        <v>0.5</v>
      </c>
      <c r="BL388" s="4">
        <v>0.6</v>
      </c>
      <c r="BM388" s="4">
        <v>0.3</v>
      </c>
      <c r="BN388" s="6">
        <v>1109.891357</v>
      </c>
      <c r="BO388" s="4">
        <v>0.01</v>
      </c>
      <c r="BQ388" s="4" t="s">
        <v>249</v>
      </c>
      <c r="BR388" s="4">
        <v>0.9</v>
      </c>
      <c r="BS388" s="4">
        <v>0.5</v>
      </c>
      <c r="BT388" s="4">
        <v>0.6</v>
      </c>
      <c r="BU388" s="4">
        <v>0.42</v>
      </c>
      <c r="BV388" s="4">
        <v>1188.1313479999999</v>
      </c>
      <c r="BW388" s="4">
        <v>1.4999999999999999E-2</v>
      </c>
      <c r="BX388" s="5"/>
      <c r="BY388" s="5"/>
      <c r="BZ388" s="5"/>
      <c r="CA388" s="5"/>
    </row>
    <row r="389" spans="1:79" x14ac:dyDescent="0.3">
      <c r="A389" s="4" t="s">
        <v>250</v>
      </c>
      <c r="B389" s="4">
        <v>0.9</v>
      </c>
      <c r="C389" s="4">
        <v>0.5</v>
      </c>
      <c r="D389" s="4">
        <v>0.6</v>
      </c>
      <c r="E389" s="4">
        <v>0.3</v>
      </c>
      <c r="F389" s="6">
        <v>757.387024</v>
      </c>
      <c r="G389" s="4">
        <v>3.0000000000000001E-3</v>
      </c>
      <c r="I389" s="4" t="s">
        <v>250</v>
      </c>
      <c r="J389" s="4">
        <v>0.9</v>
      </c>
      <c r="K389" s="4">
        <v>0.5</v>
      </c>
      <c r="L389" s="4">
        <v>0.6</v>
      </c>
      <c r="M389" s="4">
        <v>0.69</v>
      </c>
      <c r="N389" s="4">
        <v>939.22131300000001</v>
      </c>
      <c r="O389" s="4">
        <v>1.0999999999999999E-2</v>
      </c>
      <c r="P389" s="5"/>
      <c r="Q389" s="5"/>
      <c r="R389" s="5"/>
      <c r="S389" s="5"/>
      <c r="U389" s="4" t="s">
        <v>250</v>
      </c>
      <c r="V389" s="4">
        <v>0.9</v>
      </c>
      <c r="W389" s="4">
        <v>0.5</v>
      </c>
      <c r="X389" s="4">
        <v>0.6</v>
      </c>
      <c r="Y389" s="4">
        <v>0.3</v>
      </c>
      <c r="Z389" s="6">
        <v>738.92260699999997</v>
      </c>
      <c r="AA389" s="4">
        <v>3.0000000000000001E-3</v>
      </c>
      <c r="AC389" s="4" t="s">
        <v>250</v>
      </c>
      <c r="AD389" s="4">
        <v>0.9</v>
      </c>
      <c r="AE389" s="4">
        <v>0.5</v>
      </c>
      <c r="AF389" s="4">
        <v>0.6</v>
      </c>
      <c r="AG389" s="4">
        <v>0.73</v>
      </c>
      <c r="AH389" s="4">
        <v>935.49963400000001</v>
      </c>
      <c r="AI389" s="4">
        <v>8.9999999999999993E-3</v>
      </c>
      <c r="AJ389" s="5"/>
      <c r="AK389" s="5"/>
      <c r="AL389" s="5"/>
      <c r="AM389" s="5"/>
      <c r="AO389" s="4" t="s">
        <v>251</v>
      </c>
      <c r="AP389" s="4">
        <v>0.9</v>
      </c>
      <c r="AQ389" s="4">
        <v>0.5</v>
      </c>
      <c r="AR389" s="4">
        <v>0.6</v>
      </c>
      <c r="AS389" s="4">
        <v>0.3</v>
      </c>
      <c r="AT389" s="4">
        <v>1135.869751</v>
      </c>
      <c r="AU389" s="4">
        <v>0.01</v>
      </c>
      <c r="AW389" s="4" t="s">
        <v>251</v>
      </c>
      <c r="AX389" s="4">
        <v>0.9</v>
      </c>
      <c r="AY389" s="4">
        <v>0.5</v>
      </c>
      <c r="AZ389" s="4">
        <v>0.6</v>
      </c>
      <c r="BA389" s="4">
        <v>0.09</v>
      </c>
      <c r="BB389" s="6">
        <v>979.62548800000002</v>
      </c>
      <c r="BC389" s="4">
        <v>1.7999999999999999E-2</v>
      </c>
      <c r="BD389" s="5"/>
      <c r="BE389" s="5"/>
      <c r="BF389" s="5"/>
      <c r="BG389" s="5"/>
      <c r="BI389" s="4" t="s">
        <v>251</v>
      </c>
      <c r="BJ389" s="4">
        <v>0.9</v>
      </c>
      <c r="BK389" s="4">
        <v>0.5</v>
      </c>
      <c r="BL389" s="4">
        <v>0.6</v>
      </c>
      <c r="BM389" s="4">
        <v>0.3</v>
      </c>
      <c r="BN389" s="6">
        <v>1092.8017580000001</v>
      </c>
      <c r="BO389" s="4">
        <v>8.9999999999999993E-3</v>
      </c>
      <c r="BQ389" s="4" t="s">
        <v>251</v>
      </c>
      <c r="BR389" s="4">
        <v>0.9</v>
      </c>
      <c r="BS389" s="4">
        <v>0.5</v>
      </c>
      <c r="BT389" s="4">
        <v>0.6</v>
      </c>
      <c r="BU389" s="4">
        <v>0.99</v>
      </c>
      <c r="BV389" s="4">
        <v>1362.221313</v>
      </c>
      <c r="BW389" s="4">
        <v>2.7E-2</v>
      </c>
      <c r="BX389" s="5"/>
      <c r="BY389" s="5"/>
      <c r="BZ389" s="5"/>
      <c r="CA389" s="5"/>
    </row>
    <row r="390" spans="1:79" x14ac:dyDescent="0.3">
      <c r="A390" s="4" t="s">
        <v>252</v>
      </c>
      <c r="B390" s="4">
        <v>0.9</v>
      </c>
      <c r="C390" s="4">
        <v>0.5</v>
      </c>
      <c r="D390" s="4">
        <v>0.6</v>
      </c>
      <c r="E390" s="4">
        <v>0.3</v>
      </c>
      <c r="F390" s="4">
        <v>805.36737100000005</v>
      </c>
      <c r="G390" s="4">
        <v>4.0000000000000001E-3</v>
      </c>
      <c r="I390" s="4" t="s">
        <v>252</v>
      </c>
      <c r="J390" s="4">
        <v>0.9</v>
      </c>
      <c r="K390" s="4">
        <v>0.5</v>
      </c>
      <c r="L390" s="4">
        <v>0.6</v>
      </c>
      <c r="M390" s="4">
        <v>0.68</v>
      </c>
      <c r="N390" s="6">
        <v>971.57800299999997</v>
      </c>
      <c r="O390" s="4">
        <v>0.02</v>
      </c>
      <c r="P390" s="5"/>
      <c r="Q390" s="5"/>
      <c r="R390" s="5"/>
      <c r="S390" s="5"/>
      <c r="U390" s="4" t="s">
        <v>252</v>
      </c>
      <c r="V390" s="4">
        <v>0.9</v>
      </c>
      <c r="W390" s="4">
        <v>0.5</v>
      </c>
      <c r="X390" s="4">
        <v>0.6</v>
      </c>
      <c r="Y390" s="4">
        <v>0.3</v>
      </c>
      <c r="Z390" s="6">
        <v>788.23150599999997</v>
      </c>
      <c r="AA390" s="4">
        <v>4.0000000000000001E-3</v>
      </c>
      <c r="AC390" s="4" t="s">
        <v>252</v>
      </c>
      <c r="AD390" s="4">
        <v>0.9</v>
      </c>
      <c r="AE390" s="4">
        <v>0.5</v>
      </c>
      <c r="AF390" s="4">
        <v>0.6</v>
      </c>
      <c r="AG390" s="4">
        <v>0.93</v>
      </c>
      <c r="AH390" s="4">
        <v>1049.494751</v>
      </c>
      <c r="AI390" s="4">
        <v>1.7999999999999999E-2</v>
      </c>
      <c r="AJ390" s="5"/>
      <c r="AK390" s="5"/>
      <c r="AL390" s="5"/>
      <c r="AM390" s="5"/>
      <c r="AO390" s="4" t="s">
        <v>253</v>
      </c>
      <c r="AP390" s="4">
        <v>0.9</v>
      </c>
      <c r="AQ390" s="4">
        <v>0.5</v>
      </c>
      <c r="AR390" s="4">
        <v>0.6</v>
      </c>
      <c r="AS390" s="4">
        <v>0.3</v>
      </c>
      <c r="AT390" s="6">
        <v>1134.625</v>
      </c>
      <c r="AU390" s="4">
        <v>8.9999999999999993E-3</v>
      </c>
      <c r="AW390" s="4" t="s">
        <v>253</v>
      </c>
      <c r="AX390" s="4">
        <v>0.9</v>
      </c>
      <c r="AY390" s="4">
        <v>0.5</v>
      </c>
      <c r="AZ390" s="4">
        <v>0.6</v>
      </c>
      <c r="BA390" s="4">
        <v>0.97</v>
      </c>
      <c r="BB390" s="4">
        <v>1553.1938479999999</v>
      </c>
      <c r="BC390" s="4">
        <v>2.5000000000000001E-2</v>
      </c>
      <c r="BD390" s="5"/>
      <c r="BE390" s="5"/>
      <c r="BF390" s="5"/>
      <c r="BG390" s="5"/>
      <c r="BI390" s="4" t="s">
        <v>253</v>
      </c>
      <c r="BJ390" s="4">
        <v>0.9</v>
      </c>
      <c r="BK390" s="4">
        <v>0.5</v>
      </c>
      <c r="BL390" s="4">
        <v>0.6</v>
      </c>
      <c r="BM390" s="4">
        <v>0.3</v>
      </c>
      <c r="BN390" s="6">
        <v>1150.7495120000001</v>
      </c>
      <c r="BO390" s="4">
        <v>8.9999999999999993E-3</v>
      </c>
      <c r="BQ390" s="4" t="s">
        <v>253</v>
      </c>
      <c r="BR390" s="4">
        <v>0.9</v>
      </c>
      <c r="BS390" s="4">
        <v>0.5</v>
      </c>
      <c r="BT390" s="4">
        <v>0.6</v>
      </c>
      <c r="BU390" s="4">
        <v>0.28000000000000003</v>
      </c>
      <c r="BV390" s="4">
        <v>1130.0489500000001</v>
      </c>
      <c r="BW390" s="4">
        <v>4.7E-2</v>
      </c>
      <c r="BX390" s="5"/>
      <c r="BY390" s="5"/>
      <c r="BZ390" s="5"/>
      <c r="CA390" s="5"/>
    </row>
    <row r="391" spans="1:79" x14ac:dyDescent="0.3">
      <c r="A391" s="14" t="s">
        <v>316</v>
      </c>
      <c r="E391" s="14">
        <f>AVERAGE(E361:E390)</f>
        <v>0.3</v>
      </c>
      <c r="I391" s="14" t="s">
        <v>316</v>
      </c>
      <c r="M391" s="14">
        <f>AVERAGE(M361:M390)</f>
        <v>0.51033333333333331</v>
      </c>
      <c r="P391" s="5"/>
      <c r="Q391" s="5"/>
      <c r="R391" s="5"/>
      <c r="S391" s="5"/>
      <c r="U391" s="14" t="s">
        <v>316</v>
      </c>
      <c r="Y391" s="14">
        <f>AVERAGE(Y361:Y390)</f>
        <v>0.3</v>
      </c>
      <c r="AC391" s="14" t="s">
        <v>316</v>
      </c>
      <c r="AG391" s="14">
        <f>AVERAGE(AG361:AG390)</f>
        <v>0.60166666666666657</v>
      </c>
      <c r="AJ391" s="5"/>
      <c r="AK391" s="5"/>
      <c r="AL391" s="5"/>
      <c r="AM391" s="5"/>
      <c r="AO391" s="14" t="s">
        <v>316</v>
      </c>
      <c r="AS391" s="14">
        <f>AVERAGE(AS361:AS390)</f>
        <v>0.3</v>
      </c>
      <c r="AW391" s="14" t="s">
        <v>316</v>
      </c>
      <c r="BA391" s="14">
        <f>AVERAGE(BA361:BA390)</f>
        <v>0.50199999999999989</v>
      </c>
      <c r="BD391" s="5"/>
      <c r="BE391" s="5"/>
      <c r="BF391" s="5"/>
      <c r="BG391" s="5"/>
      <c r="BI391" s="14" t="s">
        <v>316</v>
      </c>
      <c r="BM391" s="14">
        <f>AVERAGE(BM361:BM390)</f>
        <v>0.3</v>
      </c>
      <c r="BQ391" s="14" t="s">
        <v>316</v>
      </c>
      <c r="BU391" s="14">
        <f>AVERAGE(BU361:BU390)</f>
        <v>0.45633333333333331</v>
      </c>
      <c r="BX391" s="5"/>
      <c r="BY391" s="5"/>
      <c r="BZ391" s="5"/>
      <c r="CA391" s="5"/>
    </row>
    <row r="392" spans="1:79" x14ac:dyDescent="0.3">
      <c r="P392" s="5"/>
      <c r="Q392" s="5"/>
      <c r="R392" s="5"/>
      <c r="S392" s="5"/>
      <c r="AJ392" s="5"/>
      <c r="AK392" s="5"/>
      <c r="AL392" s="5"/>
      <c r="AM392" s="5"/>
      <c r="BD392" s="5"/>
      <c r="BE392" s="5"/>
      <c r="BF392" s="5"/>
      <c r="BG392" s="5"/>
      <c r="BX392" s="5"/>
      <c r="BY392" s="5"/>
      <c r="BZ392" s="5"/>
      <c r="CA392" s="5"/>
    </row>
    <row r="393" spans="1:79" x14ac:dyDescent="0.3">
      <c r="P393" s="5"/>
      <c r="Q393" s="5"/>
      <c r="R393" s="5"/>
      <c r="S393" s="5"/>
      <c r="AJ393" s="5"/>
      <c r="AK393" s="5"/>
      <c r="AL393" s="5"/>
      <c r="AM393" s="5"/>
      <c r="BD393" s="5"/>
      <c r="BE393" s="5"/>
      <c r="BF393" s="5"/>
      <c r="BG393" s="5"/>
      <c r="BX393" s="5"/>
      <c r="BY393" s="5"/>
      <c r="BZ393" s="5"/>
      <c r="CA393" s="5"/>
    </row>
    <row r="394" spans="1:79" x14ac:dyDescent="0.3">
      <c r="A394" s="23" t="s">
        <v>314</v>
      </c>
      <c r="B394" s="23"/>
      <c r="C394" s="23"/>
      <c r="D394" s="23"/>
      <c r="E394" s="23"/>
      <c r="F394" s="23"/>
      <c r="G394" s="23"/>
      <c r="I394" s="24" t="s">
        <v>314</v>
      </c>
      <c r="J394" s="25"/>
      <c r="K394" s="25"/>
      <c r="L394" s="25"/>
      <c r="M394" s="25"/>
      <c r="N394" s="25"/>
      <c r="O394" s="26"/>
      <c r="P394" s="11"/>
      <c r="Q394" s="11"/>
      <c r="R394" s="11"/>
      <c r="S394" s="11"/>
      <c r="U394" s="23" t="s">
        <v>314</v>
      </c>
      <c r="V394" s="23"/>
      <c r="W394" s="23"/>
      <c r="X394" s="23"/>
      <c r="Y394" s="23"/>
      <c r="Z394" s="23"/>
      <c r="AA394" s="23"/>
      <c r="AC394" s="24" t="s">
        <v>314</v>
      </c>
      <c r="AD394" s="25"/>
      <c r="AE394" s="25"/>
      <c r="AF394" s="25"/>
      <c r="AG394" s="25"/>
      <c r="AH394" s="25"/>
      <c r="AI394" s="26"/>
      <c r="AJ394" s="11"/>
      <c r="AK394" s="11"/>
      <c r="AL394" s="11"/>
      <c r="AM394" s="11"/>
      <c r="AO394" s="23" t="s">
        <v>314</v>
      </c>
      <c r="AP394" s="23"/>
      <c r="AQ394" s="23"/>
      <c r="AR394" s="23"/>
      <c r="AS394" s="23"/>
      <c r="AT394" s="23"/>
      <c r="AU394" s="23"/>
      <c r="AW394" s="24" t="s">
        <v>314</v>
      </c>
      <c r="AX394" s="25"/>
      <c r="AY394" s="25"/>
      <c r="AZ394" s="25"/>
      <c r="BA394" s="25"/>
      <c r="BB394" s="25"/>
      <c r="BC394" s="26"/>
      <c r="BD394" s="11"/>
      <c r="BE394" s="11"/>
      <c r="BF394" s="11"/>
      <c r="BG394" s="11"/>
      <c r="BI394" s="23" t="s">
        <v>314</v>
      </c>
      <c r="BJ394" s="23"/>
      <c r="BK394" s="23"/>
      <c r="BL394" s="23"/>
      <c r="BM394" s="23"/>
      <c r="BN394" s="23"/>
      <c r="BO394" s="23"/>
      <c r="BQ394" s="24" t="s">
        <v>314</v>
      </c>
      <c r="BR394" s="25"/>
      <c r="BS394" s="25"/>
      <c r="BT394" s="25"/>
      <c r="BU394" s="25"/>
      <c r="BV394" s="25"/>
      <c r="BW394" s="26"/>
      <c r="BX394" s="11"/>
      <c r="BY394" s="11"/>
      <c r="BZ394" s="11"/>
      <c r="CA394" s="11"/>
    </row>
    <row r="395" spans="1:79" x14ac:dyDescent="0.3">
      <c r="A395" s="4" t="s">
        <v>72</v>
      </c>
      <c r="B395" s="4"/>
      <c r="C395" s="4"/>
      <c r="D395" s="4"/>
      <c r="E395" s="4"/>
      <c r="F395" s="4"/>
      <c r="G395" s="4"/>
      <c r="I395" s="4" t="s">
        <v>72</v>
      </c>
      <c r="J395" s="4"/>
      <c r="K395" s="4"/>
      <c r="L395" s="4"/>
      <c r="M395" s="4"/>
      <c r="N395" s="4"/>
      <c r="O395" s="4"/>
      <c r="P395" s="5"/>
      <c r="Q395" s="5"/>
      <c r="R395" s="5"/>
      <c r="S395" s="5"/>
      <c r="U395" s="4" t="s">
        <v>73</v>
      </c>
      <c r="V395" s="4"/>
      <c r="W395" s="4"/>
      <c r="X395" s="4"/>
      <c r="Y395" s="4"/>
      <c r="Z395" s="4"/>
      <c r="AA395" s="4"/>
      <c r="AC395" s="4" t="s">
        <v>73</v>
      </c>
      <c r="AD395" s="4"/>
      <c r="AE395" s="4"/>
      <c r="AF395" s="4"/>
      <c r="AG395" s="4"/>
      <c r="AH395" s="4"/>
      <c r="AI395" s="4"/>
      <c r="AJ395" s="5"/>
      <c r="AK395" s="5"/>
      <c r="AL395" s="5"/>
      <c r="AM395" s="5"/>
      <c r="AO395" s="4" t="s">
        <v>72</v>
      </c>
      <c r="AP395" s="4"/>
      <c r="AQ395" s="4"/>
      <c r="AR395" s="4"/>
      <c r="AS395" s="4"/>
      <c r="AT395" s="4"/>
      <c r="AU395" s="4"/>
      <c r="AW395" s="4" t="s">
        <v>72</v>
      </c>
      <c r="AX395" s="4"/>
      <c r="AY395" s="4"/>
      <c r="AZ395" s="4"/>
      <c r="BA395" s="4"/>
      <c r="BB395" s="4"/>
      <c r="BC395" s="4"/>
      <c r="BD395" s="5"/>
      <c r="BE395" s="5"/>
      <c r="BF395" s="5"/>
      <c r="BG395" s="5"/>
      <c r="BI395" s="4" t="s">
        <v>73</v>
      </c>
      <c r="BJ395" s="4"/>
      <c r="BK395" s="4"/>
      <c r="BL395" s="4"/>
      <c r="BM395" s="4"/>
      <c r="BN395" s="4"/>
      <c r="BO395" s="4"/>
      <c r="BQ395" s="4" t="s">
        <v>73</v>
      </c>
      <c r="BR395" s="4"/>
      <c r="BS395" s="4"/>
      <c r="BT395" s="4"/>
      <c r="BU395" s="4"/>
      <c r="BV395" s="4"/>
      <c r="BW395" s="4"/>
      <c r="BX395" s="5"/>
      <c r="BY395" s="5"/>
      <c r="BZ395" s="5"/>
      <c r="CA395" s="5"/>
    </row>
    <row r="396" spans="1:79" x14ac:dyDescent="0.3">
      <c r="A396" s="4" t="s">
        <v>2</v>
      </c>
      <c r="B396" s="4" t="s">
        <v>3</v>
      </c>
      <c r="C396" s="4" t="s">
        <v>4</v>
      </c>
      <c r="D396" s="4" t="s">
        <v>5</v>
      </c>
      <c r="E396" s="4" t="s">
        <v>6</v>
      </c>
      <c r="F396" s="4" t="s">
        <v>7</v>
      </c>
      <c r="G396" s="4" t="s">
        <v>8</v>
      </c>
      <c r="I396" s="4" t="s">
        <v>2</v>
      </c>
      <c r="J396" s="4" t="s">
        <v>3</v>
      </c>
      <c r="K396" s="4" t="s">
        <v>4</v>
      </c>
      <c r="L396" s="4" t="s">
        <v>5</v>
      </c>
      <c r="M396" s="4" t="s">
        <v>6</v>
      </c>
      <c r="N396" s="4" t="s">
        <v>7</v>
      </c>
      <c r="O396" s="4" t="s">
        <v>8</v>
      </c>
      <c r="P396" s="3" t="s">
        <v>322</v>
      </c>
      <c r="Q396" s="3" t="s">
        <v>323</v>
      </c>
      <c r="R396" s="3" t="s">
        <v>322</v>
      </c>
      <c r="S396" s="3" t="s">
        <v>323</v>
      </c>
      <c r="U396" s="4" t="s">
        <v>2</v>
      </c>
      <c r="V396" s="4" t="s">
        <v>3</v>
      </c>
      <c r="W396" s="4" t="s">
        <v>4</v>
      </c>
      <c r="X396" s="4" t="s">
        <v>5</v>
      </c>
      <c r="Y396" s="4" t="s">
        <v>6</v>
      </c>
      <c r="Z396" s="4" t="s">
        <v>7</v>
      </c>
      <c r="AA396" s="4" t="s">
        <v>8</v>
      </c>
      <c r="AC396" s="4" t="s">
        <v>2</v>
      </c>
      <c r="AD396" s="4" t="s">
        <v>3</v>
      </c>
      <c r="AE396" s="4" t="s">
        <v>4</v>
      </c>
      <c r="AF396" s="4" t="s">
        <v>5</v>
      </c>
      <c r="AG396" s="4" t="s">
        <v>6</v>
      </c>
      <c r="AH396" s="4" t="s">
        <v>7</v>
      </c>
      <c r="AI396" s="4" t="s">
        <v>8</v>
      </c>
      <c r="AJ396" s="3" t="s">
        <v>322</v>
      </c>
      <c r="AK396" s="3" t="s">
        <v>323</v>
      </c>
      <c r="AL396" s="3" t="s">
        <v>322</v>
      </c>
      <c r="AM396" s="3" t="s">
        <v>323</v>
      </c>
      <c r="AO396" s="4" t="s">
        <v>2</v>
      </c>
      <c r="AP396" s="4" t="s">
        <v>3</v>
      </c>
      <c r="AQ396" s="4" t="s">
        <v>4</v>
      </c>
      <c r="AR396" s="4" t="s">
        <v>5</v>
      </c>
      <c r="AS396" s="4" t="s">
        <v>6</v>
      </c>
      <c r="AT396" s="4" t="s">
        <v>7</v>
      </c>
      <c r="AU396" s="4" t="s">
        <v>8</v>
      </c>
      <c r="AW396" s="4" t="s">
        <v>2</v>
      </c>
      <c r="AX396" s="4" t="s">
        <v>3</v>
      </c>
      <c r="AY396" s="4" t="s">
        <v>4</v>
      </c>
      <c r="AZ396" s="4" t="s">
        <v>5</v>
      </c>
      <c r="BA396" s="4" t="s">
        <v>6</v>
      </c>
      <c r="BB396" s="4" t="s">
        <v>7</v>
      </c>
      <c r="BC396" s="4" t="s">
        <v>8</v>
      </c>
      <c r="BD396" s="3" t="s">
        <v>322</v>
      </c>
      <c r="BE396" s="3" t="s">
        <v>323</v>
      </c>
      <c r="BF396" s="3" t="s">
        <v>322</v>
      </c>
      <c r="BG396" s="3" t="s">
        <v>323</v>
      </c>
      <c r="BI396" s="4" t="s">
        <v>2</v>
      </c>
      <c r="BJ396" s="4" t="s">
        <v>3</v>
      </c>
      <c r="BK396" s="4" t="s">
        <v>4</v>
      </c>
      <c r="BL396" s="4" t="s">
        <v>5</v>
      </c>
      <c r="BM396" s="4" t="s">
        <v>6</v>
      </c>
      <c r="BN396" s="4" t="s">
        <v>7</v>
      </c>
      <c r="BO396" s="4" t="s">
        <v>8</v>
      </c>
      <c r="BQ396" s="4" t="s">
        <v>2</v>
      </c>
      <c r="BR396" s="4" t="s">
        <v>3</v>
      </c>
      <c r="BS396" s="4" t="s">
        <v>4</v>
      </c>
      <c r="BT396" s="4" t="s">
        <v>5</v>
      </c>
      <c r="BU396" s="4" t="s">
        <v>6</v>
      </c>
      <c r="BV396" s="4" t="s">
        <v>7</v>
      </c>
      <c r="BW396" s="4" t="s">
        <v>8</v>
      </c>
      <c r="BX396" s="3" t="s">
        <v>322</v>
      </c>
      <c r="BY396" s="3" t="s">
        <v>323</v>
      </c>
      <c r="BZ396" s="3" t="s">
        <v>322</v>
      </c>
      <c r="CA396" s="3" t="s">
        <v>323</v>
      </c>
    </row>
    <row r="397" spans="1:79" x14ac:dyDescent="0.3">
      <c r="A397" s="4" t="s">
        <v>194</v>
      </c>
      <c r="B397" s="4">
        <v>0.9</v>
      </c>
      <c r="C397" s="4">
        <v>0.5</v>
      </c>
      <c r="D397" s="4">
        <v>0.6</v>
      </c>
      <c r="E397" s="4">
        <v>0.3</v>
      </c>
      <c r="F397" s="4">
        <v>677.85790999999995</v>
      </c>
      <c r="G397" s="4">
        <v>3.0000000000000001E-3</v>
      </c>
      <c r="I397" s="4" t="s">
        <v>194</v>
      </c>
      <c r="J397" s="4">
        <v>0.9</v>
      </c>
      <c r="K397" s="4">
        <v>0.5</v>
      </c>
      <c r="L397" s="4">
        <v>0.6</v>
      </c>
      <c r="M397" s="4">
        <v>0.01</v>
      </c>
      <c r="N397" s="6">
        <v>664.71227999999996</v>
      </c>
      <c r="O397" s="4">
        <v>4.2999999999999997E-2</v>
      </c>
      <c r="P397" s="4" t="s">
        <v>324</v>
      </c>
      <c r="Q397" s="4" t="s">
        <v>324</v>
      </c>
      <c r="R397" s="4" t="s">
        <v>327</v>
      </c>
      <c r="S397" s="4" t="s">
        <v>327</v>
      </c>
      <c r="U397" s="4" t="s">
        <v>194</v>
      </c>
      <c r="V397" s="4">
        <v>0.9</v>
      </c>
      <c r="W397" s="4">
        <v>0.5</v>
      </c>
      <c r="X397" s="4">
        <v>0.6</v>
      </c>
      <c r="Y397" s="4">
        <v>0.3</v>
      </c>
      <c r="Z397" s="4">
        <v>671.59240699999998</v>
      </c>
      <c r="AA397" s="4">
        <v>2E-3</v>
      </c>
      <c r="AC397" s="4" t="s">
        <v>194</v>
      </c>
      <c r="AD397" s="4">
        <v>0.9</v>
      </c>
      <c r="AE397" s="4">
        <v>0.5</v>
      </c>
      <c r="AF397" s="4">
        <v>0.6</v>
      </c>
      <c r="AG397" s="4">
        <v>0.01</v>
      </c>
      <c r="AH397" s="6">
        <v>658.79663100000005</v>
      </c>
      <c r="AI397" s="4">
        <v>1.7000000000000001E-2</v>
      </c>
      <c r="AJ397" s="4" t="s">
        <v>324</v>
      </c>
      <c r="AK397" s="4" t="s">
        <v>324</v>
      </c>
      <c r="AL397" s="4" t="s">
        <v>327</v>
      </c>
      <c r="AM397" s="4" t="s">
        <v>327</v>
      </c>
      <c r="AO397" s="4" t="s">
        <v>195</v>
      </c>
      <c r="AP397" s="4">
        <v>0.9</v>
      </c>
      <c r="AQ397" s="4">
        <v>0.5</v>
      </c>
      <c r="AR397" s="4">
        <v>0.6</v>
      </c>
      <c r="AS397" s="4">
        <v>0.3</v>
      </c>
      <c r="AT397" s="4">
        <v>989.65808100000004</v>
      </c>
      <c r="AU397" s="4">
        <v>1.2E-2</v>
      </c>
      <c r="AW397" s="4" t="s">
        <v>195</v>
      </c>
      <c r="AX397" s="4">
        <v>0.9</v>
      </c>
      <c r="AY397" s="4">
        <v>0.5</v>
      </c>
      <c r="AZ397" s="4">
        <v>0.6</v>
      </c>
      <c r="BA397" s="4">
        <v>0.01</v>
      </c>
      <c r="BB397" s="6">
        <v>842.43615699999998</v>
      </c>
      <c r="BC397" s="4">
        <v>1.4E-2</v>
      </c>
      <c r="BD397" s="4" t="s">
        <v>324</v>
      </c>
      <c r="BE397" s="4" t="s">
        <v>324</v>
      </c>
      <c r="BF397" s="4" t="s">
        <v>327</v>
      </c>
      <c r="BG397" s="4" t="s">
        <v>327</v>
      </c>
      <c r="BI397" s="4" t="s">
        <v>195</v>
      </c>
      <c r="BJ397" s="4">
        <v>0.9</v>
      </c>
      <c r="BK397" s="4">
        <v>0.5</v>
      </c>
      <c r="BL397" s="4">
        <v>0.6</v>
      </c>
      <c r="BM397" s="4">
        <v>0.3</v>
      </c>
      <c r="BN397" s="4">
        <v>974.86596699999996</v>
      </c>
      <c r="BO397" s="4">
        <v>0.01</v>
      </c>
      <c r="BQ397" s="4" t="s">
        <v>195</v>
      </c>
      <c r="BR397" s="4">
        <v>0.9</v>
      </c>
      <c r="BS397" s="4">
        <v>0.5</v>
      </c>
      <c r="BT397" s="4">
        <v>0.6</v>
      </c>
      <c r="BU397" s="4">
        <v>0.01</v>
      </c>
      <c r="BV397" s="6">
        <v>820.49029499999995</v>
      </c>
      <c r="BW397" s="4">
        <v>1.9E-2</v>
      </c>
      <c r="BX397" s="4" t="s">
        <v>324</v>
      </c>
      <c r="BY397" s="4" t="s">
        <v>324</v>
      </c>
      <c r="BZ397" s="4" t="s">
        <v>327</v>
      </c>
      <c r="CA397" s="4" t="s">
        <v>327</v>
      </c>
    </row>
    <row r="398" spans="1:79" x14ac:dyDescent="0.3">
      <c r="A398" s="4" t="s">
        <v>196</v>
      </c>
      <c r="B398" s="4">
        <v>0.9</v>
      </c>
      <c r="C398" s="4">
        <v>0.5</v>
      </c>
      <c r="D398" s="4">
        <v>0.6</v>
      </c>
      <c r="E398" s="4">
        <v>0.3</v>
      </c>
      <c r="F398" s="6">
        <v>653.50573699999995</v>
      </c>
      <c r="G398" s="4">
        <v>3.0000000000000001E-3</v>
      </c>
      <c r="I398" s="4" t="s">
        <v>196</v>
      </c>
      <c r="J398" s="4">
        <v>0.9</v>
      </c>
      <c r="K398" s="4">
        <v>0.5</v>
      </c>
      <c r="L398" s="4">
        <v>0.6</v>
      </c>
      <c r="M398" s="4">
        <v>0.73</v>
      </c>
      <c r="N398" s="4">
        <v>729.17571999999996</v>
      </c>
      <c r="O398" s="4">
        <v>0.02</v>
      </c>
      <c r="P398" s="3">
        <f>COUNT(F398:F399,F401:F408,F410,F414:F419,F421:F426)</f>
        <v>23</v>
      </c>
      <c r="Q398" s="3">
        <f>30-P398</f>
        <v>7</v>
      </c>
      <c r="R398" s="3">
        <f>COUNT(N397,N400,N409,N411:N413,N420)</f>
        <v>7</v>
      </c>
      <c r="S398" s="3">
        <f>30-R398</f>
        <v>23</v>
      </c>
      <c r="U398" s="4" t="s">
        <v>196</v>
      </c>
      <c r="V398" s="4">
        <v>0.9</v>
      </c>
      <c r="W398" s="4">
        <v>0.5</v>
      </c>
      <c r="X398" s="4">
        <v>0.6</v>
      </c>
      <c r="Y398" s="4">
        <v>0.3</v>
      </c>
      <c r="Z398" s="4">
        <v>624.62707499999999</v>
      </c>
      <c r="AA398" s="4">
        <v>2E-3</v>
      </c>
      <c r="AC398" s="4" t="s">
        <v>196</v>
      </c>
      <c r="AD398" s="4">
        <v>0.9</v>
      </c>
      <c r="AE398" s="4">
        <v>0.5</v>
      </c>
      <c r="AF398" s="4">
        <v>0.6</v>
      </c>
      <c r="AG398" s="4">
        <v>0.21</v>
      </c>
      <c r="AH398" s="6">
        <v>615.56878700000004</v>
      </c>
      <c r="AI398" s="4">
        <v>1.7000000000000001E-2</v>
      </c>
      <c r="AJ398" s="3">
        <f>COUNT(Z399:Z405,Z407,Z409:Z426)</f>
        <v>26</v>
      </c>
      <c r="AK398" s="3">
        <f>30-AJ398</f>
        <v>4</v>
      </c>
      <c r="AL398" s="3">
        <f>COUNT(AH397:AH398,AH406,AH408)</f>
        <v>4</v>
      </c>
      <c r="AM398" s="3">
        <f>30-AL398</f>
        <v>26</v>
      </c>
      <c r="AO398" s="4" t="s">
        <v>197</v>
      </c>
      <c r="AP398" s="4">
        <v>0.9</v>
      </c>
      <c r="AQ398" s="4">
        <v>0.5</v>
      </c>
      <c r="AR398" s="4">
        <v>0.6</v>
      </c>
      <c r="AS398" s="4">
        <v>0.3</v>
      </c>
      <c r="AT398" s="4">
        <v>903.62652600000001</v>
      </c>
      <c r="AU398" s="4">
        <v>7.0000000000000001E-3</v>
      </c>
      <c r="AW398" s="4" t="s">
        <v>197</v>
      </c>
      <c r="AX398" s="4">
        <v>0.9</v>
      </c>
      <c r="AY398" s="4">
        <v>0.5</v>
      </c>
      <c r="AZ398" s="4">
        <v>0.6</v>
      </c>
      <c r="BA398" s="4">
        <v>0.09</v>
      </c>
      <c r="BB398" s="6">
        <v>834.29595900000004</v>
      </c>
      <c r="BC398" s="4">
        <v>1.2E-2</v>
      </c>
      <c r="BD398" s="3">
        <f>COUNT(AT399:AT401,AT404:AT405,AT408,AT412,AT415:AT418,AT420,AT423:AT426)</f>
        <v>16</v>
      </c>
      <c r="BE398" s="3">
        <f>30-BD398</f>
        <v>14</v>
      </c>
      <c r="BF398" s="3">
        <f>COUNT(BB397:BB398,BB402:BB403,BB406:BB407,BB409:BB411,BB413:BB414,BB419,BB421:BB422)</f>
        <v>14</v>
      </c>
      <c r="BG398" s="3">
        <f>30-BF398</f>
        <v>16</v>
      </c>
      <c r="BI398" s="4" t="s">
        <v>197</v>
      </c>
      <c r="BJ398" s="4">
        <v>0.9</v>
      </c>
      <c r="BK398" s="4">
        <v>0.5</v>
      </c>
      <c r="BL398" s="4">
        <v>0.6</v>
      </c>
      <c r="BM398" s="4">
        <v>0.3</v>
      </c>
      <c r="BN398" s="4">
        <v>902.38568099999998</v>
      </c>
      <c r="BO398" s="4">
        <v>8.0000000000000002E-3</v>
      </c>
      <c r="BQ398" s="4" t="s">
        <v>197</v>
      </c>
      <c r="BR398" s="4">
        <v>0.9</v>
      </c>
      <c r="BS398" s="4">
        <v>0.5</v>
      </c>
      <c r="BT398" s="4">
        <v>0.6</v>
      </c>
      <c r="BU398" s="4">
        <v>0.14000000000000001</v>
      </c>
      <c r="BV398" s="6">
        <v>832.20349099999999</v>
      </c>
      <c r="BW398" s="4">
        <v>2.7E-2</v>
      </c>
      <c r="BX398" s="3">
        <f>COUNT(BN399:BN406,BN409,BN411:BN415,BN417:BN419,BN421,BN424:BN425)</f>
        <v>20</v>
      </c>
      <c r="BY398" s="3">
        <f>30-BX398</f>
        <v>10</v>
      </c>
      <c r="BZ398" s="3">
        <f>COUNT(BV397:BV398,BV407:BV408,BV410,BV416,BV420,BV422:BV423,BV426)</f>
        <v>10</v>
      </c>
      <c r="CA398" s="3">
        <f>30-BZ398</f>
        <v>20</v>
      </c>
    </row>
    <row r="399" spans="1:79" x14ac:dyDescent="0.3">
      <c r="A399" s="4" t="s">
        <v>198</v>
      </c>
      <c r="B399" s="4">
        <v>0.9</v>
      </c>
      <c r="C399" s="4">
        <v>0.5</v>
      </c>
      <c r="D399" s="4">
        <v>0.6</v>
      </c>
      <c r="E399" s="4">
        <v>0.3</v>
      </c>
      <c r="F399" s="6">
        <v>630.331726</v>
      </c>
      <c r="G399" s="4">
        <v>4.0000000000000001E-3</v>
      </c>
      <c r="I399" s="4" t="s">
        <v>198</v>
      </c>
      <c r="J399" s="4">
        <v>0.9</v>
      </c>
      <c r="K399" s="4">
        <v>0.5</v>
      </c>
      <c r="L399" s="4">
        <v>0.6</v>
      </c>
      <c r="M399" s="4">
        <v>0.23</v>
      </c>
      <c r="N399" s="4">
        <v>626.86199999999997</v>
      </c>
      <c r="O399" s="4">
        <v>1.4999999999999999E-2</v>
      </c>
      <c r="P399" s="5"/>
      <c r="Q399" s="5"/>
      <c r="R399" s="5"/>
      <c r="S399" s="5"/>
      <c r="U399" s="4" t="s">
        <v>198</v>
      </c>
      <c r="V399" s="4">
        <v>0.9</v>
      </c>
      <c r="W399" s="4">
        <v>0.5</v>
      </c>
      <c r="X399" s="4">
        <v>0.6</v>
      </c>
      <c r="Y399" s="4">
        <v>0.3</v>
      </c>
      <c r="Z399" s="6">
        <v>623.92511000000002</v>
      </c>
      <c r="AA399" s="4">
        <v>2E-3</v>
      </c>
      <c r="AC399" s="4" t="s">
        <v>198</v>
      </c>
      <c r="AD399" s="4">
        <v>0.9</v>
      </c>
      <c r="AE399" s="4">
        <v>0.5</v>
      </c>
      <c r="AF399" s="4">
        <v>0.6</v>
      </c>
      <c r="AG399" s="4">
        <v>0.8</v>
      </c>
      <c r="AH399" s="4">
        <v>712.91803000000004</v>
      </c>
      <c r="AI399" s="4">
        <v>2.9000000000000001E-2</v>
      </c>
      <c r="AJ399" s="5"/>
      <c r="AK399" s="5"/>
      <c r="AL399" s="5"/>
      <c r="AM399" s="5"/>
      <c r="AO399" s="4" t="s">
        <v>199</v>
      </c>
      <c r="AP399" s="4">
        <v>0.9</v>
      </c>
      <c r="AQ399" s="4">
        <v>0.5</v>
      </c>
      <c r="AR399" s="4">
        <v>0.6</v>
      </c>
      <c r="AS399" s="4">
        <v>0.3</v>
      </c>
      <c r="AT399" s="6">
        <v>953.35882600000002</v>
      </c>
      <c r="AU399" s="4">
        <v>1.4E-2</v>
      </c>
      <c r="AW399" s="4" t="s">
        <v>199</v>
      </c>
      <c r="AX399" s="4">
        <v>0.9</v>
      </c>
      <c r="AY399" s="4">
        <v>0.5</v>
      </c>
      <c r="AZ399" s="4">
        <v>0.6</v>
      </c>
      <c r="BA399" s="4">
        <v>0.69</v>
      </c>
      <c r="BB399" s="4">
        <v>1080.9704589999999</v>
      </c>
      <c r="BC399" s="4">
        <v>2.7E-2</v>
      </c>
      <c r="BD399" s="5"/>
      <c r="BE399" s="5"/>
      <c r="BF399" s="5"/>
      <c r="BG399" s="5"/>
      <c r="BI399" s="4" t="s">
        <v>199</v>
      </c>
      <c r="BJ399" s="4">
        <v>0.9</v>
      </c>
      <c r="BK399" s="4">
        <v>0.5</v>
      </c>
      <c r="BL399" s="4">
        <v>0.6</v>
      </c>
      <c r="BM399" s="4">
        <v>0.3</v>
      </c>
      <c r="BN399" s="6">
        <v>938.87085000000002</v>
      </c>
      <c r="BO399" s="4">
        <v>1.2E-2</v>
      </c>
      <c r="BQ399" s="4" t="s">
        <v>199</v>
      </c>
      <c r="BR399" s="4">
        <v>0.9</v>
      </c>
      <c r="BS399" s="4">
        <v>0.5</v>
      </c>
      <c r="BT399" s="4">
        <v>0.6</v>
      </c>
      <c r="BU399" s="4">
        <v>0.81</v>
      </c>
      <c r="BV399" s="4">
        <v>1115.5123289999999</v>
      </c>
      <c r="BW399" s="4">
        <v>2.1999999999999999E-2</v>
      </c>
      <c r="BX399" s="5"/>
      <c r="BY399" s="5"/>
      <c r="BZ399" s="5"/>
      <c r="CA399" s="5"/>
    </row>
    <row r="400" spans="1:79" x14ac:dyDescent="0.3">
      <c r="A400" s="4" t="s">
        <v>200</v>
      </c>
      <c r="B400" s="4">
        <v>0.9</v>
      </c>
      <c r="C400" s="4">
        <v>0.5</v>
      </c>
      <c r="D400" s="4">
        <v>0.6</v>
      </c>
      <c r="E400" s="4">
        <v>0.3</v>
      </c>
      <c r="F400" s="4">
        <v>598.18573000000004</v>
      </c>
      <c r="G400" s="4">
        <v>3.0000000000000001E-3</v>
      </c>
      <c r="I400" s="4" t="s">
        <v>200</v>
      </c>
      <c r="J400" s="4">
        <v>0.9</v>
      </c>
      <c r="K400" s="4">
        <v>0.5</v>
      </c>
      <c r="L400" s="4">
        <v>0.6</v>
      </c>
      <c r="M400" s="4">
        <v>0.17</v>
      </c>
      <c r="N400" s="6">
        <v>557.59008800000004</v>
      </c>
      <c r="O400" s="4">
        <v>1.2999999999999999E-2</v>
      </c>
      <c r="P400" s="5"/>
      <c r="Q400" s="5"/>
      <c r="R400" s="5"/>
      <c r="S400" s="5"/>
      <c r="U400" s="4" t="s">
        <v>200</v>
      </c>
      <c r="V400" s="4">
        <v>0.9</v>
      </c>
      <c r="W400" s="4">
        <v>0.5</v>
      </c>
      <c r="X400" s="4">
        <v>0.6</v>
      </c>
      <c r="Y400" s="4">
        <v>0.3</v>
      </c>
      <c r="Z400" s="6">
        <v>573.83697500000005</v>
      </c>
      <c r="AA400" s="4">
        <v>2E-3</v>
      </c>
      <c r="AC400" s="4" t="s">
        <v>200</v>
      </c>
      <c r="AD400" s="4">
        <v>0.9</v>
      </c>
      <c r="AE400" s="4">
        <v>0.5</v>
      </c>
      <c r="AF400" s="4">
        <v>0.6</v>
      </c>
      <c r="AG400" s="4">
        <v>0.22</v>
      </c>
      <c r="AH400" s="4">
        <v>560.99871800000005</v>
      </c>
      <c r="AI400" s="4">
        <v>1.7000000000000001E-2</v>
      </c>
      <c r="AJ400" s="5"/>
      <c r="AK400" s="5"/>
      <c r="AL400" s="5"/>
      <c r="AM400" s="5"/>
      <c r="AO400" s="4" t="s">
        <v>201</v>
      </c>
      <c r="AP400" s="4">
        <v>0.9</v>
      </c>
      <c r="AQ400" s="4">
        <v>0.5</v>
      </c>
      <c r="AR400" s="4">
        <v>0.6</v>
      </c>
      <c r="AS400" s="4">
        <v>0.3</v>
      </c>
      <c r="AT400" s="6">
        <v>993.21319600000004</v>
      </c>
      <c r="AU400" s="4">
        <v>7.0000000000000001E-3</v>
      </c>
      <c r="AW400" s="4" t="s">
        <v>201</v>
      </c>
      <c r="AX400" s="4">
        <v>0.9</v>
      </c>
      <c r="AY400" s="4">
        <v>0.5</v>
      </c>
      <c r="AZ400" s="4">
        <v>0.6</v>
      </c>
      <c r="BA400" s="4">
        <v>0.84</v>
      </c>
      <c r="BB400" s="4">
        <v>1146.403442</v>
      </c>
      <c r="BC400" s="4">
        <v>1.2999999999999999E-2</v>
      </c>
      <c r="BD400" s="5"/>
      <c r="BE400" s="5"/>
      <c r="BF400" s="5"/>
      <c r="BG400" s="5"/>
      <c r="BI400" s="4" t="s">
        <v>201</v>
      </c>
      <c r="BJ400" s="4">
        <v>0.9</v>
      </c>
      <c r="BK400" s="4">
        <v>0.5</v>
      </c>
      <c r="BL400" s="4">
        <v>0.6</v>
      </c>
      <c r="BM400" s="4">
        <v>0.3</v>
      </c>
      <c r="BN400" s="6">
        <v>998.41039999999998</v>
      </c>
      <c r="BO400" s="4">
        <v>8.0000000000000002E-3</v>
      </c>
      <c r="BQ400" s="4" t="s">
        <v>201</v>
      </c>
      <c r="BR400" s="4">
        <v>0.9</v>
      </c>
      <c r="BS400" s="4">
        <v>0.5</v>
      </c>
      <c r="BT400" s="4">
        <v>0.6</v>
      </c>
      <c r="BU400" s="4">
        <v>0.42</v>
      </c>
      <c r="BV400" s="4">
        <v>1039.100952</v>
      </c>
      <c r="BW400" s="4">
        <v>1.2999999999999999E-2</v>
      </c>
      <c r="BX400" s="5"/>
      <c r="BY400" s="5"/>
      <c r="BZ400" s="5"/>
      <c r="CA400" s="5"/>
    </row>
    <row r="401" spans="1:79" x14ac:dyDescent="0.3">
      <c r="A401" s="4" t="s">
        <v>202</v>
      </c>
      <c r="B401" s="4">
        <v>0.9</v>
      </c>
      <c r="C401" s="4">
        <v>0.5</v>
      </c>
      <c r="D401" s="4">
        <v>0.6</v>
      </c>
      <c r="E401" s="4">
        <v>0.3</v>
      </c>
      <c r="F401" s="6">
        <v>590.22479199999998</v>
      </c>
      <c r="G401" s="4">
        <v>2E-3</v>
      </c>
      <c r="I401" s="4" t="s">
        <v>202</v>
      </c>
      <c r="J401" s="4">
        <v>0.9</v>
      </c>
      <c r="K401" s="4">
        <v>0.5</v>
      </c>
      <c r="L401" s="4">
        <v>0.6</v>
      </c>
      <c r="M401" s="4">
        <v>0.61</v>
      </c>
      <c r="N401" s="4">
        <v>666.75488299999995</v>
      </c>
      <c r="O401" s="4">
        <v>1.4999999999999999E-2</v>
      </c>
      <c r="P401" s="5"/>
      <c r="Q401" s="5"/>
      <c r="R401" s="5"/>
      <c r="S401" s="5"/>
      <c r="U401" s="4" t="s">
        <v>202</v>
      </c>
      <c r="V401" s="4">
        <v>0.9</v>
      </c>
      <c r="W401" s="4">
        <v>0.5</v>
      </c>
      <c r="X401" s="4">
        <v>0.6</v>
      </c>
      <c r="Y401" s="4">
        <v>0.3</v>
      </c>
      <c r="Z401" s="6">
        <v>578.03008999999997</v>
      </c>
      <c r="AA401" s="4">
        <v>2E-3</v>
      </c>
      <c r="AC401" s="4" t="s">
        <v>202</v>
      </c>
      <c r="AD401" s="4">
        <v>0.9</v>
      </c>
      <c r="AE401" s="4">
        <v>0.5</v>
      </c>
      <c r="AF401" s="4">
        <v>0.6</v>
      </c>
      <c r="AG401" s="4">
        <v>0.78</v>
      </c>
      <c r="AH401" s="4">
        <v>682.66027799999995</v>
      </c>
      <c r="AI401" s="4">
        <v>2.1000000000000001E-2</v>
      </c>
      <c r="AJ401" s="5"/>
      <c r="AK401" s="5"/>
      <c r="AL401" s="5"/>
      <c r="AM401" s="5"/>
      <c r="AO401" s="4" t="s">
        <v>203</v>
      </c>
      <c r="AP401" s="4">
        <v>0.9</v>
      </c>
      <c r="AQ401" s="4">
        <v>0.5</v>
      </c>
      <c r="AR401" s="4">
        <v>0.6</v>
      </c>
      <c r="AS401" s="4">
        <v>0.3</v>
      </c>
      <c r="AT401" s="6">
        <v>961.06109600000002</v>
      </c>
      <c r="AU401" s="4">
        <v>8.0000000000000002E-3</v>
      </c>
      <c r="AW401" s="4" t="s">
        <v>203</v>
      </c>
      <c r="AX401" s="4">
        <v>0.9</v>
      </c>
      <c r="AY401" s="4">
        <v>0.5</v>
      </c>
      <c r="AZ401" s="4">
        <v>0.6</v>
      </c>
      <c r="BA401" s="4">
        <v>0.67</v>
      </c>
      <c r="BB401" s="4">
        <v>1061.118774</v>
      </c>
      <c r="BC401" s="4">
        <v>1.4999999999999999E-2</v>
      </c>
      <c r="BD401" s="5"/>
      <c r="BE401" s="5"/>
      <c r="BF401" s="5"/>
      <c r="BG401" s="5"/>
      <c r="BI401" s="4" t="s">
        <v>203</v>
      </c>
      <c r="BJ401" s="4">
        <v>0.9</v>
      </c>
      <c r="BK401" s="4">
        <v>0.5</v>
      </c>
      <c r="BL401" s="4">
        <v>0.6</v>
      </c>
      <c r="BM401" s="4">
        <v>0.3</v>
      </c>
      <c r="BN401" s="6">
        <v>935.21215800000004</v>
      </c>
      <c r="BO401" s="4">
        <v>1.4E-2</v>
      </c>
      <c r="BQ401" s="4" t="s">
        <v>203</v>
      </c>
      <c r="BR401" s="4">
        <v>0.9</v>
      </c>
      <c r="BS401" s="4">
        <v>0.5</v>
      </c>
      <c r="BT401" s="4">
        <v>0.6</v>
      </c>
      <c r="BU401" s="4">
        <v>0.37</v>
      </c>
      <c r="BV401" s="4">
        <v>981.759094</v>
      </c>
      <c r="BW401" s="4">
        <v>1.7000000000000001E-2</v>
      </c>
      <c r="BX401" s="5"/>
      <c r="BY401" s="5"/>
      <c r="BZ401" s="5"/>
      <c r="CA401" s="5"/>
    </row>
    <row r="402" spans="1:79" x14ac:dyDescent="0.3">
      <c r="A402" s="4" t="s">
        <v>204</v>
      </c>
      <c r="B402" s="4">
        <v>0.9</v>
      </c>
      <c r="C402" s="4">
        <v>0.5</v>
      </c>
      <c r="D402" s="4">
        <v>0.6</v>
      </c>
      <c r="E402" s="4">
        <v>0.3</v>
      </c>
      <c r="F402" s="6">
        <v>641.32995600000004</v>
      </c>
      <c r="G402" s="4">
        <v>3.0000000000000001E-3</v>
      </c>
      <c r="I402" s="4" t="s">
        <v>204</v>
      </c>
      <c r="J402" s="4">
        <v>0.9</v>
      </c>
      <c r="K402" s="4">
        <v>0.5</v>
      </c>
      <c r="L402" s="4">
        <v>0.6</v>
      </c>
      <c r="M402" s="4">
        <v>0.76</v>
      </c>
      <c r="N402" s="4">
        <v>715.84832800000004</v>
      </c>
      <c r="O402" s="4">
        <v>3.4000000000000002E-2</v>
      </c>
      <c r="P402" s="5"/>
      <c r="Q402" s="5"/>
      <c r="R402" s="5"/>
      <c r="S402" s="5"/>
      <c r="U402" s="4" t="s">
        <v>204</v>
      </c>
      <c r="V402" s="4">
        <v>0.9</v>
      </c>
      <c r="W402" s="4">
        <v>0.5</v>
      </c>
      <c r="X402" s="4">
        <v>0.6</v>
      </c>
      <c r="Y402" s="4">
        <v>0.3</v>
      </c>
      <c r="Z402" s="6">
        <v>631.43969700000002</v>
      </c>
      <c r="AA402" s="4">
        <v>2E-3</v>
      </c>
      <c r="AC402" s="4" t="s">
        <v>204</v>
      </c>
      <c r="AD402" s="4">
        <v>0.9</v>
      </c>
      <c r="AE402" s="4">
        <v>0.5</v>
      </c>
      <c r="AF402" s="4">
        <v>0.6</v>
      </c>
      <c r="AG402" s="4">
        <v>0.61</v>
      </c>
      <c r="AH402" s="4">
        <v>698.94964600000003</v>
      </c>
      <c r="AI402" s="4">
        <v>2.5000000000000001E-2</v>
      </c>
      <c r="AJ402" s="5"/>
      <c r="AK402" s="5"/>
      <c r="AL402" s="5"/>
      <c r="AM402" s="5"/>
      <c r="AO402" s="4" t="s">
        <v>205</v>
      </c>
      <c r="AP402" s="4">
        <v>0.9</v>
      </c>
      <c r="AQ402" s="4">
        <v>0.5</v>
      </c>
      <c r="AR402" s="4">
        <v>0.6</v>
      </c>
      <c r="AS402" s="4">
        <v>0.3</v>
      </c>
      <c r="AT402" s="4">
        <v>977.34466599999996</v>
      </c>
      <c r="AU402" s="4">
        <v>1.2E-2</v>
      </c>
      <c r="AW402" s="4" t="s">
        <v>205</v>
      </c>
      <c r="AX402" s="4">
        <v>0.9</v>
      </c>
      <c r="AY402" s="4">
        <v>0.5</v>
      </c>
      <c r="AZ402" s="4">
        <v>0.6</v>
      </c>
      <c r="BA402" s="4">
        <v>0.16</v>
      </c>
      <c r="BB402" s="6">
        <v>873.42974900000002</v>
      </c>
      <c r="BC402" s="4">
        <v>1.4E-2</v>
      </c>
      <c r="BD402" s="5"/>
      <c r="BE402" s="5"/>
      <c r="BF402" s="5"/>
      <c r="BG402" s="5"/>
      <c r="BI402" s="4" t="s">
        <v>205</v>
      </c>
      <c r="BJ402" s="4">
        <v>0.9</v>
      </c>
      <c r="BK402" s="4">
        <v>0.5</v>
      </c>
      <c r="BL402" s="4">
        <v>0.6</v>
      </c>
      <c r="BM402" s="4">
        <v>0.3</v>
      </c>
      <c r="BN402" s="6">
        <v>964.56774900000005</v>
      </c>
      <c r="BO402" s="4">
        <v>0.01</v>
      </c>
      <c r="BQ402" s="4" t="s">
        <v>205</v>
      </c>
      <c r="BR402" s="4">
        <v>0.9</v>
      </c>
      <c r="BS402" s="4">
        <v>0.5</v>
      </c>
      <c r="BT402" s="4">
        <v>0.6</v>
      </c>
      <c r="BU402" s="4">
        <v>0.78</v>
      </c>
      <c r="BV402" s="4">
        <v>1106.771362</v>
      </c>
      <c r="BW402" s="4">
        <v>1.7000000000000001E-2</v>
      </c>
      <c r="BX402" s="5"/>
      <c r="BY402" s="5"/>
      <c r="BZ402" s="5"/>
      <c r="CA402" s="5"/>
    </row>
    <row r="403" spans="1:79" x14ac:dyDescent="0.3">
      <c r="A403" s="4" t="s">
        <v>206</v>
      </c>
      <c r="B403" s="4">
        <v>0.9</v>
      </c>
      <c r="C403" s="4">
        <v>0.5</v>
      </c>
      <c r="D403" s="4">
        <v>0.6</v>
      </c>
      <c r="E403" s="4">
        <v>0.3</v>
      </c>
      <c r="F403" s="6">
        <v>656.63104199999998</v>
      </c>
      <c r="G403" s="4">
        <v>2E-3</v>
      </c>
      <c r="I403" s="4" t="s">
        <v>206</v>
      </c>
      <c r="J403" s="4">
        <v>0.9</v>
      </c>
      <c r="K403" s="4">
        <v>0.5</v>
      </c>
      <c r="L403" s="4">
        <v>0.6</v>
      </c>
      <c r="M403" s="4">
        <v>0.99</v>
      </c>
      <c r="N403" s="4">
        <v>721.87738000000002</v>
      </c>
      <c r="O403" s="4">
        <v>2.5999999999999999E-2</v>
      </c>
      <c r="P403" s="5"/>
      <c r="Q403" s="5"/>
      <c r="R403" s="5"/>
      <c r="S403" s="5"/>
      <c r="U403" s="4" t="s">
        <v>206</v>
      </c>
      <c r="V403" s="4">
        <v>0.9</v>
      </c>
      <c r="W403" s="4">
        <v>0.5</v>
      </c>
      <c r="X403" s="4">
        <v>0.6</v>
      </c>
      <c r="Y403" s="4">
        <v>0.3</v>
      </c>
      <c r="Z403" s="6">
        <v>648.38720699999999</v>
      </c>
      <c r="AA403" s="4">
        <v>2E-3</v>
      </c>
      <c r="AC403" s="4" t="s">
        <v>206</v>
      </c>
      <c r="AD403" s="4">
        <v>0.9</v>
      </c>
      <c r="AE403" s="4">
        <v>0.5</v>
      </c>
      <c r="AF403" s="4">
        <v>0.6</v>
      </c>
      <c r="AG403" s="4">
        <v>0.77</v>
      </c>
      <c r="AH403" s="4">
        <v>691.29608199999996</v>
      </c>
      <c r="AI403" s="4">
        <v>2.1999999999999999E-2</v>
      </c>
      <c r="AJ403" s="5"/>
      <c r="AK403" s="5"/>
      <c r="AL403" s="5"/>
      <c r="AM403" s="5"/>
      <c r="AO403" s="4" t="s">
        <v>207</v>
      </c>
      <c r="AP403" s="4">
        <v>0.9</v>
      </c>
      <c r="AQ403" s="4">
        <v>0.5</v>
      </c>
      <c r="AR403" s="4">
        <v>0.6</v>
      </c>
      <c r="AS403" s="4">
        <v>0.3</v>
      </c>
      <c r="AT403" s="4">
        <v>875.20654300000001</v>
      </c>
      <c r="AU403" s="4">
        <v>7.0000000000000001E-3</v>
      </c>
      <c r="AW403" s="4" t="s">
        <v>207</v>
      </c>
      <c r="AX403" s="4">
        <v>0.9</v>
      </c>
      <c r="AY403" s="4">
        <v>0.5</v>
      </c>
      <c r="AZ403" s="4">
        <v>0.6</v>
      </c>
      <c r="BA403" s="4">
        <v>0.21</v>
      </c>
      <c r="BB403" s="6">
        <v>828.38415499999996</v>
      </c>
      <c r="BC403" s="4">
        <v>1.4999999999999999E-2</v>
      </c>
      <c r="BD403" s="5"/>
      <c r="BE403" s="5"/>
      <c r="BF403" s="5"/>
      <c r="BG403" s="5"/>
      <c r="BI403" s="4" t="s">
        <v>207</v>
      </c>
      <c r="BJ403" s="4">
        <v>0.9</v>
      </c>
      <c r="BK403" s="4">
        <v>0.5</v>
      </c>
      <c r="BL403" s="4">
        <v>0.6</v>
      </c>
      <c r="BM403" s="4">
        <v>0.3</v>
      </c>
      <c r="BN403" s="6">
        <v>852.660889</v>
      </c>
      <c r="BO403" s="4">
        <v>7.0000000000000001E-3</v>
      </c>
      <c r="BQ403" s="4" t="s">
        <v>207</v>
      </c>
      <c r="BR403" s="4">
        <v>0.9</v>
      </c>
      <c r="BS403" s="4">
        <v>0.5</v>
      </c>
      <c r="BT403" s="4">
        <v>0.6</v>
      </c>
      <c r="BU403" s="4">
        <v>0.99</v>
      </c>
      <c r="BV403" s="4">
        <v>1024.413818</v>
      </c>
      <c r="BW403" s="4">
        <v>1.2999999999999999E-2</v>
      </c>
      <c r="BX403" s="5"/>
      <c r="BY403" s="5"/>
      <c r="BZ403" s="5"/>
      <c r="CA403" s="5"/>
    </row>
    <row r="404" spans="1:79" x14ac:dyDescent="0.3">
      <c r="A404" s="4" t="s">
        <v>208</v>
      </c>
      <c r="B404" s="4">
        <v>0.9</v>
      </c>
      <c r="C404" s="4">
        <v>0.5</v>
      </c>
      <c r="D404" s="4">
        <v>0.6</v>
      </c>
      <c r="E404" s="4">
        <v>0.3</v>
      </c>
      <c r="F404" s="6">
        <v>616.14959699999997</v>
      </c>
      <c r="G404" s="4">
        <v>2E-3</v>
      </c>
      <c r="I404" s="4" t="s">
        <v>208</v>
      </c>
      <c r="J404" s="4">
        <v>0.9</v>
      </c>
      <c r="K404" s="4">
        <v>0.5</v>
      </c>
      <c r="L404" s="4">
        <v>0.6</v>
      </c>
      <c r="M404" s="4">
        <v>0.7</v>
      </c>
      <c r="N404" s="4">
        <v>695.15118399999994</v>
      </c>
      <c r="O404" s="4">
        <v>0.01</v>
      </c>
      <c r="P404" s="5"/>
      <c r="Q404" s="5"/>
      <c r="R404" s="5"/>
      <c r="S404" s="5"/>
      <c r="U404" s="4" t="s">
        <v>208</v>
      </c>
      <c r="V404" s="4">
        <v>0.9</v>
      </c>
      <c r="W404" s="4">
        <v>0.5</v>
      </c>
      <c r="X404" s="4">
        <v>0.6</v>
      </c>
      <c r="Y404" s="4">
        <v>0.3</v>
      </c>
      <c r="Z404" s="6">
        <v>604.82757600000002</v>
      </c>
      <c r="AA404" s="4">
        <v>2E-3</v>
      </c>
      <c r="AC404" s="4" t="s">
        <v>208</v>
      </c>
      <c r="AD404" s="4">
        <v>0.9</v>
      </c>
      <c r="AE404" s="4">
        <v>0.5</v>
      </c>
      <c r="AF404" s="4">
        <v>0.6</v>
      </c>
      <c r="AG404" s="4">
        <v>0.94</v>
      </c>
      <c r="AH404" s="4">
        <v>711.34863299999995</v>
      </c>
      <c r="AI404" s="4">
        <v>1.4999999999999999E-2</v>
      </c>
      <c r="AJ404" s="5"/>
      <c r="AK404" s="5"/>
      <c r="AL404" s="5"/>
      <c r="AM404" s="5"/>
      <c r="AO404" s="4" t="s">
        <v>209</v>
      </c>
      <c r="AP404" s="4">
        <v>0.9</v>
      </c>
      <c r="AQ404" s="4">
        <v>0.5</v>
      </c>
      <c r="AR404" s="4">
        <v>0.6</v>
      </c>
      <c r="AS404" s="4">
        <v>0.3</v>
      </c>
      <c r="AT404" s="6">
        <v>877.23193400000002</v>
      </c>
      <c r="AU404" s="4">
        <v>7.0000000000000001E-3</v>
      </c>
      <c r="AW404" s="4" t="s">
        <v>209</v>
      </c>
      <c r="AX404" s="4">
        <v>0.9</v>
      </c>
      <c r="AY404" s="4">
        <v>0.5</v>
      </c>
      <c r="AZ404" s="4">
        <v>0.6</v>
      </c>
      <c r="BA404" s="4">
        <v>0.34</v>
      </c>
      <c r="BB404" s="4">
        <v>918.24585000000002</v>
      </c>
      <c r="BC404" s="4">
        <v>1.7999999999999999E-2</v>
      </c>
      <c r="BD404" s="5"/>
      <c r="BE404" s="5"/>
      <c r="BF404" s="5"/>
      <c r="BG404" s="5"/>
      <c r="BI404" s="4" t="s">
        <v>209</v>
      </c>
      <c r="BJ404" s="4">
        <v>0.9</v>
      </c>
      <c r="BK404" s="4">
        <v>0.5</v>
      </c>
      <c r="BL404" s="4">
        <v>0.6</v>
      </c>
      <c r="BM404" s="4">
        <v>0.3</v>
      </c>
      <c r="BN404" s="6">
        <v>849.09204099999999</v>
      </c>
      <c r="BO404" s="4">
        <v>8.9999999999999993E-3</v>
      </c>
      <c r="BQ404" s="4" t="s">
        <v>209</v>
      </c>
      <c r="BR404" s="4">
        <v>0.9</v>
      </c>
      <c r="BS404" s="4">
        <v>0.5</v>
      </c>
      <c r="BT404" s="4">
        <v>0.6</v>
      </c>
      <c r="BU404" s="4">
        <v>0.52</v>
      </c>
      <c r="BV404" s="4">
        <v>970.21508800000004</v>
      </c>
      <c r="BW404" s="4">
        <v>1.7999999999999999E-2</v>
      </c>
      <c r="BX404" s="5"/>
      <c r="BY404" s="5"/>
      <c r="BZ404" s="5"/>
      <c r="CA404" s="5"/>
    </row>
    <row r="405" spans="1:79" x14ac:dyDescent="0.3">
      <c r="A405" s="4" t="s">
        <v>210</v>
      </c>
      <c r="B405" s="4">
        <v>0.9</v>
      </c>
      <c r="C405" s="4">
        <v>0.5</v>
      </c>
      <c r="D405" s="4">
        <v>0.6</v>
      </c>
      <c r="E405" s="4">
        <v>0.3</v>
      </c>
      <c r="F405" s="6">
        <v>620.622253</v>
      </c>
      <c r="G405" s="4">
        <v>2E-3</v>
      </c>
      <c r="I405" s="4" t="s">
        <v>210</v>
      </c>
      <c r="J405" s="4">
        <v>0.9</v>
      </c>
      <c r="K405" s="4">
        <v>0.5</v>
      </c>
      <c r="L405" s="4">
        <v>0.6</v>
      </c>
      <c r="M405" s="4">
        <v>0.33</v>
      </c>
      <c r="N405" s="4">
        <v>635.881348</v>
      </c>
      <c r="O405" s="4">
        <v>1.4E-2</v>
      </c>
      <c r="P405" s="5"/>
      <c r="Q405" s="5"/>
      <c r="R405" s="5"/>
      <c r="S405" s="5"/>
      <c r="U405" s="4" t="s">
        <v>210</v>
      </c>
      <c r="V405" s="4">
        <v>0.9</v>
      </c>
      <c r="W405" s="4">
        <v>0.5</v>
      </c>
      <c r="X405" s="4">
        <v>0.6</v>
      </c>
      <c r="Y405" s="4">
        <v>0.3</v>
      </c>
      <c r="Z405" s="6">
        <v>608.55609100000004</v>
      </c>
      <c r="AA405" s="4">
        <v>3.0000000000000001E-3</v>
      </c>
      <c r="AC405" s="4" t="s">
        <v>210</v>
      </c>
      <c r="AD405" s="4">
        <v>0.9</v>
      </c>
      <c r="AE405" s="4">
        <v>0.5</v>
      </c>
      <c r="AF405" s="4">
        <v>0.6</v>
      </c>
      <c r="AG405" s="4">
        <v>0.95</v>
      </c>
      <c r="AH405" s="4">
        <v>711.15875200000005</v>
      </c>
      <c r="AI405" s="4">
        <v>1.9E-2</v>
      </c>
      <c r="AJ405" s="5"/>
      <c r="AK405" s="5"/>
      <c r="AL405" s="5"/>
      <c r="AM405" s="5"/>
      <c r="AO405" s="4" t="s">
        <v>211</v>
      </c>
      <c r="AP405" s="4">
        <v>0.9</v>
      </c>
      <c r="AQ405" s="4">
        <v>0.5</v>
      </c>
      <c r="AR405" s="4">
        <v>0.6</v>
      </c>
      <c r="AS405" s="4">
        <v>0.3</v>
      </c>
      <c r="AT405" s="6">
        <v>914.02734399999997</v>
      </c>
      <c r="AU405" s="4">
        <v>7.0000000000000001E-3</v>
      </c>
      <c r="AW405" s="4" t="s">
        <v>211</v>
      </c>
      <c r="AX405" s="4">
        <v>0.9</v>
      </c>
      <c r="AY405" s="4">
        <v>0.5</v>
      </c>
      <c r="AZ405" s="4">
        <v>0.6</v>
      </c>
      <c r="BA405" s="4">
        <v>0.54</v>
      </c>
      <c r="BB405" s="4">
        <v>1007.690979</v>
      </c>
      <c r="BC405" s="4">
        <v>1.4999999999999999E-2</v>
      </c>
      <c r="BD405" s="5"/>
      <c r="BE405" s="5"/>
      <c r="BF405" s="5"/>
      <c r="BG405" s="5"/>
      <c r="BI405" s="4" t="s">
        <v>211</v>
      </c>
      <c r="BJ405" s="4">
        <v>0.9</v>
      </c>
      <c r="BK405" s="4">
        <v>0.5</v>
      </c>
      <c r="BL405" s="4">
        <v>0.6</v>
      </c>
      <c r="BM405" s="4">
        <v>0.3</v>
      </c>
      <c r="BN405" s="6">
        <v>898.07720900000004</v>
      </c>
      <c r="BO405" s="4">
        <v>7.0000000000000001E-3</v>
      </c>
      <c r="BQ405" s="4" t="s">
        <v>211</v>
      </c>
      <c r="BR405" s="4">
        <v>0.9</v>
      </c>
      <c r="BS405" s="4">
        <v>0.5</v>
      </c>
      <c r="BT405" s="4">
        <v>0.6</v>
      </c>
      <c r="BU405" s="4">
        <v>0.56000000000000005</v>
      </c>
      <c r="BV405" s="4">
        <v>995.71807899999999</v>
      </c>
      <c r="BW405" s="4">
        <v>2.1000000000000001E-2</v>
      </c>
      <c r="BX405" s="5"/>
      <c r="BY405" s="5"/>
      <c r="BZ405" s="5"/>
      <c r="CA405" s="5"/>
    </row>
    <row r="406" spans="1:79" x14ac:dyDescent="0.3">
      <c r="A406" s="4" t="s">
        <v>212</v>
      </c>
      <c r="B406" s="4">
        <v>0.9</v>
      </c>
      <c r="C406" s="4">
        <v>0.5</v>
      </c>
      <c r="D406" s="4">
        <v>0.6</v>
      </c>
      <c r="E406" s="4">
        <v>0.3</v>
      </c>
      <c r="F406" s="6">
        <v>636.93353300000001</v>
      </c>
      <c r="G406" s="4">
        <v>2E-3</v>
      </c>
      <c r="I406" s="4" t="s">
        <v>212</v>
      </c>
      <c r="J406" s="4">
        <v>0.9</v>
      </c>
      <c r="K406" s="4">
        <v>0.5</v>
      </c>
      <c r="L406" s="4">
        <v>0.6</v>
      </c>
      <c r="M406" s="4">
        <v>0.01</v>
      </c>
      <c r="N406" s="4">
        <v>660.20269800000005</v>
      </c>
      <c r="O406" s="4">
        <v>0.02</v>
      </c>
      <c r="P406" s="5"/>
      <c r="Q406" s="5"/>
      <c r="R406" s="5"/>
      <c r="S406" s="5"/>
      <c r="U406" s="4" t="s">
        <v>212</v>
      </c>
      <c r="V406" s="4">
        <v>0.9</v>
      </c>
      <c r="W406" s="4">
        <v>0.5</v>
      </c>
      <c r="X406" s="4">
        <v>0.6</v>
      </c>
      <c r="Y406" s="4">
        <v>0.3</v>
      </c>
      <c r="Z406" s="4">
        <v>620.18176300000005</v>
      </c>
      <c r="AA406" s="4">
        <v>2E-3</v>
      </c>
      <c r="AC406" s="4" t="s">
        <v>212</v>
      </c>
      <c r="AD406" s="4">
        <v>0.9</v>
      </c>
      <c r="AE406" s="4">
        <v>0.5</v>
      </c>
      <c r="AF406" s="4">
        <v>0.6</v>
      </c>
      <c r="AG406" s="4">
        <v>0.15</v>
      </c>
      <c r="AH406" s="6">
        <v>604.70434599999999</v>
      </c>
      <c r="AI406" s="4">
        <v>2.9000000000000001E-2</v>
      </c>
      <c r="AJ406" s="5"/>
      <c r="AK406" s="5"/>
      <c r="AL406" s="5"/>
      <c r="AM406" s="5"/>
      <c r="AO406" s="4" t="s">
        <v>213</v>
      </c>
      <c r="AP406" s="4">
        <v>0.9</v>
      </c>
      <c r="AQ406" s="4">
        <v>0.5</v>
      </c>
      <c r="AR406" s="4">
        <v>0.6</v>
      </c>
      <c r="AS406" s="4">
        <v>0.3</v>
      </c>
      <c r="AT406" s="4">
        <v>956.25885000000005</v>
      </c>
      <c r="AU406" s="4">
        <v>0.01</v>
      </c>
      <c r="AW406" s="4" t="s">
        <v>213</v>
      </c>
      <c r="AX406" s="4">
        <v>0.9</v>
      </c>
      <c r="AY406" s="4">
        <v>0.5</v>
      </c>
      <c r="AZ406" s="4">
        <v>0.6</v>
      </c>
      <c r="BA406" s="4">
        <v>0.09</v>
      </c>
      <c r="BB406" s="6">
        <v>821.36456299999998</v>
      </c>
      <c r="BC406" s="4">
        <v>1.6E-2</v>
      </c>
      <c r="BD406" s="5"/>
      <c r="BE406" s="5"/>
      <c r="BF406" s="5"/>
      <c r="BG406" s="5"/>
      <c r="BI406" s="4" t="s">
        <v>213</v>
      </c>
      <c r="BJ406" s="4">
        <v>0.9</v>
      </c>
      <c r="BK406" s="4">
        <v>0.5</v>
      </c>
      <c r="BL406" s="4">
        <v>0.6</v>
      </c>
      <c r="BM406" s="4">
        <v>0.3</v>
      </c>
      <c r="BN406" s="6">
        <v>951.216003</v>
      </c>
      <c r="BO406" s="4">
        <v>7.0000000000000001E-3</v>
      </c>
      <c r="BQ406" s="4" t="s">
        <v>213</v>
      </c>
      <c r="BR406" s="4">
        <v>0.9</v>
      </c>
      <c r="BS406" s="4">
        <v>0.5</v>
      </c>
      <c r="BT406" s="4">
        <v>0.6</v>
      </c>
      <c r="BU406" s="4">
        <v>0.94</v>
      </c>
      <c r="BV406" s="4">
        <v>1124.526611</v>
      </c>
      <c r="BW406" s="4">
        <v>2.3E-2</v>
      </c>
      <c r="BX406" s="5"/>
      <c r="BY406" s="5"/>
      <c r="BZ406" s="5"/>
      <c r="CA406" s="5"/>
    </row>
    <row r="407" spans="1:79" x14ac:dyDescent="0.3">
      <c r="A407" s="4" t="s">
        <v>214</v>
      </c>
      <c r="B407" s="4">
        <v>0.9</v>
      </c>
      <c r="C407" s="4">
        <v>0.5</v>
      </c>
      <c r="D407" s="4">
        <v>0.6</v>
      </c>
      <c r="E407" s="4">
        <v>0.3</v>
      </c>
      <c r="F407" s="6">
        <v>642.42156999999997</v>
      </c>
      <c r="G407" s="4">
        <v>2E-3</v>
      </c>
      <c r="I407" s="4" t="s">
        <v>214</v>
      </c>
      <c r="J407" s="4">
        <v>0.9</v>
      </c>
      <c r="K407" s="4">
        <v>0.5</v>
      </c>
      <c r="L407" s="4">
        <v>0.6</v>
      </c>
      <c r="M407" s="4">
        <v>0.5</v>
      </c>
      <c r="N407" s="4">
        <v>688.24462900000003</v>
      </c>
      <c r="O407" s="4">
        <v>1.9E-2</v>
      </c>
      <c r="P407" s="5"/>
      <c r="Q407" s="5"/>
      <c r="R407" s="5"/>
      <c r="S407" s="5"/>
      <c r="U407" s="4" t="s">
        <v>214</v>
      </c>
      <c r="V407" s="4">
        <v>0.9</v>
      </c>
      <c r="W407" s="4">
        <v>0.5</v>
      </c>
      <c r="X407" s="4">
        <v>0.6</v>
      </c>
      <c r="Y407" s="4">
        <v>0.3</v>
      </c>
      <c r="Z407" s="6">
        <v>646.97271699999999</v>
      </c>
      <c r="AA407" s="4">
        <v>3.0000000000000001E-3</v>
      </c>
      <c r="AC407" s="4" t="s">
        <v>214</v>
      </c>
      <c r="AD407" s="4">
        <v>0.9</v>
      </c>
      <c r="AE407" s="4">
        <v>0.5</v>
      </c>
      <c r="AF407" s="4">
        <v>0.6</v>
      </c>
      <c r="AG407" s="4">
        <v>0.55000000000000004</v>
      </c>
      <c r="AH407" s="4">
        <v>716.72723399999995</v>
      </c>
      <c r="AI407" s="4">
        <v>0.02</v>
      </c>
      <c r="AJ407" s="5"/>
      <c r="AK407" s="5"/>
      <c r="AL407" s="5"/>
      <c r="AM407" s="5"/>
      <c r="AO407" s="4" t="s">
        <v>215</v>
      </c>
      <c r="AP407" s="4">
        <v>0.9</v>
      </c>
      <c r="AQ407" s="4">
        <v>0.5</v>
      </c>
      <c r="AR407" s="4">
        <v>0.6</v>
      </c>
      <c r="AS407" s="4">
        <v>0.3</v>
      </c>
      <c r="AT407" s="4">
        <v>1023.178894</v>
      </c>
      <c r="AU407" s="4">
        <v>1.6E-2</v>
      </c>
      <c r="AW407" s="4" t="s">
        <v>215</v>
      </c>
      <c r="AX407" s="4">
        <v>0.9</v>
      </c>
      <c r="AY407" s="4">
        <v>0.5</v>
      </c>
      <c r="AZ407" s="4">
        <v>0.6</v>
      </c>
      <c r="BA407" s="4">
        <v>0.21</v>
      </c>
      <c r="BB407" s="6">
        <v>977.50891100000001</v>
      </c>
      <c r="BC407" s="4">
        <v>3.1E-2</v>
      </c>
      <c r="BD407" s="5"/>
      <c r="BE407" s="5"/>
      <c r="BF407" s="5"/>
      <c r="BG407" s="5"/>
      <c r="BI407" s="4" t="s">
        <v>215</v>
      </c>
      <c r="BJ407" s="4">
        <v>0.9</v>
      </c>
      <c r="BK407" s="4">
        <v>0.5</v>
      </c>
      <c r="BL407" s="4">
        <v>0.6</v>
      </c>
      <c r="BM407" s="4">
        <v>0.3</v>
      </c>
      <c r="BN407" s="4">
        <v>1023.651672</v>
      </c>
      <c r="BO407" s="4">
        <v>1.2E-2</v>
      </c>
      <c r="BQ407" s="4" t="s">
        <v>215</v>
      </c>
      <c r="BR407" s="4">
        <v>0.9</v>
      </c>
      <c r="BS407" s="4">
        <v>0.5</v>
      </c>
      <c r="BT407" s="4">
        <v>0.6</v>
      </c>
      <c r="BU407" s="4">
        <v>0.14000000000000001</v>
      </c>
      <c r="BV407" s="6">
        <v>925.66570999999999</v>
      </c>
      <c r="BW407" s="4">
        <v>2.1000000000000001E-2</v>
      </c>
      <c r="BX407" s="5"/>
      <c r="BY407" s="5"/>
      <c r="BZ407" s="5"/>
      <c r="CA407" s="5"/>
    </row>
    <row r="408" spans="1:79" x14ac:dyDescent="0.3">
      <c r="A408" s="4" t="s">
        <v>216</v>
      </c>
      <c r="B408" s="4">
        <v>0.9</v>
      </c>
      <c r="C408" s="4">
        <v>0.5</v>
      </c>
      <c r="D408" s="4">
        <v>0.6</v>
      </c>
      <c r="E408" s="4">
        <v>0.3</v>
      </c>
      <c r="F408" s="6">
        <v>615.52948000000004</v>
      </c>
      <c r="G408" s="4">
        <v>2E-3</v>
      </c>
      <c r="I408" s="4" t="s">
        <v>216</v>
      </c>
      <c r="J408" s="4">
        <v>0.9</v>
      </c>
      <c r="K408" s="4">
        <v>0.5</v>
      </c>
      <c r="L408" s="4">
        <v>0.6</v>
      </c>
      <c r="M408" s="4">
        <v>0.54</v>
      </c>
      <c r="N408" s="4">
        <v>677.40118399999994</v>
      </c>
      <c r="O408" s="4">
        <v>1.2999999999999999E-2</v>
      </c>
      <c r="P408" s="5"/>
      <c r="Q408" s="5"/>
      <c r="R408" s="5"/>
      <c r="S408" s="5"/>
      <c r="U408" s="4" t="s">
        <v>216</v>
      </c>
      <c r="V408" s="4">
        <v>0.9</v>
      </c>
      <c r="W408" s="4">
        <v>0.5</v>
      </c>
      <c r="X408" s="4">
        <v>0.6</v>
      </c>
      <c r="Y408" s="4">
        <v>0.3</v>
      </c>
      <c r="Z408" s="4">
        <v>591.88995399999999</v>
      </c>
      <c r="AA408" s="4">
        <v>2E-3</v>
      </c>
      <c r="AC408" s="4" t="s">
        <v>216</v>
      </c>
      <c r="AD408" s="4">
        <v>0.9</v>
      </c>
      <c r="AE408" s="4">
        <v>0.5</v>
      </c>
      <c r="AF408" s="4">
        <v>0.6</v>
      </c>
      <c r="AG408" s="4">
        <v>0.12</v>
      </c>
      <c r="AH408" s="6">
        <v>560.38580300000001</v>
      </c>
      <c r="AI408" s="4">
        <v>2.7E-2</v>
      </c>
      <c r="AJ408" s="5"/>
      <c r="AK408" s="5"/>
      <c r="AL408" s="5"/>
      <c r="AM408" s="5"/>
      <c r="AO408" s="4" t="s">
        <v>217</v>
      </c>
      <c r="AP408" s="4">
        <v>0.9</v>
      </c>
      <c r="AQ408" s="4">
        <v>0.5</v>
      </c>
      <c r="AR408" s="4">
        <v>0.6</v>
      </c>
      <c r="AS408" s="4">
        <v>0.3</v>
      </c>
      <c r="AT408" s="6">
        <v>1031.7460940000001</v>
      </c>
      <c r="AU408" s="4">
        <v>1.0999999999999999E-2</v>
      </c>
      <c r="AW408" s="4" t="s">
        <v>217</v>
      </c>
      <c r="AX408" s="4">
        <v>0.9</v>
      </c>
      <c r="AY408" s="4">
        <v>0.5</v>
      </c>
      <c r="AZ408" s="4">
        <v>0.6</v>
      </c>
      <c r="BA408" s="4">
        <v>0.62</v>
      </c>
      <c r="BB408" s="4">
        <v>1221.4542240000001</v>
      </c>
      <c r="BC408" s="4">
        <v>2.3E-2</v>
      </c>
      <c r="BD408" s="5"/>
      <c r="BE408" s="5"/>
      <c r="BF408" s="5"/>
      <c r="BG408" s="5"/>
      <c r="BI408" s="4" t="s">
        <v>217</v>
      </c>
      <c r="BJ408" s="4">
        <v>0.9</v>
      </c>
      <c r="BK408" s="4">
        <v>0.5</v>
      </c>
      <c r="BL408" s="4">
        <v>0.6</v>
      </c>
      <c r="BM408" s="4">
        <v>0.3</v>
      </c>
      <c r="BN408" s="4">
        <v>1056.4921879999999</v>
      </c>
      <c r="BO408" s="4">
        <v>8.9999999999999993E-3</v>
      </c>
      <c r="BQ408" s="4" t="s">
        <v>217</v>
      </c>
      <c r="BR408" s="4">
        <v>0.9</v>
      </c>
      <c r="BS408" s="4">
        <v>0.5</v>
      </c>
      <c r="BT408" s="4">
        <v>0.6</v>
      </c>
      <c r="BU408" s="4">
        <v>0.01</v>
      </c>
      <c r="BV408" s="6">
        <v>940.88458300000002</v>
      </c>
      <c r="BW408" s="4">
        <v>2.4E-2</v>
      </c>
      <c r="BX408" s="5"/>
      <c r="BY408" s="5"/>
      <c r="BZ408" s="5"/>
      <c r="CA408" s="5"/>
    </row>
    <row r="409" spans="1:79" x14ac:dyDescent="0.3">
      <c r="A409" s="4" t="s">
        <v>218</v>
      </c>
      <c r="B409" s="4">
        <v>0.9</v>
      </c>
      <c r="C409" s="4">
        <v>0.5</v>
      </c>
      <c r="D409" s="4">
        <v>0.6</v>
      </c>
      <c r="E409" s="4">
        <v>0.3</v>
      </c>
      <c r="F409" s="4">
        <v>673.25628700000004</v>
      </c>
      <c r="G409" s="4">
        <v>2E-3</v>
      </c>
      <c r="I409" s="4" t="s">
        <v>218</v>
      </c>
      <c r="J409" s="4">
        <v>0.9</v>
      </c>
      <c r="K409" s="4">
        <v>0.5</v>
      </c>
      <c r="L409" s="4">
        <v>0.6</v>
      </c>
      <c r="M409" s="4">
        <v>0.08</v>
      </c>
      <c r="N409" s="6">
        <v>623.96478300000001</v>
      </c>
      <c r="O409" s="4">
        <v>1.6E-2</v>
      </c>
      <c r="P409" s="5"/>
      <c r="Q409" s="5"/>
      <c r="R409" s="5"/>
      <c r="S409" s="5"/>
      <c r="U409" s="4" t="s">
        <v>218</v>
      </c>
      <c r="V409" s="4">
        <v>0.9</v>
      </c>
      <c r="W409" s="4">
        <v>0.5</v>
      </c>
      <c r="X409" s="4">
        <v>0.6</v>
      </c>
      <c r="Y409" s="4">
        <v>0.3</v>
      </c>
      <c r="Z409" s="6">
        <v>643.56225600000005</v>
      </c>
      <c r="AA409" s="4">
        <v>2E-3</v>
      </c>
      <c r="AC409" s="4" t="s">
        <v>218</v>
      </c>
      <c r="AD409" s="4">
        <v>0.9</v>
      </c>
      <c r="AE409" s="4">
        <v>0.5</v>
      </c>
      <c r="AF409" s="4">
        <v>0.6</v>
      </c>
      <c r="AG409" s="4">
        <v>0.65</v>
      </c>
      <c r="AH409" s="4">
        <v>752.11358600000005</v>
      </c>
      <c r="AI409" s="4">
        <v>1.4999999999999999E-2</v>
      </c>
      <c r="AJ409" s="5"/>
      <c r="AK409" s="5"/>
      <c r="AL409" s="5"/>
      <c r="AM409" s="5"/>
      <c r="AO409" s="4" t="s">
        <v>219</v>
      </c>
      <c r="AP409" s="4">
        <v>0.9</v>
      </c>
      <c r="AQ409" s="4">
        <v>0.5</v>
      </c>
      <c r="AR409" s="4">
        <v>0.6</v>
      </c>
      <c r="AS409" s="4">
        <v>0.3</v>
      </c>
      <c r="AT409" s="4">
        <v>1067.198975</v>
      </c>
      <c r="AU409" s="4">
        <v>0.01</v>
      </c>
      <c r="AW409" s="4" t="s">
        <v>219</v>
      </c>
      <c r="AX409" s="4">
        <v>0.9</v>
      </c>
      <c r="AY409" s="4">
        <v>0.5</v>
      </c>
      <c r="AZ409" s="4">
        <v>0.6</v>
      </c>
      <c r="BA409" s="4">
        <v>0.2</v>
      </c>
      <c r="BB409" s="6">
        <v>981.13952600000005</v>
      </c>
      <c r="BC409" s="4">
        <v>2.5000000000000001E-2</v>
      </c>
      <c r="BD409" s="5"/>
      <c r="BE409" s="5"/>
      <c r="BF409" s="5"/>
      <c r="BG409" s="5"/>
      <c r="BI409" s="4" t="s">
        <v>219</v>
      </c>
      <c r="BJ409" s="4">
        <v>0.9</v>
      </c>
      <c r="BK409" s="4">
        <v>0.5</v>
      </c>
      <c r="BL409" s="4">
        <v>0.6</v>
      </c>
      <c r="BM409" s="4">
        <v>0.3</v>
      </c>
      <c r="BN409" s="6">
        <v>1065.800659</v>
      </c>
      <c r="BO409" s="4">
        <v>8.9999999999999993E-3</v>
      </c>
      <c r="BQ409" s="4" t="s">
        <v>219</v>
      </c>
      <c r="BR409" s="4">
        <v>0.9</v>
      </c>
      <c r="BS409" s="4">
        <v>0.5</v>
      </c>
      <c r="BT409" s="4">
        <v>0.6</v>
      </c>
      <c r="BU409" s="4">
        <v>0.97</v>
      </c>
      <c r="BV409" s="4">
        <v>1244.4704589999999</v>
      </c>
      <c r="BW409" s="4">
        <v>2.4E-2</v>
      </c>
      <c r="BX409" s="5"/>
      <c r="BY409" s="5"/>
      <c r="BZ409" s="5"/>
      <c r="CA409" s="5"/>
    </row>
    <row r="410" spans="1:79" x14ac:dyDescent="0.3">
      <c r="A410" s="4" t="s">
        <v>220</v>
      </c>
      <c r="B410" s="4">
        <v>0.9</v>
      </c>
      <c r="C410" s="4">
        <v>0.5</v>
      </c>
      <c r="D410" s="4">
        <v>0.6</v>
      </c>
      <c r="E410" s="4">
        <v>0.3</v>
      </c>
      <c r="F410" s="6">
        <v>678.98358199999996</v>
      </c>
      <c r="G410" s="4">
        <v>2E-3</v>
      </c>
      <c r="I410" s="4" t="s">
        <v>220</v>
      </c>
      <c r="J410" s="4">
        <v>0.9</v>
      </c>
      <c r="K410" s="4">
        <v>0.5</v>
      </c>
      <c r="L410" s="4">
        <v>0.6</v>
      </c>
      <c r="M410" s="4">
        <v>0.78</v>
      </c>
      <c r="N410" s="4">
        <v>867.79357900000002</v>
      </c>
      <c r="O410" s="4">
        <v>1.9E-2</v>
      </c>
      <c r="P410" s="5"/>
      <c r="Q410" s="5"/>
      <c r="R410" s="5"/>
      <c r="S410" s="5"/>
      <c r="U410" s="4" t="s">
        <v>220</v>
      </c>
      <c r="V410" s="4">
        <v>0.9</v>
      </c>
      <c r="W410" s="4">
        <v>0.5</v>
      </c>
      <c r="X410" s="4">
        <v>0.6</v>
      </c>
      <c r="Y410" s="4">
        <v>0.3</v>
      </c>
      <c r="Z410" s="6">
        <v>686.17370600000004</v>
      </c>
      <c r="AA410" s="4">
        <v>4.0000000000000001E-3</v>
      </c>
      <c r="AC410" s="4" t="s">
        <v>220</v>
      </c>
      <c r="AD410" s="4">
        <v>0.9</v>
      </c>
      <c r="AE410" s="4">
        <v>0.5</v>
      </c>
      <c r="AF410" s="4">
        <v>0.6</v>
      </c>
      <c r="AG410" s="4">
        <v>0.4</v>
      </c>
      <c r="AH410" s="4">
        <v>703.87383999999997</v>
      </c>
      <c r="AI410" s="4">
        <v>6.4000000000000001E-2</v>
      </c>
      <c r="AJ410" s="5"/>
      <c r="AK410" s="5"/>
      <c r="AL410" s="5"/>
      <c r="AM410" s="5"/>
      <c r="AO410" s="4" t="s">
        <v>221</v>
      </c>
      <c r="AP410" s="4">
        <v>0.9</v>
      </c>
      <c r="AQ410" s="4">
        <v>0.5</v>
      </c>
      <c r="AR410" s="4">
        <v>0.6</v>
      </c>
      <c r="AS410" s="4">
        <v>0.3</v>
      </c>
      <c r="AT410" s="4">
        <v>984.73730499999999</v>
      </c>
      <c r="AU410" s="4">
        <v>7.0000000000000001E-3</v>
      </c>
      <c r="AW410" s="4" t="s">
        <v>221</v>
      </c>
      <c r="AX410" s="4">
        <v>0.9</v>
      </c>
      <c r="AY410" s="4">
        <v>0.5</v>
      </c>
      <c r="AZ410" s="4">
        <v>0.6</v>
      </c>
      <c r="BA410" s="4">
        <v>0.15</v>
      </c>
      <c r="BB410" s="6">
        <v>906.59442100000001</v>
      </c>
      <c r="BC410" s="4">
        <v>2.9000000000000001E-2</v>
      </c>
      <c r="BD410" s="5"/>
      <c r="BE410" s="5"/>
      <c r="BF410" s="5"/>
      <c r="BG410" s="5"/>
      <c r="BI410" s="4" t="s">
        <v>221</v>
      </c>
      <c r="BJ410" s="4">
        <v>0.9</v>
      </c>
      <c r="BK410" s="4">
        <v>0.5</v>
      </c>
      <c r="BL410" s="4">
        <v>0.6</v>
      </c>
      <c r="BM410" s="4">
        <v>0.3</v>
      </c>
      <c r="BN410" s="4">
        <v>977.16546600000004</v>
      </c>
      <c r="BO410" s="4">
        <v>8.0000000000000002E-3</v>
      </c>
      <c r="BQ410" s="4" t="s">
        <v>221</v>
      </c>
      <c r="BR410" s="4">
        <v>0.9</v>
      </c>
      <c r="BS410" s="4">
        <v>0.5</v>
      </c>
      <c r="BT410" s="4">
        <v>0.6</v>
      </c>
      <c r="BU410" s="4">
        <v>0.11</v>
      </c>
      <c r="BV410" s="6">
        <v>856.53143299999999</v>
      </c>
      <c r="BW410" s="4">
        <v>1.2E-2</v>
      </c>
      <c r="BX410" s="5"/>
      <c r="BY410" s="5"/>
      <c r="BZ410" s="5"/>
      <c r="CA410" s="5"/>
    </row>
    <row r="411" spans="1:79" x14ac:dyDescent="0.3">
      <c r="A411" s="4" t="s">
        <v>222</v>
      </c>
      <c r="B411" s="4">
        <v>0.9</v>
      </c>
      <c r="C411" s="4">
        <v>0.5</v>
      </c>
      <c r="D411" s="4">
        <v>0.6</v>
      </c>
      <c r="E411" s="4">
        <v>0.3</v>
      </c>
      <c r="F411" s="4">
        <v>700.60656700000004</v>
      </c>
      <c r="G411" s="4">
        <v>3.0000000000000001E-3</v>
      </c>
      <c r="I411" s="4" t="s">
        <v>222</v>
      </c>
      <c r="J411" s="4">
        <v>0.9</v>
      </c>
      <c r="K411" s="4">
        <v>0.5</v>
      </c>
      <c r="L411" s="4">
        <v>0.6</v>
      </c>
      <c r="M411" s="4">
        <v>0.21</v>
      </c>
      <c r="N411" s="6">
        <v>685.13958700000001</v>
      </c>
      <c r="O411" s="4">
        <v>1.2999999999999999E-2</v>
      </c>
      <c r="P411" s="5"/>
      <c r="Q411" s="5"/>
      <c r="R411" s="5"/>
      <c r="S411" s="5"/>
      <c r="U411" s="4" t="s">
        <v>222</v>
      </c>
      <c r="V411" s="4">
        <v>0.9</v>
      </c>
      <c r="W411" s="4">
        <v>0.5</v>
      </c>
      <c r="X411" s="4">
        <v>0.6</v>
      </c>
      <c r="Y411" s="4">
        <v>0.3</v>
      </c>
      <c r="Z411" s="6">
        <v>678.02447500000005</v>
      </c>
      <c r="AA411" s="4">
        <v>3.0000000000000001E-3</v>
      </c>
      <c r="AC411" s="4" t="s">
        <v>222</v>
      </c>
      <c r="AD411" s="4">
        <v>0.9</v>
      </c>
      <c r="AE411" s="4">
        <v>0.5</v>
      </c>
      <c r="AF411" s="4">
        <v>0.6</v>
      </c>
      <c r="AG411" s="4">
        <v>0.93</v>
      </c>
      <c r="AH411" s="4">
        <v>852.29040499999996</v>
      </c>
      <c r="AI411" s="4">
        <v>1.9E-2</v>
      </c>
      <c r="AJ411" s="5"/>
      <c r="AK411" s="5"/>
      <c r="AL411" s="5"/>
      <c r="AM411" s="5"/>
      <c r="AO411" s="4" t="s">
        <v>223</v>
      </c>
      <c r="AP411" s="4">
        <v>0.9</v>
      </c>
      <c r="AQ411" s="4">
        <v>0.5</v>
      </c>
      <c r="AR411" s="4">
        <v>0.6</v>
      </c>
      <c r="AS411" s="4">
        <v>0.3</v>
      </c>
      <c r="AT411" s="4">
        <v>1087.6243899999999</v>
      </c>
      <c r="AU411" s="4">
        <v>8.0000000000000002E-3</v>
      </c>
      <c r="AW411" s="4" t="s">
        <v>223</v>
      </c>
      <c r="AX411" s="4">
        <v>0.9</v>
      </c>
      <c r="AY411" s="4">
        <v>0.5</v>
      </c>
      <c r="AZ411" s="4">
        <v>0.6</v>
      </c>
      <c r="BA411" s="4">
        <v>0.01</v>
      </c>
      <c r="BB411" s="6">
        <v>913.78033400000004</v>
      </c>
      <c r="BC411" s="4">
        <v>2.1999999999999999E-2</v>
      </c>
      <c r="BD411" s="5"/>
      <c r="BE411" s="5"/>
      <c r="BF411" s="5"/>
      <c r="BG411" s="5"/>
      <c r="BI411" s="4" t="s">
        <v>223</v>
      </c>
      <c r="BJ411" s="4">
        <v>0.9</v>
      </c>
      <c r="BK411" s="4">
        <v>0.5</v>
      </c>
      <c r="BL411" s="4">
        <v>0.6</v>
      </c>
      <c r="BM411" s="4">
        <v>0.3</v>
      </c>
      <c r="BN411" s="6">
        <v>1093.0775149999999</v>
      </c>
      <c r="BO411" s="4">
        <v>1.2999999999999999E-2</v>
      </c>
      <c r="BQ411" s="4" t="s">
        <v>223</v>
      </c>
      <c r="BR411" s="4">
        <v>0.9</v>
      </c>
      <c r="BS411" s="4">
        <v>0.5</v>
      </c>
      <c r="BT411" s="4">
        <v>0.6</v>
      </c>
      <c r="BU411" s="4">
        <v>0.87</v>
      </c>
      <c r="BV411" s="4">
        <v>1246.763672</v>
      </c>
      <c r="BW411" s="4">
        <v>1.4E-2</v>
      </c>
      <c r="BX411" s="5"/>
      <c r="BY411" s="5"/>
      <c r="BZ411" s="5"/>
      <c r="CA411" s="5"/>
    </row>
    <row r="412" spans="1:79" x14ac:dyDescent="0.3">
      <c r="A412" s="4" t="s">
        <v>224</v>
      </c>
      <c r="B412" s="4">
        <v>0.9</v>
      </c>
      <c r="C412" s="4">
        <v>0.5</v>
      </c>
      <c r="D412" s="4">
        <v>0.6</v>
      </c>
      <c r="E412" s="4">
        <v>0.3</v>
      </c>
      <c r="F412" s="4">
        <v>753.13653599999998</v>
      </c>
      <c r="G412" s="4">
        <v>2E-3</v>
      </c>
      <c r="I412" s="4" t="s">
        <v>224</v>
      </c>
      <c r="J412" s="4">
        <v>0.9</v>
      </c>
      <c r="K412" s="4">
        <v>0.5</v>
      </c>
      <c r="L412" s="4">
        <v>0.6</v>
      </c>
      <c r="M412" s="4">
        <v>0.01</v>
      </c>
      <c r="N412" s="6">
        <v>732.31768799999998</v>
      </c>
      <c r="O412" s="4">
        <v>1.7000000000000001E-2</v>
      </c>
      <c r="P412" s="5"/>
      <c r="Q412" s="5"/>
      <c r="R412" s="5"/>
      <c r="S412" s="5"/>
      <c r="U412" s="4" t="s">
        <v>224</v>
      </c>
      <c r="V412" s="4">
        <v>0.9</v>
      </c>
      <c r="W412" s="4">
        <v>0.5</v>
      </c>
      <c r="X412" s="4">
        <v>0.6</v>
      </c>
      <c r="Y412" s="4">
        <v>0.3</v>
      </c>
      <c r="Z412" s="6">
        <v>766.90704300000004</v>
      </c>
      <c r="AA412" s="4">
        <v>3.0000000000000001E-3</v>
      </c>
      <c r="AC412" s="4" t="s">
        <v>224</v>
      </c>
      <c r="AD412" s="4">
        <v>0.9</v>
      </c>
      <c r="AE412" s="4">
        <v>0.5</v>
      </c>
      <c r="AF412" s="4">
        <v>0.6</v>
      </c>
      <c r="AG412" s="4">
        <v>0.85</v>
      </c>
      <c r="AH412" s="4">
        <v>889.89080799999999</v>
      </c>
      <c r="AI412" s="4">
        <v>2.3E-2</v>
      </c>
      <c r="AJ412" s="5"/>
      <c r="AK412" s="5"/>
      <c r="AL412" s="5"/>
      <c r="AM412" s="5"/>
      <c r="AO412" s="4" t="s">
        <v>225</v>
      </c>
      <c r="AP412" s="4">
        <v>0.9</v>
      </c>
      <c r="AQ412" s="4">
        <v>0.5</v>
      </c>
      <c r="AR412" s="4">
        <v>0.6</v>
      </c>
      <c r="AS412" s="4">
        <v>0.3</v>
      </c>
      <c r="AT412" s="6">
        <v>1000.747192</v>
      </c>
      <c r="AU412" s="4">
        <v>8.0000000000000002E-3</v>
      </c>
      <c r="AW412" s="4" t="s">
        <v>225</v>
      </c>
      <c r="AX412" s="4">
        <v>0.9</v>
      </c>
      <c r="AY412" s="4">
        <v>0.5</v>
      </c>
      <c r="AZ412" s="4">
        <v>0.6</v>
      </c>
      <c r="BA412" s="4">
        <v>0.69</v>
      </c>
      <c r="BB412" s="4">
        <v>1172.9880370000001</v>
      </c>
      <c r="BC412" s="4">
        <v>1.0999999999999999E-2</v>
      </c>
      <c r="BD412" s="5"/>
      <c r="BE412" s="5"/>
      <c r="BF412" s="5"/>
      <c r="BG412" s="5"/>
      <c r="BI412" s="4" t="s">
        <v>225</v>
      </c>
      <c r="BJ412" s="4">
        <v>0.9</v>
      </c>
      <c r="BK412" s="4">
        <v>0.5</v>
      </c>
      <c r="BL412" s="4">
        <v>0.6</v>
      </c>
      <c r="BM412" s="4">
        <v>0.3</v>
      </c>
      <c r="BN412" s="6">
        <v>1002.990967</v>
      </c>
      <c r="BO412" s="4">
        <v>8.9999999999999993E-3</v>
      </c>
      <c r="BQ412" s="4" t="s">
        <v>225</v>
      </c>
      <c r="BR412" s="4">
        <v>0.9</v>
      </c>
      <c r="BS412" s="4">
        <v>0.5</v>
      </c>
      <c r="BT412" s="4">
        <v>0.6</v>
      </c>
      <c r="BU412" s="4">
        <v>0.74</v>
      </c>
      <c r="BV412" s="4">
        <v>1190.8358149999999</v>
      </c>
      <c r="BW412" s="4">
        <v>2.4E-2</v>
      </c>
      <c r="BX412" s="5"/>
      <c r="BY412" s="5"/>
      <c r="BZ412" s="5"/>
      <c r="CA412" s="5"/>
    </row>
    <row r="413" spans="1:79" x14ac:dyDescent="0.3">
      <c r="A413" s="4" t="s">
        <v>226</v>
      </c>
      <c r="B413" s="4">
        <v>0.9</v>
      </c>
      <c r="C413" s="4">
        <v>0.5</v>
      </c>
      <c r="D413" s="4">
        <v>0.6</v>
      </c>
      <c r="E413" s="4">
        <v>0.3</v>
      </c>
      <c r="F413" s="4">
        <v>730.86334199999999</v>
      </c>
      <c r="G413" s="4">
        <v>2E-3</v>
      </c>
      <c r="I413" s="4" t="s">
        <v>226</v>
      </c>
      <c r="J413" s="4">
        <v>0.9</v>
      </c>
      <c r="K413" s="4">
        <v>0.5</v>
      </c>
      <c r="L413" s="4">
        <v>0.6</v>
      </c>
      <c r="M413" s="4">
        <v>0.01</v>
      </c>
      <c r="N413" s="6">
        <v>720.72198500000002</v>
      </c>
      <c r="O413" s="4">
        <v>3.1E-2</v>
      </c>
      <c r="P413" s="5"/>
      <c r="Q413" s="5"/>
      <c r="R413" s="5"/>
      <c r="S413" s="5"/>
      <c r="U413" s="4" t="s">
        <v>226</v>
      </c>
      <c r="V413" s="4">
        <v>0.9</v>
      </c>
      <c r="W413" s="4">
        <v>0.5</v>
      </c>
      <c r="X413" s="4">
        <v>0.6</v>
      </c>
      <c r="Y413" s="4">
        <v>0.3</v>
      </c>
      <c r="Z413" s="6">
        <v>732.142517</v>
      </c>
      <c r="AA413" s="4">
        <v>3.0000000000000001E-3</v>
      </c>
      <c r="AC413" s="4" t="s">
        <v>226</v>
      </c>
      <c r="AD413" s="4">
        <v>0.9</v>
      </c>
      <c r="AE413" s="4">
        <v>0.5</v>
      </c>
      <c r="AF413" s="4">
        <v>0.6</v>
      </c>
      <c r="AG413" s="4">
        <v>0.77</v>
      </c>
      <c r="AH413" s="4">
        <v>874.82574499999998</v>
      </c>
      <c r="AI413" s="4">
        <v>1.4999999999999999E-2</v>
      </c>
      <c r="AJ413" s="5"/>
      <c r="AK413" s="5"/>
      <c r="AL413" s="5"/>
      <c r="AM413" s="5"/>
      <c r="AO413" s="4" t="s">
        <v>227</v>
      </c>
      <c r="AP413" s="4">
        <v>0.9</v>
      </c>
      <c r="AQ413" s="4">
        <v>0.5</v>
      </c>
      <c r="AR413" s="4">
        <v>0.6</v>
      </c>
      <c r="AS413" s="4">
        <v>0.3</v>
      </c>
      <c r="AT413" s="4">
        <v>999.87982199999999</v>
      </c>
      <c r="AU413" s="4">
        <v>7.0000000000000001E-3</v>
      </c>
      <c r="AW413" s="4" t="s">
        <v>227</v>
      </c>
      <c r="AX413" s="4">
        <v>0.9</v>
      </c>
      <c r="AY413" s="4">
        <v>0.5</v>
      </c>
      <c r="AZ413" s="4">
        <v>0.6</v>
      </c>
      <c r="BA413" s="4">
        <v>0.25</v>
      </c>
      <c r="BB413" s="6">
        <v>939.34966999999995</v>
      </c>
      <c r="BC413" s="4">
        <v>1.2E-2</v>
      </c>
      <c r="BD413" s="5"/>
      <c r="BE413" s="5"/>
      <c r="BF413" s="5"/>
      <c r="BG413" s="5"/>
      <c r="BI413" s="4" t="s">
        <v>227</v>
      </c>
      <c r="BJ413" s="4">
        <v>0.9</v>
      </c>
      <c r="BK413" s="4">
        <v>0.5</v>
      </c>
      <c r="BL413" s="4">
        <v>0.6</v>
      </c>
      <c r="BM413" s="4">
        <v>0.3</v>
      </c>
      <c r="BN413" s="6">
        <v>995.50878899999998</v>
      </c>
      <c r="BO413" s="4">
        <v>1.7999999999999999E-2</v>
      </c>
      <c r="BQ413" s="4" t="s">
        <v>227</v>
      </c>
      <c r="BR413" s="4">
        <v>0.9</v>
      </c>
      <c r="BS413" s="4">
        <v>0.5</v>
      </c>
      <c r="BT413" s="4">
        <v>0.6</v>
      </c>
      <c r="BU413" s="4">
        <v>0.39</v>
      </c>
      <c r="BV413" s="4">
        <v>1022.316772</v>
      </c>
      <c r="BW413" s="4">
        <v>2.3E-2</v>
      </c>
      <c r="BX413" s="5"/>
      <c r="BY413" s="5"/>
      <c r="BZ413" s="5"/>
      <c r="CA413" s="5"/>
    </row>
    <row r="414" spans="1:79" x14ac:dyDescent="0.3">
      <c r="A414" s="4" t="s">
        <v>228</v>
      </c>
      <c r="B414" s="4">
        <v>0.9</v>
      </c>
      <c r="C414" s="4">
        <v>0.5</v>
      </c>
      <c r="D414" s="4">
        <v>0.6</v>
      </c>
      <c r="E414" s="4">
        <v>0.3</v>
      </c>
      <c r="F414" s="6">
        <v>649.32195999999999</v>
      </c>
      <c r="G414" s="4">
        <v>2E-3</v>
      </c>
      <c r="I414" s="4" t="s">
        <v>228</v>
      </c>
      <c r="J414" s="4">
        <v>0.9</v>
      </c>
      <c r="K414" s="4">
        <v>0.5</v>
      </c>
      <c r="L414" s="4">
        <v>0.6</v>
      </c>
      <c r="M414" s="4">
        <v>0.86</v>
      </c>
      <c r="N414" s="4">
        <v>776.63531499999999</v>
      </c>
      <c r="O414" s="4">
        <v>2.7E-2</v>
      </c>
      <c r="P414" s="5"/>
      <c r="Q414" s="5"/>
      <c r="R414" s="5"/>
      <c r="S414" s="5"/>
      <c r="U414" s="4" t="s">
        <v>228</v>
      </c>
      <c r="V414" s="4">
        <v>0.9</v>
      </c>
      <c r="W414" s="4">
        <v>0.5</v>
      </c>
      <c r="X414" s="4">
        <v>0.6</v>
      </c>
      <c r="Y414" s="4">
        <v>0.3</v>
      </c>
      <c r="Z414" s="6">
        <v>649.49273700000003</v>
      </c>
      <c r="AA414" s="4">
        <v>2E-3</v>
      </c>
      <c r="AC414" s="4" t="s">
        <v>228</v>
      </c>
      <c r="AD414" s="4">
        <v>0.9</v>
      </c>
      <c r="AE414" s="4">
        <v>0.5</v>
      </c>
      <c r="AF414" s="4">
        <v>0.6</v>
      </c>
      <c r="AG414" s="4">
        <v>0.94</v>
      </c>
      <c r="AH414" s="4">
        <v>771.355591</v>
      </c>
      <c r="AI414" s="4">
        <v>2.1000000000000001E-2</v>
      </c>
      <c r="AJ414" s="5"/>
      <c r="AK414" s="5"/>
      <c r="AL414" s="5"/>
      <c r="AM414" s="5"/>
      <c r="AO414" s="4" t="s">
        <v>229</v>
      </c>
      <c r="AP414" s="4">
        <v>0.9</v>
      </c>
      <c r="AQ414" s="4">
        <v>0.5</v>
      </c>
      <c r="AR414" s="4">
        <v>0.6</v>
      </c>
      <c r="AS414" s="4">
        <v>0.3</v>
      </c>
      <c r="AT414" s="4">
        <v>1095.786255</v>
      </c>
      <c r="AU414" s="4">
        <v>7.0000000000000001E-3</v>
      </c>
      <c r="AW414" s="4" t="s">
        <v>229</v>
      </c>
      <c r="AX414" s="4">
        <v>0.9</v>
      </c>
      <c r="AY414" s="4">
        <v>0.5</v>
      </c>
      <c r="AZ414" s="4">
        <v>0.6</v>
      </c>
      <c r="BA414" s="4">
        <v>0.31</v>
      </c>
      <c r="BB414" s="6">
        <v>1036.9194339999999</v>
      </c>
      <c r="BC414" s="4">
        <v>0.02</v>
      </c>
      <c r="BD414" s="5"/>
      <c r="BE414" s="5"/>
      <c r="BF414" s="5"/>
      <c r="BG414" s="5"/>
      <c r="BI414" s="4" t="s">
        <v>229</v>
      </c>
      <c r="BJ414" s="4">
        <v>0.9</v>
      </c>
      <c r="BK414" s="4">
        <v>0.5</v>
      </c>
      <c r="BL414" s="4">
        <v>0.6</v>
      </c>
      <c r="BM414" s="4">
        <v>0.3</v>
      </c>
      <c r="BN414" s="6">
        <v>1092.967163</v>
      </c>
      <c r="BO414" s="4">
        <v>2.5000000000000001E-2</v>
      </c>
      <c r="BQ414" s="4" t="s">
        <v>229</v>
      </c>
      <c r="BR414" s="4">
        <v>0.9</v>
      </c>
      <c r="BS414" s="4">
        <v>0.5</v>
      </c>
      <c r="BT414" s="4">
        <v>0.6</v>
      </c>
      <c r="BU414" s="4">
        <v>0.61</v>
      </c>
      <c r="BV414" s="4">
        <v>1143.2849120000001</v>
      </c>
      <c r="BW414" s="4">
        <v>0.02</v>
      </c>
      <c r="BX414" s="5"/>
      <c r="BY414" s="5"/>
      <c r="BZ414" s="5"/>
      <c r="CA414" s="5"/>
    </row>
    <row r="415" spans="1:79" x14ac:dyDescent="0.3">
      <c r="A415" s="4" t="s">
        <v>230</v>
      </c>
      <c r="B415" s="4">
        <v>0.9</v>
      </c>
      <c r="C415" s="4">
        <v>0.5</v>
      </c>
      <c r="D415" s="4">
        <v>0.6</v>
      </c>
      <c r="E415" s="4">
        <v>0.3</v>
      </c>
      <c r="F415" s="6">
        <v>733.19274900000005</v>
      </c>
      <c r="G415" s="4">
        <v>2E-3</v>
      </c>
      <c r="I415" s="4" t="s">
        <v>230</v>
      </c>
      <c r="J415" s="4">
        <v>0.9</v>
      </c>
      <c r="K415" s="4">
        <v>0.5</v>
      </c>
      <c r="L415" s="4">
        <v>0.6</v>
      </c>
      <c r="M415" s="4">
        <v>0.62</v>
      </c>
      <c r="N415" s="4">
        <v>876.44085700000005</v>
      </c>
      <c r="O415" s="4">
        <v>1.4E-2</v>
      </c>
      <c r="P415" s="5"/>
      <c r="Q415" s="5"/>
      <c r="R415" s="5"/>
      <c r="S415" s="5"/>
      <c r="U415" s="4" t="s">
        <v>230</v>
      </c>
      <c r="V415" s="4">
        <v>0.9</v>
      </c>
      <c r="W415" s="4">
        <v>0.5</v>
      </c>
      <c r="X415" s="4">
        <v>0.6</v>
      </c>
      <c r="Y415" s="4">
        <v>0.3</v>
      </c>
      <c r="Z415" s="6">
        <v>732.14910899999995</v>
      </c>
      <c r="AA415" s="4">
        <v>3.0000000000000001E-3</v>
      </c>
      <c r="AC415" s="4" t="s">
        <v>230</v>
      </c>
      <c r="AD415" s="4">
        <v>0.9</v>
      </c>
      <c r="AE415" s="4">
        <v>0.5</v>
      </c>
      <c r="AF415" s="4">
        <v>0.6</v>
      </c>
      <c r="AG415" s="4">
        <v>0.45</v>
      </c>
      <c r="AH415" s="4">
        <v>794.68212900000003</v>
      </c>
      <c r="AI415" s="4">
        <v>1.9E-2</v>
      </c>
      <c r="AJ415" s="5"/>
      <c r="AK415" s="5"/>
      <c r="AL415" s="5"/>
      <c r="AM415" s="5"/>
      <c r="AO415" s="4" t="s">
        <v>231</v>
      </c>
      <c r="AP415" s="4">
        <v>0.9</v>
      </c>
      <c r="AQ415" s="4">
        <v>0.5</v>
      </c>
      <c r="AR415" s="4">
        <v>0.6</v>
      </c>
      <c r="AS415" s="4">
        <v>0.3</v>
      </c>
      <c r="AT415" s="6">
        <v>969.95196499999997</v>
      </c>
      <c r="AU415" s="4">
        <v>7.0000000000000001E-3</v>
      </c>
      <c r="AW415" s="4" t="s">
        <v>231</v>
      </c>
      <c r="AX415" s="4">
        <v>0.9</v>
      </c>
      <c r="AY415" s="4">
        <v>0.5</v>
      </c>
      <c r="AZ415" s="4">
        <v>0.6</v>
      </c>
      <c r="BA415" s="4">
        <v>0.65</v>
      </c>
      <c r="BB415" s="4">
        <v>1148.493408</v>
      </c>
      <c r="BC415" s="4">
        <v>2.1000000000000001E-2</v>
      </c>
      <c r="BD415" s="5"/>
      <c r="BE415" s="5"/>
      <c r="BF415" s="5"/>
      <c r="BG415" s="5"/>
      <c r="BI415" s="4" t="s">
        <v>231</v>
      </c>
      <c r="BJ415" s="4">
        <v>0.9</v>
      </c>
      <c r="BK415" s="4">
        <v>0.5</v>
      </c>
      <c r="BL415" s="4">
        <v>0.6</v>
      </c>
      <c r="BM415" s="4">
        <v>0.3</v>
      </c>
      <c r="BN415" s="6">
        <v>966.69476299999997</v>
      </c>
      <c r="BO415" s="4">
        <v>0.01</v>
      </c>
      <c r="BQ415" s="4" t="s">
        <v>231</v>
      </c>
      <c r="BR415" s="4">
        <v>0.9</v>
      </c>
      <c r="BS415" s="4">
        <v>0.5</v>
      </c>
      <c r="BT415" s="4">
        <v>0.6</v>
      </c>
      <c r="BU415" s="4">
        <v>0.33</v>
      </c>
      <c r="BV415" s="4">
        <v>987.11944600000004</v>
      </c>
      <c r="BW415" s="4">
        <v>1.7000000000000001E-2</v>
      </c>
      <c r="BX415" s="5"/>
      <c r="BY415" s="5"/>
      <c r="BZ415" s="5"/>
      <c r="CA415" s="5"/>
    </row>
    <row r="416" spans="1:79" x14ac:dyDescent="0.3">
      <c r="A416" s="4" t="s">
        <v>232</v>
      </c>
      <c r="B416" s="4">
        <v>0.9</v>
      </c>
      <c r="C416" s="4">
        <v>0.5</v>
      </c>
      <c r="D416" s="4">
        <v>0.6</v>
      </c>
      <c r="E416" s="4">
        <v>0.3</v>
      </c>
      <c r="F416" s="6">
        <v>776.92352300000005</v>
      </c>
      <c r="G416" s="4">
        <v>3.0000000000000001E-3</v>
      </c>
      <c r="I416" s="4" t="s">
        <v>232</v>
      </c>
      <c r="J416" s="4">
        <v>0.9</v>
      </c>
      <c r="K416" s="4">
        <v>0.5</v>
      </c>
      <c r="L416" s="4">
        <v>0.6</v>
      </c>
      <c r="M416" s="4">
        <v>0.7</v>
      </c>
      <c r="N416" s="4">
        <v>862.56274399999995</v>
      </c>
      <c r="O416" s="4">
        <v>1.7000000000000001E-2</v>
      </c>
      <c r="P416" s="5"/>
      <c r="Q416" s="5"/>
      <c r="R416" s="5"/>
      <c r="S416" s="5"/>
      <c r="U416" s="4" t="s">
        <v>232</v>
      </c>
      <c r="V416" s="4">
        <v>0.9</v>
      </c>
      <c r="W416" s="4">
        <v>0.5</v>
      </c>
      <c r="X416" s="4">
        <v>0.6</v>
      </c>
      <c r="Y416" s="4">
        <v>0.3</v>
      </c>
      <c r="Z416" s="6">
        <v>766.44445800000005</v>
      </c>
      <c r="AA416" s="4">
        <v>2E-3</v>
      </c>
      <c r="AC416" s="4" t="s">
        <v>232</v>
      </c>
      <c r="AD416" s="4">
        <v>0.9</v>
      </c>
      <c r="AE416" s="4">
        <v>0.5</v>
      </c>
      <c r="AF416" s="4">
        <v>0.6</v>
      </c>
      <c r="AG416" s="4">
        <v>0.75</v>
      </c>
      <c r="AH416" s="4">
        <v>871.59527600000001</v>
      </c>
      <c r="AI416" s="4">
        <v>0.01</v>
      </c>
      <c r="AJ416" s="5"/>
      <c r="AK416" s="5"/>
      <c r="AL416" s="5"/>
      <c r="AM416" s="5"/>
      <c r="AO416" s="4" t="s">
        <v>233</v>
      </c>
      <c r="AP416" s="4">
        <v>0.9</v>
      </c>
      <c r="AQ416" s="4">
        <v>0.5</v>
      </c>
      <c r="AR416" s="4">
        <v>0.6</v>
      </c>
      <c r="AS416" s="4">
        <v>0.3</v>
      </c>
      <c r="AT416" s="6">
        <v>1028.3670649999999</v>
      </c>
      <c r="AU416" s="4">
        <v>7.0000000000000001E-3</v>
      </c>
      <c r="AW416" s="4" t="s">
        <v>233</v>
      </c>
      <c r="AX416" s="4">
        <v>0.9</v>
      </c>
      <c r="AY416" s="4">
        <v>0.5</v>
      </c>
      <c r="AZ416" s="4">
        <v>0.6</v>
      </c>
      <c r="BA416" s="4">
        <v>0.53</v>
      </c>
      <c r="BB416" s="4">
        <v>1176.922607</v>
      </c>
      <c r="BC416" s="4">
        <v>2.1000000000000001E-2</v>
      </c>
      <c r="BD416" s="5"/>
      <c r="BE416" s="5"/>
      <c r="BF416" s="5"/>
      <c r="BG416" s="5"/>
      <c r="BI416" s="4" t="s">
        <v>233</v>
      </c>
      <c r="BJ416" s="4">
        <v>0.9</v>
      </c>
      <c r="BK416" s="4">
        <v>0.5</v>
      </c>
      <c r="BL416" s="4">
        <v>0.6</v>
      </c>
      <c r="BM416" s="4">
        <v>0.3</v>
      </c>
      <c r="BN416" s="4">
        <v>1045.015259</v>
      </c>
      <c r="BO416" s="4">
        <v>1.4999999999999999E-2</v>
      </c>
      <c r="BQ416" s="4" t="s">
        <v>233</v>
      </c>
      <c r="BR416" s="4">
        <v>0.9</v>
      </c>
      <c r="BS416" s="4">
        <v>0.5</v>
      </c>
      <c r="BT416" s="4">
        <v>0.6</v>
      </c>
      <c r="BU416" s="4">
        <v>0.09</v>
      </c>
      <c r="BV416" s="6">
        <v>861.23736599999995</v>
      </c>
      <c r="BW416" s="4">
        <v>1.4999999999999999E-2</v>
      </c>
      <c r="BX416" s="5"/>
      <c r="BY416" s="5"/>
      <c r="BZ416" s="5"/>
      <c r="CA416" s="5"/>
    </row>
    <row r="417" spans="1:79" x14ac:dyDescent="0.3">
      <c r="A417" s="4" t="s">
        <v>234</v>
      </c>
      <c r="B417" s="4">
        <v>0.9</v>
      </c>
      <c r="C417" s="4">
        <v>0.5</v>
      </c>
      <c r="D417" s="4">
        <v>0.6</v>
      </c>
      <c r="E417" s="4">
        <v>0.3</v>
      </c>
      <c r="F417" s="6">
        <v>733.75695800000005</v>
      </c>
      <c r="G417" s="4">
        <v>3.0000000000000001E-3</v>
      </c>
      <c r="I417" s="4" t="s">
        <v>234</v>
      </c>
      <c r="J417" s="4">
        <v>0.9</v>
      </c>
      <c r="K417" s="4">
        <v>0.5</v>
      </c>
      <c r="L417" s="4">
        <v>0.6</v>
      </c>
      <c r="M417" s="4">
        <v>0.83</v>
      </c>
      <c r="N417" s="4">
        <v>957.76654099999996</v>
      </c>
      <c r="O417" s="4">
        <v>2.1999999999999999E-2</v>
      </c>
      <c r="P417" s="5"/>
      <c r="Q417" s="5"/>
      <c r="R417" s="5"/>
      <c r="S417" s="5"/>
      <c r="U417" s="4" t="s">
        <v>234</v>
      </c>
      <c r="V417" s="4">
        <v>0.9</v>
      </c>
      <c r="W417" s="4">
        <v>0.5</v>
      </c>
      <c r="X417" s="4">
        <v>0.6</v>
      </c>
      <c r="Y417" s="4">
        <v>0.3</v>
      </c>
      <c r="Z417" s="6">
        <v>721.20867899999996</v>
      </c>
      <c r="AA417" s="4">
        <v>3.0000000000000001E-3</v>
      </c>
      <c r="AC417" s="4" t="s">
        <v>234</v>
      </c>
      <c r="AD417" s="4">
        <v>0.9</v>
      </c>
      <c r="AE417" s="4">
        <v>0.5</v>
      </c>
      <c r="AF417" s="4">
        <v>0.6</v>
      </c>
      <c r="AG417" s="4">
        <v>0.51</v>
      </c>
      <c r="AH417" s="4">
        <v>853.25311299999998</v>
      </c>
      <c r="AI417" s="4">
        <v>0.01</v>
      </c>
      <c r="AJ417" s="5"/>
      <c r="AK417" s="5"/>
      <c r="AL417" s="5"/>
      <c r="AM417" s="5"/>
      <c r="AO417" s="4" t="s">
        <v>235</v>
      </c>
      <c r="AP417" s="4">
        <v>0.9</v>
      </c>
      <c r="AQ417" s="4">
        <v>0.5</v>
      </c>
      <c r="AR417" s="4">
        <v>0.6</v>
      </c>
      <c r="AS417" s="4">
        <v>0.3</v>
      </c>
      <c r="AT417" s="6">
        <v>1095.1175539999999</v>
      </c>
      <c r="AU417" s="4">
        <v>8.0000000000000002E-3</v>
      </c>
      <c r="AW417" s="4" t="s">
        <v>235</v>
      </c>
      <c r="AX417" s="4">
        <v>0.9</v>
      </c>
      <c r="AY417" s="4">
        <v>0.5</v>
      </c>
      <c r="AZ417" s="4">
        <v>0.6</v>
      </c>
      <c r="BA417" s="4">
        <v>0.92</v>
      </c>
      <c r="BB417" s="4">
        <v>1391.090698</v>
      </c>
      <c r="BC417" s="4">
        <v>1.2E-2</v>
      </c>
      <c r="BD417" s="5"/>
      <c r="BE417" s="5"/>
      <c r="BF417" s="5"/>
      <c r="BG417" s="5"/>
      <c r="BI417" s="4" t="s">
        <v>235</v>
      </c>
      <c r="BJ417" s="4">
        <v>0.9</v>
      </c>
      <c r="BK417" s="4">
        <v>0.5</v>
      </c>
      <c r="BL417" s="4">
        <v>0.6</v>
      </c>
      <c r="BM417" s="4">
        <v>0.3</v>
      </c>
      <c r="BN417" s="6">
        <v>1083.4185789999999</v>
      </c>
      <c r="BO417" s="4">
        <v>1.6E-2</v>
      </c>
      <c r="BQ417" s="4" t="s">
        <v>235</v>
      </c>
      <c r="BR417" s="4">
        <v>0.9</v>
      </c>
      <c r="BS417" s="4">
        <v>0.5</v>
      </c>
      <c r="BT417" s="4">
        <v>0.6</v>
      </c>
      <c r="BU417" s="4">
        <v>0.56999999999999995</v>
      </c>
      <c r="BV417" s="4">
        <v>1250.4212649999999</v>
      </c>
      <c r="BW417" s="4">
        <v>2.5000000000000001E-2</v>
      </c>
      <c r="BX417" s="5"/>
      <c r="BY417" s="5"/>
      <c r="BZ417" s="5"/>
      <c r="CA417" s="5"/>
    </row>
    <row r="418" spans="1:79" x14ac:dyDescent="0.3">
      <c r="A418" s="4" t="s">
        <v>236</v>
      </c>
      <c r="B418" s="4">
        <v>0.9</v>
      </c>
      <c r="C418" s="4">
        <v>0.5</v>
      </c>
      <c r="D418" s="4">
        <v>0.6</v>
      </c>
      <c r="E418" s="4">
        <v>0.3</v>
      </c>
      <c r="F418" s="6">
        <v>751.06451400000003</v>
      </c>
      <c r="G418" s="4">
        <v>2E-3</v>
      </c>
      <c r="I418" s="4" t="s">
        <v>236</v>
      </c>
      <c r="J418" s="4">
        <v>0.9</v>
      </c>
      <c r="K418" s="4">
        <v>0.5</v>
      </c>
      <c r="L418" s="4">
        <v>0.6</v>
      </c>
      <c r="M418" s="4">
        <v>0.75</v>
      </c>
      <c r="N418" s="4">
        <v>972.50183100000004</v>
      </c>
      <c r="O418" s="4">
        <v>8.9999999999999993E-3</v>
      </c>
      <c r="P418" s="5"/>
      <c r="Q418" s="5"/>
      <c r="R418" s="5"/>
      <c r="S418" s="5"/>
      <c r="U418" s="4" t="s">
        <v>236</v>
      </c>
      <c r="V418" s="4">
        <v>0.9</v>
      </c>
      <c r="W418" s="4">
        <v>0.5</v>
      </c>
      <c r="X418" s="4">
        <v>0.6</v>
      </c>
      <c r="Y418" s="4">
        <v>0.3</v>
      </c>
      <c r="Z418" s="6">
        <v>761.99194299999999</v>
      </c>
      <c r="AA418" s="4">
        <v>4.0000000000000001E-3</v>
      </c>
      <c r="AC418" s="4" t="s">
        <v>236</v>
      </c>
      <c r="AD418" s="4">
        <v>0.9</v>
      </c>
      <c r="AE418" s="4">
        <v>0.5</v>
      </c>
      <c r="AF418" s="4">
        <v>0.6</v>
      </c>
      <c r="AG418" s="4">
        <v>0.12</v>
      </c>
      <c r="AH418" s="4">
        <v>692.20043899999996</v>
      </c>
      <c r="AI418" s="4">
        <v>1.2E-2</v>
      </c>
      <c r="AJ418" s="5"/>
      <c r="AK418" s="5"/>
      <c r="AL418" s="5"/>
      <c r="AM418" s="5"/>
      <c r="AO418" s="4" t="s">
        <v>237</v>
      </c>
      <c r="AP418" s="4">
        <v>0.9</v>
      </c>
      <c r="AQ418" s="4">
        <v>0.5</v>
      </c>
      <c r="AR418" s="4">
        <v>0.6</v>
      </c>
      <c r="AS418" s="4">
        <v>0.3</v>
      </c>
      <c r="AT418" s="6">
        <v>1099.5776370000001</v>
      </c>
      <c r="AU418" s="4">
        <v>8.0000000000000002E-3</v>
      </c>
      <c r="AW418" s="4" t="s">
        <v>237</v>
      </c>
      <c r="AX418" s="4">
        <v>0.9</v>
      </c>
      <c r="AY418" s="4">
        <v>0.5</v>
      </c>
      <c r="AZ418" s="4">
        <v>0.6</v>
      </c>
      <c r="BA418" s="4">
        <v>0.65</v>
      </c>
      <c r="BB418" s="4">
        <v>1267.279053</v>
      </c>
      <c r="BC418" s="4">
        <v>1.4E-2</v>
      </c>
      <c r="BD418" s="5"/>
      <c r="BE418" s="5"/>
      <c r="BF418" s="5"/>
      <c r="BG418" s="5"/>
      <c r="BI418" s="4" t="s">
        <v>237</v>
      </c>
      <c r="BJ418" s="4">
        <v>0.9</v>
      </c>
      <c r="BK418" s="4">
        <v>0.5</v>
      </c>
      <c r="BL418" s="4">
        <v>0.6</v>
      </c>
      <c r="BM418" s="4">
        <v>0.3</v>
      </c>
      <c r="BN418" s="6">
        <v>1103.6365969999999</v>
      </c>
      <c r="BO418" s="4">
        <v>1.0999999999999999E-2</v>
      </c>
      <c r="BQ418" s="4" t="s">
        <v>237</v>
      </c>
      <c r="BR418" s="4">
        <v>0.9</v>
      </c>
      <c r="BS418" s="4">
        <v>0.5</v>
      </c>
      <c r="BT418" s="4">
        <v>0.6</v>
      </c>
      <c r="BU418" s="4">
        <v>0.62</v>
      </c>
      <c r="BV418" s="4">
        <v>1301.0683590000001</v>
      </c>
      <c r="BW418" s="4">
        <v>2.1999999999999999E-2</v>
      </c>
      <c r="BX418" s="5"/>
      <c r="BY418" s="5"/>
      <c r="BZ418" s="5"/>
      <c r="CA418" s="5"/>
    </row>
    <row r="419" spans="1:79" x14ac:dyDescent="0.3">
      <c r="A419" s="4" t="s">
        <v>238</v>
      </c>
      <c r="B419" s="4">
        <v>0.9</v>
      </c>
      <c r="C419" s="4">
        <v>0.5</v>
      </c>
      <c r="D419" s="4">
        <v>0.6</v>
      </c>
      <c r="E419" s="4">
        <v>0.3</v>
      </c>
      <c r="F419" s="6">
        <v>726.26593000000003</v>
      </c>
      <c r="G419" s="4">
        <v>2E-3</v>
      </c>
      <c r="I419" s="4" t="s">
        <v>238</v>
      </c>
      <c r="J419" s="4">
        <v>0.9</v>
      </c>
      <c r="K419" s="4">
        <v>0.5</v>
      </c>
      <c r="L419" s="4">
        <v>0.6</v>
      </c>
      <c r="M419" s="4">
        <v>0.9</v>
      </c>
      <c r="N419" s="4">
        <v>987.76263400000005</v>
      </c>
      <c r="O419" s="4">
        <v>0.01</v>
      </c>
      <c r="P419" s="5"/>
      <c r="Q419" s="5"/>
      <c r="R419" s="5"/>
      <c r="S419" s="5"/>
      <c r="U419" s="4" t="s">
        <v>238</v>
      </c>
      <c r="V419" s="4">
        <v>0.9</v>
      </c>
      <c r="W419" s="4">
        <v>0.5</v>
      </c>
      <c r="X419" s="4">
        <v>0.6</v>
      </c>
      <c r="Y419" s="4">
        <v>0.3</v>
      </c>
      <c r="Z419" s="6">
        <v>739.92211899999995</v>
      </c>
      <c r="AA419" s="4">
        <v>3.0000000000000001E-3</v>
      </c>
      <c r="AC419" s="4" t="s">
        <v>238</v>
      </c>
      <c r="AD419" s="4">
        <v>0.9</v>
      </c>
      <c r="AE419" s="4">
        <v>0.5</v>
      </c>
      <c r="AF419" s="4">
        <v>0.6</v>
      </c>
      <c r="AG419" s="4">
        <v>0.49</v>
      </c>
      <c r="AH419" s="4">
        <v>800.76892099999998</v>
      </c>
      <c r="AI419" s="4">
        <v>1.7999999999999999E-2</v>
      </c>
      <c r="AJ419" s="5"/>
      <c r="AK419" s="5"/>
      <c r="AL419" s="5"/>
      <c r="AM419" s="5"/>
      <c r="AO419" s="4" t="s">
        <v>239</v>
      </c>
      <c r="AP419" s="4">
        <v>0.9</v>
      </c>
      <c r="AQ419" s="4">
        <v>0.5</v>
      </c>
      <c r="AR419" s="4">
        <v>0.6</v>
      </c>
      <c r="AS419" s="4">
        <v>0.3</v>
      </c>
      <c r="AT419" s="4">
        <v>1138.590332</v>
      </c>
      <c r="AU419" s="4">
        <v>8.9999999999999993E-3</v>
      </c>
      <c r="AW419" s="4" t="s">
        <v>239</v>
      </c>
      <c r="AX419" s="4">
        <v>0.9</v>
      </c>
      <c r="AY419" s="4">
        <v>0.5</v>
      </c>
      <c r="AZ419" s="4">
        <v>0.6</v>
      </c>
      <c r="BA419" s="4">
        <v>0.15</v>
      </c>
      <c r="BB419" s="6">
        <v>1011.246094</v>
      </c>
      <c r="BC419" s="4">
        <v>0.02</v>
      </c>
      <c r="BD419" s="5"/>
      <c r="BE419" s="5"/>
      <c r="BF419" s="5"/>
      <c r="BG419" s="5"/>
      <c r="BI419" s="4" t="s">
        <v>239</v>
      </c>
      <c r="BJ419" s="4">
        <v>0.9</v>
      </c>
      <c r="BK419" s="4">
        <v>0.5</v>
      </c>
      <c r="BL419" s="4">
        <v>0.6</v>
      </c>
      <c r="BM419" s="4">
        <v>0.3</v>
      </c>
      <c r="BN419" s="6">
        <v>1141.830078</v>
      </c>
      <c r="BO419" s="4">
        <v>0.02</v>
      </c>
      <c r="BQ419" s="4" t="s">
        <v>239</v>
      </c>
      <c r="BR419" s="4">
        <v>0.9</v>
      </c>
      <c r="BS419" s="4">
        <v>0.5</v>
      </c>
      <c r="BT419" s="4">
        <v>0.6</v>
      </c>
      <c r="BU419" s="4">
        <v>0.69</v>
      </c>
      <c r="BV419" s="4">
        <v>1433.2380370000001</v>
      </c>
      <c r="BW419" s="4">
        <v>2.3E-2</v>
      </c>
      <c r="BX419" s="5"/>
      <c r="BY419" s="5"/>
      <c r="BZ419" s="5"/>
      <c r="CA419" s="5"/>
    </row>
    <row r="420" spans="1:79" x14ac:dyDescent="0.3">
      <c r="A420" s="4" t="s">
        <v>240</v>
      </c>
      <c r="B420" s="4">
        <v>0.9</v>
      </c>
      <c r="C420" s="4">
        <v>0.5</v>
      </c>
      <c r="D420" s="4">
        <v>0.6</v>
      </c>
      <c r="E420" s="4">
        <v>0.3</v>
      </c>
      <c r="F420" s="4">
        <v>711.07861300000002</v>
      </c>
      <c r="G420" s="4">
        <v>2E-3</v>
      </c>
      <c r="I420" s="4" t="s">
        <v>240</v>
      </c>
      <c r="J420" s="4">
        <v>0.9</v>
      </c>
      <c r="K420" s="4">
        <v>0.5</v>
      </c>
      <c r="L420" s="4">
        <v>0.6</v>
      </c>
      <c r="M420" s="4">
        <v>0.06</v>
      </c>
      <c r="N420" s="6">
        <v>672.88140899999996</v>
      </c>
      <c r="O420" s="4">
        <v>0.02</v>
      </c>
      <c r="P420" s="5"/>
      <c r="Q420" s="5"/>
      <c r="R420" s="5"/>
      <c r="S420" s="5"/>
      <c r="U420" s="4" t="s">
        <v>240</v>
      </c>
      <c r="V420" s="4">
        <v>0.9</v>
      </c>
      <c r="W420" s="4">
        <v>0.5</v>
      </c>
      <c r="X420" s="4">
        <v>0.6</v>
      </c>
      <c r="Y420" s="4">
        <v>0.3</v>
      </c>
      <c r="Z420" s="6">
        <v>717.62426800000003</v>
      </c>
      <c r="AA420" s="4">
        <v>3.0000000000000001E-3</v>
      </c>
      <c r="AC420" s="4" t="s">
        <v>240</v>
      </c>
      <c r="AD420" s="4">
        <v>0.9</v>
      </c>
      <c r="AE420" s="4">
        <v>0.5</v>
      </c>
      <c r="AF420" s="4">
        <v>0.6</v>
      </c>
      <c r="AG420" s="4">
        <v>0.08</v>
      </c>
      <c r="AH420" s="4">
        <v>665.04901099999995</v>
      </c>
      <c r="AI420" s="4">
        <v>1.4E-2</v>
      </c>
      <c r="AJ420" s="5"/>
      <c r="AK420" s="5"/>
      <c r="AL420" s="5"/>
      <c r="AM420" s="5"/>
      <c r="AO420" s="4" t="s">
        <v>241</v>
      </c>
      <c r="AP420" s="4">
        <v>0.9</v>
      </c>
      <c r="AQ420" s="4">
        <v>0.5</v>
      </c>
      <c r="AR420" s="4">
        <v>0.6</v>
      </c>
      <c r="AS420" s="4">
        <v>0.3</v>
      </c>
      <c r="AT420" s="6">
        <v>1074.911499</v>
      </c>
      <c r="AU420" s="4">
        <v>8.0000000000000002E-3</v>
      </c>
      <c r="AW420" s="4" t="s">
        <v>241</v>
      </c>
      <c r="AX420" s="4">
        <v>0.9</v>
      </c>
      <c r="AY420" s="4">
        <v>0.5</v>
      </c>
      <c r="AZ420" s="4">
        <v>0.6</v>
      </c>
      <c r="BA420" s="4">
        <v>0.3</v>
      </c>
      <c r="BB420" s="4">
        <v>1092.9461670000001</v>
      </c>
      <c r="BC420" s="4">
        <v>2.4E-2</v>
      </c>
      <c r="BD420" s="5"/>
      <c r="BE420" s="5"/>
      <c r="BF420" s="5"/>
      <c r="BG420" s="5"/>
      <c r="BI420" s="4" t="s">
        <v>241</v>
      </c>
      <c r="BJ420" s="4">
        <v>0.9</v>
      </c>
      <c r="BK420" s="4">
        <v>0.5</v>
      </c>
      <c r="BL420" s="4">
        <v>0.6</v>
      </c>
      <c r="BM420" s="4">
        <v>0.3</v>
      </c>
      <c r="BN420" s="4">
        <v>1078.6522219999999</v>
      </c>
      <c r="BO420" s="4">
        <v>1.7000000000000001E-2</v>
      </c>
      <c r="BQ420" s="4" t="s">
        <v>241</v>
      </c>
      <c r="BR420" s="4">
        <v>0.9</v>
      </c>
      <c r="BS420" s="4">
        <v>0.5</v>
      </c>
      <c r="BT420" s="4">
        <v>0.6</v>
      </c>
      <c r="BU420" s="4">
        <v>0.04</v>
      </c>
      <c r="BV420" s="6">
        <v>901.43029799999999</v>
      </c>
      <c r="BW420" s="4">
        <v>2.1000000000000001E-2</v>
      </c>
      <c r="BX420" s="5"/>
      <c r="BY420" s="5"/>
      <c r="BZ420" s="5"/>
      <c r="CA420" s="5"/>
    </row>
    <row r="421" spans="1:79" x14ac:dyDescent="0.3">
      <c r="A421" s="4" t="s">
        <v>242</v>
      </c>
      <c r="B421" s="4">
        <v>0.9</v>
      </c>
      <c r="C421" s="4">
        <v>0.5</v>
      </c>
      <c r="D421" s="4">
        <v>0.6</v>
      </c>
      <c r="E421" s="4">
        <v>0.3</v>
      </c>
      <c r="F421" s="6">
        <v>723.14031999999997</v>
      </c>
      <c r="G421" s="4">
        <v>2E-3</v>
      </c>
      <c r="I421" s="4" t="s">
        <v>242</v>
      </c>
      <c r="J421" s="4">
        <v>0.9</v>
      </c>
      <c r="K421" s="4">
        <v>0.5</v>
      </c>
      <c r="L421" s="4">
        <v>0.6</v>
      </c>
      <c r="M421" s="4">
        <v>0.31</v>
      </c>
      <c r="N421" s="4">
        <v>728.91735800000004</v>
      </c>
      <c r="O421" s="4">
        <v>1.6E-2</v>
      </c>
      <c r="P421" s="5"/>
      <c r="Q421" s="5"/>
      <c r="R421" s="5"/>
      <c r="S421" s="5"/>
      <c r="U421" s="4" t="s">
        <v>242</v>
      </c>
      <c r="V421" s="4">
        <v>0.9</v>
      </c>
      <c r="W421" s="4">
        <v>0.5</v>
      </c>
      <c r="X421" s="4">
        <v>0.6</v>
      </c>
      <c r="Y421" s="4">
        <v>0.3</v>
      </c>
      <c r="Z421" s="6">
        <v>729.13128700000004</v>
      </c>
      <c r="AA421" s="4">
        <v>4.0000000000000001E-3</v>
      </c>
      <c r="AC421" s="4" t="s">
        <v>242</v>
      </c>
      <c r="AD421" s="4">
        <v>0.9</v>
      </c>
      <c r="AE421" s="4">
        <v>0.5</v>
      </c>
      <c r="AF421" s="4">
        <v>0.6</v>
      </c>
      <c r="AG421" s="4">
        <v>0.69</v>
      </c>
      <c r="AH421" s="4">
        <v>897.86090100000001</v>
      </c>
      <c r="AI421" s="4">
        <v>0.01</v>
      </c>
      <c r="AJ421" s="5"/>
      <c r="AK421" s="5"/>
      <c r="AL421" s="5"/>
      <c r="AM421" s="5"/>
      <c r="AO421" s="4" t="s">
        <v>243</v>
      </c>
      <c r="AP421" s="4">
        <v>0.9</v>
      </c>
      <c r="AQ421" s="4">
        <v>0.5</v>
      </c>
      <c r="AR421" s="4">
        <v>0.6</v>
      </c>
      <c r="AS421" s="4">
        <v>0.3</v>
      </c>
      <c r="AT421" s="4">
        <v>1199.4197999999999</v>
      </c>
      <c r="AU421" s="4">
        <v>8.9999999999999993E-3</v>
      </c>
      <c r="AW421" s="4" t="s">
        <v>243</v>
      </c>
      <c r="AX421" s="4">
        <v>0.9</v>
      </c>
      <c r="AY421" s="4">
        <v>0.5</v>
      </c>
      <c r="AZ421" s="4">
        <v>0.6</v>
      </c>
      <c r="BA421" s="4">
        <v>0.22</v>
      </c>
      <c r="BB421" s="6">
        <v>1139.536621</v>
      </c>
      <c r="BC421" s="4">
        <v>4.3999999999999997E-2</v>
      </c>
      <c r="BD421" s="5"/>
      <c r="BE421" s="5"/>
      <c r="BF421" s="5"/>
      <c r="BG421" s="5"/>
      <c r="BI421" s="4" t="s">
        <v>243</v>
      </c>
      <c r="BJ421" s="4">
        <v>0.9</v>
      </c>
      <c r="BK421" s="4">
        <v>0.5</v>
      </c>
      <c r="BL421" s="4">
        <v>0.6</v>
      </c>
      <c r="BM421" s="4">
        <v>0.3</v>
      </c>
      <c r="BN421" s="6">
        <v>1173.4876710000001</v>
      </c>
      <c r="BO421" s="4">
        <v>0.01</v>
      </c>
      <c r="BQ421" s="4" t="s">
        <v>243</v>
      </c>
      <c r="BR421" s="4">
        <v>0.9</v>
      </c>
      <c r="BS421" s="4">
        <v>0.5</v>
      </c>
      <c r="BT421" s="4">
        <v>0.6</v>
      </c>
      <c r="BU421" s="4">
        <v>0.38</v>
      </c>
      <c r="BV421" s="4">
        <v>1248.570923</v>
      </c>
      <c r="BW421" s="4">
        <v>2.5000000000000001E-2</v>
      </c>
      <c r="BX421" s="5"/>
      <c r="BY421" s="5"/>
      <c r="BZ421" s="5"/>
      <c r="CA421" s="5"/>
    </row>
    <row r="422" spans="1:79" x14ac:dyDescent="0.3">
      <c r="A422" s="4" t="s">
        <v>244</v>
      </c>
      <c r="B422" s="4">
        <v>0.9</v>
      </c>
      <c r="C422" s="4">
        <v>0.5</v>
      </c>
      <c r="D422" s="4">
        <v>0.6</v>
      </c>
      <c r="E422" s="4">
        <v>0.3</v>
      </c>
      <c r="F422" s="6">
        <v>717.56317100000001</v>
      </c>
      <c r="G422" s="4">
        <v>2E-3</v>
      </c>
      <c r="I422" s="4" t="s">
        <v>244</v>
      </c>
      <c r="J422" s="4">
        <v>0.9</v>
      </c>
      <c r="K422" s="4">
        <v>0.5</v>
      </c>
      <c r="L422" s="4">
        <v>0.6</v>
      </c>
      <c r="M422" s="4">
        <v>0.44</v>
      </c>
      <c r="N422" s="4">
        <v>808.66162099999997</v>
      </c>
      <c r="O422" s="4">
        <v>1.2999999999999999E-2</v>
      </c>
      <c r="P422" s="5"/>
      <c r="Q422" s="5"/>
      <c r="R422" s="5"/>
      <c r="S422" s="5"/>
      <c r="U422" s="4" t="s">
        <v>244</v>
      </c>
      <c r="V422" s="4">
        <v>0.9</v>
      </c>
      <c r="W422" s="4">
        <v>0.5</v>
      </c>
      <c r="X422" s="4">
        <v>0.6</v>
      </c>
      <c r="Y422" s="4">
        <v>0.3</v>
      </c>
      <c r="Z422" s="6">
        <v>723.301331</v>
      </c>
      <c r="AA422" s="4">
        <v>4.0000000000000001E-3</v>
      </c>
      <c r="AC422" s="4" t="s">
        <v>244</v>
      </c>
      <c r="AD422" s="4">
        <v>0.9</v>
      </c>
      <c r="AE422" s="4">
        <v>0.5</v>
      </c>
      <c r="AF422" s="4">
        <v>0.6</v>
      </c>
      <c r="AG422" s="4">
        <v>0.28999999999999998</v>
      </c>
      <c r="AH422" s="4">
        <v>747.33544900000004</v>
      </c>
      <c r="AI422" s="4">
        <v>2.5000000000000001E-2</v>
      </c>
      <c r="AJ422" s="5"/>
      <c r="AK422" s="5"/>
      <c r="AL422" s="5"/>
      <c r="AM422" s="5"/>
      <c r="AO422" s="4" t="s">
        <v>245</v>
      </c>
      <c r="AP422" s="4">
        <v>0.9</v>
      </c>
      <c r="AQ422" s="4">
        <v>0.5</v>
      </c>
      <c r="AR422" s="4">
        <v>0.6</v>
      </c>
      <c r="AS422" s="4">
        <v>0.3</v>
      </c>
      <c r="AT422" s="4">
        <v>1169.220703</v>
      </c>
      <c r="AU422" s="4">
        <v>0.01</v>
      </c>
      <c r="AW422" s="4" t="s">
        <v>245</v>
      </c>
      <c r="AX422" s="4">
        <v>0.9</v>
      </c>
      <c r="AY422" s="4">
        <v>0.5</v>
      </c>
      <c r="AZ422" s="4">
        <v>0.6</v>
      </c>
      <c r="BA422" s="4">
        <v>0.04</v>
      </c>
      <c r="BB422" s="6">
        <v>968.01788299999998</v>
      </c>
      <c r="BC422" s="4">
        <v>2.7E-2</v>
      </c>
      <c r="BD422" s="5"/>
      <c r="BE422" s="5"/>
      <c r="BF422" s="5"/>
      <c r="BG422" s="5"/>
      <c r="BI422" s="4" t="s">
        <v>245</v>
      </c>
      <c r="BJ422" s="4">
        <v>0.9</v>
      </c>
      <c r="BK422" s="4">
        <v>0.5</v>
      </c>
      <c r="BL422" s="4">
        <v>0.6</v>
      </c>
      <c r="BM422" s="4">
        <v>0.3</v>
      </c>
      <c r="BN422" s="4">
        <v>1185.378418</v>
      </c>
      <c r="BO422" s="4">
        <v>1.2999999999999999E-2</v>
      </c>
      <c r="BQ422" s="4" t="s">
        <v>245</v>
      </c>
      <c r="BR422" s="4">
        <v>0.9</v>
      </c>
      <c r="BS422" s="4">
        <v>0.5</v>
      </c>
      <c r="BT422" s="4">
        <v>0.6</v>
      </c>
      <c r="BU422" s="4">
        <v>0.08</v>
      </c>
      <c r="BV422" s="6">
        <v>1001.632446</v>
      </c>
      <c r="BW422" s="4">
        <v>2.4E-2</v>
      </c>
      <c r="BX422" s="5"/>
      <c r="BY422" s="5"/>
      <c r="BZ422" s="5"/>
      <c r="CA422" s="5"/>
    </row>
    <row r="423" spans="1:79" x14ac:dyDescent="0.3">
      <c r="A423" s="4" t="s">
        <v>246</v>
      </c>
      <c r="B423" s="4">
        <v>0.9</v>
      </c>
      <c r="C423" s="4">
        <v>0.5</v>
      </c>
      <c r="D423" s="4">
        <v>0.6</v>
      </c>
      <c r="E423" s="4">
        <v>0.3</v>
      </c>
      <c r="F423" s="6">
        <v>718.21673599999997</v>
      </c>
      <c r="G423" s="4">
        <v>3.0000000000000001E-3</v>
      </c>
      <c r="I423" s="4" t="s">
        <v>246</v>
      </c>
      <c r="J423" s="4">
        <v>0.9</v>
      </c>
      <c r="K423" s="4">
        <v>0.5</v>
      </c>
      <c r="L423" s="4">
        <v>0.6</v>
      </c>
      <c r="M423" s="4">
        <v>0.67</v>
      </c>
      <c r="N423" s="4">
        <v>891.53015100000005</v>
      </c>
      <c r="O423" s="4">
        <v>8.9999999999999993E-3</v>
      </c>
      <c r="P423" s="5"/>
      <c r="Q423" s="5"/>
      <c r="R423" s="5"/>
      <c r="S423" s="5"/>
      <c r="U423" s="4" t="s">
        <v>246</v>
      </c>
      <c r="V423" s="4">
        <v>0.9</v>
      </c>
      <c r="W423" s="4">
        <v>0.5</v>
      </c>
      <c r="X423" s="4">
        <v>0.6</v>
      </c>
      <c r="Y423" s="4">
        <v>0.3</v>
      </c>
      <c r="Z423" s="6">
        <v>707.99530000000004</v>
      </c>
      <c r="AA423" s="4">
        <v>3.0000000000000001E-3</v>
      </c>
      <c r="AC423" s="4" t="s">
        <v>246</v>
      </c>
      <c r="AD423" s="4">
        <v>0.9</v>
      </c>
      <c r="AE423" s="4">
        <v>0.5</v>
      </c>
      <c r="AF423" s="4">
        <v>0.6</v>
      </c>
      <c r="AG423" s="4">
        <v>0.43</v>
      </c>
      <c r="AH423" s="4">
        <v>804.74157700000001</v>
      </c>
      <c r="AI423" s="4">
        <v>1.6E-2</v>
      </c>
      <c r="AJ423" s="5"/>
      <c r="AK423" s="5"/>
      <c r="AL423" s="5"/>
      <c r="AM423" s="5"/>
      <c r="AO423" s="4" t="s">
        <v>247</v>
      </c>
      <c r="AP423" s="4">
        <v>0.9</v>
      </c>
      <c r="AQ423" s="4">
        <v>0.5</v>
      </c>
      <c r="AR423" s="4">
        <v>0.6</v>
      </c>
      <c r="AS423" s="4">
        <v>0.3</v>
      </c>
      <c r="AT423" s="6">
        <v>1041.5257570000001</v>
      </c>
      <c r="AU423" s="4">
        <v>8.0000000000000002E-3</v>
      </c>
      <c r="AW423" s="4" t="s">
        <v>247</v>
      </c>
      <c r="AX423" s="4">
        <v>0.9</v>
      </c>
      <c r="AY423" s="4">
        <v>0.5</v>
      </c>
      <c r="AZ423" s="4">
        <v>0.6</v>
      </c>
      <c r="BA423" s="4">
        <v>0.44</v>
      </c>
      <c r="BB423" s="4">
        <v>1161.404053</v>
      </c>
      <c r="BC423" s="4">
        <v>2.1999999999999999E-2</v>
      </c>
      <c r="BD423" s="5"/>
      <c r="BE423" s="5"/>
      <c r="BF423" s="5"/>
      <c r="BG423" s="5"/>
      <c r="BI423" s="4" t="s">
        <v>247</v>
      </c>
      <c r="BJ423" s="4">
        <v>0.9</v>
      </c>
      <c r="BK423" s="4">
        <v>0.5</v>
      </c>
      <c r="BL423" s="4">
        <v>0.6</v>
      </c>
      <c r="BM423" s="4">
        <v>0.3</v>
      </c>
      <c r="BN423" s="4">
        <v>1044.0048830000001</v>
      </c>
      <c r="BO423" s="4">
        <v>8.0000000000000002E-3</v>
      </c>
      <c r="BQ423" s="4" t="s">
        <v>247</v>
      </c>
      <c r="BR423" s="4">
        <v>0.9</v>
      </c>
      <c r="BS423" s="4">
        <v>0.5</v>
      </c>
      <c r="BT423" s="4">
        <v>0.6</v>
      </c>
      <c r="BU423" s="4">
        <v>0.13</v>
      </c>
      <c r="BV423" s="6">
        <v>920.660706</v>
      </c>
      <c r="BW423" s="4">
        <v>1.9E-2</v>
      </c>
      <c r="BX423" s="5"/>
      <c r="BY423" s="5"/>
      <c r="BZ423" s="5"/>
      <c r="CA423" s="5"/>
    </row>
    <row r="424" spans="1:79" x14ac:dyDescent="0.3">
      <c r="A424" s="4" t="s">
        <v>248</v>
      </c>
      <c r="B424" s="4">
        <v>0.9</v>
      </c>
      <c r="C424" s="4">
        <v>0.5</v>
      </c>
      <c r="D424" s="4">
        <v>0.6</v>
      </c>
      <c r="E424" s="4">
        <v>0.3</v>
      </c>
      <c r="F424" s="6">
        <v>762.60406499999999</v>
      </c>
      <c r="G424" s="4">
        <v>2E-3</v>
      </c>
      <c r="I424" s="4" t="s">
        <v>248</v>
      </c>
      <c r="J424" s="4">
        <v>0.9</v>
      </c>
      <c r="K424" s="4">
        <v>0.5</v>
      </c>
      <c r="L424" s="4">
        <v>0.6</v>
      </c>
      <c r="M424" s="4">
        <v>0.78</v>
      </c>
      <c r="N424" s="4">
        <v>963.79199200000005</v>
      </c>
      <c r="O424" s="4">
        <v>1.7000000000000001E-2</v>
      </c>
      <c r="P424" s="5"/>
      <c r="Q424" s="5"/>
      <c r="R424" s="5"/>
      <c r="S424" s="5"/>
      <c r="U424" s="4" t="s">
        <v>248</v>
      </c>
      <c r="V424" s="4">
        <v>0.9</v>
      </c>
      <c r="W424" s="4">
        <v>0.5</v>
      </c>
      <c r="X424" s="4">
        <v>0.6</v>
      </c>
      <c r="Y424" s="4">
        <v>0.3</v>
      </c>
      <c r="Z424" s="6">
        <v>761.53265399999998</v>
      </c>
      <c r="AA424" s="4">
        <v>3.0000000000000001E-3</v>
      </c>
      <c r="AC424" s="4" t="s">
        <v>248</v>
      </c>
      <c r="AD424" s="4">
        <v>0.9</v>
      </c>
      <c r="AE424" s="4">
        <v>0.5</v>
      </c>
      <c r="AF424" s="4">
        <v>0.6</v>
      </c>
      <c r="AG424" s="4">
        <v>0.45</v>
      </c>
      <c r="AH424" s="4">
        <v>844.66888400000005</v>
      </c>
      <c r="AI424" s="4">
        <v>8.9999999999999993E-3</v>
      </c>
      <c r="AJ424" s="5"/>
      <c r="AK424" s="5"/>
      <c r="AL424" s="5"/>
      <c r="AM424" s="5"/>
      <c r="AO424" s="4" t="s">
        <v>249</v>
      </c>
      <c r="AP424" s="4">
        <v>0.9</v>
      </c>
      <c r="AQ424" s="4">
        <v>0.5</v>
      </c>
      <c r="AR424" s="4">
        <v>0.6</v>
      </c>
      <c r="AS424" s="4">
        <v>0.3</v>
      </c>
      <c r="AT424" s="6">
        <v>1115.2554929999999</v>
      </c>
      <c r="AU424" s="4">
        <v>8.9999999999999993E-3</v>
      </c>
      <c r="AW424" s="4" t="s">
        <v>249</v>
      </c>
      <c r="AX424" s="4">
        <v>0.9</v>
      </c>
      <c r="AY424" s="4">
        <v>0.5</v>
      </c>
      <c r="AZ424" s="4">
        <v>0.6</v>
      </c>
      <c r="BA424" s="4">
        <v>0.65</v>
      </c>
      <c r="BB424" s="4">
        <v>1320.8492429999999</v>
      </c>
      <c r="BC424" s="4">
        <v>3.1E-2</v>
      </c>
      <c r="BD424" s="5"/>
      <c r="BE424" s="5"/>
      <c r="BF424" s="5"/>
      <c r="BG424" s="5"/>
      <c r="BI424" s="4" t="s">
        <v>249</v>
      </c>
      <c r="BJ424" s="4">
        <v>0.9</v>
      </c>
      <c r="BK424" s="4">
        <v>0.5</v>
      </c>
      <c r="BL424" s="4">
        <v>0.6</v>
      </c>
      <c r="BM424" s="4">
        <v>0.3</v>
      </c>
      <c r="BN424" s="6">
        <v>1128.3664550000001</v>
      </c>
      <c r="BO424" s="4">
        <v>1.0999999999999999E-2</v>
      </c>
      <c r="BQ424" s="4" t="s">
        <v>249</v>
      </c>
      <c r="BR424" s="4">
        <v>0.9</v>
      </c>
      <c r="BS424" s="4">
        <v>0.5</v>
      </c>
      <c r="BT424" s="4">
        <v>0.6</v>
      </c>
      <c r="BU424" s="4">
        <v>0.32</v>
      </c>
      <c r="BV424" s="4">
        <v>1157.1019289999999</v>
      </c>
      <c r="BW424" s="4">
        <v>0.03</v>
      </c>
      <c r="BX424" s="5"/>
      <c r="BY424" s="5"/>
      <c r="BZ424" s="5"/>
      <c r="CA424" s="5"/>
    </row>
    <row r="425" spans="1:79" x14ac:dyDescent="0.3">
      <c r="A425" s="4" t="s">
        <v>250</v>
      </c>
      <c r="B425" s="4">
        <v>0.9</v>
      </c>
      <c r="C425" s="4">
        <v>0.5</v>
      </c>
      <c r="D425" s="4">
        <v>0.6</v>
      </c>
      <c r="E425" s="4">
        <v>0.3</v>
      </c>
      <c r="F425" s="6">
        <v>758.64093000000003</v>
      </c>
      <c r="G425" s="4">
        <v>2E-3</v>
      </c>
      <c r="I425" s="4" t="s">
        <v>250</v>
      </c>
      <c r="J425" s="4">
        <v>0.9</v>
      </c>
      <c r="K425" s="4">
        <v>0.5</v>
      </c>
      <c r="L425" s="4">
        <v>0.6</v>
      </c>
      <c r="M425" s="4">
        <v>0.46</v>
      </c>
      <c r="N425" s="4">
        <v>849.29632600000002</v>
      </c>
      <c r="O425" s="4">
        <v>1.0999999999999999E-2</v>
      </c>
      <c r="P425" s="5"/>
      <c r="Q425" s="5"/>
      <c r="R425" s="5"/>
      <c r="S425" s="5"/>
      <c r="U425" s="4" t="s">
        <v>250</v>
      </c>
      <c r="V425" s="4">
        <v>0.9</v>
      </c>
      <c r="W425" s="4">
        <v>0.5</v>
      </c>
      <c r="X425" s="4">
        <v>0.6</v>
      </c>
      <c r="Y425" s="4">
        <v>0.3</v>
      </c>
      <c r="Z425" s="6">
        <v>767.87957800000004</v>
      </c>
      <c r="AA425" s="4">
        <v>3.0000000000000001E-3</v>
      </c>
      <c r="AC425" s="4" t="s">
        <v>250</v>
      </c>
      <c r="AD425" s="4">
        <v>0.9</v>
      </c>
      <c r="AE425" s="4">
        <v>0.5</v>
      </c>
      <c r="AF425" s="4">
        <v>0.6</v>
      </c>
      <c r="AG425" s="4">
        <v>0.3</v>
      </c>
      <c r="AH425" s="4">
        <v>768.99511700000005</v>
      </c>
      <c r="AI425" s="4">
        <v>1.7999999999999999E-2</v>
      </c>
      <c r="AJ425" s="5"/>
      <c r="AK425" s="5"/>
      <c r="AL425" s="5"/>
      <c r="AM425" s="5"/>
      <c r="AO425" s="4" t="s">
        <v>251</v>
      </c>
      <c r="AP425" s="4">
        <v>0.9</v>
      </c>
      <c r="AQ425" s="4">
        <v>0.5</v>
      </c>
      <c r="AR425" s="4">
        <v>0.6</v>
      </c>
      <c r="AS425" s="4">
        <v>0.3</v>
      </c>
      <c r="AT425" s="6">
        <v>1105.2354740000001</v>
      </c>
      <c r="AU425" s="4">
        <v>8.0000000000000002E-3</v>
      </c>
      <c r="AW425" s="4" t="s">
        <v>251</v>
      </c>
      <c r="AX425" s="4">
        <v>0.9</v>
      </c>
      <c r="AY425" s="4">
        <v>0.5</v>
      </c>
      <c r="AZ425" s="4">
        <v>0.6</v>
      </c>
      <c r="BA425" s="4">
        <v>0.39</v>
      </c>
      <c r="BB425" s="4">
        <v>1205.158203</v>
      </c>
      <c r="BC425" s="4">
        <v>1.7999999999999999E-2</v>
      </c>
      <c r="BD425" s="5"/>
      <c r="BE425" s="5"/>
      <c r="BF425" s="5"/>
      <c r="BG425" s="5"/>
      <c r="BI425" s="4" t="s">
        <v>251</v>
      </c>
      <c r="BJ425" s="4">
        <v>0.9</v>
      </c>
      <c r="BK425" s="4">
        <v>0.5</v>
      </c>
      <c r="BL425" s="4">
        <v>0.6</v>
      </c>
      <c r="BM425" s="4">
        <v>0.3</v>
      </c>
      <c r="BN425" s="6">
        <v>1119.088745</v>
      </c>
      <c r="BO425" s="4">
        <v>5.6000000000000001E-2</v>
      </c>
      <c r="BQ425" s="4" t="s">
        <v>251</v>
      </c>
      <c r="BR425" s="4">
        <v>0.9</v>
      </c>
      <c r="BS425" s="4">
        <v>0.5</v>
      </c>
      <c r="BT425" s="4">
        <v>0.6</v>
      </c>
      <c r="BU425" s="4">
        <v>0.74</v>
      </c>
      <c r="BV425" s="4">
        <v>1304.9375</v>
      </c>
      <c r="BW425" s="4">
        <v>1.7000000000000001E-2</v>
      </c>
      <c r="BX425" s="5"/>
      <c r="BY425" s="5"/>
      <c r="BZ425" s="5"/>
      <c r="CA425" s="5"/>
    </row>
    <row r="426" spans="1:79" x14ac:dyDescent="0.3">
      <c r="A426" s="4" t="s">
        <v>252</v>
      </c>
      <c r="B426" s="4">
        <v>0.9</v>
      </c>
      <c r="C426" s="4">
        <v>0.5</v>
      </c>
      <c r="D426" s="4">
        <v>0.6</v>
      </c>
      <c r="E426" s="4">
        <v>0.3</v>
      </c>
      <c r="F426" s="6">
        <v>778.09826699999996</v>
      </c>
      <c r="G426" s="4">
        <v>3.0000000000000001E-3</v>
      </c>
      <c r="I426" s="4" t="s">
        <v>252</v>
      </c>
      <c r="J426" s="4">
        <v>0.9</v>
      </c>
      <c r="K426" s="4">
        <v>0.5</v>
      </c>
      <c r="L426" s="4">
        <v>0.6</v>
      </c>
      <c r="M426" s="4">
        <v>0.93</v>
      </c>
      <c r="N426" s="4">
        <v>1008.8498540000001</v>
      </c>
      <c r="O426" s="4">
        <v>8.9999999999999993E-3</v>
      </c>
      <c r="P426" s="5"/>
      <c r="Q426" s="5"/>
      <c r="R426" s="5"/>
      <c r="S426" s="5"/>
      <c r="U426" s="4" t="s">
        <v>252</v>
      </c>
      <c r="V426" s="4">
        <v>0.9</v>
      </c>
      <c r="W426" s="4">
        <v>0.5</v>
      </c>
      <c r="X426" s="4">
        <v>0.6</v>
      </c>
      <c r="Y426" s="4">
        <v>0.3</v>
      </c>
      <c r="Z426" s="6">
        <v>787.66986099999997</v>
      </c>
      <c r="AA426" s="4">
        <v>3.0000000000000001E-3</v>
      </c>
      <c r="AC426" s="4" t="s">
        <v>252</v>
      </c>
      <c r="AD426" s="4">
        <v>0.9</v>
      </c>
      <c r="AE426" s="4">
        <v>0.5</v>
      </c>
      <c r="AF426" s="4">
        <v>0.6</v>
      </c>
      <c r="AG426" s="4">
        <v>0.39</v>
      </c>
      <c r="AH426" s="4">
        <v>856.60894800000005</v>
      </c>
      <c r="AI426" s="4">
        <v>1.4E-2</v>
      </c>
      <c r="AJ426" s="5"/>
      <c r="AK426" s="5"/>
      <c r="AL426" s="5"/>
      <c r="AM426" s="5"/>
      <c r="AO426" s="4" t="s">
        <v>253</v>
      </c>
      <c r="AP426" s="4">
        <v>0.9</v>
      </c>
      <c r="AQ426" s="4">
        <v>0.5</v>
      </c>
      <c r="AR426" s="4">
        <v>0.6</v>
      </c>
      <c r="AS426" s="4">
        <v>0.3</v>
      </c>
      <c r="AT426" s="6">
        <v>1167.252686</v>
      </c>
      <c r="AU426" s="4">
        <v>0.01</v>
      </c>
      <c r="AW426" s="4" t="s">
        <v>253</v>
      </c>
      <c r="AX426" s="4">
        <v>0.9</v>
      </c>
      <c r="AY426" s="4">
        <v>0.5</v>
      </c>
      <c r="AZ426" s="4">
        <v>0.6</v>
      </c>
      <c r="BA426" s="4">
        <v>0.47</v>
      </c>
      <c r="BB426" s="4">
        <v>1290.544189</v>
      </c>
      <c r="BC426" s="4">
        <v>2.3E-2</v>
      </c>
      <c r="BD426" s="5"/>
      <c r="BE426" s="5"/>
      <c r="BF426" s="5"/>
      <c r="BG426" s="5"/>
      <c r="BI426" s="4" t="s">
        <v>253</v>
      </c>
      <c r="BJ426" s="4">
        <v>0.9</v>
      </c>
      <c r="BK426" s="4">
        <v>0.5</v>
      </c>
      <c r="BL426" s="4">
        <v>0.6</v>
      </c>
      <c r="BM426" s="4">
        <v>0.3</v>
      </c>
      <c r="BN426" s="4">
        <v>1158.178101</v>
      </c>
      <c r="BO426" s="4">
        <v>1.2999999999999999E-2</v>
      </c>
      <c r="BQ426" s="4" t="s">
        <v>253</v>
      </c>
      <c r="BR426" s="4">
        <v>0.9</v>
      </c>
      <c r="BS426" s="4">
        <v>0.5</v>
      </c>
      <c r="BT426" s="4">
        <v>0.6</v>
      </c>
      <c r="BU426" s="4">
        <v>0.1</v>
      </c>
      <c r="BV426" s="6">
        <v>1000.022217</v>
      </c>
      <c r="BW426" s="4">
        <v>1.7999999999999999E-2</v>
      </c>
      <c r="BX426" s="5"/>
      <c r="BY426" s="5"/>
      <c r="BZ426" s="5"/>
      <c r="CA426" s="5"/>
    </row>
    <row r="427" spans="1:79" x14ac:dyDescent="0.3">
      <c r="A427" s="14" t="s">
        <v>316</v>
      </c>
      <c r="E427" s="14">
        <f>AVERAGE(E397:E426)</f>
        <v>0.3</v>
      </c>
      <c r="I427" s="14" t="s">
        <v>316</v>
      </c>
      <c r="M427" s="14">
        <f>AVERAGE(M397:M426)</f>
        <v>0.49933333333333335</v>
      </c>
      <c r="U427" s="14" t="s">
        <v>316</v>
      </c>
      <c r="Y427" s="14">
        <f>AVERAGE(Y397:Y426)</f>
        <v>0.3</v>
      </c>
      <c r="AC427" s="14" t="s">
        <v>316</v>
      </c>
      <c r="AG427" s="14">
        <f>AVERAGE(AG397:AG426)</f>
        <v>0.51999999999999991</v>
      </c>
      <c r="AO427" s="14" t="s">
        <v>316</v>
      </c>
      <c r="AS427" s="14">
        <f>AVERAGE(AS397:AS426)</f>
        <v>0.3</v>
      </c>
      <c r="AW427" s="14" t="s">
        <v>316</v>
      </c>
      <c r="BA427" s="14">
        <f>AVERAGE(BA397:BA426)</f>
        <v>0.38300000000000006</v>
      </c>
      <c r="BI427" s="14" t="s">
        <v>316</v>
      </c>
      <c r="BM427" s="14">
        <f>AVERAGE(BM397:BM426)</f>
        <v>0.3</v>
      </c>
      <c r="BQ427" s="14" t="s">
        <v>316</v>
      </c>
      <c r="BU427" s="14">
        <f>AVERAGE(BU397:BU426)</f>
        <v>0.44900000000000001</v>
      </c>
    </row>
    <row r="428" spans="1:79" s="1" customFormat="1" x14ac:dyDescent="0.3"/>
    <row r="429" spans="1:79" x14ac:dyDescent="0.3">
      <c r="A429" s="23" t="s">
        <v>314</v>
      </c>
      <c r="B429" s="23"/>
      <c r="C429" s="23"/>
      <c r="D429" s="23"/>
      <c r="E429" s="23"/>
      <c r="F429" s="23"/>
      <c r="G429" s="23"/>
      <c r="I429" s="24" t="s">
        <v>314</v>
      </c>
      <c r="J429" s="25"/>
      <c r="K429" s="25"/>
      <c r="L429" s="25"/>
      <c r="M429" s="25"/>
      <c r="N429" s="25"/>
      <c r="O429" s="26"/>
      <c r="P429" s="11"/>
      <c r="Q429" s="11"/>
      <c r="R429" s="11"/>
      <c r="S429" s="11"/>
      <c r="U429" s="23" t="s">
        <v>314</v>
      </c>
      <c r="V429" s="23"/>
      <c r="W429" s="23"/>
      <c r="X429" s="23"/>
      <c r="Y429" s="23"/>
      <c r="Z429" s="23"/>
      <c r="AA429" s="23"/>
      <c r="AC429" s="24" t="s">
        <v>314</v>
      </c>
      <c r="AD429" s="25"/>
      <c r="AE429" s="25"/>
      <c r="AF429" s="25"/>
      <c r="AG429" s="25"/>
      <c r="AH429" s="25"/>
      <c r="AI429" s="26"/>
      <c r="AJ429" s="11"/>
      <c r="AK429" s="11"/>
      <c r="AL429" s="11"/>
      <c r="AM429" s="11"/>
      <c r="AO429" s="23" t="s">
        <v>314</v>
      </c>
      <c r="AP429" s="23"/>
      <c r="AQ429" s="23"/>
      <c r="AR429" s="23"/>
      <c r="AS429" s="23"/>
      <c r="AT429" s="23"/>
      <c r="AU429" s="23"/>
      <c r="AW429" s="24" t="s">
        <v>314</v>
      </c>
      <c r="AX429" s="25"/>
      <c r="AY429" s="25"/>
      <c r="AZ429" s="25"/>
      <c r="BA429" s="25"/>
      <c r="BB429" s="25"/>
      <c r="BC429" s="26"/>
      <c r="BD429" s="11"/>
      <c r="BE429" s="11"/>
      <c r="BF429" s="11"/>
      <c r="BG429" s="11"/>
      <c r="BI429" s="23" t="s">
        <v>314</v>
      </c>
      <c r="BJ429" s="23"/>
      <c r="BK429" s="23"/>
      <c r="BL429" s="23"/>
      <c r="BM429" s="23"/>
      <c r="BN429" s="23"/>
      <c r="BO429" s="23"/>
      <c r="BQ429" s="24" t="s">
        <v>314</v>
      </c>
      <c r="BR429" s="25"/>
      <c r="BS429" s="25"/>
      <c r="BT429" s="25"/>
      <c r="BU429" s="25"/>
      <c r="BV429" s="25"/>
      <c r="BW429" s="26"/>
      <c r="BX429" s="11"/>
      <c r="BY429" s="11"/>
      <c r="BZ429" s="11"/>
      <c r="CA429" s="11"/>
    </row>
    <row r="430" spans="1:79" x14ac:dyDescent="0.3">
      <c r="A430" s="4" t="s">
        <v>0</v>
      </c>
      <c r="B430" s="4"/>
      <c r="C430" s="4"/>
      <c r="D430" s="4"/>
      <c r="E430" s="4"/>
      <c r="F430" s="4"/>
      <c r="G430" s="4"/>
      <c r="I430" s="4" t="s">
        <v>0</v>
      </c>
      <c r="J430" s="4"/>
      <c r="K430" s="4"/>
      <c r="L430" s="4"/>
      <c r="M430" s="4"/>
      <c r="N430" s="4"/>
      <c r="O430" s="4"/>
      <c r="P430" s="5"/>
      <c r="Q430" s="5"/>
      <c r="R430" s="5"/>
      <c r="S430" s="5"/>
      <c r="U430" s="4" t="s">
        <v>1</v>
      </c>
      <c r="V430" s="4"/>
      <c r="W430" s="4"/>
      <c r="X430" s="4"/>
      <c r="Y430" s="4"/>
      <c r="Z430" s="4"/>
      <c r="AA430" s="4"/>
      <c r="AC430" s="4" t="s">
        <v>1</v>
      </c>
      <c r="AD430" s="4"/>
      <c r="AE430" s="4"/>
      <c r="AF430" s="4"/>
      <c r="AG430" s="4"/>
      <c r="AH430" s="4"/>
      <c r="AI430" s="4"/>
      <c r="AJ430" s="5"/>
      <c r="AK430" s="5"/>
      <c r="AL430" s="5"/>
      <c r="AM430" s="5"/>
      <c r="AO430" s="4" t="s">
        <v>0</v>
      </c>
      <c r="AP430" s="4"/>
      <c r="AQ430" s="4"/>
      <c r="AR430" s="4"/>
      <c r="AS430" s="4"/>
      <c r="AT430" s="4"/>
      <c r="AU430" s="4"/>
      <c r="AW430" s="4" t="s">
        <v>0</v>
      </c>
      <c r="AX430" s="4"/>
      <c r="AY430" s="4"/>
      <c r="AZ430" s="4"/>
      <c r="BA430" s="4"/>
      <c r="BB430" s="4"/>
      <c r="BC430" s="4"/>
      <c r="BD430" s="5"/>
      <c r="BE430" s="5"/>
      <c r="BF430" s="5"/>
      <c r="BG430" s="5"/>
      <c r="BI430" s="4" t="s">
        <v>1</v>
      </c>
      <c r="BJ430" s="4"/>
      <c r="BK430" s="4"/>
      <c r="BL430" s="4"/>
      <c r="BM430" s="4"/>
      <c r="BN430" s="4"/>
      <c r="BO430" s="4"/>
      <c r="BQ430" s="4" t="s">
        <v>1</v>
      </c>
      <c r="BR430" s="4"/>
      <c r="BS430" s="4"/>
      <c r="BT430" s="4"/>
      <c r="BU430" s="4"/>
      <c r="BV430" s="4"/>
      <c r="BW430" s="4"/>
      <c r="BX430" s="5"/>
      <c r="BY430" s="5"/>
      <c r="BZ430" s="5"/>
      <c r="CA430" s="5"/>
    </row>
    <row r="431" spans="1:79" x14ac:dyDescent="0.3">
      <c r="A431" s="4" t="s">
        <v>2</v>
      </c>
      <c r="B431" s="4" t="s">
        <v>3</v>
      </c>
      <c r="C431" s="4" t="s">
        <v>4</v>
      </c>
      <c r="D431" s="4" t="s">
        <v>5</v>
      </c>
      <c r="E431" s="4" t="s">
        <v>6</v>
      </c>
      <c r="F431" s="4" t="s">
        <v>7</v>
      </c>
      <c r="G431" s="4" t="s">
        <v>8</v>
      </c>
      <c r="I431" s="4" t="s">
        <v>2</v>
      </c>
      <c r="J431" s="4" t="s">
        <v>3</v>
      </c>
      <c r="K431" s="4" t="s">
        <v>4</v>
      </c>
      <c r="L431" s="4" t="s">
        <v>5</v>
      </c>
      <c r="M431" s="4" t="s">
        <v>6</v>
      </c>
      <c r="N431" s="4" t="s">
        <v>7</v>
      </c>
      <c r="O431" s="4" t="s">
        <v>8</v>
      </c>
      <c r="P431" s="3" t="s">
        <v>322</v>
      </c>
      <c r="Q431" s="3" t="s">
        <v>323</v>
      </c>
      <c r="R431" s="3" t="s">
        <v>322</v>
      </c>
      <c r="S431" s="3" t="s">
        <v>323</v>
      </c>
      <c r="U431" s="4" t="s">
        <v>2</v>
      </c>
      <c r="V431" s="4" t="s">
        <v>3</v>
      </c>
      <c r="W431" s="4" t="s">
        <v>4</v>
      </c>
      <c r="X431" s="4" t="s">
        <v>5</v>
      </c>
      <c r="Y431" s="4" t="s">
        <v>6</v>
      </c>
      <c r="Z431" s="4" t="s">
        <v>7</v>
      </c>
      <c r="AA431" s="4" t="s">
        <v>8</v>
      </c>
      <c r="AC431" s="4" t="s">
        <v>2</v>
      </c>
      <c r="AD431" s="4" t="s">
        <v>3</v>
      </c>
      <c r="AE431" s="4" t="s">
        <v>4</v>
      </c>
      <c r="AF431" s="4" t="s">
        <v>5</v>
      </c>
      <c r="AG431" s="4" t="s">
        <v>6</v>
      </c>
      <c r="AH431" s="4" t="s">
        <v>7</v>
      </c>
      <c r="AI431" s="4" t="s">
        <v>8</v>
      </c>
      <c r="AJ431" s="3" t="s">
        <v>322</v>
      </c>
      <c r="AK431" s="3" t="s">
        <v>323</v>
      </c>
      <c r="AL431" s="3" t="s">
        <v>322</v>
      </c>
      <c r="AM431" s="3" t="s">
        <v>323</v>
      </c>
      <c r="AO431" s="4" t="s">
        <v>2</v>
      </c>
      <c r="AP431" s="4" t="s">
        <v>3</v>
      </c>
      <c r="AQ431" s="4" t="s">
        <v>4</v>
      </c>
      <c r="AR431" s="4" t="s">
        <v>5</v>
      </c>
      <c r="AS431" s="4" t="s">
        <v>6</v>
      </c>
      <c r="AT431" s="4" t="s">
        <v>7</v>
      </c>
      <c r="AU431" s="4" t="s">
        <v>8</v>
      </c>
      <c r="AW431" s="4" t="s">
        <v>2</v>
      </c>
      <c r="AX431" s="4" t="s">
        <v>3</v>
      </c>
      <c r="AY431" s="4" t="s">
        <v>4</v>
      </c>
      <c r="AZ431" s="4" t="s">
        <v>5</v>
      </c>
      <c r="BA431" s="4" t="s">
        <v>6</v>
      </c>
      <c r="BB431" s="4" t="s">
        <v>7</v>
      </c>
      <c r="BC431" s="4" t="s">
        <v>8</v>
      </c>
      <c r="BD431" s="3" t="s">
        <v>322</v>
      </c>
      <c r="BE431" s="3" t="s">
        <v>323</v>
      </c>
      <c r="BF431" s="3" t="s">
        <v>322</v>
      </c>
      <c r="BG431" s="3" t="s">
        <v>323</v>
      </c>
      <c r="BI431" s="4" t="s">
        <v>2</v>
      </c>
      <c r="BJ431" s="4" t="s">
        <v>3</v>
      </c>
      <c r="BK431" s="4" t="s">
        <v>4</v>
      </c>
      <c r="BL431" s="4" t="s">
        <v>5</v>
      </c>
      <c r="BM431" s="4" t="s">
        <v>6</v>
      </c>
      <c r="BN431" s="4" t="s">
        <v>7</v>
      </c>
      <c r="BO431" s="4" t="s">
        <v>8</v>
      </c>
      <c r="BQ431" s="4" t="s">
        <v>2</v>
      </c>
      <c r="BR431" s="4" t="s">
        <v>3</v>
      </c>
      <c r="BS431" s="4" t="s">
        <v>4</v>
      </c>
      <c r="BT431" s="4" t="s">
        <v>5</v>
      </c>
      <c r="BU431" s="4" t="s">
        <v>6</v>
      </c>
      <c r="BV431" s="4" t="s">
        <v>7</v>
      </c>
      <c r="BW431" s="4" t="s">
        <v>8</v>
      </c>
      <c r="BX431" s="3" t="s">
        <v>322</v>
      </c>
      <c r="BY431" s="3" t="s">
        <v>323</v>
      </c>
      <c r="BZ431" s="3" t="s">
        <v>322</v>
      </c>
      <c r="CA431" s="3" t="s">
        <v>323</v>
      </c>
    </row>
    <row r="432" spans="1:79" x14ac:dyDescent="0.3">
      <c r="A432" s="4" t="s">
        <v>254</v>
      </c>
      <c r="B432" s="4">
        <v>0.9</v>
      </c>
      <c r="C432" s="4">
        <v>0.5</v>
      </c>
      <c r="D432" s="4">
        <v>0.6</v>
      </c>
      <c r="E432" s="4">
        <v>0.3</v>
      </c>
      <c r="F432" s="4">
        <v>667.79949999999997</v>
      </c>
      <c r="G432" s="4">
        <v>3.0000000000000001E-3</v>
      </c>
      <c r="I432" s="4" t="s">
        <v>254</v>
      </c>
      <c r="J432" s="4">
        <v>0.9</v>
      </c>
      <c r="K432" s="4">
        <v>0.5</v>
      </c>
      <c r="L432" s="4">
        <v>0.6</v>
      </c>
      <c r="M432" s="4">
        <v>0.01</v>
      </c>
      <c r="N432" s="6">
        <v>621.78442399999994</v>
      </c>
      <c r="O432" s="4">
        <v>1.4E-2</v>
      </c>
      <c r="P432" s="4" t="s">
        <v>324</v>
      </c>
      <c r="Q432" s="4" t="s">
        <v>324</v>
      </c>
      <c r="R432" s="4" t="s">
        <v>327</v>
      </c>
      <c r="S432" s="4" t="s">
        <v>327</v>
      </c>
      <c r="U432" s="4" t="s">
        <v>254</v>
      </c>
      <c r="V432" s="4">
        <v>0.9</v>
      </c>
      <c r="W432" s="4">
        <v>0.5</v>
      </c>
      <c r="X432" s="4">
        <v>0.6</v>
      </c>
      <c r="Y432" s="4">
        <v>0.3</v>
      </c>
      <c r="Z432" s="4">
        <v>631.02233899999999</v>
      </c>
      <c r="AA432" s="4">
        <v>2E-3</v>
      </c>
      <c r="AC432" s="4" t="s">
        <v>254</v>
      </c>
      <c r="AD432" s="4">
        <v>0.9</v>
      </c>
      <c r="AE432" s="4">
        <v>0.5</v>
      </c>
      <c r="AF432" s="4">
        <v>0.6</v>
      </c>
      <c r="AG432" s="4">
        <v>0.01</v>
      </c>
      <c r="AH432" s="6">
        <v>583.43267800000001</v>
      </c>
      <c r="AI432" s="4">
        <v>2.7E-2</v>
      </c>
      <c r="AJ432" s="4" t="s">
        <v>324</v>
      </c>
      <c r="AK432" s="4" t="s">
        <v>324</v>
      </c>
      <c r="AL432" s="4" t="s">
        <v>327</v>
      </c>
      <c r="AM432" s="4" t="s">
        <v>327</v>
      </c>
      <c r="AO432" s="4" t="s">
        <v>255</v>
      </c>
      <c r="AP432" s="4">
        <v>0.9</v>
      </c>
      <c r="AQ432" s="4">
        <v>0.5</v>
      </c>
      <c r="AR432" s="4">
        <v>0.6</v>
      </c>
      <c r="AS432" s="4">
        <v>0.3</v>
      </c>
      <c r="AT432" s="4">
        <v>1008.811523</v>
      </c>
      <c r="AU432" s="4">
        <v>1.2E-2</v>
      </c>
      <c r="AW432" s="4" t="s">
        <v>255</v>
      </c>
      <c r="AX432" s="4">
        <v>0.9</v>
      </c>
      <c r="AY432" s="4">
        <v>0.5</v>
      </c>
      <c r="AZ432" s="4">
        <v>0.6</v>
      </c>
      <c r="BA432" s="4">
        <v>0.01</v>
      </c>
      <c r="BB432" s="6">
        <v>860.48821999999996</v>
      </c>
      <c r="BC432" s="4">
        <v>2.3E-2</v>
      </c>
      <c r="BD432" s="4" t="s">
        <v>324</v>
      </c>
      <c r="BE432" s="4" t="s">
        <v>324</v>
      </c>
      <c r="BF432" s="4" t="s">
        <v>327</v>
      </c>
      <c r="BG432" s="4" t="s">
        <v>327</v>
      </c>
      <c r="BI432" s="4" t="s">
        <v>255</v>
      </c>
      <c r="BJ432" s="4">
        <v>0.9</v>
      </c>
      <c r="BK432" s="4">
        <v>0.5</v>
      </c>
      <c r="BL432" s="4">
        <v>0.6</v>
      </c>
      <c r="BM432" s="4">
        <v>0.3</v>
      </c>
      <c r="BN432" s="4">
        <v>953.12335199999995</v>
      </c>
      <c r="BO432" s="4">
        <v>8.0000000000000002E-3</v>
      </c>
      <c r="BQ432" s="4" t="s">
        <v>255</v>
      </c>
      <c r="BR432" s="4">
        <v>0.9</v>
      </c>
      <c r="BS432" s="4">
        <v>0.5</v>
      </c>
      <c r="BT432" s="4">
        <v>0.6</v>
      </c>
      <c r="BU432" s="4">
        <v>0.01</v>
      </c>
      <c r="BV432" s="6">
        <v>778.04431199999999</v>
      </c>
      <c r="BW432" s="4">
        <v>1.7000000000000001E-2</v>
      </c>
      <c r="BX432" s="4" t="s">
        <v>324</v>
      </c>
      <c r="BY432" s="4" t="s">
        <v>324</v>
      </c>
      <c r="BZ432" s="4" t="s">
        <v>327</v>
      </c>
      <c r="CA432" s="4" t="s">
        <v>327</v>
      </c>
    </row>
    <row r="433" spans="1:79" x14ac:dyDescent="0.3">
      <c r="A433" s="4" t="s">
        <v>256</v>
      </c>
      <c r="B433" s="4">
        <v>0.9</v>
      </c>
      <c r="C433" s="4">
        <v>0.5</v>
      </c>
      <c r="D433" s="4">
        <v>0.6</v>
      </c>
      <c r="E433" s="4">
        <v>0.3</v>
      </c>
      <c r="F433" s="6">
        <v>681.60968000000003</v>
      </c>
      <c r="G433" s="4">
        <v>3.0000000000000001E-3</v>
      </c>
      <c r="I433" s="4" t="s">
        <v>256</v>
      </c>
      <c r="J433" s="4">
        <v>0.9</v>
      </c>
      <c r="K433" s="4">
        <v>0.5</v>
      </c>
      <c r="L433" s="4">
        <v>0.6</v>
      </c>
      <c r="M433" s="4">
        <v>0.65</v>
      </c>
      <c r="N433" s="4">
        <v>763.34381099999996</v>
      </c>
      <c r="O433" s="4">
        <v>2.4E-2</v>
      </c>
      <c r="P433" s="3">
        <f>COUNT(F433,F435:F438,F440:F443,F446:F458,F460:F461)</f>
        <v>24</v>
      </c>
      <c r="Q433" s="3">
        <f>30-P433</f>
        <v>6</v>
      </c>
      <c r="R433" s="3">
        <f>COUNT(N432,N434,N439,N444:N445,N459)</f>
        <v>6</v>
      </c>
      <c r="S433" s="3">
        <f>30-R433</f>
        <v>24</v>
      </c>
      <c r="U433" s="4" t="s">
        <v>256</v>
      </c>
      <c r="V433" s="4">
        <v>0.9</v>
      </c>
      <c r="W433" s="4">
        <v>0.5</v>
      </c>
      <c r="X433" s="4">
        <v>0.6</v>
      </c>
      <c r="Y433" s="4">
        <v>0.3</v>
      </c>
      <c r="Z433" s="6">
        <v>648.01000999999997</v>
      </c>
      <c r="AA433" s="4">
        <v>2E-3</v>
      </c>
      <c r="AC433" s="4" t="s">
        <v>256</v>
      </c>
      <c r="AD433" s="4">
        <v>0.9</v>
      </c>
      <c r="AE433" s="4">
        <v>0.5</v>
      </c>
      <c r="AF433" s="4">
        <v>0.6</v>
      </c>
      <c r="AG433" s="4">
        <v>0.84</v>
      </c>
      <c r="AH433" s="4">
        <v>757.94061299999998</v>
      </c>
      <c r="AI433" s="4">
        <v>2.4E-2</v>
      </c>
      <c r="AJ433" s="3">
        <f>COUNT(Z433:Z435,Z437,Z439:Z442,Z444:Z449,Z451:Z453,Z455:Z460)</f>
        <v>23</v>
      </c>
      <c r="AK433" s="3">
        <f>30-AJ433</f>
        <v>7</v>
      </c>
      <c r="AL433" s="3">
        <f>COUNT(AH432,AH436,AH438,AH443,AH450,AH454,AH461)</f>
        <v>7</v>
      </c>
      <c r="AM433" s="3">
        <f>30-AL433</f>
        <v>23</v>
      </c>
      <c r="AO433" s="4" t="s">
        <v>257</v>
      </c>
      <c r="AP433" s="4">
        <v>0.9</v>
      </c>
      <c r="AQ433" s="4">
        <v>0.5</v>
      </c>
      <c r="AR433" s="4">
        <v>0.6</v>
      </c>
      <c r="AS433" s="4">
        <v>0.3</v>
      </c>
      <c r="AT433" s="6">
        <v>980.29272500000002</v>
      </c>
      <c r="AU433" s="4">
        <v>1.4E-2</v>
      </c>
      <c r="AW433" s="4" t="s">
        <v>257</v>
      </c>
      <c r="AX433" s="4">
        <v>0.9</v>
      </c>
      <c r="AY433" s="4">
        <v>0.5</v>
      </c>
      <c r="AZ433" s="4">
        <v>0.6</v>
      </c>
      <c r="BA433" s="4">
        <v>0.62</v>
      </c>
      <c r="BB433" s="4">
        <v>1103.81665</v>
      </c>
      <c r="BC433" s="4">
        <v>3.1E-2</v>
      </c>
      <c r="BD433" s="3">
        <f>COUNT(AT433:AT435,AT437:AT438,AT440,AT442:AT445,AT448:AT449,AT451:AT455,AT457:AT459,AT461)</f>
        <v>21</v>
      </c>
      <c r="BE433" s="3">
        <f>30-BD433</f>
        <v>9</v>
      </c>
      <c r="BF433" s="3">
        <f>COUNT(BB432,BB436,BB439,BB441,BB446:BB447,BB450,BB456,BB460)</f>
        <v>9</v>
      </c>
      <c r="BG433" s="3">
        <f>30-BF433</f>
        <v>21</v>
      </c>
      <c r="BI433" s="4" t="s">
        <v>257</v>
      </c>
      <c r="BJ433" s="4">
        <v>0.9</v>
      </c>
      <c r="BK433" s="4">
        <v>0.5</v>
      </c>
      <c r="BL433" s="4">
        <v>0.6</v>
      </c>
      <c r="BM433" s="4">
        <v>0.3</v>
      </c>
      <c r="BN433" s="6">
        <v>934.64373799999998</v>
      </c>
      <c r="BO433" s="4">
        <v>7.0000000000000001E-3</v>
      </c>
      <c r="BQ433" s="4" t="s">
        <v>257</v>
      </c>
      <c r="BR433" s="4">
        <v>0.9</v>
      </c>
      <c r="BS433" s="4">
        <v>0.5</v>
      </c>
      <c r="BT433" s="4">
        <v>0.6</v>
      </c>
      <c r="BU433" s="4">
        <v>0.39</v>
      </c>
      <c r="BV433" s="4">
        <v>965.34362799999997</v>
      </c>
      <c r="BW433" s="4">
        <v>2.4E-2</v>
      </c>
      <c r="BX433" s="3">
        <f>COUNT(BN433,BN435:BN445,BN447,BN449:BN454,BN456,BN459:BN461)</f>
        <v>23</v>
      </c>
      <c r="BY433" s="3">
        <f>30-BX433</f>
        <v>7</v>
      </c>
      <c r="BZ433" s="3">
        <f>COUNT(BV432,BV434,BV446:BV448,BV455,BV457:BV458)</f>
        <v>8</v>
      </c>
      <c r="CA433" s="3">
        <f>30-BZ433</f>
        <v>22</v>
      </c>
    </row>
    <row r="434" spans="1:79" x14ac:dyDescent="0.3">
      <c r="A434" s="4" t="s">
        <v>258</v>
      </c>
      <c r="B434" s="4">
        <v>0.9</v>
      </c>
      <c r="C434" s="4">
        <v>0.5</v>
      </c>
      <c r="D434" s="4">
        <v>0.6</v>
      </c>
      <c r="E434" s="4">
        <v>0.3</v>
      </c>
      <c r="F434" s="4">
        <v>667.68158000000005</v>
      </c>
      <c r="G434" s="4">
        <v>2E-3</v>
      </c>
      <c r="I434" s="4" t="s">
        <v>258</v>
      </c>
      <c r="J434" s="4">
        <v>0.9</v>
      </c>
      <c r="K434" s="4">
        <v>0.5</v>
      </c>
      <c r="L434" s="4">
        <v>0.6</v>
      </c>
      <c r="M434" s="4">
        <v>0.15</v>
      </c>
      <c r="N434" s="6">
        <v>636.49768100000006</v>
      </c>
      <c r="O434" s="4">
        <v>4.2000000000000003E-2</v>
      </c>
      <c r="P434" s="5"/>
      <c r="Q434" s="5"/>
      <c r="R434" s="5"/>
      <c r="S434" s="5"/>
      <c r="U434" s="4" t="s">
        <v>258</v>
      </c>
      <c r="V434" s="4">
        <v>0.9</v>
      </c>
      <c r="W434" s="4">
        <v>0.5</v>
      </c>
      <c r="X434" s="4">
        <v>0.6</v>
      </c>
      <c r="Y434" s="4">
        <v>0.3</v>
      </c>
      <c r="Z434" s="6">
        <v>634.08477800000003</v>
      </c>
      <c r="AA434" s="4">
        <v>2E-3</v>
      </c>
      <c r="AC434" s="4" t="s">
        <v>258</v>
      </c>
      <c r="AD434" s="4">
        <v>0.9</v>
      </c>
      <c r="AE434" s="4">
        <v>0.5</v>
      </c>
      <c r="AF434" s="4">
        <v>0.6</v>
      </c>
      <c r="AG434" s="4">
        <v>0.45</v>
      </c>
      <c r="AH434" s="4">
        <v>681.66876200000002</v>
      </c>
      <c r="AI434" s="4">
        <v>1.2999999999999999E-2</v>
      </c>
      <c r="AJ434" s="5"/>
      <c r="AK434" s="5"/>
      <c r="AL434" s="5"/>
      <c r="AM434" s="5"/>
      <c r="AO434" s="4" t="s">
        <v>259</v>
      </c>
      <c r="AP434" s="4">
        <v>0.9</v>
      </c>
      <c r="AQ434" s="4">
        <v>0.5</v>
      </c>
      <c r="AR434" s="4">
        <v>0.6</v>
      </c>
      <c r="AS434" s="4">
        <v>0.3</v>
      </c>
      <c r="AT434" s="6">
        <v>1012.203796</v>
      </c>
      <c r="AU434" s="4">
        <v>0.01</v>
      </c>
      <c r="AW434" s="4" t="s">
        <v>259</v>
      </c>
      <c r="AX434" s="4">
        <v>0.9</v>
      </c>
      <c r="AY434" s="4">
        <v>0.5</v>
      </c>
      <c r="AZ434" s="4">
        <v>0.6</v>
      </c>
      <c r="BA434" s="4">
        <v>0.83</v>
      </c>
      <c r="BB434" s="4">
        <v>1140.1549070000001</v>
      </c>
      <c r="BC434" s="4">
        <v>3.6999999999999998E-2</v>
      </c>
      <c r="BD434" s="5"/>
      <c r="BE434" s="5"/>
      <c r="BF434" s="5"/>
      <c r="BG434" s="5"/>
      <c r="BI434" s="4" t="s">
        <v>259</v>
      </c>
      <c r="BJ434" s="4">
        <v>0.9</v>
      </c>
      <c r="BK434" s="4">
        <v>0.5</v>
      </c>
      <c r="BL434" s="4">
        <v>0.6</v>
      </c>
      <c r="BM434" s="4">
        <v>0.3</v>
      </c>
      <c r="BN434" s="4">
        <v>940.53692599999999</v>
      </c>
      <c r="BO434" s="4">
        <v>7.0000000000000001E-3</v>
      </c>
      <c r="BQ434" s="4" t="s">
        <v>259</v>
      </c>
      <c r="BR434" s="4">
        <v>0.9</v>
      </c>
      <c r="BS434" s="4">
        <v>0.5</v>
      </c>
      <c r="BT434" s="4">
        <v>0.6</v>
      </c>
      <c r="BU434" s="4">
        <v>0.31</v>
      </c>
      <c r="BV434" s="6">
        <v>937.44152799999995</v>
      </c>
      <c r="BW434" s="4">
        <v>2.1000000000000001E-2</v>
      </c>
      <c r="BX434" s="5"/>
      <c r="BY434" s="5"/>
      <c r="BZ434" s="5"/>
      <c r="CA434" s="5"/>
    </row>
    <row r="435" spans="1:79" x14ac:dyDescent="0.3">
      <c r="A435" s="4" t="s">
        <v>260</v>
      </c>
      <c r="B435" s="4">
        <v>0.9</v>
      </c>
      <c r="C435" s="4">
        <v>0.5</v>
      </c>
      <c r="D435" s="4">
        <v>0.6</v>
      </c>
      <c r="E435" s="4">
        <v>0.3</v>
      </c>
      <c r="F435" s="6">
        <v>693.871399</v>
      </c>
      <c r="G435" s="4">
        <v>2E-3</v>
      </c>
      <c r="I435" s="4" t="s">
        <v>260</v>
      </c>
      <c r="J435" s="4">
        <v>0.9</v>
      </c>
      <c r="K435" s="4">
        <v>0.5</v>
      </c>
      <c r="L435" s="4">
        <v>0.6</v>
      </c>
      <c r="M435" s="4">
        <v>0.82</v>
      </c>
      <c r="N435" s="4">
        <v>815.81689500000005</v>
      </c>
      <c r="O435" s="4">
        <v>2.4E-2</v>
      </c>
      <c r="P435" s="5"/>
      <c r="Q435" s="5"/>
      <c r="R435" s="5"/>
      <c r="S435" s="5"/>
      <c r="U435" s="4" t="s">
        <v>260</v>
      </c>
      <c r="V435" s="4">
        <v>0.9</v>
      </c>
      <c r="W435" s="4">
        <v>0.5</v>
      </c>
      <c r="X435" s="4">
        <v>0.6</v>
      </c>
      <c r="Y435" s="4">
        <v>0.3</v>
      </c>
      <c r="Z435" s="6">
        <v>678.21752900000001</v>
      </c>
      <c r="AA435" s="4">
        <v>2E-3</v>
      </c>
      <c r="AC435" s="4" t="s">
        <v>260</v>
      </c>
      <c r="AD435" s="4">
        <v>0.9</v>
      </c>
      <c r="AE435" s="4">
        <v>0.5</v>
      </c>
      <c r="AF435" s="4">
        <v>0.6</v>
      </c>
      <c r="AG435" s="4">
        <v>0.4</v>
      </c>
      <c r="AH435" s="4">
        <v>699.86529499999995</v>
      </c>
      <c r="AI435" s="4">
        <v>2.5999999999999999E-2</v>
      </c>
      <c r="AJ435" s="5"/>
      <c r="AK435" s="5"/>
      <c r="AL435" s="5"/>
      <c r="AM435" s="5"/>
      <c r="AO435" s="4" t="s">
        <v>261</v>
      </c>
      <c r="AP435" s="4">
        <v>0.9</v>
      </c>
      <c r="AQ435" s="4">
        <v>0.5</v>
      </c>
      <c r="AR435" s="4">
        <v>0.6</v>
      </c>
      <c r="AS435" s="4">
        <v>0.3</v>
      </c>
      <c r="AT435" s="6">
        <v>970.21673599999997</v>
      </c>
      <c r="AU435" s="4">
        <v>0.01</v>
      </c>
      <c r="AW435" s="4" t="s">
        <v>261</v>
      </c>
      <c r="AX435" s="4">
        <v>0.9</v>
      </c>
      <c r="AY435" s="4">
        <v>0.5</v>
      </c>
      <c r="AZ435" s="4">
        <v>0.6</v>
      </c>
      <c r="BA435" s="4">
        <v>0.5</v>
      </c>
      <c r="BB435" s="4">
        <v>1035.7042240000001</v>
      </c>
      <c r="BC435" s="4">
        <v>0.04</v>
      </c>
      <c r="BD435" s="5"/>
      <c r="BE435" s="5"/>
      <c r="BF435" s="5"/>
      <c r="BG435" s="5"/>
      <c r="BI435" s="4" t="s">
        <v>261</v>
      </c>
      <c r="BJ435" s="4">
        <v>0.9</v>
      </c>
      <c r="BK435" s="4">
        <v>0.5</v>
      </c>
      <c r="BL435" s="4">
        <v>0.6</v>
      </c>
      <c r="BM435" s="4">
        <v>0.3</v>
      </c>
      <c r="BN435" s="6">
        <v>898.05310099999997</v>
      </c>
      <c r="BO435" s="4">
        <v>7.0000000000000001E-3</v>
      </c>
      <c r="BQ435" s="4" t="s">
        <v>261</v>
      </c>
      <c r="BR435" s="4">
        <v>0.9</v>
      </c>
      <c r="BS435" s="4">
        <v>0.5</v>
      </c>
      <c r="BT435" s="4">
        <v>0.6</v>
      </c>
      <c r="BU435" s="4">
        <v>0.7</v>
      </c>
      <c r="BV435" s="4">
        <v>1014.841797</v>
      </c>
      <c r="BW435" s="4">
        <v>2.7E-2</v>
      </c>
      <c r="BX435" s="5"/>
      <c r="BY435" s="5"/>
      <c r="BZ435" s="5"/>
      <c r="CA435" s="5"/>
    </row>
    <row r="436" spans="1:79" x14ac:dyDescent="0.3">
      <c r="A436" s="4" t="s">
        <v>262</v>
      </c>
      <c r="B436" s="4">
        <v>0.9</v>
      </c>
      <c r="C436" s="4">
        <v>0.5</v>
      </c>
      <c r="D436" s="4">
        <v>0.6</v>
      </c>
      <c r="E436" s="4">
        <v>0.3</v>
      </c>
      <c r="F436" s="6">
        <v>726.36029099999996</v>
      </c>
      <c r="G436" s="4">
        <v>2E-3</v>
      </c>
      <c r="I436" s="4" t="s">
        <v>262</v>
      </c>
      <c r="J436" s="4">
        <v>0.9</v>
      </c>
      <c r="K436" s="4">
        <v>0.5</v>
      </c>
      <c r="L436" s="4">
        <v>0.6</v>
      </c>
      <c r="M436" s="4">
        <v>0.72</v>
      </c>
      <c r="N436" s="4">
        <v>891.28527799999995</v>
      </c>
      <c r="O436" s="4">
        <v>2.7E-2</v>
      </c>
      <c r="P436" s="5"/>
      <c r="Q436" s="5"/>
      <c r="R436" s="5"/>
      <c r="S436" s="5"/>
      <c r="U436" s="4" t="s">
        <v>262</v>
      </c>
      <c r="V436" s="4">
        <v>0.9</v>
      </c>
      <c r="W436" s="4">
        <v>0.5</v>
      </c>
      <c r="X436" s="4">
        <v>0.6</v>
      </c>
      <c r="Y436" s="4">
        <v>0.3</v>
      </c>
      <c r="Z436" s="4">
        <v>712.57800299999997</v>
      </c>
      <c r="AA436" s="4">
        <v>3.0000000000000001E-3</v>
      </c>
      <c r="AC436" s="4" t="s">
        <v>262</v>
      </c>
      <c r="AD436" s="4">
        <v>0.9</v>
      </c>
      <c r="AE436" s="4">
        <v>0.5</v>
      </c>
      <c r="AF436" s="4">
        <v>0.6</v>
      </c>
      <c r="AG436" s="4">
        <v>0.09</v>
      </c>
      <c r="AH436" s="6">
        <v>656.53918499999997</v>
      </c>
      <c r="AI436" s="4">
        <v>1.0999999999999999E-2</v>
      </c>
      <c r="AJ436" s="5"/>
      <c r="AK436" s="5"/>
      <c r="AL436" s="5"/>
      <c r="AM436" s="5"/>
      <c r="AO436" s="4" t="s">
        <v>263</v>
      </c>
      <c r="AP436" s="4">
        <v>0.9</v>
      </c>
      <c r="AQ436" s="4">
        <v>0.5</v>
      </c>
      <c r="AR436" s="4">
        <v>0.6</v>
      </c>
      <c r="AS436" s="4">
        <v>0.3</v>
      </c>
      <c r="AT436" s="4">
        <v>999.74517800000001</v>
      </c>
      <c r="AU436" s="4">
        <v>8.0000000000000002E-3</v>
      </c>
      <c r="AW436" s="4" t="s">
        <v>263</v>
      </c>
      <c r="AX436" s="4">
        <v>0.9</v>
      </c>
      <c r="AY436" s="4">
        <v>0.5</v>
      </c>
      <c r="AZ436" s="4">
        <v>0.6</v>
      </c>
      <c r="BA436" s="4">
        <v>0.19</v>
      </c>
      <c r="BB436" s="6">
        <v>944.18713400000001</v>
      </c>
      <c r="BC436" s="4">
        <v>2.1000000000000001E-2</v>
      </c>
      <c r="BD436" s="5"/>
      <c r="BE436" s="5"/>
      <c r="BF436" s="5"/>
      <c r="BG436" s="5"/>
      <c r="BI436" s="4" t="s">
        <v>263</v>
      </c>
      <c r="BJ436" s="4">
        <v>0.9</v>
      </c>
      <c r="BK436" s="4">
        <v>0.5</v>
      </c>
      <c r="BL436" s="4">
        <v>0.6</v>
      </c>
      <c r="BM436" s="4">
        <v>0.3</v>
      </c>
      <c r="BN436" s="6">
        <v>944.19555700000001</v>
      </c>
      <c r="BO436" s="4">
        <v>8.0000000000000002E-3</v>
      </c>
      <c r="BQ436" s="4" t="s">
        <v>263</v>
      </c>
      <c r="BR436" s="4">
        <v>0.9</v>
      </c>
      <c r="BS436" s="4">
        <v>0.5</v>
      </c>
      <c r="BT436" s="4">
        <v>0.6</v>
      </c>
      <c r="BU436" s="4">
        <v>0.93</v>
      </c>
      <c r="BV436" s="4">
        <v>1095.24353</v>
      </c>
      <c r="BW436" s="4">
        <v>0.02</v>
      </c>
      <c r="BX436" s="5"/>
      <c r="BY436" s="5"/>
      <c r="BZ436" s="5"/>
      <c r="CA436" s="5"/>
    </row>
    <row r="437" spans="1:79" x14ac:dyDescent="0.3">
      <c r="A437" s="4" t="s">
        <v>264</v>
      </c>
      <c r="B437" s="4">
        <v>0.9</v>
      </c>
      <c r="C437" s="4">
        <v>0.5</v>
      </c>
      <c r="D437" s="4">
        <v>0.6</v>
      </c>
      <c r="E437" s="4">
        <v>0.3</v>
      </c>
      <c r="F437" s="6">
        <v>717.70611599999995</v>
      </c>
      <c r="G437" s="4">
        <v>2E-3</v>
      </c>
      <c r="I437" s="4" t="s">
        <v>264</v>
      </c>
      <c r="J437" s="4">
        <v>0.9</v>
      </c>
      <c r="K437" s="4">
        <v>0.5</v>
      </c>
      <c r="L437" s="4">
        <v>0.6</v>
      </c>
      <c r="M437" s="4">
        <v>0.43</v>
      </c>
      <c r="N437" s="4">
        <v>776.88085899999999</v>
      </c>
      <c r="O437" s="4">
        <v>1.6E-2</v>
      </c>
      <c r="P437" s="5"/>
      <c r="Q437" s="5"/>
      <c r="R437" s="5"/>
      <c r="S437" s="5"/>
      <c r="U437" s="4" t="s">
        <v>264</v>
      </c>
      <c r="V437" s="4">
        <v>0.9</v>
      </c>
      <c r="W437" s="4">
        <v>0.5</v>
      </c>
      <c r="X437" s="4">
        <v>0.6</v>
      </c>
      <c r="Y437" s="4">
        <v>0.3</v>
      </c>
      <c r="Z437" s="6">
        <v>668.43518100000006</v>
      </c>
      <c r="AA437" s="4">
        <v>3.0000000000000001E-3</v>
      </c>
      <c r="AC437" s="4" t="s">
        <v>264</v>
      </c>
      <c r="AD437" s="4">
        <v>0.9</v>
      </c>
      <c r="AE437" s="4">
        <v>0.5</v>
      </c>
      <c r="AF437" s="4">
        <v>0.6</v>
      </c>
      <c r="AG437" s="4">
        <v>0.98</v>
      </c>
      <c r="AH437" s="4">
        <v>853.91528300000004</v>
      </c>
      <c r="AI437" s="4">
        <v>1.4999999999999999E-2</v>
      </c>
      <c r="AJ437" s="5"/>
      <c r="AK437" s="5"/>
      <c r="AL437" s="5"/>
      <c r="AM437" s="5"/>
      <c r="AO437" s="4" t="s">
        <v>265</v>
      </c>
      <c r="AP437" s="4">
        <v>0.9</v>
      </c>
      <c r="AQ437" s="4">
        <v>0.5</v>
      </c>
      <c r="AR437" s="4">
        <v>0.6</v>
      </c>
      <c r="AS437" s="4">
        <v>0.3</v>
      </c>
      <c r="AT437" s="6">
        <v>968.73394800000005</v>
      </c>
      <c r="AU437" s="4">
        <v>8.0000000000000002E-3</v>
      </c>
      <c r="AW437" s="4" t="s">
        <v>265</v>
      </c>
      <c r="AX437" s="4">
        <v>0.9</v>
      </c>
      <c r="AY437" s="4">
        <v>0.5</v>
      </c>
      <c r="AZ437" s="4">
        <v>0.6</v>
      </c>
      <c r="BA437" s="4">
        <v>0.33</v>
      </c>
      <c r="BB437" s="4">
        <v>1008.366516</v>
      </c>
      <c r="BC437" s="4">
        <v>4.2999999999999997E-2</v>
      </c>
      <c r="BD437" s="5"/>
      <c r="BE437" s="5"/>
      <c r="BF437" s="5"/>
      <c r="BG437" s="5"/>
      <c r="BI437" s="4" t="s">
        <v>265</v>
      </c>
      <c r="BJ437" s="4">
        <v>0.9</v>
      </c>
      <c r="BK437" s="4">
        <v>0.5</v>
      </c>
      <c r="BL437" s="4">
        <v>0.6</v>
      </c>
      <c r="BM437" s="4">
        <v>0.3</v>
      </c>
      <c r="BN437" s="6">
        <v>925.17773399999999</v>
      </c>
      <c r="BO437" s="4">
        <v>8.0000000000000002E-3</v>
      </c>
      <c r="BQ437" s="4" t="s">
        <v>265</v>
      </c>
      <c r="BR437" s="4">
        <v>0.9</v>
      </c>
      <c r="BS437" s="4">
        <v>0.5</v>
      </c>
      <c r="BT437" s="4">
        <v>0.6</v>
      </c>
      <c r="BU437" s="4">
        <v>0.36</v>
      </c>
      <c r="BV437" s="4">
        <v>972.96899399999995</v>
      </c>
      <c r="BW437" s="4">
        <v>3.5999999999999997E-2</v>
      </c>
      <c r="BX437" s="5"/>
      <c r="BY437" s="5"/>
      <c r="BZ437" s="5"/>
      <c r="CA437" s="5"/>
    </row>
    <row r="438" spans="1:79" x14ac:dyDescent="0.3">
      <c r="A438" s="4" t="s">
        <v>266</v>
      </c>
      <c r="B438" s="4">
        <v>0.9</v>
      </c>
      <c r="C438" s="4">
        <v>0.5</v>
      </c>
      <c r="D438" s="4">
        <v>0.6</v>
      </c>
      <c r="E438" s="4">
        <v>0.3</v>
      </c>
      <c r="F438" s="6">
        <v>649.94958499999996</v>
      </c>
      <c r="G438" s="4">
        <v>2E-3</v>
      </c>
      <c r="I438" s="4" t="s">
        <v>266</v>
      </c>
      <c r="J438" s="4">
        <v>0.9</v>
      </c>
      <c r="K438" s="4">
        <v>0.5</v>
      </c>
      <c r="L438" s="4">
        <v>0.6</v>
      </c>
      <c r="M438" s="4">
        <v>0.73</v>
      </c>
      <c r="N438" s="4">
        <v>715.08727999999996</v>
      </c>
      <c r="O438" s="4">
        <v>1.2E-2</v>
      </c>
      <c r="P438" s="5"/>
      <c r="Q438" s="5"/>
      <c r="R438" s="5"/>
      <c r="S438" s="5"/>
      <c r="U438" s="4" t="s">
        <v>266</v>
      </c>
      <c r="V438" s="4">
        <v>0.9</v>
      </c>
      <c r="W438" s="4">
        <v>0.5</v>
      </c>
      <c r="X438" s="4">
        <v>0.6</v>
      </c>
      <c r="Y438" s="4">
        <v>0.3</v>
      </c>
      <c r="Z438" s="4">
        <v>583.96441700000003</v>
      </c>
      <c r="AA438" s="4">
        <v>2E-3</v>
      </c>
      <c r="AC438" s="4" t="s">
        <v>266</v>
      </c>
      <c r="AD438" s="4">
        <v>0.9</v>
      </c>
      <c r="AE438" s="4">
        <v>0.5</v>
      </c>
      <c r="AF438" s="4">
        <v>0.6</v>
      </c>
      <c r="AG438" s="4">
        <v>0.02</v>
      </c>
      <c r="AH438" s="6">
        <v>514.72705099999996</v>
      </c>
      <c r="AI438" s="4">
        <v>2.1000000000000001E-2</v>
      </c>
      <c r="AJ438" s="5"/>
      <c r="AK438" s="5"/>
      <c r="AL438" s="5"/>
      <c r="AM438" s="5"/>
      <c r="AO438" s="4" t="s">
        <v>267</v>
      </c>
      <c r="AP438" s="4">
        <v>0.9</v>
      </c>
      <c r="AQ438" s="4">
        <v>0.5</v>
      </c>
      <c r="AR438" s="4">
        <v>0.6</v>
      </c>
      <c r="AS438" s="4">
        <v>0.3</v>
      </c>
      <c r="AT438" s="6">
        <v>1004.809021</v>
      </c>
      <c r="AU438" s="4">
        <v>8.0000000000000002E-3</v>
      </c>
      <c r="AW438" s="4" t="s">
        <v>267</v>
      </c>
      <c r="AX438" s="4">
        <v>0.9</v>
      </c>
      <c r="AY438" s="4">
        <v>0.5</v>
      </c>
      <c r="AZ438" s="4">
        <v>0.6</v>
      </c>
      <c r="BA438" s="4">
        <v>0.8</v>
      </c>
      <c r="BB438" s="4">
        <v>1167.823975</v>
      </c>
      <c r="BC438" s="4">
        <v>3.1E-2</v>
      </c>
      <c r="BD438" s="5"/>
      <c r="BE438" s="5"/>
      <c r="BF438" s="5"/>
      <c r="BG438" s="5"/>
      <c r="BI438" s="4" t="s">
        <v>267</v>
      </c>
      <c r="BJ438" s="4">
        <v>0.9</v>
      </c>
      <c r="BK438" s="4">
        <v>0.5</v>
      </c>
      <c r="BL438" s="4">
        <v>0.6</v>
      </c>
      <c r="BM438" s="4">
        <v>0.3</v>
      </c>
      <c r="BN438" s="6">
        <v>979.26892099999998</v>
      </c>
      <c r="BO438" s="4">
        <v>1.4E-2</v>
      </c>
      <c r="BQ438" s="4" t="s">
        <v>267</v>
      </c>
      <c r="BR438" s="4">
        <v>0.9</v>
      </c>
      <c r="BS438" s="4">
        <v>0.5</v>
      </c>
      <c r="BT438" s="4">
        <v>0.6</v>
      </c>
      <c r="BU438" s="4">
        <v>0.33</v>
      </c>
      <c r="BV438" s="4">
        <v>1000.171814</v>
      </c>
      <c r="BW438" s="4">
        <v>2.4E-2</v>
      </c>
      <c r="BX438" s="5"/>
      <c r="BY438" s="5"/>
      <c r="BZ438" s="5"/>
      <c r="CA438" s="5"/>
    </row>
    <row r="439" spans="1:79" x14ac:dyDescent="0.3">
      <c r="A439" s="4" t="s">
        <v>268</v>
      </c>
      <c r="B439" s="4">
        <v>0.9</v>
      </c>
      <c r="C439" s="4">
        <v>0.5</v>
      </c>
      <c r="D439" s="4">
        <v>0.6</v>
      </c>
      <c r="E439" s="4">
        <v>0.3</v>
      </c>
      <c r="F439" s="4">
        <v>711.54626499999995</v>
      </c>
      <c r="G439" s="4">
        <v>3.0000000000000001E-3</v>
      </c>
      <c r="I439" s="4" t="s">
        <v>268</v>
      </c>
      <c r="J439" s="4">
        <v>0.9</v>
      </c>
      <c r="K439" s="4">
        <v>0.5</v>
      </c>
      <c r="L439" s="4">
        <v>0.6</v>
      </c>
      <c r="M439" s="4">
        <v>0.3</v>
      </c>
      <c r="N439" s="6">
        <v>710.45544400000006</v>
      </c>
      <c r="O439" s="4">
        <v>1.7000000000000001E-2</v>
      </c>
      <c r="P439" s="5"/>
      <c r="Q439" s="5"/>
      <c r="R439" s="5"/>
      <c r="S439" s="5"/>
      <c r="U439" s="4" t="s">
        <v>268</v>
      </c>
      <c r="V439" s="4">
        <v>0.9</v>
      </c>
      <c r="W439" s="4">
        <v>0.5</v>
      </c>
      <c r="X439" s="4">
        <v>0.6</v>
      </c>
      <c r="Y439" s="4">
        <v>0.3</v>
      </c>
      <c r="Z439" s="6">
        <v>673.80835000000002</v>
      </c>
      <c r="AA439" s="4">
        <v>2E-3</v>
      </c>
      <c r="AC439" s="4" t="s">
        <v>268</v>
      </c>
      <c r="AD439" s="4">
        <v>0.9</v>
      </c>
      <c r="AE439" s="4">
        <v>0.5</v>
      </c>
      <c r="AF439" s="4">
        <v>0.6</v>
      </c>
      <c r="AG439" s="4">
        <v>0.23</v>
      </c>
      <c r="AH439" s="4">
        <v>666.58117700000003</v>
      </c>
      <c r="AI439" s="4">
        <v>0.03</v>
      </c>
      <c r="AJ439" s="5"/>
      <c r="AK439" s="5"/>
      <c r="AL439" s="5"/>
      <c r="AM439" s="5"/>
      <c r="AO439" s="4" t="s">
        <v>269</v>
      </c>
      <c r="AP439" s="4">
        <v>0.9</v>
      </c>
      <c r="AQ439" s="4">
        <v>0.5</v>
      </c>
      <c r="AR439" s="4">
        <v>0.6</v>
      </c>
      <c r="AS439" s="4">
        <v>0.3</v>
      </c>
      <c r="AT439" s="4">
        <v>971.93811000000005</v>
      </c>
      <c r="AU439" s="4">
        <v>8.0000000000000002E-3</v>
      </c>
      <c r="AW439" s="4" t="s">
        <v>269</v>
      </c>
      <c r="AX439" s="4">
        <v>0.9</v>
      </c>
      <c r="AY439" s="4">
        <v>0.5</v>
      </c>
      <c r="AZ439" s="4">
        <v>0.6</v>
      </c>
      <c r="BA439" s="4">
        <v>0.13</v>
      </c>
      <c r="BB439" s="6">
        <v>863.18359399999997</v>
      </c>
      <c r="BC439" s="4">
        <v>1.9E-2</v>
      </c>
      <c r="BD439" s="5"/>
      <c r="BE439" s="5"/>
      <c r="BF439" s="5"/>
      <c r="BG439" s="5"/>
      <c r="BI439" s="4" t="s">
        <v>269</v>
      </c>
      <c r="BJ439" s="4">
        <v>0.9</v>
      </c>
      <c r="BK439" s="4">
        <v>0.5</v>
      </c>
      <c r="BL439" s="4">
        <v>0.6</v>
      </c>
      <c r="BM439" s="4">
        <v>0.3</v>
      </c>
      <c r="BN439" s="6">
        <v>921.38079800000003</v>
      </c>
      <c r="BO439" s="4">
        <v>8.0000000000000002E-3</v>
      </c>
      <c r="BQ439" s="4" t="s">
        <v>269</v>
      </c>
      <c r="BR439" s="4">
        <v>0.9</v>
      </c>
      <c r="BS439" s="4">
        <v>0.5</v>
      </c>
      <c r="BT439" s="4">
        <v>0.6</v>
      </c>
      <c r="BU439" s="4">
        <v>0.61</v>
      </c>
      <c r="BV439" s="4">
        <v>1030.0229489999999</v>
      </c>
      <c r="BW439" s="4">
        <v>3.5999999999999997E-2</v>
      </c>
      <c r="BX439" s="5"/>
      <c r="BY439" s="5"/>
      <c r="BZ439" s="5"/>
      <c r="CA439" s="5"/>
    </row>
    <row r="440" spans="1:79" x14ac:dyDescent="0.3">
      <c r="A440" s="4" t="s">
        <v>270</v>
      </c>
      <c r="B440" s="4">
        <v>0.9</v>
      </c>
      <c r="C440" s="4">
        <v>0.5</v>
      </c>
      <c r="D440" s="4">
        <v>0.6</v>
      </c>
      <c r="E440" s="4">
        <v>0.3</v>
      </c>
      <c r="F440" s="6">
        <v>616.49487299999998</v>
      </c>
      <c r="G440" s="4">
        <v>2E-3</v>
      </c>
      <c r="I440" s="4" t="s">
        <v>270</v>
      </c>
      <c r="J440" s="4">
        <v>0.9</v>
      </c>
      <c r="K440" s="4">
        <v>0.5</v>
      </c>
      <c r="L440" s="4">
        <v>0.6</v>
      </c>
      <c r="M440" s="4">
        <v>0.5</v>
      </c>
      <c r="N440" s="4">
        <v>653.91717500000004</v>
      </c>
      <c r="O440" s="4">
        <v>0.03</v>
      </c>
      <c r="P440" s="5"/>
      <c r="Q440" s="5"/>
      <c r="R440" s="5"/>
      <c r="S440" s="5"/>
      <c r="U440" s="4" t="s">
        <v>270</v>
      </c>
      <c r="V440" s="4">
        <v>0.9</v>
      </c>
      <c r="W440" s="4">
        <v>0.5</v>
      </c>
      <c r="X440" s="4">
        <v>0.6</v>
      </c>
      <c r="Y440" s="4">
        <v>0.3</v>
      </c>
      <c r="Z440" s="6">
        <v>533.94268799999998</v>
      </c>
      <c r="AA440" s="4">
        <v>2E-3</v>
      </c>
      <c r="AC440" s="4" t="s">
        <v>270</v>
      </c>
      <c r="AD440" s="4">
        <v>0.9</v>
      </c>
      <c r="AE440" s="4">
        <v>0.5</v>
      </c>
      <c r="AF440" s="4">
        <v>0.6</v>
      </c>
      <c r="AG440" s="4">
        <v>0.95</v>
      </c>
      <c r="AH440" s="4">
        <v>663.98468000000003</v>
      </c>
      <c r="AI440" s="4">
        <v>1.7999999999999999E-2</v>
      </c>
      <c r="AJ440" s="5"/>
      <c r="AK440" s="5"/>
      <c r="AL440" s="5"/>
      <c r="AM440" s="5"/>
      <c r="AO440" s="4" t="s">
        <v>271</v>
      </c>
      <c r="AP440" s="4">
        <v>0.9</v>
      </c>
      <c r="AQ440" s="4">
        <v>0.5</v>
      </c>
      <c r="AR440" s="4">
        <v>0.6</v>
      </c>
      <c r="AS440" s="4">
        <v>0.3</v>
      </c>
      <c r="AT440" s="6">
        <v>966.34582499999999</v>
      </c>
      <c r="AU440" s="4">
        <v>8.0000000000000002E-3</v>
      </c>
      <c r="AW440" s="4" t="s">
        <v>271</v>
      </c>
      <c r="AX440" s="4">
        <v>0.9</v>
      </c>
      <c r="AY440" s="4">
        <v>0.5</v>
      </c>
      <c r="AZ440" s="4">
        <v>0.6</v>
      </c>
      <c r="BA440" s="4">
        <v>0.93</v>
      </c>
      <c r="BB440" s="4">
        <v>1156.3131100000001</v>
      </c>
      <c r="BC440" s="4">
        <v>0.03</v>
      </c>
      <c r="BD440" s="5"/>
      <c r="BE440" s="5"/>
      <c r="BF440" s="5"/>
      <c r="BG440" s="5"/>
      <c r="BI440" s="4" t="s">
        <v>271</v>
      </c>
      <c r="BJ440" s="4">
        <v>0.9</v>
      </c>
      <c r="BK440" s="4">
        <v>0.5</v>
      </c>
      <c r="BL440" s="4">
        <v>0.6</v>
      </c>
      <c r="BM440" s="4">
        <v>0.3</v>
      </c>
      <c r="BN440" s="6">
        <v>913.469604</v>
      </c>
      <c r="BO440" s="4">
        <v>7.0000000000000001E-3</v>
      </c>
      <c r="BQ440" s="4" t="s">
        <v>271</v>
      </c>
      <c r="BR440" s="4">
        <v>0.9</v>
      </c>
      <c r="BS440" s="4">
        <v>0.5</v>
      </c>
      <c r="BT440" s="4">
        <v>0.6</v>
      </c>
      <c r="BU440" s="4">
        <v>0.69</v>
      </c>
      <c r="BV440" s="4">
        <v>1062.8472899999999</v>
      </c>
      <c r="BW440" s="4">
        <v>0.03</v>
      </c>
      <c r="BX440" s="5"/>
      <c r="BY440" s="5"/>
      <c r="BZ440" s="5"/>
      <c r="CA440" s="5"/>
    </row>
    <row r="441" spans="1:79" x14ac:dyDescent="0.3">
      <c r="A441" s="4" t="s">
        <v>272</v>
      </c>
      <c r="B441" s="4">
        <v>0.9</v>
      </c>
      <c r="C441" s="4">
        <v>0.5</v>
      </c>
      <c r="D441" s="4">
        <v>0.6</v>
      </c>
      <c r="E441" s="4">
        <v>0.3</v>
      </c>
      <c r="F441" s="6">
        <v>746.62152100000003</v>
      </c>
      <c r="G441" s="4">
        <v>3.0000000000000001E-3</v>
      </c>
      <c r="I441" s="4" t="s">
        <v>272</v>
      </c>
      <c r="J441" s="4">
        <v>0.9</v>
      </c>
      <c r="K441" s="4">
        <v>0.5</v>
      </c>
      <c r="L441" s="4">
        <v>0.6</v>
      </c>
      <c r="M441" s="4">
        <v>0.94</v>
      </c>
      <c r="N441" s="4">
        <v>890.96478300000001</v>
      </c>
      <c r="O441" s="4">
        <v>2.1999999999999999E-2</v>
      </c>
      <c r="P441" s="5"/>
      <c r="Q441" s="5"/>
      <c r="R441" s="5"/>
      <c r="S441" s="5"/>
      <c r="U441" s="4" t="s">
        <v>272</v>
      </c>
      <c r="V441" s="4">
        <v>0.9</v>
      </c>
      <c r="W441" s="4">
        <v>0.5</v>
      </c>
      <c r="X441" s="4">
        <v>0.6</v>
      </c>
      <c r="Y441" s="4">
        <v>0.3</v>
      </c>
      <c r="Z441" s="6">
        <v>726.84210199999995</v>
      </c>
      <c r="AA441" s="4">
        <v>3.0000000000000001E-3</v>
      </c>
      <c r="AC441" s="4" t="s">
        <v>272</v>
      </c>
      <c r="AD441" s="4">
        <v>0.9</v>
      </c>
      <c r="AE441" s="4">
        <v>0.5</v>
      </c>
      <c r="AF441" s="4">
        <v>0.6</v>
      </c>
      <c r="AG441" s="4">
        <v>0.91</v>
      </c>
      <c r="AH441" s="4">
        <v>878.62390100000005</v>
      </c>
      <c r="AI441" s="4">
        <v>2.1999999999999999E-2</v>
      </c>
      <c r="AJ441" s="5"/>
      <c r="AK441" s="5"/>
      <c r="AL441" s="5"/>
      <c r="AM441" s="5"/>
      <c r="AO441" s="4" t="s">
        <v>273</v>
      </c>
      <c r="AP441" s="4">
        <v>0.9</v>
      </c>
      <c r="AQ441" s="4">
        <v>0.5</v>
      </c>
      <c r="AR441" s="4">
        <v>0.6</v>
      </c>
      <c r="AS441" s="4">
        <v>0.3</v>
      </c>
      <c r="AT441" s="4">
        <v>992.40039100000001</v>
      </c>
      <c r="AU441" s="4">
        <v>8.0000000000000002E-3</v>
      </c>
      <c r="AW441" s="4" t="s">
        <v>273</v>
      </c>
      <c r="AX441" s="4">
        <v>0.9</v>
      </c>
      <c r="AY441" s="4">
        <v>0.5</v>
      </c>
      <c r="AZ441" s="4">
        <v>0.6</v>
      </c>
      <c r="BA441" s="4">
        <v>0.01</v>
      </c>
      <c r="BB441" s="6">
        <v>896.68231200000002</v>
      </c>
      <c r="BC441" s="4">
        <v>2.4E-2</v>
      </c>
      <c r="BD441" s="5"/>
      <c r="BE441" s="5"/>
      <c r="BF441" s="5"/>
      <c r="BG441" s="5"/>
      <c r="BI441" s="4" t="s">
        <v>273</v>
      </c>
      <c r="BJ441" s="4">
        <v>0.9</v>
      </c>
      <c r="BK441" s="4">
        <v>0.5</v>
      </c>
      <c r="BL441" s="4">
        <v>0.6</v>
      </c>
      <c r="BM441" s="4">
        <v>0.3</v>
      </c>
      <c r="BN441" s="6">
        <v>970.71710199999995</v>
      </c>
      <c r="BO441" s="4">
        <v>8.0000000000000002E-3</v>
      </c>
      <c r="BQ441" s="4" t="s">
        <v>273</v>
      </c>
      <c r="BR441" s="4">
        <v>0.9</v>
      </c>
      <c r="BS441" s="4">
        <v>0.5</v>
      </c>
      <c r="BT441" s="4">
        <v>0.6</v>
      </c>
      <c r="BU441" s="4">
        <v>0.35</v>
      </c>
      <c r="BV441" s="4">
        <v>996.60260000000005</v>
      </c>
      <c r="BW441" s="4">
        <v>0.03</v>
      </c>
      <c r="BX441" s="5"/>
      <c r="BY441" s="5"/>
      <c r="BZ441" s="5"/>
      <c r="CA441" s="5"/>
    </row>
    <row r="442" spans="1:79" x14ac:dyDescent="0.3">
      <c r="A442" s="4" t="s">
        <v>274</v>
      </c>
      <c r="B442" s="4">
        <v>0.9</v>
      </c>
      <c r="C442" s="4">
        <v>0.5</v>
      </c>
      <c r="D442" s="4">
        <v>0.6</v>
      </c>
      <c r="E442" s="4">
        <v>0.3</v>
      </c>
      <c r="F442" s="6">
        <v>809.118652</v>
      </c>
      <c r="G442" s="4">
        <v>3.0000000000000001E-3</v>
      </c>
      <c r="I442" s="4" t="s">
        <v>274</v>
      </c>
      <c r="J442" s="4">
        <v>0.9</v>
      </c>
      <c r="K442" s="4">
        <v>0.5</v>
      </c>
      <c r="L442" s="4">
        <v>0.6</v>
      </c>
      <c r="M442" s="4">
        <v>7.0000000000000007E-2</v>
      </c>
      <c r="N442" s="4">
        <v>727.16033900000002</v>
      </c>
      <c r="O442" s="4">
        <v>2.5000000000000001E-2</v>
      </c>
      <c r="P442" s="5"/>
      <c r="Q442" s="5"/>
      <c r="R442" s="5"/>
      <c r="S442" s="5"/>
      <c r="U442" s="4" t="s">
        <v>274</v>
      </c>
      <c r="V442" s="4">
        <v>0.9</v>
      </c>
      <c r="W442" s="4">
        <v>0.5</v>
      </c>
      <c r="X442" s="4">
        <v>0.6</v>
      </c>
      <c r="Y442" s="4">
        <v>0.3</v>
      </c>
      <c r="Z442" s="6">
        <v>787.33538799999997</v>
      </c>
      <c r="AA442" s="4">
        <v>3.0000000000000001E-3</v>
      </c>
      <c r="AC442" s="4" t="s">
        <v>274</v>
      </c>
      <c r="AD442" s="4">
        <v>0.9</v>
      </c>
      <c r="AE442" s="4">
        <v>0.5</v>
      </c>
      <c r="AF442" s="4">
        <v>0.6</v>
      </c>
      <c r="AG442" s="4">
        <v>0.71</v>
      </c>
      <c r="AH442" s="4">
        <v>926.83166500000004</v>
      </c>
      <c r="AI442" s="4">
        <v>0.02</v>
      </c>
      <c r="AJ442" s="5"/>
      <c r="AK442" s="5"/>
      <c r="AL442" s="5"/>
      <c r="AM442" s="5"/>
      <c r="AO442" s="4" t="s">
        <v>275</v>
      </c>
      <c r="AP442" s="4">
        <v>0.9</v>
      </c>
      <c r="AQ442" s="4">
        <v>0.5</v>
      </c>
      <c r="AR442" s="4">
        <v>0.6</v>
      </c>
      <c r="AS442" s="4">
        <v>0.3</v>
      </c>
      <c r="AT442" s="6">
        <v>1093.102539</v>
      </c>
      <c r="AU442" s="4">
        <v>8.9999999999999993E-3</v>
      </c>
      <c r="AW442" s="4" t="s">
        <v>275</v>
      </c>
      <c r="AX442" s="4">
        <v>0.9</v>
      </c>
      <c r="AY442" s="4">
        <v>0.5</v>
      </c>
      <c r="AZ442" s="4">
        <v>0.6</v>
      </c>
      <c r="BA442" s="4">
        <v>0.6</v>
      </c>
      <c r="BB442" s="4">
        <v>1257.931274</v>
      </c>
      <c r="BC442" s="4">
        <v>4.2000000000000003E-2</v>
      </c>
      <c r="BD442" s="5"/>
      <c r="BE442" s="5"/>
      <c r="BF442" s="5"/>
      <c r="BG442" s="5"/>
      <c r="BI442" s="4" t="s">
        <v>275</v>
      </c>
      <c r="BJ442" s="4">
        <v>0.9</v>
      </c>
      <c r="BK442" s="4">
        <v>0.5</v>
      </c>
      <c r="BL442" s="4">
        <v>0.6</v>
      </c>
      <c r="BM442" s="4">
        <v>0.3</v>
      </c>
      <c r="BN442" s="6">
        <v>1077.3591309999999</v>
      </c>
      <c r="BO442" s="4">
        <v>8.9999999999999993E-3</v>
      </c>
      <c r="BQ442" s="4" t="s">
        <v>275</v>
      </c>
      <c r="BR442" s="4">
        <v>0.9</v>
      </c>
      <c r="BS442" s="4">
        <v>0.5</v>
      </c>
      <c r="BT442" s="4">
        <v>0.6</v>
      </c>
      <c r="BU442" s="4">
        <v>0.68</v>
      </c>
      <c r="BV442" s="4">
        <v>1252.791504</v>
      </c>
      <c r="BW442" s="4">
        <v>1.9E-2</v>
      </c>
      <c r="BX442" s="5"/>
      <c r="BY442" s="5"/>
      <c r="BZ442" s="5"/>
      <c r="CA442" s="5"/>
    </row>
    <row r="443" spans="1:79" x14ac:dyDescent="0.3">
      <c r="A443" s="4" t="s">
        <v>276</v>
      </c>
      <c r="B443" s="4">
        <v>0.9</v>
      </c>
      <c r="C443" s="4">
        <v>0.5</v>
      </c>
      <c r="D443" s="4">
        <v>0.6</v>
      </c>
      <c r="E443" s="4">
        <v>0.3</v>
      </c>
      <c r="F443" s="6">
        <v>703.81774900000005</v>
      </c>
      <c r="G443" s="4">
        <v>3.0000000000000001E-3</v>
      </c>
      <c r="I443" s="4" t="s">
        <v>276</v>
      </c>
      <c r="J443" s="4">
        <v>0.9</v>
      </c>
      <c r="K443" s="4">
        <v>0.5</v>
      </c>
      <c r="L443" s="4">
        <v>0.6</v>
      </c>
      <c r="M443" s="4">
        <v>0.69</v>
      </c>
      <c r="N443" s="4">
        <v>831.56298800000002</v>
      </c>
      <c r="O443" s="4">
        <v>8.0000000000000002E-3</v>
      </c>
      <c r="P443" s="5"/>
      <c r="Q443" s="5"/>
      <c r="R443" s="5"/>
      <c r="S443" s="5"/>
      <c r="U443" s="4" t="s">
        <v>276</v>
      </c>
      <c r="V443" s="4">
        <v>0.9</v>
      </c>
      <c r="W443" s="4">
        <v>0.5</v>
      </c>
      <c r="X443" s="4">
        <v>0.6</v>
      </c>
      <c r="Y443" s="4">
        <v>0.3</v>
      </c>
      <c r="Z443" s="4">
        <v>669.49890100000005</v>
      </c>
      <c r="AA443" s="4">
        <v>3.0000000000000001E-3</v>
      </c>
      <c r="AC443" s="4" t="s">
        <v>276</v>
      </c>
      <c r="AD443" s="4">
        <v>0.9</v>
      </c>
      <c r="AE443" s="4">
        <v>0.5</v>
      </c>
      <c r="AF443" s="4">
        <v>0.6</v>
      </c>
      <c r="AG443" s="4">
        <v>0.19</v>
      </c>
      <c r="AH443" s="6">
        <v>621.65399200000002</v>
      </c>
      <c r="AI443" s="4">
        <v>2.4E-2</v>
      </c>
      <c r="AJ443" s="5"/>
      <c r="AK443" s="5"/>
      <c r="AL443" s="5"/>
      <c r="AM443" s="5"/>
      <c r="AO443" s="4" t="s">
        <v>277</v>
      </c>
      <c r="AP443" s="4">
        <v>0.9</v>
      </c>
      <c r="AQ443" s="4">
        <v>0.5</v>
      </c>
      <c r="AR443" s="4">
        <v>0.6</v>
      </c>
      <c r="AS443" s="4">
        <v>0.3</v>
      </c>
      <c r="AT443" s="6">
        <v>1000.099976</v>
      </c>
      <c r="AU443" s="4">
        <v>8.0000000000000002E-3</v>
      </c>
      <c r="AW443" s="4" t="s">
        <v>277</v>
      </c>
      <c r="AX443" s="4">
        <v>0.9</v>
      </c>
      <c r="AY443" s="4">
        <v>0.5</v>
      </c>
      <c r="AZ443" s="4">
        <v>0.6</v>
      </c>
      <c r="BA443" s="4">
        <v>0.38</v>
      </c>
      <c r="BB443" s="4">
        <v>1017.958923</v>
      </c>
      <c r="BC443" s="4">
        <v>1.9E-2</v>
      </c>
      <c r="BD443" s="5"/>
      <c r="BE443" s="5"/>
      <c r="BF443" s="5"/>
      <c r="BG443" s="5"/>
      <c r="BI443" s="4" t="s">
        <v>277</v>
      </c>
      <c r="BJ443" s="4">
        <v>0.9</v>
      </c>
      <c r="BK443" s="4">
        <v>0.5</v>
      </c>
      <c r="BL443" s="4">
        <v>0.6</v>
      </c>
      <c r="BM443" s="4">
        <v>0.3</v>
      </c>
      <c r="BN443" s="6">
        <v>976.66980000000001</v>
      </c>
      <c r="BO443" s="4">
        <v>8.0000000000000002E-3</v>
      </c>
      <c r="BQ443" s="4" t="s">
        <v>277</v>
      </c>
      <c r="BR443" s="4">
        <v>0.9</v>
      </c>
      <c r="BS443" s="4">
        <v>0.5</v>
      </c>
      <c r="BT443" s="4">
        <v>0.6</v>
      </c>
      <c r="BU443" s="4">
        <v>0.85</v>
      </c>
      <c r="BV443" s="4">
        <v>1177.9620359999999</v>
      </c>
      <c r="BW443" s="4">
        <v>2.7E-2</v>
      </c>
      <c r="BX443" s="5"/>
      <c r="BY443" s="5"/>
      <c r="BZ443" s="5"/>
      <c r="CA443" s="5"/>
    </row>
    <row r="444" spans="1:79" x14ac:dyDescent="0.3">
      <c r="A444" s="4" t="s">
        <v>278</v>
      </c>
      <c r="B444" s="4">
        <v>0.9</v>
      </c>
      <c r="C444" s="4">
        <v>0.5</v>
      </c>
      <c r="D444" s="4">
        <v>0.6</v>
      </c>
      <c r="E444" s="4">
        <v>0.3</v>
      </c>
      <c r="F444" s="4">
        <v>656.89190699999995</v>
      </c>
      <c r="G444" s="4">
        <v>3.0000000000000001E-3</v>
      </c>
      <c r="I444" s="4" t="s">
        <v>278</v>
      </c>
      <c r="J444" s="4">
        <v>0.9</v>
      </c>
      <c r="K444" s="4">
        <v>0.5</v>
      </c>
      <c r="L444" s="4">
        <v>0.6</v>
      </c>
      <c r="M444" s="4">
        <v>0.02</v>
      </c>
      <c r="N444" s="6">
        <v>602.39593500000001</v>
      </c>
      <c r="O444" s="4">
        <v>1.0999999999999999E-2</v>
      </c>
      <c r="P444" s="5"/>
      <c r="Q444" s="5"/>
      <c r="R444" s="5"/>
      <c r="S444" s="5"/>
      <c r="U444" s="4" t="s">
        <v>278</v>
      </c>
      <c r="V444" s="4">
        <v>0.9</v>
      </c>
      <c r="W444" s="4">
        <v>0.5</v>
      </c>
      <c r="X444" s="4">
        <v>0.6</v>
      </c>
      <c r="Y444" s="4">
        <v>0.3</v>
      </c>
      <c r="Z444" s="6">
        <v>629.56555200000003</v>
      </c>
      <c r="AA444" s="4">
        <v>2E-3</v>
      </c>
      <c r="AC444" s="4" t="s">
        <v>278</v>
      </c>
      <c r="AD444" s="4">
        <v>0.9</v>
      </c>
      <c r="AE444" s="4">
        <v>0.5</v>
      </c>
      <c r="AF444" s="4">
        <v>0.6</v>
      </c>
      <c r="AG444" s="4">
        <v>0.49</v>
      </c>
      <c r="AH444" s="4">
        <v>703.60730000000001</v>
      </c>
      <c r="AI444" s="4">
        <v>3.4000000000000002E-2</v>
      </c>
      <c r="AJ444" s="5"/>
      <c r="AK444" s="5"/>
      <c r="AL444" s="5"/>
      <c r="AM444" s="5"/>
      <c r="AO444" s="4" t="s">
        <v>279</v>
      </c>
      <c r="AP444" s="4">
        <v>0.9</v>
      </c>
      <c r="AQ444" s="4">
        <v>0.5</v>
      </c>
      <c r="AR444" s="4">
        <v>0.6</v>
      </c>
      <c r="AS444" s="4">
        <v>0.3</v>
      </c>
      <c r="AT444" s="6">
        <v>1119.3903809999999</v>
      </c>
      <c r="AU444" s="4">
        <v>8.9999999999999993E-3</v>
      </c>
      <c r="AW444" s="4" t="s">
        <v>279</v>
      </c>
      <c r="AX444" s="4">
        <v>0.9</v>
      </c>
      <c r="AY444" s="4">
        <v>0.5</v>
      </c>
      <c r="AZ444" s="4">
        <v>0.6</v>
      </c>
      <c r="BA444" s="4">
        <v>0.78</v>
      </c>
      <c r="BB444" s="4">
        <v>1298.7963870000001</v>
      </c>
      <c r="BC444" s="4">
        <v>3.6999999999999998E-2</v>
      </c>
      <c r="BD444" s="5"/>
      <c r="BE444" s="5"/>
      <c r="BF444" s="5"/>
      <c r="BG444" s="5"/>
      <c r="BI444" s="4" t="s">
        <v>279</v>
      </c>
      <c r="BJ444" s="4">
        <v>0.9</v>
      </c>
      <c r="BK444" s="4">
        <v>0.5</v>
      </c>
      <c r="BL444" s="4">
        <v>0.6</v>
      </c>
      <c r="BM444" s="4">
        <v>0.3</v>
      </c>
      <c r="BN444" s="6">
        <v>1082.3125</v>
      </c>
      <c r="BO444" s="4">
        <v>8.9999999999999993E-3</v>
      </c>
      <c r="BQ444" s="4" t="s">
        <v>279</v>
      </c>
      <c r="BR444" s="4">
        <v>0.9</v>
      </c>
      <c r="BS444" s="4">
        <v>0.5</v>
      </c>
      <c r="BT444" s="4">
        <v>0.6</v>
      </c>
      <c r="BU444" s="4">
        <v>0.98</v>
      </c>
      <c r="BV444" s="4">
        <v>1323.560913</v>
      </c>
      <c r="BW444" s="4">
        <v>4.2999999999999997E-2</v>
      </c>
      <c r="BX444" s="5"/>
      <c r="BY444" s="5"/>
      <c r="BZ444" s="5"/>
      <c r="CA444" s="5"/>
    </row>
    <row r="445" spans="1:79" x14ac:dyDescent="0.3">
      <c r="A445" s="4" t="s">
        <v>280</v>
      </c>
      <c r="B445" s="4">
        <v>0.9</v>
      </c>
      <c r="C445" s="4">
        <v>0.5</v>
      </c>
      <c r="D445" s="4">
        <v>0.6</v>
      </c>
      <c r="E445" s="4">
        <v>0.3</v>
      </c>
      <c r="F445" s="4">
        <v>890.07775900000001</v>
      </c>
      <c r="G445" s="4">
        <v>3.0000000000000001E-3</v>
      </c>
      <c r="I445" s="4" t="s">
        <v>280</v>
      </c>
      <c r="J445" s="4">
        <v>0.9</v>
      </c>
      <c r="K445" s="4">
        <v>0.5</v>
      </c>
      <c r="L445" s="4">
        <v>0.6</v>
      </c>
      <c r="M445" s="4">
        <v>0.04</v>
      </c>
      <c r="N445" s="6">
        <v>737.60131799999999</v>
      </c>
      <c r="O445" s="4">
        <v>1.9E-2</v>
      </c>
      <c r="P445" s="5"/>
      <c r="Q445" s="5"/>
      <c r="R445" s="5"/>
      <c r="S445" s="5"/>
      <c r="U445" s="4" t="s">
        <v>280</v>
      </c>
      <c r="V445" s="4">
        <v>0.9</v>
      </c>
      <c r="W445" s="4">
        <v>0.5</v>
      </c>
      <c r="X445" s="4">
        <v>0.6</v>
      </c>
      <c r="Y445" s="4">
        <v>0.3</v>
      </c>
      <c r="Z445" s="6">
        <v>857.32629399999996</v>
      </c>
      <c r="AA445" s="4">
        <v>3.0000000000000001E-3</v>
      </c>
      <c r="AC445" s="4" t="s">
        <v>280</v>
      </c>
      <c r="AD445" s="4">
        <v>0.9</v>
      </c>
      <c r="AE445" s="4">
        <v>0.5</v>
      </c>
      <c r="AF445" s="4">
        <v>0.6</v>
      </c>
      <c r="AG445" s="4">
        <v>0.65</v>
      </c>
      <c r="AH445" s="4">
        <v>1016.5766599999999</v>
      </c>
      <c r="AI445" s="4">
        <v>1.7999999999999999E-2</v>
      </c>
      <c r="AJ445" s="5"/>
      <c r="AK445" s="5"/>
      <c r="AL445" s="5"/>
      <c r="AM445" s="5"/>
      <c r="AO445" s="4" t="s">
        <v>281</v>
      </c>
      <c r="AP445" s="4">
        <v>0.9</v>
      </c>
      <c r="AQ445" s="4">
        <v>0.5</v>
      </c>
      <c r="AR445" s="4">
        <v>0.6</v>
      </c>
      <c r="AS445" s="4">
        <v>0.3</v>
      </c>
      <c r="AT445" s="6">
        <v>1037.487183</v>
      </c>
      <c r="AU445" s="4">
        <v>8.9999999999999993E-3</v>
      </c>
      <c r="AW445" s="4" t="s">
        <v>281</v>
      </c>
      <c r="AX445" s="4">
        <v>0.9</v>
      </c>
      <c r="AY445" s="4">
        <v>0.5</v>
      </c>
      <c r="AZ445" s="4">
        <v>0.6</v>
      </c>
      <c r="BA445" s="4">
        <v>0.9</v>
      </c>
      <c r="BB445" s="4">
        <v>1329.212524</v>
      </c>
      <c r="BC445" s="4">
        <v>2.1999999999999999E-2</v>
      </c>
      <c r="BD445" s="5"/>
      <c r="BE445" s="5"/>
      <c r="BF445" s="5"/>
      <c r="BG445" s="5"/>
      <c r="BI445" s="4" t="s">
        <v>281</v>
      </c>
      <c r="BJ445" s="4">
        <v>0.9</v>
      </c>
      <c r="BK445" s="4">
        <v>0.5</v>
      </c>
      <c r="BL445" s="4">
        <v>0.6</v>
      </c>
      <c r="BM445" s="4">
        <v>0.3</v>
      </c>
      <c r="BN445" s="6">
        <v>1048.6263429999999</v>
      </c>
      <c r="BO445" s="4">
        <v>8.9999999999999993E-3</v>
      </c>
      <c r="BQ445" s="4" t="s">
        <v>281</v>
      </c>
      <c r="BR445" s="4">
        <v>0.9</v>
      </c>
      <c r="BS445" s="4">
        <v>0.5</v>
      </c>
      <c r="BT445" s="4">
        <v>0.6</v>
      </c>
      <c r="BU445" s="4">
        <v>0.59</v>
      </c>
      <c r="BV445" s="4">
        <v>1218.990601</v>
      </c>
      <c r="BW445" s="4">
        <v>3.3000000000000002E-2</v>
      </c>
      <c r="BX445" s="5"/>
      <c r="BY445" s="5"/>
      <c r="BZ445" s="5"/>
      <c r="CA445" s="5"/>
    </row>
    <row r="446" spans="1:79" x14ac:dyDescent="0.3">
      <c r="A446" s="4" t="s">
        <v>282</v>
      </c>
      <c r="B446" s="4">
        <v>0.9</v>
      </c>
      <c r="C446" s="4">
        <v>0.5</v>
      </c>
      <c r="D446" s="4">
        <v>0.6</v>
      </c>
      <c r="E446" s="4">
        <v>0.3</v>
      </c>
      <c r="F446" s="6">
        <v>752.175476</v>
      </c>
      <c r="G446" s="4">
        <v>3.0000000000000001E-3</v>
      </c>
      <c r="I446" s="4" t="s">
        <v>282</v>
      </c>
      <c r="J446" s="4">
        <v>0.9</v>
      </c>
      <c r="K446" s="4">
        <v>0.5</v>
      </c>
      <c r="L446" s="4">
        <v>0.6</v>
      </c>
      <c r="M446" s="4">
        <v>0.43</v>
      </c>
      <c r="N446" s="4">
        <v>869.76654099999996</v>
      </c>
      <c r="O446" s="4">
        <v>2.4E-2</v>
      </c>
      <c r="P446" s="5"/>
      <c r="Q446" s="5"/>
      <c r="R446" s="5"/>
      <c r="S446" s="5"/>
      <c r="U446" s="4" t="s">
        <v>282</v>
      </c>
      <c r="V446" s="4">
        <v>0.9</v>
      </c>
      <c r="W446" s="4">
        <v>0.5</v>
      </c>
      <c r="X446" s="4">
        <v>0.6</v>
      </c>
      <c r="Y446" s="4">
        <v>0.3</v>
      </c>
      <c r="Z446" s="6">
        <v>761.81066899999996</v>
      </c>
      <c r="AA446" s="4">
        <v>3.0000000000000001E-3</v>
      </c>
      <c r="AC446" s="4" t="s">
        <v>282</v>
      </c>
      <c r="AD446" s="4">
        <v>0.9</v>
      </c>
      <c r="AE446" s="4">
        <v>0.5</v>
      </c>
      <c r="AF446" s="4">
        <v>0.6</v>
      </c>
      <c r="AG446" s="4">
        <v>0.38</v>
      </c>
      <c r="AH446" s="4">
        <v>834.10095200000001</v>
      </c>
      <c r="AI446" s="4">
        <v>2.9000000000000001E-2</v>
      </c>
      <c r="AJ446" s="5"/>
      <c r="AK446" s="5"/>
      <c r="AL446" s="5"/>
      <c r="AM446" s="5"/>
      <c r="AO446" s="4" t="s">
        <v>283</v>
      </c>
      <c r="AP446" s="4">
        <v>0.9</v>
      </c>
      <c r="AQ446" s="4">
        <v>0.5</v>
      </c>
      <c r="AR446" s="4">
        <v>0.6</v>
      </c>
      <c r="AS446" s="4">
        <v>0.3</v>
      </c>
      <c r="AT446" s="4">
        <v>1025.665283</v>
      </c>
      <c r="AU446" s="4">
        <v>8.0000000000000002E-3</v>
      </c>
      <c r="AW446" s="4" t="s">
        <v>283</v>
      </c>
      <c r="AX446" s="4">
        <v>0.9</v>
      </c>
      <c r="AY446" s="4">
        <v>0.5</v>
      </c>
      <c r="AZ446" s="4">
        <v>0.6</v>
      </c>
      <c r="BA446" s="4">
        <v>0.01</v>
      </c>
      <c r="BB446" s="6">
        <v>890.46758999999997</v>
      </c>
      <c r="BC446" s="4">
        <v>3.5000000000000003E-2</v>
      </c>
      <c r="BD446" s="5"/>
      <c r="BE446" s="5"/>
      <c r="BF446" s="5"/>
      <c r="BG446" s="5"/>
      <c r="BI446" s="4" t="s">
        <v>283</v>
      </c>
      <c r="BJ446" s="4">
        <v>0.9</v>
      </c>
      <c r="BK446" s="4">
        <v>0.5</v>
      </c>
      <c r="BL446" s="4">
        <v>0.6</v>
      </c>
      <c r="BM446" s="4">
        <v>0.3</v>
      </c>
      <c r="BN446" s="4">
        <v>989.90777600000001</v>
      </c>
      <c r="BO446" s="4">
        <v>1.4E-2</v>
      </c>
      <c r="BQ446" s="4" t="s">
        <v>283</v>
      </c>
      <c r="BR446" s="4">
        <v>0.9</v>
      </c>
      <c r="BS446" s="4">
        <v>0.5</v>
      </c>
      <c r="BT446" s="4">
        <v>0.6</v>
      </c>
      <c r="BU446" s="4">
        <v>7.0000000000000007E-2</v>
      </c>
      <c r="BV446" s="6">
        <v>831.14782700000001</v>
      </c>
      <c r="BW446" s="4">
        <v>3.2000000000000001E-2</v>
      </c>
      <c r="BX446" s="5"/>
      <c r="BY446" s="5"/>
      <c r="BZ446" s="5"/>
      <c r="CA446" s="5"/>
    </row>
    <row r="447" spans="1:79" x14ac:dyDescent="0.3">
      <c r="A447" s="4" t="s">
        <v>284</v>
      </c>
      <c r="B447" s="4">
        <v>0.9</v>
      </c>
      <c r="C447" s="4">
        <v>0.5</v>
      </c>
      <c r="D447" s="4">
        <v>0.6</v>
      </c>
      <c r="E447" s="4">
        <v>0.3</v>
      </c>
      <c r="F447" s="6">
        <v>822.80920400000002</v>
      </c>
      <c r="G447" s="4">
        <v>3.0000000000000001E-3</v>
      </c>
      <c r="I447" s="4" t="s">
        <v>284</v>
      </c>
      <c r="J447" s="4">
        <v>0.9</v>
      </c>
      <c r="K447" s="4">
        <v>0.5</v>
      </c>
      <c r="L447" s="4">
        <v>0.6</v>
      </c>
      <c r="M447" s="4">
        <v>0.72</v>
      </c>
      <c r="N447" s="4">
        <v>962.16156000000001</v>
      </c>
      <c r="O447" s="4">
        <v>2.1000000000000001E-2</v>
      </c>
      <c r="P447" s="5"/>
      <c r="Q447" s="5"/>
      <c r="R447" s="5"/>
      <c r="S447" s="5"/>
      <c r="U447" s="4" t="s">
        <v>284</v>
      </c>
      <c r="V447" s="4">
        <v>0.9</v>
      </c>
      <c r="W447" s="4">
        <v>0.5</v>
      </c>
      <c r="X447" s="4">
        <v>0.6</v>
      </c>
      <c r="Y447" s="4">
        <v>0.3</v>
      </c>
      <c r="Z447" s="6">
        <v>798.51879899999994</v>
      </c>
      <c r="AA447" s="4">
        <v>3.0000000000000001E-3</v>
      </c>
      <c r="AC447" s="4" t="s">
        <v>284</v>
      </c>
      <c r="AD447" s="4">
        <v>0.9</v>
      </c>
      <c r="AE447" s="4">
        <v>0.5</v>
      </c>
      <c r="AF447" s="4">
        <v>0.6</v>
      </c>
      <c r="AG447" s="4">
        <v>0.84</v>
      </c>
      <c r="AH447" s="4">
        <v>973.832764</v>
      </c>
      <c r="AI447" s="4">
        <v>1.4999999999999999E-2</v>
      </c>
      <c r="AJ447" s="5"/>
      <c r="AK447" s="5"/>
      <c r="AL447" s="5"/>
      <c r="AM447" s="5"/>
      <c r="AO447" s="4" t="s">
        <v>285</v>
      </c>
      <c r="AP447" s="4">
        <v>0.9</v>
      </c>
      <c r="AQ447" s="4">
        <v>0.5</v>
      </c>
      <c r="AR447" s="4">
        <v>0.6</v>
      </c>
      <c r="AS447" s="4">
        <v>0.3</v>
      </c>
      <c r="AT447" s="4">
        <v>1104.69165</v>
      </c>
      <c r="AU447" s="4">
        <v>8.9999999999999993E-3</v>
      </c>
      <c r="AW447" s="4" t="s">
        <v>285</v>
      </c>
      <c r="AX447" s="4">
        <v>0.9</v>
      </c>
      <c r="AY447" s="4">
        <v>0.5</v>
      </c>
      <c r="AZ447" s="4">
        <v>0.6</v>
      </c>
      <c r="BA447" s="4">
        <v>0.01</v>
      </c>
      <c r="BB447" s="6">
        <v>988.68133499999999</v>
      </c>
      <c r="BC447" s="4">
        <v>2.1999999999999999E-2</v>
      </c>
      <c r="BD447" s="5"/>
      <c r="BE447" s="5"/>
      <c r="BF447" s="5"/>
      <c r="BG447" s="5"/>
      <c r="BI447" s="4" t="s">
        <v>285</v>
      </c>
      <c r="BJ447" s="4">
        <v>0.9</v>
      </c>
      <c r="BK447" s="4">
        <v>0.5</v>
      </c>
      <c r="BL447" s="4">
        <v>0.6</v>
      </c>
      <c r="BM447" s="4">
        <v>0.3</v>
      </c>
      <c r="BN447" s="6">
        <v>1070.1198730000001</v>
      </c>
      <c r="BO447" s="4">
        <v>8.9999999999999993E-3</v>
      </c>
      <c r="BQ447" s="4" t="s">
        <v>285</v>
      </c>
      <c r="BR447" s="4">
        <v>0.9</v>
      </c>
      <c r="BS447" s="4">
        <v>0.5</v>
      </c>
      <c r="BT447" s="4">
        <v>0.6</v>
      </c>
      <c r="BU447" s="4">
        <v>0.3</v>
      </c>
      <c r="BV447" s="8">
        <v>1070.862061</v>
      </c>
      <c r="BW447" s="4">
        <v>3.5000000000000003E-2</v>
      </c>
      <c r="BX447" s="5"/>
      <c r="BY447" s="5"/>
      <c r="BZ447" s="5"/>
      <c r="CA447" s="5"/>
    </row>
    <row r="448" spans="1:79" x14ac:dyDescent="0.3">
      <c r="A448" s="4" t="s">
        <v>286</v>
      </c>
      <c r="B448" s="4">
        <v>0.9</v>
      </c>
      <c r="C448" s="4">
        <v>0.5</v>
      </c>
      <c r="D448" s="4">
        <v>0.6</v>
      </c>
      <c r="E448" s="4">
        <v>0.3</v>
      </c>
      <c r="F448" s="6">
        <v>705.66223100000002</v>
      </c>
      <c r="G448" s="4">
        <v>3.0000000000000001E-3</v>
      </c>
      <c r="I448" s="4" t="s">
        <v>286</v>
      </c>
      <c r="J448" s="4">
        <v>0.9</v>
      </c>
      <c r="K448" s="4">
        <v>0.5</v>
      </c>
      <c r="L448" s="4">
        <v>0.6</v>
      </c>
      <c r="M448" s="4">
        <v>0.39</v>
      </c>
      <c r="N448" s="4">
        <v>745.68261700000005</v>
      </c>
      <c r="O448" s="4">
        <v>1.9E-2</v>
      </c>
      <c r="P448" s="5"/>
      <c r="Q448" s="5"/>
      <c r="R448" s="5"/>
      <c r="S448" s="5"/>
      <c r="U448" s="4" t="s">
        <v>286</v>
      </c>
      <c r="V448" s="4">
        <v>0.9</v>
      </c>
      <c r="W448" s="4">
        <v>0.5</v>
      </c>
      <c r="X448" s="4">
        <v>0.6</v>
      </c>
      <c r="Y448" s="4">
        <v>0.3</v>
      </c>
      <c r="Z448" s="6">
        <v>681.83734100000004</v>
      </c>
      <c r="AA448" s="4">
        <v>3.0000000000000001E-3</v>
      </c>
      <c r="AC448" s="4" t="s">
        <v>286</v>
      </c>
      <c r="AD448" s="4">
        <v>0.9</v>
      </c>
      <c r="AE448" s="4">
        <v>0.5</v>
      </c>
      <c r="AF448" s="4">
        <v>0.6</v>
      </c>
      <c r="AG448" s="4">
        <v>0.69</v>
      </c>
      <c r="AH448" s="4">
        <v>821.45214799999997</v>
      </c>
      <c r="AI448" s="4">
        <v>2.1000000000000001E-2</v>
      </c>
      <c r="AJ448" s="5"/>
      <c r="AK448" s="5"/>
      <c r="AL448" s="5"/>
      <c r="AM448" s="5"/>
      <c r="AO448" s="4" t="s">
        <v>287</v>
      </c>
      <c r="AP448" s="4">
        <v>0.9</v>
      </c>
      <c r="AQ448" s="4">
        <v>0.5</v>
      </c>
      <c r="AR448" s="4">
        <v>0.6</v>
      </c>
      <c r="AS448" s="4">
        <v>0.3</v>
      </c>
      <c r="AT448" s="6">
        <v>1015.790588</v>
      </c>
      <c r="AU448" s="4">
        <v>8.9999999999999993E-3</v>
      </c>
      <c r="AW448" s="4" t="s">
        <v>287</v>
      </c>
      <c r="AX448" s="4">
        <v>0.9</v>
      </c>
      <c r="AY448" s="4">
        <v>0.5</v>
      </c>
      <c r="AZ448" s="4">
        <v>0.6</v>
      </c>
      <c r="BA448" s="4">
        <v>0.91</v>
      </c>
      <c r="BB448" s="4">
        <v>1264.2062989999999</v>
      </c>
      <c r="BC448" s="4">
        <v>3.1E-2</v>
      </c>
      <c r="BD448" s="5"/>
      <c r="BE448" s="5"/>
      <c r="BF448" s="5"/>
      <c r="BG448" s="5"/>
      <c r="BI448" s="4" t="s">
        <v>287</v>
      </c>
      <c r="BJ448" s="4">
        <v>0.9</v>
      </c>
      <c r="BK448" s="4">
        <v>0.5</v>
      </c>
      <c r="BL448" s="4">
        <v>0.6</v>
      </c>
      <c r="BM448" s="4">
        <v>0.3</v>
      </c>
      <c r="BN448" s="4">
        <v>981.06658900000002</v>
      </c>
      <c r="BO448" s="4">
        <v>8.0000000000000002E-3</v>
      </c>
      <c r="BQ448" s="4" t="s">
        <v>287</v>
      </c>
      <c r="BR448" s="4">
        <v>0.9</v>
      </c>
      <c r="BS448" s="4">
        <v>0.5</v>
      </c>
      <c r="BT448" s="4">
        <v>0.6</v>
      </c>
      <c r="BU448" s="4">
        <v>0.26</v>
      </c>
      <c r="BV448" s="6">
        <v>969.61010699999997</v>
      </c>
      <c r="BW448" s="4">
        <v>2.1999999999999999E-2</v>
      </c>
      <c r="BX448" s="5"/>
      <c r="BY448" s="5"/>
      <c r="BZ448" s="5"/>
      <c r="CA448" s="5"/>
    </row>
    <row r="449" spans="1:79" x14ac:dyDescent="0.3">
      <c r="A449" s="4" t="s">
        <v>288</v>
      </c>
      <c r="B449" s="4">
        <v>0.9</v>
      </c>
      <c r="C449" s="4">
        <v>0.5</v>
      </c>
      <c r="D449" s="4">
        <v>0.6</v>
      </c>
      <c r="E449" s="4">
        <v>0.3</v>
      </c>
      <c r="F449" s="6">
        <v>703.54693599999996</v>
      </c>
      <c r="G449" s="4">
        <v>3.0000000000000001E-3</v>
      </c>
      <c r="I449" s="4" t="s">
        <v>288</v>
      </c>
      <c r="J449" s="4">
        <v>0.9</v>
      </c>
      <c r="K449" s="4">
        <v>0.5</v>
      </c>
      <c r="L449" s="4">
        <v>0.6</v>
      </c>
      <c r="M449" s="4">
        <v>0.86</v>
      </c>
      <c r="N449" s="4">
        <v>949.21746800000005</v>
      </c>
      <c r="O449" s="4">
        <v>2.1000000000000001E-2</v>
      </c>
      <c r="P449" s="5"/>
      <c r="Q449" s="5"/>
      <c r="R449" s="5"/>
      <c r="S449" s="5"/>
      <c r="U449" s="4" t="s">
        <v>288</v>
      </c>
      <c r="V449" s="4">
        <v>0.9</v>
      </c>
      <c r="W449" s="4">
        <v>0.5</v>
      </c>
      <c r="X449" s="4">
        <v>0.6</v>
      </c>
      <c r="Y449" s="4">
        <v>0.3</v>
      </c>
      <c r="Z449" s="6">
        <v>694.50860599999999</v>
      </c>
      <c r="AA449" s="4">
        <v>3.0000000000000001E-3</v>
      </c>
      <c r="AC449" s="4" t="s">
        <v>288</v>
      </c>
      <c r="AD449" s="4">
        <v>0.9</v>
      </c>
      <c r="AE449" s="4">
        <v>0.5</v>
      </c>
      <c r="AF449" s="4">
        <v>0.6</v>
      </c>
      <c r="AG449" s="4">
        <v>0.75</v>
      </c>
      <c r="AH449" s="4">
        <v>891.88891599999999</v>
      </c>
      <c r="AI449" s="4">
        <v>2.5000000000000001E-2</v>
      </c>
      <c r="AJ449" s="5"/>
      <c r="AK449" s="5"/>
      <c r="AL449" s="5"/>
      <c r="AM449" s="5"/>
      <c r="AO449" s="4" t="s">
        <v>289</v>
      </c>
      <c r="AP449" s="4">
        <v>0.9</v>
      </c>
      <c r="AQ449" s="4">
        <v>0.5</v>
      </c>
      <c r="AR449" s="4">
        <v>0.6</v>
      </c>
      <c r="AS449" s="4">
        <v>0.3</v>
      </c>
      <c r="AT449" s="6">
        <v>1085.334961</v>
      </c>
      <c r="AU449" s="4">
        <v>0.01</v>
      </c>
      <c r="AW449" s="4" t="s">
        <v>289</v>
      </c>
      <c r="AX449" s="4">
        <v>0.9</v>
      </c>
      <c r="AY449" s="4">
        <v>0.5</v>
      </c>
      <c r="AZ449" s="4">
        <v>0.6</v>
      </c>
      <c r="BA449" s="4">
        <v>0.52</v>
      </c>
      <c r="BB449" s="4">
        <v>1254.9410399999999</v>
      </c>
      <c r="BC449" s="4">
        <v>4.2999999999999997E-2</v>
      </c>
      <c r="BD449" s="5"/>
      <c r="BE449" s="5"/>
      <c r="BF449" s="5"/>
      <c r="BG449" s="5"/>
      <c r="BI449" s="4" t="s">
        <v>289</v>
      </c>
      <c r="BJ449" s="4">
        <v>0.9</v>
      </c>
      <c r="BK449" s="4">
        <v>0.5</v>
      </c>
      <c r="BL449" s="4">
        <v>0.6</v>
      </c>
      <c r="BM449" s="4">
        <v>0.3</v>
      </c>
      <c r="BN449" s="6">
        <v>1045.226807</v>
      </c>
      <c r="BO449" s="4">
        <v>0.01</v>
      </c>
      <c r="BQ449" s="4" t="s">
        <v>289</v>
      </c>
      <c r="BR449" s="4">
        <v>0.9</v>
      </c>
      <c r="BS449" s="4">
        <v>0.5</v>
      </c>
      <c r="BT449" s="4">
        <v>0.6</v>
      </c>
      <c r="BU449" s="4">
        <v>0.59</v>
      </c>
      <c r="BV449" s="4">
        <v>1250.279297</v>
      </c>
      <c r="BW449" s="4">
        <v>3.3000000000000002E-2</v>
      </c>
      <c r="BX449" s="5"/>
      <c r="BY449" s="5"/>
      <c r="BZ449" s="5"/>
      <c r="CA449" s="5"/>
    </row>
    <row r="450" spans="1:79" x14ac:dyDescent="0.3">
      <c r="A450" s="4" t="s">
        <v>290</v>
      </c>
      <c r="B450" s="4">
        <v>0.9</v>
      </c>
      <c r="C450" s="4">
        <v>0.5</v>
      </c>
      <c r="D450" s="4">
        <v>0.6</v>
      </c>
      <c r="E450" s="4">
        <v>0.3</v>
      </c>
      <c r="F450" s="6">
        <v>714.00268600000004</v>
      </c>
      <c r="G450" s="4">
        <v>3.0000000000000001E-3</v>
      </c>
      <c r="I450" s="4" t="s">
        <v>290</v>
      </c>
      <c r="J450" s="4">
        <v>0.9</v>
      </c>
      <c r="K450" s="4">
        <v>0.5</v>
      </c>
      <c r="L450" s="4">
        <v>0.6</v>
      </c>
      <c r="M450" s="4">
        <v>0.71</v>
      </c>
      <c r="N450" s="4">
        <v>862.34246800000005</v>
      </c>
      <c r="O450" s="4">
        <v>0.03</v>
      </c>
      <c r="P450" s="5"/>
      <c r="Q450" s="5"/>
      <c r="R450" s="5"/>
      <c r="S450" s="5"/>
      <c r="U450" s="4" t="s">
        <v>290</v>
      </c>
      <c r="V450" s="4">
        <v>0.9</v>
      </c>
      <c r="W450" s="4">
        <v>0.5</v>
      </c>
      <c r="X450" s="4">
        <v>0.6</v>
      </c>
      <c r="Y450" s="4">
        <v>0.3</v>
      </c>
      <c r="Z450" s="4">
        <v>678.03265399999998</v>
      </c>
      <c r="AA450" s="4">
        <v>3.0000000000000001E-3</v>
      </c>
      <c r="AC450" s="4" t="s">
        <v>290</v>
      </c>
      <c r="AD450" s="4">
        <v>0.9</v>
      </c>
      <c r="AE450" s="4">
        <v>0.5</v>
      </c>
      <c r="AF450" s="4">
        <v>0.6</v>
      </c>
      <c r="AG450" s="4">
        <v>0.22</v>
      </c>
      <c r="AH450" s="6">
        <v>668.42657499999996</v>
      </c>
      <c r="AI450" s="4">
        <v>2.3E-2</v>
      </c>
      <c r="AJ450" s="5"/>
      <c r="AK450" s="5"/>
      <c r="AL450" s="5"/>
      <c r="AM450" s="5"/>
      <c r="AO450" s="4" t="s">
        <v>291</v>
      </c>
      <c r="AP450" s="4">
        <v>0.9</v>
      </c>
      <c r="AQ450" s="4">
        <v>0.5</v>
      </c>
      <c r="AR450" s="4">
        <v>0.6</v>
      </c>
      <c r="AS450" s="4">
        <v>0.3</v>
      </c>
      <c r="AT450" s="4">
        <v>1031.612427</v>
      </c>
      <c r="AU450" s="4">
        <v>8.0000000000000002E-3</v>
      </c>
      <c r="AW450" s="4" t="s">
        <v>291</v>
      </c>
      <c r="AX450" s="4">
        <v>0.9</v>
      </c>
      <c r="AY450" s="4">
        <v>0.5</v>
      </c>
      <c r="AZ450" s="4">
        <v>0.6</v>
      </c>
      <c r="BA450" s="4">
        <v>0.09</v>
      </c>
      <c r="BB450" s="6">
        <v>889.87634300000002</v>
      </c>
      <c r="BC450" s="4">
        <v>2.1000000000000001E-2</v>
      </c>
      <c r="BD450" s="5"/>
      <c r="BE450" s="5"/>
      <c r="BF450" s="5"/>
      <c r="BG450" s="5"/>
      <c r="BI450" s="4" t="s">
        <v>291</v>
      </c>
      <c r="BJ450" s="4">
        <v>0.9</v>
      </c>
      <c r="BK450" s="4">
        <v>0.5</v>
      </c>
      <c r="BL450" s="4">
        <v>0.6</v>
      </c>
      <c r="BM450" s="4">
        <v>0.3</v>
      </c>
      <c r="BN450" s="6">
        <v>1010.8967290000001</v>
      </c>
      <c r="BO450" s="4">
        <v>8.0000000000000002E-3</v>
      </c>
      <c r="BQ450" s="4" t="s">
        <v>291</v>
      </c>
      <c r="BR450" s="4">
        <v>0.9</v>
      </c>
      <c r="BS450" s="4">
        <v>0.5</v>
      </c>
      <c r="BT450" s="4">
        <v>0.6</v>
      </c>
      <c r="BU450" s="4">
        <v>0.39</v>
      </c>
      <c r="BV450" s="4">
        <v>1080.4086910000001</v>
      </c>
      <c r="BW450" s="4">
        <v>1.9E-2</v>
      </c>
      <c r="BX450" s="5"/>
      <c r="BY450" s="5"/>
      <c r="BZ450" s="5"/>
      <c r="CA450" s="5"/>
    </row>
    <row r="451" spans="1:79" x14ac:dyDescent="0.3">
      <c r="A451" s="4" t="s">
        <v>292</v>
      </c>
      <c r="B451" s="4">
        <v>0.9</v>
      </c>
      <c r="C451" s="4">
        <v>0.5</v>
      </c>
      <c r="D451" s="4">
        <v>0.6</v>
      </c>
      <c r="E451" s="4">
        <v>0.3</v>
      </c>
      <c r="F451" s="6">
        <v>768.80255099999999</v>
      </c>
      <c r="G451" s="4">
        <v>3.0000000000000001E-3</v>
      </c>
      <c r="I451" s="4" t="s">
        <v>292</v>
      </c>
      <c r="J451" s="4">
        <v>0.9</v>
      </c>
      <c r="K451" s="4">
        <v>0.5</v>
      </c>
      <c r="L451" s="4">
        <v>0.6</v>
      </c>
      <c r="M451" s="4">
        <v>0.46</v>
      </c>
      <c r="N451" s="4">
        <v>895.15924099999995</v>
      </c>
      <c r="O451" s="4">
        <v>1.7999999999999999E-2</v>
      </c>
      <c r="P451" s="5"/>
      <c r="Q451" s="5"/>
      <c r="R451" s="5"/>
      <c r="S451" s="5"/>
      <c r="U451" s="4" t="s">
        <v>292</v>
      </c>
      <c r="V451" s="4">
        <v>0.9</v>
      </c>
      <c r="W451" s="4">
        <v>0.5</v>
      </c>
      <c r="X451" s="4">
        <v>0.6</v>
      </c>
      <c r="Y451" s="4">
        <v>0.3</v>
      </c>
      <c r="Z451" s="6">
        <v>716.13555899999994</v>
      </c>
      <c r="AA451" s="4">
        <v>4.0000000000000001E-3</v>
      </c>
      <c r="AC451" s="4" t="s">
        <v>292</v>
      </c>
      <c r="AD451" s="4">
        <v>0.9</v>
      </c>
      <c r="AE451" s="4">
        <v>0.5</v>
      </c>
      <c r="AF451" s="4">
        <v>0.6</v>
      </c>
      <c r="AG451" s="4">
        <v>0.79</v>
      </c>
      <c r="AH451" s="4">
        <v>992.40460199999995</v>
      </c>
      <c r="AI451" s="4">
        <v>1.6E-2</v>
      </c>
      <c r="AJ451" s="5"/>
      <c r="AK451" s="5"/>
      <c r="AL451" s="5"/>
      <c r="AM451" s="5"/>
      <c r="AO451" s="4" t="s">
        <v>293</v>
      </c>
      <c r="AP451" s="4">
        <v>0.9</v>
      </c>
      <c r="AQ451" s="4">
        <v>0.5</v>
      </c>
      <c r="AR451" s="4">
        <v>0.6</v>
      </c>
      <c r="AS451" s="4">
        <v>0.3</v>
      </c>
      <c r="AT451" s="6">
        <v>1084.9381100000001</v>
      </c>
      <c r="AU451" s="4">
        <v>8.9999999999999993E-3</v>
      </c>
      <c r="AW451" s="4" t="s">
        <v>293</v>
      </c>
      <c r="AX451" s="4">
        <v>0.9</v>
      </c>
      <c r="AY451" s="4">
        <v>0.5</v>
      </c>
      <c r="AZ451" s="4">
        <v>0.6</v>
      </c>
      <c r="BA451" s="4">
        <v>0.57999999999999996</v>
      </c>
      <c r="BB451" s="4">
        <v>1280.087769</v>
      </c>
      <c r="BC451" s="4">
        <v>1.7999999999999999E-2</v>
      </c>
      <c r="BD451" s="5"/>
      <c r="BE451" s="5"/>
      <c r="BF451" s="5"/>
      <c r="BG451" s="5"/>
      <c r="BI451" s="4" t="s">
        <v>293</v>
      </c>
      <c r="BJ451" s="4">
        <v>0.9</v>
      </c>
      <c r="BK451" s="4">
        <v>0.5</v>
      </c>
      <c r="BL451" s="4">
        <v>0.6</v>
      </c>
      <c r="BM451" s="4">
        <v>0.3</v>
      </c>
      <c r="BN451" s="6">
        <v>1077.2680660000001</v>
      </c>
      <c r="BO451" s="4">
        <v>0.01</v>
      </c>
      <c r="BQ451" s="4" t="s">
        <v>293</v>
      </c>
      <c r="BR451" s="4">
        <v>0.9</v>
      </c>
      <c r="BS451" s="4">
        <v>0.5</v>
      </c>
      <c r="BT451" s="4">
        <v>0.6</v>
      </c>
      <c r="BU451" s="4">
        <v>0.42</v>
      </c>
      <c r="BV451" s="4">
        <v>1171.5582280000001</v>
      </c>
      <c r="BW451" s="4">
        <v>0.02</v>
      </c>
      <c r="BX451" s="5"/>
      <c r="BY451" s="5"/>
      <c r="BZ451" s="5"/>
      <c r="CA451" s="5"/>
    </row>
    <row r="452" spans="1:79" x14ac:dyDescent="0.3">
      <c r="A452" s="4" t="s">
        <v>294</v>
      </c>
      <c r="B452" s="4">
        <v>0.9</v>
      </c>
      <c r="C452" s="4">
        <v>0.5</v>
      </c>
      <c r="D452" s="4">
        <v>0.6</v>
      </c>
      <c r="E452" s="4">
        <v>0.3</v>
      </c>
      <c r="F452" s="6">
        <v>899.08355700000004</v>
      </c>
      <c r="G452" s="4">
        <v>3.0000000000000001E-3</v>
      </c>
      <c r="I452" s="4" t="s">
        <v>294</v>
      </c>
      <c r="J452" s="4">
        <v>0.9</v>
      </c>
      <c r="K452" s="4">
        <v>0.5</v>
      </c>
      <c r="L452" s="4">
        <v>0.6</v>
      </c>
      <c r="M452" s="4">
        <v>0.47</v>
      </c>
      <c r="N452" s="4">
        <v>1007.297546</v>
      </c>
      <c r="O452" s="4">
        <v>1.7000000000000001E-2</v>
      </c>
      <c r="P452" s="5"/>
      <c r="Q452" s="5"/>
      <c r="R452" s="5"/>
      <c r="S452" s="5"/>
      <c r="U452" s="4" t="s">
        <v>294</v>
      </c>
      <c r="V452" s="4">
        <v>0.9</v>
      </c>
      <c r="W452" s="4">
        <v>0.5</v>
      </c>
      <c r="X452" s="4">
        <v>0.6</v>
      </c>
      <c r="Y452" s="4">
        <v>0.3</v>
      </c>
      <c r="Z452" s="6">
        <v>901.90832499999999</v>
      </c>
      <c r="AA452" s="4">
        <v>3.0000000000000001E-3</v>
      </c>
      <c r="AC452" s="4" t="s">
        <v>294</v>
      </c>
      <c r="AD452" s="4">
        <v>0.9</v>
      </c>
      <c r="AE452" s="4">
        <v>0.5</v>
      </c>
      <c r="AF452" s="4">
        <v>0.6</v>
      </c>
      <c r="AG452" s="4">
        <v>0.71</v>
      </c>
      <c r="AH452" s="4">
        <v>1075.8588870000001</v>
      </c>
      <c r="AI452" s="4">
        <v>2.5999999999999999E-2</v>
      </c>
      <c r="AJ452" s="5"/>
      <c r="AK452" s="5"/>
      <c r="AL452" s="5"/>
      <c r="AM452" s="5"/>
      <c r="AO452" s="4" t="s">
        <v>295</v>
      </c>
      <c r="AP452" s="4">
        <v>0.9</v>
      </c>
      <c r="AQ452" s="4">
        <v>0.5</v>
      </c>
      <c r="AR452" s="4">
        <v>0.6</v>
      </c>
      <c r="AS452" s="4">
        <v>0.3</v>
      </c>
      <c r="AT452" s="6">
        <v>1158.315918</v>
      </c>
      <c r="AU452" s="4">
        <v>0.01</v>
      </c>
      <c r="AW452" s="4" t="s">
        <v>295</v>
      </c>
      <c r="AX452" s="4">
        <v>0.9</v>
      </c>
      <c r="AY452" s="4">
        <v>0.5</v>
      </c>
      <c r="AZ452" s="4">
        <v>0.6</v>
      </c>
      <c r="BA452" s="4">
        <v>0.44</v>
      </c>
      <c r="BB452" s="4">
        <v>1315.5986330000001</v>
      </c>
      <c r="BC452" s="4">
        <v>3.6999999999999998E-2</v>
      </c>
      <c r="BD452" s="5"/>
      <c r="BE452" s="5"/>
      <c r="BF452" s="5"/>
      <c r="BG452" s="5"/>
      <c r="BI452" s="4" t="s">
        <v>295</v>
      </c>
      <c r="BJ452" s="4">
        <v>0.9</v>
      </c>
      <c r="BK452" s="4">
        <v>0.5</v>
      </c>
      <c r="BL452" s="4">
        <v>0.6</v>
      </c>
      <c r="BM452" s="4">
        <v>0.3</v>
      </c>
      <c r="BN452" s="6">
        <v>1157.179077</v>
      </c>
      <c r="BO452" s="4">
        <v>1.4E-2</v>
      </c>
      <c r="BQ452" s="4" t="s">
        <v>295</v>
      </c>
      <c r="BR452" s="4">
        <v>0.9</v>
      </c>
      <c r="BS452" s="4">
        <v>0.5</v>
      </c>
      <c r="BT452" s="4">
        <v>0.6</v>
      </c>
      <c r="BU452" s="4">
        <v>0.43</v>
      </c>
      <c r="BV452" s="4">
        <v>1270.857788</v>
      </c>
      <c r="BW452" s="4">
        <v>2.5999999999999999E-2</v>
      </c>
      <c r="BX452" s="5"/>
      <c r="BY452" s="5"/>
      <c r="BZ452" s="5"/>
      <c r="CA452" s="5"/>
    </row>
    <row r="453" spans="1:79" x14ac:dyDescent="0.3">
      <c r="A453" s="4" t="s">
        <v>296</v>
      </c>
      <c r="B453" s="4">
        <v>0.9</v>
      </c>
      <c r="C453" s="4">
        <v>0.5</v>
      </c>
      <c r="D453" s="4">
        <v>0.6</v>
      </c>
      <c r="E453" s="4">
        <v>0.3</v>
      </c>
      <c r="F453" s="6">
        <v>908.45929000000001</v>
      </c>
      <c r="G453" s="4">
        <v>3.0000000000000001E-3</v>
      </c>
      <c r="I453" s="4" t="s">
        <v>296</v>
      </c>
      <c r="J453" s="4">
        <v>0.9</v>
      </c>
      <c r="K453" s="4">
        <v>0.5</v>
      </c>
      <c r="L453" s="4">
        <v>0.6</v>
      </c>
      <c r="M453" s="4">
        <v>0.87</v>
      </c>
      <c r="N453" s="4">
        <v>1078.30835</v>
      </c>
      <c r="O453" s="4">
        <v>1.2E-2</v>
      </c>
      <c r="P453" s="5"/>
      <c r="Q453" s="5"/>
      <c r="R453" s="5"/>
      <c r="S453" s="5"/>
      <c r="U453" s="4" t="s">
        <v>296</v>
      </c>
      <c r="V453" s="4">
        <v>0.9</v>
      </c>
      <c r="W453" s="4">
        <v>0.5</v>
      </c>
      <c r="X453" s="4">
        <v>0.6</v>
      </c>
      <c r="Y453" s="4">
        <v>0.3</v>
      </c>
      <c r="Z453" s="6">
        <v>873.49133300000005</v>
      </c>
      <c r="AA453" s="4">
        <v>3.0000000000000001E-3</v>
      </c>
      <c r="AC453" s="4" t="s">
        <v>296</v>
      </c>
      <c r="AD453" s="4">
        <v>0.9</v>
      </c>
      <c r="AE453" s="4">
        <v>0.5</v>
      </c>
      <c r="AF453" s="4">
        <v>0.6</v>
      </c>
      <c r="AG453" s="4">
        <v>0.74</v>
      </c>
      <c r="AH453" s="4">
        <v>1049.3524170000001</v>
      </c>
      <c r="AI453" s="4">
        <v>2.1000000000000001E-2</v>
      </c>
      <c r="AJ453" s="5"/>
      <c r="AK453" s="5"/>
      <c r="AL453" s="5"/>
      <c r="AM453" s="5"/>
      <c r="AO453" s="4" t="s">
        <v>297</v>
      </c>
      <c r="AP453" s="4">
        <v>0.9</v>
      </c>
      <c r="AQ453" s="4">
        <v>0.5</v>
      </c>
      <c r="AR453" s="4">
        <v>0.6</v>
      </c>
      <c r="AS453" s="4">
        <v>0.3</v>
      </c>
      <c r="AT453" s="6">
        <v>1145.6191409999999</v>
      </c>
      <c r="AU453" s="4">
        <v>0.01</v>
      </c>
      <c r="AW453" s="4" t="s">
        <v>297</v>
      </c>
      <c r="AX453" s="4">
        <v>0.9</v>
      </c>
      <c r="AY453" s="4">
        <v>0.5</v>
      </c>
      <c r="AZ453" s="4">
        <v>0.6</v>
      </c>
      <c r="BA453" s="4">
        <v>0.36</v>
      </c>
      <c r="BB453" s="4">
        <v>1167.1601559999999</v>
      </c>
      <c r="BC453" s="4">
        <v>2.9000000000000001E-2</v>
      </c>
      <c r="BD453" s="5"/>
      <c r="BE453" s="5"/>
      <c r="BF453" s="5"/>
      <c r="BG453" s="5"/>
      <c r="BI453" s="4" t="s">
        <v>297</v>
      </c>
      <c r="BJ453" s="4">
        <v>0.9</v>
      </c>
      <c r="BK453" s="4">
        <v>0.5</v>
      </c>
      <c r="BL453" s="4">
        <v>0.6</v>
      </c>
      <c r="BM453" s="4">
        <v>0.3</v>
      </c>
      <c r="BN453" s="6">
        <v>1113.9879149999999</v>
      </c>
      <c r="BO453" s="4">
        <v>1.0999999999999999E-2</v>
      </c>
      <c r="BQ453" s="4" t="s">
        <v>297</v>
      </c>
      <c r="BR453" s="4">
        <v>0.9</v>
      </c>
      <c r="BS453" s="4">
        <v>0.5</v>
      </c>
      <c r="BT453" s="4">
        <v>0.6</v>
      </c>
      <c r="BU453" s="4">
        <v>0.63</v>
      </c>
      <c r="BV453" s="4">
        <v>1342.846436</v>
      </c>
      <c r="BW453" s="4">
        <v>1.7999999999999999E-2</v>
      </c>
      <c r="BX453" s="5"/>
      <c r="BY453" s="5"/>
      <c r="BZ453" s="5"/>
      <c r="CA453" s="5"/>
    </row>
    <row r="454" spans="1:79" x14ac:dyDescent="0.3">
      <c r="A454" s="4" t="s">
        <v>298</v>
      </c>
      <c r="B454" s="4">
        <v>0.9</v>
      </c>
      <c r="C454" s="4">
        <v>0.5</v>
      </c>
      <c r="D454" s="4">
        <v>0.6</v>
      </c>
      <c r="E454" s="4">
        <v>0.3</v>
      </c>
      <c r="F454" s="6">
        <v>756.75805700000001</v>
      </c>
      <c r="G454" s="4">
        <v>3.0000000000000001E-3</v>
      </c>
      <c r="I454" s="4" t="s">
        <v>298</v>
      </c>
      <c r="J454" s="4">
        <v>0.9</v>
      </c>
      <c r="K454" s="4">
        <v>0.5</v>
      </c>
      <c r="L454" s="4">
        <v>0.6</v>
      </c>
      <c r="M454" s="4">
        <v>0.36</v>
      </c>
      <c r="N454" s="4">
        <v>765.813354</v>
      </c>
      <c r="O454" s="4">
        <v>3.7999999999999999E-2</v>
      </c>
      <c r="P454" s="5"/>
      <c r="Q454" s="5"/>
      <c r="R454" s="5"/>
      <c r="S454" s="5"/>
      <c r="U454" s="4" t="s">
        <v>298</v>
      </c>
      <c r="V454" s="4">
        <v>0.9</v>
      </c>
      <c r="W454" s="4">
        <v>0.5</v>
      </c>
      <c r="X454" s="4">
        <v>0.6</v>
      </c>
      <c r="Y454" s="4">
        <v>0.3</v>
      </c>
      <c r="Z454" s="4">
        <v>732.67370600000004</v>
      </c>
      <c r="AA454" s="4">
        <v>4.0000000000000001E-3</v>
      </c>
      <c r="AC454" s="4" t="s">
        <v>298</v>
      </c>
      <c r="AD454" s="4">
        <v>0.9</v>
      </c>
      <c r="AE454" s="4">
        <v>0.5</v>
      </c>
      <c r="AF454" s="4">
        <v>0.6</v>
      </c>
      <c r="AG454" s="4">
        <v>0.26</v>
      </c>
      <c r="AH454" s="6">
        <v>717.47045900000001</v>
      </c>
      <c r="AI454" s="4">
        <v>1.7000000000000001E-2</v>
      </c>
      <c r="AJ454" s="5"/>
      <c r="AK454" s="5"/>
      <c r="AL454" s="5"/>
      <c r="AM454" s="5"/>
      <c r="AO454" s="4" t="s">
        <v>299</v>
      </c>
      <c r="AP454" s="4">
        <v>0.9</v>
      </c>
      <c r="AQ454" s="4">
        <v>0.5</v>
      </c>
      <c r="AR454" s="4">
        <v>0.6</v>
      </c>
      <c r="AS454" s="4">
        <v>0.3</v>
      </c>
      <c r="AT454" s="6">
        <v>1152.8292240000001</v>
      </c>
      <c r="AU454" s="4">
        <v>0.01</v>
      </c>
      <c r="AW454" s="4" t="s">
        <v>299</v>
      </c>
      <c r="AX454" s="4">
        <v>0.9</v>
      </c>
      <c r="AY454" s="4">
        <v>0.5</v>
      </c>
      <c r="AZ454" s="4">
        <v>0.6</v>
      </c>
      <c r="BA454" s="4">
        <v>0.57999999999999996</v>
      </c>
      <c r="BB454" s="4">
        <v>1408.8283690000001</v>
      </c>
      <c r="BC454" s="4">
        <v>2.7E-2</v>
      </c>
      <c r="BD454" s="5"/>
      <c r="BE454" s="5"/>
      <c r="BF454" s="5"/>
      <c r="BG454" s="5"/>
      <c r="BI454" s="4" t="s">
        <v>299</v>
      </c>
      <c r="BJ454" s="4">
        <v>0.9</v>
      </c>
      <c r="BK454" s="4">
        <v>0.5</v>
      </c>
      <c r="BL454" s="4">
        <v>0.6</v>
      </c>
      <c r="BM454" s="4">
        <v>0.3</v>
      </c>
      <c r="BN454" s="6">
        <v>1140.228638</v>
      </c>
      <c r="BO454" s="4">
        <v>1.0999999999999999E-2</v>
      </c>
      <c r="BQ454" s="4" t="s">
        <v>299</v>
      </c>
      <c r="BR454" s="4">
        <v>0.9</v>
      </c>
      <c r="BS454" s="4">
        <v>0.5</v>
      </c>
      <c r="BT454" s="4">
        <v>0.6</v>
      </c>
      <c r="BU454" s="4">
        <v>0.62</v>
      </c>
      <c r="BV454" s="4">
        <v>1402.2154539999999</v>
      </c>
      <c r="BW454" s="4">
        <v>1.4999999999999999E-2</v>
      </c>
      <c r="BX454" s="5"/>
      <c r="BY454" s="5"/>
      <c r="BZ454" s="5"/>
      <c r="CA454" s="5"/>
    </row>
    <row r="455" spans="1:79" x14ac:dyDescent="0.3">
      <c r="A455" s="4" t="s">
        <v>300</v>
      </c>
      <c r="B455" s="4">
        <v>0.9</v>
      </c>
      <c r="C455" s="4">
        <v>0.5</v>
      </c>
      <c r="D455" s="4">
        <v>0.6</v>
      </c>
      <c r="E455" s="4">
        <v>0.3</v>
      </c>
      <c r="F455" s="6">
        <v>830.800659</v>
      </c>
      <c r="G455" s="4">
        <v>3.0000000000000001E-3</v>
      </c>
      <c r="I455" s="4" t="s">
        <v>300</v>
      </c>
      <c r="J455" s="4">
        <v>0.9</v>
      </c>
      <c r="K455" s="4">
        <v>0.5</v>
      </c>
      <c r="L455" s="4">
        <v>0.6</v>
      </c>
      <c r="M455" s="4">
        <v>0.94</v>
      </c>
      <c r="N455" s="4">
        <v>1044.869385</v>
      </c>
      <c r="O455" s="4">
        <v>2.8000000000000001E-2</v>
      </c>
      <c r="P455" s="5"/>
      <c r="Q455" s="5"/>
      <c r="R455" s="5"/>
      <c r="S455" s="5"/>
      <c r="U455" s="4" t="s">
        <v>300</v>
      </c>
      <c r="V455" s="4">
        <v>0.9</v>
      </c>
      <c r="W455" s="4">
        <v>0.5</v>
      </c>
      <c r="X455" s="4">
        <v>0.6</v>
      </c>
      <c r="Y455" s="4">
        <v>0.3</v>
      </c>
      <c r="Z455" s="6">
        <v>810.80395499999997</v>
      </c>
      <c r="AA455" s="4">
        <v>3.0000000000000001E-3</v>
      </c>
      <c r="AC455" s="4" t="s">
        <v>300</v>
      </c>
      <c r="AD455" s="4">
        <v>0.9</v>
      </c>
      <c r="AE455" s="4">
        <v>0.5</v>
      </c>
      <c r="AF455" s="4">
        <v>0.6</v>
      </c>
      <c r="AG455" s="4">
        <v>0.83</v>
      </c>
      <c r="AH455" s="4">
        <v>978.84271200000001</v>
      </c>
      <c r="AI455" s="4">
        <v>1.4999999999999999E-2</v>
      </c>
      <c r="AJ455" s="5"/>
      <c r="AK455" s="5"/>
      <c r="AL455" s="5"/>
      <c r="AM455" s="5"/>
      <c r="AO455" s="4" t="s">
        <v>301</v>
      </c>
      <c r="AP455" s="4">
        <v>0.9</v>
      </c>
      <c r="AQ455" s="4">
        <v>0.5</v>
      </c>
      <c r="AR455" s="4">
        <v>0.6</v>
      </c>
      <c r="AS455" s="4">
        <v>0.3</v>
      </c>
      <c r="AT455" s="6">
        <v>1150.8237300000001</v>
      </c>
      <c r="AU455" s="4">
        <v>0.01</v>
      </c>
      <c r="AW455" s="4" t="s">
        <v>301</v>
      </c>
      <c r="AX455" s="4">
        <v>0.9</v>
      </c>
      <c r="AY455" s="4">
        <v>0.5</v>
      </c>
      <c r="AZ455" s="4">
        <v>0.6</v>
      </c>
      <c r="BA455" s="4">
        <v>0.87</v>
      </c>
      <c r="BB455" s="4">
        <v>1496.121216</v>
      </c>
      <c r="BC455" s="4">
        <v>2.8000000000000001E-2</v>
      </c>
      <c r="BD455" s="5"/>
      <c r="BE455" s="5"/>
      <c r="BF455" s="5"/>
      <c r="BG455" s="5"/>
      <c r="BI455" s="4" t="s">
        <v>301</v>
      </c>
      <c r="BJ455" s="4">
        <v>0.9</v>
      </c>
      <c r="BK455" s="4">
        <v>0.5</v>
      </c>
      <c r="BL455" s="4">
        <v>0.6</v>
      </c>
      <c r="BM455" s="4">
        <v>0.3</v>
      </c>
      <c r="BN455" s="4">
        <v>1129.999268</v>
      </c>
      <c r="BO455" s="4">
        <v>0.01</v>
      </c>
      <c r="BQ455" s="4" t="s">
        <v>301</v>
      </c>
      <c r="BR455" s="4">
        <v>0.9</v>
      </c>
      <c r="BS455" s="4">
        <v>0.5</v>
      </c>
      <c r="BT455" s="4">
        <v>0.6</v>
      </c>
      <c r="BU455" s="4">
        <v>0.13</v>
      </c>
      <c r="BV455" s="6">
        <v>1014.939209</v>
      </c>
      <c r="BW455" s="4">
        <v>2.1000000000000001E-2</v>
      </c>
      <c r="BX455" s="5"/>
      <c r="BY455" s="5"/>
      <c r="BZ455" s="5"/>
      <c r="CA455" s="5"/>
    </row>
    <row r="456" spans="1:79" x14ac:dyDescent="0.3">
      <c r="A456" s="4" t="s">
        <v>302</v>
      </c>
      <c r="B456" s="4">
        <v>0.9</v>
      </c>
      <c r="C456" s="4">
        <v>0.5</v>
      </c>
      <c r="D456" s="4">
        <v>0.6</v>
      </c>
      <c r="E456" s="4">
        <v>0.3</v>
      </c>
      <c r="F456" s="6">
        <v>776.28753700000004</v>
      </c>
      <c r="G456" s="4">
        <v>3.0000000000000001E-3</v>
      </c>
      <c r="I456" s="4" t="s">
        <v>302</v>
      </c>
      <c r="J456" s="4">
        <v>0.9</v>
      </c>
      <c r="K456" s="4">
        <v>0.5</v>
      </c>
      <c r="L456" s="4">
        <v>0.6</v>
      </c>
      <c r="M456" s="4">
        <v>0.74</v>
      </c>
      <c r="N456" s="4">
        <v>955.16156000000001</v>
      </c>
      <c r="O456" s="4">
        <v>1.2999999999999999E-2</v>
      </c>
      <c r="P456" s="5"/>
      <c r="Q456" s="5"/>
      <c r="R456" s="5"/>
      <c r="S456" s="5"/>
      <c r="U456" s="4" t="s">
        <v>302</v>
      </c>
      <c r="V456" s="4">
        <v>0.9</v>
      </c>
      <c r="W456" s="4">
        <v>0.5</v>
      </c>
      <c r="X456" s="4">
        <v>0.6</v>
      </c>
      <c r="Y456" s="4">
        <v>0.3</v>
      </c>
      <c r="Z456" s="6">
        <v>759.16583300000002</v>
      </c>
      <c r="AA456" s="4">
        <v>3.0000000000000001E-3</v>
      </c>
      <c r="AC456" s="4" t="s">
        <v>302</v>
      </c>
      <c r="AD456" s="4">
        <v>0.9</v>
      </c>
      <c r="AE456" s="4">
        <v>0.5</v>
      </c>
      <c r="AF456" s="4">
        <v>0.6</v>
      </c>
      <c r="AG456" s="4">
        <v>0.61</v>
      </c>
      <c r="AH456" s="4">
        <v>938.14318800000001</v>
      </c>
      <c r="AI456" s="4">
        <v>1.2999999999999999E-2</v>
      </c>
      <c r="AJ456" s="5"/>
      <c r="AK456" s="5"/>
      <c r="AL456" s="5"/>
      <c r="AM456" s="5"/>
      <c r="AO456" s="4" t="s">
        <v>303</v>
      </c>
      <c r="AP456" s="4">
        <v>0.9</v>
      </c>
      <c r="AQ456" s="4">
        <v>0.5</v>
      </c>
      <c r="AR456" s="4">
        <v>0.6</v>
      </c>
      <c r="AS456" s="4">
        <v>0.3</v>
      </c>
      <c r="AT456" s="4">
        <v>1112.4289550000001</v>
      </c>
      <c r="AU456" s="4">
        <v>0.01</v>
      </c>
      <c r="AW456" s="4" t="s">
        <v>303</v>
      </c>
      <c r="AX456" s="4">
        <v>0.9</v>
      </c>
      <c r="AY456" s="4">
        <v>0.5</v>
      </c>
      <c r="AZ456" s="4">
        <v>0.6</v>
      </c>
      <c r="BA456" s="4">
        <v>0.08</v>
      </c>
      <c r="BB456" s="6">
        <v>974.76190199999996</v>
      </c>
      <c r="BC456" s="4">
        <v>2.8000000000000001E-2</v>
      </c>
      <c r="BD456" s="5"/>
      <c r="BE456" s="5"/>
      <c r="BF456" s="5"/>
      <c r="BG456" s="5"/>
      <c r="BI456" s="4" t="s">
        <v>303</v>
      </c>
      <c r="BJ456" s="4">
        <v>0.9</v>
      </c>
      <c r="BK456" s="4">
        <v>0.5</v>
      </c>
      <c r="BL456" s="4">
        <v>0.6</v>
      </c>
      <c r="BM456" s="4">
        <v>0.3</v>
      </c>
      <c r="BN456" s="6">
        <v>1100.8920900000001</v>
      </c>
      <c r="BO456" s="4">
        <v>0.01</v>
      </c>
      <c r="BQ456" s="4" t="s">
        <v>303</v>
      </c>
      <c r="BR456" s="4">
        <v>0.9</v>
      </c>
      <c r="BS456" s="4">
        <v>0.5</v>
      </c>
      <c r="BT456" s="4">
        <v>0.6</v>
      </c>
      <c r="BU456" s="4">
        <v>0.52</v>
      </c>
      <c r="BV456" s="4">
        <v>1261.5992429999999</v>
      </c>
      <c r="BW456" s="4">
        <v>2.4E-2</v>
      </c>
      <c r="BX456" s="5"/>
      <c r="BY456" s="5"/>
      <c r="BZ456" s="5"/>
      <c r="CA456" s="5"/>
    </row>
    <row r="457" spans="1:79" x14ac:dyDescent="0.3">
      <c r="A457" s="4" t="s">
        <v>304</v>
      </c>
      <c r="B457" s="4">
        <v>0.9</v>
      </c>
      <c r="C457" s="4">
        <v>0.5</v>
      </c>
      <c r="D457" s="4">
        <v>0.6</v>
      </c>
      <c r="E457" s="4">
        <v>0.3</v>
      </c>
      <c r="F457" s="6">
        <v>890.46331799999996</v>
      </c>
      <c r="G457" s="4">
        <v>4.0000000000000001E-3</v>
      </c>
      <c r="I457" s="4" t="s">
        <v>304</v>
      </c>
      <c r="J457" s="4">
        <v>0.9</v>
      </c>
      <c r="K457" s="4">
        <v>0.5</v>
      </c>
      <c r="L457" s="4">
        <v>0.6</v>
      </c>
      <c r="M457" s="4">
        <v>0.73</v>
      </c>
      <c r="N457" s="4">
        <v>1079.1098629999999</v>
      </c>
      <c r="O457" s="4">
        <v>2.1999999999999999E-2</v>
      </c>
      <c r="P457" s="5"/>
      <c r="Q457" s="5"/>
      <c r="R457" s="5"/>
      <c r="S457" s="5"/>
      <c r="U457" s="4" t="s">
        <v>304</v>
      </c>
      <c r="V457" s="4">
        <v>0.9</v>
      </c>
      <c r="W457" s="4">
        <v>0.5</v>
      </c>
      <c r="X457" s="4">
        <v>0.6</v>
      </c>
      <c r="Y457" s="4">
        <v>0.3</v>
      </c>
      <c r="Z457" s="6">
        <v>887.97289999999998</v>
      </c>
      <c r="AA457" s="4">
        <v>4.0000000000000001E-3</v>
      </c>
      <c r="AC457" s="4" t="s">
        <v>304</v>
      </c>
      <c r="AD457" s="4">
        <v>0.9</v>
      </c>
      <c r="AE457" s="4">
        <v>0.5</v>
      </c>
      <c r="AF457" s="4">
        <v>0.6</v>
      </c>
      <c r="AG457" s="4">
        <v>0.41</v>
      </c>
      <c r="AH457" s="4">
        <v>947.75750700000003</v>
      </c>
      <c r="AI457" s="4">
        <v>1.2999999999999999E-2</v>
      </c>
      <c r="AJ457" s="5"/>
      <c r="AK457" s="5"/>
      <c r="AL457" s="5"/>
      <c r="AM457" s="5"/>
      <c r="AO457" s="4" t="s">
        <v>305</v>
      </c>
      <c r="AP457" s="4">
        <v>0.9</v>
      </c>
      <c r="AQ457" s="4">
        <v>0.5</v>
      </c>
      <c r="AR457" s="4">
        <v>0.6</v>
      </c>
      <c r="AS457" s="4">
        <v>0.3</v>
      </c>
      <c r="AT457" s="6">
        <v>1176.265625</v>
      </c>
      <c r="AU457" s="4">
        <v>1.2E-2</v>
      </c>
      <c r="AW457" s="4" t="s">
        <v>305</v>
      </c>
      <c r="AX457" s="4">
        <v>0.9</v>
      </c>
      <c r="AY457" s="4">
        <v>0.5</v>
      </c>
      <c r="AZ457" s="4">
        <v>0.6</v>
      </c>
      <c r="BA457" s="4">
        <v>0.55000000000000004</v>
      </c>
      <c r="BB457" s="4">
        <v>1405.8129879999999</v>
      </c>
      <c r="BC457" s="4">
        <v>0.03</v>
      </c>
      <c r="BD457" s="5"/>
      <c r="BE457" s="5"/>
      <c r="BF457" s="5"/>
      <c r="BG457" s="5"/>
      <c r="BI457" s="4" t="s">
        <v>305</v>
      </c>
      <c r="BJ457" s="4">
        <v>0.9</v>
      </c>
      <c r="BK457" s="4">
        <v>0.5</v>
      </c>
      <c r="BL457" s="4">
        <v>0.6</v>
      </c>
      <c r="BM457" s="4">
        <v>0.3</v>
      </c>
      <c r="BN457" s="4">
        <v>1155.4279790000001</v>
      </c>
      <c r="BO457" s="4">
        <v>1.0999999999999999E-2</v>
      </c>
      <c r="BQ457" s="4" t="s">
        <v>305</v>
      </c>
      <c r="BR457" s="4">
        <v>0.9</v>
      </c>
      <c r="BS457" s="4">
        <v>0.5</v>
      </c>
      <c r="BT457" s="4">
        <v>0.6</v>
      </c>
      <c r="BU457" s="4">
        <v>0.14000000000000001</v>
      </c>
      <c r="BV457" s="6">
        <v>1024.8122559999999</v>
      </c>
      <c r="BW457" s="4">
        <v>1.7999999999999999E-2</v>
      </c>
      <c r="BX457" s="5"/>
      <c r="BY457" s="5"/>
      <c r="BZ457" s="5"/>
      <c r="CA457" s="5"/>
    </row>
    <row r="458" spans="1:79" x14ac:dyDescent="0.3">
      <c r="A458" s="4" t="s">
        <v>306</v>
      </c>
      <c r="B458" s="4">
        <v>0.9</v>
      </c>
      <c r="C458" s="4">
        <v>0.5</v>
      </c>
      <c r="D458" s="4">
        <v>0.6</v>
      </c>
      <c r="E458" s="4">
        <v>0.3</v>
      </c>
      <c r="F458" s="6">
        <v>923.43670699999996</v>
      </c>
      <c r="G458" s="4">
        <v>4.0000000000000001E-3</v>
      </c>
      <c r="I458" s="4" t="s">
        <v>306</v>
      </c>
      <c r="J458" s="4">
        <v>0.9</v>
      </c>
      <c r="K458" s="4">
        <v>0.5</v>
      </c>
      <c r="L458" s="4">
        <v>0.6</v>
      </c>
      <c r="M458" s="4">
        <v>0.98</v>
      </c>
      <c r="N458" s="4">
        <v>1167.9499510000001</v>
      </c>
      <c r="O458" s="4">
        <v>2.5999999999999999E-2</v>
      </c>
      <c r="P458" s="5"/>
      <c r="Q458" s="5"/>
      <c r="R458" s="5"/>
      <c r="S458" s="5"/>
      <c r="U458" s="4" t="s">
        <v>306</v>
      </c>
      <c r="V458" s="4">
        <v>0.9</v>
      </c>
      <c r="W458" s="4">
        <v>0.5</v>
      </c>
      <c r="X458" s="4">
        <v>0.6</v>
      </c>
      <c r="Y458" s="4">
        <v>0.3</v>
      </c>
      <c r="Z458" s="6">
        <v>892.57385299999999</v>
      </c>
      <c r="AA458" s="4">
        <v>4.0000000000000001E-3</v>
      </c>
      <c r="AC458" s="4" t="s">
        <v>306</v>
      </c>
      <c r="AD458" s="4">
        <v>0.9</v>
      </c>
      <c r="AE458" s="4">
        <v>0.5</v>
      </c>
      <c r="AF458" s="4">
        <v>0.6</v>
      </c>
      <c r="AG458" s="4">
        <v>0.37</v>
      </c>
      <c r="AH458" s="4">
        <v>964.96105999999997</v>
      </c>
      <c r="AI458" s="4">
        <v>1.9E-2</v>
      </c>
      <c r="AJ458" s="5"/>
      <c r="AK458" s="5"/>
      <c r="AL458" s="5"/>
      <c r="AM458" s="5"/>
      <c r="AO458" s="4" t="s">
        <v>307</v>
      </c>
      <c r="AP458" s="4">
        <v>0.9</v>
      </c>
      <c r="AQ458" s="4">
        <v>0.5</v>
      </c>
      <c r="AR458" s="4">
        <v>0.6</v>
      </c>
      <c r="AS458" s="4">
        <v>0.3</v>
      </c>
      <c r="AT458" s="6">
        <v>1111.2813719999999</v>
      </c>
      <c r="AU458" s="4">
        <v>8.9999999999999993E-3</v>
      </c>
      <c r="AW458" s="4" t="s">
        <v>307</v>
      </c>
      <c r="AX458" s="4">
        <v>0.9</v>
      </c>
      <c r="AY458" s="4">
        <v>0.5</v>
      </c>
      <c r="AZ458" s="4">
        <v>0.6</v>
      </c>
      <c r="BA458" s="4">
        <v>0.27</v>
      </c>
      <c r="BB458" s="4">
        <v>1113.3726810000001</v>
      </c>
      <c r="BC458" s="4">
        <v>1.6E-2</v>
      </c>
      <c r="BD458" s="5"/>
      <c r="BE458" s="5"/>
      <c r="BF458" s="5"/>
      <c r="BG458" s="5"/>
      <c r="BI458" s="4" t="s">
        <v>307</v>
      </c>
      <c r="BJ458" s="4">
        <v>0.9</v>
      </c>
      <c r="BK458" s="4">
        <v>0.5</v>
      </c>
      <c r="BL458" s="4">
        <v>0.6</v>
      </c>
      <c r="BM458" s="4">
        <v>0.3</v>
      </c>
      <c r="BN458" s="4">
        <v>1110.2373050000001</v>
      </c>
      <c r="BO458" s="4">
        <v>0.01</v>
      </c>
      <c r="BQ458" s="4" t="s">
        <v>307</v>
      </c>
      <c r="BR458" s="4">
        <v>0.9</v>
      </c>
      <c r="BS458" s="4">
        <v>0.5</v>
      </c>
      <c r="BT458" s="4">
        <v>0.6</v>
      </c>
      <c r="BU458" s="4">
        <v>0.12</v>
      </c>
      <c r="BV458" s="6">
        <v>967.95800799999995</v>
      </c>
      <c r="BW458" s="4">
        <v>0.02</v>
      </c>
      <c r="BX458" s="5"/>
      <c r="BY458" s="5"/>
      <c r="BZ458" s="5"/>
      <c r="CA458" s="5"/>
    </row>
    <row r="459" spans="1:79" x14ac:dyDescent="0.3">
      <c r="A459" s="4" t="s">
        <v>308</v>
      </c>
      <c r="B459" s="4">
        <v>0.9</v>
      </c>
      <c r="C459" s="4">
        <v>0.5</v>
      </c>
      <c r="D459" s="4">
        <v>0.6</v>
      </c>
      <c r="E459" s="4">
        <v>0.3</v>
      </c>
      <c r="F459" s="4">
        <v>931.49578899999995</v>
      </c>
      <c r="G459" s="4">
        <v>4.0000000000000001E-3</v>
      </c>
      <c r="I459" s="4" t="s">
        <v>308</v>
      </c>
      <c r="J459" s="4">
        <v>0.9</v>
      </c>
      <c r="K459" s="4">
        <v>0.5</v>
      </c>
      <c r="L459" s="4">
        <v>0.6</v>
      </c>
      <c r="M459" s="4">
        <v>0.27</v>
      </c>
      <c r="N459" s="6">
        <v>926.25537099999997</v>
      </c>
      <c r="O459" s="4">
        <v>3.7999999999999999E-2</v>
      </c>
      <c r="P459" s="5"/>
      <c r="Q459" s="5"/>
      <c r="R459" s="5"/>
      <c r="S459" s="5"/>
      <c r="U459" s="4" t="s">
        <v>308</v>
      </c>
      <c r="V459" s="4">
        <v>0.9</v>
      </c>
      <c r="W459" s="4">
        <v>0.5</v>
      </c>
      <c r="X459" s="4">
        <v>0.6</v>
      </c>
      <c r="Y459" s="4">
        <v>0.3</v>
      </c>
      <c r="Z459" s="6">
        <v>872.46868900000004</v>
      </c>
      <c r="AA459" s="4">
        <v>3.0000000000000001E-3</v>
      </c>
      <c r="AC459" s="4" t="s">
        <v>308</v>
      </c>
      <c r="AD459" s="4">
        <v>0.9</v>
      </c>
      <c r="AE459" s="4">
        <v>0.5</v>
      </c>
      <c r="AF459" s="4">
        <v>0.6</v>
      </c>
      <c r="AG459" s="4">
        <v>0.75</v>
      </c>
      <c r="AH459" s="4">
        <v>1072.4197999999999</v>
      </c>
      <c r="AI459" s="4">
        <v>1.0999999999999999E-2</v>
      </c>
      <c r="AJ459" s="5"/>
      <c r="AK459" s="5"/>
      <c r="AL459" s="5"/>
      <c r="AM459" s="5"/>
      <c r="AO459" s="4" t="s">
        <v>309</v>
      </c>
      <c r="AP459" s="4">
        <v>0.9</v>
      </c>
      <c r="AQ459" s="4">
        <v>0.5</v>
      </c>
      <c r="AR459" s="4">
        <v>0.6</v>
      </c>
      <c r="AS459" s="4">
        <v>0.3</v>
      </c>
      <c r="AT459" s="6">
        <v>1150.1397710000001</v>
      </c>
      <c r="AU459" s="4">
        <v>0.01</v>
      </c>
      <c r="AW459" s="4" t="s">
        <v>309</v>
      </c>
      <c r="AX459" s="4">
        <v>0.9</v>
      </c>
      <c r="AY459" s="4">
        <v>0.5</v>
      </c>
      <c r="AZ459" s="4">
        <v>0.6</v>
      </c>
      <c r="BA459" s="4">
        <v>0.74</v>
      </c>
      <c r="BB459" s="4">
        <v>1523.7020259999999</v>
      </c>
      <c r="BC459" s="4">
        <v>4.3999999999999997E-2</v>
      </c>
      <c r="BD459" s="5"/>
      <c r="BE459" s="5"/>
      <c r="BF459" s="5"/>
      <c r="BG459" s="5"/>
      <c r="BI459" s="4" t="s">
        <v>309</v>
      </c>
      <c r="BJ459" s="4">
        <v>0.9</v>
      </c>
      <c r="BK459" s="4">
        <v>0.5</v>
      </c>
      <c r="BL459" s="4">
        <v>0.6</v>
      </c>
      <c r="BM459" s="4">
        <v>0.3</v>
      </c>
      <c r="BN459" s="6">
        <v>1142.370361</v>
      </c>
      <c r="BO459" s="4">
        <v>0.01</v>
      </c>
      <c r="BQ459" s="4" t="s">
        <v>309</v>
      </c>
      <c r="BR459" s="4">
        <v>0.9</v>
      </c>
      <c r="BS459" s="4">
        <v>0.5</v>
      </c>
      <c r="BT459" s="4">
        <v>0.6</v>
      </c>
      <c r="BU459" s="4">
        <v>0.34</v>
      </c>
      <c r="BV459" s="4">
        <v>1177.9560550000001</v>
      </c>
      <c r="BW459" s="4">
        <v>0.02</v>
      </c>
      <c r="BX459" s="5"/>
      <c r="BY459" s="5"/>
      <c r="BZ459" s="5"/>
      <c r="CA459" s="5"/>
    </row>
    <row r="460" spans="1:79" x14ac:dyDescent="0.3">
      <c r="A460" s="4" t="s">
        <v>310</v>
      </c>
      <c r="B460" s="4">
        <v>0.9</v>
      </c>
      <c r="C460" s="4">
        <v>0.5</v>
      </c>
      <c r="D460" s="4">
        <v>0.6</v>
      </c>
      <c r="E460" s="4">
        <v>0.3</v>
      </c>
      <c r="F460" s="6">
        <v>892.61016800000004</v>
      </c>
      <c r="G460" s="4">
        <v>4.0000000000000001E-3</v>
      </c>
      <c r="I460" s="4" t="s">
        <v>310</v>
      </c>
      <c r="J460" s="4">
        <v>0.9</v>
      </c>
      <c r="K460" s="4">
        <v>0.5</v>
      </c>
      <c r="L460" s="4">
        <v>0.6</v>
      </c>
      <c r="M460" s="4">
        <v>0.5</v>
      </c>
      <c r="N460" s="4">
        <v>1000.1410519999999</v>
      </c>
      <c r="O460" s="4">
        <v>1.9E-2</v>
      </c>
      <c r="P460" s="5"/>
      <c r="Q460" s="5"/>
      <c r="R460" s="5"/>
      <c r="S460" s="5"/>
      <c r="U460" s="4" t="s">
        <v>310</v>
      </c>
      <c r="V460" s="4">
        <v>0.9</v>
      </c>
      <c r="W460" s="4">
        <v>0.5</v>
      </c>
      <c r="X460" s="4">
        <v>0.6</v>
      </c>
      <c r="Y460" s="4">
        <v>0.3</v>
      </c>
      <c r="Z460" s="6">
        <v>860.10101299999997</v>
      </c>
      <c r="AA460" s="4">
        <v>3.0000000000000001E-3</v>
      </c>
      <c r="AC460" s="4" t="s">
        <v>310</v>
      </c>
      <c r="AD460" s="4">
        <v>0.9</v>
      </c>
      <c r="AE460" s="4">
        <v>0.5</v>
      </c>
      <c r="AF460" s="4">
        <v>0.6</v>
      </c>
      <c r="AG460" s="4">
        <v>0.93</v>
      </c>
      <c r="AH460" s="4">
        <v>1074.2154539999999</v>
      </c>
      <c r="AI460" s="4">
        <v>2.4E-2</v>
      </c>
      <c r="AJ460" s="5"/>
      <c r="AK460" s="5"/>
      <c r="AL460" s="5"/>
      <c r="AM460" s="5"/>
      <c r="AO460" s="4" t="s">
        <v>311</v>
      </c>
      <c r="AP460" s="4">
        <v>0.9</v>
      </c>
      <c r="AQ460" s="4">
        <v>0.5</v>
      </c>
      <c r="AR460" s="4">
        <v>0.6</v>
      </c>
      <c r="AS460" s="4">
        <v>0.3</v>
      </c>
      <c r="AT460" s="4">
        <v>1187.9727780000001</v>
      </c>
      <c r="AU460" s="4">
        <v>0.01</v>
      </c>
      <c r="AW460" s="4" t="s">
        <v>311</v>
      </c>
      <c r="AX460" s="4">
        <v>0.9</v>
      </c>
      <c r="AY460" s="4">
        <v>0.5</v>
      </c>
      <c r="AZ460" s="4">
        <v>0.6</v>
      </c>
      <c r="BA460" s="4">
        <v>0.08</v>
      </c>
      <c r="BB460" s="6">
        <v>984.10131799999999</v>
      </c>
      <c r="BC460" s="4">
        <v>2.3E-2</v>
      </c>
      <c r="BD460" s="5"/>
      <c r="BE460" s="5"/>
      <c r="BF460" s="5"/>
      <c r="BG460" s="5"/>
      <c r="BI460" s="4" t="s">
        <v>311</v>
      </c>
      <c r="BJ460" s="4">
        <v>0.9</v>
      </c>
      <c r="BK460" s="4">
        <v>0.5</v>
      </c>
      <c r="BL460" s="4">
        <v>0.6</v>
      </c>
      <c r="BM460" s="4">
        <v>0.3</v>
      </c>
      <c r="BN460" s="6">
        <v>1152.407837</v>
      </c>
      <c r="BO460" s="4">
        <v>8.9999999999999993E-3</v>
      </c>
      <c r="BQ460" s="4" t="s">
        <v>311</v>
      </c>
      <c r="BR460" s="4">
        <v>0.9</v>
      </c>
      <c r="BS460" s="4">
        <v>0.5</v>
      </c>
      <c r="BT460" s="4">
        <v>0.6</v>
      </c>
      <c r="BU460" s="4">
        <v>0.28000000000000003</v>
      </c>
      <c r="BV460" s="4">
        <v>1166.1732179999999</v>
      </c>
      <c r="BW460" s="4">
        <v>2.5000000000000001E-2</v>
      </c>
      <c r="BX460" s="5"/>
      <c r="BY460" s="5"/>
      <c r="BZ460" s="5"/>
      <c r="CA460" s="5"/>
    </row>
    <row r="461" spans="1:79" x14ac:dyDescent="0.3">
      <c r="A461" s="4" t="s">
        <v>312</v>
      </c>
      <c r="B461" s="4">
        <v>0.9</v>
      </c>
      <c r="C461" s="4">
        <v>0.5</v>
      </c>
      <c r="D461" s="4">
        <v>0.6</v>
      </c>
      <c r="E461" s="4">
        <v>0.3</v>
      </c>
      <c r="F461" s="6">
        <v>853.23504600000001</v>
      </c>
      <c r="G461" s="4">
        <v>3.0000000000000001E-3</v>
      </c>
      <c r="I461" s="4" t="s">
        <v>312</v>
      </c>
      <c r="J461" s="4">
        <v>0.9</v>
      </c>
      <c r="K461" s="4">
        <v>0.5</v>
      </c>
      <c r="L461" s="4">
        <v>0.6</v>
      </c>
      <c r="M461" s="4">
        <v>0.74</v>
      </c>
      <c r="N461" s="4">
        <v>1047.118408</v>
      </c>
      <c r="O461" s="4">
        <v>3.3000000000000002E-2</v>
      </c>
      <c r="P461" s="5"/>
      <c r="Q461" s="5"/>
      <c r="R461" s="5"/>
      <c r="S461" s="5"/>
      <c r="U461" s="4" t="s">
        <v>312</v>
      </c>
      <c r="V461" s="4">
        <v>0.9</v>
      </c>
      <c r="W461" s="4">
        <v>0.5</v>
      </c>
      <c r="X461" s="4">
        <v>0.6</v>
      </c>
      <c r="Y461" s="4">
        <v>0.3</v>
      </c>
      <c r="Z461" s="4">
        <v>805.71893299999999</v>
      </c>
      <c r="AA461" s="4">
        <v>3.0000000000000001E-3</v>
      </c>
      <c r="AC461" s="4" t="s">
        <v>312</v>
      </c>
      <c r="AD461" s="4">
        <v>0.9</v>
      </c>
      <c r="AE461" s="4">
        <v>0.5</v>
      </c>
      <c r="AF461" s="4">
        <v>0.6</v>
      </c>
      <c r="AG461" s="4">
        <v>0.17</v>
      </c>
      <c r="AH461" s="6">
        <v>762.63354500000003</v>
      </c>
      <c r="AI461" s="4">
        <v>1.6E-2</v>
      </c>
      <c r="AJ461" s="5"/>
      <c r="AK461" s="5"/>
      <c r="AL461" s="5"/>
      <c r="AM461" s="5"/>
      <c r="AO461" s="4" t="s">
        <v>313</v>
      </c>
      <c r="AP461" s="4">
        <v>0.9</v>
      </c>
      <c r="AQ461" s="4">
        <v>0.5</v>
      </c>
      <c r="AR461" s="4">
        <v>0.6</v>
      </c>
      <c r="AS461" s="4">
        <v>0.3</v>
      </c>
      <c r="AT461" s="6">
        <v>1163.534058</v>
      </c>
      <c r="AU461" s="4">
        <v>8.9999999999999993E-3</v>
      </c>
      <c r="AW461" s="4" t="s">
        <v>313</v>
      </c>
      <c r="AX461" s="4">
        <v>0.9</v>
      </c>
      <c r="AY461" s="4">
        <v>0.5</v>
      </c>
      <c r="AZ461" s="4">
        <v>0.6</v>
      </c>
      <c r="BA461" s="4">
        <v>0.7</v>
      </c>
      <c r="BB461" s="4">
        <v>1392.565552</v>
      </c>
      <c r="BC461" s="4">
        <v>2.5000000000000001E-2</v>
      </c>
      <c r="BD461" s="5"/>
      <c r="BE461" s="5"/>
      <c r="BF461" s="5"/>
      <c r="BG461" s="5"/>
      <c r="BI461" s="4" t="s">
        <v>313</v>
      </c>
      <c r="BJ461" s="4">
        <v>0.9</v>
      </c>
      <c r="BK461" s="4">
        <v>0.5</v>
      </c>
      <c r="BL461" s="4">
        <v>0.6</v>
      </c>
      <c r="BM461" s="4">
        <v>0.3</v>
      </c>
      <c r="BN461" s="6">
        <v>1146.206909</v>
      </c>
      <c r="BO461" s="4">
        <v>0.01</v>
      </c>
      <c r="BQ461" s="4" t="s">
        <v>313</v>
      </c>
      <c r="BR461" s="4">
        <v>0.9</v>
      </c>
      <c r="BS461" s="4">
        <v>0.5</v>
      </c>
      <c r="BT461" s="4">
        <v>0.6</v>
      </c>
      <c r="BU461" s="4">
        <v>0.49</v>
      </c>
      <c r="BV461" s="4">
        <v>1272.938721</v>
      </c>
      <c r="BW461" s="4">
        <v>1.4999999999999999E-2</v>
      </c>
      <c r="BX461" s="5"/>
      <c r="BY461" s="5"/>
      <c r="BZ461" s="5"/>
      <c r="CA461" s="5"/>
    </row>
    <row r="462" spans="1:79" x14ac:dyDescent="0.3">
      <c r="A462" s="14" t="s">
        <v>316</v>
      </c>
      <c r="E462" s="14">
        <f>AVERAGE(E432:E461)</f>
        <v>0.3</v>
      </c>
      <c r="I462" s="14" t="s">
        <v>316</v>
      </c>
      <c r="M462" s="14">
        <f>AVERAGE(M432:M461)</f>
        <v>0.54133333333333333</v>
      </c>
      <c r="P462" s="5"/>
      <c r="Q462" s="5"/>
      <c r="R462" s="5"/>
      <c r="S462" s="5"/>
      <c r="U462" s="14" t="s">
        <v>316</v>
      </c>
      <c r="Y462" s="14">
        <f>AVERAGE(Y432:Y461)</f>
        <v>0.3</v>
      </c>
      <c r="AC462" s="14" t="s">
        <v>316</v>
      </c>
      <c r="AG462" s="14">
        <f>AVERAGE(AG432:AG461)</f>
        <v>0.54566666666666686</v>
      </c>
      <c r="AJ462" s="5"/>
      <c r="AK462" s="5"/>
      <c r="AL462" s="5"/>
      <c r="AM462" s="5"/>
      <c r="AO462" s="14" t="s">
        <v>316</v>
      </c>
      <c r="AS462" s="14">
        <f>AVERAGE(AS432:AS461)</f>
        <v>0.3</v>
      </c>
      <c r="AW462" s="14" t="s">
        <v>316</v>
      </c>
      <c r="BA462" s="14">
        <f>AVERAGE(BA432:BA461)</f>
        <v>0.45999999999999991</v>
      </c>
      <c r="BD462" s="5"/>
      <c r="BE462" s="5"/>
      <c r="BF462" s="5"/>
      <c r="BG462" s="5"/>
      <c r="BI462" s="14" t="s">
        <v>316</v>
      </c>
      <c r="BM462" s="14">
        <f>AVERAGE(BM432:BM461)</f>
        <v>0.3</v>
      </c>
      <c r="BQ462" s="14" t="s">
        <v>316</v>
      </c>
      <c r="BU462" s="14">
        <f>AVERAGE(BU432:BU461)</f>
        <v>0.45033333333333331</v>
      </c>
      <c r="BX462" s="5"/>
      <c r="BY462" s="5"/>
      <c r="BZ462" s="5"/>
      <c r="CA462" s="5"/>
    </row>
    <row r="463" spans="1:79" x14ac:dyDescent="0.3">
      <c r="P463" s="5"/>
      <c r="Q463" s="5"/>
      <c r="R463" s="5"/>
      <c r="S463" s="5"/>
      <c r="AJ463" s="5"/>
      <c r="AK463" s="5"/>
      <c r="AL463" s="5"/>
      <c r="AM463" s="5"/>
      <c r="BD463" s="5"/>
      <c r="BE463" s="5"/>
      <c r="BF463" s="5"/>
      <c r="BG463" s="5"/>
      <c r="BX463" s="5"/>
      <c r="BY463" s="5"/>
      <c r="BZ463" s="5"/>
      <c r="CA463" s="5"/>
    </row>
    <row r="464" spans="1:79" x14ac:dyDescent="0.3">
      <c r="P464" s="5"/>
      <c r="Q464" s="5"/>
      <c r="R464" s="5"/>
      <c r="S464" s="5"/>
      <c r="AJ464" s="5"/>
      <c r="AK464" s="5"/>
      <c r="AL464" s="5"/>
      <c r="AM464" s="5"/>
      <c r="BD464" s="5"/>
      <c r="BE464" s="5"/>
      <c r="BF464" s="5"/>
      <c r="BG464" s="5"/>
      <c r="BX464" s="5"/>
      <c r="BY464" s="5"/>
      <c r="BZ464" s="5"/>
      <c r="CA464" s="5"/>
    </row>
    <row r="465" spans="1:79" x14ac:dyDescent="0.3">
      <c r="A465" s="23" t="s">
        <v>314</v>
      </c>
      <c r="B465" s="23"/>
      <c r="C465" s="23"/>
      <c r="D465" s="23"/>
      <c r="E465" s="23"/>
      <c r="F465" s="23"/>
      <c r="G465" s="23"/>
      <c r="I465" s="24" t="s">
        <v>314</v>
      </c>
      <c r="J465" s="25"/>
      <c r="K465" s="25"/>
      <c r="L465" s="25"/>
      <c r="M465" s="25"/>
      <c r="N465" s="25"/>
      <c r="O465" s="26"/>
      <c r="P465" s="11"/>
      <c r="Q465" s="11"/>
      <c r="R465" s="11"/>
      <c r="S465" s="11"/>
      <c r="U465" s="23" t="s">
        <v>314</v>
      </c>
      <c r="V465" s="23"/>
      <c r="W465" s="23"/>
      <c r="X465" s="23"/>
      <c r="Y465" s="23"/>
      <c r="Z465" s="23"/>
      <c r="AA465" s="23"/>
      <c r="AC465" s="24" t="s">
        <v>314</v>
      </c>
      <c r="AD465" s="25"/>
      <c r="AE465" s="25"/>
      <c r="AF465" s="25"/>
      <c r="AG465" s="25"/>
      <c r="AH465" s="25"/>
      <c r="AI465" s="26"/>
      <c r="AJ465" s="11"/>
      <c r="AK465" s="11"/>
      <c r="AL465" s="11"/>
      <c r="AM465" s="11"/>
      <c r="AO465" s="23" t="s">
        <v>314</v>
      </c>
      <c r="AP465" s="23"/>
      <c r="AQ465" s="23"/>
      <c r="AR465" s="23"/>
      <c r="AS465" s="23"/>
      <c r="AT465" s="23"/>
      <c r="AU465" s="23"/>
      <c r="AW465" s="24" t="s">
        <v>314</v>
      </c>
      <c r="AX465" s="25"/>
      <c r="AY465" s="25"/>
      <c r="AZ465" s="25"/>
      <c r="BA465" s="25"/>
      <c r="BB465" s="25"/>
      <c r="BC465" s="26"/>
      <c r="BD465" s="11"/>
      <c r="BE465" s="11"/>
      <c r="BF465" s="11"/>
      <c r="BG465" s="11"/>
      <c r="BI465" s="23" t="s">
        <v>314</v>
      </c>
      <c r="BJ465" s="23"/>
      <c r="BK465" s="23"/>
      <c r="BL465" s="23"/>
      <c r="BM465" s="23"/>
      <c r="BN465" s="23"/>
      <c r="BO465" s="23"/>
      <c r="BQ465" s="24" t="s">
        <v>314</v>
      </c>
      <c r="BR465" s="25"/>
      <c r="BS465" s="25"/>
      <c r="BT465" s="25"/>
      <c r="BU465" s="25"/>
      <c r="BV465" s="25"/>
      <c r="BW465" s="26"/>
      <c r="BX465" s="11"/>
      <c r="BY465" s="11"/>
      <c r="BZ465" s="11"/>
      <c r="CA465" s="11"/>
    </row>
    <row r="466" spans="1:79" x14ac:dyDescent="0.3">
      <c r="A466" s="4" t="s">
        <v>70</v>
      </c>
      <c r="B466" s="4"/>
      <c r="C466" s="4"/>
      <c r="D466" s="4"/>
      <c r="E466" s="4"/>
      <c r="F466" s="4"/>
      <c r="G466" s="4"/>
      <c r="I466" s="4" t="s">
        <v>70</v>
      </c>
      <c r="J466" s="4"/>
      <c r="K466" s="4"/>
      <c r="L466" s="4"/>
      <c r="M466" s="4"/>
      <c r="N466" s="4"/>
      <c r="O466" s="4"/>
      <c r="P466" s="5"/>
      <c r="Q466" s="5"/>
      <c r="R466" s="5"/>
      <c r="S466" s="5"/>
      <c r="U466" s="4" t="s">
        <v>71</v>
      </c>
      <c r="V466" s="4"/>
      <c r="W466" s="4"/>
      <c r="X466" s="4"/>
      <c r="Y466" s="4"/>
      <c r="Z466" s="4"/>
      <c r="AA466" s="4"/>
      <c r="AC466" s="4" t="s">
        <v>71</v>
      </c>
      <c r="AD466" s="4"/>
      <c r="AE466" s="4"/>
      <c r="AF466" s="4"/>
      <c r="AG466" s="4"/>
      <c r="AH466" s="4"/>
      <c r="AI466" s="4"/>
      <c r="AJ466" s="5"/>
      <c r="AK466" s="5"/>
      <c r="AL466" s="5"/>
      <c r="AM466" s="5"/>
      <c r="AO466" s="4" t="s">
        <v>70</v>
      </c>
      <c r="AP466" s="4"/>
      <c r="AQ466" s="4"/>
      <c r="AR466" s="4"/>
      <c r="AS466" s="4"/>
      <c r="AT466" s="4"/>
      <c r="AU466" s="4"/>
      <c r="AW466" s="4" t="s">
        <v>70</v>
      </c>
      <c r="AX466" s="4"/>
      <c r="AY466" s="4"/>
      <c r="AZ466" s="4"/>
      <c r="BA466" s="4"/>
      <c r="BB466" s="4"/>
      <c r="BC466" s="4"/>
      <c r="BD466" s="5"/>
      <c r="BE466" s="5"/>
      <c r="BF466" s="5"/>
      <c r="BG466" s="5"/>
      <c r="BI466" s="4" t="s">
        <v>71</v>
      </c>
      <c r="BJ466" s="4"/>
      <c r="BK466" s="4"/>
      <c r="BL466" s="4"/>
      <c r="BM466" s="4"/>
      <c r="BN466" s="4"/>
      <c r="BO466" s="4"/>
      <c r="BQ466" s="4" t="s">
        <v>71</v>
      </c>
      <c r="BR466" s="4"/>
      <c r="BS466" s="4"/>
      <c r="BT466" s="4"/>
      <c r="BU466" s="4"/>
      <c r="BV466" s="4"/>
      <c r="BW466" s="4"/>
      <c r="BX466" s="5"/>
      <c r="BY466" s="5"/>
      <c r="BZ466" s="5"/>
      <c r="CA466" s="5"/>
    </row>
    <row r="467" spans="1:79" x14ac:dyDescent="0.3">
      <c r="A467" s="4" t="s">
        <v>2</v>
      </c>
      <c r="B467" s="4" t="s">
        <v>3</v>
      </c>
      <c r="C467" s="4" t="s">
        <v>4</v>
      </c>
      <c r="D467" s="4" t="s">
        <v>5</v>
      </c>
      <c r="E467" s="4" t="s">
        <v>6</v>
      </c>
      <c r="F467" s="4" t="s">
        <v>7</v>
      </c>
      <c r="G467" s="4" t="s">
        <v>8</v>
      </c>
      <c r="I467" s="4" t="s">
        <v>2</v>
      </c>
      <c r="J467" s="4" t="s">
        <v>3</v>
      </c>
      <c r="K467" s="4" t="s">
        <v>4</v>
      </c>
      <c r="L467" s="4" t="s">
        <v>5</v>
      </c>
      <c r="M467" s="4" t="s">
        <v>6</v>
      </c>
      <c r="N467" s="4" t="s">
        <v>7</v>
      </c>
      <c r="O467" s="4" t="s">
        <v>8</v>
      </c>
      <c r="P467" s="3" t="s">
        <v>322</v>
      </c>
      <c r="Q467" s="3" t="s">
        <v>323</v>
      </c>
      <c r="R467" s="3" t="s">
        <v>322</v>
      </c>
      <c r="S467" s="3" t="s">
        <v>323</v>
      </c>
      <c r="U467" s="4" t="s">
        <v>2</v>
      </c>
      <c r="V467" s="4" t="s">
        <v>3</v>
      </c>
      <c r="W467" s="4" t="s">
        <v>4</v>
      </c>
      <c r="X467" s="4" t="s">
        <v>5</v>
      </c>
      <c r="Y467" s="4" t="s">
        <v>6</v>
      </c>
      <c r="Z467" s="4" t="s">
        <v>7</v>
      </c>
      <c r="AA467" s="4" t="s">
        <v>8</v>
      </c>
      <c r="AC467" s="4" t="s">
        <v>2</v>
      </c>
      <c r="AD467" s="4" t="s">
        <v>3</v>
      </c>
      <c r="AE467" s="4" t="s">
        <v>4</v>
      </c>
      <c r="AF467" s="4" t="s">
        <v>5</v>
      </c>
      <c r="AG467" s="4" t="s">
        <v>6</v>
      </c>
      <c r="AH467" s="4" t="s">
        <v>7</v>
      </c>
      <c r="AI467" s="4" t="s">
        <v>8</v>
      </c>
      <c r="AJ467" s="3" t="s">
        <v>322</v>
      </c>
      <c r="AK467" s="3" t="s">
        <v>323</v>
      </c>
      <c r="AL467" s="3" t="s">
        <v>322</v>
      </c>
      <c r="AM467" s="3" t="s">
        <v>323</v>
      </c>
      <c r="AO467" s="4" t="s">
        <v>2</v>
      </c>
      <c r="AP467" s="4" t="s">
        <v>3</v>
      </c>
      <c r="AQ467" s="4" t="s">
        <v>4</v>
      </c>
      <c r="AR467" s="4" t="s">
        <v>5</v>
      </c>
      <c r="AS467" s="4" t="s">
        <v>6</v>
      </c>
      <c r="AT467" s="4" t="s">
        <v>7</v>
      </c>
      <c r="AU467" s="4" t="s">
        <v>8</v>
      </c>
      <c r="AW467" s="4" t="s">
        <v>2</v>
      </c>
      <c r="AX467" s="4" t="s">
        <v>3</v>
      </c>
      <c r="AY467" s="4" t="s">
        <v>4</v>
      </c>
      <c r="AZ467" s="4" t="s">
        <v>5</v>
      </c>
      <c r="BA467" s="4" t="s">
        <v>6</v>
      </c>
      <c r="BB467" s="4" t="s">
        <v>7</v>
      </c>
      <c r="BC467" s="4" t="s">
        <v>8</v>
      </c>
      <c r="BD467" s="3" t="s">
        <v>322</v>
      </c>
      <c r="BE467" s="3" t="s">
        <v>323</v>
      </c>
      <c r="BF467" s="3" t="s">
        <v>322</v>
      </c>
      <c r="BG467" s="3" t="s">
        <v>323</v>
      </c>
      <c r="BI467" s="4" t="s">
        <v>2</v>
      </c>
      <c r="BJ467" s="4" t="s">
        <v>3</v>
      </c>
      <c r="BK467" s="4" t="s">
        <v>4</v>
      </c>
      <c r="BL467" s="4" t="s">
        <v>5</v>
      </c>
      <c r="BM467" s="4" t="s">
        <v>6</v>
      </c>
      <c r="BN467" s="4" t="s">
        <v>7</v>
      </c>
      <c r="BO467" s="4" t="s">
        <v>8</v>
      </c>
      <c r="BQ467" s="4" t="s">
        <v>2</v>
      </c>
      <c r="BR467" s="4" t="s">
        <v>3</v>
      </c>
      <c r="BS467" s="4" t="s">
        <v>4</v>
      </c>
      <c r="BT467" s="4" t="s">
        <v>5</v>
      </c>
      <c r="BU467" s="4" t="s">
        <v>6</v>
      </c>
      <c r="BV467" s="4" t="s">
        <v>7</v>
      </c>
      <c r="BW467" s="4" t="s">
        <v>8</v>
      </c>
      <c r="BX467" s="3" t="s">
        <v>322</v>
      </c>
      <c r="BY467" s="3" t="s">
        <v>323</v>
      </c>
      <c r="BZ467" s="3" t="s">
        <v>322</v>
      </c>
      <c r="CA467" s="3" t="s">
        <v>323</v>
      </c>
    </row>
    <row r="468" spans="1:79" x14ac:dyDescent="0.3">
      <c r="A468" s="4" t="s">
        <v>254</v>
      </c>
      <c r="B468" s="4">
        <v>0.9</v>
      </c>
      <c r="C468" s="4">
        <v>0.5</v>
      </c>
      <c r="D468" s="4">
        <v>0.6</v>
      </c>
      <c r="E468" s="4">
        <v>0.3</v>
      </c>
      <c r="F468" s="4">
        <v>670.93890399999998</v>
      </c>
      <c r="G468" s="4">
        <v>3.0000000000000001E-3</v>
      </c>
      <c r="I468" s="4" t="s">
        <v>254</v>
      </c>
      <c r="J468" s="4">
        <v>0.9</v>
      </c>
      <c r="K468" s="4">
        <v>0.5</v>
      </c>
      <c r="L468" s="4">
        <v>0.6</v>
      </c>
      <c r="M468" s="4">
        <v>0.01</v>
      </c>
      <c r="N468" s="6">
        <v>625.56311000000005</v>
      </c>
      <c r="O468" s="4">
        <v>1.2E-2</v>
      </c>
      <c r="P468" s="4" t="s">
        <v>324</v>
      </c>
      <c r="Q468" s="4" t="s">
        <v>324</v>
      </c>
      <c r="R468" s="4" t="s">
        <v>327</v>
      </c>
      <c r="S468" s="4" t="s">
        <v>327</v>
      </c>
      <c r="U468" s="4" t="s">
        <v>254</v>
      </c>
      <c r="V468" s="4">
        <v>0.9</v>
      </c>
      <c r="W468" s="4">
        <v>0.5</v>
      </c>
      <c r="X468" s="4">
        <v>0.6</v>
      </c>
      <c r="Y468" s="4">
        <v>0.3</v>
      </c>
      <c r="Z468" s="4">
        <v>648.05926499999998</v>
      </c>
      <c r="AA468" s="4">
        <v>2E-3</v>
      </c>
      <c r="AC468" s="4" t="s">
        <v>254</v>
      </c>
      <c r="AD468" s="4">
        <v>0.9</v>
      </c>
      <c r="AE468" s="4">
        <v>0.5</v>
      </c>
      <c r="AF468" s="4">
        <v>0.6</v>
      </c>
      <c r="AG468" s="4">
        <v>0.01</v>
      </c>
      <c r="AH468" s="6">
        <v>604.00616500000001</v>
      </c>
      <c r="AI468" s="4">
        <v>2.7E-2</v>
      </c>
      <c r="AJ468" s="4" t="s">
        <v>324</v>
      </c>
      <c r="AK468" s="4" t="s">
        <v>324</v>
      </c>
      <c r="AL468" s="4" t="s">
        <v>327</v>
      </c>
      <c r="AM468" s="4" t="s">
        <v>327</v>
      </c>
      <c r="AO468" s="4" t="s">
        <v>255</v>
      </c>
      <c r="AP468" s="4">
        <v>0.9</v>
      </c>
      <c r="AQ468" s="4">
        <v>0.5</v>
      </c>
      <c r="AR468" s="4">
        <v>0.6</v>
      </c>
      <c r="AS468" s="4">
        <v>0.3</v>
      </c>
      <c r="AT468" s="4">
        <v>1018.932068</v>
      </c>
      <c r="AU468" s="4">
        <v>8.9999999999999993E-3</v>
      </c>
      <c r="AW468" s="4" t="s">
        <v>255</v>
      </c>
      <c r="AX468" s="4">
        <v>0.9</v>
      </c>
      <c r="AY468" s="4">
        <v>0.5</v>
      </c>
      <c r="AZ468" s="4">
        <v>0.6</v>
      </c>
      <c r="BA468" s="4">
        <v>0.01</v>
      </c>
      <c r="BB468" s="6">
        <v>860.48821999999996</v>
      </c>
      <c r="BC468" s="4">
        <v>1.7999999999999999E-2</v>
      </c>
      <c r="BD468" s="4" t="s">
        <v>324</v>
      </c>
      <c r="BE468" s="4" t="s">
        <v>324</v>
      </c>
      <c r="BF468" s="4" t="s">
        <v>327</v>
      </c>
      <c r="BG468" s="4" t="s">
        <v>327</v>
      </c>
      <c r="BI468" s="4" t="s">
        <v>255</v>
      </c>
      <c r="BJ468" s="4">
        <v>0.9</v>
      </c>
      <c r="BK468" s="4">
        <v>0.5</v>
      </c>
      <c r="BL468" s="4">
        <v>0.6</v>
      </c>
      <c r="BM468" s="4">
        <v>0.3</v>
      </c>
      <c r="BN468" s="4">
        <v>989.39483600000005</v>
      </c>
      <c r="BO468" s="4">
        <v>1.2999999999999999E-2</v>
      </c>
      <c r="BQ468" s="4" t="s">
        <v>255</v>
      </c>
      <c r="BR468" s="4">
        <v>0.9</v>
      </c>
      <c r="BS468" s="4">
        <v>0.5</v>
      </c>
      <c r="BT468" s="4">
        <v>0.6</v>
      </c>
      <c r="BU468" s="4">
        <v>0.01</v>
      </c>
      <c r="BV468" s="6">
        <v>822.14190699999995</v>
      </c>
      <c r="BW468" s="4">
        <v>2.1000000000000001E-2</v>
      </c>
      <c r="BX468" s="4" t="s">
        <v>324</v>
      </c>
      <c r="BY468" s="4" t="s">
        <v>324</v>
      </c>
      <c r="BZ468" s="4" t="s">
        <v>327</v>
      </c>
      <c r="CA468" s="4" t="s">
        <v>327</v>
      </c>
    </row>
    <row r="469" spans="1:79" x14ac:dyDescent="0.3">
      <c r="A469" s="4" t="s">
        <v>256</v>
      </c>
      <c r="B469" s="4">
        <v>0.9</v>
      </c>
      <c r="C469" s="4">
        <v>0.5</v>
      </c>
      <c r="D469" s="4">
        <v>0.6</v>
      </c>
      <c r="E469" s="4">
        <v>0.3</v>
      </c>
      <c r="F469" s="6">
        <v>685.86596699999996</v>
      </c>
      <c r="G469" s="4">
        <v>2E-3</v>
      </c>
      <c r="I469" s="4" t="s">
        <v>256</v>
      </c>
      <c r="J469" s="4">
        <v>0.9</v>
      </c>
      <c r="K469" s="4">
        <v>0.5</v>
      </c>
      <c r="L469" s="4">
        <v>0.6</v>
      </c>
      <c r="M469" s="4">
        <v>0.99</v>
      </c>
      <c r="N469" s="4">
        <v>854.74780299999998</v>
      </c>
      <c r="O469" s="4">
        <v>1.4E-2</v>
      </c>
      <c r="P469" s="3">
        <f>COUNT(F469:F477,F479:F480,F483,F485:F488,F490:F491,F493:F495)</f>
        <v>21</v>
      </c>
      <c r="Q469" s="3">
        <f>30-P469</f>
        <v>9</v>
      </c>
      <c r="R469" s="3">
        <f>COUNT(N468,N478,N481:N482,N484,N489,N492,N496:N497)</f>
        <v>9</v>
      </c>
      <c r="S469" s="3">
        <f>30-R469</f>
        <v>21</v>
      </c>
      <c r="U469" s="4" t="s">
        <v>256</v>
      </c>
      <c r="V469" s="4">
        <v>0.9</v>
      </c>
      <c r="W469" s="4">
        <v>0.5</v>
      </c>
      <c r="X469" s="4">
        <v>0.6</v>
      </c>
      <c r="Y469" s="4">
        <v>0.3</v>
      </c>
      <c r="Z469" s="6">
        <v>657.04418899999996</v>
      </c>
      <c r="AA469" s="4">
        <v>3.0000000000000001E-3</v>
      </c>
      <c r="AC469" s="4" t="s">
        <v>256</v>
      </c>
      <c r="AD469" s="4">
        <v>0.9</v>
      </c>
      <c r="AE469" s="4">
        <v>0.5</v>
      </c>
      <c r="AF469" s="4">
        <v>0.6</v>
      </c>
      <c r="AG469" s="4">
        <v>0.67</v>
      </c>
      <c r="AH469" s="4">
        <v>743.59179700000004</v>
      </c>
      <c r="AI469" s="4">
        <v>1.2999999999999999E-2</v>
      </c>
      <c r="AJ469" s="3">
        <f>COUNT(Z469,Z471:Z472,Z474:Z475,Z477,Z479:Z480,Z483:Z493,Z495,Z497)</f>
        <v>21</v>
      </c>
      <c r="AK469" s="3">
        <f>30-AJ469</f>
        <v>9</v>
      </c>
      <c r="AL469" s="3">
        <f>COUNT(AH468,AH470,AH473,AH476,AH478,AH481:AH482,AH494,AH496)</f>
        <v>9</v>
      </c>
      <c r="AM469" s="3">
        <f>30-AL469</f>
        <v>21</v>
      </c>
      <c r="AO469" s="4" t="s">
        <v>257</v>
      </c>
      <c r="AP469" s="4">
        <v>0.9</v>
      </c>
      <c r="AQ469" s="4">
        <v>0.5</v>
      </c>
      <c r="AR469" s="4">
        <v>0.6</v>
      </c>
      <c r="AS469" s="4">
        <v>0.3</v>
      </c>
      <c r="AT469" s="6">
        <v>985.86834699999997</v>
      </c>
      <c r="AU469" s="4">
        <v>8.9999999999999993E-3</v>
      </c>
      <c r="AW469" s="4" t="s">
        <v>257</v>
      </c>
      <c r="AX469" s="4">
        <v>0.9</v>
      </c>
      <c r="AY469" s="4">
        <v>0.5</v>
      </c>
      <c r="AZ469" s="4">
        <v>0.6</v>
      </c>
      <c r="BA469" s="4">
        <v>0.41</v>
      </c>
      <c r="BB469" s="4">
        <v>1038.1553960000001</v>
      </c>
      <c r="BC469" s="4">
        <v>2.4E-2</v>
      </c>
      <c r="BD469" s="3">
        <f>COUNT(AT469,AT471:AT476,AT478:AT479,AT481:AT482,AT484:AT488,AT491:AT492,AT494:AT497)</f>
        <v>22</v>
      </c>
      <c r="BE469" s="3">
        <f>30-BD469</f>
        <v>8</v>
      </c>
      <c r="BF469" s="3">
        <f>COUNT(BB468,BB470,BB477,BB480,BB484,BB489:BB490,BB493)</f>
        <v>8</v>
      </c>
      <c r="BG469" s="3">
        <f>30-BF469</f>
        <v>22</v>
      </c>
      <c r="BI469" s="4" t="s">
        <v>257</v>
      </c>
      <c r="BJ469" s="4">
        <v>0.9</v>
      </c>
      <c r="BK469" s="4">
        <v>0.5</v>
      </c>
      <c r="BL469" s="4">
        <v>0.6</v>
      </c>
      <c r="BM469" s="4">
        <v>0.3</v>
      </c>
      <c r="BN469" s="4">
        <v>958.109375</v>
      </c>
      <c r="BO469" s="4">
        <v>0.01</v>
      </c>
      <c r="BQ469" s="4" t="s">
        <v>257</v>
      </c>
      <c r="BR469" s="4">
        <v>0.9</v>
      </c>
      <c r="BS469" s="4">
        <v>0.5</v>
      </c>
      <c r="BT469" s="4">
        <v>0.6</v>
      </c>
      <c r="BU469" s="4">
        <v>0.08</v>
      </c>
      <c r="BV469" s="6">
        <v>833.69714399999998</v>
      </c>
      <c r="BW469" s="4">
        <v>2.1999999999999999E-2</v>
      </c>
      <c r="BX469" s="3">
        <f>COUNT(BN470,BN472:BN473,BN479,BN481:BN482,BN484,BN486:BN492,BN494:BN497)</f>
        <v>18</v>
      </c>
      <c r="BY469" s="3">
        <f>30-BX469</f>
        <v>12</v>
      </c>
      <c r="BZ469" s="3">
        <f>COUNT(BV468:BV469,BV471,BV474:BV478,BV480,BV485,BV483,BV493)</f>
        <v>12</v>
      </c>
      <c r="CA469" s="3">
        <f>30-BZ469</f>
        <v>18</v>
      </c>
    </row>
    <row r="470" spans="1:79" x14ac:dyDescent="0.3">
      <c r="A470" s="4" t="s">
        <v>258</v>
      </c>
      <c r="B470" s="4">
        <v>0.9</v>
      </c>
      <c r="C470" s="4">
        <v>0.5</v>
      </c>
      <c r="D470" s="4">
        <v>0.6</v>
      </c>
      <c r="E470" s="4">
        <v>0.3</v>
      </c>
      <c r="F470" s="6">
        <v>671.47015399999998</v>
      </c>
      <c r="G470" s="4">
        <v>3.0000000000000001E-3</v>
      </c>
      <c r="I470" s="4" t="s">
        <v>258</v>
      </c>
      <c r="J470" s="4">
        <v>0.9</v>
      </c>
      <c r="K470" s="4">
        <v>0.5</v>
      </c>
      <c r="L470" s="4">
        <v>0.6</v>
      </c>
      <c r="M470" s="4">
        <v>0.46</v>
      </c>
      <c r="N470" s="4">
        <v>705.26916500000004</v>
      </c>
      <c r="O470" s="4">
        <v>1.4999999999999999E-2</v>
      </c>
      <c r="P470" s="5"/>
      <c r="Q470" s="5"/>
      <c r="R470" s="5"/>
      <c r="S470" s="5"/>
      <c r="U470" s="4" t="s">
        <v>258</v>
      </c>
      <c r="V470" s="4">
        <v>0.9</v>
      </c>
      <c r="W470" s="4">
        <v>0.5</v>
      </c>
      <c r="X470" s="4">
        <v>0.6</v>
      </c>
      <c r="Y470" s="4">
        <v>0.3</v>
      </c>
      <c r="Z470" s="4">
        <v>652.54858400000001</v>
      </c>
      <c r="AA470" s="4">
        <v>3.0000000000000001E-3</v>
      </c>
      <c r="AC470" s="4" t="s">
        <v>258</v>
      </c>
      <c r="AD470" s="4">
        <v>0.9</v>
      </c>
      <c r="AE470" s="4">
        <v>0.5</v>
      </c>
      <c r="AF470" s="4">
        <v>0.6</v>
      </c>
      <c r="AG470" s="4">
        <v>0.02</v>
      </c>
      <c r="AH470" s="6">
        <v>607.12799099999995</v>
      </c>
      <c r="AI470" s="4">
        <v>8.0000000000000002E-3</v>
      </c>
      <c r="AJ470" s="5"/>
      <c r="AK470" s="5"/>
      <c r="AL470" s="5"/>
      <c r="AM470" s="5"/>
      <c r="AO470" s="4" t="s">
        <v>259</v>
      </c>
      <c r="AP470" s="4">
        <v>0.9</v>
      </c>
      <c r="AQ470" s="4">
        <v>0.5</v>
      </c>
      <c r="AR470" s="4">
        <v>0.6</v>
      </c>
      <c r="AS470" s="4">
        <v>0.3</v>
      </c>
      <c r="AT470" s="4">
        <v>1007.91394</v>
      </c>
      <c r="AU470" s="4">
        <v>1.2E-2</v>
      </c>
      <c r="AW470" s="4" t="s">
        <v>259</v>
      </c>
      <c r="AX470" s="4">
        <v>0.9</v>
      </c>
      <c r="AY470" s="4">
        <v>0.5</v>
      </c>
      <c r="AZ470" s="4">
        <v>0.6</v>
      </c>
      <c r="BA470" s="4">
        <v>0.31</v>
      </c>
      <c r="BB470" s="6">
        <v>996.72174099999995</v>
      </c>
      <c r="BC470" s="4">
        <v>2.1999999999999999E-2</v>
      </c>
      <c r="BD470" s="5"/>
      <c r="BE470" s="5"/>
      <c r="BF470" s="5"/>
      <c r="BG470" s="5"/>
      <c r="BI470" s="4" t="s">
        <v>259</v>
      </c>
      <c r="BJ470" s="4">
        <v>0.9</v>
      </c>
      <c r="BK470" s="4">
        <v>0.5</v>
      </c>
      <c r="BL470" s="4">
        <v>0.6</v>
      </c>
      <c r="BM470" s="4">
        <v>0.3</v>
      </c>
      <c r="BN470" s="6">
        <v>983.394226</v>
      </c>
      <c r="BO470" s="4">
        <v>0.01</v>
      </c>
      <c r="BQ470" s="4" t="s">
        <v>259</v>
      </c>
      <c r="BR470" s="4">
        <v>0.9</v>
      </c>
      <c r="BS470" s="4">
        <v>0.5</v>
      </c>
      <c r="BT470" s="4">
        <v>0.6</v>
      </c>
      <c r="BU470" s="4">
        <v>0.41</v>
      </c>
      <c r="BV470" s="4">
        <v>1039.6922609999999</v>
      </c>
      <c r="BW470" s="4">
        <v>2.5999999999999999E-2</v>
      </c>
      <c r="BX470" s="5"/>
      <c r="BY470" s="5"/>
      <c r="BZ470" s="5"/>
      <c r="CA470" s="5"/>
    </row>
    <row r="471" spans="1:79" x14ac:dyDescent="0.3">
      <c r="A471" s="4" t="s">
        <v>260</v>
      </c>
      <c r="B471" s="4">
        <v>0.9</v>
      </c>
      <c r="C471" s="4">
        <v>0.5</v>
      </c>
      <c r="D471" s="4">
        <v>0.6</v>
      </c>
      <c r="E471" s="4">
        <v>0.3</v>
      </c>
      <c r="F471" s="6">
        <v>697.96142599999996</v>
      </c>
      <c r="G471" s="4">
        <v>2E-3</v>
      </c>
      <c r="I471" s="4" t="s">
        <v>260</v>
      </c>
      <c r="J471" s="4">
        <v>0.9</v>
      </c>
      <c r="K471" s="4">
        <v>0.5</v>
      </c>
      <c r="L471" s="4">
        <v>0.6</v>
      </c>
      <c r="M471" s="4">
        <v>0.92</v>
      </c>
      <c r="N471" s="4">
        <v>847.34350600000005</v>
      </c>
      <c r="O471" s="4">
        <v>2.7E-2</v>
      </c>
      <c r="P471" s="5"/>
      <c r="Q471" s="5"/>
      <c r="R471" s="5"/>
      <c r="S471" s="5"/>
      <c r="U471" s="4" t="s">
        <v>260</v>
      </c>
      <c r="V471" s="4">
        <v>0.9</v>
      </c>
      <c r="W471" s="4">
        <v>0.5</v>
      </c>
      <c r="X471" s="4">
        <v>0.6</v>
      </c>
      <c r="Y471" s="4">
        <v>0.3</v>
      </c>
      <c r="Z471" s="6">
        <v>683.41851799999995</v>
      </c>
      <c r="AA471" s="4">
        <v>3.0000000000000001E-3</v>
      </c>
      <c r="AC471" s="4" t="s">
        <v>260</v>
      </c>
      <c r="AD471" s="4">
        <v>0.9</v>
      </c>
      <c r="AE471" s="4">
        <v>0.5</v>
      </c>
      <c r="AF471" s="4">
        <v>0.6</v>
      </c>
      <c r="AG471" s="4">
        <v>0.47</v>
      </c>
      <c r="AH471" s="4">
        <v>737.58679199999995</v>
      </c>
      <c r="AI471" s="4">
        <v>1.7999999999999999E-2</v>
      </c>
      <c r="AJ471" s="5"/>
      <c r="AK471" s="5"/>
      <c r="AL471" s="5"/>
      <c r="AM471" s="5"/>
      <c r="AO471" s="4" t="s">
        <v>261</v>
      </c>
      <c r="AP471" s="4">
        <v>0.9</v>
      </c>
      <c r="AQ471" s="4">
        <v>0.5</v>
      </c>
      <c r="AR471" s="4">
        <v>0.6</v>
      </c>
      <c r="AS471" s="4">
        <v>0.3</v>
      </c>
      <c r="AT471" s="6">
        <v>962.80932600000006</v>
      </c>
      <c r="AU471" s="4">
        <v>8.0000000000000002E-3</v>
      </c>
      <c r="AW471" s="4" t="s">
        <v>261</v>
      </c>
      <c r="AX471" s="4">
        <v>0.9</v>
      </c>
      <c r="AY471" s="4">
        <v>0.5</v>
      </c>
      <c r="AZ471" s="4">
        <v>0.6</v>
      </c>
      <c r="BA471" s="4">
        <v>0.73</v>
      </c>
      <c r="BB471" s="4">
        <v>1085.0585940000001</v>
      </c>
      <c r="BC471" s="4">
        <v>1.7000000000000001E-2</v>
      </c>
      <c r="BD471" s="5"/>
      <c r="BE471" s="5"/>
      <c r="BF471" s="5"/>
      <c r="BG471" s="5"/>
      <c r="BI471" s="4" t="s">
        <v>261</v>
      </c>
      <c r="BJ471" s="4">
        <v>0.9</v>
      </c>
      <c r="BK471" s="4">
        <v>0.5</v>
      </c>
      <c r="BL471" s="4">
        <v>0.6</v>
      </c>
      <c r="BM471" s="4">
        <v>0.3</v>
      </c>
      <c r="BN471" s="4">
        <v>924.55017099999998</v>
      </c>
      <c r="BO471" s="4">
        <v>8.9999999999999993E-3</v>
      </c>
      <c r="BQ471" s="4" t="s">
        <v>261</v>
      </c>
      <c r="BR471" s="4">
        <v>0.9</v>
      </c>
      <c r="BS471" s="4">
        <v>0.5</v>
      </c>
      <c r="BT471" s="4">
        <v>0.6</v>
      </c>
      <c r="BU471" s="4">
        <v>0.05</v>
      </c>
      <c r="BV471" s="6">
        <v>778.96582000000001</v>
      </c>
      <c r="BW471" s="4">
        <v>0.02</v>
      </c>
      <c r="BX471" s="5"/>
      <c r="BY471" s="5"/>
      <c r="BZ471" s="5"/>
      <c r="CA471" s="5"/>
    </row>
    <row r="472" spans="1:79" x14ac:dyDescent="0.3">
      <c r="A472" s="4" t="s">
        <v>262</v>
      </c>
      <c r="B472" s="4">
        <v>0.9</v>
      </c>
      <c r="C472" s="4">
        <v>0.5</v>
      </c>
      <c r="D472" s="4">
        <v>0.6</v>
      </c>
      <c r="E472" s="4">
        <v>0.3</v>
      </c>
      <c r="F472" s="6">
        <v>734.44390899999996</v>
      </c>
      <c r="G472" s="4">
        <v>3.0000000000000001E-3</v>
      </c>
      <c r="I472" s="4" t="s">
        <v>262</v>
      </c>
      <c r="J472" s="4">
        <v>0.9</v>
      </c>
      <c r="K472" s="4">
        <v>0.5</v>
      </c>
      <c r="L472" s="4">
        <v>0.6</v>
      </c>
      <c r="M472" s="4">
        <v>0.83</v>
      </c>
      <c r="N472" s="4">
        <v>914.89080799999999</v>
      </c>
      <c r="O472" s="4">
        <v>8.0000000000000002E-3</v>
      </c>
      <c r="P472" s="5"/>
      <c r="Q472" s="5"/>
      <c r="R472" s="5"/>
      <c r="S472" s="5"/>
      <c r="U472" s="4" t="s">
        <v>262</v>
      </c>
      <c r="V472" s="4">
        <v>0.9</v>
      </c>
      <c r="W472" s="4">
        <v>0.5</v>
      </c>
      <c r="X472" s="4">
        <v>0.6</v>
      </c>
      <c r="Y472" s="4">
        <v>0.3</v>
      </c>
      <c r="Z472" s="6">
        <v>719.38476600000001</v>
      </c>
      <c r="AA472" s="4">
        <v>5.0000000000000001E-3</v>
      </c>
      <c r="AC472" s="4" t="s">
        <v>262</v>
      </c>
      <c r="AD472" s="4">
        <v>0.9</v>
      </c>
      <c r="AE472" s="4">
        <v>0.5</v>
      </c>
      <c r="AF472" s="4">
        <v>0.6</v>
      </c>
      <c r="AG472" s="4">
        <v>0.73</v>
      </c>
      <c r="AH472" s="4">
        <v>875.20459000000005</v>
      </c>
      <c r="AI472" s="4">
        <v>1.7000000000000001E-2</v>
      </c>
      <c r="AJ472" s="5"/>
      <c r="AK472" s="5"/>
      <c r="AL472" s="5"/>
      <c r="AM472" s="5"/>
      <c r="AO472" s="4" t="s">
        <v>263</v>
      </c>
      <c r="AP472" s="4">
        <v>0.9</v>
      </c>
      <c r="AQ472" s="4">
        <v>0.5</v>
      </c>
      <c r="AR472" s="4">
        <v>0.6</v>
      </c>
      <c r="AS472" s="4">
        <v>0.3</v>
      </c>
      <c r="AT472" s="6">
        <v>1004.8526000000001</v>
      </c>
      <c r="AU472" s="4">
        <v>1.0999999999999999E-2</v>
      </c>
      <c r="AW472" s="4" t="s">
        <v>263</v>
      </c>
      <c r="AX472" s="4">
        <v>0.9</v>
      </c>
      <c r="AY472" s="4">
        <v>0.5</v>
      </c>
      <c r="AZ472" s="4">
        <v>0.6</v>
      </c>
      <c r="BA472" s="4">
        <v>0.88</v>
      </c>
      <c r="BB472" s="4">
        <v>1136.5478519999999</v>
      </c>
      <c r="BC472" s="4">
        <v>1.9E-2</v>
      </c>
      <c r="BD472" s="5"/>
      <c r="BE472" s="5"/>
      <c r="BF472" s="5"/>
      <c r="BG472" s="5"/>
      <c r="BI472" s="4" t="s">
        <v>263</v>
      </c>
      <c r="BJ472" s="4">
        <v>0.9</v>
      </c>
      <c r="BK472" s="4">
        <v>0.5</v>
      </c>
      <c r="BL472" s="4">
        <v>0.6</v>
      </c>
      <c r="BM472" s="4">
        <v>0.3</v>
      </c>
      <c r="BN472" s="6">
        <v>973.24841300000003</v>
      </c>
      <c r="BO472" s="4">
        <v>8.9999999999999993E-3</v>
      </c>
      <c r="BQ472" s="4" t="s">
        <v>263</v>
      </c>
      <c r="BR472" s="4">
        <v>0.9</v>
      </c>
      <c r="BS472" s="4">
        <v>0.5</v>
      </c>
      <c r="BT472" s="4">
        <v>0.6</v>
      </c>
      <c r="BU472" s="4">
        <v>0.42</v>
      </c>
      <c r="BV472" s="4">
        <v>1016.462524</v>
      </c>
      <c r="BW472" s="4">
        <v>1.7999999999999999E-2</v>
      </c>
      <c r="BX472" s="5"/>
      <c r="BY472" s="5"/>
      <c r="BZ472" s="5"/>
      <c r="CA472" s="5"/>
    </row>
    <row r="473" spans="1:79" x14ac:dyDescent="0.3">
      <c r="A473" s="4" t="s">
        <v>264</v>
      </c>
      <c r="B473" s="4">
        <v>0.9</v>
      </c>
      <c r="C473" s="4">
        <v>0.5</v>
      </c>
      <c r="D473" s="4">
        <v>0.6</v>
      </c>
      <c r="E473" s="4">
        <v>0.3</v>
      </c>
      <c r="F473" s="6">
        <v>718.62316899999996</v>
      </c>
      <c r="G473" s="4">
        <v>2E-3</v>
      </c>
      <c r="I473" s="4" t="s">
        <v>264</v>
      </c>
      <c r="J473" s="4">
        <v>0.9</v>
      </c>
      <c r="K473" s="4">
        <v>0.5</v>
      </c>
      <c r="L473" s="4">
        <v>0.6</v>
      </c>
      <c r="M473" s="4">
        <v>0.37</v>
      </c>
      <c r="N473" s="4">
        <v>752.85467500000004</v>
      </c>
      <c r="O473" s="4">
        <v>2.5000000000000001E-2</v>
      </c>
      <c r="P473" s="5"/>
      <c r="Q473" s="5"/>
      <c r="R473" s="5"/>
      <c r="S473" s="5"/>
      <c r="U473" s="4" t="s">
        <v>264</v>
      </c>
      <c r="V473" s="4">
        <v>0.9</v>
      </c>
      <c r="W473" s="4">
        <v>0.5</v>
      </c>
      <c r="X473" s="4">
        <v>0.6</v>
      </c>
      <c r="Y473" s="4">
        <v>0.3</v>
      </c>
      <c r="Z473" s="4">
        <v>709.68646200000001</v>
      </c>
      <c r="AA473" s="4">
        <v>3.0000000000000001E-3</v>
      </c>
      <c r="AC473" s="4" t="s">
        <v>264</v>
      </c>
      <c r="AD473" s="4">
        <v>0.9</v>
      </c>
      <c r="AE473" s="4">
        <v>0.5</v>
      </c>
      <c r="AF473" s="4">
        <v>0.6</v>
      </c>
      <c r="AG473" s="4">
        <v>0.01</v>
      </c>
      <c r="AH473" s="6">
        <v>636.85681199999999</v>
      </c>
      <c r="AI473" s="4">
        <v>0.02</v>
      </c>
      <c r="AJ473" s="5"/>
      <c r="AK473" s="5"/>
      <c r="AL473" s="5"/>
      <c r="AM473" s="5"/>
      <c r="AO473" s="4" t="s">
        <v>265</v>
      </c>
      <c r="AP473" s="4">
        <v>0.9</v>
      </c>
      <c r="AQ473" s="4">
        <v>0.5</v>
      </c>
      <c r="AR473" s="4">
        <v>0.6</v>
      </c>
      <c r="AS473" s="4">
        <v>0.3</v>
      </c>
      <c r="AT473" s="6">
        <v>988.555969</v>
      </c>
      <c r="AU473" s="4">
        <v>8.9999999999999993E-3</v>
      </c>
      <c r="AW473" s="4" t="s">
        <v>265</v>
      </c>
      <c r="AX473" s="4">
        <v>0.9</v>
      </c>
      <c r="AY473" s="4">
        <v>0.5</v>
      </c>
      <c r="AZ473" s="4">
        <v>0.6</v>
      </c>
      <c r="BA473" s="4">
        <v>0.74</v>
      </c>
      <c r="BB473" s="4">
        <v>1136.1951899999999</v>
      </c>
      <c r="BC473" s="4">
        <v>2.9000000000000001E-2</v>
      </c>
      <c r="BD473" s="5"/>
      <c r="BE473" s="5"/>
      <c r="BF473" s="5"/>
      <c r="BG473" s="5"/>
      <c r="BI473" s="4" t="s">
        <v>265</v>
      </c>
      <c r="BJ473" s="4">
        <v>0.9</v>
      </c>
      <c r="BK473" s="4">
        <v>0.5</v>
      </c>
      <c r="BL473" s="4">
        <v>0.6</v>
      </c>
      <c r="BM473" s="4">
        <v>0.3</v>
      </c>
      <c r="BN473" s="6">
        <v>941.50958300000002</v>
      </c>
      <c r="BO473" s="4">
        <v>8.0000000000000002E-3</v>
      </c>
      <c r="BQ473" s="4" t="s">
        <v>265</v>
      </c>
      <c r="BR473" s="4">
        <v>0.9</v>
      </c>
      <c r="BS473" s="4">
        <v>0.5</v>
      </c>
      <c r="BT473" s="4">
        <v>0.6</v>
      </c>
      <c r="BU473" s="4">
        <v>0.82</v>
      </c>
      <c r="BV473" s="4">
        <v>1104.882202</v>
      </c>
      <c r="BW473" s="4">
        <v>2.1000000000000001E-2</v>
      </c>
      <c r="BX473" s="5"/>
      <c r="BY473" s="5"/>
      <c r="BZ473" s="5"/>
      <c r="CA473" s="5"/>
    </row>
    <row r="474" spans="1:79" x14ac:dyDescent="0.3">
      <c r="A474" s="4" t="s">
        <v>266</v>
      </c>
      <c r="B474" s="4">
        <v>0.9</v>
      </c>
      <c r="C474" s="4">
        <v>0.5</v>
      </c>
      <c r="D474" s="4">
        <v>0.6</v>
      </c>
      <c r="E474" s="4">
        <v>0.3</v>
      </c>
      <c r="F474" s="6">
        <v>637.82653800000003</v>
      </c>
      <c r="G474" s="4">
        <v>3.0000000000000001E-3</v>
      </c>
      <c r="I474" s="4" t="s">
        <v>266</v>
      </c>
      <c r="J474" s="4">
        <v>0.9</v>
      </c>
      <c r="K474" s="4">
        <v>0.5</v>
      </c>
      <c r="L474" s="4">
        <v>0.6</v>
      </c>
      <c r="M474" s="4">
        <v>0.83</v>
      </c>
      <c r="N474" s="4">
        <v>714.69348100000002</v>
      </c>
      <c r="O474" s="4">
        <v>0.02</v>
      </c>
      <c r="P474" s="5"/>
      <c r="Q474" s="5"/>
      <c r="R474" s="5"/>
      <c r="S474" s="5"/>
      <c r="U474" s="4" t="s">
        <v>266</v>
      </c>
      <c r="V474" s="4">
        <v>0.9</v>
      </c>
      <c r="W474" s="4">
        <v>0.5</v>
      </c>
      <c r="X474" s="4">
        <v>0.6</v>
      </c>
      <c r="Y474" s="4">
        <v>0.3</v>
      </c>
      <c r="Z474" s="6">
        <v>615.61096199999997</v>
      </c>
      <c r="AA474" s="4">
        <v>3.0000000000000001E-3</v>
      </c>
      <c r="AC474" s="4" t="s">
        <v>266</v>
      </c>
      <c r="AD474" s="4">
        <v>0.9</v>
      </c>
      <c r="AE474" s="4">
        <v>0.5</v>
      </c>
      <c r="AF474" s="4">
        <v>0.6</v>
      </c>
      <c r="AG474" s="4">
        <v>0.39</v>
      </c>
      <c r="AH474" s="4">
        <v>641.30242899999996</v>
      </c>
      <c r="AI474" s="4">
        <v>3.4000000000000002E-2</v>
      </c>
      <c r="AJ474" s="5"/>
      <c r="AK474" s="5"/>
      <c r="AL474" s="5"/>
      <c r="AM474" s="5"/>
      <c r="AO474" s="4" t="s">
        <v>267</v>
      </c>
      <c r="AP474" s="4">
        <v>0.9</v>
      </c>
      <c r="AQ474" s="4">
        <v>0.5</v>
      </c>
      <c r="AR474" s="4">
        <v>0.6</v>
      </c>
      <c r="AS474" s="4">
        <v>0.3</v>
      </c>
      <c r="AT474" s="6">
        <v>1027.5726320000001</v>
      </c>
      <c r="AU474" s="4">
        <v>1.2999999999999999E-2</v>
      </c>
      <c r="AW474" s="4" t="s">
        <v>267</v>
      </c>
      <c r="AX474" s="4">
        <v>0.9</v>
      </c>
      <c r="AY474" s="4">
        <v>0.5</v>
      </c>
      <c r="AZ474" s="4">
        <v>0.6</v>
      </c>
      <c r="BA474" s="4">
        <v>0.06</v>
      </c>
      <c r="BB474" s="4">
        <v>878.83673099999999</v>
      </c>
      <c r="BC474" s="4">
        <v>1.0999999999999999E-2</v>
      </c>
      <c r="BD474" s="5"/>
      <c r="BE474" s="5"/>
      <c r="BF474" s="5"/>
      <c r="BG474" s="5"/>
      <c r="BI474" s="4" t="s">
        <v>267</v>
      </c>
      <c r="BJ474" s="4">
        <v>0.9</v>
      </c>
      <c r="BK474" s="4">
        <v>0.5</v>
      </c>
      <c r="BL474" s="4">
        <v>0.6</v>
      </c>
      <c r="BM474" s="4">
        <v>0.3</v>
      </c>
      <c r="BN474" s="4">
        <v>988.90533400000004</v>
      </c>
      <c r="BO474" s="4">
        <v>1.2E-2</v>
      </c>
      <c r="BQ474" s="4" t="s">
        <v>267</v>
      </c>
      <c r="BR474" s="4">
        <v>0.9</v>
      </c>
      <c r="BS474" s="4">
        <v>0.5</v>
      </c>
      <c r="BT474" s="4">
        <v>0.6</v>
      </c>
      <c r="BU474" s="4">
        <v>0.19</v>
      </c>
      <c r="BV474" s="6">
        <v>927.74005099999999</v>
      </c>
      <c r="BW474" s="4">
        <v>3.2000000000000001E-2</v>
      </c>
      <c r="BX474" s="5"/>
      <c r="BY474" s="5"/>
      <c r="BZ474" s="5"/>
      <c r="CA474" s="5"/>
    </row>
    <row r="475" spans="1:79" x14ac:dyDescent="0.3">
      <c r="A475" s="4" t="s">
        <v>268</v>
      </c>
      <c r="B475" s="4">
        <v>0.9</v>
      </c>
      <c r="C475" s="4">
        <v>0.5</v>
      </c>
      <c r="D475" s="4">
        <v>0.6</v>
      </c>
      <c r="E475" s="4">
        <v>0.3</v>
      </c>
      <c r="F475" s="6">
        <v>712.04998799999998</v>
      </c>
      <c r="G475" s="4">
        <v>2E-3</v>
      </c>
      <c r="I475" s="4" t="s">
        <v>268</v>
      </c>
      <c r="J475" s="4">
        <v>0.9</v>
      </c>
      <c r="K475" s="4">
        <v>0.5</v>
      </c>
      <c r="L475" s="4">
        <v>0.6</v>
      </c>
      <c r="M475" s="4">
        <v>0.78</v>
      </c>
      <c r="N475" s="4">
        <v>799.45929000000001</v>
      </c>
      <c r="O475" s="4">
        <v>1.6E-2</v>
      </c>
      <c r="P475" s="5"/>
      <c r="Q475" s="5"/>
      <c r="R475" s="5"/>
      <c r="S475" s="5"/>
      <c r="U475" s="4" t="s">
        <v>268</v>
      </c>
      <c r="V475" s="4">
        <v>0.9</v>
      </c>
      <c r="W475" s="4">
        <v>0.5</v>
      </c>
      <c r="X475" s="4">
        <v>0.6</v>
      </c>
      <c r="Y475" s="4">
        <v>0.3</v>
      </c>
      <c r="Z475" s="6">
        <v>690.87085000000002</v>
      </c>
      <c r="AA475" s="4">
        <v>4.0000000000000001E-3</v>
      </c>
      <c r="AC475" s="4" t="s">
        <v>268</v>
      </c>
      <c r="AD475" s="4">
        <v>0.9</v>
      </c>
      <c r="AE475" s="4">
        <v>0.5</v>
      </c>
      <c r="AF475" s="4">
        <v>0.6</v>
      </c>
      <c r="AG475" s="4">
        <v>0.78</v>
      </c>
      <c r="AH475" s="4">
        <v>762.62524399999995</v>
      </c>
      <c r="AI475" s="4">
        <v>1.0999999999999999E-2</v>
      </c>
      <c r="AJ475" s="5"/>
      <c r="AK475" s="5"/>
      <c r="AL475" s="5"/>
      <c r="AM475" s="5"/>
      <c r="AO475" s="4" t="s">
        <v>269</v>
      </c>
      <c r="AP475" s="4">
        <v>0.9</v>
      </c>
      <c r="AQ475" s="4">
        <v>0.5</v>
      </c>
      <c r="AR475" s="4">
        <v>0.6</v>
      </c>
      <c r="AS475" s="4">
        <v>0.3</v>
      </c>
      <c r="AT475" s="6">
        <v>969.58935499999995</v>
      </c>
      <c r="AU475" s="4">
        <v>8.9999999999999993E-3</v>
      </c>
      <c r="AW475" s="4" t="s">
        <v>269</v>
      </c>
      <c r="AX475" s="4">
        <v>0.9</v>
      </c>
      <c r="AY475" s="4">
        <v>0.5</v>
      </c>
      <c r="AZ475" s="4">
        <v>0.6</v>
      </c>
      <c r="BA475" s="4">
        <v>0.93</v>
      </c>
      <c r="BB475" s="4">
        <v>1122.5703120000001</v>
      </c>
      <c r="BC475" s="4">
        <v>2.8000000000000001E-2</v>
      </c>
      <c r="BD475" s="5"/>
      <c r="BE475" s="5"/>
      <c r="BF475" s="5"/>
      <c r="BG475" s="5"/>
      <c r="BI475" s="4" t="s">
        <v>269</v>
      </c>
      <c r="BJ475" s="4">
        <v>0.9</v>
      </c>
      <c r="BK475" s="4">
        <v>0.5</v>
      </c>
      <c r="BL475" s="4">
        <v>0.6</v>
      </c>
      <c r="BM475" s="4">
        <v>0.3</v>
      </c>
      <c r="BN475" s="4">
        <v>949.79840100000001</v>
      </c>
      <c r="BO475" s="4">
        <v>1.2999999999999999E-2</v>
      </c>
      <c r="BQ475" s="4" t="s">
        <v>269</v>
      </c>
      <c r="BR475" s="4">
        <v>0.9</v>
      </c>
      <c r="BS475" s="4">
        <v>0.5</v>
      </c>
      <c r="BT475" s="4">
        <v>0.6</v>
      </c>
      <c r="BU475" s="4">
        <v>0.09</v>
      </c>
      <c r="BV475" s="6">
        <v>803.07556199999999</v>
      </c>
      <c r="BW475" s="4">
        <v>1.4999999999999999E-2</v>
      </c>
      <c r="BX475" s="5"/>
      <c r="BY475" s="5"/>
      <c r="BZ475" s="5"/>
      <c r="CA475" s="5"/>
    </row>
    <row r="476" spans="1:79" x14ac:dyDescent="0.3">
      <c r="A476" s="4" t="s">
        <v>270</v>
      </c>
      <c r="B476" s="4">
        <v>0.9</v>
      </c>
      <c r="C476" s="4">
        <v>0.5</v>
      </c>
      <c r="D476" s="4">
        <v>0.6</v>
      </c>
      <c r="E476" s="4">
        <v>0.3</v>
      </c>
      <c r="F476" s="6">
        <v>622.64617899999996</v>
      </c>
      <c r="G476" s="4">
        <v>3.0000000000000001E-3</v>
      </c>
      <c r="I476" s="4" t="s">
        <v>270</v>
      </c>
      <c r="J476" s="4">
        <v>0.9</v>
      </c>
      <c r="K476" s="4">
        <v>0.5</v>
      </c>
      <c r="L476" s="4">
        <v>0.6</v>
      </c>
      <c r="M476" s="4">
        <v>0.52</v>
      </c>
      <c r="N476" s="4">
        <v>671.05676300000005</v>
      </c>
      <c r="O476" s="4">
        <v>1.0999999999999999E-2</v>
      </c>
      <c r="P476" s="5"/>
      <c r="Q476" s="5"/>
      <c r="R476" s="5"/>
      <c r="S476" s="5"/>
      <c r="U476" s="4" t="s">
        <v>270</v>
      </c>
      <c r="V476" s="4">
        <v>0.9</v>
      </c>
      <c r="W476" s="4">
        <v>0.5</v>
      </c>
      <c r="X476" s="4">
        <v>0.6</v>
      </c>
      <c r="Y476" s="4">
        <v>0.3</v>
      </c>
      <c r="Z476" s="4">
        <v>581.98962400000005</v>
      </c>
      <c r="AA476" s="4">
        <v>3.0000000000000001E-3</v>
      </c>
      <c r="AC476" s="4" t="s">
        <v>270</v>
      </c>
      <c r="AD476" s="4">
        <v>0.9</v>
      </c>
      <c r="AE476" s="4">
        <v>0.5</v>
      </c>
      <c r="AF476" s="4">
        <v>0.6</v>
      </c>
      <c r="AG476" s="4">
        <v>0.21</v>
      </c>
      <c r="AH476" s="6">
        <v>554.49035600000002</v>
      </c>
      <c r="AI476" s="4">
        <v>2.5999999999999999E-2</v>
      </c>
      <c r="AJ476" s="5"/>
      <c r="AK476" s="5"/>
      <c r="AL476" s="5"/>
      <c r="AM476" s="5"/>
      <c r="AO476" s="4" t="s">
        <v>271</v>
      </c>
      <c r="AP476" s="4">
        <v>0.9</v>
      </c>
      <c r="AQ476" s="4">
        <v>0.5</v>
      </c>
      <c r="AR476" s="4">
        <v>0.6</v>
      </c>
      <c r="AS476" s="4">
        <v>0.3</v>
      </c>
      <c r="AT476" s="6">
        <v>986.65966800000001</v>
      </c>
      <c r="AU476" s="4">
        <v>1.2E-2</v>
      </c>
      <c r="AW476" s="4" t="s">
        <v>271</v>
      </c>
      <c r="AX476" s="4">
        <v>0.9</v>
      </c>
      <c r="AY476" s="4">
        <v>0.5</v>
      </c>
      <c r="AZ476" s="4">
        <v>0.6</v>
      </c>
      <c r="BA476" s="4">
        <v>0.95</v>
      </c>
      <c r="BB476" s="4">
        <v>1142.7146</v>
      </c>
      <c r="BC476" s="4">
        <v>2.3E-2</v>
      </c>
      <c r="BD476" s="5"/>
      <c r="BE476" s="5"/>
      <c r="BF476" s="5"/>
      <c r="BG476" s="5"/>
      <c r="BI476" s="4" t="s">
        <v>271</v>
      </c>
      <c r="BJ476" s="4">
        <v>0.9</v>
      </c>
      <c r="BK476" s="4">
        <v>0.5</v>
      </c>
      <c r="BL476" s="4">
        <v>0.6</v>
      </c>
      <c r="BM476" s="4">
        <v>0.3</v>
      </c>
      <c r="BN476" s="4">
        <v>952.22113000000002</v>
      </c>
      <c r="BO476" s="4">
        <v>1.6E-2</v>
      </c>
      <c r="BQ476" s="4" t="s">
        <v>271</v>
      </c>
      <c r="BR476" s="4">
        <v>0.9</v>
      </c>
      <c r="BS476" s="4">
        <v>0.5</v>
      </c>
      <c r="BT476" s="4">
        <v>0.6</v>
      </c>
      <c r="BU476" s="4">
        <v>0.02</v>
      </c>
      <c r="BV476" s="6">
        <v>754.55291699999998</v>
      </c>
      <c r="BW476" s="4">
        <v>2.8000000000000001E-2</v>
      </c>
      <c r="BX476" s="5"/>
      <c r="BY476" s="5"/>
      <c r="BZ476" s="5"/>
      <c r="CA476" s="5"/>
    </row>
    <row r="477" spans="1:79" x14ac:dyDescent="0.3">
      <c r="A477" s="4" t="s">
        <v>272</v>
      </c>
      <c r="B477" s="4">
        <v>0.9</v>
      </c>
      <c r="C477" s="4">
        <v>0.5</v>
      </c>
      <c r="D477" s="4">
        <v>0.6</v>
      </c>
      <c r="E477" s="4">
        <v>0.3</v>
      </c>
      <c r="F477" s="6">
        <v>755.72161900000003</v>
      </c>
      <c r="G477" s="4">
        <v>2E-3</v>
      </c>
      <c r="I477" s="4" t="s">
        <v>272</v>
      </c>
      <c r="J477" s="4">
        <v>0.9</v>
      </c>
      <c r="K477" s="4">
        <v>0.5</v>
      </c>
      <c r="L477" s="4">
        <v>0.6</v>
      </c>
      <c r="M477" s="4">
        <v>0.28000000000000003</v>
      </c>
      <c r="N477" s="4">
        <v>761.46527100000003</v>
      </c>
      <c r="O477" s="4">
        <v>8.0000000000000002E-3</v>
      </c>
      <c r="P477" s="5"/>
      <c r="Q477" s="5"/>
      <c r="R477" s="5"/>
      <c r="S477" s="5"/>
      <c r="U477" s="4" t="s">
        <v>272</v>
      </c>
      <c r="V477" s="4">
        <v>0.9</v>
      </c>
      <c r="W477" s="4">
        <v>0.5</v>
      </c>
      <c r="X477" s="4">
        <v>0.6</v>
      </c>
      <c r="Y477" s="4">
        <v>0.3</v>
      </c>
      <c r="Z477" s="6">
        <v>756.42785600000002</v>
      </c>
      <c r="AA477" s="4">
        <v>7.0000000000000001E-3</v>
      </c>
      <c r="AC477" s="4" t="s">
        <v>272</v>
      </c>
      <c r="AD477" s="4">
        <v>0.9</v>
      </c>
      <c r="AE477" s="4">
        <v>0.5</v>
      </c>
      <c r="AF477" s="4">
        <v>0.6</v>
      </c>
      <c r="AG477" s="4">
        <v>0.65</v>
      </c>
      <c r="AH477" s="4">
        <v>878.56677200000001</v>
      </c>
      <c r="AI477" s="4">
        <v>2.7E-2</v>
      </c>
      <c r="AJ477" s="5"/>
      <c r="AK477" s="5"/>
      <c r="AL477" s="5"/>
      <c r="AM477" s="5"/>
      <c r="AO477" s="4" t="s">
        <v>273</v>
      </c>
      <c r="AP477" s="4">
        <v>0.9</v>
      </c>
      <c r="AQ477" s="4">
        <v>0.5</v>
      </c>
      <c r="AR477" s="4">
        <v>0.6</v>
      </c>
      <c r="AS477" s="4">
        <v>0.3</v>
      </c>
      <c r="AT477" s="4">
        <v>1018.851196</v>
      </c>
      <c r="AU477" s="4">
        <v>1.2999999999999999E-2</v>
      </c>
      <c r="AW477" s="4" t="s">
        <v>273</v>
      </c>
      <c r="AX477" s="4">
        <v>0.9</v>
      </c>
      <c r="AY477" s="4">
        <v>0.5</v>
      </c>
      <c r="AZ477" s="4">
        <v>0.6</v>
      </c>
      <c r="BA477" s="4">
        <v>0.2</v>
      </c>
      <c r="BB477" s="6">
        <v>956.21557600000006</v>
      </c>
      <c r="BC477" s="4">
        <v>3.1E-2</v>
      </c>
      <c r="BD477" s="5"/>
      <c r="BE477" s="5"/>
      <c r="BF477" s="5"/>
      <c r="BG477" s="5"/>
      <c r="BI477" s="4" t="s">
        <v>273</v>
      </c>
      <c r="BJ477" s="4">
        <v>0.9</v>
      </c>
      <c r="BK477" s="4">
        <v>0.5</v>
      </c>
      <c r="BL477" s="4">
        <v>0.6</v>
      </c>
      <c r="BM477" s="4">
        <v>0.3</v>
      </c>
      <c r="BN477" s="4">
        <v>989.233521</v>
      </c>
      <c r="BO477" s="4">
        <v>1.2999999999999999E-2</v>
      </c>
      <c r="BQ477" s="4" t="s">
        <v>273</v>
      </c>
      <c r="BR477" s="4">
        <v>0.9</v>
      </c>
      <c r="BS477" s="4">
        <v>0.5</v>
      </c>
      <c r="BT477" s="4">
        <v>0.6</v>
      </c>
      <c r="BU477" s="4">
        <v>0.01</v>
      </c>
      <c r="BV477" s="6">
        <v>866.97851600000001</v>
      </c>
      <c r="BW477" s="4">
        <v>1.2E-2</v>
      </c>
      <c r="BX477" s="5"/>
      <c r="BY477" s="5"/>
      <c r="BZ477" s="5"/>
      <c r="CA477" s="5"/>
    </row>
    <row r="478" spans="1:79" x14ac:dyDescent="0.3">
      <c r="A478" s="4" t="s">
        <v>274</v>
      </c>
      <c r="B478" s="4">
        <v>0.9</v>
      </c>
      <c r="C478" s="4">
        <v>0.5</v>
      </c>
      <c r="D478" s="4">
        <v>0.6</v>
      </c>
      <c r="E478" s="4">
        <v>0.3</v>
      </c>
      <c r="F478" s="4">
        <v>796.67962599999998</v>
      </c>
      <c r="G478" s="4">
        <v>3.0000000000000001E-3</v>
      </c>
      <c r="I478" s="4" t="s">
        <v>274</v>
      </c>
      <c r="J478" s="4">
        <v>0.9</v>
      </c>
      <c r="K478" s="4">
        <v>0.5</v>
      </c>
      <c r="L478" s="4">
        <v>0.6</v>
      </c>
      <c r="M478" s="4">
        <v>0.05</v>
      </c>
      <c r="N478" s="6">
        <v>728.07940699999995</v>
      </c>
      <c r="O478" s="4">
        <v>1.4E-2</v>
      </c>
      <c r="P478" s="5"/>
      <c r="Q478" s="5"/>
      <c r="R478" s="5"/>
      <c r="S478" s="5"/>
      <c r="U478" s="4" t="s">
        <v>274</v>
      </c>
      <c r="V478" s="4">
        <v>0.9</v>
      </c>
      <c r="W478" s="4">
        <v>0.5</v>
      </c>
      <c r="X478" s="4">
        <v>0.6</v>
      </c>
      <c r="Y478" s="4">
        <v>0.3</v>
      </c>
      <c r="Z478" s="4">
        <v>813.49890100000005</v>
      </c>
      <c r="AA478" s="4">
        <v>4.0000000000000001E-3</v>
      </c>
      <c r="AC478" s="4" t="s">
        <v>274</v>
      </c>
      <c r="AD478" s="4">
        <v>0.9</v>
      </c>
      <c r="AE478" s="4">
        <v>0.5</v>
      </c>
      <c r="AF478" s="4">
        <v>0.6</v>
      </c>
      <c r="AG478" s="4">
        <v>0.03</v>
      </c>
      <c r="AH478" s="6">
        <v>706.527466</v>
      </c>
      <c r="AI478" s="4">
        <v>1.6E-2</v>
      </c>
      <c r="AJ478" s="5"/>
      <c r="AK478" s="5"/>
      <c r="AL478" s="5"/>
      <c r="AM478" s="5"/>
      <c r="AO478" s="4" t="s">
        <v>275</v>
      </c>
      <c r="AP478" s="4">
        <v>0.9</v>
      </c>
      <c r="AQ478" s="4">
        <v>0.5</v>
      </c>
      <c r="AR478" s="4">
        <v>0.6</v>
      </c>
      <c r="AS478" s="4">
        <v>0.3</v>
      </c>
      <c r="AT478" s="6">
        <v>1099.8032229999999</v>
      </c>
      <c r="AU478" s="4">
        <v>1.0999999999999999E-2</v>
      </c>
      <c r="AW478" s="4" t="s">
        <v>275</v>
      </c>
      <c r="AX478" s="4">
        <v>0.9</v>
      </c>
      <c r="AY478" s="4">
        <v>0.5</v>
      </c>
      <c r="AZ478" s="4">
        <v>0.6</v>
      </c>
      <c r="BA478" s="4">
        <v>0.79</v>
      </c>
      <c r="BB478" s="4">
        <v>1299.4461670000001</v>
      </c>
      <c r="BC478" s="4">
        <v>1.4E-2</v>
      </c>
      <c r="BD478" s="5"/>
      <c r="BE478" s="5"/>
      <c r="BF478" s="5"/>
      <c r="BG478" s="5"/>
      <c r="BI478" s="4" t="s">
        <v>275</v>
      </c>
      <c r="BJ478" s="4">
        <v>0.9</v>
      </c>
      <c r="BK478" s="4">
        <v>0.5</v>
      </c>
      <c r="BL478" s="4">
        <v>0.6</v>
      </c>
      <c r="BM478" s="4">
        <v>0.3</v>
      </c>
      <c r="BN478" s="4">
        <v>1084.2973629999999</v>
      </c>
      <c r="BO478" s="4">
        <v>1.2999999999999999E-2</v>
      </c>
      <c r="BQ478" s="4" t="s">
        <v>275</v>
      </c>
      <c r="BR478" s="4">
        <v>0.9</v>
      </c>
      <c r="BS478" s="4">
        <v>0.5</v>
      </c>
      <c r="BT478" s="4">
        <v>0.6</v>
      </c>
      <c r="BU478" s="4">
        <v>0.16</v>
      </c>
      <c r="BV478" s="6">
        <v>1014.754517</v>
      </c>
      <c r="BW478" s="4">
        <v>1.4E-2</v>
      </c>
      <c r="BX478" s="5"/>
      <c r="BY478" s="5"/>
      <c r="BZ478" s="5"/>
      <c r="CA478" s="5"/>
    </row>
    <row r="479" spans="1:79" x14ac:dyDescent="0.3">
      <c r="A479" s="4" t="s">
        <v>276</v>
      </c>
      <c r="B479" s="4">
        <v>0.9</v>
      </c>
      <c r="C479" s="4">
        <v>0.5</v>
      </c>
      <c r="D479" s="4">
        <v>0.6</v>
      </c>
      <c r="E479" s="4">
        <v>0.3</v>
      </c>
      <c r="F479" s="6">
        <v>690.06048599999997</v>
      </c>
      <c r="G479" s="4">
        <v>3.0000000000000001E-3</v>
      </c>
      <c r="I479" s="4" t="s">
        <v>276</v>
      </c>
      <c r="J479" s="4">
        <v>0.9</v>
      </c>
      <c r="K479" s="4">
        <v>0.5</v>
      </c>
      <c r="L479" s="4">
        <v>0.6</v>
      </c>
      <c r="M479" s="4">
        <v>0.91</v>
      </c>
      <c r="N479" s="4">
        <v>858.96881099999996</v>
      </c>
      <c r="O479" s="4">
        <v>3.7999999999999999E-2</v>
      </c>
      <c r="P479" s="5"/>
      <c r="Q479" s="5"/>
      <c r="R479" s="5"/>
      <c r="S479" s="5"/>
      <c r="U479" s="4" t="s">
        <v>276</v>
      </c>
      <c r="V479" s="4">
        <v>0.9</v>
      </c>
      <c r="W479" s="4">
        <v>0.5</v>
      </c>
      <c r="X479" s="4">
        <v>0.6</v>
      </c>
      <c r="Y479" s="4">
        <v>0.3</v>
      </c>
      <c r="Z479" s="6">
        <v>687.54638699999998</v>
      </c>
      <c r="AA479" s="4">
        <v>4.0000000000000001E-3</v>
      </c>
      <c r="AC479" s="4" t="s">
        <v>276</v>
      </c>
      <c r="AD479" s="4">
        <v>0.9</v>
      </c>
      <c r="AE479" s="4">
        <v>0.5</v>
      </c>
      <c r="AF479" s="4">
        <v>0.6</v>
      </c>
      <c r="AG479" s="4">
        <v>0.99</v>
      </c>
      <c r="AH479" s="4">
        <v>897.96875</v>
      </c>
      <c r="AI479" s="4">
        <v>2.1000000000000001E-2</v>
      </c>
      <c r="AJ479" s="5"/>
      <c r="AK479" s="5"/>
      <c r="AL479" s="5"/>
      <c r="AM479" s="5"/>
      <c r="AO479" s="4" t="s">
        <v>277</v>
      </c>
      <c r="AP479" s="4">
        <v>0.9</v>
      </c>
      <c r="AQ479" s="4">
        <v>0.5</v>
      </c>
      <c r="AR479" s="4">
        <v>0.6</v>
      </c>
      <c r="AS479" s="4">
        <v>0.3</v>
      </c>
      <c r="AT479" s="6">
        <v>1019.437134</v>
      </c>
      <c r="AU479" s="4">
        <v>8.9999999999999993E-3</v>
      </c>
      <c r="AW479" s="4" t="s">
        <v>277</v>
      </c>
      <c r="AX479" s="4">
        <v>0.9</v>
      </c>
      <c r="AY479" s="4">
        <v>0.5</v>
      </c>
      <c r="AZ479" s="4">
        <v>0.6</v>
      </c>
      <c r="BA479" s="4">
        <v>0.75</v>
      </c>
      <c r="BB479" s="4">
        <v>1234.862061</v>
      </c>
      <c r="BC479" s="4">
        <v>1.4999999999999999E-2</v>
      </c>
      <c r="BD479" s="5"/>
      <c r="BE479" s="5"/>
      <c r="BF479" s="5"/>
      <c r="BG479" s="5"/>
      <c r="BI479" s="4" t="s">
        <v>277</v>
      </c>
      <c r="BJ479" s="4">
        <v>0.9</v>
      </c>
      <c r="BK479" s="4">
        <v>0.5</v>
      </c>
      <c r="BL479" s="4">
        <v>0.6</v>
      </c>
      <c r="BM479" s="4">
        <v>0.3</v>
      </c>
      <c r="BN479" s="6">
        <v>978.41937299999995</v>
      </c>
      <c r="BO479" s="4">
        <v>1.2E-2</v>
      </c>
      <c r="BQ479" s="4" t="s">
        <v>277</v>
      </c>
      <c r="BR479" s="4">
        <v>0.9</v>
      </c>
      <c r="BS479" s="4">
        <v>0.5</v>
      </c>
      <c r="BT479" s="4">
        <v>0.6</v>
      </c>
      <c r="BU479" s="4">
        <v>0.52</v>
      </c>
      <c r="BV479" s="4">
        <v>1098.1748050000001</v>
      </c>
      <c r="BW479" s="4">
        <v>1.6E-2</v>
      </c>
      <c r="BX479" s="5"/>
      <c r="BY479" s="5"/>
      <c r="BZ479" s="5"/>
      <c r="CA479" s="5"/>
    </row>
    <row r="480" spans="1:79" x14ac:dyDescent="0.3">
      <c r="A480" s="4" t="s">
        <v>278</v>
      </c>
      <c r="B480" s="4">
        <v>0.9</v>
      </c>
      <c r="C480" s="4">
        <v>0.5</v>
      </c>
      <c r="D480" s="4">
        <v>0.6</v>
      </c>
      <c r="E480" s="4">
        <v>0.3</v>
      </c>
      <c r="F480" s="6">
        <v>657.08612100000005</v>
      </c>
      <c r="G480" s="4">
        <v>2E-3</v>
      </c>
      <c r="I480" s="4" t="s">
        <v>278</v>
      </c>
      <c r="J480" s="4">
        <v>0.9</v>
      </c>
      <c r="K480" s="4">
        <v>0.5</v>
      </c>
      <c r="L480" s="4">
        <v>0.6</v>
      </c>
      <c r="M480" s="4">
        <v>0.52</v>
      </c>
      <c r="N480" s="4">
        <v>734.91156000000001</v>
      </c>
      <c r="O480" s="4">
        <v>1.0999999999999999E-2</v>
      </c>
      <c r="P480" s="5"/>
      <c r="Q480" s="5"/>
      <c r="R480" s="5"/>
      <c r="S480" s="5"/>
      <c r="U480" s="4" t="s">
        <v>278</v>
      </c>
      <c r="V480" s="4">
        <v>0.9</v>
      </c>
      <c r="W480" s="4">
        <v>0.5</v>
      </c>
      <c r="X480" s="4">
        <v>0.6</v>
      </c>
      <c r="Y480" s="4">
        <v>0.3</v>
      </c>
      <c r="Z480" s="6">
        <v>645.84277299999997</v>
      </c>
      <c r="AA480" s="4">
        <v>3.0000000000000001E-3</v>
      </c>
      <c r="AC480" s="4" t="s">
        <v>278</v>
      </c>
      <c r="AD480" s="4">
        <v>0.9</v>
      </c>
      <c r="AE480" s="4">
        <v>0.5</v>
      </c>
      <c r="AF480" s="4">
        <v>0.6</v>
      </c>
      <c r="AG480" s="4">
        <v>0.69</v>
      </c>
      <c r="AH480" s="4">
        <v>769.54046600000004</v>
      </c>
      <c r="AI480" s="4">
        <v>1.7999999999999999E-2</v>
      </c>
      <c r="AJ480" s="5"/>
      <c r="AK480" s="5"/>
      <c r="AL480" s="5"/>
      <c r="AM480" s="5"/>
      <c r="AO480" s="4" t="s">
        <v>279</v>
      </c>
      <c r="AP480" s="4">
        <v>0.9</v>
      </c>
      <c r="AQ480" s="4">
        <v>0.5</v>
      </c>
      <c r="AR480" s="4">
        <v>0.6</v>
      </c>
      <c r="AS480" s="4">
        <v>0.3</v>
      </c>
      <c r="AT480" s="4">
        <v>1127.593384</v>
      </c>
      <c r="AU480" s="4">
        <v>8.9999999999999993E-3</v>
      </c>
      <c r="AW480" s="4" t="s">
        <v>279</v>
      </c>
      <c r="AX480" s="4">
        <v>0.9</v>
      </c>
      <c r="AY480" s="4">
        <v>0.5</v>
      </c>
      <c r="AZ480" s="4">
        <v>0.6</v>
      </c>
      <c r="BA480" s="4">
        <v>0.12</v>
      </c>
      <c r="BB480" s="6">
        <v>972.27325399999995</v>
      </c>
      <c r="BC480" s="4">
        <v>1.7000000000000001E-2</v>
      </c>
      <c r="BD480" s="5"/>
      <c r="BE480" s="5"/>
      <c r="BF480" s="5"/>
      <c r="BG480" s="5"/>
      <c r="BI480" s="4" t="s">
        <v>279</v>
      </c>
      <c r="BJ480" s="4">
        <v>0.9</v>
      </c>
      <c r="BK480" s="4">
        <v>0.5</v>
      </c>
      <c r="BL480" s="4">
        <v>0.6</v>
      </c>
      <c r="BM480" s="4">
        <v>0.3</v>
      </c>
      <c r="BN480" s="4">
        <v>1104.2052000000001</v>
      </c>
      <c r="BO480" s="4">
        <v>1.0999999999999999E-2</v>
      </c>
      <c r="BQ480" s="4" t="s">
        <v>279</v>
      </c>
      <c r="BR480" s="4">
        <v>0.9</v>
      </c>
      <c r="BS480" s="4">
        <v>0.5</v>
      </c>
      <c r="BT480" s="4">
        <v>0.6</v>
      </c>
      <c r="BU480" s="4">
        <v>0.27</v>
      </c>
      <c r="BV480" s="6">
        <v>1095.565063</v>
      </c>
      <c r="BW480" s="4">
        <v>0.03</v>
      </c>
      <c r="BX480" s="5"/>
      <c r="BY480" s="5"/>
      <c r="BZ480" s="5"/>
      <c r="CA480" s="5"/>
    </row>
    <row r="481" spans="1:79" x14ac:dyDescent="0.3">
      <c r="A481" s="4" t="s">
        <v>280</v>
      </c>
      <c r="B481" s="4">
        <v>0.9</v>
      </c>
      <c r="C481" s="4">
        <v>0.5</v>
      </c>
      <c r="D481" s="4">
        <v>0.6</v>
      </c>
      <c r="E481" s="4">
        <v>0.3</v>
      </c>
      <c r="F481" s="4">
        <v>897.22430399999996</v>
      </c>
      <c r="G481" s="4">
        <v>3.0000000000000001E-3</v>
      </c>
      <c r="I481" s="4" t="s">
        <v>280</v>
      </c>
      <c r="J481" s="4">
        <v>0.9</v>
      </c>
      <c r="K481" s="4">
        <v>0.5</v>
      </c>
      <c r="L481" s="4">
        <v>0.6</v>
      </c>
      <c r="M481" s="4">
        <v>0.24</v>
      </c>
      <c r="N481" s="6">
        <v>873.555969</v>
      </c>
      <c r="O481" s="4">
        <v>2.1000000000000001E-2</v>
      </c>
      <c r="P481" s="5"/>
      <c r="Q481" s="5"/>
      <c r="R481" s="5"/>
      <c r="S481" s="5"/>
      <c r="U481" s="4" t="s">
        <v>280</v>
      </c>
      <c r="V481" s="4">
        <v>0.9</v>
      </c>
      <c r="W481" s="4">
        <v>0.5</v>
      </c>
      <c r="X481" s="4">
        <v>0.6</v>
      </c>
      <c r="Y481" s="4">
        <v>0.3</v>
      </c>
      <c r="Z481" s="4">
        <v>875.97729500000003</v>
      </c>
      <c r="AA481" s="4">
        <v>3.0000000000000001E-3</v>
      </c>
      <c r="AC481" s="4" t="s">
        <v>280</v>
      </c>
      <c r="AD481" s="4">
        <v>0.9</v>
      </c>
      <c r="AE481" s="4">
        <v>0.5</v>
      </c>
      <c r="AF481" s="4">
        <v>0.6</v>
      </c>
      <c r="AG481" s="4">
        <v>0.16</v>
      </c>
      <c r="AH481" s="6">
        <v>801.13171399999999</v>
      </c>
      <c r="AI481" s="4">
        <v>2.3E-2</v>
      </c>
      <c r="AJ481" s="5"/>
      <c r="AK481" s="5"/>
      <c r="AL481" s="5"/>
      <c r="AM481" s="5"/>
      <c r="AO481" s="4" t="s">
        <v>281</v>
      </c>
      <c r="AP481" s="4">
        <v>0.9</v>
      </c>
      <c r="AQ481" s="4">
        <v>0.5</v>
      </c>
      <c r="AR481" s="4">
        <v>0.6</v>
      </c>
      <c r="AS481" s="4">
        <v>0.3</v>
      </c>
      <c r="AT481" s="6">
        <v>1063.694702</v>
      </c>
      <c r="AU481" s="4">
        <v>0.01</v>
      </c>
      <c r="AW481" s="4" t="s">
        <v>281</v>
      </c>
      <c r="AX481" s="4">
        <v>0.9</v>
      </c>
      <c r="AY481" s="4">
        <v>0.5</v>
      </c>
      <c r="AZ481" s="4">
        <v>0.6</v>
      </c>
      <c r="BA481" s="4">
        <v>0.75</v>
      </c>
      <c r="BB481" s="4">
        <v>1267.9677730000001</v>
      </c>
      <c r="BC481" s="4">
        <v>2.8000000000000001E-2</v>
      </c>
      <c r="BD481" s="5"/>
      <c r="BE481" s="5"/>
      <c r="BF481" s="5"/>
      <c r="BG481" s="5"/>
      <c r="BI481" s="4" t="s">
        <v>281</v>
      </c>
      <c r="BJ481" s="4">
        <v>0.9</v>
      </c>
      <c r="BK481" s="4">
        <v>0.5</v>
      </c>
      <c r="BL481" s="4">
        <v>0.6</v>
      </c>
      <c r="BM481" s="4">
        <v>0.3</v>
      </c>
      <c r="BN481" s="6">
        <v>1052.3801269999999</v>
      </c>
      <c r="BO481" s="4">
        <v>1.0999999999999999E-2</v>
      </c>
      <c r="BQ481" s="4" t="s">
        <v>281</v>
      </c>
      <c r="BR481" s="4">
        <v>0.9</v>
      </c>
      <c r="BS481" s="4">
        <v>0.5</v>
      </c>
      <c r="BT481" s="4">
        <v>0.6</v>
      </c>
      <c r="BU481" s="4">
        <v>0.36</v>
      </c>
      <c r="BV481" s="4">
        <v>1087.1464840000001</v>
      </c>
      <c r="BW481" s="4">
        <v>3.5999999999999997E-2</v>
      </c>
      <c r="BX481" s="5"/>
      <c r="BY481" s="5"/>
      <c r="BZ481" s="5"/>
      <c r="CA481" s="5"/>
    </row>
    <row r="482" spans="1:79" x14ac:dyDescent="0.3">
      <c r="A482" s="4" t="s">
        <v>282</v>
      </c>
      <c r="B482" s="4">
        <v>0.9</v>
      </c>
      <c r="C482" s="4">
        <v>0.5</v>
      </c>
      <c r="D482" s="4">
        <v>0.6</v>
      </c>
      <c r="E482" s="4">
        <v>0.3</v>
      </c>
      <c r="F482" s="4">
        <v>755.32135000000005</v>
      </c>
      <c r="G482" s="4">
        <v>3.0000000000000001E-3</v>
      </c>
      <c r="I482" s="4" t="s">
        <v>282</v>
      </c>
      <c r="J482" s="4">
        <v>0.9</v>
      </c>
      <c r="K482" s="4">
        <v>0.5</v>
      </c>
      <c r="L482" s="4">
        <v>0.6</v>
      </c>
      <c r="M482" s="4">
        <v>0.2</v>
      </c>
      <c r="N482" s="6">
        <v>736.00579800000003</v>
      </c>
      <c r="O482" s="4">
        <v>1.6E-2</v>
      </c>
      <c r="P482" s="5"/>
      <c r="Q482" s="5"/>
      <c r="R482" s="5"/>
      <c r="S482" s="5"/>
      <c r="U482" s="4" t="s">
        <v>282</v>
      </c>
      <c r="V482" s="4">
        <v>0.9</v>
      </c>
      <c r="W482" s="4">
        <v>0.5</v>
      </c>
      <c r="X482" s="4">
        <v>0.6</v>
      </c>
      <c r="Y482" s="4">
        <v>0.3</v>
      </c>
      <c r="Z482" s="4">
        <v>776.64282200000002</v>
      </c>
      <c r="AA482" s="4">
        <v>5.0000000000000001E-3</v>
      </c>
      <c r="AC482" s="4" t="s">
        <v>282</v>
      </c>
      <c r="AD482" s="4">
        <v>0.9</v>
      </c>
      <c r="AE482" s="4">
        <v>0.5</v>
      </c>
      <c r="AF482" s="4">
        <v>0.6</v>
      </c>
      <c r="AG482" s="4">
        <v>0.14000000000000001</v>
      </c>
      <c r="AH482" s="6">
        <v>702.543274</v>
      </c>
      <c r="AI482" s="4">
        <v>2.1999999999999999E-2</v>
      </c>
      <c r="AJ482" s="5"/>
      <c r="AK482" s="5"/>
      <c r="AL482" s="5"/>
      <c r="AM482" s="5"/>
      <c r="AO482" s="4" t="s">
        <v>283</v>
      </c>
      <c r="AP482" s="4">
        <v>0.9</v>
      </c>
      <c r="AQ482" s="4">
        <v>0.5</v>
      </c>
      <c r="AR482" s="4">
        <v>0.6</v>
      </c>
      <c r="AS482" s="4">
        <v>0.3</v>
      </c>
      <c r="AT482" s="6">
        <v>1041.6770019999999</v>
      </c>
      <c r="AU482" s="4">
        <v>0.01</v>
      </c>
      <c r="AW482" s="4" t="s">
        <v>283</v>
      </c>
      <c r="AX482" s="4">
        <v>0.9</v>
      </c>
      <c r="AY482" s="4">
        <v>0.5</v>
      </c>
      <c r="AZ482" s="4">
        <v>0.6</v>
      </c>
      <c r="BA482" s="4">
        <v>0.6</v>
      </c>
      <c r="BB482" s="4">
        <v>1173.5582280000001</v>
      </c>
      <c r="BC482" s="4">
        <v>3.7999999999999999E-2</v>
      </c>
      <c r="BD482" s="5"/>
      <c r="BE482" s="5"/>
      <c r="BF482" s="5"/>
      <c r="BG482" s="5"/>
      <c r="BI482" s="4" t="s">
        <v>283</v>
      </c>
      <c r="BJ482" s="4">
        <v>0.9</v>
      </c>
      <c r="BK482" s="4">
        <v>0.5</v>
      </c>
      <c r="BL482" s="4">
        <v>0.6</v>
      </c>
      <c r="BM482" s="4">
        <v>0.3</v>
      </c>
      <c r="BN482" s="6">
        <v>1011.2282709999999</v>
      </c>
      <c r="BO482" s="4">
        <v>0.01</v>
      </c>
      <c r="BQ482" s="4" t="s">
        <v>283</v>
      </c>
      <c r="BR482" s="4">
        <v>0.9</v>
      </c>
      <c r="BS482" s="4">
        <v>0.5</v>
      </c>
      <c r="BT482" s="4">
        <v>0.6</v>
      </c>
      <c r="BU482" s="4">
        <v>0.53</v>
      </c>
      <c r="BV482" s="4">
        <v>1140.003418</v>
      </c>
      <c r="BW482" s="4">
        <v>1.7999999999999999E-2</v>
      </c>
      <c r="BX482" s="5"/>
      <c r="BY482" s="5"/>
      <c r="BZ482" s="5"/>
      <c r="CA482" s="5"/>
    </row>
    <row r="483" spans="1:79" x14ac:dyDescent="0.3">
      <c r="A483" s="4" t="s">
        <v>284</v>
      </c>
      <c r="B483" s="4">
        <v>0.9</v>
      </c>
      <c r="C483" s="4">
        <v>0.5</v>
      </c>
      <c r="D483" s="4">
        <v>0.6</v>
      </c>
      <c r="E483" s="4">
        <v>0.3</v>
      </c>
      <c r="F483" s="6">
        <v>853.20391800000004</v>
      </c>
      <c r="G483" s="4">
        <v>2E-3</v>
      </c>
      <c r="I483" s="4" t="s">
        <v>284</v>
      </c>
      <c r="J483" s="4">
        <v>0.9</v>
      </c>
      <c r="K483" s="4">
        <v>0.5</v>
      </c>
      <c r="L483" s="4">
        <v>0.6</v>
      </c>
      <c r="M483" s="4">
        <v>0.64</v>
      </c>
      <c r="N483" s="4">
        <v>941.98821999999996</v>
      </c>
      <c r="O483" s="4">
        <v>1.2E-2</v>
      </c>
      <c r="P483" s="5"/>
      <c r="Q483" s="5"/>
      <c r="R483" s="5"/>
      <c r="S483" s="5"/>
      <c r="U483" s="4" t="s">
        <v>284</v>
      </c>
      <c r="V483" s="4">
        <v>0.9</v>
      </c>
      <c r="W483" s="4">
        <v>0.5</v>
      </c>
      <c r="X483" s="4">
        <v>0.6</v>
      </c>
      <c r="Y483" s="4">
        <v>0.3</v>
      </c>
      <c r="Z483" s="6">
        <v>821.77722200000005</v>
      </c>
      <c r="AA483" s="4">
        <v>5.0000000000000001E-3</v>
      </c>
      <c r="AC483" s="4" t="s">
        <v>284</v>
      </c>
      <c r="AD483" s="4">
        <v>0.9</v>
      </c>
      <c r="AE483" s="4">
        <v>0.5</v>
      </c>
      <c r="AF483" s="4">
        <v>0.6</v>
      </c>
      <c r="AG483" s="4">
        <v>0.46</v>
      </c>
      <c r="AH483" s="4">
        <v>900.80792199999996</v>
      </c>
      <c r="AI483" s="4">
        <v>1.7999999999999999E-2</v>
      </c>
      <c r="AJ483" s="5"/>
      <c r="AK483" s="5"/>
      <c r="AL483" s="5"/>
      <c r="AM483" s="5"/>
      <c r="AO483" s="4" t="s">
        <v>285</v>
      </c>
      <c r="AP483" s="4">
        <v>0.9</v>
      </c>
      <c r="AQ483" s="4">
        <v>0.5</v>
      </c>
      <c r="AR483" s="4">
        <v>0.6</v>
      </c>
      <c r="AS483" s="4">
        <v>0.3</v>
      </c>
      <c r="AT483" s="4">
        <v>1090.4702150000001</v>
      </c>
      <c r="AU483" s="4">
        <v>8.9999999999999993E-3</v>
      </c>
      <c r="AW483" s="4" t="s">
        <v>285</v>
      </c>
      <c r="AX483" s="4">
        <v>0.9</v>
      </c>
      <c r="AY483" s="4">
        <v>0.5</v>
      </c>
      <c r="AZ483" s="4">
        <v>0.6</v>
      </c>
      <c r="BA483" s="4">
        <v>0.21</v>
      </c>
      <c r="BB483" s="4">
        <v>1027.9141850000001</v>
      </c>
      <c r="BC483" s="4">
        <v>1.9E-2</v>
      </c>
      <c r="BD483" s="5"/>
      <c r="BE483" s="5"/>
      <c r="BF483" s="5"/>
      <c r="BG483" s="5"/>
      <c r="BI483" s="4" t="s">
        <v>285</v>
      </c>
      <c r="BJ483" s="4">
        <v>0.9</v>
      </c>
      <c r="BK483" s="4">
        <v>0.5</v>
      </c>
      <c r="BL483" s="4">
        <v>0.6</v>
      </c>
      <c r="BM483" s="4">
        <v>0.3</v>
      </c>
      <c r="BN483" s="4">
        <v>1098.073975</v>
      </c>
      <c r="BO483" s="4">
        <v>1.2E-2</v>
      </c>
      <c r="BQ483" s="4" t="s">
        <v>285</v>
      </c>
      <c r="BR483" s="4">
        <v>0.9</v>
      </c>
      <c r="BS483" s="4">
        <v>0.5</v>
      </c>
      <c r="BT483" s="4">
        <v>0.6</v>
      </c>
      <c r="BU483" s="4">
        <v>0.03</v>
      </c>
      <c r="BV483" s="6">
        <v>868.98046899999997</v>
      </c>
      <c r="BW483" s="4">
        <v>0.04</v>
      </c>
      <c r="BX483" s="5"/>
      <c r="BY483" s="5"/>
      <c r="BZ483" s="5"/>
      <c r="CA483" s="5"/>
    </row>
    <row r="484" spans="1:79" x14ac:dyDescent="0.3">
      <c r="A484" s="4" t="s">
        <v>286</v>
      </c>
      <c r="B484" s="4">
        <v>0.9</v>
      </c>
      <c r="C484" s="4">
        <v>0.5</v>
      </c>
      <c r="D484" s="4">
        <v>0.6</v>
      </c>
      <c r="E484" s="4">
        <v>0.3</v>
      </c>
      <c r="F484" s="4">
        <v>710.39703399999996</v>
      </c>
      <c r="G484" s="4">
        <v>3.0000000000000001E-3</v>
      </c>
      <c r="I484" s="4" t="s">
        <v>286</v>
      </c>
      <c r="J484" s="4">
        <v>0.9</v>
      </c>
      <c r="K484" s="4">
        <v>0.5</v>
      </c>
      <c r="L484" s="4">
        <v>0.6</v>
      </c>
      <c r="M484" s="4">
        <v>0.01</v>
      </c>
      <c r="N484" s="6">
        <v>700.83837900000003</v>
      </c>
      <c r="O484" s="4">
        <v>8.9999999999999993E-3</v>
      </c>
      <c r="P484" s="5"/>
      <c r="Q484" s="5"/>
      <c r="R484" s="5"/>
      <c r="S484" s="5"/>
      <c r="U484" s="4" t="s">
        <v>286</v>
      </c>
      <c r="V484" s="4">
        <v>0.9</v>
      </c>
      <c r="W484" s="4">
        <v>0.5</v>
      </c>
      <c r="X484" s="4">
        <v>0.6</v>
      </c>
      <c r="Y484" s="4">
        <v>0.3</v>
      </c>
      <c r="Z484" s="6">
        <v>707.10632299999997</v>
      </c>
      <c r="AA484" s="4">
        <v>3.0000000000000001E-3</v>
      </c>
      <c r="AC484" s="4" t="s">
        <v>286</v>
      </c>
      <c r="AD484" s="4">
        <v>0.9</v>
      </c>
      <c r="AE484" s="4">
        <v>0.5</v>
      </c>
      <c r="AF484" s="4">
        <v>0.6</v>
      </c>
      <c r="AG484" s="4">
        <v>0.43</v>
      </c>
      <c r="AH484" s="4">
        <v>746.44329800000003</v>
      </c>
      <c r="AI484" s="4">
        <v>3.3000000000000002E-2</v>
      </c>
      <c r="AJ484" s="5"/>
      <c r="AK484" s="5"/>
      <c r="AL484" s="5"/>
      <c r="AM484" s="5"/>
      <c r="AO484" s="4" t="s">
        <v>287</v>
      </c>
      <c r="AP484" s="4">
        <v>0.9</v>
      </c>
      <c r="AQ484" s="4">
        <v>0.5</v>
      </c>
      <c r="AR484" s="4">
        <v>0.6</v>
      </c>
      <c r="AS484" s="4">
        <v>0.3</v>
      </c>
      <c r="AT484" s="6">
        <v>1034.433716</v>
      </c>
      <c r="AU484" s="4">
        <v>1.0999999999999999E-2</v>
      </c>
      <c r="AW484" s="4" t="s">
        <v>287</v>
      </c>
      <c r="AX484" s="4">
        <v>0.9</v>
      </c>
      <c r="AY484" s="4">
        <v>0.5</v>
      </c>
      <c r="AZ484" s="4">
        <v>0.6</v>
      </c>
      <c r="BA484" s="4">
        <v>0.73</v>
      </c>
      <c r="BB484" s="6">
        <v>1238.0795900000001</v>
      </c>
      <c r="BC484" s="4">
        <v>2.1999999999999999E-2</v>
      </c>
      <c r="BD484" s="5"/>
      <c r="BE484" s="5"/>
      <c r="BF484" s="5"/>
      <c r="BG484" s="5"/>
      <c r="BI484" s="4" t="s">
        <v>287</v>
      </c>
      <c r="BJ484" s="4">
        <v>0.9</v>
      </c>
      <c r="BK484" s="4">
        <v>0.5</v>
      </c>
      <c r="BL484" s="4">
        <v>0.6</v>
      </c>
      <c r="BM484" s="4">
        <v>0.3</v>
      </c>
      <c r="BN484" s="6">
        <v>1002.749207</v>
      </c>
      <c r="BO484" s="4">
        <v>1.2999999999999999E-2</v>
      </c>
      <c r="BQ484" s="4" t="s">
        <v>287</v>
      </c>
      <c r="BR484" s="4">
        <v>0.9</v>
      </c>
      <c r="BS484" s="4">
        <v>0.5</v>
      </c>
      <c r="BT484" s="4">
        <v>0.6</v>
      </c>
      <c r="BU484" s="4">
        <v>0.48</v>
      </c>
      <c r="BV484" s="4">
        <v>1098.9030760000001</v>
      </c>
      <c r="BW484" s="4">
        <v>2.5000000000000001E-2</v>
      </c>
      <c r="BX484" s="5"/>
      <c r="BY484" s="5"/>
      <c r="BZ484" s="5"/>
      <c r="CA484" s="5"/>
    </row>
    <row r="485" spans="1:79" x14ac:dyDescent="0.3">
      <c r="A485" s="4" t="s">
        <v>288</v>
      </c>
      <c r="B485" s="4">
        <v>0.9</v>
      </c>
      <c r="C485" s="4">
        <v>0.5</v>
      </c>
      <c r="D485" s="4">
        <v>0.6</v>
      </c>
      <c r="E485" s="4">
        <v>0.3</v>
      </c>
      <c r="F485" s="6">
        <v>720.48278800000003</v>
      </c>
      <c r="G485" s="4">
        <v>3.0000000000000001E-3</v>
      </c>
      <c r="I485" s="4" t="s">
        <v>288</v>
      </c>
      <c r="J485" s="4">
        <v>0.9</v>
      </c>
      <c r="K485" s="4">
        <v>0.5</v>
      </c>
      <c r="L485" s="4">
        <v>0.6</v>
      </c>
      <c r="M485" s="4">
        <v>0.94</v>
      </c>
      <c r="N485" s="4">
        <v>954.26464799999997</v>
      </c>
      <c r="O485" s="4">
        <v>1.9E-2</v>
      </c>
      <c r="P485" s="5"/>
      <c r="Q485" s="5"/>
      <c r="R485" s="5"/>
      <c r="S485" s="5"/>
      <c r="U485" s="4" t="s">
        <v>288</v>
      </c>
      <c r="V485" s="4">
        <v>0.9</v>
      </c>
      <c r="W485" s="4">
        <v>0.5</v>
      </c>
      <c r="X485" s="4">
        <v>0.6</v>
      </c>
      <c r="Y485" s="4">
        <v>0.3</v>
      </c>
      <c r="Z485" s="6">
        <v>692.97930899999994</v>
      </c>
      <c r="AA485" s="4">
        <v>3.0000000000000001E-3</v>
      </c>
      <c r="AC485" s="4" t="s">
        <v>288</v>
      </c>
      <c r="AD485" s="4">
        <v>0.9</v>
      </c>
      <c r="AE485" s="4">
        <v>0.5</v>
      </c>
      <c r="AF485" s="4">
        <v>0.6</v>
      </c>
      <c r="AG485" s="4">
        <v>0.93</v>
      </c>
      <c r="AH485" s="4">
        <v>924.34258999999997</v>
      </c>
      <c r="AI485" s="4">
        <v>3.2000000000000001E-2</v>
      </c>
      <c r="AJ485" s="5"/>
      <c r="AK485" s="5"/>
      <c r="AL485" s="5"/>
      <c r="AM485" s="5"/>
      <c r="AO485" s="4" t="s">
        <v>289</v>
      </c>
      <c r="AP485" s="4">
        <v>0.9</v>
      </c>
      <c r="AQ485" s="4">
        <v>0.5</v>
      </c>
      <c r="AR485" s="4">
        <v>0.6</v>
      </c>
      <c r="AS485" s="4">
        <v>0.3</v>
      </c>
      <c r="AT485" s="6">
        <v>1087.1956789999999</v>
      </c>
      <c r="AU485" s="4">
        <v>8.9999999999999993E-3</v>
      </c>
      <c r="AW485" s="4" t="s">
        <v>289</v>
      </c>
      <c r="AX485" s="4">
        <v>0.9</v>
      </c>
      <c r="AY485" s="4">
        <v>0.5</v>
      </c>
      <c r="AZ485" s="4">
        <v>0.6</v>
      </c>
      <c r="BA485" s="4">
        <v>0.99</v>
      </c>
      <c r="BB485" s="4">
        <v>1417.453491</v>
      </c>
      <c r="BC485" s="4">
        <v>1.7999999999999999E-2</v>
      </c>
      <c r="BD485" s="5"/>
      <c r="BE485" s="5"/>
      <c r="BF485" s="5"/>
      <c r="BG485" s="5"/>
      <c r="BI485" s="4" t="s">
        <v>289</v>
      </c>
      <c r="BJ485" s="4">
        <v>0.9</v>
      </c>
      <c r="BK485" s="4">
        <v>0.5</v>
      </c>
      <c r="BL485" s="4">
        <v>0.6</v>
      </c>
      <c r="BM485" s="4">
        <v>0.3</v>
      </c>
      <c r="BN485" s="4">
        <v>1085.960693</v>
      </c>
      <c r="BO485" s="4">
        <v>1.0999999999999999E-2</v>
      </c>
      <c r="BQ485" s="4" t="s">
        <v>289</v>
      </c>
      <c r="BR485" s="4">
        <v>0.9</v>
      </c>
      <c r="BS485" s="4">
        <v>0.5</v>
      </c>
      <c r="BT485" s="4">
        <v>0.6</v>
      </c>
      <c r="BU485" s="4">
        <v>0.2</v>
      </c>
      <c r="BV485" s="6">
        <v>1018.161499</v>
      </c>
      <c r="BW485" s="4">
        <v>2.8000000000000001E-2</v>
      </c>
      <c r="BX485" s="5"/>
      <c r="BY485" s="5"/>
      <c r="BZ485" s="5"/>
      <c r="CA485" s="5"/>
    </row>
    <row r="486" spans="1:79" x14ac:dyDescent="0.3">
      <c r="A486" s="4" t="s">
        <v>290</v>
      </c>
      <c r="B486" s="4">
        <v>0.9</v>
      </c>
      <c r="C486" s="4">
        <v>0.5</v>
      </c>
      <c r="D486" s="4">
        <v>0.6</v>
      </c>
      <c r="E486" s="4">
        <v>0.3</v>
      </c>
      <c r="F486" s="6">
        <v>713.62298599999997</v>
      </c>
      <c r="G486" s="4">
        <v>3.0000000000000001E-3</v>
      </c>
      <c r="I486" s="4" t="s">
        <v>290</v>
      </c>
      <c r="J486" s="4">
        <v>0.9</v>
      </c>
      <c r="K486" s="4">
        <v>0.5</v>
      </c>
      <c r="L486" s="4">
        <v>0.6</v>
      </c>
      <c r="M486" s="4">
        <v>0.9</v>
      </c>
      <c r="N486" s="4">
        <v>953.61163299999998</v>
      </c>
      <c r="O486" s="4">
        <v>1.7999999999999999E-2</v>
      </c>
      <c r="P486" s="5"/>
      <c r="Q486" s="5"/>
      <c r="R486" s="5"/>
      <c r="S486" s="5"/>
      <c r="U486" s="4" t="s">
        <v>290</v>
      </c>
      <c r="V486" s="4">
        <v>0.9</v>
      </c>
      <c r="W486" s="4">
        <v>0.5</v>
      </c>
      <c r="X486" s="4">
        <v>0.6</v>
      </c>
      <c r="Y486" s="4">
        <v>0.3</v>
      </c>
      <c r="Z486" s="6">
        <v>708.43353300000001</v>
      </c>
      <c r="AA486" s="4">
        <v>3.0000000000000001E-3</v>
      </c>
      <c r="AC486" s="4" t="s">
        <v>290</v>
      </c>
      <c r="AD486" s="4">
        <v>0.9</v>
      </c>
      <c r="AE486" s="4">
        <v>0.5</v>
      </c>
      <c r="AF486" s="4">
        <v>0.6</v>
      </c>
      <c r="AG486" s="4">
        <v>0.64</v>
      </c>
      <c r="AH486" s="4">
        <v>867.037598</v>
      </c>
      <c r="AI486" s="4">
        <v>2.3E-2</v>
      </c>
      <c r="AJ486" s="5"/>
      <c r="AK486" s="5"/>
      <c r="AL486" s="5"/>
      <c r="AM486" s="5"/>
      <c r="AO486" s="4" t="s">
        <v>291</v>
      </c>
      <c r="AP486" s="4">
        <v>0.9</v>
      </c>
      <c r="AQ486" s="4">
        <v>0.5</v>
      </c>
      <c r="AR486" s="4">
        <v>0.6</v>
      </c>
      <c r="AS486" s="4">
        <v>0.3</v>
      </c>
      <c r="AT486" s="6">
        <v>1058.1832280000001</v>
      </c>
      <c r="AU486" s="4">
        <v>0.01</v>
      </c>
      <c r="AW486" s="4" t="s">
        <v>291</v>
      </c>
      <c r="AX486" s="4">
        <v>0.9</v>
      </c>
      <c r="AY486" s="4">
        <v>0.5</v>
      </c>
      <c r="AZ486" s="4">
        <v>0.6</v>
      </c>
      <c r="BA486" s="4">
        <v>0.5</v>
      </c>
      <c r="BB486" s="4">
        <v>1167.996216</v>
      </c>
      <c r="BC486" s="4">
        <v>2.5999999999999999E-2</v>
      </c>
      <c r="BD486" s="5"/>
      <c r="BE486" s="5"/>
      <c r="BF486" s="5"/>
      <c r="BG486" s="5"/>
      <c r="BI486" s="4" t="s">
        <v>291</v>
      </c>
      <c r="BJ486" s="4">
        <v>0.9</v>
      </c>
      <c r="BK486" s="4">
        <v>0.5</v>
      </c>
      <c r="BL486" s="4">
        <v>0.6</v>
      </c>
      <c r="BM486" s="4">
        <v>0.3</v>
      </c>
      <c r="BN486" s="6">
        <v>1027.645264</v>
      </c>
      <c r="BO486" s="4">
        <v>1.0999999999999999E-2</v>
      </c>
      <c r="BQ486" s="4" t="s">
        <v>291</v>
      </c>
      <c r="BR486" s="4">
        <v>0.9</v>
      </c>
      <c r="BS486" s="4">
        <v>0.5</v>
      </c>
      <c r="BT486" s="4">
        <v>0.6</v>
      </c>
      <c r="BU486" s="4">
        <v>0.76</v>
      </c>
      <c r="BV486" s="4">
        <v>1233.1229249999999</v>
      </c>
      <c r="BW486" s="4">
        <v>2.5000000000000001E-2</v>
      </c>
      <c r="BX486" s="5"/>
      <c r="BY486" s="5"/>
      <c r="BZ486" s="5"/>
      <c r="CA486" s="5"/>
    </row>
    <row r="487" spans="1:79" x14ac:dyDescent="0.3">
      <c r="A487" s="4" t="s">
        <v>292</v>
      </c>
      <c r="B487" s="4">
        <v>0.9</v>
      </c>
      <c r="C487" s="4">
        <v>0.5</v>
      </c>
      <c r="D487" s="4">
        <v>0.6</v>
      </c>
      <c r="E487" s="4">
        <v>0.3</v>
      </c>
      <c r="F487" s="6">
        <v>774.61560099999997</v>
      </c>
      <c r="G487" s="4">
        <v>3.0000000000000001E-3</v>
      </c>
      <c r="I487" s="4" t="s">
        <v>292</v>
      </c>
      <c r="J487" s="4">
        <v>0.9</v>
      </c>
      <c r="K487" s="4">
        <v>0.5</v>
      </c>
      <c r="L487" s="4">
        <v>0.6</v>
      </c>
      <c r="M487" s="4">
        <v>0.56999999999999995</v>
      </c>
      <c r="N487" s="4">
        <v>911.14935300000002</v>
      </c>
      <c r="O487" s="4">
        <v>1.2E-2</v>
      </c>
      <c r="P487" s="5"/>
      <c r="Q487" s="5"/>
      <c r="R487" s="5"/>
      <c r="S487" s="5"/>
      <c r="U487" s="4" t="s">
        <v>292</v>
      </c>
      <c r="V487" s="4">
        <v>0.9</v>
      </c>
      <c r="W487" s="4">
        <v>0.5</v>
      </c>
      <c r="X487" s="4">
        <v>0.6</v>
      </c>
      <c r="Y487" s="4">
        <v>0.3</v>
      </c>
      <c r="Z487" s="6">
        <v>758.36389199999996</v>
      </c>
      <c r="AA487" s="4">
        <v>3.0000000000000001E-3</v>
      </c>
      <c r="AC487" s="4" t="s">
        <v>292</v>
      </c>
      <c r="AD487" s="4">
        <v>0.9</v>
      </c>
      <c r="AE487" s="4">
        <v>0.5</v>
      </c>
      <c r="AF487" s="4">
        <v>0.6</v>
      </c>
      <c r="AG487" s="4">
        <v>0.95</v>
      </c>
      <c r="AH487" s="4">
        <v>1033.9801030000001</v>
      </c>
      <c r="AI487" s="4">
        <v>2.4E-2</v>
      </c>
      <c r="AJ487" s="5"/>
      <c r="AK487" s="5"/>
      <c r="AL487" s="5"/>
      <c r="AM487" s="5"/>
      <c r="AO487" s="4" t="s">
        <v>293</v>
      </c>
      <c r="AP487" s="4">
        <v>0.9</v>
      </c>
      <c r="AQ487" s="4">
        <v>0.5</v>
      </c>
      <c r="AR487" s="4">
        <v>0.6</v>
      </c>
      <c r="AS487" s="4">
        <v>0.3</v>
      </c>
      <c r="AT487" s="6">
        <v>1105.636841</v>
      </c>
      <c r="AU487" s="4">
        <v>1.2E-2</v>
      </c>
      <c r="AW487" s="4" t="s">
        <v>293</v>
      </c>
      <c r="AX487" s="4">
        <v>0.9</v>
      </c>
      <c r="AY487" s="4">
        <v>0.5</v>
      </c>
      <c r="AZ487" s="4">
        <v>0.6</v>
      </c>
      <c r="BA487" s="4">
        <v>0.87</v>
      </c>
      <c r="BB487" s="4">
        <v>1407.4562989999999</v>
      </c>
      <c r="BC487" s="4">
        <v>2.8000000000000001E-2</v>
      </c>
      <c r="BD487" s="5"/>
      <c r="BE487" s="5"/>
      <c r="BF487" s="5"/>
      <c r="BG487" s="5"/>
      <c r="BI487" s="4" t="s">
        <v>293</v>
      </c>
      <c r="BJ487" s="4">
        <v>0.9</v>
      </c>
      <c r="BK487" s="4">
        <v>0.5</v>
      </c>
      <c r="BL487" s="4">
        <v>0.6</v>
      </c>
      <c r="BM487" s="4">
        <v>0.3</v>
      </c>
      <c r="BN487" s="6">
        <v>1096.2033690000001</v>
      </c>
      <c r="BO487" s="4">
        <v>1.0999999999999999E-2</v>
      </c>
      <c r="BQ487" s="4" t="s">
        <v>293</v>
      </c>
      <c r="BR487" s="4">
        <v>0.9</v>
      </c>
      <c r="BS487" s="4">
        <v>0.5</v>
      </c>
      <c r="BT487" s="4">
        <v>0.6</v>
      </c>
      <c r="BU487" s="4">
        <v>0.67</v>
      </c>
      <c r="BV487" s="4">
        <v>1326.333862</v>
      </c>
      <c r="BW487" s="4">
        <v>2.4E-2</v>
      </c>
      <c r="BX487" s="5"/>
      <c r="BY487" s="5"/>
      <c r="BZ487" s="5"/>
      <c r="CA487" s="5"/>
    </row>
    <row r="488" spans="1:79" x14ac:dyDescent="0.3">
      <c r="A488" s="4" t="s">
        <v>294</v>
      </c>
      <c r="B488" s="4">
        <v>0.9</v>
      </c>
      <c r="C488" s="4">
        <v>0.5</v>
      </c>
      <c r="D488" s="4">
        <v>0.6</v>
      </c>
      <c r="E488" s="4">
        <v>0.3</v>
      </c>
      <c r="F488" s="6">
        <v>914.16272000000004</v>
      </c>
      <c r="G488" s="4">
        <v>4.0000000000000001E-3</v>
      </c>
      <c r="I488" s="4" t="s">
        <v>294</v>
      </c>
      <c r="J488" s="4">
        <v>0.9</v>
      </c>
      <c r="K488" s="4">
        <v>0.5</v>
      </c>
      <c r="L488" s="4">
        <v>0.6</v>
      </c>
      <c r="M488" s="4">
        <v>0.97</v>
      </c>
      <c r="N488" s="4">
        <v>1160.5455320000001</v>
      </c>
      <c r="O488" s="4">
        <v>1.4E-2</v>
      </c>
      <c r="P488" s="5"/>
      <c r="Q488" s="5"/>
      <c r="R488" s="5"/>
      <c r="S488" s="5"/>
      <c r="U488" s="4" t="s">
        <v>294</v>
      </c>
      <c r="V488" s="4">
        <v>0.9</v>
      </c>
      <c r="W488" s="4">
        <v>0.5</v>
      </c>
      <c r="X488" s="4">
        <v>0.6</v>
      </c>
      <c r="Y488" s="4">
        <v>0.3</v>
      </c>
      <c r="Z488" s="6">
        <v>905.15368699999999</v>
      </c>
      <c r="AA488" s="4">
        <v>7.0000000000000001E-3</v>
      </c>
      <c r="AC488" s="4" t="s">
        <v>294</v>
      </c>
      <c r="AD488" s="4">
        <v>0.9</v>
      </c>
      <c r="AE488" s="4">
        <v>0.5</v>
      </c>
      <c r="AF488" s="4">
        <v>0.6</v>
      </c>
      <c r="AG488" s="4">
        <v>0.35</v>
      </c>
      <c r="AH488" s="4">
        <v>947.83203100000003</v>
      </c>
      <c r="AI488" s="4">
        <v>1.9E-2</v>
      </c>
      <c r="AJ488" s="5"/>
      <c r="AK488" s="5"/>
      <c r="AL488" s="5"/>
      <c r="AM488" s="5"/>
      <c r="AO488" s="4" t="s">
        <v>295</v>
      </c>
      <c r="AP488" s="4">
        <v>0.9</v>
      </c>
      <c r="AQ488" s="4">
        <v>0.5</v>
      </c>
      <c r="AR488" s="4">
        <v>0.6</v>
      </c>
      <c r="AS488" s="4">
        <v>0.3</v>
      </c>
      <c r="AT488" s="6">
        <v>1193.450317</v>
      </c>
      <c r="AU488" s="4">
        <v>1.2999999999999999E-2</v>
      </c>
      <c r="AW488" s="4" t="s">
        <v>295</v>
      </c>
      <c r="AX488" s="4">
        <v>0.9</v>
      </c>
      <c r="AY488" s="4">
        <v>0.5</v>
      </c>
      <c r="AZ488" s="4">
        <v>0.6</v>
      </c>
      <c r="BA488" s="4">
        <v>0.63</v>
      </c>
      <c r="BB488" s="4">
        <v>1436.5264890000001</v>
      </c>
      <c r="BC488" s="4">
        <v>0.02</v>
      </c>
      <c r="BD488" s="5"/>
      <c r="BE488" s="5"/>
      <c r="BF488" s="5"/>
      <c r="BG488" s="5"/>
      <c r="BI488" s="4" t="s">
        <v>295</v>
      </c>
      <c r="BJ488" s="4">
        <v>0.9</v>
      </c>
      <c r="BK488" s="4">
        <v>0.5</v>
      </c>
      <c r="BL488" s="4">
        <v>0.6</v>
      </c>
      <c r="BM488" s="4">
        <v>0.3</v>
      </c>
      <c r="BN488" s="6">
        <v>1188.8735349999999</v>
      </c>
      <c r="BO488" s="4">
        <v>1.4E-2</v>
      </c>
      <c r="BQ488" s="4" t="s">
        <v>295</v>
      </c>
      <c r="BR488" s="4">
        <v>0.9</v>
      </c>
      <c r="BS488" s="4">
        <v>0.5</v>
      </c>
      <c r="BT488" s="4">
        <v>0.6</v>
      </c>
      <c r="BU488" s="4">
        <v>0.43</v>
      </c>
      <c r="BV488" s="4">
        <v>1290.387573</v>
      </c>
      <c r="BW488" s="4">
        <v>2.1000000000000001E-2</v>
      </c>
      <c r="BX488" s="5"/>
      <c r="BY488" s="5"/>
      <c r="BZ488" s="5"/>
      <c r="CA488" s="5"/>
    </row>
    <row r="489" spans="1:79" x14ac:dyDescent="0.3">
      <c r="A489" s="4" t="s">
        <v>296</v>
      </c>
      <c r="B489" s="4">
        <v>0.9</v>
      </c>
      <c r="C489" s="4">
        <v>0.5</v>
      </c>
      <c r="D489" s="4">
        <v>0.6</v>
      </c>
      <c r="E489" s="4">
        <v>0.3</v>
      </c>
      <c r="F489" s="4">
        <v>893.09466599999996</v>
      </c>
      <c r="G489" s="4">
        <v>3.0000000000000001E-3</v>
      </c>
      <c r="I489" s="4" t="s">
        <v>296</v>
      </c>
      <c r="J489" s="4">
        <v>0.9</v>
      </c>
      <c r="K489" s="4">
        <v>0.5</v>
      </c>
      <c r="L489" s="4">
        <v>0.6</v>
      </c>
      <c r="M489" s="4">
        <v>0.15</v>
      </c>
      <c r="N489" s="6">
        <v>838.13342299999999</v>
      </c>
      <c r="O489" s="4">
        <v>1.9E-2</v>
      </c>
      <c r="P489" s="5"/>
      <c r="Q489" s="5"/>
      <c r="R489" s="5"/>
      <c r="S489" s="5"/>
      <c r="U489" s="4" t="s">
        <v>296</v>
      </c>
      <c r="V489" s="4">
        <v>0.9</v>
      </c>
      <c r="W489" s="4">
        <v>0.5</v>
      </c>
      <c r="X489" s="4">
        <v>0.6</v>
      </c>
      <c r="Y489" s="4">
        <v>0.3</v>
      </c>
      <c r="Z489" s="6">
        <v>874.65167199999996</v>
      </c>
      <c r="AA489" s="4">
        <v>6.0000000000000001E-3</v>
      </c>
      <c r="AC489" s="4" t="s">
        <v>296</v>
      </c>
      <c r="AD489" s="4">
        <v>0.9</v>
      </c>
      <c r="AE489" s="4">
        <v>0.5</v>
      </c>
      <c r="AF489" s="4">
        <v>0.6</v>
      </c>
      <c r="AG489" s="4">
        <v>0.51</v>
      </c>
      <c r="AH489" s="4">
        <v>987.53033400000004</v>
      </c>
      <c r="AI489" s="4">
        <v>1.7999999999999999E-2</v>
      </c>
      <c r="AJ489" s="5"/>
      <c r="AK489" s="5"/>
      <c r="AL489" s="5"/>
      <c r="AM489" s="5"/>
      <c r="AO489" s="4" t="s">
        <v>297</v>
      </c>
      <c r="AP489" s="4">
        <v>0.9</v>
      </c>
      <c r="AQ489" s="4">
        <v>0.5</v>
      </c>
      <c r="AR489" s="4">
        <v>0.6</v>
      </c>
      <c r="AS489" s="4">
        <v>0.3</v>
      </c>
      <c r="AT489" s="4">
        <v>1149.255371</v>
      </c>
      <c r="AU489" s="4">
        <v>1.0999999999999999E-2</v>
      </c>
      <c r="AW489" s="4" t="s">
        <v>297</v>
      </c>
      <c r="AX489" s="4">
        <v>0.9</v>
      </c>
      <c r="AY489" s="4">
        <v>0.5</v>
      </c>
      <c r="AZ489" s="4">
        <v>0.6</v>
      </c>
      <c r="BA489" s="4">
        <v>0.26</v>
      </c>
      <c r="BB489" s="6">
        <v>1121.7569579999999</v>
      </c>
      <c r="BC489" s="4">
        <v>1.7999999999999999E-2</v>
      </c>
      <c r="BD489" s="5"/>
      <c r="BE489" s="5"/>
      <c r="BF489" s="5"/>
      <c r="BG489" s="5"/>
      <c r="BI489" s="4" t="s">
        <v>297</v>
      </c>
      <c r="BJ489" s="4">
        <v>0.9</v>
      </c>
      <c r="BK489" s="4">
        <v>0.5</v>
      </c>
      <c r="BL489" s="4">
        <v>0.6</v>
      </c>
      <c r="BM489" s="4">
        <v>0.3</v>
      </c>
      <c r="BN489" s="6">
        <v>1111.2010499999999</v>
      </c>
      <c r="BO489" s="4">
        <v>1.2999999999999999E-2</v>
      </c>
      <c r="BQ489" s="4" t="s">
        <v>297</v>
      </c>
      <c r="BR489" s="4">
        <v>0.9</v>
      </c>
      <c r="BS489" s="4">
        <v>0.5</v>
      </c>
      <c r="BT489" s="4">
        <v>0.6</v>
      </c>
      <c r="BU489" s="4">
        <v>0.71</v>
      </c>
      <c r="BV489" s="4">
        <v>1416.036865</v>
      </c>
      <c r="BW489" s="4">
        <v>2.7E-2</v>
      </c>
      <c r="BX489" s="5"/>
      <c r="BY489" s="5"/>
      <c r="BZ489" s="5"/>
      <c r="CA489" s="5"/>
    </row>
    <row r="490" spans="1:79" x14ac:dyDescent="0.3">
      <c r="A490" s="4" t="s">
        <v>298</v>
      </c>
      <c r="B490" s="4">
        <v>0.9</v>
      </c>
      <c r="C490" s="4">
        <v>0.5</v>
      </c>
      <c r="D490" s="4">
        <v>0.6</v>
      </c>
      <c r="E490" s="4">
        <v>0.3</v>
      </c>
      <c r="F490" s="6">
        <v>754.82855199999995</v>
      </c>
      <c r="G490" s="4">
        <v>3.0000000000000001E-3</v>
      </c>
      <c r="I490" s="4" t="s">
        <v>298</v>
      </c>
      <c r="J490" s="4">
        <v>0.9</v>
      </c>
      <c r="K490" s="4">
        <v>0.5</v>
      </c>
      <c r="L490" s="4">
        <v>0.6</v>
      </c>
      <c r="M490" s="4">
        <v>0.48</v>
      </c>
      <c r="N490" s="4">
        <v>871.31005900000002</v>
      </c>
      <c r="O490" s="4">
        <v>8.9999999999999993E-3</v>
      </c>
      <c r="P490" s="5"/>
      <c r="Q490" s="5"/>
      <c r="R490" s="5"/>
      <c r="S490" s="5"/>
      <c r="U490" s="4" t="s">
        <v>298</v>
      </c>
      <c r="V490" s="4">
        <v>0.9</v>
      </c>
      <c r="W490" s="4">
        <v>0.5</v>
      </c>
      <c r="X490" s="4">
        <v>0.6</v>
      </c>
      <c r="Y490" s="4">
        <v>0.3</v>
      </c>
      <c r="Z490" s="6">
        <v>769.587402</v>
      </c>
      <c r="AA490" s="4">
        <v>5.0000000000000001E-3</v>
      </c>
      <c r="AC490" s="4" t="s">
        <v>298</v>
      </c>
      <c r="AD490" s="4">
        <v>0.9</v>
      </c>
      <c r="AE490" s="4">
        <v>0.5</v>
      </c>
      <c r="AF490" s="4">
        <v>0.6</v>
      </c>
      <c r="AG490" s="4">
        <v>0.9</v>
      </c>
      <c r="AH490" s="4">
        <v>1014.44281</v>
      </c>
      <c r="AI490" s="4">
        <v>4.8000000000000001E-2</v>
      </c>
      <c r="AJ490" s="5"/>
      <c r="AK490" s="5"/>
      <c r="AL490" s="5"/>
      <c r="AM490" s="5"/>
      <c r="AO490" s="4" t="s">
        <v>299</v>
      </c>
      <c r="AP490" s="4">
        <v>0.9</v>
      </c>
      <c r="AQ490" s="4">
        <v>0.5</v>
      </c>
      <c r="AR490" s="4">
        <v>0.6</v>
      </c>
      <c r="AS490" s="4">
        <v>0.3</v>
      </c>
      <c r="AT490" s="4">
        <v>1175.9945070000001</v>
      </c>
      <c r="AU490" s="4">
        <v>1.0999999999999999E-2</v>
      </c>
      <c r="AW490" s="4" t="s">
        <v>299</v>
      </c>
      <c r="AX490" s="4">
        <v>0.9</v>
      </c>
      <c r="AY490" s="4">
        <v>0.5</v>
      </c>
      <c r="AZ490" s="4">
        <v>0.6</v>
      </c>
      <c r="BA490" s="4">
        <v>0.17</v>
      </c>
      <c r="BB490" s="6">
        <v>1068.7775879999999</v>
      </c>
      <c r="BC490" s="4">
        <v>0.02</v>
      </c>
      <c r="BD490" s="5"/>
      <c r="BE490" s="5"/>
      <c r="BF490" s="5"/>
      <c r="BG490" s="5"/>
      <c r="BI490" s="4" t="s">
        <v>299</v>
      </c>
      <c r="BJ490" s="4">
        <v>0.9</v>
      </c>
      <c r="BK490" s="4">
        <v>0.5</v>
      </c>
      <c r="BL490" s="4">
        <v>0.6</v>
      </c>
      <c r="BM490" s="4">
        <v>0.3</v>
      </c>
      <c r="BN490" s="6">
        <v>1160.5267329999999</v>
      </c>
      <c r="BO490" s="4">
        <v>1.7999999999999999E-2</v>
      </c>
      <c r="BQ490" s="4" t="s">
        <v>299</v>
      </c>
      <c r="BR490" s="4">
        <v>0.9</v>
      </c>
      <c r="BS490" s="4">
        <v>0.5</v>
      </c>
      <c r="BT490" s="4">
        <v>0.6</v>
      </c>
      <c r="BU490" s="4">
        <v>0.52</v>
      </c>
      <c r="BV490" s="4">
        <v>1334.4820560000001</v>
      </c>
      <c r="BW490" s="4">
        <v>3.6999999999999998E-2</v>
      </c>
      <c r="BX490" s="5"/>
      <c r="BY490" s="5"/>
      <c r="BZ490" s="5"/>
      <c r="CA490" s="5"/>
    </row>
    <row r="491" spans="1:79" x14ac:dyDescent="0.3">
      <c r="A491" s="4" t="s">
        <v>300</v>
      </c>
      <c r="B491" s="4">
        <v>0.9</v>
      </c>
      <c r="C491" s="4">
        <v>0.5</v>
      </c>
      <c r="D491" s="4">
        <v>0.6</v>
      </c>
      <c r="E491" s="4">
        <v>0.3</v>
      </c>
      <c r="F491" s="6">
        <v>835.60382100000004</v>
      </c>
      <c r="G491" s="4">
        <v>3.0000000000000001E-3</v>
      </c>
      <c r="I491" s="4" t="s">
        <v>300</v>
      </c>
      <c r="J491" s="4">
        <v>0.9</v>
      </c>
      <c r="K491" s="4">
        <v>0.5</v>
      </c>
      <c r="L491" s="4">
        <v>0.6</v>
      </c>
      <c r="M491" s="4">
        <v>0.53</v>
      </c>
      <c r="N491" s="4">
        <v>943.61340299999995</v>
      </c>
      <c r="O491" s="4">
        <v>1.2E-2</v>
      </c>
      <c r="P491" s="5"/>
      <c r="Q491" s="5"/>
      <c r="R491" s="5"/>
      <c r="S491" s="5"/>
      <c r="U491" s="4" t="s">
        <v>300</v>
      </c>
      <c r="V491" s="4">
        <v>0.9</v>
      </c>
      <c r="W491" s="4">
        <v>0.5</v>
      </c>
      <c r="X491" s="4">
        <v>0.6</v>
      </c>
      <c r="Y491" s="4">
        <v>0.3</v>
      </c>
      <c r="Z491" s="6">
        <v>822.50744599999996</v>
      </c>
      <c r="AA491" s="4">
        <v>5.0000000000000001E-3</v>
      </c>
      <c r="AC491" s="4" t="s">
        <v>300</v>
      </c>
      <c r="AD491" s="4">
        <v>0.9</v>
      </c>
      <c r="AE491" s="4">
        <v>0.5</v>
      </c>
      <c r="AF491" s="4">
        <v>0.6</v>
      </c>
      <c r="AG491" s="4">
        <v>0.4</v>
      </c>
      <c r="AH491" s="4">
        <v>893.27795400000002</v>
      </c>
      <c r="AI491" s="4">
        <v>2.8000000000000001E-2</v>
      </c>
      <c r="AJ491" s="5"/>
      <c r="AK491" s="5"/>
      <c r="AL491" s="5"/>
      <c r="AM491" s="5"/>
      <c r="AO491" s="4" t="s">
        <v>301</v>
      </c>
      <c r="AP491" s="4">
        <v>0.9</v>
      </c>
      <c r="AQ491" s="4">
        <v>0.5</v>
      </c>
      <c r="AR491" s="4">
        <v>0.6</v>
      </c>
      <c r="AS491" s="4">
        <v>0.3</v>
      </c>
      <c r="AT491" s="6">
        <v>1162.9406739999999</v>
      </c>
      <c r="AU491" s="4">
        <v>1.2E-2</v>
      </c>
      <c r="AW491" s="4" t="s">
        <v>301</v>
      </c>
      <c r="AX491" s="4">
        <v>0.9</v>
      </c>
      <c r="AY491" s="4">
        <v>0.5</v>
      </c>
      <c r="AZ491" s="4">
        <v>0.6</v>
      </c>
      <c r="BA491" s="4">
        <v>0.89</v>
      </c>
      <c r="BB491" s="4">
        <v>1472.2438959999999</v>
      </c>
      <c r="BC491" s="4">
        <v>1.6E-2</v>
      </c>
      <c r="BD491" s="5"/>
      <c r="BE491" s="5"/>
      <c r="BF491" s="5"/>
      <c r="BG491" s="5"/>
      <c r="BI491" s="4" t="s">
        <v>301</v>
      </c>
      <c r="BJ491" s="4">
        <v>0.9</v>
      </c>
      <c r="BK491" s="4">
        <v>0.5</v>
      </c>
      <c r="BL491" s="4">
        <v>0.6</v>
      </c>
      <c r="BM491" s="4">
        <v>0.3</v>
      </c>
      <c r="BN491" s="6">
        <v>1134.4267580000001</v>
      </c>
      <c r="BO491" s="4">
        <v>1.0999999999999999E-2</v>
      </c>
      <c r="BQ491" s="4" t="s">
        <v>301</v>
      </c>
      <c r="BR491" s="4">
        <v>0.9</v>
      </c>
      <c r="BS491" s="4">
        <v>0.5</v>
      </c>
      <c r="BT491" s="4">
        <v>0.6</v>
      </c>
      <c r="BU491" s="4">
        <v>0.91</v>
      </c>
      <c r="BV491" s="4">
        <v>1490.153687</v>
      </c>
      <c r="BW491" s="4">
        <v>1.7999999999999999E-2</v>
      </c>
      <c r="BX491" s="5"/>
      <c r="BY491" s="5"/>
      <c r="BZ491" s="5"/>
      <c r="CA491" s="5"/>
    </row>
    <row r="492" spans="1:79" x14ac:dyDescent="0.3">
      <c r="A492" s="4" t="s">
        <v>302</v>
      </c>
      <c r="B492" s="4">
        <v>0.9</v>
      </c>
      <c r="C492" s="4">
        <v>0.5</v>
      </c>
      <c r="D492" s="4">
        <v>0.6</v>
      </c>
      <c r="E492" s="4">
        <v>0.3</v>
      </c>
      <c r="F492" s="4">
        <v>787.77703899999995</v>
      </c>
      <c r="G492" s="4">
        <v>3.0000000000000001E-3</v>
      </c>
      <c r="I492" s="4" t="s">
        <v>302</v>
      </c>
      <c r="J492" s="4">
        <v>0.9</v>
      </c>
      <c r="K492" s="4">
        <v>0.5</v>
      </c>
      <c r="L492" s="4">
        <v>0.6</v>
      </c>
      <c r="M492" s="4">
        <v>0.23</v>
      </c>
      <c r="N492" s="6">
        <v>768.14154099999996</v>
      </c>
      <c r="O492" s="4">
        <v>3.2000000000000001E-2</v>
      </c>
      <c r="P492" s="5"/>
      <c r="Q492" s="5"/>
      <c r="R492" s="5"/>
      <c r="S492" s="5"/>
      <c r="U492" s="4" t="s">
        <v>302</v>
      </c>
      <c r="V492" s="4">
        <v>0.9</v>
      </c>
      <c r="W492" s="4">
        <v>0.5</v>
      </c>
      <c r="X492" s="4">
        <v>0.6</v>
      </c>
      <c r="Y492" s="4">
        <v>0.3</v>
      </c>
      <c r="Z492" s="6">
        <v>782.71227999999996</v>
      </c>
      <c r="AA492" s="4">
        <v>8.9999999999999993E-3</v>
      </c>
      <c r="AC492" s="4" t="s">
        <v>302</v>
      </c>
      <c r="AD492" s="4">
        <v>0.9</v>
      </c>
      <c r="AE492" s="4">
        <v>0.5</v>
      </c>
      <c r="AF492" s="4">
        <v>0.6</v>
      </c>
      <c r="AG492" s="4">
        <v>0.92</v>
      </c>
      <c r="AH492" s="4">
        <v>1009.967041</v>
      </c>
      <c r="AI492" s="4">
        <v>1.9E-2</v>
      </c>
      <c r="AJ492" s="5"/>
      <c r="AK492" s="5"/>
      <c r="AL492" s="5"/>
      <c r="AM492" s="5"/>
      <c r="AO492" s="4" t="s">
        <v>303</v>
      </c>
      <c r="AP492" s="4">
        <v>0.9</v>
      </c>
      <c r="AQ492" s="4">
        <v>0.5</v>
      </c>
      <c r="AR492" s="4">
        <v>0.6</v>
      </c>
      <c r="AS492" s="4">
        <v>0.3</v>
      </c>
      <c r="AT492" s="6">
        <v>1128.966797</v>
      </c>
      <c r="AU492" s="4">
        <v>1.2E-2</v>
      </c>
      <c r="AW492" s="4" t="s">
        <v>303</v>
      </c>
      <c r="AX492" s="4">
        <v>0.9</v>
      </c>
      <c r="AY492" s="4">
        <v>0.5</v>
      </c>
      <c r="AZ492" s="4">
        <v>0.6</v>
      </c>
      <c r="BA492" s="4">
        <v>0.45</v>
      </c>
      <c r="BB492" s="4">
        <v>1207.9486079999999</v>
      </c>
      <c r="BC492" s="4">
        <v>2.5999999999999999E-2</v>
      </c>
      <c r="BD492" s="5"/>
      <c r="BE492" s="5"/>
      <c r="BF492" s="5"/>
      <c r="BG492" s="5"/>
      <c r="BI492" s="4" t="s">
        <v>303</v>
      </c>
      <c r="BJ492" s="4">
        <v>0.9</v>
      </c>
      <c r="BK492" s="4">
        <v>0.5</v>
      </c>
      <c r="BL492" s="4">
        <v>0.6</v>
      </c>
      <c r="BM492" s="4">
        <v>0.3</v>
      </c>
      <c r="BN492" s="6">
        <v>1121.3630370000001</v>
      </c>
      <c r="BO492" s="4">
        <v>1.9E-2</v>
      </c>
      <c r="BQ492" s="4" t="s">
        <v>303</v>
      </c>
      <c r="BR492" s="4">
        <v>0.9</v>
      </c>
      <c r="BS492" s="4">
        <v>0.5</v>
      </c>
      <c r="BT492" s="4">
        <v>0.6</v>
      </c>
      <c r="BU492" s="4">
        <v>0.53</v>
      </c>
      <c r="BV492" s="4">
        <v>1282.1883539999999</v>
      </c>
      <c r="BW492" s="4">
        <v>2.8000000000000001E-2</v>
      </c>
      <c r="BX492" s="5"/>
      <c r="BY492" s="5"/>
      <c r="BZ492" s="5"/>
      <c r="CA492" s="5"/>
    </row>
    <row r="493" spans="1:79" x14ac:dyDescent="0.3">
      <c r="A493" s="4" t="s">
        <v>304</v>
      </c>
      <c r="B493" s="4">
        <v>0.9</v>
      </c>
      <c r="C493" s="4">
        <v>0.5</v>
      </c>
      <c r="D493" s="4">
        <v>0.6</v>
      </c>
      <c r="E493" s="4">
        <v>0.3</v>
      </c>
      <c r="F493" s="6">
        <v>899.57849099999999</v>
      </c>
      <c r="G493" s="4">
        <v>3.0000000000000001E-3</v>
      </c>
      <c r="I493" s="4" t="s">
        <v>304</v>
      </c>
      <c r="J493" s="4">
        <v>0.9</v>
      </c>
      <c r="K493" s="4">
        <v>0.5</v>
      </c>
      <c r="L493" s="4">
        <v>0.6</v>
      </c>
      <c r="M493" s="4">
        <v>0.56999999999999995</v>
      </c>
      <c r="N493" s="4">
        <v>1043.3304439999999</v>
      </c>
      <c r="O493" s="4">
        <v>0.02</v>
      </c>
      <c r="P493" s="5"/>
      <c r="Q493" s="5"/>
      <c r="R493" s="5"/>
      <c r="S493" s="5"/>
      <c r="U493" s="4" t="s">
        <v>304</v>
      </c>
      <c r="V493" s="4">
        <v>0.9</v>
      </c>
      <c r="W493" s="4">
        <v>0.5</v>
      </c>
      <c r="X493" s="4">
        <v>0.6</v>
      </c>
      <c r="Y493" s="4">
        <v>0.3</v>
      </c>
      <c r="Z493" s="6">
        <v>882.54406700000004</v>
      </c>
      <c r="AA493" s="4">
        <v>7.0000000000000001E-3</v>
      </c>
      <c r="AC493" s="4" t="s">
        <v>304</v>
      </c>
      <c r="AD493" s="4">
        <v>0.9</v>
      </c>
      <c r="AE493" s="4">
        <v>0.5</v>
      </c>
      <c r="AF493" s="4">
        <v>0.6</v>
      </c>
      <c r="AG493" s="4">
        <v>0.32</v>
      </c>
      <c r="AH493" s="4">
        <v>911.64007600000002</v>
      </c>
      <c r="AI493" s="4">
        <v>1.0999999999999999E-2</v>
      </c>
      <c r="AJ493" s="5"/>
      <c r="AK493" s="5"/>
      <c r="AL493" s="5"/>
      <c r="AM493" s="5"/>
      <c r="AO493" s="4" t="s">
        <v>305</v>
      </c>
      <c r="AP493" s="4">
        <v>0.9</v>
      </c>
      <c r="AQ493" s="4">
        <v>0.5</v>
      </c>
      <c r="AR493" s="4">
        <v>0.6</v>
      </c>
      <c r="AS493" s="4">
        <v>0.3</v>
      </c>
      <c r="AT493" s="4">
        <v>1170.610596</v>
      </c>
      <c r="AU493" s="4">
        <v>1.0999999999999999E-2</v>
      </c>
      <c r="AW493" s="4" t="s">
        <v>305</v>
      </c>
      <c r="AX493" s="4">
        <v>0.9</v>
      </c>
      <c r="AY493" s="4">
        <v>0.5</v>
      </c>
      <c r="AZ493" s="4">
        <v>0.6</v>
      </c>
      <c r="BA493" s="4">
        <v>0.04</v>
      </c>
      <c r="BB493" s="6">
        <v>952.83074999999997</v>
      </c>
      <c r="BC493" s="4">
        <v>2.8000000000000001E-2</v>
      </c>
      <c r="BD493" s="5"/>
      <c r="BE493" s="5"/>
      <c r="BF493" s="5"/>
      <c r="BG493" s="5"/>
      <c r="BI493" s="4" t="s">
        <v>305</v>
      </c>
      <c r="BJ493" s="4">
        <v>0.9</v>
      </c>
      <c r="BK493" s="4">
        <v>0.5</v>
      </c>
      <c r="BL493" s="4">
        <v>0.6</v>
      </c>
      <c r="BM493" s="4">
        <v>0.3</v>
      </c>
      <c r="BN493" s="4">
        <v>1167.3039550000001</v>
      </c>
      <c r="BO493" s="4">
        <v>1.2E-2</v>
      </c>
      <c r="BQ493" s="4" t="s">
        <v>305</v>
      </c>
      <c r="BR493" s="4">
        <v>0.9</v>
      </c>
      <c r="BS493" s="4">
        <v>0.5</v>
      </c>
      <c r="BT493" s="4">
        <v>0.6</v>
      </c>
      <c r="BU493" s="4">
        <v>0.16</v>
      </c>
      <c r="BV493" s="6">
        <v>1046.0688479999999</v>
      </c>
      <c r="BW493" s="4">
        <v>3.3000000000000002E-2</v>
      </c>
      <c r="BX493" s="5"/>
      <c r="BY493" s="5"/>
      <c r="BZ493" s="5"/>
      <c r="CA493" s="5"/>
    </row>
    <row r="494" spans="1:79" x14ac:dyDescent="0.3">
      <c r="A494" s="4" t="s">
        <v>306</v>
      </c>
      <c r="B494" s="4">
        <v>0.9</v>
      </c>
      <c r="C494" s="4">
        <v>0.5</v>
      </c>
      <c r="D494" s="4">
        <v>0.6</v>
      </c>
      <c r="E494" s="4">
        <v>0.3</v>
      </c>
      <c r="F494" s="6">
        <v>929.13562000000002</v>
      </c>
      <c r="G494" s="4">
        <v>3.0000000000000001E-3</v>
      </c>
      <c r="I494" s="4" t="s">
        <v>306</v>
      </c>
      <c r="J494" s="4">
        <v>0.9</v>
      </c>
      <c r="K494" s="4">
        <v>0.5</v>
      </c>
      <c r="L494" s="4">
        <v>0.6</v>
      </c>
      <c r="M494" s="4">
        <v>0.7</v>
      </c>
      <c r="N494" s="4">
        <v>1091.0390620000001</v>
      </c>
      <c r="O494" s="4">
        <v>2.3E-2</v>
      </c>
      <c r="P494" s="5"/>
      <c r="Q494" s="5"/>
      <c r="R494" s="5"/>
      <c r="S494" s="5"/>
      <c r="U494" s="4" t="s">
        <v>306</v>
      </c>
      <c r="V494" s="4">
        <v>0.9</v>
      </c>
      <c r="W494" s="4">
        <v>0.5</v>
      </c>
      <c r="X494" s="4">
        <v>0.6</v>
      </c>
      <c r="Y494" s="4">
        <v>0.3</v>
      </c>
      <c r="Z494" s="4">
        <v>913.94134499999996</v>
      </c>
      <c r="AA494" s="4">
        <v>3.0000000000000001E-3</v>
      </c>
      <c r="AC494" s="4" t="s">
        <v>306</v>
      </c>
      <c r="AD494" s="4">
        <v>0.9</v>
      </c>
      <c r="AE494" s="4">
        <v>0.5</v>
      </c>
      <c r="AF494" s="4">
        <v>0.6</v>
      </c>
      <c r="AG494" s="4">
        <v>0.12</v>
      </c>
      <c r="AH494" s="6">
        <v>807.31396500000005</v>
      </c>
      <c r="AI494" s="4">
        <v>0.03</v>
      </c>
      <c r="AJ494" s="5"/>
      <c r="AK494" s="5"/>
      <c r="AL494" s="5"/>
      <c r="AM494" s="5"/>
      <c r="AO494" s="4" t="s">
        <v>307</v>
      </c>
      <c r="AP494" s="4">
        <v>0.9</v>
      </c>
      <c r="AQ494" s="4">
        <v>0.5</v>
      </c>
      <c r="AR494" s="4">
        <v>0.6</v>
      </c>
      <c r="AS494" s="4">
        <v>0.3</v>
      </c>
      <c r="AT494" s="6">
        <v>1117.85376</v>
      </c>
      <c r="AU494" s="4">
        <v>2.1000000000000001E-2</v>
      </c>
      <c r="AW494" s="4" t="s">
        <v>307</v>
      </c>
      <c r="AX494" s="4">
        <v>0.9</v>
      </c>
      <c r="AY494" s="4">
        <v>0.5</v>
      </c>
      <c r="AZ494" s="4">
        <v>0.6</v>
      </c>
      <c r="BA494" s="4">
        <v>0.47</v>
      </c>
      <c r="BB494" s="4">
        <v>1259.8138429999999</v>
      </c>
      <c r="BC494" s="4">
        <v>1.7999999999999999E-2</v>
      </c>
      <c r="BD494" s="5"/>
      <c r="BE494" s="5"/>
      <c r="BF494" s="5"/>
      <c r="BG494" s="5"/>
      <c r="BI494" s="4" t="s">
        <v>307</v>
      </c>
      <c r="BJ494" s="4">
        <v>0.9</v>
      </c>
      <c r="BK494" s="4">
        <v>0.5</v>
      </c>
      <c r="BL494" s="4">
        <v>0.6</v>
      </c>
      <c r="BM494" s="4">
        <v>0.3</v>
      </c>
      <c r="BN494" s="6">
        <v>1123.4803469999999</v>
      </c>
      <c r="BO494" s="4">
        <v>1.4E-2</v>
      </c>
      <c r="BQ494" s="4" t="s">
        <v>307</v>
      </c>
      <c r="BR494" s="4">
        <v>0.9</v>
      </c>
      <c r="BS494" s="4">
        <v>0.5</v>
      </c>
      <c r="BT494" s="4">
        <v>0.6</v>
      </c>
      <c r="BU494" s="4">
        <v>0.56000000000000005</v>
      </c>
      <c r="BV494" s="4">
        <v>1301.818115</v>
      </c>
      <c r="BW494" s="4">
        <v>2.1999999999999999E-2</v>
      </c>
      <c r="BX494" s="5"/>
      <c r="BY494" s="5"/>
      <c r="BZ494" s="5"/>
      <c r="CA494" s="5"/>
    </row>
    <row r="495" spans="1:79" x14ac:dyDescent="0.3">
      <c r="A495" s="4" t="s">
        <v>308</v>
      </c>
      <c r="B495" s="4">
        <v>0.9</v>
      </c>
      <c r="C495" s="4">
        <v>0.5</v>
      </c>
      <c r="D495" s="4">
        <v>0.6</v>
      </c>
      <c r="E495" s="4">
        <v>0.3</v>
      </c>
      <c r="F495" s="6">
        <v>916.51580799999999</v>
      </c>
      <c r="G495" s="4">
        <v>4.0000000000000001E-3</v>
      </c>
      <c r="I495" s="4" t="s">
        <v>308</v>
      </c>
      <c r="J495" s="4">
        <v>0.9</v>
      </c>
      <c r="K495" s="4">
        <v>0.5</v>
      </c>
      <c r="L495" s="4">
        <v>0.6</v>
      </c>
      <c r="M495" s="4">
        <v>0.77</v>
      </c>
      <c r="N495" s="4">
        <v>1087.588379</v>
      </c>
      <c r="O495" s="4">
        <v>2.4E-2</v>
      </c>
      <c r="P495" s="5"/>
      <c r="Q495" s="5"/>
      <c r="R495" s="5"/>
      <c r="S495" s="5"/>
      <c r="U495" s="4" t="s">
        <v>308</v>
      </c>
      <c r="V495" s="4">
        <v>0.9</v>
      </c>
      <c r="W495" s="4">
        <v>0.5</v>
      </c>
      <c r="X495" s="4">
        <v>0.6</v>
      </c>
      <c r="Y495" s="4">
        <v>0.3</v>
      </c>
      <c r="Z495" s="6">
        <v>913.86053500000003</v>
      </c>
      <c r="AA495" s="4">
        <v>6.0000000000000001E-3</v>
      </c>
      <c r="AC495" s="4" t="s">
        <v>308</v>
      </c>
      <c r="AD495" s="4">
        <v>0.9</v>
      </c>
      <c r="AE495" s="4">
        <v>0.5</v>
      </c>
      <c r="AF495" s="4">
        <v>0.6</v>
      </c>
      <c r="AG495" s="4">
        <v>0.4</v>
      </c>
      <c r="AH495" s="4">
        <v>966.30835000000002</v>
      </c>
      <c r="AI495" s="4">
        <v>2.4E-2</v>
      </c>
      <c r="AJ495" s="5"/>
      <c r="AK495" s="5"/>
      <c r="AL495" s="5"/>
      <c r="AM495" s="5"/>
      <c r="AO495" s="4" t="s">
        <v>309</v>
      </c>
      <c r="AP495" s="4">
        <v>0.9</v>
      </c>
      <c r="AQ495" s="4">
        <v>0.5</v>
      </c>
      <c r="AR495" s="4">
        <v>0.6</v>
      </c>
      <c r="AS495" s="4">
        <v>0.3</v>
      </c>
      <c r="AT495" s="6">
        <v>1139.7379149999999</v>
      </c>
      <c r="AU495" s="4">
        <v>1.4E-2</v>
      </c>
      <c r="AW495" s="4" t="s">
        <v>309</v>
      </c>
      <c r="AX495" s="4">
        <v>0.9</v>
      </c>
      <c r="AY495" s="4">
        <v>0.5</v>
      </c>
      <c r="AZ495" s="4">
        <v>0.6</v>
      </c>
      <c r="BA495" s="4">
        <v>0.43</v>
      </c>
      <c r="BB495" s="4">
        <v>1245.06897</v>
      </c>
      <c r="BC495" s="4">
        <v>2.8000000000000001E-2</v>
      </c>
      <c r="BD495" s="5"/>
      <c r="BE495" s="5"/>
      <c r="BF495" s="5"/>
      <c r="BG495" s="5"/>
      <c r="BI495" s="4" t="s">
        <v>309</v>
      </c>
      <c r="BJ495" s="4">
        <v>0.9</v>
      </c>
      <c r="BK495" s="4">
        <v>0.5</v>
      </c>
      <c r="BL495" s="4">
        <v>0.6</v>
      </c>
      <c r="BM495" s="4">
        <v>0.3</v>
      </c>
      <c r="BN495" s="6">
        <v>1163.2923579999999</v>
      </c>
      <c r="BO495" s="4">
        <v>1.2999999999999999E-2</v>
      </c>
      <c r="BQ495" s="4" t="s">
        <v>309</v>
      </c>
      <c r="BR495" s="4">
        <v>0.9</v>
      </c>
      <c r="BS495" s="4">
        <v>0.5</v>
      </c>
      <c r="BT495" s="4">
        <v>0.6</v>
      </c>
      <c r="BU495" s="4">
        <v>0.76</v>
      </c>
      <c r="BV495" s="4">
        <v>1489.337524</v>
      </c>
      <c r="BW495" s="4">
        <v>1.9E-2</v>
      </c>
      <c r="BX495" s="5"/>
      <c r="BY495" s="5"/>
      <c r="BZ495" s="5"/>
      <c r="CA495" s="5"/>
    </row>
    <row r="496" spans="1:79" x14ac:dyDescent="0.3">
      <c r="A496" s="4" t="s">
        <v>310</v>
      </c>
      <c r="B496" s="4">
        <v>0.9</v>
      </c>
      <c r="C496" s="4">
        <v>0.5</v>
      </c>
      <c r="D496" s="4">
        <v>0.6</v>
      </c>
      <c r="E496" s="4">
        <v>0.3</v>
      </c>
      <c r="F496" s="4">
        <v>883.06671100000005</v>
      </c>
      <c r="G496" s="4">
        <v>3.0000000000000001E-3</v>
      </c>
      <c r="I496" s="4" t="s">
        <v>310</v>
      </c>
      <c r="J496" s="4">
        <v>0.9</v>
      </c>
      <c r="K496" s="4">
        <v>0.5</v>
      </c>
      <c r="L496" s="4">
        <v>0.6</v>
      </c>
      <c r="M496" s="4">
        <v>0.03</v>
      </c>
      <c r="N496" s="6">
        <v>809.33795199999997</v>
      </c>
      <c r="O496" s="4">
        <v>1.2E-2</v>
      </c>
      <c r="P496" s="5"/>
      <c r="Q496" s="5"/>
      <c r="R496" s="5"/>
      <c r="S496" s="5"/>
      <c r="U496" s="4" t="s">
        <v>310</v>
      </c>
      <c r="V496" s="4">
        <v>0.9</v>
      </c>
      <c r="W496" s="4">
        <v>0.5</v>
      </c>
      <c r="X496" s="4">
        <v>0.6</v>
      </c>
      <c r="Y496" s="4">
        <v>0.3</v>
      </c>
      <c r="Z496" s="4">
        <v>863.62872300000004</v>
      </c>
      <c r="AA496" s="4">
        <v>3.0000000000000001E-3</v>
      </c>
      <c r="AC496" s="4" t="s">
        <v>310</v>
      </c>
      <c r="AD496" s="4">
        <v>0.9</v>
      </c>
      <c r="AE496" s="4">
        <v>0.5</v>
      </c>
      <c r="AF496" s="4">
        <v>0.6</v>
      </c>
      <c r="AG496" s="4">
        <v>0.18</v>
      </c>
      <c r="AH496" s="6">
        <v>776.28375200000005</v>
      </c>
      <c r="AI496" s="4">
        <v>2.4E-2</v>
      </c>
      <c r="AJ496" s="5"/>
      <c r="AK496" s="5"/>
      <c r="AL496" s="5"/>
      <c r="AM496" s="5"/>
      <c r="AO496" s="4" t="s">
        <v>311</v>
      </c>
      <c r="AP496" s="4">
        <v>0.9</v>
      </c>
      <c r="AQ496" s="4">
        <v>0.5</v>
      </c>
      <c r="AR496" s="4">
        <v>0.6</v>
      </c>
      <c r="AS496" s="4">
        <v>0.3</v>
      </c>
      <c r="AT496" s="6">
        <v>1187.1453859999999</v>
      </c>
      <c r="AU496" s="4">
        <v>1.0999999999999999E-2</v>
      </c>
      <c r="AW496" s="4" t="s">
        <v>311</v>
      </c>
      <c r="AX496" s="4">
        <v>0.9</v>
      </c>
      <c r="AY496" s="4">
        <v>0.5</v>
      </c>
      <c r="AZ496" s="4">
        <v>0.6</v>
      </c>
      <c r="BA496" s="4">
        <v>0.28999999999999998</v>
      </c>
      <c r="BB496" s="4">
        <v>1191.434692</v>
      </c>
      <c r="BC496" s="4">
        <v>1.9E-2</v>
      </c>
      <c r="BD496" s="5"/>
      <c r="BE496" s="5"/>
      <c r="BF496" s="5"/>
      <c r="BG496" s="5"/>
      <c r="BI496" s="4" t="s">
        <v>311</v>
      </c>
      <c r="BJ496" s="4">
        <v>0.9</v>
      </c>
      <c r="BK496" s="4">
        <v>0.5</v>
      </c>
      <c r="BL496" s="4">
        <v>0.6</v>
      </c>
      <c r="BM496" s="4">
        <v>0.3</v>
      </c>
      <c r="BN496" s="6">
        <v>1151.0008539999999</v>
      </c>
      <c r="BO496" s="4">
        <v>1.4999999999999999E-2</v>
      </c>
      <c r="BQ496" s="4" t="s">
        <v>311</v>
      </c>
      <c r="BR496" s="4">
        <v>0.9</v>
      </c>
      <c r="BS496" s="4">
        <v>0.5</v>
      </c>
      <c r="BT496" s="4">
        <v>0.6</v>
      </c>
      <c r="BU496" s="4">
        <v>0.74</v>
      </c>
      <c r="BV496" s="4">
        <v>1463.5189210000001</v>
      </c>
      <c r="BW496" s="4">
        <v>0.03</v>
      </c>
      <c r="BX496" s="5"/>
      <c r="BY496" s="5"/>
      <c r="BZ496" s="5"/>
      <c r="CA496" s="5"/>
    </row>
    <row r="497" spans="1:79" x14ac:dyDescent="0.3">
      <c r="A497" s="4" t="s">
        <v>312</v>
      </c>
      <c r="B497" s="4">
        <v>0.9</v>
      </c>
      <c r="C497" s="4">
        <v>0.5</v>
      </c>
      <c r="D497" s="4">
        <v>0.6</v>
      </c>
      <c r="E497" s="4">
        <v>0.3</v>
      </c>
      <c r="F497" s="4">
        <v>877.53466800000001</v>
      </c>
      <c r="G497" s="4">
        <v>3.0000000000000001E-3</v>
      </c>
      <c r="I497" s="4" t="s">
        <v>312</v>
      </c>
      <c r="J497" s="4">
        <v>0.9</v>
      </c>
      <c r="K497" s="4">
        <v>0.5</v>
      </c>
      <c r="L497" s="4">
        <v>0.6</v>
      </c>
      <c r="M497" s="4">
        <v>0.04</v>
      </c>
      <c r="N497" s="6">
        <v>708.56121800000005</v>
      </c>
      <c r="O497" s="4">
        <v>2.7E-2</v>
      </c>
      <c r="P497" s="5"/>
      <c r="Q497" s="5"/>
      <c r="R497" s="5"/>
      <c r="S497" s="5"/>
      <c r="U497" s="4" t="s">
        <v>312</v>
      </c>
      <c r="V497" s="4">
        <v>0.9</v>
      </c>
      <c r="W497" s="4">
        <v>0.5</v>
      </c>
      <c r="X497" s="4">
        <v>0.6</v>
      </c>
      <c r="Y497" s="4">
        <v>0.3</v>
      </c>
      <c r="Z497" s="6">
        <v>835.254456</v>
      </c>
      <c r="AA497" s="4">
        <v>3.0000000000000001E-3</v>
      </c>
      <c r="AC497" s="4" t="s">
        <v>312</v>
      </c>
      <c r="AD497" s="4">
        <v>0.9</v>
      </c>
      <c r="AE497" s="4">
        <v>0.5</v>
      </c>
      <c r="AF497" s="4">
        <v>0.6</v>
      </c>
      <c r="AG497" s="4">
        <v>0.53</v>
      </c>
      <c r="AH497" s="4">
        <v>966.95788600000003</v>
      </c>
      <c r="AI497" s="4">
        <v>4.1000000000000002E-2</v>
      </c>
      <c r="AJ497" s="5"/>
      <c r="AK497" s="5"/>
      <c r="AL497" s="5"/>
      <c r="AM497" s="5"/>
      <c r="AO497" s="4" t="s">
        <v>313</v>
      </c>
      <c r="AP497" s="4">
        <v>0.9</v>
      </c>
      <c r="AQ497" s="4">
        <v>0.5</v>
      </c>
      <c r="AR497" s="4">
        <v>0.6</v>
      </c>
      <c r="AS497" s="4">
        <v>0.3</v>
      </c>
      <c r="AT497" s="6">
        <v>1160.268433</v>
      </c>
      <c r="AU497" s="4">
        <v>1.4E-2</v>
      </c>
      <c r="AW497" s="4" t="s">
        <v>313</v>
      </c>
      <c r="AX497" s="4">
        <v>0.9</v>
      </c>
      <c r="AY497" s="4">
        <v>0.5</v>
      </c>
      <c r="AZ497" s="4">
        <v>0.6</v>
      </c>
      <c r="BA497" s="4">
        <v>0.75</v>
      </c>
      <c r="BB497" s="4">
        <v>1429.7921140000001</v>
      </c>
      <c r="BC497" s="4">
        <v>1.6E-2</v>
      </c>
      <c r="BD497" s="5"/>
      <c r="BE497" s="5"/>
      <c r="BF497" s="5"/>
      <c r="BG497" s="5"/>
      <c r="BI497" s="4" t="s">
        <v>313</v>
      </c>
      <c r="BJ497" s="4">
        <v>0.9</v>
      </c>
      <c r="BK497" s="4">
        <v>0.5</v>
      </c>
      <c r="BL497" s="4">
        <v>0.6</v>
      </c>
      <c r="BM497" s="4">
        <v>0.3</v>
      </c>
      <c r="BN497" s="6">
        <v>1167.5998540000001</v>
      </c>
      <c r="BO497" s="4">
        <v>1.4999999999999999E-2</v>
      </c>
      <c r="BQ497" s="4" t="s">
        <v>313</v>
      </c>
      <c r="BR497" s="4">
        <v>0.9</v>
      </c>
      <c r="BS497" s="4">
        <v>0.5</v>
      </c>
      <c r="BT497" s="4">
        <v>0.6</v>
      </c>
      <c r="BU497" s="4">
        <v>0.47</v>
      </c>
      <c r="BV497" s="4">
        <v>1278.543457</v>
      </c>
      <c r="BW497" s="4">
        <v>3.3000000000000002E-2</v>
      </c>
      <c r="BX497" s="5"/>
      <c r="BY497" s="5"/>
      <c r="BZ497" s="5"/>
      <c r="CA497" s="5"/>
    </row>
    <row r="498" spans="1:79" x14ac:dyDescent="0.3">
      <c r="A498" s="14" t="s">
        <v>316</v>
      </c>
      <c r="E498" s="14">
        <f>AVERAGE(E468:E497)</f>
        <v>0.3</v>
      </c>
      <c r="I498" s="14" t="s">
        <v>316</v>
      </c>
      <c r="M498" s="14">
        <f>AVERAGE(M468:M497)</f>
        <v>0.51466666666666661</v>
      </c>
      <c r="P498" s="5"/>
      <c r="Q498" s="5"/>
      <c r="R498" s="5"/>
      <c r="S498" s="5"/>
      <c r="U498" s="14" t="s">
        <v>316</v>
      </c>
      <c r="Y498" s="14">
        <f>AVERAGE(Y468:Y497)</f>
        <v>0.3</v>
      </c>
      <c r="AC498" s="14" t="s">
        <v>316</v>
      </c>
      <c r="AG498" s="14">
        <f>AVERAGE(AG468:AG497)</f>
        <v>0.46633333333333327</v>
      </c>
      <c r="AJ498" s="5"/>
      <c r="AK498" s="5"/>
      <c r="AL498" s="5"/>
      <c r="AM498" s="5"/>
      <c r="AO498" s="14" t="s">
        <v>316</v>
      </c>
      <c r="AS498" s="14">
        <f>AVERAGE(AS468:AS497)</f>
        <v>0.3</v>
      </c>
      <c r="AW498" s="14" t="s">
        <v>316</v>
      </c>
      <c r="BA498" s="14">
        <f>AVERAGE(BA468:BA497)</f>
        <v>0.53033333333333332</v>
      </c>
      <c r="BD498" s="5"/>
      <c r="BE498" s="5"/>
      <c r="BF498" s="5"/>
      <c r="BG498" s="5"/>
      <c r="BI498" s="14" t="s">
        <v>316</v>
      </c>
      <c r="BM498" s="14">
        <f>AVERAGE(BM468:BM497)</f>
        <v>0.3</v>
      </c>
      <c r="BQ498" s="14" t="s">
        <v>316</v>
      </c>
      <c r="BU498" s="14">
        <f>AVERAGE(BU468:BU497)</f>
        <v>0.39566666666666667</v>
      </c>
      <c r="BX498" s="5"/>
      <c r="BY498" s="5"/>
      <c r="BZ498" s="5"/>
      <c r="CA498" s="5"/>
    </row>
    <row r="499" spans="1:79" x14ac:dyDescent="0.3">
      <c r="P499" s="5"/>
      <c r="Q499" s="5"/>
      <c r="R499" s="5"/>
      <c r="S499" s="5"/>
      <c r="AJ499" s="5"/>
      <c r="AK499" s="5"/>
      <c r="AL499" s="5"/>
      <c r="AM499" s="5"/>
      <c r="BD499" s="5"/>
      <c r="BE499" s="5"/>
      <c r="BF499" s="5"/>
      <c r="BG499" s="5"/>
      <c r="BX499" s="5"/>
      <c r="BY499" s="5"/>
      <c r="BZ499" s="5"/>
      <c r="CA499" s="5"/>
    </row>
    <row r="500" spans="1:79" x14ac:dyDescent="0.3">
      <c r="P500" s="5"/>
      <c r="Q500" s="5"/>
      <c r="R500" s="5"/>
      <c r="S500" s="5"/>
      <c r="AJ500" s="5"/>
      <c r="AK500" s="5"/>
      <c r="AL500" s="5"/>
      <c r="AM500" s="5"/>
      <c r="BD500" s="5"/>
      <c r="BE500" s="5"/>
      <c r="BF500" s="5"/>
      <c r="BG500" s="5"/>
      <c r="BX500" s="5"/>
      <c r="BY500" s="5"/>
      <c r="BZ500" s="5"/>
      <c r="CA500" s="5"/>
    </row>
    <row r="501" spans="1:79" x14ac:dyDescent="0.3">
      <c r="A501" s="23" t="s">
        <v>314</v>
      </c>
      <c r="B501" s="23"/>
      <c r="C501" s="23"/>
      <c r="D501" s="23"/>
      <c r="E501" s="23"/>
      <c r="F501" s="23"/>
      <c r="G501" s="23"/>
      <c r="I501" s="24" t="s">
        <v>314</v>
      </c>
      <c r="J501" s="25"/>
      <c r="K501" s="25"/>
      <c r="L501" s="25"/>
      <c r="M501" s="25"/>
      <c r="N501" s="25"/>
      <c r="O501" s="26"/>
      <c r="P501" s="11"/>
      <c r="Q501" s="11"/>
      <c r="R501" s="11"/>
      <c r="S501" s="11"/>
      <c r="U501" s="23" t="s">
        <v>314</v>
      </c>
      <c r="V501" s="23"/>
      <c r="W501" s="23"/>
      <c r="X501" s="23"/>
      <c r="Y501" s="23"/>
      <c r="Z501" s="23"/>
      <c r="AA501" s="23"/>
      <c r="AC501" s="24" t="s">
        <v>314</v>
      </c>
      <c r="AD501" s="25"/>
      <c r="AE501" s="25"/>
      <c r="AF501" s="25"/>
      <c r="AG501" s="25"/>
      <c r="AH501" s="25"/>
      <c r="AI501" s="26"/>
      <c r="AJ501" s="11"/>
      <c r="AK501" s="11"/>
      <c r="AL501" s="11"/>
      <c r="AM501" s="11"/>
      <c r="AO501" s="23" t="s">
        <v>314</v>
      </c>
      <c r="AP501" s="23"/>
      <c r="AQ501" s="23"/>
      <c r="AR501" s="23"/>
      <c r="AS501" s="23"/>
      <c r="AT501" s="23"/>
      <c r="AU501" s="23"/>
      <c r="AW501" s="24" t="s">
        <v>314</v>
      </c>
      <c r="AX501" s="25"/>
      <c r="AY501" s="25"/>
      <c r="AZ501" s="25"/>
      <c r="BA501" s="25"/>
      <c r="BB501" s="25"/>
      <c r="BC501" s="26"/>
      <c r="BD501" s="11"/>
      <c r="BE501" s="11"/>
      <c r="BF501" s="11"/>
      <c r="BG501" s="11"/>
      <c r="BI501" s="23" t="s">
        <v>314</v>
      </c>
      <c r="BJ501" s="23"/>
      <c r="BK501" s="23"/>
      <c r="BL501" s="23"/>
      <c r="BM501" s="23"/>
      <c r="BN501" s="23"/>
      <c r="BO501" s="23"/>
      <c r="BQ501" s="24" t="s">
        <v>314</v>
      </c>
      <c r="BR501" s="25"/>
      <c r="BS501" s="25"/>
      <c r="BT501" s="25"/>
      <c r="BU501" s="25"/>
      <c r="BV501" s="25"/>
      <c r="BW501" s="26"/>
      <c r="BX501" s="11"/>
      <c r="BY501" s="11"/>
      <c r="BZ501" s="11"/>
      <c r="CA501" s="11"/>
    </row>
    <row r="502" spans="1:79" x14ac:dyDescent="0.3">
      <c r="A502" s="4" t="s">
        <v>72</v>
      </c>
      <c r="B502" s="4"/>
      <c r="C502" s="4"/>
      <c r="D502" s="4"/>
      <c r="E502" s="4"/>
      <c r="F502" s="4"/>
      <c r="G502" s="4"/>
      <c r="I502" s="4" t="s">
        <v>72</v>
      </c>
      <c r="J502" s="4"/>
      <c r="K502" s="4"/>
      <c r="L502" s="4"/>
      <c r="M502" s="4"/>
      <c r="N502" s="4"/>
      <c r="O502" s="4"/>
      <c r="P502" s="5"/>
      <c r="Q502" s="5"/>
      <c r="R502" s="5"/>
      <c r="S502" s="5"/>
      <c r="U502" s="4" t="s">
        <v>73</v>
      </c>
      <c r="V502" s="4"/>
      <c r="W502" s="4"/>
      <c r="X502" s="4"/>
      <c r="Y502" s="4"/>
      <c r="Z502" s="4"/>
      <c r="AA502" s="4"/>
      <c r="AC502" s="4" t="s">
        <v>73</v>
      </c>
      <c r="AD502" s="4"/>
      <c r="AE502" s="4"/>
      <c r="AF502" s="4"/>
      <c r="AG502" s="4"/>
      <c r="AH502" s="4"/>
      <c r="AI502" s="4"/>
      <c r="AJ502" s="5"/>
      <c r="AK502" s="5"/>
      <c r="AL502" s="5"/>
      <c r="AM502" s="5"/>
      <c r="AO502" s="4" t="s">
        <v>72</v>
      </c>
      <c r="AP502" s="4"/>
      <c r="AQ502" s="4"/>
      <c r="AR502" s="4"/>
      <c r="AS502" s="4"/>
      <c r="AT502" s="4"/>
      <c r="AU502" s="4"/>
      <c r="AW502" s="4" t="s">
        <v>72</v>
      </c>
      <c r="AX502" s="4"/>
      <c r="AY502" s="4"/>
      <c r="AZ502" s="4"/>
      <c r="BA502" s="4"/>
      <c r="BB502" s="4"/>
      <c r="BC502" s="4"/>
      <c r="BD502" s="5"/>
      <c r="BE502" s="5"/>
      <c r="BF502" s="5"/>
      <c r="BG502" s="5"/>
      <c r="BI502" s="4" t="s">
        <v>73</v>
      </c>
      <c r="BJ502" s="4"/>
      <c r="BK502" s="4"/>
      <c r="BL502" s="4"/>
      <c r="BM502" s="4"/>
      <c r="BN502" s="4"/>
      <c r="BO502" s="4"/>
      <c r="BQ502" s="4" t="s">
        <v>73</v>
      </c>
      <c r="BR502" s="4"/>
      <c r="BS502" s="4"/>
      <c r="BT502" s="4"/>
      <c r="BU502" s="4"/>
      <c r="BV502" s="4"/>
      <c r="BW502" s="4"/>
      <c r="BX502" s="5"/>
      <c r="BY502" s="5"/>
      <c r="BZ502" s="5"/>
      <c r="CA502" s="5"/>
    </row>
    <row r="503" spans="1:79" x14ac:dyDescent="0.3">
      <c r="A503" s="4" t="s">
        <v>2</v>
      </c>
      <c r="B503" s="4" t="s">
        <v>3</v>
      </c>
      <c r="C503" s="4" t="s">
        <v>4</v>
      </c>
      <c r="D503" s="4" t="s">
        <v>5</v>
      </c>
      <c r="E503" s="4" t="s">
        <v>6</v>
      </c>
      <c r="F503" s="4" t="s">
        <v>7</v>
      </c>
      <c r="G503" s="4" t="s">
        <v>8</v>
      </c>
      <c r="I503" s="4" t="s">
        <v>2</v>
      </c>
      <c r="J503" s="4" t="s">
        <v>3</v>
      </c>
      <c r="K503" s="4" t="s">
        <v>4</v>
      </c>
      <c r="L503" s="4" t="s">
        <v>5</v>
      </c>
      <c r="M503" s="4" t="s">
        <v>6</v>
      </c>
      <c r="N503" s="4" t="s">
        <v>7</v>
      </c>
      <c r="O503" s="4" t="s">
        <v>8</v>
      </c>
      <c r="P503" s="3" t="s">
        <v>322</v>
      </c>
      <c r="Q503" s="3" t="s">
        <v>323</v>
      </c>
      <c r="R503" s="3" t="s">
        <v>322</v>
      </c>
      <c r="S503" s="3" t="s">
        <v>323</v>
      </c>
      <c r="U503" s="4" t="s">
        <v>2</v>
      </c>
      <c r="V503" s="4" t="s">
        <v>3</v>
      </c>
      <c r="W503" s="4" t="s">
        <v>4</v>
      </c>
      <c r="X503" s="4" t="s">
        <v>5</v>
      </c>
      <c r="Y503" s="4" t="s">
        <v>6</v>
      </c>
      <c r="Z503" s="4" t="s">
        <v>7</v>
      </c>
      <c r="AA503" s="4" t="s">
        <v>8</v>
      </c>
      <c r="AC503" s="4" t="s">
        <v>2</v>
      </c>
      <c r="AD503" s="4" t="s">
        <v>3</v>
      </c>
      <c r="AE503" s="4" t="s">
        <v>4</v>
      </c>
      <c r="AF503" s="4" t="s">
        <v>5</v>
      </c>
      <c r="AG503" s="4" t="s">
        <v>6</v>
      </c>
      <c r="AH503" s="4" t="s">
        <v>7</v>
      </c>
      <c r="AI503" s="4" t="s">
        <v>8</v>
      </c>
      <c r="AJ503" s="3" t="s">
        <v>322</v>
      </c>
      <c r="AK503" s="3" t="s">
        <v>323</v>
      </c>
      <c r="AL503" s="3" t="s">
        <v>322</v>
      </c>
      <c r="AM503" s="3" t="s">
        <v>323</v>
      </c>
      <c r="AO503" s="4" t="s">
        <v>2</v>
      </c>
      <c r="AP503" s="4" t="s">
        <v>3</v>
      </c>
      <c r="AQ503" s="4" t="s">
        <v>4</v>
      </c>
      <c r="AR503" s="4" t="s">
        <v>5</v>
      </c>
      <c r="AS503" s="4" t="s">
        <v>6</v>
      </c>
      <c r="AT503" s="4" t="s">
        <v>7</v>
      </c>
      <c r="AU503" s="4" t="s">
        <v>8</v>
      </c>
      <c r="AW503" s="4" t="s">
        <v>2</v>
      </c>
      <c r="AX503" s="4" t="s">
        <v>3</v>
      </c>
      <c r="AY503" s="4" t="s">
        <v>4</v>
      </c>
      <c r="AZ503" s="4" t="s">
        <v>5</v>
      </c>
      <c r="BA503" s="4" t="s">
        <v>6</v>
      </c>
      <c r="BB503" s="4" t="s">
        <v>7</v>
      </c>
      <c r="BC503" s="4" t="s">
        <v>8</v>
      </c>
      <c r="BD503" s="3" t="s">
        <v>322</v>
      </c>
      <c r="BE503" s="3" t="s">
        <v>323</v>
      </c>
      <c r="BF503" s="3" t="s">
        <v>322</v>
      </c>
      <c r="BG503" s="3" t="s">
        <v>323</v>
      </c>
      <c r="BI503" s="4" t="s">
        <v>2</v>
      </c>
      <c r="BJ503" s="4" t="s">
        <v>3</v>
      </c>
      <c r="BK503" s="4" t="s">
        <v>4</v>
      </c>
      <c r="BL503" s="4" t="s">
        <v>5</v>
      </c>
      <c r="BM503" s="4" t="s">
        <v>6</v>
      </c>
      <c r="BN503" s="4" t="s">
        <v>7</v>
      </c>
      <c r="BO503" s="4" t="s">
        <v>8</v>
      </c>
      <c r="BQ503" s="4" t="s">
        <v>2</v>
      </c>
      <c r="BR503" s="4" t="s">
        <v>3</v>
      </c>
      <c r="BS503" s="4" t="s">
        <v>4</v>
      </c>
      <c r="BT503" s="4" t="s">
        <v>5</v>
      </c>
      <c r="BU503" s="4" t="s">
        <v>6</v>
      </c>
      <c r="BV503" s="4" t="s">
        <v>7</v>
      </c>
      <c r="BW503" s="4" t="s">
        <v>8</v>
      </c>
      <c r="BX503" s="3" t="s">
        <v>322</v>
      </c>
      <c r="BY503" s="3" t="s">
        <v>323</v>
      </c>
      <c r="BZ503" s="3" t="s">
        <v>322</v>
      </c>
      <c r="CA503" s="3" t="s">
        <v>323</v>
      </c>
    </row>
    <row r="504" spans="1:79" x14ac:dyDescent="0.3">
      <c r="A504" s="4" t="s">
        <v>254</v>
      </c>
      <c r="B504" s="4">
        <v>0.9</v>
      </c>
      <c r="C504" s="4">
        <v>0.5</v>
      </c>
      <c r="D504" s="4">
        <v>0.6</v>
      </c>
      <c r="E504" s="4">
        <v>0.3</v>
      </c>
      <c r="F504" s="4">
        <v>655.10363800000005</v>
      </c>
      <c r="G504" s="4">
        <v>3.0000000000000001E-3</v>
      </c>
      <c r="I504" s="4" t="s">
        <v>254</v>
      </c>
      <c r="J504" s="4">
        <v>0.9</v>
      </c>
      <c r="K504" s="4">
        <v>0.5</v>
      </c>
      <c r="L504" s="4">
        <v>0.6</v>
      </c>
      <c r="M504" s="4">
        <v>0.01</v>
      </c>
      <c r="N504" s="6">
        <v>626.76531999999997</v>
      </c>
      <c r="O504" s="4">
        <v>2.1000000000000001E-2</v>
      </c>
      <c r="P504" s="4" t="s">
        <v>324</v>
      </c>
      <c r="Q504" s="4" t="s">
        <v>324</v>
      </c>
      <c r="R504" s="4" t="s">
        <v>327</v>
      </c>
      <c r="S504" s="4" t="s">
        <v>327</v>
      </c>
      <c r="U504" s="4" t="s">
        <v>254</v>
      </c>
      <c r="V504" s="4">
        <v>0.9</v>
      </c>
      <c r="W504" s="4">
        <v>0.5</v>
      </c>
      <c r="X504" s="4">
        <v>0.6</v>
      </c>
      <c r="Y504" s="4">
        <v>0.3</v>
      </c>
      <c r="Z504" s="4">
        <v>663.27514599999995</v>
      </c>
      <c r="AA504" s="4">
        <v>3.0000000000000001E-3</v>
      </c>
      <c r="AC504" s="4" t="s">
        <v>254</v>
      </c>
      <c r="AD504" s="4">
        <v>0.9</v>
      </c>
      <c r="AE504" s="4">
        <v>0.5</v>
      </c>
      <c r="AF504" s="4">
        <v>0.6</v>
      </c>
      <c r="AG504" s="4">
        <v>0.01</v>
      </c>
      <c r="AH504" s="6">
        <v>613.77172900000005</v>
      </c>
      <c r="AI504" s="4">
        <v>0.01</v>
      </c>
      <c r="AJ504" s="4" t="s">
        <v>324</v>
      </c>
      <c r="AK504" s="4" t="s">
        <v>324</v>
      </c>
      <c r="AL504" s="4" t="s">
        <v>327</v>
      </c>
      <c r="AM504" s="4" t="s">
        <v>327</v>
      </c>
      <c r="AO504" s="4" t="s">
        <v>255</v>
      </c>
      <c r="AP504" s="4">
        <v>0.9</v>
      </c>
      <c r="AQ504" s="4">
        <v>0.5</v>
      </c>
      <c r="AR504" s="4">
        <v>0.6</v>
      </c>
      <c r="AS504" s="4">
        <v>0.3</v>
      </c>
      <c r="AT504" s="4">
        <v>1020.847229</v>
      </c>
      <c r="AU504" s="4">
        <v>1.2999999999999999E-2</v>
      </c>
      <c r="AW504" s="4" t="s">
        <v>255</v>
      </c>
      <c r="AX504" s="4">
        <v>0.9</v>
      </c>
      <c r="AY504" s="4">
        <v>0.5</v>
      </c>
      <c r="AZ504" s="4">
        <v>0.6</v>
      </c>
      <c r="BA504" s="4">
        <v>0.01</v>
      </c>
      <c r="BB504" s="6">
        <v>861.04809599999999</v>
      </c>
      <c r="BC504" s="4">
        <v>3.3000000000000002E-2</v>
      </c>
      <c r="BD504" s="4" t="s">
        <v>324</v>
      </c>
      <c r="BE504" s="4" t="s">
        <v>324</v>
      </c>
      <c r="BF504" s="4" t="s">
        <v>327</v>
      </c>
      <c r="BG504" s="4" t="s">
        <v>327</v>
      </c>
      <c r="BI504" s="4" t="s">
        <v>255</v>
      </c>
      <c r="BJ504" s="4">
        <v>0.9</v>
      </c>
      <c r="BK504" s="4">
        <v>0.5</v>
      </c>
      <c r="BL504" s="4">
        <v>0.6</v>
      </c>
      <c r="BM504" s="4">
        <v>0.3</v>
      </c>
      <c r="BN504" s="4">
        <v>997.941284</v>
      </c>
      <c r="BO504" s="4">
        <v>8.0000000000000002E-3</v>
      </c>
      <c r="BQ504" s="4" t="s">
        <v>255</v>
      </c>
      <c r="BR504" s="4">
        <v>0.9</v>
      </c>
      <c r="BS504" s="4">
        <v>0.5</v>
      </c>
      <c r="BT504" s="4">
        <v>0.6</v>
      </c>
      <c r="BU504" s="4">
        <v>0.01</v>
      </c>
      <c r="BV504" s="6">
        <v>848.05395499999997</v>
      </c>
      <c r="BW504" s="4">
        <v>1.4E-2</v>
      </c>
      <c r="BX504" s="4" t="s">
        <v>324</v>
      </c>
      <c r="BY504" s="4" t="s">
        <v>324</v>
      </c>
      <c r="BZ504" s="4" t="s">
        <v>327</v>
      </c>
      <c r="CA504" s="4" t="s">
        <v>327</v>
      </c>
    </row>
    <row r="505" spans="1:79" x14ac:dyDescent="0.3">
      <c r="A505" s="4" t="s">
        <v>256</v>
      </c>
      <c r="B505" s="4">
        <v>0.9</v>
      </c>
      <c r="C505" s="4">
        <v>0.5</v>
      </c>
      <c r="D505" s="4">
        <v>0.6</v>
      </c>
      <c r="E505" s="4">
        <v>0.3</v>
      </c>
      <c r="F505" s="6">
        <v>680.90606700000001</v>
      </c>
      <c r="G505" s="4">
        <v>4.0000000000000001E-3</v>
      </c>
      <c r="I505" s="4" t="s">
        <v>256</v>
      </c>
      <c r="J505" s="4">
        <v>0.9</v>
      </c>
      <c r="K505" s="4">
        <v>0.5</v>
      </c>
      <c r="L505" s="4">
        <v>0.6</v>
      </c>
      <c r="M505" s="4">
        <v>0.45</v>
      </c>
      <c r="N505" s="4">
        <v>748.74060099999997</v>
      </c>
      <c r="O505" s="4">
        <v>2.9000000000000001E-2</v>
      </c>
      <c r="P505" s="3">
        <f>COUNT(F505:F506,F508:F510,F512:F513,F515,F518:F519,F521:F524,F526:F527,F531:F533)</f>
        <v>19</v>
      </c>
      <c r="Q505" s="3">
        <f>30-P505</f>
        <v>11</v>
      </c>
      <c r="R505" s="3">
        <f>COUNT(N504,N507,N511,N514,N516:N517,N520,N525,N528:N530)</f>
        <v>11</v>
      </c>
      <c r="S505" s="3">
        <f>30-R505</f>
        <v>19</v>
      </c>
      <c r="U505" s="4" t="s">
        <v>256</v>
      </c>
      <c r="V505" s="4">
        <v>0.9</v>
      </c>
      <c r="W505" s="4">
        <v>0.5</v>
      </c>
      <c r="X505" s="4">
        <v>0.6</v>
      </c>
      <c r="Y505" s="4">
        <v>0.3</v>
      </c>
      <c r="Z505" s="6">
        <v>671.90026899999998</v>
      </c>
      <c r="AA505" s="4">
        <v>2E-3</v>
      </c>
      <c r="AC505" s="4" t="s">
        <v>256</v>
      </c>
      <c r="AD505" s="4">
        <v>0.9</v>
      </c>
      <c r="AE505" s="4">
        <v>0.5</v>
      </c>
      <c r="AF505" s="4">
        <v>0.6</v>
      </c>
      <c r="AG505" s="4">
        <v>0.4</v>
      </c>
      <c r="AH505" s="4">
        <v>711.36724900000002</v>
      </c>
      <c r="AI505" s="4">
        <v>1.2999999999999999E-2</v>
      </c>
      <c r="AJ505" s="3">
        <f>COUNT(Z505:Z511,Z513:Z516,Z518,Z520,Z522:Z525,Z527:Z529,Z532:Z533)</f>
        <v>22</v>
      </c>
      <c r="AK505" s="3">
        <f>30-AJ505</f>
        <v>8</v>
      </c>
      <c r="AL505" s="3">
        <f>COUNT(AH504,AH507,AH512,AH517,AH519,AH521,AH526,AH530:AH531)</f>
        <v>9</v>
      </c>
      <c r="AM505" s="3">
        <f>30-AL505</f>
        <v>21</v>
      </c>
      <c r="AO505" s="4" t="s">
        <v>257</v>
      </c>
      <c r="AP505" s="4">
        <v>0.9</v>
      </c>
      <c r="AQ505" s="4">
        <v>0.5</v>
      </c>
      <c r="AR505" s="4">
        <v>0.6</v>
      </c>
      <c r="AS505" s="4">
        <v>0.3</v>
      </c>
      <c r="AT505" s="6">
        <v>996.73614499999996</v>
      </c>
      <c r="AU505" s="4">
        <v>8.0000000000000002E-3</v>
      </c>
      <c r="AW505" s="4" t="s">
        <v>257</v>
      </c>
      <c r="AX505" s="4">
        <v>0.9</v>
      </c>
      <c r="AY505" s="4">
        <v>0.5</v>
      </c>
      <c r="AZ505" s="4">
        <v>0.6</v>
      </c>
      <c r="BA505" s="4">
        <v>0.93</v>
      </c>
      <c r="BB505" s="4">
        <v>1168.334717</v>
      </c>
      <c r="BC505" s="4">
        <v>3.3000000000000002E-2</v>
      </c>
      <c r="BD505" s="3">
        <f>COUNT(AT505,AT508:AT510,AT513:AT516,AT518:AT521,AT523,AT525:AT527,AT529:AT533)</f>
        <v>21</v>
      </c>
      <c r="BE505" s="3">
        <f>30-BD505</f>
        <v>9</v>
      </c>
      <c r="BF505" s="3">
        <f>COUNT(BB504,BB506:BB507,BB511:BB512,BB517,BB522,BB524,BB528)</f>
        <v>9</v>
      </c>
      <c r="BG505" s="3">
        <f>30-BF505</f>
        <v>21</v>
      </c>
      <c r="BI505" s="4" t="s">
        <v>257</v>
      </c>
      <c r="BJ505" s="4">
        <v>0.9</v>
      </c>
      <c r="BK505" s="4">
        <v>0.5</v>
      </c>
      <c r="BL505" s="4">
        <v>0.6</v>
      </c>
      <c r="BM505" s="4">
        <v>0.3</v>
      </c>
      <c r="BN505" s="6">
        <v>984.41357400000004</v>
      </c>
      <c r="BO505" s="4">
        <v>8.0000000000000002E-3</v>
      </c>
      <c r="BQ505" s="4" t="s">
        <v>257</v>
      </c>
      <c r="BR505" s="4">
        <v>0.9</v>
      </c>
      <c r="BS505" s="4">
        <v>0.5</v>
      </c>
      <c r="BT505" s="4">
        <v>0.6</v>
      </c>
      <c r="BU505" s="4">
        <v>0.34</v>
      </c>
      <c r="BV505" s="4">
        <v>1002.467773</v>
      </c>
      <c r="BW505" s="4">
        <v>2.7E-2</v>
      </c>
      <c r="BX505" s="3">
        <f>COUNT(BN505:BN510,BN513:BN514,BN518:BN523,BN525,BN527:BN532)</f>
        <v>21</v>
      </c>
      <c r="BY505" s="3">
        <f>30-BX505</f>
        <v>9</v>
      </c>
      <c r="BZ505" s="3">
        <f>COUNT(BV504,BV511,BV512:BV513,BV515:BV517,BV524,BV526,BV533)</f>
        <v>10</v>
      </c>
      <c r="CA505" s="3">
        <f>30-BZ505</f>
        <v>20</v>
      </c>
    </row>
    <row r="506" spans="1:79" x14ac:dyDescent="0.3">
      <c r="A506" s="4" t="s">
        <v>258</v>
      </c>
      <c r="B506" s="4">
        <v>0.9</v>
      </c>
      <c r="C506" s="4">
        <v>0.5</v>
      </c>
      <c r="D506" s="4">
        <v>0.6</v>
      </c>
      <c r="E506" s="4">
        <v>0.3</v>
      </c>
      <c r="F506" s="6">
        <v>675.82568400000002</v>
      </c>
      <c r="G506" s="4">
        <v>4.0000000000000001E-3</v>
      </c>
      <c r="I506" s="4" t="s">
        <v>258</v>
      </c>
      <c r="J506" s="4">
        <v>0.9</v>
      </c>
      <c r="K506" s="4">
        <v>0.5</v>
      </c>
      <c r="L506" s="4">
        <v>0.6</v>
      </c>
      <c r="M506" s="4">
        <v>0.41</v>
      </c>
      <c r="N506" s="4">
        <v>706.378784</v>
      </c>
      <c r="O506" s="4">
        <v>1.7000000000000001E-2</v>
      </c>
      <c r="P506" s="5"/>
      <c r="Q506" s="5"/>
      <c r="R506" s="5"/>
      <c r="S506" s="5"/>
      <c r="U506" s="4" t="s">
        <v>258</v>
      </c>
      <c r="V506" s="4">
        <v>0.9</v>
      </c>
      <c r="W506" s="4">
        <v>0.5</v>
      </c>
      <c r="X506" s="4">
        <v>0.6</v>
      </c>
      <c r="Y506" s="4">
        <v>0.3</v>
      </c>
      <c r="Z506" s="6">
        <v>658.38330099999996</v>
      </c>
      <c r="AA506" s="4">
        <v>4.0000000000000001E-3</v>
      </c>
      <c r="AC506" s="4" t="s">
        <v>258</v>
      </c>
      <c r="AD506" s="4">
        <v>0.9</v>
      </c>
      <c r="AE506" s="4">
        <v>0.5</v>
      </c>
      <c r="AF506" s="4">
        <v>0.6</v>
      </c>
      <c r="AG506" s="4">
        <v>0.46</v>
      </c>
      <c r="AH506" s="4">
        <v>702.38140899999996</v>
      </c>
      <c r="AI506" s="4">
        <v>1.9E-2</v>
      </c>
      <c r="AJ506" s="5"/>
      <c r="AK506" s="5"/>
      <c r="AL506" s="5"/>
      <c r="AM506" s="5"/>
      <c r="AO506" s="4" t="s">
        <v>259</v>
      </c>
      <c r="AP506" s="4">
        <v>0.9</v>
      </c>
      <c r="AQ506" s="4">
        <v>0.5</v>
      </c>
      <c r="AR506" s="4">
        <v>0.6</v>
      </c>
      <c r="AS506" s="4">
        <v>0.3</v>
      </c>
      <c r="AT506" s="4">
        <v>1010.0382080000001</v>
      </c>
      <c r="AU506" s="4">
        <v>8.0000000000000002E-3</v>
      </c>
      <c r="AW506" s="4" t="s">
        <v>259</v>
      </c>
      <c r="AX506" s="4">
        <v>0.9</v>
      </c>
      <c r="AY506" s="4">
        <v>0.5</v>
      </c>
      <c r="AZ506" s="4">
        <v>0.6</v>
      </c>
      <c r="BA506" s="4">
        <v>0.25</v>
      </c>
      <c r="BB506" s="6">
        <v>976.71850600000005</v>
      </c>
      <c r="BC506" s="4">
        <v>3.1E-2</v>
      </c>
      <c r="BD506" s="5"/>
      <c r="BE506" s="5"/>
      <c r="BF506" s="5"/>
      <c r="BG506" s="5"/>
      <c r="BI506" s="4" t="s">
        <v>259</v>
      </c>
      <c r="BJ506" s="4">
        <v>0.9</v>
      </c>
      <c r="BK506" s="4">
        <v>0.5</v>
      </c>
      <c r="BL506" s="4">
        <v>0.6</v>
      </c>
      <c r="BM506" s="4">
        <v>0.3</v>
      </c>
      <c r="BN506" s="6">
        <v>980.48718299999996</v>
      </c>
      <c r="BO506" s="4">
        <v>8.0000000000000002E-3</v>
      </c>
      <c r="BQ506" s="4" t="s">
        <v>259</v>
      </c>
      <c r="BR506" s="4">
        <v>0.9</v>
      </c>
      <c r="BS506" s="4">
        <v>0.5</v>
      </c>
      <c r="BT506" s="4">
        <v>0.6</v>
      </c>
      <c r="BU506" s="4">
        <v>0.32</v>
      </c>
      <c r="BV506" s="4">
        <v>1009.043396</v>
      </c>
      <c r="BW506" s="4">
        <v>2.3E-2</v>
      </c>
      <c r="BX506" s="5"/>
      <c r="BY506" s="5"/>
      <c r="BZ506" s="5"/>
      <c r="CA506" s="5"/>
    </row>
    <row r="507" spans="1:79" x14ac:dyDescent="0.3">
      <c r="A507" s="4" t="s">
        <v>260</v>
      </c>
      <c r="B507" s="4">
        <v>0.9</v>
      </c>
      <c r="C507" s="4">
        <v>0.5</v>
      </c>
      <c r="D507" s="4">
        <v>0.6</v>
      </c>
      <c r="E507" s="4">
        <v>0.3</v>
      </c>
      <c r="F507" s="4">
        <v>694.677368</v>
      </c>
      <c r="G507" s="4">
        <v>3.0000000000000001E-3</v>
      </c>
      <c r="I507" s="4" t="s">
        <v>260</v>
      </c>
      <c r="J507" s="4">
        <v>0.9</v>
      </c>
      <c r="K507" s="4">
        <v>0.5</v>
      </c>
      <c r="L507" s="4">
        <v>0.6</v>
      </c>
      <c r="M507" s="4">
        <v>0.05</v>
      </c>
      <c r="N507" s="6">
        <v>654.51275599999997</v>
      </c>
      <c r="O507" s="4">
        <v>2.5000000000000001E-2</v>
      </c>
      <c r="P507" s="5"/>
      <c r="Q507" s="5"/>
      <c r="R507" s="5"/>
      <c r="S507" s="5"/>
      <c r="U507" s="4" t="s">
        <v>260</v>
      </c>
      <c r="V507" s="4">
        <v>0.9</v>
      </c>
      <c r="W507" s="4">
        <v>0.5</v>
      </c>
      <c r="X507" s="4">
        <v>0.6</v>
      </c>
      <c r="Y507" s="4">
        <v>0.3</v>
      </c>
      <c r="Z507" s="8">
        <v>689.61328100000003</v>
      </c>
      <c r="AA507" s="4">
        <v>3.0000000000000001E-3</v>
      </c>
      <c r="AC507" s="4" t="s">
        <v>260</v>
      </c>
      <c r="AD507" s="4">
        <v>0.9</v>
      </c>
      <c r="AE507" s="4">
        <v>0.5</v>
      </c>
      <c r="AF507" s="4">
        <v>0.6</v>
      </c>
      <c r="AG507" s="4">
        <v>0.23</v>
      </c>
      <c r="AH507" s="6">
        <v>689.27209500000004</v>
      </c>
      <c r="AI507" s="4">
        <v>1.7999999999999999E-2</v>
      </c>
      <c r="AJ507" s="5"/>
      <c r="AK507" s="5"/>
      <c r="AL507" s="5"/>
      <c r="AM507" s="5"/>
      <c r="AO507" s="4" t="s">
        <v>261</v>
      </c>
      <c r="AP507" s="4">
        <v>0.9</v>
      </c>
      <c r="AQ507" s="4">
        <v>0.5</v>
      </c>
      <c r="AR507" s="4">
        <v>0.6</v>
      </c>
      <c r="AS507" s="4">
        <v>0.3</v>
      </c>
      <c r="AT507" s="4">
        <v>973.05468800000006</v>
      </c>
      <c r="AU507" s="4">
        <v>1.2E-2</v>
      </c>
      <c r="AW507" s="4" t="s">
        <v>261</v>
      </c>
      <c r="AX507" s="4">
        <v>0.9</v>
      </c>
      <c r="AY507" s="4">
        <v>0.5</v>
      </c>
      <c r="AZ507" s="4">
        <v>0.6</v>
      </c>
      <c r="BA507" s="4">
        <v>0.02</v>
      </c>
      <c r="BB507" s="6">
        <v>830.035889</v>
      </c>
      <c r="BC507" s="4">
        <v>1.7999999999999999E-2</v>
      </c>
      <c r="BD507" s="5"/>
      <c r="BE507" s="5"/>
      <c r="BF507" s="5"/>
      <c r="BG507" s="5"/>
      <c r="BI507" s="4" t="s">
        <v>261</v>
      </c>
      <c r="BJ507" s="4">
        <v>0.9</v>
      </c>
      <c r="BK507" s="4">
        <v>0.5</v>
      </c>
      <c r="BL507" s="4">
        <v>0.6</v>
      </c>
      <c r="BM507" s="4">
        <v>0.3</v>
      </c>
      <c r="BN507" s="6">
        <v>949.00152600000001</v>
      </c>
      <c r="BO507" s="4">
        <v>7.0000000000000001E-3</v>
      </c>
      <c r="BQ507" s="4" t="s">
        <v>261</v>
      </c>
      <c r="BR507" s="4">
        <v>0.9</v>
      </c>
      <c r="BS507" s="4">
        <v>0.5</v>
      </c>
      <c r="BT507" s="4">
        <v>0.6</v>
      </c>
      <c r="BU507" s="4">
        <v>0.64</v>
      </c>
      <c r="BV507" s="4">
        <v>1064.3355710000001</v>
      </c>
      <c r="BW507" s="4">
        <v>1.7000000000000001E-2</v>
      </c>
      <c r="BX507" s="5"/>
      <c r="BY507" s="5"/>
      <c r="BZ507" s="5"/>
      <c r="CA507" s="5"/>
    </row>
    <row r="508" spans="1:79" x14ac:dyDescent="0.3">
      <c r="A508" s="4" t="s">
        <v>262</v>
      </c>
      <c r="B508" s="4">
        <v>0.9</v>
      </c>
      <c r="C508" s="4">
        <v>0.5</v>
      </c>
      <c r="D508" s="4">
        <v>0.6</v>
      </c>
      <c r="E508" s="4">
        <v>0.3</v>
      </c>
      <c r="F508" s="6">
        <v>741.83142099999998</v>
      </c>
      <c r="G508" s="4">
        <v>3.0000000000000001E-3</v>
      </c>
      <c r="I508" s="4" t="s">
        <v>262</v>
      </c>
      <c r="J508" s="4">
        <v>0.9</v>
      </c>
      <c r="K508" s="4">
        <v>0.5</v>
      </c>
      <c r="L508" s="4">
        <v>0.6</v>
      </c>
      <c r="M508" s="4">
        <v>0.54</v>
      </c>
      <c r="N508" s="4">
        <v>818.86920199999997</v>
      </c>
      <c r="O508" s="4">
        <v>6.2E-2</v>
      </c>
      <c r="P508" s="5"/>
      <c r="Q508" s="5"/>
      <c r="R508" s="5"/>
      <c r="S508" s="5"/>
      <c r="U508" s="4" t="s">
        <v>262</v>
      </c>
      <c r="V508" s="4">
        <v>0.9</v>
      </c>
      <c r="W508" s="4">
        <v>0.5</v>
      </c>
      <c r="X508" s="4">
        <v>0.6</v>
      </c>
      <c r="Y508" s="4">
        <v>0.3</v>
      </c>
      <c r="Z508" s="6">
        <v>724.04480000000001</v>
      </c>
      <c r="AA508" s="4">
        <v>3.0000000000000001E-3</v>
      </c>
      <c r="AC508" s="4" t="s">
        <v>262</v>
      </c>
      <c r="AD508" s="4">
        <v>0.9</v>
      </c>
      <c r="AE508" s="4">
        <v>0.5</v>
      </c>
      <c r="AF508" s="4">
        <v>0.6</v>
      </c>
      <c r="AG508" s="4">
        <v>0.28000000000000003</v>
      </c>
      <c r="AH508" s="4">
        <v>731.99456799999996</v>
      </c>
      <c r="AI508" s="4">
        <v>7.0000000000000001E-3</v>
      </c>
      <c r="AJ508" s="5"/>
      <c r="AK508" s="5"/>
      <c r="AL508" s="5"/>
      <c r="AM508" s="5"/>
      <c r="AO508" s="4" t="s">
        <v>263</v>
      </c>
      <c r="AP508" s="4">
        <v>0.9</v>
      </c>
      <c r="AQ508" s="4">
        <v>0.5</v>
      </c>
      <c r="AR508" s="4">
        <v>0.6</v>
      </c>
      <c r="AS508" s="4">
        <v>0.3</v>
      </c>
      <c r="AT508" s="6">
        <v>1008.017456</v>
      </c>
      <c r="AU508" s="4">
        <v>0.01</v>
      </c>
      <c r="AW508" s="4" t="s">
        <v>263</v>
      </c>
      <c r="AX508" s="4">
        <v>0.9</v>
      </c>
      <c r="AY508" s="4">
        <v>0.5</v>
      </c>
      <c r="AZ508" s="4">
        <v>0.6</v>
      </c>
      <c r="BA508" s="4">
        <v>0.93</v>
      </c>
      <c r="BB508" s="4">
        <v>1153.0916749999999</v>
      </c>
      <c r="BC508" s="4">
        <v>3.7999999999999999E-2</v>
      </c>
      <c r="BD508" s="5"/>
      <c r="BE508" s="5"/>
      <c r="BF508" s="5"/>
      <c r="BG508" s="5"/>
      <c r="BI508" s="4" t="s">
        <v>263</v>
      </c>
      <c r="BJ508" s="4">
        <v>0.9</v>
      </c>
      <c r="BK508" s="4">
        <v>0.5</v>
      </c>
      <c r="BL508" s="4">
        <v>0.6</v>
      </c>
      <c r="BM508" s="4">
        <v>0.3</v>
      </c>
      <c r="BN508" s="6">
        <v>997.88696300000004</v>
      </c>
      <c r="BO508" s="4">
        <v>8.0000000000000002E-3</v>
      </c>
      <c r="BQ508" s="4" t="s">
        <v>263</v>
      </c>
      <c r="BR508" s="4">
        <v>0.9</v>
      </c>
      <c r="BS508" s="4">
        <v>0.5</v>
      </c>
      <c r="BT508" s="4">
        <v>0.6</v>
      </c>
      <c r="BU508" s="4">
        <v>0.89</v>
      </c>
      <c r="BV508" s="4">
        <v>1135.966064</v>
      </c>
      <c r="BW508" s="4">
        <v>1.2999999999999999E-2</v>
      </c>
      <c r="BX508" s="5"/>
      <c r="BY508" s="5"/>
      <c r="BZ508" s="5"/>
      <c r="CA508" s="5"/>
    </row>
    <row r="509" spans="1:79" x14ac:dyDescent="0.3">
      <c r="A509" s="4" t="s">
        <v>264</v>
      </c>
      <c r="B509" s="4">
        <v>0.9</v>
      </c>
      <c r="C509" s="4">
        <v>0.5</v>
      </c>
      <c r="D509" s="4">
        <v>0.6</v>
      </c>
      <c r="E509" s="4">
        <v>0.3</v>
      </c>
      <c r="F509" s="6">
        <v>715.06219499999997</v>
      </c>
      <c r="G509" s="4">
        <v>5.0000000000000001E-3</v>
      </c>
      <c r="I509" s="4" t="s">
        <v>264</v>
      </c>
      <c r="J509" s="4">
        <v>0.9</v>
      </c>
      <c r="K509" s="4">
        <v>0.5</v>
      </c>
      <c r="L509" s="4">
        <v>0.6</v>
      </c>
      <c r="M509" s="4">
        <v>0.45</v>
      </c>
      <c r="N509" s="4">
        <v>782.74249299999997</v>
      </c>
      <c r="O509" s="4">
        <v>2.1999999999999999E-2</v>
      </c>
      <c r="P509" s="5"/>
      <c r="Q509" s="5"/>
      <c r="R509" s="5"/>
      <c r="S509" s="5"/>
      <c r="U509" s="4" t="s">
        <v>264</v>
      </c>
      <c r="V509" s="4">
        <v>0.9</v>
      </c>
      <c r="W509" s="4">
        <v>0.5</v>
      </c>
      <c r="X509" s="4">
        <v>0.6</v>
      </c>
      <c r="Y509" s="4">
        <v>0.3</v>
      </c>
      <c r="Z509" s="6">
        <v>722.42163100000005</v>
      </c>
      <c r="AA509" s="4">
        <v>3.0000000000000001E-3</v>
      </c>
      <c r="AC509" s="4" t="s">
        <v>264</v>
      </c>
      <c r="AD509" s="4">
        <v>0.9</v>
      </c>
      <c r="AE509" s="4">
        <v>0.5</v>
      </c>
      <c r="AF509" s="4">
        <v>0.6</v>
      </c>
      <c r="AG509" s="4">
        <v>0.39</v>
      </c>
      <c r="AH509" s="4">
        <v>759.28961200000003</v>
      </c>
      <c r="AI509" s="4">
        <v>2.3E-2</v>
      </c>
      <c r="AJ509" s="5"/>
      <c r="AK509" s="5"/>
      <c r="AL509" s="5"/>
      <c r="AM509" s="5"/>
      <c r="AO509" s="4" t="s">
        <v>265</v>
      </c>
      <c r="AP509" s="4">
        <v>0.9</v>
      </c>
      <c r="AQ509" s="4">
        <v>0.5</v>
      </c>
      <c r="AR509" s="4">
        <v>0.6</v>
      </c>
      <c r="AS509" s="4">
        <v>0.3</v>
      </c>
      <c r="AT509" s="6">
        <v>982.09576400000003</v>
      </c>
      <c r="AU509" s="4">
        <v>8.9999999999999993E-3</v>
      </c>
      <c r="AW509" s="4" t="s">
        <v>265</v>
      </c>
      <c r="AX509" s="4">
        <v>0.9</v>
      </c>
      <c r="AY509" s="4">
        <v>0.5</v>
      </c>
      <c r="AZ509" s="4">
        <v>0.6</v>
      </c>
      <c r="BA509" s="4">
        <v>0.96</v>
      </c>
      <c r="BB509" s="4">
        <v>1183.161621</v>
      </c>
      <c r="BC509" s="4">
        <v>2.1999999999999999E-2</v>
      </c>
      <c r="BD509" s="5"/>
      <c r="BE509" s="5"/>
      <c r="BF509" s="5"/>
      <c r="BG509" s="5"/>
      <c r="BI509" s="4" t="s">
        <v>265</v>
      </c>
      <c r="BJ509" s="4">
        <v>0.9</v>
      </c>
      <c r="BK509" s="4">
        <v>0.5</v>
      </c>
      <c r="BL509" s="4">
        <v>0.6</v>
      </c>
      <c r="BM509" s="4">
        <v>0.3</v>
      </c>
      <c r="BN509" s="6">
        <v>967.89294400000006</v>
      </c>
      <c r="BO509" s="4">
        <v>8.0000000000000002E-3</v>
      </c>
      <c r="BQ509" s="4" t="s">
        <v>265</v>
      </c>
      <c r="BR509" s="4">
        <v>0.9</v>
      </c>
      <c r="BS509" s="4">
        <v>0.5</v>
      </c>
      <c r="BT509" s="4">
        <v>0.6</v>
      </c>
      <c r="BU509" s="4">
        <v>0.94</v>
      </c>
      <c r="BV509" s="4">
        <v>1164.587524</v>
      </c>
      <c r="BW509" s="4">
        <v>2.5999999999999999E-2</v>
      </c>
      <c r="BX509" s="5"/>
      <c r="BY509" s="5"/>
      <c r="BZ509" s="5"/>
      <c r="CA509" s="5"/>
    </row>
    <row r="510" spans="1:79" x14ac:dyDescent="0.3">
      <c r="A510" s="4" t="s">
        <v>266</v>
      </c>
      <c r="B510" s="4">
        <v>0.9</v>
      </c>
      <c r="C510" s="4">
        <v>0.5</v>
      </c>
      <c r="D510" s="4">
        <v>0.6</v>
      </c>
      <c r="E510" s="4">
        <v>0.3</v>
      </c>
      <c r="F510" s="6">
        <v>648.57183799999996</v>
      </c>
      <c r="G510" s="4">
        <v>8.0000000000000002E-3</v>
      </c>
      <c r="I510" s="4" t="s">
        <v>266</v>
      </c>
      <c r="J510" s="4">
        <v>0.9</v>
      </c>
      <c r="K510" s="4">
        <v>0.5</v>
      </c>
      <c r="L510" s="4">
        <v>0.6</v>
      </c>
      <c r="M510" s="4">
        <v>0.93</v>
      </c>
      <c r="N510" s="4">
        <v>730.35900900000001</v>
      </c>
      <c r="O510" s="4">
        <v>1.4999999999999999E-2</v>
      </c>
      <c r="P510" s="5"/>
      <c r="Q510" s="5"/>
      <c r="R510" s="5"/>
      <c r="S510" s="5"/>
      <c r="U510" s="4" t="s">
        <v>266</v>
      </c>
      <c r="V510" s="4">
        <v>0.9</v>
      </c>
      <c r="W510" s="4">
        <v>0.5</v>
      </c>
      <c r="X510" s="4">
        <v>0.6</v>
      </c>
      <c r="Y510" s="4">
        <v>0.3</v>
      </c>
      <c r="Z510" s="6">
        <v>630.58752400000003</v>
      </c>
      <c r="AA510" s="4">
        <v>3.0000000000000001E-3</v>
      </c>
      <c r="AC510" s="4" t="s">
        <v>266</v>
      </c>
      <c r="AD510" s="4">
        <v>0.9</v>
      </c>
      <c r="AE510" s="4">
        <v>0.5</v>
      </c>
      <c r="AF510" s="4">
        <v>0.6</v>
      </c>
      <c r="AG510" s="4">
        <v>0.99</v>
      </c>
      <c r="AH510" s="4">
        <v>708.16113299999995</v>
      </c>
      <c r="AI510" s="4">
        <v>1.4E-2</v>
      </c>
      <c r="AJ510" s="5"/>
      <c r="AK510" s="5"/>
      <c r="AL510" s="5"/>
      <c r="AM510" s="5"/>
      <c r="AO510" s="4" t="s">
        <v>267</v>
      </c>
      <c r="AP510" s="4">
        <v>0.9</v>
      </c>
      <c r="AQ510" s="4">
        <v>0.5</v>
      </c>
      <c r="AR510" s="4">
        <v>0.6</v>
      </c>
      <c r="AS510" s="4">
        <v>0.3</v>
      </c>
      <c r="AT510" s="6">
        <v>1021.6235349999999</v>
      </c>
      <c r="AU510" s="4">
        <v>0.01</v>
      </c>
      <c r="AW510" s="4" t="s">
        <v>267</v>
      </c>
      <c r="AX510" s="4">
        <v>0.9</v>
      </c>
      <c r="AY510" s="4">
        <v>0.5</v>
      </c>
      <c r="AZ510" s="4">
        <v>0.6</v>
      </c>
      <c r="BA510" s="4">
        <v>0.72</v>
      </c>
      <c r="BB510" s="4">
        <v>1174.403442</v>
      </c>
      <c r="BC510" s="4">
        <v>2.5000000000000001E-2</v>
      </c>
      <c r="BD510" s="5"/>
      <c r="BE510" s="5"/>
      <c r="BF510" s="5"/>
      <c r="BG510" s="5"/>
      <c r="BI510" s="4" t="s">
        <v>267</v>
      </c>
      <c r="BJ510" s="4">
        <v>0.9</v>
      </c>
      <c r="BK510" s="4">
        <v>0.5</v>
      </c>
      <c r="BL510" s="4">
        <v>0.6</v>
      </c>
      <c r="BM510" s="4">
        <v>0.3</v>
      </c>
      <c r="BN510" s="6">
        <v>1009.3192749999999</v>
      </c>
      <c r="BO510" s="4">
        <v>8.0000000000000002E-3</v>
      </c>
      <c r="BQ510" s="4" t="s">
        <v>267</v>
      </c>
      <c r="BR510" s="4">
        <v>0.9</v>
      </c>
      <c r="BS510" s="4">
        <v>0.5</v>
      </c>
      <c r="BT510" s="4">
        <v>0.6</v>
      </c>
      <c r="BU510" s="4">
        <v>0.71</v>
      </c>
      <c r="BV510" s="4">
        <v>1152.9216309999999</v>
      </c>
      <c r="BW510" s="4">
        <v>1.4999999999999999E-2</v>
      </c>
      <c r="BX510" s="5"/>
      <c r="BY510" s="5"/>
      <c r="BZ510" s="5"/>
      <c r="CA510" s="5"/>
    </row>
    <row r="511" spans="1:79" x14ac:dyDescent="0.3">
      <c r="A511" s="4" t="s">
        <v>268</v>
      </c>
      <c r="B511" s="4">
        <v>0.9</v>
      </c>
      <c r="C511" s="4">
        <v>0.5</v>
      </c>
      <c r="D511" s="4">
        <v>0.6</v>
      </c>
      <c r="E511" s="4">
        <v>0.3</v>
      </c>
      <c r="F511" s="4">
        <v>709.701233</v>
      </c>
      <c r="G511" s="4">
        <v>5.0000000000000001E-3</v>
      </c>
      <c r="I511" s="4" t="s">
        <v>268</v>
      </c>
      <c r="J511" s="4">
        <v>0.9</v>
      </c>
      <c r="K511" s="4">
        <v>0.5</v>
      </c>
      <c r="L511" s="4">
        <v>0.6</v>
      </c>
      <c r="M511" s="4">
        <v>0.1</v>
      </c>
      <c r="N511" s="6">
        <v>671.13037099999997</v>
      </c>
      <c r="O511" s="4">
        <v>2.5999999999999999E-2</v>
      </c>
      <c r="P511" s="5"/>
      <c r="Q511" s="5"/>
      <c r="R511" s="5"/>
      <c r="S511" s="5"/>
      <c r="U511" s="4" t="s">
        <v>268</v>
      </c>
      <c r="V511" s="4">
        <v>0.9</v>
      </c>
      <c r="W511" s="4">
        <v>0.5</v>
      </c>
      <c r="X511" s="4">
        <v>0.6</v>
      </c>
      <c r="Y511" s="4">
        <v>0.3</v>
      </c>
      <c r="Z511" s="6">
        <v>697.81646699999999</v>
      </c>
      <c r="AA511" s="4">
        <v>4.0000000000000001E-3</v>
      </c>
      <c r="AC511" s="4" t="s">
        <v>268</v>
      </c>
      <c r="AD511" s="4">
        <v>0.9</v>
      </c>
      <c r="AE511" s="4">
        <v>0.5</v>
      </c>
      <c r="AF511" s="4">
        <v>0.6</v>
      </c>
      <c r="AG511" s="4">
        <v>0.28999999999999998</v>
      </c>
      <c r="AH511" s="4">
        <v>716.06542999999999</v>
      </c>
      <c r="AI511" s="4">
        <v>1.2999999999999999E-2</v>
      </c>
      <c r="AJ511" s="5"/>
      <c r="AK511" s="5"/>
      <c r="AL511" s="5"/>
      <c r="AM511" s="5"/>
      <c r="AO511" s="4" t="s">
        <v>269</v>
      </c>
      <c r="AP511" s="4">
        <v>0.9</v>
      </c>
      <c r="AQ511" s="4">
        <v>0.5</v>
      </c>
      <c r="AR511" s="4">
        <v>0.6</v>
      </c>
      <c r="AS511" s="4">
        <v>0.3</v>
      </c>
      <c r="AT511" s="4">
        <v>969.22955300000001</v>
      </c>
      <c r="AU511" s="4">
        <v>8.9999999999999993E-3</v>
      </c>
      <c r="AW511" s="4" t="s">
        <v>269</v>
      </c>
      <c r="AX511" s="4">
        <v>0.9</v>
      </c>
      <c r="AY511" s="4">
        <v>0.5</v>
      </c>
      <c r="AZ511" s="4">
        <v>0.6</v>
      </c>
      <c r="BA511" s="4">
        <v>0.12</v>
      </c>
      <c r="BB511" s="6">
        <v>861.01367200000004</v>
      </c>
      <c r="BC511" s="4">
        <v>2.7E-2</v>
      </c>
      <c r="BD511" s="5"/>
      <c r="BE511" s="5"/>
      <c r="BF511" s="5"/>
      <c r="BG511" s="5"/>
      <c r="BI511" s="4" t="s">
        <v>269</v>
      </c>
      <c r="BJ511" s="4">
        <v>0.9</v>
      </c>
      <c r="BK511" s="4">
        <v>0.5</v>
      </c>
      <c r="BL511" s="4">
        <v>0.6</v>
      </c>
      <c r="BM511" s="4">
        <v>0.3</v>
      </c>
      <c r="BN511" s="4">
        <v>956.60247800000002</v>
      </c>
      <c r="BO511" s="4">
        <v>8.0000000000000002E-3</v>
      </c>
      <c r="BQ511" s="4" t="s">
        <v>269</v>
      </c>
      <c r="BR511" s="4">
        <v>0.9</v>
      </c>
      <c r="BS511" s="4">
        <v>0.5</v>
      </c>
      <c r="BT511" s="4">
        <v>0.6</v>
      </c>
      <c r="BU511" s="4">
        <v>0.26</v>
      </c>
      <c r="BV511" s="6">
        <v>939.637024</v>
      </c>
      <c r="BW511" s="4">
        <v>1.9E-2</v>
      </c>
      <c r="BX511" s="5"/>
      <c r="BY511" s="5"/>
      <c r="BZ511" s="5"/>
      <c r="CA511" s="5"/>
    </row>
    <row r="512" spans="1:79" x14ac:dyDescent="0.3">
      <c r="A512" s="4" t="s">
        <v>270</v>
      </c>
      <c r="B512" s="4">
        <v>0.9</v>
      </c>
      <c r="C512" s="4">
        <v>0.5</v>
      </c>
      <c r="D512" s="4">
        <v>0.6</v>
      </c>
      <c r="E512" s="4">
        <v>0.3</v>
      </c>
      <c r="F512" s="6">
        <v>621.15045199999997</v>
      </c>
      <c r="G512" s="4">
        <v>2E-3</v>
      </c>
      <c r="I512" s="4" t="s">
        <v>270</v>
      </c>
      <c r="J512" s="4">
        <v>0.9</v>
      </c>
      <c r="K512" s="4">
        <v>0.5</v>
      </c>
      <c r="L512" s="4">
        <v>0.6</v>
      </c>
      <c r="M512" s="4">
        <v>0.5</v>
      </c>
      <c r="N512" s="4">
        <v>666.57696499999997</v>
      </c>
      <c r="O512" s="4">
        <v>2.5000000000000001E-2</v>
      </c>
      <c r="P512" s="5"/>
      <c r="Q512" s="5"/>
      <c r="R512" s="5"/>
      <c r="S512" s="5"/>
      <c r="U512" s="4" t="s">
        <v>270</v>
      </c>
      <c r="V512" s="4">
        <v>0.9</v>
      </c>
      <c r="W512" s="4">
        <v>0.5</v>
      </c>
      <c r="X512" s="4">
        <v>0.6</v>
      </c>
      <c r="Y512" s="4">
        <v>0.3</v>
      </c>
      <c r="Z512" s="4">
        <v>599.91198699999995</v>
      </c>
      <c r="AA512" s="4">
        <v>4.0000000000000001E-3</v>
      </c>
      <c r="AC512" s="4" t="s">
        <v>270</v>
      </c>
      <c r="AD512" s="4">
        <v>0.9</v>
      </c>
      <c r="AE512" s="4">
        <v>0.5</v>
      </c>
      <c r="AF512" s="4">
        <v>0.6</v>
      </c>
      <c r="AG512" s="4">
        <v>0.12</v>
      </c>
      <c r="AH512" s="6">
        <v>566.63647500000002</v>
      </c>
      <c r="AI512" s="4">
        <v>1.6E-2</v>
      </c>
      <c r="AJ512" s="5"/>
      <c r="AK512" s="5"/>
      <c r="AL512" s="5"/>
      <c r="AM512" s="5"/>
      <c r="AO512" s="4" t="s">
        <v>271</v>
      </c>
      <c r="AP512" s="4">
        <v>0.9</v>
      </c>
      <c r="AQ512" s="4">
        <v>0.5</v>
      </c>
      <c r="AR512" s="4">
        <v>0.6</v>
      </c>
      <c r="AS512" s="4">
        <v>0.3</v>
      </c>
      <c r="AT512" s="4">
        <v>992.293091</v>
      </c>
      <c r="AU512" s="4">
        <v>0.01</v>
      </c>
      <c r="AW512" s="4" t="s">
        <v>271</v>
      </c>
      <c r="AX512" s="4">
        <v>0.9</v>
      </c>
      <c r="AY512" s="4">
        <v>0.5</v>
      </c>
      <c r="AZ512" s="4">
        <v>0.6</v>
      </c>
      <c r="BA512" s="4">
        <v>0.16</v>
      </c>
      <c r="BB512" s="6">
        <v>877.21551499999998</v>
      </c>
      <c r="BC512" s="4">
        <v>3.5999999999999997E-2</v>
      </c>
      <c r="BD512" s="5"/>
      <c r="BE512" s="5"/>
      <c r="BF512" s="5"/>
      <c r="BG512" s="5"/>
      <c r="BI512" s="4" t="s">
        <v>271</v>
      </c>
      <c r="BJ512" s="4">
        <v>0.9</v>
      </c>
      <c r="BK512" s="4">
        <v>0.5</v>
      </c>
      <c r="BL512" s="4">
        <v>0.6</v>
      </c>
      <c r="BM512" s="4">
        <v>0.3</v>
      </c>
      <c r="BN512" s="4">
        <v>970.82843000000003</v>
      </c>
      <c r="BO512" s="4">
        <v>8.0000000000000002E-3</v>
      </c>
      <c r="BQ512" s="4" t="s">
        <v>271</v>
      </c>
      <c r="BR512" s="4">
        <v>0.9</v>
      </c>
      <c r="BS512" s="4">
        <v>0.5</v>
      </c>
      <c r="BT512" s="4">
        <v>0.6</v>
      </c>
      <c r="BU512" s="4">
        <v>0.06</v>
      </c>
      <c r="BV512" s="6">
        <v>788.35638400000005</v>
      </c>
      <c r="BW512" s="4">
        <v>3.1E-2</v>
      </c>
      <c r="BX512" s="5"/>
      <c r="BY512" s="5"/>
      <c r="BZ512" s="5"/>
      <c r="CA512" s="5"/>
    </row>
    <row r="513" spans="1:79" x14ac:dyDescent="0.3">
      <c r="A513" s="4" t="s">
        <v>272</v>
      </c>
      <c r="B513" s="4">
        <v>0.9</v>
      </c>
      <c r="C513" s="4">
        <v>0.5</v>
      </c>
      <c r="D513" s="4">
        <v>0.6</v>
      </c>
      <c r="E513" s="4">
        <v>0.3</v>
      </c>
      <c r="F513" s="6">
        <v>763.63147000000004</v>
      </c>
      <c r="G513" s="4">
        <v>0.01</v>
      </c>
      <c r="I513" s="4" t="s">
        <v>272</v>
      </c>
      <c r="J513" s="4">
        <v>0.9</v>
      </c>
      <c r="K513" s="4">
        <v>0.5</v>
      </c>
      <c r="L513" s="4">
        <v>0.6</v>
      </c>
      <c r="M513" s="4">
        <v>0.87</v>
      </c>
      <c r="N513" s="4">
        <v>921.57562299999995</v>
      </c>
      <c r="O513" s="4">
        <v>0.06</v>
      </c>
      <c r="P513" s="5"/>
      <c r="Q513" s="5"/>
      <c r="R513" s="5"/>
      <c r="S513" s="5"/>
      <c r="U513" s="4" t="s">
        <v>272</v>
      </c>
      <c r="V513" s="4">
        <v>0.9</v>
      </c>
      <c r="W513" s="4">
        <v>0.5</v>
      </c>
      <c r="X513" s="4">
        <v>0.6</v>
      </c>
      <c r="Y513" s="4">
        <v>0.3</v>
      </c>
      <c r="Z513" s="6">
        <v>758.83270300000004</v>
      </c>
      <c r="AA513" s="4">
        <v>3.0000000000000001E-3</v>
      </c>
      <c r="AC513" s="4" t="s">
        <v>272</v>
      </c>
      <c r="AD513" s="4">
        <v>0.9</v>
      </c>
      <c r="AE513" s="4">
        <v>0.5</v>
      </c>
      <c r="AF513" s="4">
        <v>0.6</v>
      </c>
      <c r="AG513" s="4">
        <v>0.62</v>
      </c>
      <c r="AH513" s="4">
        <v>874.59326199999998</v>
      </c>
      <c r="AI513" s="4">
        <v>2.1999999999999999E-2</v>
      </c>
      <c r="AJ513" s="5"/>
      <c r="AK513" s="5"/>
      <c r="AL513" s="5"/>
      <c r="AM513" s="5"/>
      <c r="AO513" s="4" t="s">
        <v>273</v>
      </c>
      <c r="AP513" s="4">
        <v>0.9</v>
      </c>
      <c r="AQ513" s="4">
        <v>0.5</v>
      </c>
      <c r="AR513" s="4">
        <v>0.6</v>
      </c>
      <c r="AS513" s="4">
        <v>0.3</v>
      </c>
      <c r="AT513" s="6">
        <v>1011.3010860000001</v>
      </c>
      <c r="AU513" s="4">
        <v>1.2999999999999999E-2</v>
      </c>
      <c r="AW513" s="4" t="s">
        <v>273</v>
      </c>
      <c r="AX513" s="4">
        <v>0.9</v>
      </c>
      <c r="AY513" s="4">
        <v>0.5</v>
      </c>
      <c r="AZ513" s="4">
        <v>0.6</v>
      </c>
      <c r="BA513" s="4">
        <v>0.68</v>
      </c>
      <c r="BB513" s="4">
        <v>1159.749634</v>
      </c>
      <c r="BC513" s="4">
        <v>2.1999999999999999E-2</v>
      </c>
      <c r="BD513" s="5"/>
      <c r="BE513" s="5"/>
      <c r="BF513" s="5"/>
      <c r="BG513" s="5"/>
      <c r="BI513" s="4" t="s">
        <v>273</v>
      </c>
      <c r="BJ513" s="4">
        <v>0.9</v>
      </c>
      <c r="BK513" s="4">
        <v>0.5</v>
      </c>
      <c r="BL513" s="4">
        <v>0.6</v>
      </c>
      <c r="BM513" s="4">
        <v>0.3</v>
      </c>
      <c r="BN513" s="6">
        <v>1009.639771</v>
      </c>
      <c r="BO513" s="4">
        <v>8.9999999999999993E-3</v>
      </c>
      <c r="BQ513" s="4" t="s">
        <v>273</v>
      </c>
      <c r="BR513" s="4">
        <v>0.9</v>
      </c>
      <c r="BS513" s="4">
        <v>0.5</v>
      </c>
      <c r="BT513" s="4">
        <v>0.6</v>
      </c>
      <c r="BU513" s="4">
        <v>0.6</v>
      </c>
      <c r="BV513" s="6">
        <v>1127.4542240000001</v>
      </c>
      <c r="BW513" s="4">
        <v>2.1000000000000001E-2</v>
      </c>
      <c r="BX513" s="5"/>
      <c r="BY513" s="5"/>
      <c r="BZ513" s="5"/>
      <c r="CA513" s="5"/>
    </row>
    <row r="514" spans="1:79" x14ac:dyDescent="0.3">
      <c r="A514" s="4" t="s">
        <v>274</v>
      </c>
      <c r="B514" s="4">
        <v>0.9</v>
      </c>
      <c r="C514" s="4">
        <v>0.5</v>
      </c>
      <c r="D514" s="4">
        <v>0.6</v>
      </c>
      <c r="E514" s="4">
        <v>0.3</v>
      </c>
      <c r="F514" s="4">
        <v>803.24688700000002</v>
      </c>
      <c r="G514" s="4">
        <v>3.0000000000000001E-3</v>
      </c>
      <c r="I514" s="4" t="s">
        <v>274</v>
      </c>
      <c r="J514" s="4">
        <v>0.9</v>
      </c>
      <c r="K514" s="4">
        <v>0.5</v>
      </c>
      <c r="L514" s="4">
        <v>0.6</v>
      </c>
      <c r="M514" s="4">
        <v>7.0000000000000007E-2</v>
      </c>
      <c r="N514" s="6">
        <v>726.89935300000002</v>
      </c>
      <c r="O514" s="4">
        <v>2.8000000000000001E-2</v>
      </c>
      <c r="P514" s="5"/>
      <c r="Q514" s="5"/>
      <c r="R514" s="5"/>
      <c r="S514" s="5"/>
      <c r="U514" s="4" t="s">
        <v>274</v>
      </c>
      <c r="V514" s="4">
        <v>0.9</v>
      </c>
      <c r="W514" s="4">
        <v>0.5</v>
      </c>
      <c r="X514" s="4">
        <v>0.6</v>
      </c>
      <c r="Y514" s="4">
        <v>0.3</v>
      </c>
      <c r="Z514" s="6">
        <v>824.87976100000003</v>
      </c>
      <c r="AA514" s="4">
        <v>8.0000000000000002E-3</v>
      </c>
      <c r="AC514" s="4" t="s">
        <v>274</v>
      </c>
      <c r="AD514" s="4">
        <v>0.9</v>
      </c>
      <c r="AE514" s="4">
        <v>0.5</v>
      </c>
      <c r="AF514" s="4">
        <v>0.6</v>
      </c>
      <c r="AG514" s="4">
        <v>0.59</v>
      </c>
      <c r="AH514" s="4">
        <v>933.52972399999999</v>
      </c>
      <c r="AI514" s="4">
        <v>2.5000000000000001E-2</v>
      </c>
      <c r="AJ514" s="5"/>
      <c r="AK514" s="5"/>
      <c r="AL514" s="5"/>
      <c r="AM514" s="5"/>
      <c r="AO514" s="4" t="s">
        <v>275</v>
      </c>
      <c r="AP514" s="4">
        <v>0.9</v>
      </c>
      <c r="AQ514" s="4">
        <v>0.5</v>
      </c>
      <c r="AR514" s="4">
        <v>0.6</v>
      </c>
      <c r="AS514" s="4">
        <v>0.3</v>
      </c>
      <c r="AT514" s="6">
        <v>1104.543823</v>
      </c>
      <c r="AU514" s="4">
        <v>1.7000000000000001E-2</v>
      </c>
      <c r="AW514" s="4" t="s">
        <v>275</v>
      </c>
      <c r="AX514" s="4">
        <v>0.9</v>
      </c>
      <c r="AY514" s="4">
        <v>0.5</v>
      </c>
      <c r="AZ514" s="4">
        <v>0.6</v>
      </c>
      <c r="BA514" s="4">
        <v>0.61</v>
      </c>
      <c r="BB514" s="4">
        <v>1278.730591</v>
      </c>
      <c r="BC514" s="4">
        <v>2.5999999999999999E-2</v>
      </c>
      <c r="BD514" s="5"/>
      <c r="BE514" s="5"/>
      <c r="BF514" s="5"/>
      <c r="BG514" s="5"/>
      <c r="BI514" s="4" t="s">
        <v>275</v>
      </c>
      <c r="BJ514" s="4">
        <v>0.9</v>
      </c>
      <c r="BK514" s="4">
        <v>0.5</v>
      </c>
      <c r="BL514" s="4">
        <v>0.6</v>
      </c>
      <c r="BM514" s="4">
        <v>0.3</v>
      </c>
      <c r="BN514" s="6">
        <v>1113.980957</v>
      </c>
      <c r="BO514" s="4">
        <v>8.9999999999999993E-3</v>
      </c>
      <c r="BQ514" s="4" t="s">
        <v>275</v>
      </c>
      <c r="BR514" s="4">
        <v>0.9</v>
      </c>
      <c r="BS514" s="4">
        <v>0.5</v>
      </c>
      <c r="BT514" s="4">
        <v>0.6</v>
      </c>
      <c r="BU514" s="4">
        <v>0.68</v>
      </c>
      <c r="BV514" s="4">
        <v>1275.309814</v>
      </c>
      <c r="BW514" s="4">
        <v>1.9E-2</v>
      </c>
      <c r="BX514" s="5"/>
      <c r="BY514" s="5"/>
      <c r="BZ514" s="5"/>
      <c r="CA514" s="5"/>
    </row>
    <row r="515" spans="1:79" x14ac:dyDescent="0.3">
      <c r="A515" s="4" t="s">
        <v>276</v>
      </c>
      <c r="B515" s="4">
        <v>0.9</v>
      </c>
      <c r="C515" s="4">
        <v>0.5</v>
      </c>
      <c r="D515" s="4">
        <v>0.6</v>
      </c>
      <c r="E515" s="4">
        <v>0.3</v>
      </c>
      <c r="F515" s="6">
        <v>702.81957999999997</v>
      </c>
      <c r="G515" s="4">
        <v>3.0000000000000001E-3</v>
      </c>
      <c r="I515" s="4" t="s">
        <v>276</v>
      </c>
      <c r="J515" s="4">
        <v>0.9</v>
      </c>
      <c r="K515" s="4">
        <v>0.5</v>
      </c>
      <c r="L515" s="4">
        <v>0.6</v>
      </c>
      <c r="M515" s="4">
        <v>0.57999999999999996</v>
      </c>
      <c r="N515" s="4">
        <v>819.82025099999998</v>
      </c>
      <c r="O515" s="4">
        <v>0.04</v>
      </c>
      <c r="P515" s="5"/>
      <c r="Q515" s="5"/>
      <c r="R515" s="5"/>
      <c r="S515" s="5"/>
      <c r="U515" s="4" t="s">
        <v>276</v>
      </c>
      <c r="V515" s="4">
        <v>0.9</v>
      </c>
      <c r="W515" s="4">
        <v>0.5</v>
      </c>
      <c r="X515" s="4">
        <v>0.6</v>
      </c>
      <c r="Y515" s="4">
        <v>0.3</v>
      </c>
      <c r="Z515" s="6">
        <v>698.92034899999999</v>
      </c>
      <c r="AA515" s="4">
        <v>2E-3</v>
      </c>
      <c r="AC515" s="4" t="s">
        <v>276</v>
      </c>
      <c r="AD515" s="4">
        <v>0.9</v>
      </c>
      <c r="AE515" s="4">
        <v>0.5</v>
      </c>
      <c r="AF515" s="4">
        <v>0.6</v>
      </c>
      <c r="AG515" s="4">
        <v>0.48</v>
      </c>
      <c r="AH515" s="4">
        <v>770.22997999999995</v>
      </c>
      <c r="AI515" s="4">
        <v>1.7999999999999999E-2</v>
      </c>
      <c r="AJ515" s="5"/>
      <c r="AK515" s="5"/>
      <c r="AL515" s="5"/>
      <c r="AM515" s="5"/>
      <c r="AO515" s="4" t="s">
        <v>277</v>
      </c>
      <c r="AP515" s="4">
        <v>0.9</v>
      </c>
      <c r="AQ515" s="4">
        <v>0.5</v>
      </c>
      <c r="AR515" s="4">
        <v>0.6</v>
      </c>
      <c r="AS515" s="4">
        <v>0.3</v>
      </c>
      <c r="AT515" s="6">
        <v>1007.628723</v>
      </c>
      <c r="AU515" s="4">
        <v>1.2E-2</v>
      </c>
      <c r="AW515" s="4" t="s">
        <v>277</v>
      </c>
      <c r="AX515" s="4">
        <v>0.9</v>
      </c>
      <c r="AY515" s="4">
        <v>0.5</v>
      </c>
      <c r="AZ515" s="4">
        <v>0.6</v>
      </c>
      <c r="BA515" s="4">
        <v>0.95</v>
      </c>
      <c r="BB515" s="4">
        <v>1246.0601810000001</v>
      </c>
      <c r="BC515" s="4">
        <v>1.9E-2</v>
      </c>
      <c r="BD515" s="5"/>
      <c r="BE515" s="5"/>
      <c r="BF515" s="5"/>
      <c r="BG515" s="5"/>
      <c r="BI515" s="4" t="s">
        <v>277</v>
      </c>
      <c r="BJ515" s="4">
        <v>0.9</v>
      </c>
      <c r="BK515" s="4">
        <v>0.5</v>
      </c>
      <c r="BL515" s="4">
        <v>0.6</v>
      </c>
      <c r="BM515" s="4">
        <v>0.3</v>
      </c>
      <c r="BN515" s="4">
        <v>991.24267599999996</v>
      </c>
      <c r="BO515" s="4">
        <v>8.9999999999999993E-3</v>
      </c>
      <c r="BQ515" s="4" t="s">
        <v>277</v>
      </c>
      <c r="BR515" s="4">
        <v>0.9</v>
      </c>
      <c r="BS515" s="4">
        <v>0.5</v>
      </c>
      <c r="BT515" s="4">
        <v>0.6</v>
      </c>
      <c r="BU515" s="4">
        <v>7.0000000000000007E-2</v>
      </c>
      <c r="BV515" s="6">
        <v>827.91296399999999</v>
      </c>
      <c r="BW515" s="4">
        <v>1.7999999999999999E-2</v>
      </c>
      <c r="BX515" s="5"/>
      <c r="BY515" s="5"/>
      <c r="BZ515" s="5"/>
      <c r="CA515" s="5"/>
    </row>
    <row r="516" spans="1:79" x14ac:dyDescent="0.3">
      <c r="A516" s="4" t="s">
        <v>278</v>
      </c>
      <c r="B516" s="4">
        <v>0.9</v>
      </c>
      <c r="C516" s="4">
        <v>0.5</v>
      </c>
      <c r="D516" s="4">
        <v>0.6</v>
      </c>
      <c r="E516" s="4">
        <v>0.3</v>
      </c>
      <c r="F516" s="4">
        <v>664.71575900000005</v>
      </c>
      <c r="G516" s="4">
        <v>6.0000000000000001E-3</v>
      </c>
      <c r="I516" s="4" t="s">
        <v>278</v>
      </c>
      <c r="J516" s="4">
        <v>0.9</v>
      </c>
      <c r="K516" s="4">
        <v>0.5</v>
      </c>
      <c r="L516" s="4">
        <v>0.6</v>
      </c>
      <c r="M516" s="4">
        <v>0.23</v>
      </c>
      <c r="N516" s="6">
        <v>648.762024</v>
      </c>
      <c r="O516" s="4">
        <v>1.2E-2</v>
      </c>
      <c r="P516" s="5"/>
      <c r="Q516" s="5"/>
      <c r="R516" s="5"/>
      <c r="S516" s="5"/>
      <c r="U516" s="4" t="s">
        <v>278</v>
      </c>
      <c r="V516" s="4">
        <v>0.9</v>
      </c>
      <c r="W516" s="4">
        <v>0.5</v>
      </c>
      <c r="X516" s="4">
        <v>0.6</v>
      </c>
      <c r="Y516" s="4">
        <v>0.3</v>
      </c>
      <c r="Z516" s="6">
        <v>653.32379200000003</v>
      </c>
      <c r="AA516" s="4">
        <v>3.0000000000000001E-3</v>
      </c>
      <c r="AC516" s="4" t="s">
        <v>278</v>
      </c>
      <c r="AD516" s="4">
        <v>0.9</v>
      </c>
      <c r="AE516" s="4">
        <v>0.5</v>
      </c>
      <c r="AF516" s="4">
        <v>0.6</v>
      </c>
      <c r="AG516" s="4">
        <v>0.72</v>
      </c>
      <c r="AH516" s="4">
        <v>781.84491000000003</v>
      </c>
      <c r="AI516" s="4">
        <v>1.4999999999999999E-2</v>
      </c>
      <c r="AJ516" s="5"/>
      <c r="AK516" s="5"/>
      <c r="AL516" s="5"/>
      <c r="AM516" s="5"/>
      <c r="AO516" s="4" t="s">
        <v>279</v>
      </c>
      <c r="AP516" s="4">
        <v>0.9</v>
      </c>
      <c r="AQ516" s="4">
        <v>0.5</v>
      </c>
      <c r="AR516" s="4">
        <v>0.6</v>
      </c>
      <c r="AS516" s="4">
        <v>0.3</v>
      </c>
      <c r="AT516" s="6">
        <v>1139.899658</v>
      </c>
      <c r="AU516" s="4">
        <v>1.4E-2</v>
      </c>
      <c r="AW516" s="4" t="s">
        <v>279</v>
      </c>
      <c r="AX516" s="4">
        <v>0.9</v>
      </c>
      <c r="AY516" s="4">
        <v>0.5</v>
      </c>
      <c r="AZ516" s="4">
        <v>0.6</v>
      </c>
      <c r="BA516" s="4">
        <v>0.48</v>
      </c>
      <c r="BB516" s="4">
        <v>1205.722534</v>
      </c>
      <c r="BC516" s="4">
        <v>2.1000000000000001E-2</v>
      </c>
      <c r="BD516" s="5"/>
      <c r="BE516" s="5"/>
      <c r="BF516" s="5"/>
      <c r="BG516" s="5"/>
      <c r="BI516" s="4" t="s">
        <v>279</v>
      </c>
      <c r="BJ516" s="4">
        <v>0.9</v>
      </c>
      <c r="BK516" s="4">
        <v>0.5</v>
      </c>
      <c r="BL516" s="4">
        <v>0.6</v>
      </c>
      <c r="BM516" s="4">
        <v>0.3</v>
      </c>
      <c r="BN516" s="4">
        <v>1121.287231</v>
      </c>
      <c r="BO516" s="4">
        <v>8.9999999999999993E-3</v>
      </c>
      <c r="BQ516" s="4" t="s">
        <v>279</v>
      </c>
      <c r="BR516" s="4">
        <v>0.9</v>
      </c>
      <c r="BS516" s="4">
        <v>0.5</v>
      </c>
      <c r="BT516" s="4">
        <v>0.6</v>
      </c>
      <c r="BU516" s="4">
        <v>0.08</v>
      </c>
      <c r="BV516" s="6">
        <v>950.36810300000002</v>
      </c>
      <c r="BW516" s="4">
        <v>1.7000000000000001E-2</v>
      </c>
      <c r="BX516" s="5"/>
      <c r="BY516" s="5"/>
      <c r="BZ516" s="5"/>
      <c r="CA516" s="5"/>
    </row>
    <row r="517" spans="1:79" x14ac:dyDescent="0.3">
      <c r="A517" s="4" t="s">
        <v>280</v>
      </c>
      <c r="B517" s="4">
        <v>0.9</v>
      </c>
      <c r="C517" s="4">
        <v>0.5</v>
      </c>
      <c r="D517" s="4">
        <v>0.6</v>
      </c>
      <c r="E517" s="4">
        <v>0.3</v>
      </c>
      <c r="F517" s="4">
        <v>925.68896500000005</v>
      </c>
      <c r="G517" s="4">
        <v>5.0000000000000001E-3</v>
      </c>
      <c r="I517" s="4" t="s">
        <v>280</v>
      </c>
      <c r="J517" s="4">
        <v>0.9</v>
      </c>
      <c r="K517" s="4">
        <v>0.5</v>
      </c>
      <c r="L517" s="4">
        <v>0.6</v>
      </c>
      <c r="M517" s="4">
        <v>0.06</v>
      </c>
      <c r="N517" s="6">
        <v>760.55602999999996</v>
      </c>
      <c r="O517" s="4">
        <v>2.9000000000000001E-2</v>
      </c>
      <c r="P517" s="5"/>
      <c r="Q517" s="5"/>
      <c r="R517" s="5"/>
      <c r="S517" s="5"/>
      <c r="U517" s="4" t="s">
        <v>280</v>
      </c>
      <c r="V517" s="4">
        <v>0.9</v>
      </c>
      <c r="W517" s="4">
        <v>0.5</v>
      </c>
      <c r="X517" s="4">
        <v>0.6</v>
      </c>
      <c r="Y517" s="4">
        <v>0.3</v>
      </c>
      <c r="Z517" s="4">
        <v>896.40033000000005</v>
      </c>
      <c r="AA517" s="4">
        <v>4.0000000000000001E-3</v>
      </c>
      <c r="AC517" s="4" t="s">
        <v>280</v>
      </c>
      <c r="AD517" s="4">
        <v>0.9</v>
      </c>
      <c r="AE517" s="4">
        <v>0.5</v>
      </c>
      <c r="AF517" s="4">
        <v>0.6</v>
      </c>
      <c r="AG517" s="4">
        <v>0.09</v>
      </c>
      <c r="AH517" s="6">
        <v>746.58203100000003</v>
      </c>
      <c r="AI517" s="4">
        <v>1.0999999999999999E-2</v>
      </c>
      <c r="AJ517" s="5"/>
      <c r="AK517" s="5"/>
      <c r="AL517" s="5"/>
      <c r="AM517" s="5"/>
      <c r="AO517" s="4" t="s">
        <v>281</v>
      </c>
      <c r="AP517" s="4">
        <v>0.9</v>
      </c>
      <c r="AQ517" s="4">
        <v>0.5</v>
      </c>
      <c r="AR517" s="4">
        <v>0.6</v>
      </c>
      <c r="AS517" s="4">
        <v>0.3</v>
      </c>
      <c r="AT517" s="4">
        <v>1073.1523440000001</v>
      </c>
      <c r="AU517" s="4">
        <v>2.1999999999999999E-2</v>
      </c>
      <c r="AW517" s="4" t="s">
        <v>281</v>
      </c>
      <c r="AX517" s="4">
        <v>0.9</v>
      </c>
      <c r="AY517" s="4">
        <v>0.5</v>
      </c>
      <c r="AZ517" s="4">
        <v>0.6</v>
      </c>
      <c r="BA517" s="4">
        <v>0.01</v>
      </c>
      <c r="BB517" s="6">
        <v>902.80865500000004</v>
      </c>
      <c r="BC517" s="4">
        <v>3.3000000000000002E-2</v>
      </c>
      <c r="BD517" s="5"/>
      <c r="BE517" s="5"/>
      <c r="BF517" s="5"/>
      <c r="BG517" s="5"/>
      <c r="BI517" s="4" t="s">
        <v>281</v>
      </c>
      <c r="BJ517" s="4">
        <v>0.9</v>
      </c>
      <c r="BK517" s="4">
        <v>0.5</v>
      </c>
      <c r="BL517" s="4">
        <v>0.6</v>
      </c>
      <c r="BM517" s="4">
        <v>0.3</v>
      </c>
      <c r="BN517" s="4">
        <v>1076.3323969999999</v>
      </c>
      <c r="BO517" s="4">
        <v>8.9999999999999993E-3</v>
      </c>
      <c r="BQ517" s="4" t="s">
        <v>281</v>
      </c>
      <c r="BR517" s="4">
        <v>0.9</v>
      </c>
      <c r="BS517" s="4">
        <v>0.5</v>
      </c>
      <c r="BT517" s="4">
        <v>0.6</v>
      </c>
      <c r="BU517" s="4">
        <v>0.04</v>
      </c>
      <c r="BV517" s="6">
        <v>907.24761999999998</v>
      </c>
      <c r="BW517" s="4">
        <v>1.9E-2</v>
      </c>
      <c r="BX517" s="5"/>
      <c r="BY517" s="5"/>
      <c r="BZ517" s="5"/>
      <c r="CA517" s="5"/>
    </row>
    <row r="518" spans="1:79" x14ac:dyDescent="0.3">
      <c r="A518" s="4" t="s">
        <v>282</v>
      </c>
      <c r="B518" s="4">
        <v>0.9</v>
      </c>
      <c r="C518" s="4">
        <v>0.5</v>
      </c>
      <c r="D518" s="4">
        <v>0.6</v>
      </c>
      <c r="E518" s="4">
        <v>0.3</v>
      </c>
      <c r="F518" s="6">
        <v>775.99108899999999</v>
      </c>
      <c r="G518" s="4">
        <v>6.0000000000000001E-3</v>
      </c>
      <c r="I518" s="4" t="s">
        <v>282</v>
      </c>
      <c r="J518" s="4">
        <v>0.9</v>
      </c>
      <c r="K518" s="4">
        <v>0.5</v>
      </c>
      <c r="L518" s="4">
        <v>0.6</v>
      </c>
      <c r="M518" s="4">
        <v>0.33</v>
      </c>
      <c r="N518" s="4">
        <v>826.53698699999995</v>
      </c>
      <c r="O518" s="4">
        <v>8.9999999999999993E-3</v>
      </c>
      <c r="P518" s="5"/>
      <c r="Q518" s="5"/>
      <c r="R518" s="5"/>
      <c r="S518" s="5"/>
      <c r="U518" s="4" t="s">
        <v>282</v>
      </c>
      <c r="V518" s="4">
        <v>0.9</v>
      </c>
      <c r="W518" s="4">
        <v>0.5</v>
      </c>
      <c r="X518" s="4">
        <v>0.6</v>
      </c>
      <c r="Y518" s="4">
        <v>0.3</v>
      </c>
      <c r="Z518" s="6">
        <v>777.28002900000001</v>
      </c>
      <c r="AA518" s="4">
        <v>4.0000000000000001E-3</v>
      </c>
      <c r="AC518" s="4" t="s">
        <v>282</v>
      </c>
      <c r="AD518" s="4">
        <v>0.9</v>
      </c>
      <c r="AE518" s="4">
        <v>0.5</v>
      </c>
      <c r="AF518" s="4">
        <v>0.6</v>
      </c>
      <c r="AG518" s="4">
        <v>0.75</v>
      </c>
      <c r="AH518" s="4">
        <v>999.69164999999998</v>
      </c>
      <c r="AI518" s="4">
        <v>1.4999999999999999E-2</v>
      </c>
      <c r="AJ518" s="5"/>
      <c r="AK518" s="5"/>
      <c r="AL518" s="5"/>
      <c r="AM518" s="5"/>
      <c r="AO518" s="4" t="s">
        <v>283</v>
      </c>
      <c r="AP518" s="4">
        <v>0.9</v>
      </c>
      <c r="AQ518" s="4">
        <v>0.5</v>
      </c>
      <c r="AR518" s="4">
        <v>0.6</v>
      </c>
      <c r="AS518" s="4">
        <v>0.3</v>
      </c>
      <c r="AT518" s="6">
        <v>1021.56073</v>
      </c>
      <c r="AU518" s="4">
        <v>0.01</v>
      </c>
      <c r="AW518" s="4" t="s">
        <v>283</v>
      </c>
      <c r="AX518" s="4">
        <v>0.9</v>
      </c>
      <c r="AY518" s="4">
        <v>0.5</v>
      </c>
      <c r="AZ518" s="4">
        <v>0.6</v>
      </c>
      <c r="BA518" s="4">
        <v>0.48</v>
      </c>
      <c r="BB518" s="4">
        <v>1135.8903809999999</v>
      </c>
      <c r="BC518" s="4">
        <v>2.5999999999999999E-2</v>
      </c>
      <c r="BD518" s="5"/>
      <c r="BE518" s="5"/>
      <c r="BF518" s="5"/>
      <c r="BG518" s="5"/>
      <c r="BI518" s="4" t="s">
        <v>283</v>
      </c>
      <c r="BJ518" s="4">
        <v>0.9</v>
      </c>
      <c r="BK518" s="4">
        <v>0.5</v>
      </c>
      <c r="BL518" s="4">
        <v>0.6</v>
      </c>
      <c r="BM518" s="4">
        <v>0.3</v>
      </c>
      <c r="BN518" s="6">
        <v>1027.5946039999999</v>
      </c>
      <c r="BO518" s="4">
        <v>8.9999999999999993E-3</v>
      </c>
      <c r="BQ518" s="4" t="s">
        <v>283</v>
      </c>
      <c r="BR518" s="4">
        <v>0.9</v>
      </c>
      <c r="BS518" s="4">
        <v>0.5</v>
      </c>
      <c r="BT518" s="4">
        <v>0.6</v>
      </c>
      <c r="BU518" s="4">
        <v>0.68</v>
      </c>
      <c r="BV518" s="4">
        <v>1205.9456789999999</v>
      </c>
      <c r="BW518" s="4">
        <v>0.02</v>
      </c>
      <c r="BX518" s="5"/>
      <c r="BY518" s="5"/>
      <c r="BZ518" s="5"/>
      <c r="CA518" s="5"/>
    </row>
    <row r="519" spans="1:79" x14ac:dyDescent="0.3">
      <c r="A519" s="4" t="s">
        <v>284</v>
      </c>
      <c r="B519" s="4">
        <v>0.9</v>
      </c>
      <c r="C519" s="4">
        <v>0.5</v>
      </c>
      <c r="D519" s="4">
        <v>0.6</v>
      </c>
      <c r="E519" s="4">
        <v>0.3</v>
      </c>
      <c r="F519" s="6">
        <v>860.33441200000004</v>
      </c>
      <c r="G519" s="4">
        <v>5.0000000000000001E-3</v>
      </c>
      <c r="I519" s="4" t="s">
        <v>284</v>
      </c>
      <c r="J519" s="4">
        <v>0.9</v>
      </c>
      <c r="K519" s="4">
        <v>0.5</v>
      </c>
      <c r="L519" s="4">
        <v>0.6</v>
      </c>
      <c r="M519" s="4">
        <v>0.78</v>
      </c>
      <c r="N519" s="4">
        <v>992.999146</v>
      </c>
      <c r="O519" s="4">
        <v>1.7000000000000001E-2</v>
      </c>
      <c r="P519" s="5"/>
      <c r="Q519" s="5"/>
      <c r="R519" s="5"/>
      <c r="S519" s="5"/>
      <c r="U519" s="4" t="s">
        <v>284</v>
      </c>
      <c r="V519" s="4">
        <v>0.9</v>
      </c>
      <c r="W519" s="4">
        <v>0.5</v>
      </c>
      <c r="X519" s="4">
        <v>0.6</v>
      </c>
      <c r="Y519" s="4">
        <v>0.3</v>
      </c>
      <c r="Z519" s="4">
        <v>840.94000200000005</v>
      </c>
      <c r="AA519" s="4">
        <v>3.0000000000000001E-3</v>
      </c>
      <c r="AC519" s="4" t="s">
        <v>284</v>
      </c>
      <c r="AD519" s="4">
        <v>0.9</v>
      </c>
      <c r="AE519" s="4">
        <v>0.5</v>
      </c>
      <c r="AF519" s="4">
        <v>0.6</v>
      </c>
      <c r="AG519" s="4">
        <v>0.04</v>
      </c>
      <c r="AH519" s="6">
        <v>734.37616000000003</v>
      </c>
      <c r="AI519" s="4">
        <v>1.4999999999999999E-2</v>
      </c>
      <c r="AJ519" s="5"/>
      <c r="AK519" s="5"/>
      <c r="AL519" s="5"/>
      <c r="AM519" s="5"/>
      <c r="AO519" s="4" t="s">
        <v>285</v>
      </c>
      <c r="AP519" s="4">
        <v>0.9</v>
      </c>
      <c r="AQ519" s="4">
        <v>0.5</v>
      </c>
      <c r="AR519" s="4">
        <v>0.6</v>
      </c>
      <c r="AS519" s="4">
        <v>0.3</v>
      </c>
      <c r="AT519" s="6">
        <v>1102.1442870000001</v>
      </c>
      <c r="AU519" s="4">
        <v>1.4999999999999999E-2</v>
      </c>
      <c r="AW519" s="4" t="s">
        <v>285</v>
      </c>
      <c r="AX519" s="4">
        <v>0.9</v>
      </c>
      <c r="AY519" s="4">
        <v>0.5</v>
      </c>
      <c r="AZ519" s="4">
        <v>0.6</v>
      </c>
      <c r="BA519" s="4">
        <v>0.99</v>
      </c>
      <c r="BB519" s="4">
        <v>1413.1442870000001</v>
      </c>
      <c r="BC519" s="4">
        <v>2.7E-2</v>
      </c>
      <c r="BD519" s="5"/>
      <c r="BE519" s="5"/>
      <c r="BF519" s="5"/>
      <c r="BG519" s="5"/>
      <c r="BI519" s="4" t="s">
        <v>285</v>
      </c>
      <c r="BJ519" s="4">
        <v>0.9</v>
      </c>
      <c r="BK519" s="4">
        <v>0.5</v>
      </c>
      <c r="BL519" s="4">
        <v>0.6</v>
      </c>
      <c r="BM519" s="4">
        <v>0.3</v>
      </c>
      <c r="BN519" s="6">
        <v>1096.976807</v>
      </c>
      <c r="BO519" s="4">
        <v>0.01</v>
      </c>
      <c r="BQ519" s="4" t="s">
        <v>285</v>
      </c>
      <c r="BR519" s="4">
        <v>0.9</v>
      </c>
      <c r="BS519" s="4">
        <v>0.5</v>
      </c>
      <c r="BT519" s="4">
        <v>0.6</v>
      </c>
      <c r="BU519" s="4">
        <v>0.67</v>
      </c>
      <c r="BV519" s="4">
        <v>1275.7585449999999</v>
      </c>
      <c r="BW519" s="4">
        <v>2.5999999999999999E-2</v>
      </c>
      <c r="BX519" s="5"/>
      <c r="BY519" s="5"/>
      <c r="BZ519" s="5"/>
      <c r="CA519" s="5"/>
    </row>
    <row r="520" spans="1:79" x14ac:dyDescent="0.3">
      <c r="A520" s="4" t="s">
        <v>286</v>
      </c>
      <c r="B520" s="4">
        <v>0.9</v>
      </c>
      <c r="C520" s="4">
        <v>0.5</v>
      </c>
      <c r="D520" s="4">
        <v>0.6</v>
      </c>
      <c r="E520" s="4">
        <v>0.3</v>
      </c>
      <c r="F520" s="4">
        <v>716.30224599999997</v>
      </c>
      <c r="G520" s="4">
        <v>5.0000000000000001E-3</v>
      </c>
      <c r="I520" s="4" t="s">
        <v>286</v>
      </c>
      <c r="J520" s="4">
        <v>0.9</v>
      </c>
      <c r="K520" s="4">
        <v>0.5</v>
      </c>
      <c r="L520" s="4">
        <v>0.6</v>
      </c>
      <c r="M520" s="4">
        <v>0.25</v>
      </c>
      <c r="N520" s="6">
        <v>704.66503899999998</v>
      </c>
      <c r="O520" s="4">
        <v>0.02</v>
      </c>
      <c r="P520" s="5"/>
      <c r="Q520" s="5"/>
      <c r="R520" s="5"/>
      <c r="S520" s="5"/>
      <c r="U520" s="4" t="s">
        <v>286</v>
      </c>
      <c r="V520" s="4">
        <v>0.9</v>
      </c>
      <c r="W520" s="4">
        <v>0.5</v>
      </c>
      <c r="X520" s="4">
        <v>0.6</v>
      </c>
      <c r="Y520" s="4">
        <v>0.3</v>
      </c>
      <c r="Z520" s="6">
        <v>713.91351299999997</v>
      </c>
      <c r="AA520" s="4">
        <v>3.0000000000000001E-3</v>
      </c>
      <c r="AC520" s="4" t="s">
        <v>286</v>
      </c>
      <c r="AD520" s="4">
        <v>0.9</v>
      </c>
      <c r="AE520" s="4">
        <v>0.5</v>
      </c>
      <c r="AF520" s="4">
        <v>0.6</v>
      </c>
      <c r="AG520" s="4">
        <v>0.74</v>
      </c>
      <c r="AH520" s="4">
        <v>879.10705600000006</v>
      </c>
      <c r="AI520" s="4">
        <v>1.9E-2</v>
      </c>
      <c r="AJ520" s="5"/>
      <c r="AK520" s="5"/>
      <c r="AL520" s="5"/>
      <c r="AM520" s="5"/>
      <c r="AO520" s="4" t="s">
        <v>287</v>
      </c>
      <c r="AP520" s="4">
        <v>0.9</v>
      </c>
      <c r="AQ520" s="4">
        <v>0.5</v>
      </c>
      <c r="AR520" s="4">
        <v>0.6</v>
      </c>
      <c r="AS520" s="4">
        <v>0.3</v>
      </c>
      <c r="AT520" s="6">
        <v>1036.3553469999999</v>
      </c>
      <c r="AU520" s="4">
        <v>8.9999999999999993E-3</v>
      </c>
      <c r="AW520" s="4" t="s">
        <v>287</v>
      </c>
      <c r="AX520" s="4">
        <v>0.9</v>
      </c>
      <c r="AY520" s="4">
        <v>0.5</v>
      </c>
      <c r="AZ520" s="4">
        <v>0.6</v>
      </c>
      <c r="BA520" s="4">
        <v>0.84</v>
      </c>
      <c r="BB520" s="4">
        <v>1270.502686</v>
      </c>
      <c r="BC520" s="4">
        <v>2.5000000000000001E-2</v>
      </c>
      <c r="BD520" s="5"/>
      <c r="BE520" s="5"/>
      <c r="BF520" s="5"/>
      <c r="BG520" s="5"/>
      <c r="BI520" s="4" t="s">
        <v>287</v>
      </c>
      <c r="BJ520" s="4">
        <v>0.9</v>
      </c>
      <c r="BK520" s="4">
        <v>0.5</v>
      </c>
      <c r="BL520" s="4">
        <v>0.6</v>
      </c>
      <c r="BM520" s="4">
        <v>0.3</v>
      </c>
      <c r="BN520" s="6">
        <v>1031.6014399999999</v>
      </c>
      <c r="BO520" s="4">
        <v>8.9999999999999993E-3</v>
      </c>
      <c r="BQ520" s="4" t="s">
        <v>287</v>
      </c>
      <c r="BR520" s="4">
        <v>0.9</v>
      </c>
      <c r="BS520" s="4">
        <v>0.5</v>
      </c>
      <c r="BT520" s="4">
        <v>0.6</v>
      </c>
      <c r="BU520" s="4">
        <v>0.75</v>
      </c>
      <c r="BV520" s="4">
        <v>1230.458862</v>
      </c>
      <c r="BW520" s="4">
        <v>2.5999999999999999E-2</v>
      </c>
      <c r="BX520" s="5"/>
      <c r="BY520" s="5"/>
      <c r="BZ520" s="5"/>
      <c r="CA520" s="5"/>
    </row>
    <row r="521" spans="1:79" x14ac:dyDescent="0.3">
      <c r="A521" s="4" t="s">
        <v>288</v>
      </c>
      <c r="B521" s="4">
        <v>0.9</v>
      </c>
      <c r="C521" s="4">
        <v>0.5</v>
      </c>
      <c r="D521" s="4">
        <v>0.6</v>
      </c>
      <c r="E521" s="4">
        <v>0.3</v>
      </c>
      <c r="F521" s="6">
        <v>707.13067599999999</v>
      </c>
      <c r="G521" s="4">
        <v>4.0000000000000001E-3</v>
      </c>
      <c r="I521" s="4" t="s">
        <v>288</v>
      </c>
      <c r="J521" s="4">
        <v>0.9</v>
      </c>
      <c r="K521" s="4">
        <v>0.5</v>
      </c>
      <c r="L521" s="4">
        <v>0.6</v>
      </c>
      <c r="M521" s="4">
        <v>0.45</v>
      </c>
      <c r="N521" s="4">
        <v>813.38861099999997</v>
      </c>
      <c r="O521" s="4">
        <v>7.0000000000000001E-3</v>
      </c>
      <c r="P521" s="5"/>
      <c r="Q521" s="5"/>
      <c r="R521" s="5"/>
      <c r="S521" s="5"/>
      <c r="U521" s="4" t="s">
        <v>288</v>
      </c>
      <c r="V521" s="4">
        <v>0.9</v>
      </c>
      <c r="W521" s="4">
        <v>0.5</v>
      </c>
      <c r="X521" s="4">
        <v>0.6</v>
      </c>
      <c r="Y521" s="4">
        <v>0.3</v>
      </c>
      <c r="Z521" s="4">
        <v>724.083618</v>
      </c>
      <c r="AA521" s="4">
        <v>4.0000000000000001E-3</v>
      </c>
      <c r="AC521" s="4" t="s">
        <v>288</v>
      </c>
      <c r="AD521" s="4">
        <v>0.9</v>
      </c>
      <c r="AE521" s="4">
        <v>0.5</v>
      </c>
      <c r="AF521" s="4">
        <v>0.6</v>
      </c>
      <c r="AG521" s="4">
        <v>0.28000000000000003</v>
      </c>
      <c r="AH521" s="6">
        <v>711.12426800000003</v>
      </c>
      <c r="AI521" s="4">
        <v>1.9E-2</v>
      </c>
      <c r="AJ521" s="5"/>
      <c r="AK521" s="5"/>
      <c r="AL521" s="5"/>
      <c r="AM521" s="5"/>
      <c r="AO521" s="4" t="s">
        <v>289</v>
      </c>
      <c r="AP521" s="4">
        <v>0.9</v>
      </c>
      <c r="AQ521" s="4">
        <v>0.5</v>
      </c>
      <c r="AR521" s="4">
        <v>0.6</v>
      </c>
      <c r="AS521" s="4">
        <v>0.3</v>
      </c>
      <c r="AT521" s="6">
        <v>1099.949707</v>
      </c>
      <c r="AU521" s="4">
        <v>0.01</v>
      </c>
      <c r="AW521" s="4" t="s">
        <v>289</v>
      </c>
      <c r="AX521" s="4">
        <v>0.9</v>
      </c>
      <c r="AY521" s="4">
        <v>0.5</v>
      </c>
      <c r="AZ521" s="4">
        <v>0.6</v>
      </c>
      <c r="BA521" s="4">
        <v>0.91</v>
      </c>
      <c r="BB521" s="4">
        <v>1435.5686040000001</v>
      </c>
      <c r="BC521" s="4">
        <v>2.4E-2</v>
      </c>
      <c r="BD521" s="5"/>
      <c r="BE521" s="5"/>
      <c r="BF521" s="5"/>
      <c r="BG521" s="5"/>
      <c r="BI521" s="4" t="s">
        <v>289</v>
      </c>
      <c r="BJ521" s="4">
        <v>0.9</v>
      </c>
      <c r="BK521" s="4">
        <v>0.5</v>
      </c>
      <c r="BL521" s="4">
        <v>0.6</v>
      </c>
      <c r="BM521" s="4">
        <v>0.3</v>
      </c>
      <c r="BN521" s="6">
        <v>1077.8588870000001</v>
      </c>
      <c r="BO521" s="4">
        <v>0.01</v>
      </c>
      <c r="BQ521" s="4" t="s">
        <v>289</v>
      </c>
      <c r="BR521" s="4">
        <v>0.9</v>
      </c>
      <c r="BS521" s="4">
        <v>0.5</v>
      </c>
      <c r="BT521" s="4">
        <v>0.6</v>
      </c>
      <c r="BU521" s="4">
        <v>0.75</v>
      </c>
      <c r="BV521" s="4">
        <v>1368.7138669999999</v>
      </c>
      <c r="BW521" s="4">
        <v>2.8000000000000001E-2</v>
      </c>
      <c r="BX521" s="5"/>
      <c r="BY521" s="5"/>
      <c r="BZ521" s="5"/>
      <c r="CA521" s="5"/>
    </row>
    <row r="522" spans="1:79" x14ac:dyDescent="0.3">
      <c r="A522" s="4" t="s">
        <v>290</v>
      </c>
      <c r="B522" s="4">
        <v>0.9</v>
      </c>
      <c r="C522" s="4">
        <v>0.5</v>
      </c>
      <c r="D522" s="4">
        <v>0.6</v>
      </c>
      <c r="E522" s="4">
        <v>0.3</v>
      </c>
      <c r="F522" s="6">
        <v>725.986267</v>
      </c>
      <c r="G522" s="4">
        <v>6.0000000000000001E-3</v>
      </c>
      <c r="I522" s="4" t="s">
        <v>290</v>
      </c>
      <c r="J522" s="4">
        <v>0.9</v>
      </c>
      <c r="K522" s="4">
        <v>0.5</v>
      </c>
      <c r="L522" s="4">
        <v>0.6</v>
      </c>
      <c r="M522" s="4">
        <v>0.78</v>
      </c>
      <c r="N522" s="4">
        <v>908.53045699999996</v>
      </c>
      <c r="O522" s="4">
        <v>1.7000000000000001E-2</v>
      </c>
      <c r="P522" s="5"/>
      <c r="Q522" s="5"/>
      <c r="R522" s="5"/>
      <c r="S522" s="5"/>
      <c r="U522" s="4" t="s">
        <v>290</v>
      </c>
      <c r="V522" s="4">
        <v>0.9</v>
      </c>
      <c r="W522" s="4">
        <v>0.5</v>
      </c>
      <c r="X522" s="4">
        <v>0.6</v>
      </c>
      <c r="Y522" s="4">
        <v>0.3</v>
      </c>
      <c r="Z522" s="6">
        <v>716.56597899999997</v>
      </c>
      <c r="AA522" s="4">
        <v>2E-3</v>
      </c>
      <c r="AC522" s="4" t="s">
        <v>290</v>
      </c>
      <c r="AD522" s="4">
        <v>0.9</v>
      </c>
      <c r="AE522" s="4">
        <v>0.5</v>
      </c>
      <c r="AF522" s="4">
        <v>0.6</v>
      </c>
      <c r="AG522" s="4">
        <v>0.69</v>
      </c>
      <c r="AH522" s="4">
        <v>895.54467799999998</v>
      </c>
      <c r="AI522" s="4">
        <v>1.2999999999999999E-2</v>
      </c>
      <c r="AJ522" s="5"/>
      <c r="AK522" s="5"/>
      <c r="AL522" s="5"/>
      <c r="AM522" s="5"/>
      <c r="AO522" s="4" t="s">
        <v>291</v>
      </c>
      <c r="AP522" s="4">
        <v>0.9</v>
      </c>
      <c r="AQ522" s="4">
        <v>0.5</v>
      </c>
      <c r="AR522" s="4">
        <v>0.6</v>
      </c>
      <c r="AS522" s="4">
        <v>0.3</v>
      </c>
      <c r="AT522" s="4">
        <v>1049.0333250000001</v>
      </c>
      <c r="AU522" s="4">
        <v>8.9999999999999993E-3</v>
      </c>
      <c r="AW522" s="4" t="s">
        <v>291</v>
      </c>
      <c r="AX522" s="4">
        <v>0.9</v>
      </c>
      <c r="AY522" s="4">
        <v>0.5</v>
      </c>
      <c r="AZ522" s="4">
        <v>0.6</v>
      </c>
      <c r="BA522" s="4">
        <v>0.12</v>
      </c>
      <c r="BB522" s="6">
        <v>934.76898200000005</v>
      </c>
      <c r="BC522" s="4">
        <v>2.5999999999999999E-2</v>
      </c>
      <c r="BD522" s="5"/>
      <c r="BE522" s="5"/>
      <c r="BF522" s="5"/>
      <c r="BG522" s="5"/>
      <c r="BI522" s="4" t="s">
        <v>291</v>
      </c>
      <c r="BJ522" s="4">
        <v>0.9</v>
      </c>
      <c r="BK522" s="4">
        <v>0.5</v>
      </c>
      <c r="BL522" s="4">
        <v>0.6</v>
      </c>
      <c r="BM522" s="4">
        <v>0.3</v>
      </c>
      <c r="BN522" s="6">
        <v>1047.573486</v>
      </c>
      <c r="BO522" s="4">
        <v>8.0000000000000002E-3</v>
      </c>
      <c r="BQ522" s="4" t="s">
        <v>291</v>
      </c>
      <c r="BR522" s="4">
        <v>0.9</v>
      </c>
      <c r="BS522" s="4">
        <v>0.5</v>
      </c>
      <c r="BT522" s="4">
        <v>0.6</v>
      </c>
      <c r="BU522" s="4">
        <v>0.34</v>
      </c>
      <c r="BV522" s="4">
        <v>1082.255737</v>
      </c>
      <c r="BW522" s="4">
        <v>1.6E-2</v>
      </c>
      <c r="BX522" s="5"/>
      <c r="BY522" s="5"/>
      <c r="BZ522" s="5"/>
      <c r="CA522" s="5"/>
    </row>
    <row r="523" spans="1:79" x14ac:dyDescent="0.3">
      <c r="A523" s="4" t="s">
        <v>292</v>
      </c>
      <c r="B523" s="4">
        <v>0.9</v>
      </c>
      <c r="C523" s="4">
        <v>0.5</v>
      </c>
      <c r="D523" s="4">
        <v>0.6</v>
      </c>
      <c r="E523" s="4">
        <v>0.3</v>
      </c>
      <c r="F523" s="6">
        <v>779.78997800000002</v>
      </c>
      <c r="G523" s="4">
        <v>6.0000000000000001E-3</v>
      </c>
      <c r="I523" s="4" t="s">
        <v>292</v>
      </c>
      <c r="J523" s="4">
        <v>0.9</v>
      </c>
      <c r="K523" s="4">
        <v>0.5</v>
      </c>
      <c r="L523" s="4">
        <v>0.6</v>
      </c>
      <c r="M523" s="4">
        <v>0.97</v>
      </c>
      <c r="N523" s="4">
        <v>1023.93927</v>
      </c>
      <c r="O523" s="4">
        <v>1.7000000000000001E-2</v>
      </c>
      <c r="P523" s="5"/>
      <c r="Q523" s="5"/>
      <c r="R523" s="5"/>
      <c r="S523" s="5"/>
      <c r="U523" s="4" t="s">
        <v>292</v>
      </c>
      <c r="V523" s="4">
        <v>0.9</v>
      </c>
      <c r="W523" s="4">
        <v>0.5</v>
      </c>
      <c r="X523" s="4">
        <v>0.6</v>
      </c>
      <c r="Y523" s="4">
        <v>0.3</v>
      </c>
      <c r="Z523" s="6">
        <v>764.698486</v>
      </c>
      <c r="AA523" s="4">
        <v>3.0000000000000001E-3</v>
      </c>
      <c r="AC523" s="4" t="s">
        <v>292</v>
      </c>
      <c r="AD523" s="4">
        <v>0.9</v>
      </c>
      <c r="AE523" s="4">
        <v>0.5</v>
      </c>
      <c r="AF523" s="4">
        <v>0.6</v>
      </c>
      <c r="AG523" s="4">
        <v>0.75</v>
      </c>
      <c r="AH523" s="4">
        <v>957.48394800000005</v>
      </c>
      <c r="AI523" s="4">
        <v>0.01</v>
      </c>
      <c r="AJ523" s="5"/>
      <c r="AK523" s="5"/>
      <c r="AL523" s="5"/>
      <c r="AM523" s="5"/>
      <c r="AO523" s="4" t="s">
        <v>293</v>
      </c>
      <c r="AP523" s="4">
        <v>0.9</v>
      </c>
      <c r="AQ523" s="4">
        <v>0.5</v>
      </c>
      <c r="AR523" s="4">
        <v>0.6</v>
      </c>
      <c r="AS523" s="4">
        <v>0.3</v>
      </c>
      <c r="AT523" s="6">
        <v>1117.083374</v>
      </c>
      <c r="AU523" s="4">
        <v>8.9999999999999993E-3</v>
      </c>
      <c r="AW523" s="4" t="s">
        <v>293</v>
      </c>
      <c r="AX523" s="4">
        <v>0.9</v>
      </c>
      <c r="AY523" s="4">
        <v>0.5</v>
      </c>
      <c r="AZ523" s="4">
        <v>0.6</v>
      </c>
      <c r="BA523" s="4">
        <v>0.32</v>
      </c>
      <c r="BB523" s="4">
        <v>1128.5863039999999</v>
      </c>
      <c r="BC523" s="4">
        <v>2.7E-2</v>
      </c>
      <c r="BD523" s="5"/>
      <c r="BE523" s="5"/>
      <c r="BF523" s="5"/>
      <c r="BG523" s="5"/>
      <c r="BI523" s="4" t="s">
        <v>293</v>
      </c>
      <c r="BJ523" s="4">
        <v>0.9</v>
      </c>
      <c r="BK523" s="4">
        <v>0.5</v>
      </c>
      <c r="BL523" s="4">
        <v>0.6</v>
      </c>
      <c r="BM523" s="4">
        <v>0.3</v>
      </c>
      <c r="BN523" s="6">
        <v>1105.300293</v>
      </c>
      <c r="BO523" s="4">
        <v>1.0999999999999999E-2</v>
      </c>
      <c r="BQ523" s="4" t="s">
        <v>293</v>
      </c>
      <c r="BR523" s="4">
        <v>0.9</v>
      </c>
      <c r="BS523" s="4">
        <v>0.5</v>
      </c>
      <c r="BT523" s="4">
        <v>0.6</v>
      </c>
      <c r="BU523" s="4">
        <v>0.64</v>
      </c>
      <c r="BV523" s="4">
        <v>1334.6851810000001</v>
      </c>
      <c r="BW523" s="4">
        <v>3.4000000000000002E-2</v>
      </c>
      <c r="BX523" s="5"/>
      <c r="BY523" s="5"/>
      <c r="BZ523" s="5"/>
      <c r="CA523" s="5"/>
    </row>
    <row r="524" spans="1:79" x14ac:dyDescent="0.3">
      <c r="A524" s="4" t="s">
        <v>294</v>
      </c>
      <c r="B524" s="4">
        <v>0.9</v>
      </c>
      <c r="C524" s="4">
        <v>0.5</v>
      </c>
      <c r="D524" s="4">
        <v>0.6</v>
      </c>
      <c r="E524" s="4">
        <v>0.3</v>
      </c>
      <c r="F524" s="6">
        <v>907.97131300000001</v>
      </c>
      <c r="G524" s="4">
        <v>4.0000000000000001E-3</v>
      </c>
      <c r="I524" s="4" t="s">
        <v>294</v>
      </c>
      <c r="J524" s="4">
        <v>0.9</v>
      </c>
      <c r="K524" s="4">
        <v>0.5</v>
      </c>
      <c r="L524" s="4">
        <v>0.6</v>
      </c>
      <c r="M524" s="4">
        <v>0.47</v>
      </c>
      <c r="N524" s="4">
        <v>1024.871948</v>
      </c>
      <c r="O524" s="4">
        <v>0.02</v>
      </c>
      <c r="P524" s="5"/>
      <c r="Q524" s="5"/>
      <c r="R524" s="5"/>
      <c r="S524" s="5"/>
      <c r="U524" s="4" t="s">
        <v>294</v>
      </c>
      <c r="V524" s="4">
        <v>0.9</v>
      </c>
      <c r="W524" s="4">
        <v>0.5</v>
      </c>
      <c r="X524" s="4">
        <v>0.6</v>
      </c>
      <c r="Y524" s="4">
        <v>0.3</v>
      </c>
      <c r="Z524" s="6">
        <v>899.681152</v>
      </c>
      <c r="AA524" s="4">
        <v>3.0000000000000001E-3</v>
      </c>
      <c r="AC524" s="4" t="s">
        <v>294</v>
      </c>
      <c r="AD524" s="4">
        <v>0.9</v>
      </c>
      <c r="AE524" s="4">
        <v>0.5</v>
      </c>
      <c r="AF524" s="4">
        <v>0.6</v>
      </c>
      <c r="AG524" s="4">
        <v>0.91</v>
      </c>
      <c r="AH524" s="4">
        <v>1134.599976</v>
      </c>
      <c r="AI524" s="4">
        <v>2.1000000000000001E-2</v>
      </c>
      <c r="AJ524" s="5"/>
      <c r="AK524" s="5"/>
      <c r="AL524" s="5"/>
      <c r="AM524" s="5"/>
      <c r="AO524" s="4" t="s">
        <v>295</v>
      </c>
      <c r="AP524" s="4">
        <v>0.9</v>
      </c>
      <c r="AQ524" s="4">
        <v>0.5</v>
      </c>
      <c r="AR524" s="4">
        <v>0.6</v>
      </c>
      <c r="AS524" s="4">
        <v>0.3</v>
      </c>
      <c r="AT524" s="4">
        <v>1205.282471</v>
      </c>
      <c r="AU524" s="4">
        <v>1.0999999999999999E-2</v>
      </c>
      <c r="AW524" s="4" t="s">
        <v>295</v>
      </c>
      <c r="AX524" s="4">
        <v>0.9</v>
      </c>
      <c r="AY524" s="4">
        <v>0.5</v>
      </c>
      <c r="AZ524" s="4">
        <v>0.6</v>
      </c>
      <c r="BA524" s="4">
        <v>0.02</v>
      </c>
      <c r="BB524" s="6">
        <v>986.51397699999995</v>
      </c>
      <c r="BC524" s="4">
        <v>3.9E-2</v>
      </c>
      <c r="BD524" s="5"/>
      <c r="BE524" s="5"/>
      <c r="BF524" s="5"/>
      <c r="BG524" s="5"/>
      <c r="BI524" s="4" t="s">
        <v>295</v>
      </c>
      <c r="BJ524" s="4">
        <v>0.9</v>
      </c>
      <c r="BK524" s="4">
        <v>0.5</v>
      </c>
      <c r="BL524" s="4">
        <v>0.6</v>
      </c>
      <c r="BM524" s="4">
        <v>0.3</v>
      </c>
      <c r="BN524" s="4">
        <v>1190.2852780000001</v>
      </c>
      <c r="BO524" s="4">
        <v>0.01</v>
      </c>
      <c r="BQ524" s="4" t="s">
        <v>295</v>
      </c>
      <c r="BR524" s="4">
        <v>0.9</v>
      </c>
      <c r="BS524" s="4">
        <v>0.5</v>
      </c>
      <c r="BT524" s="4">
        <v>0.6</v>
      </c>
      <c r="BU524" s="4">
        <v>0.27</v>
      </c>
      <c r="BV524" s="6">
        <v>1172.852783</v>
      </c>
      <c r="BW524" s="4">
        <v>2.1000000000000001E-2</v>
      </c>
      <c r="BX524" s="5"/>
      <c r="BY524" s="5"/>
      <c r="BZ524" s="5"/>
      <c r="CA524" s="5"/>
    </row>
    <row r="525" spans="1:79" x14ac:dyDescent="0.3">
      <c r="A525" s="4" t="s">
        <v>296</v>
      </c>
      <c r="B525" s="4">
        <v>0.9</v>
      </c>
      <c r="C525" s="4">
        <v>0.5</v>
      </c>
      <c r="D525" s="4">
        <v>0.6</v>
      </c>
      <c r="E525" s="4">
        <v>0.3</v>
      </c>
      <c r="F525" s="4">
        <v>904.26300000000003</v>
      </c>
      <c r="G525" s="4">
        <v>6.0000000000000001E-3</v>
      </c>
      <c r="I525" s="4" t="s">
        <v>296</v>
      </c>
      <c r="J525" s="4">
        <v>0.9</v>
      </c>
      <c r="K525" s="4">
        <v>0.5</v>
      </c>
      <c r="L525" s="4">
        <v>0.6</v>
      </c>
      <c r="M525" s="4">
        <v>0.25</v>
      </c>
      <c r="N525" s="6">
        <v>862.47668499999997</v>
      </c>
      <c r="O525" s="4">
        <v>1.2999999999999999E-2</v>
      </c>
      <c r="P525" s="5"/>
      <c r="Q525" s="5"/>
      <c r="R525" s="5"/>
      <c r="S525" s="5"/>
      <c r="U525" s="4" t="s">
        <v>296</v>
      </c>
      <c r="V525" s="4">
        <v>0.9</v>
      </c>
      <c r="W525" s="4">
        <v>0.5</v>
      </c>
      <c r="X525" s="4">
        <v>0.6</v>
      </c>
      <c r="Y525" s="4">
        <v>0.3</v>
      </c>
      <c r="Z525" s="6">
        <v>903.75787400000002</v>
      </c>
      <c r="AA525" s="4">
        <v>4.0000000000000001E-3</v>
      </c>
      <c r="AC525" s="4" t="s">
        <v>296</v>
      </c>
      <c r="AD525" s="4">
        <v>0.9</v>
      </c>
      <c r="AE525" s="4">
        <v>0.5</v>
      </c>
      <c r="AF525" s="4">
        <v>0.6</v>
      </c>
      <c r="AG525" s="4">
        <v>0.61</v>
      </c>
      <c r="AH525" s="4">
        <v>1021.223938</v>
      </c>
      <c r="AI525" s="4">
        <v>1.7000000000000001E-2</v>
      </c>
      <c r="AJ525" s="5"/>
      <c r="AK525" s="5"/>
      <c r="AL525" s="5"/>
      <c r="AM525" s="5"/>
      <c r="AO525" s="4" t="s">
        <v>297</v>
      </c>
      <c r="AP525" s="4">
        <v>0.9</v>
      </c>
      <c r="AQ525" s="4">
        <v>0.5</v>
      </c>
      <c r="AR525" s="4">
        <v>0.6</v>
      </c>
      <c r="AS525" s="4">
        <v>0.3</v>
      </c>
      <c r="AT525" s="6">
        <v>1144.1813959999999</v>
      </c>
      <c r="AU525" s="4">
        <v>1.0999999999999999E-2</v>
      </c>
      <c r="AW525" s="4" t="s">
        <v>297</v>
      </c>
      <c r="AX525" s="4">
        <v>0.9</v>
      </c>
      <c r="AY525" s="4">
        <v>0.5</v>
      </c>
      <c r="AZ525" s="4">
        <v>0.6</v>
      </c>
      <c r="BA525" s="4">
        <v>0.88</v>
      </c>
      <c r="BB525" s="4">
        <v>1489.1455080000001</v>
      </c>
      <c r="BC525" s="4">
        <v>3.6999999999999998E-2</v>
      </c>
      <c r="BD525" s="5"/>
      <c r="BE525" s="5"/>
      <c r="BF525" s="5"/>
      <c r="BG525" s="5"/>
      <c r="BI525" s="4" t="s">
        <v>297</v>
      </c>
      <c r="BJ525" s="4">
        <v>0.9</v>
      </c>
      <c r="BK525" s="4">
        <v>0.5</v>
      </c>
      <c r="BL525" s="4">
        <v>0.6</v>
      </c>
      <c r="BM525" s="4">
        <v>0.3</v>
      </c>
      <c r="BN525" s="6">
        <v>1133.3793949999999</v>
      </c>
      <c r="BO525" s="4">
        <v>0.01</v>
      </c>
      <c r="BQ525" s="4" t="s">
        <v>297</v>
      </c>
      <c r="BR525" s="4">
        <v>0.9</v>
      </c>
      <c r="BS525" s="4">
        <v>0.5</v>
      </c>
      <c r="BT525" s="4">
        <v>0.6</v>
      </c>
      <c r="BU525" s="4">
        <v>0.61</v>
      </c>
      <c r="BV525" s="4">
        <v>1391.044312</v>
      </c>
      <c r="BW525" s="4">
        <v>1.2999999999999999E-2</v>
      </c>
      <c r="BX525" s="5"/>
      <c r="BY525" s="5"/>
      <c r="BZ525" s="5"/>
      <c r="CA525" s="5"/>
    </row>
    <row r="526" spans="1:79" x14ac:dyDescent="0.3">
      <c r="A526" s="4" t="s">
        <v>298</v>
      </c>
      <c r="B526" s="4">
        <v>0.9</v>
      </c>
      <c r="C526" s="4">
        <v>0.5</v>
      </c>
      <c r="D526" s="4">
        <v>0.6</v>
      </c>
      <c r="E526" s="4">
        <v>0.3</v>
      </c>
      <c r="F526" s="6">
        <v>778.83667000000003</v>
      </c>
      <c r="G526" s="4">
        <v>4.0000000000000001E-3</v>
      </c>
      <c r="I526" s="4" t="s">
        <v>298</v>
      </c>
      <c r="J526" s="4">
        <v>0.9</v>
      </c>
      <c r="K526" s="4">
        <v>0.5</v>
      </c>
      <c r="L526" s="4">
        <v>0.6</v>
      </c>
      <c r="M526" s="4">
        <v>0.5</v>
      </c>
      <c r="N526" s="4">
        <v>902.97656199999994</v>
      </c>
      <c r="O526" s="4">
        <v>2.3E-2</v>
      </c>
      <c r="P526" s="5"/>
      <c r="Q526" s="5"/>
      <c r="R526" s="5"/>
      <c r="S526" s="5"/>
      <c r="U526" s="4" t="s">
        <v>298</v>
      </c>
      <c r="V526" s="4">
        <v>0.9</v>
      </c>
      <c r="W526" s="4">
        <v>0.5</v>
      </c>
      <c r="X526" s="4">
        <v>0.6</v>
      </c>
      <c r="Y526" s="4">
        <v>0.3</v>
      </c>
      <c r="Z526" s="4">
        <v>775.21636999999998</v>
      </c>
      <c r="AA526" s="4">
        <v>3.0000000000000001E-3</v>
      </c>
      <c r="AC526" s="4" t="s">
        <v>298</v>
      </c>
      <c r="AD526" s="4">
        <v>0.9</v>
      </c>
      <c r="AE526" s="4">
        <v>0.5</v>
      </c>
      <c r="AF526" s="4">
        <v>0.6</v>
      </c>
      <c r="AG526" s="4">
        <v>0.24</v>
      </c>
      <c r="AH526" s="6">
        <v>742.66467299999999</v>
      </c>
      <c r="AI526" s="4">
        <v>8.9999999999999993E-3</v>
      </c>
      <c r="AJ526" s="5"/>
      <c r="AK526" s="5"/>
      <c r="AL526" s="5"/>
      <c r="AM526" s="5"/>
      <c r="AO526" s="4" t="s">
        <v>299</v>
      </c>
      <c r="AP526" s="4">
        <v>0.9</v>
      </c>
      <c r="AQ526" s="4">
        <v>0.5</v>
      </c>
      <c r="AR526" s="4">
        <v>0.6</v>
      </c>
      <c r="AS526" s="4">
        <v>0.3</v>
      </c>
      <c r="AT526" s="6">
        <v>1180.261475</v>
      </c>
      <c r="AU526" s="4">
        <v>1.0999999999999999E-2</v>
      </c>
      <c r="AW526" s="4" t="s">
        <v>299</v>
      </c>
      <c r="AX526" s="4">
        <v>0.9</v>
      </c>
      <c r="AY526" s="4">
        <v>0.5</v>
      </c>
      <c r="AZ526" s="4">
        <v>0.6</v>
      </c>
      <c r="BA526" s="4">
        <v>0.86</v>
      </c>
      <c r="BB526" s="4">
        <v>1608.1096190000001</v>
      </c>
      <c r="BC526" s="4">
        <v>2.4E-2</v>
      </c>
      <c r="BD526" s="5"/>
      <c r="BE526" s="5"/>
      <c r="BF526" s="5"/>
      <c r="BG526" s="5"/>
      <c r="BI526" s="4" t="s">
        <v>299</v>
      </c>
      <c r="BJ526" s="4">
        <v>0.9</v>
      </c>
      <c r="BK526" s="4">
        <v>0.5</v>
      </c>
      <c r="BL526" s="4">
        <v>0.6</v>
      </c>
      <c r="BM526" s="4">
        <v>0.3</v>
      </c>
      <c r="BN526" s="4">
        <v>1170.878784</v>
      </c>
      <c r="BO526" s="4">
        <v>1.0999999999999999E-2</v>
      </c>
      <c r="BQ526" s="4" t="s">
        <v>299</v>
      </c>
      <c r="BR526" s="4">
        <v>0.9</v>
      </c>
      <c r="BS526" s="4">
        <v>0.5</v>
      </c>
      <c r="BT526" s="4">
        <v>0.6</v>
      </c>
      <c r="BU526" s="4">
        <v>0.08</v>
      </c>
      <c r="BV526" s="6">
        <v>1013.579102</v>
      </c>
      <c r="BW526" s="4">
        <v>3.7999999999999999E-2</v>
      </c>
      <c r="BX526" s="5"/>
      <c r="BY526" s="5"/>
      <c r="BZ526" s="5"/>
      <c r="CA526" s="5"/>
    </row>
    <row r="527" spans="1:79" x14ac:dyDescent="0.3">
      <c r="A527" s="4" t="s">
        <v>300</v>
      </c>
      <c r="B527" s="4">
        <v>0.9</v>
      </c>
      <c r="C527" s="4">
        <v>0.5</v>
      </c>
      <c r="D527" s="4">
        <v>0.6</v>
      </c>
      <c r="E527" s="4">
        <v>0.3</v>
      </c>
      <c r="F527" s="6">
        <v>841.40374799999995</v>
      </c>
      <c r="G527" s="4">
        <v>3.0000000000000001E-3</v>
      </c>
      <c r="I527" s="4" t="s">
        <v>300</v>
      </c>
      <c r="J527" s="4">
        <v>0.9</v>
      </c>
      <c r="K527" s="4">
        <v>0.5</v>
      </c>
      <c r="L527" s="4">
        <v>0.6</v>
      </c>
      <c r="M527" s="4">
        <v>0.88</v>
      </c>
      <c r="N527" s="4">
        <v>1003.011536</v>
      </c>
      <c r="O527" s="4">
        <v>1.0999999999999999E-2</v>
      </c>
      <c r="P527" s="5"/>
      <c r="Q527" s="5"/>
      <c r="R527" s="5"/>
      <c r="S527" s="5"/>
      <c r="U527" s="4" t="s">
        <v>300</v>
      </c>
      <c r="V527" s="4">
        <v>0.9</v>
      </c>
      <c r="W527" s="4">
        <v>0.5</v>
      </c>
      <c r="X527" s="4">
        <v>0.6</v>
      </c>
      <c r="Y527" s="4">
        <v>0.3</v>
      </c>
      <c r="Z527" s="6">
        <v>832.43158000000005</v>
      </c>
      <c r="AA527" s="4">
        <v>4.0000000000000001E-3</v>
      </c>
      <c r="AC527" s="4" t="s">
        <v>300</v>
      </c>
      <c r="AD527" s="4">
        <v>0.9</v>
      </c>
      <c r="AE527" s="4">
        <v>0.5</v>
      </c>
      <c r="AF527" s="4">
        <v>0.6</v>
      </c>
      <c r="AG527" s="4">
        <v>0.77</v>
      </c>
      <c r="AH527" s="4">
        <v>996.54907200000002</v>
      </c>
      <c r="AI527" s="4">
        <v>0.02</v>
      </c>
      <c r="AJ527" s="5"/>
      <c r="AK527" s="5"/>
      <c r="AL527" s="5"/>
      <c r="AM527" s="5"/>
      <c r="AO527" s="4" t="s">
        <v>301</v>
      </c>
      <c r="AP527" s="4">
        <v>0.9</v>
      </c>
      <c r="AQ527" s="4">
        <v>0.5</v>
      </c>
      <c r="AR527" s="4">
        <v>0.6</v>
      </c>
      <c r="AS527" s="4">
        <v>0.3</v>
      </c>
      <c r="AT527" s="6">
        <v>1155.18335</v>
      </c>
      <c r="AU527" s="4">
        <v>0.01</v>
      </c>
      <c r="AW527" s="4" t="s">
        <v>301</v>
      </c>
      <c r="AX527" s="4">
        <v>0.9</v>
      </c>
      <c r="AY527" s="4">
        <v>0.5</v>
      </c>
      <c r="AZ527" s="4">
        <v>0.6</v>
      </c>
      <c r="BA527" s="4">
        <v>0.45</v>
      </c>
      <c r="BB527" s="4">
        <v>1249.409302</v>
      </c>
      <c r="BC527" s="4">
        <v>1.9E-2</v>
      </c>
      <c r="BD527" s="5"/>
      <c r="BE527" s="5"/>
      <c r="BF527" s="5"/>
      <c r="BG527" s="5"/>
      <c r="BI527" s="4" t="s">
        <v>301</v>
      </c>
      <c r="BJ527" s="4">
        <v>0.9</v>
      </c>
      <c r="BK527" s="4">
        <v>0.5</v>
      </c>
      <c r="BL527" s="4">
        <v>0.6</v>
      </c>
      <c r="BM527" s="4">
        <v>0.3</v>
      </c>
      <c r="BN527" s="6">
        <v>1139.4451899999999</v>
      </c>
      <c r="BO527" s="4">
        <v>0.01</v>
      </c>
      <c r="BQ527" s="4" t="s">
        <v>301</v>
      </c>
      <c r="BR527" s="4">
        <v>0.9</v>
      </c>
      <c r="BS527" s="4">
        <v>0.5</v>
      </c>
      <c r="BT527" s="4">
        <v>0.6</v>
      </c>
      <c r="BU527" s="4">
        <v>0.9</v>
      </c>
      <c r="BV527" s="4">
        <v>1502.217529</v>
      </c>
      <c r="BW527" s="4">
        <v>2.1000000000000001E-2</v>
      </c>
      <c r="BX527" s="5"/>
      <c r="BY527" s="5"/>
      <c r="BZ527" s="5"/>
      <c r="CA527" s="5"/>
    </row>
    <row r="528" spans="1:79" x14ac:dyDescent="0.3">
      <c r="A528" s="4" t="s">
        <v>302</v>
      </c>
      <c r="B528" s="4">
        <v>0.9</v>
      </c>
      <c r="C528" s="4">
        <v>0.5</v>
      </c>
      <c r="D528" s="4">
        <v>0.6</v>
      </c>
      <c r="E528" s="4">
        <v>0.3</v>
      </c>
      <c r="F528" s="4">
        <v>808.16650400000003</v>
      </c>
      <c r="G528" s="4">
        <v>8.0000000000000002E-3</v>
      </c>
      <c r="I528" s="4" t="s">
        <v>302</v>
      </c>
      <c r="J528" s="4">
        <v>0.9</v>
      </c>
      <c r="K528" s="4">
        <v>0.5</v>
      </c>
      <c r="L528" s="4">
        <v>0.6</v>
      </c>
      <c r="M528" s="4">
        <v>0.09</v>
      </c>
      <c r="N528" s="6">
        <v>731.26531999999997</v>
      </c>
      <c r="O528" s="4">
        <v>1.2999999999999999E-2</v>
      </c>
      <c r="P528" s="5"/>
      <c r="Q528" s="5"/>
      <c r="R528" s="5"/>
      <c r="S528" s="5"/>
      <c r="U528" s="4" t="s">
        <v>302</v>
      </c>
      <c r="V528" s="4">
        <v>0.9</v>
      </c>
      <c r="W528" s="4">
        <v>0.5</v>
      </c>
      <c r="X528" s="4">
        <v>0.6</v>
      </c>
      <c r="Y528" s="4">
        <v>0.3</v>
      </c>
      <c r="Z528" s="6">
        <v>782.599243</v>
      </c>
      <c r="AA528" s="4">
        <v>3.0000000000000001E-3</v>
      </c>
      <c r="AC528" s="4" t="s">
        <v>302</v>
      </c>
      <c r="AD528" s="4">
        <v>0.9</v>
      </c>
      <c r="AE528" s="4">
        <v>0.5</v>
      </c>
      <c r="AF528" s="4">
        <v>0.6</v>
      </c>
      <c r="AG528" s="4">
        <v>0.38</v>
      </c>
      <c r="AH528" s="4">
        <v>862.02368200000001</v>
      </c>
      <c r="AI528" s="4">
        <v>0.01</v>
      </c>
      <c r="AJ528" s="5"/>
      <c r="AK528" s="5"/>
      <c r="AL528" s="5"/>
      <c r="AM528" s="5"/>
      <c r="AO528" s="4" t="s">
        <v>303</v>
      </c>
      <c r="AP528" s="4">
        <v>0.9</v>
      </c>
      <c r="AQ528" s="4">
        <v>0.5</v>
      </c>
      <c r="AR528" s="4">
        <v>0.6</v>
      </c>
      <c r="AS528" s="4">
        <v>0.3</v>
      </c>
      <c r="AT528" s="4">
        <v>1117.393677</v>
      </c>
      <c r="AU528" s="4">
        <v>1.6E-2</v>
      </c>
      <c r="AW528" s="4" t="s">
        <v>303</v>
      </c>
      <c r="AX528" s="4">
        <v>0.9</v>
      </c>
      <c r="AY528" s="4">
        <v>0.5</v>
      </c>
      <c r="AZ528" s="4">
        <v>0.6</v>
      </c>
      <c r="BA528" s="4">
        <v>0.08</v>
      </c>
      <c r="BB528" s="6">
        <v>989.67828399999996</v>
      </c>
      <c r="BC528" s="4">
        <v>3.2000000000000001E-2</v>
      </c>
      <c r="BD528" s="5"/>
      <c r="BE528" s="5"/>
      <c r="BF528" s="5"/>
      <c r="BG528" s="5"/>
      <c r="BI528" s="4" t="s">
        <v>303</v>
      </c>
      <c r="BJ528" s="4">
        <v>0.9</v>
      </c>
      <c r="BK528" s="4">
        <v>0.5</v>
      </c>
      <c r="BL528" s="4">
        <v>0.6</v>
      </c>
      <c r="BM528" s="4">
        <v>0.3</v>
      </c>
      <c r="BN528" s="6">
        <v>1135.7579350000001</v>
      </c>
      <c r="BO528" s="4">
        <v>0.01</v>
      </c>
      <c r="BQ528" s="4" t="s">
        <v>303</v>
      </c>
      <c r="BR528" s="4">
        <v>0.9</v>
      </c>
      <c r="BS528" s="4">
        <v>0.5</v>
      </c>
      <c r="BT528" s="4">
        <v>0.6</v>
      </c>
      <c r="BU528" s="4">
        <v>0.48</v>
      </c>
      <c r="BV528" s="4">
        <v>1220.93335</v>
      </c>
      <c r="BW528" s="4">
        <v>2.1999999999999999E-2</v>
      </c>
      <c r="BX528" s="5"/>
      <c r="BY528" s="5"/>
      <c r="BZ528" s="5"/>
      <c r="CA528" s="5"/>
    </row>
    <row r="529" spans="1:79" x14ac:dyDescent="0.3">
      <c r="A529" s="4" t="s">
        <v>304</v>
      </c>
      <c r="B529" s="4">
        <v>0.9</v>
      </c>
      <c r="C529" s="4">
        <v>0.5</v>
      </c>
      <c r="D529" s="4">
        <v>0.6</v>
      </c>
      <c r="E529" s="4">
        <v>0.3</v>
      </c>
      <c r="F529" s="4">
        <v>913.41308600000002</v>
      </c>
      <c r="G529" s="4">
        <v>3.0000000000000001E-3</v>
      </c>
      <c r="I529" s="4" t="s">
        <v>304</v>
      </c>
      <c r="J529" s="4">
        <v>0.9</v>
      </c>
      <c r="K529" s="4">
        <v>0.5</v>
      </c>
      <c r="L529" s="4">
        <v>0.6</v>
      </c>
      <c r="M529" s="4">
        <v>0.08</v>
      </c>
      <c r="N529" s="6">
        <v>792.81195100000002</v>
      </c>
      <c r="O529" s="4">
        <v>5.0000000000000001E-3</v>
      </c>
      <c r="P529" s="5"/>
      <c r="Q529" s="5"/>
      <c r="R529" s="5"/>
      <c r="S529" s="5"/>
      <c r="U529" s="4" t="s">
        <v>304</v>
      </c>
      <c r="V529" s="4">
        <v>0.9</v>
      </c>
      <c r="W529" s="4">
        <v>0.5</v>
      </c>
      <c r="X529" s="4">
        <v>0.6</v>
      </c>
      <c r="Y529" s="4">
        <v>0.3</v>
      </c>
      <c r="Z529" s="6">
        <v>911.37353499999995</v>
      </c>
      <c r="AA529" s="4">
        <v>4.0000000000000001E-3</v>
      </c>
      <c r="AC529" s="4" t="s">
        <v>304</v>
      </c>
      <c r="AD529" s="4">
        <v>0.9</v>
      </c>
      <c r="AE529" s="4">
        <v>0.5</v>
      </c>
      <c r="AF529" s="4">
        <v>0.6</v>
      </c>
      <c r="AG529" s="4">
        <v>0.54</v>
      </c>
      <c r="AH529" s="4">
        <v>1009.947449</v>
      </c>
      <c r="AI529" s="4">
        <v>1.2999999999999999E-2</v>
      </c>
      <c r="AJ529" s="5"/>
      <c r="AK529" s="5"/>
      <c r="AL529" s="5"/>
      <c r="AM529" s="5"/>
      <c r="AO529" s="4" t="s">
        <v>305</v>
      </c>
      <c r="AP529" s="4">
        <v>0.9</v>
      </c>
      <c r="AQ529" s="4">
        <v>0.5</v>
      </c>
      <c r="AR529" s="4">
        <v>0.6</v>
      </c>
      <c r="AS529" s="4">
        <v>0.3</v>
      </c>
      <c r="AT529" s="6">
        <v>1183.9510499999999</v>
      </c>
      <c r="AU529" s="4">
        <v>1.0999999999999999E-2</v>
      </c>
      <c r="AW529" s="4" t="s">
        <v>305</v>
      </c>
      <c r="AX529" s="4">
        <v>0.9</v>
      </c>
      <c r="AY529" s="4">
        <v>0.5</v>
      </c>
      <c r="AZ529" s="4">
        <v>0.6</v>
      </c>
      <c r="BA529" s="4">
        <v>0.6</v>
      </c>
      <c r="BB529" s="4">
        <v>1397.4261469999999</v>
      </c>
      <c r="BC529" s="4">
        <v>2.8000000000000001E-2</v>
      </c>
      <c r="BD529" s="5"/>
      <c r="BE529" s="5"/>
      <c r="BF529" s="5"/>
      <c r="BG529" s="5"/>
      <c r="BI529" s="4" t="s">
        <v>305</v>
      </c>
      <c r="BJ529" s="4">
        <v>0.9</v>
      </c>
      <c r="BK529" s="4">
        <v>0.5</v>
      </c>
      <c r="BL529" s="4">
        <v>0.6</v>
      </c>
      <c r="BM529" s="4">
        <v>0.3</v>
      </c>
      <c r="BN529" s="6">
        <v>1171.799683</v>
      </c>
      <c r="BO529" s="4">
        <v>1.0999999999999999E-2</v>
      </c>
      <c r="BQ529" s="4" t="s">
        <v>305</v>
      </c>
      <c r="BR529" s="4">
        <v>0.9</v>
      </c>
      <c r="BS529" s="4">
        <v>0.5</v>
      </c>
      <c r="BT529" s="4">
        <v>0.6</v>
      </c>
      <c r="BU529" s="4">
        <v>0.88</v>
      </c>
      <c r="BV529" s="4">
        <v>1556.099976</v>
      </c>
      <c r="BW529" s="4">
        <v>0.03</v>
      </c>
      <c r="BX529" s="5"/>
      <c r="BY529" s="5"/>
      <c r="BZ529" s="5"/>
      <c r="CA529" s="5"/>
    </row>
    <row r="530" spans="1:79" x14ac:dyDescent="0.3">
      <c r="A530" s="4" t="s">
        <v>306</v>
      </c>
      <c r="B530" s="4">
        <v>0.9</v>
      </c>
      <c r="C530" s="4">
        <v>0.5</v>
      </c>
      <c r="D530" s="4">
        <v>0.6</v>
      </c>
      <c r="E530" s="4">
        <v>0.3</v>
      </c>
      <c r="F530" s="4">
        <v>929.348206</v>
      </c>
      <c r="G530" s="4">
        <v>4.0000000000000001E-3</v>
      </c>
      <c r="I530" s="4" t="s">
        <v>306</v>
      </c>
      <c r="J530" s="4">
        <v>0.9</v>
      </c>
      <c r="K530" s="4">
        <v>0.5</v>
      </c>
      <c r="L530" s="4">
        <v>0.6</v>
      </c>
      <c r="M530" s="4">
        <v>0.23</v>
      </c>
      <c r="N530" s="6">
        <v>911.19781499999999</v>
      </c>
      <c r="O530" s="4">
        <v>2.4E-2</v>
      </c>
      <c r="P530" s="5"/>
      <c r="Q530" s="5"/>
      <c r="R530" s="5"/>
      <c r="S530" s="5"/>
      <c r="U530" s="4" t="s">
        <v>306</v>
      </c>
      <c r="V530" s="4">
        <v>0.9</v>
      </c>
      <c r="W530" s="4">
        <v>0.5</v>
      </c>
      <c r="X530" s="4">
        <v>0.6</v>
      </c>
      <c r="Y530" s="4">
        <v>0.3</v>
      </c>
      <c r="Z530" s="4">
        <v>926.29583700000001</v>
      </c>
      <c r="AA530" s="4">
        <v>4.0000000000000001E-3</v>
      </c>
      <c r="AC530" s="4" t="s">
        <v>306</v>
      </c>
      <c r="AD530" s="4">
        <v>0.9</v>
      </c>
      <c r="AE530" s="4">
        <v>0.5</v>
      </c>
      <c r="AF530" s="4">
        <v>0.6</v>
      </c>
      <c r="AG530" s="4">
        <v>0.1</v>
      </c>
      <c r="AH530" s="6">
        <v>826.36901899999998</v>
      </c>
      <c r="AI530" s="4">
        <v>1.2999999999999999E-2</v>
      </c>
      <c r="AJ530" s="5"/>
      <c r="AK530" s="5"/>
      <c r="AL530" s="5"/>
      <c r="AM530" s="5"/>
      <c r="AO530" s="4" t="s">
        <v>307</v>
      </c>
      <c r="AP530" s="4">
        <v>0.9</v>
      </c>
      <c r="AQ530" s="4">
        <v>0.5</v>
      </c>
      <c r="AR530" s="4">
        <v>0.6</v>
      </c>
      <c r="AS530" s="4">
        <v>0.3</v>
      </c>
      <c r="AT530" s="6">
        <v>1153.028564</v>
      </c>
      <c r="AU530" s="4">
        <v>0.01</v>
      </c>
      <c r="AW530" s="4" t="s">
        <v>307</v>
      </c>
      <c r="AX530" s="4">
        <v>0.9</v>
      </c>
      <c r="AY530" s="4">
        <v>0.5</v>
      </c>
      <c r="AZ530" s="4">
        <v>0.6</v>
      </c>
      <c r="BA530" s="4">
        <v>0.45</v>
      </c>
      <c r="BB530" s="4">
        <v>1302.483154</v>
      </c>
      <c r="BC530" s="4">
        <v>2.3E-2</v>
      </c>
      <c r="BD530" s="5"/>
      <c r="BE530" s="5"/>
      <c r="BF530" s="5"/>
      <c r="BG530" s="5"/>
      <c r="BI530" s="4" t="s">
        <v>307</v>
      </c>
      <c r="BJ530" s="4">
        <v>0.9</v>
      </c>
      <c r="BK530" s="4">
        <v>0.5</v>
      </c>
      <c r="BL530" s="4">
        <v>0.6</v>
      </c>
      <c r="BM530" s="4">
        <v>0.3</v>
      </c>
      <c r="BN530" s="6">
        <v>1165.0874020000001</v>
      </c>
      <c r="BO530" s="4">
        <v>8.9999999999999993E-3</v>
      </c>
      <c r="BQ530" s="4" t="s">
        <v>307</v>
      </c>
      <c r="BR530" s="4">
        <v>0.9</v>
      </c>
      <c r="BS530" s="4">
        <v>0.5</v>
      </c>
      <c r="BT530" s="4">
        <v>0.6</v>
      </c>
      <c r="BU530" s="4">
        <v>0.57999999999999996</v>
      </c>
      <c r="BV530" s="4">
        <v>1357.399414</v>
      </c>
      <c r="BW530" s="4">
        <v>1.7000000000000001E-2</v>
      </c>
      <c r="BX530" s="5"/>
      <c r="BY530" s="5"/>
      <c r="BZ530" s="5"/>
      <c r="CA530" s="5"/>
    </row>
    <row r="531" spans="1:79" x14ac:dyDescent="0.3">
      <c r="A531" s="4" t="s">
        <v>308</v>
      </c>
      <c r="B531" s="4">
        <v>0.9</v>
      </c>
      <c r="C531" s="4">
        <v>0.5</v>
      </c>
      <c r="D531" s="4">
        <v>0.6</v>
      </c>
      <c r="E531" s="4">
        <v>0.3</v>
      </c>
      <c r="F531" s="6">
        <v>881.85229500000003</v>
      </c>
      <c r="G531" s="4">
        <v>7.0000000000000001E-3</v>
      </c>
      <c r="I531" s="4" t="s">
        <v>308</v>
      </c>
      <c r="J531" s="4">
        <v>0.9</v>
      </c>
      <c r="K531" s="4">
        <v>0.5</v>
      </c>
      <c r="L531" s="4">
        <v>0.6</v>
      </c>
      <c r="M531" s="4">
        <v>0.86</v>
      </c>
      <c r="N531" s="4">
        <v>1109.007202</v>
      </c>
      <c r="O531" s="4">
        <v>2.1999999999999999E-2</v>
      </c>
      <c r="P531" s="5"/>
      <c r="Q531" s="5"/>
      <c r="R531" s="5"/>
      <c r="S531" s="5"/>
      <c r="U531" s="4" t="s">
        <v>308</v>
      </c>
      <c r="V531" s="4">
        <v>0.9</v>
      </c>
      <c r="W531" s="4">
        <v>0.5</v>
      </c>
      <c r="X531" s="4">
        <v>0.6</v>
      </c>
      <c r="Y531" s="4">
        <v>0.3</v>
      </c>
      <c r="Z531" s="4">
        <v>903.77130099999999</v>
      </c>
      <c r="AA531" s="4">
        <v>3.0000000000000001E-3</v>
      </c>
      <c r="AC531" s="4" t="s">
        <v>308</v>
      </c>
      <c r="AD531" s="4">
        <v>0.9</v>
      </c>
      <c r="AE531" s="4">
        <v>0.5</v>
      </c>
      <c r="AF531" s="4">
        <v>0.6</v>
      </c>
      <c r="AG531" s="4">
        <v>0.04</v>
      </c>
      <c r="AH531" s="6">
        <v>831.24279799999999</v>
      </c>
      <c r="AI531" s="4">
        <v>2.1000000000000001E-2</v>
      </c>
      <c r="AJ531" s="5"/>
      <c r="AK531" s="5"/>
      <c r="AL531" s="5"/>
      <c r="AM531" s="5"/>
      <c r="AO531" s="4" t="s">
        <v>309</v>
      </c>
      <c r="AP531" s="4">
        <v>0.9</v>
      </c>
      <c r="AQ531" s="4">
        <v>0.5</v>
      </c>
      <c r="AR531" s="4">
        <v>0.6</v>
      </c>
      <c r="AS531" s="4">
        <v>0.3</v>
      </c>
      <c r="AT531" s="6">
        <v>1154.3833010000001</v>
      </c>
      <c r="AU531" s="4">
        <v>1.0999999999999999E-2</v>
      </c>
      <c r="AW531" s="4" t="s">
        <v>309</v>
      </c>
      <c r="AX531" s="4">
        <v>0.9</v>
      </c>
      <c r="AY531" s="4">
        <v>0.5</v>
      </c>
      <c r="AZ531" s="4">
        <v>0.6</v>
      </c>
      <c r="BA531" s="4">
        <v>0.78</v>
      </c>
      <c r="BB531" s="4">
        <v>1537.7055660000001</v>
      </c>
      <c r="BC531" s="4">
        <v>1.7999999999999999E-2</v>
      </c>
      <c r="BD531" s="5"/>
      <c r="BE531" s="5"/>
      <c r="BF531" s="5"/>
      <c r="BG531" s="5"/>
      <c r="BI531" s="4" t="s">
        <v>309</v>
      </c>
      <c r="BJ531" s="4">
        <v>0.9</v>
      </c>
      <c r="BK531" s="4">
        <v>0.5</v>
      </c>
      <c r="BL531" s="4">
        <v>0.6</v>
      </c>
      <c r="BM531" s="4">
        <v>0.3</v>
      </c>
      <c r="BN531" s="6">
        <v>1149.5954589999999</v>
      </c>
      <c r="BO531" s="4">
        <v>0.01</v>
      </c>
      <c r="BQ531" s="4" t="s">
        <v>309</v>
      </c>
      <c r="BR531" s="4">
        <v>0.9</v>
      </c>
      <c r="BS531" s="4">
        <v>0.5</v>
      </c>
      <c r="BT531" s="4">
        <v>0.6</v>
      </c>
      <c r="BU531" s="4">
        <v>0.44</v>
      </c>
      <c r="BV531" s="4">
        <v>1284.8204350000001</v>
      </c>
      <c r="BW531" s="4">
        <v>2.1000000000000001E-2</v>
      </c>
      <c r="BX531" s="5"/>
      <c r="BY531" s="5"/>
      <c r="BZ531" s="5"/>
      <c r="CA531" s="5"/>
    </row>
    <row r="532" spans="1:79" x14ac:dyDescent="0.3">
      <c r="A532" s="4" t="s">
        <v>310</v>
      </c>
      <c r="B532" s="4">
        <v>0.9</v>
      </c>
      <c r="C532" s="4">
        <v>0.5</v>
      </c>
      <c r="D532" s="4">
        <v>0.6</v>
      </c>
      <c r="E532" s="4">
        <v>0.3</v>
      </c>
      <c r="F532" s="6">
        <v>890.74408000000005</v>
      </c>
      <c r="G532" s="4">
        <v>4.0000000000000001E-3</v>
      </c>
      <c r="I532" s="4" t="s">
        <v>310</v>
      </c>
      <c r="J532" s="4">
        <v>0.9</v>
      </c>
      <c r="K532" s="4">
        <v>0.5</v>
      </c>
      <c r="L532" s="4">
        <v>0.6</v>
      </c>
      <c r="M532" s="4">
        <v>0.93</v>
      </c>
      <c r="N532" s="4">
        <v>1117.249634</v>
      </c>
      <c r="O532" s="4">
        <v>1.4E-2</v>
      </c>
      <c r="P532" s="5"/>
      <c r="Q532" s="5"/>
      <c r="R532" s="5"/>
      <c r="S532" s="5"/>
      <c r="U532" s="4" t="s">
        <v>310</v>
      </c>
      <c r="V532" s="4">
        <v>0.9</v>
      </c>
      <c r="W532" s="4">
        <v>0.5</v>
      </c>
      <c r="X532" s="4">
        <v>0.6</v>
      </c>
      <c r="Y532" s="4">
        <v>0.3</v>
      </c>
      <c r="Z532" s="6">
        <v>894.91961700000002</v>
      </c>
      <c r="AA532" s="4">
        <v>3.0000000000000001E-3</v>
      </c>
      <c r="AC532" s="4" t="s">
        <v>310</v>
      </c>
      <c r="AD532" s="4">
        <v>0.9</v>
      </c>
      <c r="AE532" s="4">
        <v>0.5</v>
      </c>
      <c r="AF532" s="4">
        <v>0.6</v>
      </c>
      <c r="AG532" s="4">
        <v>0.74</v>
      </c>
      <c r="AH532" s="4">
        <v>1062.9383539999999</v>
      </c>
      <c r="AI532" s="4">
        <v>1.7000000000000001E-2</v>
      </c>
      <c r="AJ532" s="5"/>
      <c r="AK532" s="5"/>
      <c r="AL532" s="5"/>
      <c r="AM532" s="5"/>
      <c r="AO532" s="4" t="s">
        <v>311</v>
      </c>
      <c r="AP532" s="4">
        <v>0.9</v>
      </c>
      <c r="AQ532" s="4">
        <v>0.5</v>
      </c>
      <c r="AR532" s="4">
        <v>0.6</v>
      </c>
      <c r="AS532" s="4">
        <v>0.3</v>
      </c>
      <c r="AT532" s="6">
        <v>1187.132568</v>
      </c>
      <c r="AU532" s="4">
        <v>0.01</v>
      </c>
      <c r="AW532" s="4" t="s">
        <v>311</v>
      </c>
      <c r="AX532" s="4">
        <v>0.9</v>
      </c>
      <c r="AY532" s="4">
        <v>0.5</v>
      </c>
      <c r="AZ532" s="4">
        <v>0.6</v>
      </c>
      <c r="BA532" s="4">
        <v>0.26</v>
      </c>
      <c r="BB532" s="4">
        <v>1153.251831</v>
      </c>
      <c r="BC532" s="4">
        <v>3.4000000000000002E-2</v>
      </c>
      <c r="BD532" s="5"/>
      <c r="BE532" s="5"/>
      <c r="BF532" s="5"/>
      <c r="BG532" s="5"/>
      <c r="BI532" s="4" t="s">
        <v>311</v>
      </c>
      <c r="BJ532" s="4">
        <v>0.9</v>
      </c>
      <c r="BK532" s="4">
        <v>0.5</v>
      </c>
      <c r="BL532" s="4">
        <v>0.6</v>
      </c>
      <c r="BM532" s="4">
        <v>0.3</v>
      </c>
      <c r="BN532" s="6">
        <v>1187.638428</v>
      </c>
      <c r="BO532" s="4">
        <v>0.01</v>
      </c>
      <c r="BQ532" s="4" t="s">
        <v>311</v>
      </c>
      <c r="BR532" s="4">
        <v>0.9</v>
      </c>
      <c r="BS532" s="4">
        <v>0.5</v>
      </c>
      <c r="BT532" s="4">
        <v>0.6</v>
      </c>
      <c r="BU532" s="4">
        <v>0.56999999999999995</v>
      </c>
      <c r="BV532" s="4">
        <v>1406.0848390000001</v>
      </c>
      <c r="BW532" s="4">
        <v>2.1000000000000001E-2</v>
      </c>
      <c r="BX532" s="5"/>
      <c r="BY532" s="5"/>
      <c r="BZ532" s="5"/>
      <c r="CA532" s="5"/>
    </row>
    <row r="533" spans="1:79" x14ac:dyDescent="0.3">
      <c r="A533" s="4" t="s">
        <v>312</v>
      </c>
      <c r="B533" s="4">
        <v>0.9</v>
      </c>
      <c r="C533" s="4">
        <v>0.5</v>
      </c>
      <c r="D533" s="4">
        <v>0.6</v>
      </c>
      <c r="E533" s="4">
        <v>0.3</v>
      </c>
      <c r="F533" s="6">
        <v>879.68768299999999</v>
      </c>
      <c r="G533" s="4">
        <v>4.0000000000000001E-3</v>
      </c>
      <c r="I533" s="4" t="s">
        <v>312</v>
      </c>
      <c r="J533" s="4">
        <v>0.9</v>
      </c>
      <c r="K533" s="4">
        <v>0.5</v>
      </c>
      <c r="L533" s="4">
        <v>0.6</v>
      </c>
      <c r="M533" s="4">
        <v>0.91</v>
      </c>
      <c r="N533" s="4">
        <v>1061.974976</v>
      </c>
      <c r="O533" s="4">
        <v>2.4E-2</v>
      </c>
      <c r="P533" s="5"/>
      <c r="Q533" s="5"/>
      <c r="R533" s="5"/>
      <c r="S533" s="5"/>
      <c r="U533" s="4" t="s">
        <v>312</v>
      </c>
      <c r="V533" s="4">
        <v>0.9</v>
      </c>
      <c r="W533" s="4">
        <v>0.5</v>
      </c>
      <c r="X533" s="4">
        <v>0.6</v>
      </c>
      <c r="Y533" s="4">
        <v>0.3</v>
      </c>
      <c r="Z533" s="6">
        <v>874.54449499999998</v>
      </c>
      <c r="AA533" s="4">
        <v>3.0000000000000001E-3</v>
      </c>
      <c r="AC533" s="4" t="s">
        <v>312</v>
      </c>
      <c r="AD533" s="4">
        <v>0.9</v>
      </c>
      <c r="AE533" s="4">
        <v>0.5</v>
      </c>
      <c r="AF533" s="4">
        <v>0.6</v>
      </c>
      <c r="AG533" s="4">
        <v>0.94</v>
      </c>
      <c r="AH533" s="4">
        <v>1057.0520019999999</v>
      </c>
      <c r="AI533" s="4">
        <v>2.1999999999999999E-2</v>
      </c>
      <c r="AJ533" s="5"/>
      <c r="AK533" s="5"/>
      <c r="AL533" s="5"/>
      <c r="AM533" s="5"/>
      <c r="AO533" s="4" t="s">
        <v>313</v>
      </c>
      <c r="AP533" s="4">
        <v>0.9</v>
      </c>
      <c r="AQ533" s="4">
        <v>0.5</v>
      </c>
      <c r="AR533" s="4">
        <v>0.6</v>
      </c>
      <c r="AS533" s="4">
        <v>0.3</v>
      </c>
      <c r="AT533" s="6">
        <v>1171.845703</v>
      </c>
      <c r="AU533" s="4">
        <v>8.9999999999999993E-3</v>
      </c>
      <c r="AW533" s="4" t="s">
        <v>313</v>
      </c>
      <c r="AX533" s="4">
        <v>0.9</v>
      </c>
      <c r="AY533" s="4">
        <v>0.5</v>
      </c>
      <c r="AZ533" s="4">
        <v>0.6</v>
      </c>
      <c r="BA533" s="4">
        <v>0.83</v>
      </c>
      <c r="BB533" s="4">
        <v>1448.3095699999999</v>
      </c>
      <c r="BC533" s="4">
        <v>3.9E-2</v>
      </c>
      <c r="BD533" s="5"/>
      <c r="BE533" s="5"/>
      <c r="BF533" s="5"/>
      <c r="BG533" s="5"/>
      <c r="BI533" s="4" t="s">
        <v>313</v>
      </c>
      <c r="BJ533" s="4">
        <v>0.9</v>
      </c>
      <c r="BK533" s="4">
        <v>0.5</v>
      </c>
      <c r="BL533" s="4">
        <v>0.6</v>
      </c>
      <c r="BM533" s="4">
        <v>0.3</v>
      </c>
      <c r="BN533" s="4">
        <v>1161.4620359999999</v>
      </c>
      <c r="BO533" s="4">
        <v>0.01</v>
      </c>
      <c r="BQ533" s="4" t="s">
        <v>313</v>
      </c>
      <c r="BR533" s="4">
        <v>0.9</v>
      </c>
      <c r="BS533" s="4">
        <v>0.5</v>
      </c>
      <c r="BT533" s="4">
        <v>0.6</v>
      </c>
      <c r="BU533" s="4">
        <v>0.26</v>
      </c>
      <c r="BV533" s="6">
        <v>1121.5445560000001</v>
      </c>
      <c r="BW533" s="4">
        <v>2.3E-2</v>
      </c>
      <c r="BX533" s="5"/>
      <c r="BY533" s="5"/>
      <c r="BZ533" s="5"/>
      <c r="CA533" s="5"/>
    </row>
    <row r="534" spans="1:79" x14ac:dyDescent="0.3">
      <c r="A534" s="14" t="s">
        <v>316</v>
      </c>
      <c r="E534" s="14">
        <f>AVERAGE(E504:E533)</f>
        <v>0.3</v>
      </c>
      <c r="I534" s="14" t="s">
        <v>316</v>
      </c>
      <c r="M534" s="14">
        <f>AVERAGE(M504:M533)</f>
        <v>0.46700000000000003</v>
      </c>
      <c r="U534" s="14" t="s">
        <v>316</v>
      </c>
      <c r="Y534" s="14">
        <f>AVERAGE(Y504:Y533)</f>
        <v>0.3</v>
      </c>
      <c r="AC534" s="14" t="s">
        <v>316</v>
      </c>
      <c r="AG534" s="14">
        <f>AVERAGE(AG504:AG533)</f>
        <v>0.47299999999999998</v>
      </c>
      <c r="AO534" s="14" t="s">
        <v>316</v>
      </c>
      <c r="AS534" s="14">
        <f>AVERAGE(AS504:AS533)</f>
        <v>0.3</v>
      </c>
      <c r="AW534" s="14" t="s">
        <v>316</v>
      </c>
      <c r="BA534" s="14">
        <f>AVERAGE(BA504:BA533)</f>
        <v>0.52333333333333321</v>
      </c>
      <c r="BI534" s="14" t="s">
        <v>316</v>
      </c>
      <c r="BM534" s="14">
        <f>AVERAGE(BM504:BM533)</f>
        <v>0.3</v>
      </c>
      <c r="BQ534" s="14" t="s">
        <v>316</v>
      </c>
      <c r="BU534" s="14">
        <f>AVERAGE(BU504:BU533)</f>
        <v>0.48466666666666663</v>
      </c>
    </row>
  </sheetData>
  <mergeCells count="132">
    <mergeCell ref="A108:G108"/>
    <mergeCell ref="A109:G109"/>
    <mergeCell ref="A144:G144"/>
    <mergeCell ref="A145:G145"/>
    <mergeCell ref="A180:G180"/>
    <mergeCell ref="A181:G181"/>
    <mergeCell ref="A1:G1"/>
    <mergeCell ref="A2:G2"/>
    <mergeCell ref="A37:G37"/>
    <mergeCell ref="A38:G38"/>
    <mergeCell ref="A73:G73"/>
    <mergeCell ref="A74:G74"/>
    <mergeCell ref="A322:G322"/>
    <mergeCell ref="A358:G358"/>
    <mergeCell ref="A394:G394"/>
    <mergeCell ref="A429:G429"/>
    <mergeCell ref="A465:G465"/>
    <mergeCell ref="A501:G501"/>
    <mergeCell ref="A215:G215"/>
    <mergeCell ref="A216:G216"/>
    <mergeCell ref="A251:G251"/>
    <mergeCell ref="A252:G252"/>
    <mergeCell ref="A287:G287"/>
    <mergeCell ref="A288:G288"/>
    <mergeCell ref="I429:O429"/>
    <mergeCell ref="I465:O465"/>
    <mergeCell ref="I501:O501"/>
    <mergeCell ref="U1:AA1"/>
    <mergeCell ref="U2:AA2"/>
    <mergeCell ref="U37:AA37"/>
    <mergeCell ref="U38:AA38"/>
    <mergeCell ref="U73:AA73"/>
    <mergeCell ref="U74:AA74"/>
    <mergeCell ref="U108:AA108"/>
    <mergeCell ref="I215:O215"/>
    <mergeCell ref="I251:O251"/>
    <mergeCell ref="I287:O287"/>
    <mergeCell ref="I322:O322"/>
    <mergeCell ref="I358:O358"/>
    <mergeCell ref="I394:O394"/>
    <mergeCell ref="I1:O1"/>
    <mergeCell ref="I37:O37"/>
    <mergeCell ref="I73:O73"/>
    <mergeCell ref="I108:O108"/>
    <mergeCell ref="I144:O144"/>
    <mergeCell ref="I180:O180"/>
    <mergeCell ref="U358:AA358"/>
    <mergeCell ref="U394:AA394"/>
    <mergeCell ref="AC180:AI180"/>
    <mergeCell ref="AC215:AI215"/>
    <mergeCell ref="AC251:AI251"/>
    <mergeCell ref="U429:AA429"/>
    <mergeCell ref="U465:AA465"/>
    <mergeCell ref="U501:AA501"/>
    <mergeCell ref="AC1:AI1"/>
    <mergeCell ref="AC37:AI37"/>
    <mergeCell ref="AC73:AI73"/>
    <mergeCell ref="AC108:AI108"/>
    <mergeCell ref="AC144:AI144"/>
    <mergeCell ref="U251:AA251"/>
    <mergeCell ref="U287:AA287"/>
    <mergeCell ref="U322:AA322"/>
    <mergeCell ref="U144:AA144"/>
    <mergeCell ref="U180:AA180"/>
    <mergeCell ref="U215:AA215"/>
    <mergeCell ref="AC394:AI394"/>
    <mergeCell ref="AC429:AI429"/>
    <mergeCell ref="AC465:AI465"/>
    <mergeCell ref="AC501:AI501"/>
    <mergeCell ref="AC287:AI287"/>
    <mergeCell ref="AC322:AI322"/>
    <mergeCell ref="AC358:AI358"/>
    <mergeCell ref="AO501:AU501"/>
    <mergeCell ref="AW1:BC1"/>
    <mergeCell ref="AW37:BC37"/>
    <mergeCell ref="AW73:BC73"/>
    <mergeCell ref="AW108:BC108"/>
    <mergeCell ref="AW144:BC144"/>
    <mergeCell ref="AW180:BC180"/>
    <mergeCell ref="AW215:BC215"/>
    <mergeCell ref="AO215:AU215"/>
    <mergeCell ref="AO251:AU251"/>
    <mergeCell ref="AO287:AU287"/>
    <mergeCell ref="AO322:AU322"/>
    <mergeCell ref="AO358:AU358"/>
    <mergeCell ref="AO394:AU394"/>
    <mergeCell ref="AW465:BC465"/>
    <mergeCell ref="AW501:BC501"/>
    <mergeCell ref="AW287:BC287"/>
    <mergeCell ref="AW322:BC322"/>
    <mergeCell ref="AW358:BC358"/>
    <mergeCell ref="AW394:BC394"/>
    <mergeCell ref="AW429:BC429"/>
    <mergeCell ref="AO1:AU1"/>
    <mergeCell ref="AO37:AU37"/>
    <mergeCell ref="AO73:AU73"/>
    <mergeCell ref="BI73:BO73"/>
    <mergeCell ref="BI108:BO108"/>
    <mergeCell ref="BI144:BO144"/>
    <mergeCell ref="BI180:BO180"/>
    <mergeCell ref="BI215:BO215"/>
    <mergeCell ref="BI251:BO251"/>
    <mergeCell ref="AW251:BC251"/>
    <mergeCell ref="AO429:AU429"/>
    <mergeCell ref="AO465:AU465"/>
    <mergeCell ref="AO108:AU108"/>
    <mergeCell ref="AO144:AU144"/>
    <mergeCell ref="AO180:AU180"/>
    <mergeCell ref="BQ322:BW322"/>
    <mergeCell ref="BQ358:BW358"/>
    <mergeCell ref="BQ394:BW394"/>
    <mergeCell ref="BQ429:BW429"/>
    <mergeCell ref="BQ465:BW465"/>
    <mergeCell ref="BQ501:BW501"/>
    <mergeCell ref="BI501:BO501"/>
    <mergeCell ref="BQ1:BW1"/>
    <mergeCell ref="BQ37:BW37"/>
    <mergeCell ref="BQ73:BW73"/>
    <mergeCell ref="BQ108:BW108"/>
    <mergeCell ref="BQ144:BW144"/>
    <mergeCell ref="BQ180:BW180"/>
    <mergeCell ref="BQ215:BW215"/>
    <mergeCell ref="BQ251:BW251"/>
    <mergeCell ref="BQ287:BW287"/>
    <mergeCell ref="BI287:BO287"/>
    <mergeCell ref="BI322:BO322"/>
    <mergeCell ref="BI358:BO358"/>
    <mergeCell ref="BI394:BO394"/>
    <mergeCell ref="BI429:BO429"/>
    <mergeCell ref="BI465:BO465"/>
    <mergeCell ref="BI1:BO1"/>
    <mergeCell ref="BI37:BO37"/>
  </mergeCells>
  <pageMargins left="0.7" right="0.7" top="0.75" bottom="0.75" header="0.3" footer="0.3"/>
  <pageSetup orientation="portrait" r:id="rId1"/>
  <ignoredErrors>
    <ignoredError sqref="R41 R77 R112 R148 R184 R219 R255 R291 R326 R362 R398 R433 R469 R505 AL505 AL469 AL433 AL398 AL362 AL326 AL291 AL255 AL219 AL184 AL148 AL112 AL77 AL41 AL5 BF5 BF41 BF77 BF112 BF148 BF184 BF219 BF255 BF291 BF326 BF362 BF398 BF433 BF469 BF505 BZ505 BZ469 BZ433 BZ398 BZ362 BZ326 BZ291 BZ255 BZ219 BZ184 BZ148 BZ112 BZ77 BZ41 BZ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534"/>
  <sheetViews>
    <sheetView zoomScaleNormal="100" workbookViewId="0">
      <selection activeCell="A254" sqref="A254:A283"/>
    </sheetView>
  </sheetViews>
  <sheetFormatPr baseColWidth="10" defaultRowHeight="14.4" x14ac:dyDescent="0.3"/>
  <cols>
    <col min="1" max="1" width="15.88671875" style="2" bestFit="1" customWidth="1"/>
    <col min="2" max="4" width="4.77734375" style="2" bestFit="1" customWidth="1"/>
    <col min="5" max="6" width="13.6640625" style="2" bestFit="1" customWidth="1"/>
    <col min="7" max="7" width="7" style="2" bestFit="1" customWidth="1"/>
    <col min="8" max="8" width="11.5546875" style="2"/>
    <col min="9" max="9" width="15.6640625" style="2" bestFit="1" customWidth="1"/>
    <col min="10" max="12" width="4.77734375" style="2" bestFit="1" customWidth="1"/>
    <col min="13" max="13" width="13.6640625" style="2" bestFit="1" customWidth="1"/>
    <col min="14" max="14" width="12.5546875" style="2" bestFit="1" customWidth="1"/>
    <col min="15" max="15" width="7" style="2" bestFit="1" customWidth="1"/>
    <col min="16" max="17" width="17.44140625" bestFit="1" customWidth="1"/>
    <col min="18" max="18" width="18.77734375" bestFit="1" customWidth="1"/>
    <col min="19" max="19" width="17.44140625" bestFit="1" customWidth="1"/>
    <col min="20" max="20" width="11.5546875" style="1"/>
    <col min="21" max="21" width="15.88671875" style="2" bestFit="1" customWidth="1"/>
    <col min="22" max="24" width="4.77734375" style="2" bestFit="1" customWidth="1"/>
    <col min="25" max="26" width="13.6640625" style="2" bestFit="1" customWidth="1"/>
    <col min="27" max="27" width="7" style="2" bestFit="1" customWidth="1"/>
    <col min="29" max="29" width="15.6640625" style="2" bestFit="1" customWidth="1"/>
    <col min="30" max="32" width="4.77734375" style="2" bestFit="1" customWidth="1"/>
    <col min="33" max="33" width="13.6640625" style="2" bestFit="1" customWidth="1"/>
    <col min="34" max="34" width="12.5546875" style="2" bestFit="1" customWidth="1"/>
    <col min="35" max="35" width="7" style="2" bestFit="1" customWidth="1"/>
    <col min="36" max="37" width="17.44140625" bestFit="1" customWidth="1"/>
    <col min="38" max="38" width="18.77734375" bestFit="1" customWidth="1"/>
    <col min="39" max="39" width="17.44140625" bestFit="1" customWidth="1"/>
    <col min="40" max="40" width="11.5546875" style="1"/>
    <col min="41" max="41" width="15.88671875" style="2" bestFit="1" customWidth="1"/>
    <col min="42" max="44" width="4.77734375" style="2" bestFit="1" customWidth="1"/>
    <col min="45" max="46" width="13.6640625" style="2" bestFit="1" customWidth="1"/>
    <col min="47" max="47" width="7" style="2" bestFit="1" customWidth="1"/>
    <col min="49" max="49" width="15.6640625" style="2" bestFit="1" customWidth="1"/>
    <col min="50" max="52" width="4.77734375" style="2" bestFit="1" customWidth="1"/>
    <col min="53" max="54" width="13.6640625" style="2" bestFit="1" customWidth="1"/>
    <col min="55" max="55" width="7" style="2" bestFit="1" customWidth="1"/>
    <col min="56" max="57" width="17.44140625" bestFit="1" customWidth="1"/>
    <col min="58" max="58" width="18.77734375" bestFit="1" customWidth="1"/>
    <col min="59" max="59" width="17.44140625" bestFit="1" customWidth="1"/>
    <col min="60" max="60" width="11.5546875" style="1"/>
    <col min="61" max="61" width="15.88671875" style="2" bestFit="1" customWidth="1"/>
    <col min="62" max="64" width="4.77734375" style="2" bestFit="1" customWidth="1"/>
    <col min="65" max="66" width="13.6640625" style="2" bestFit="1" customWidth="1"/>
    <col min="67" max="67" width="7" style="2" bestFit="1" customWidth="1"/>
    <col min="69" max="69" width="15.6640625" style="2" bestFit="1" customWidth="1"/>
    <col min="70" max="72" width="4.77734375" style="2" bestFit="1" customWidth="1"/>
    <col min="73" max="74" width="13.6640625" style="2" bestFit="1" customWidth="1"/>
    <col min="75" max="75" width="7" style="2" bestFit="1" customWidth="1"/>
    <col min="76" max="77" width="17.44140625" bestFit="1" customWidth="1"/>
    <col min="78" max="78" width="18.77734375" bestFit="1" customWidth="1"/>
    <col min="79" max="79" width="17.44140625" bestFit="1" customWidth="1"/>
  </cols>
  <sheetData>
    <row r="1" spans="1:79" x14ac:dyDescent="0.3">
      <c r="A1" s="23" t="s">
        <v>314</v>
      </c>
      <c r="B1" s="23"/>
      <c r="C1" s="23"/>
      <c r="D1" s="23"/>
      <c r="E1" s="23"/>
      <c r="F1" s="23"/>
      <c r="G1" s="23"/>
      <c r="I1" s="23" t="s">
        <v>314</v>
      </c>
      <c r="J1" s="23"/>
      <c r="K1" s="23"/>
      <c r="L1" s="23"/>
      <c r="M1" s="23"/>
      <c r="N1" s="23"/>
      <c r="O1" s="23"/>
      <c r="P1" s="11"/>
      <c r="Q1" s="11"/>
      <c r="R1" s="11"/>
      <c r="S1" s="11"/>
      <c r="U1" s="23" t="s">
        <v>314</v>
      </c>
      <c r="V1" s="23"/>
      <c r="W1" s="23"/>
      <c r="X1" s="23"/>
      <c r="Y1" s="23"/>
      <c r="Z1" s="23"/>
      <c r="AA1" s="23"/>
      <c r="AC1" s="23" t="s">
        <v>314</v>
      </c>
      <c r="AD1" s="23"/>
      <c r="AE1" s="23"/>
      <c r="AF1" s="23"/>
      <c r="AG1" s="23"/>
      <c r="AH1" s="23"/>
      <c r="AI1" s="23"/>
      <c r="AJ1" s="11"/>
      <c r="AK1" s="11"/>
      <c r="AL1" s="11"/>
      <c r="AM1" s="11"/>
      <c r="AO1" s="23" t="s">
        <v>314</v>
      </c>
      <c r="AP1" s="23"/>
      <c r="AQ1" s="23"/>
      <c r="AR1" s="23"/>
      <c r="AS1" s="23"/>
      <c r="AT1" s="23"/>
      <c r="AU1" s="23"/>
      <c r="AW1" s="23" t="s">
        <v>314</v>
      </c>
      <c r="AX1" s="23"/>
      <c r="AY1" s="23"/>
      <c r="AZ1" s="23"/>
      <c r="BA1" s="23"/>
      <c r="BB1" s="23"/>
      <c r="BC1" s="23"/>
      <c r="BD1" s="11"/>
      <c r="BE1" s="11"/>
      <c r="BF1" s="11"/>
      <c r="BG1" s="11"/>
      <c r="BI1" s="23" t="s">
        <v>314</v>
      </c>
      <c r="BJ1" s="23"/>
      <c r="BK1" s="23"/>
      <c r="BL1" s="23"/>
      <c r="BM1" s="23"/>
      <c r="BN1" s="23"/>
      <c r="BO1" s="23"/>
      <c r="BQ1" s="23" t="s">
        <v>314</v>
      </c>
      <c r="BR1" s="23"/>
      <c r="BS1" s="23"/>
      <c r="BT1" s="23"/>
      <c r="BU1" s="23"/>
      <c r="BV1" s="23"/>
      <c r="BW1" s="23"/>
      <c r="BX1" s="11"/>
      <c r="BY1" s="11"/>
      <c r="BZ1" s="11"/>
      <c r="CA1" s="11"/>
    </row>
    <row r="2" spans="1:79" x14ac:dyDescent="0.3">
      <c r="A2" s="4" t="s">
        <v>0</v>
      </c>
      <c r="B2" s="4"/>
      <c r="C2" s="4"/>
      <c r="D2" s="4"/>
      <c r="E2" s="4"/>
      <c r="F2" s="4"/>
      <c r="G2" s="4"/>
      <c r="I2" s="23" t="s">
        <v>0</v>
      </c>
      <c r="J2" s="23"/>
      <c r="K2" s="23"/>
      <c r="L2" s="23"/>
      <c r="M2" s="23"/>
      <c r="N2" s="23"/>
      <c r="O2" s="23"/>
      <c r="P2" s="11"/>
      <c r="Q2" s="11"/>
      <c r="R2" s="11"/>
      <c r="S2" s="11"/>
      <c r="U2" s="4" t="s">
        <v>1</v>
      </c>
      <c r="V2" s="4"/>
      <c r="W2" s="4"/>
      <c r="X2" s="4"/>
      <c r="Y2" s="4"/>
      <c r="Z2" s="4"/>
      <c r="AA2" s="4"/>
      <c r="AC2" s="23" t="s">
        <v>1</v>
      </c>
      <c r="AD2" s="23"/>
      <c r="AE2" s="23"/>
      <c r="AF2" s="23"/>
      <c r="AG2" s="23"/>
      <c r="AH2" s="23"/>
      <c r="AI2" s="23"/>
      <c r="AJ2" s="11"/>
      <c r="AK2" s="11"/>
      <c r="AL2" s="11"/>
      <c r="AM2" s="11"/>
      <c r="AO2" s="4" t="s">
        <v>0</v>
      </c>
      <c r="AP2" s="4"/>
      <c r="AQ2" s="4"/>
      <c r="AR2" s="4"/>
      <c r="AS2" s="4"/>
      <c r="AT2" s="4"/>
      <c r="AU2" s="4"/>
      <c r="AW2" s="23" t="s">
        <v>0</v>
      </c>
      <c r="AX2" s="23"/>
      <c r="AY2" s="23"/>
      <c r="AZ2" s="23"/>
      <c r="BA2" s="23"/>
      <c r="BB2" s="23"/>
      <c r="BC2" s="23"/>
      <c r="BD2" s="11"/>
      <c r="BE2" s="11"/>
      <c r="BF2" s="11"/>
      <c r="BG2" s="11"/>
      <c r="BI2" s="4" t="s">
        <v>1</v>
      </c>
      <c r="BJ2" s="4"/>
      <c r="BK2" s="4"/>
      <c r="BL2" s="4"/>
      <c r="BM2" s="4"/>
      <c r="BN2" s="4"/>
      <c r="BO2" s="4"/>
      <c r="BQ2" s="23" t="s">
        <v>1</v>
      </c>
      <c r="BR2" s="23"/>
      <c r="BS2" s="23"/>
      <c r="BT2" s="23"/>
      <c r="BU2" s="23"/>
      <c r="BV2" s="23"/>
      <c r="BW2" s="23"/>
      <c r="BX2" s="11"/>
      <c r="BY2" s="11"/>
      <c r="BZ2" s="11"/>
      <c r="CA2" s="11"/>
    </row>
    <row r="3" spans="1:79" x14ac:dyDescent="0.3">
      <c r="A3" s="4" t="s">
        <v>2</v>
      </c>
      <c r="B3" s="4" t="s">
        <v>3</v>
      </c>
      <c r="C3" s="4" t="s">
        <v>4</v>
      </c>
      <c r="D3" s="4" t="s">
        <v>5</v>
      </c>
      <c r="E3" s="4" t="s">
        <v>6</v>
      </c>
      <c r="F3" s="4" t="s">
        <v>7</v>
      </c>
      <c r="G3" s="4" t="s">
        <v>8</v>
      </c>
      <c r="I3" s="4" t="s">
        <v>2</v>
      </c>
      <c r="J3" s="4" t="s">
        <v>3</v>
      </c>
      <c r="K3" s="4" t="s">
        <v>4</v>
      </c>
      <c r="L3" s="4" t="s">
        <v>5</v>
      </c>
      <c r="M3" s="4" t="s">
        <v>6</v>
      </c>
      <c r="N3" s="4" t="s">
        <v>7</v>
      </c>
      <c r="O3" s="4" t="s">
        <v>8</v>
      </c>
      <c r="P3" s="3" t="s">
        <v>322</v>
      </c>
      <c r="Q3" s="3" t="s">
        <v>323</v>
      </c>
      <c r="R3" s="3" t="s">
        <v>322</v>
      </c>
      <c r="S3" s="3" t="s">
        <v>323</v>
      </c>
      <c r="U3" s="4" t="s">
        <v>2</v>
      </c>
      <c r="V3" s="4" t="s">
        <v>3</v>
      </c>
      <c r="W3" s="4" t="s">
        <v>4</v>
      </c>
      <c r="X3" s="4" t="s">
        <v>5</v>
      </c>
      <c r="Y3" s="4" t="s">
        <v>6</v>
      </c>
      <c r="Z3" s="4" t="s">
        <v>7</v>
      </c>
      <c r="AA3" s="4" t="s">
        <v>8</v>
      </c>
      <c r="AC3" s="4" t="s">
        <v>2</v>
      </c>
      <c r="AD3" s="4" t="s">
        <v>3</v>
      </c>
      <c r="AE3" s="4" t="s">
        <v>4</v>
      </c>
      <c r="AF3" s="4" t="s">
        <v>5</v>
      </c>
      <c r="AG3" s="4" t="s">
        <v>6</v>
      </c>
      <c r="AH3" s="4" t="s">
        <v>7</v>
      </c>
      <c r="AI3" s="4" t="s">
        <v>8</v>
      </c>
      <c r="AJ3" s="3" t="s">
        <v>322</v>
      </c>
      <c r="AK3" s="3" t="s">
        <v>323</v>
      </c>
      <c r="AL3" s="3" t="s">
        <v>322</v>
      </c>
      <c r="AM3" s="3" t="s">
        <v>323</v>
      </c>
      <c r="AO3" s="4" t="s">
        <v>2</v>
      </c>
      <c r="AP3" s="4" t="s">
        <v>3</v>
      </c>
      <c r="AQ3" s="4" t="s">
        <v>4</v>
      </c>
      <c r="AR3" s="4" t="s">
        <v>5</v>
      </c>
      <c r="AS3" s="4" t="s">
        <v>6</v>
      </c>
      <c r="AT3" s="4" t="s">
        <v>7</v>
      </c>
      <c r="AU3" s="4" t="s">
        <v>8</v>
      </c>
      <c r="AW3" s="4" t="s">
        <v>2</v>
      </c>
      <c r="AX3" s="4" t="s">
        <v>3</v>
      </c>
      <c r="AY3" s="4" t="s">
        <v>4</v>
      </c>
      <c r="AZ3" s="4" t="s">
        <v>5</v>
      </c>
      <c r="BA3" s="4" t="s">
        <v>6</v>
      </c>
      <c r="BB3" s="4" t="s">
        <v>7</v>
      </c>
      <c r="BC3" s="4" t="s">
        <v>8</v>
      </c>
      <c r="BD3" s="3" t="s">
        <v>322</v>
      </c>
      <c r="BE3" s="3" t="s">
        <v>323</v>
      </c>
      <c r="BF3" s="3" t="s">
        <v>322</v>
      </c>
      <c r="BG3" s="3" t="s">
        <v>323</v>
      </c>
      <c r="BI3" s="4" t="s">
        <v>2</v>
      </c>
      <c r="BJ3" s="4" t="s">
        <v>3</v>
      </c>
      <c r="BK3" s="4" t="s">
        <v>4</v>
      </c>
      <c r="BL3" s="4" t="s">
        <v>5</v>
      </c>
      <c r="BM3" s="4" t="s">
        <v>6</v>
      </c>
      <c r="BN3" s="4" t="s">
        <v>7</v>
      </c>
      <c r="BO3" s="4" t="s">
        <v>8</v>
      </c>
      <c r="BQ3" s="4" t="s">
        <v>2</v>
      </c>
      <c r="BR3" s="4" t="s">
        <v>3</v>
      </c>
      <c r="BS3" s="4" t="s">
        <v>4</v>
      </c>
      <c r="BT3" s="4" t="s">
        <v>5</v>
      </c>
      <c r="BU3" s="4" t="s">
        <v>6</v>
      </c>
      <c r="BV3" s="4" t="s">
        <v>7</v>
      </c>
      <c r="BW3" s="4" t="s">
        <v>8</v>
      </c>
      <c r="BX3" s="3" t="s">
        <v>322</v>
      </c>
      <c r="BY3" s="3" t="s">
        <v>323</v>
      </c>
      <c r="BZ3" s="3" t="s">
        <v>322</v>
      </c>
      <c r="CA3" s="3" t="s">
        <v>323</v>
      </c>
    </row>
    <row r="4" spans="1:79" x14ac:dyDescent="0.3">
      <c r="A4" s="4" t="s">
        <v>10</v>
      </c>
      <c r="B4" s="4">
        <v>0.9</v>
      </c>
      <c r="C4" s="4">
        <v>0.5</v>
      </c>
      <c r="D4" s="4">
        <v>0.6</v>
      </c>
      <c r="E4" s="4">
        <v>0.01</v>
      </c>
      <c r="F4" s="4">
        <v>469.01501500000001</v>
      </c>
      <c r="G4" s="4">
        <v>1.6E-2</v>
      </c>
      <c r="I4" s="4" t="s">
        <v>10</v>
      </c>
      <c r="J4" s="4">
        <v>0.9</v>
      </c>
      <c r="K4" s="4">
        <v>0.5</v>
      </c>
      <c r="L4" s="4">
        <v>0.6</v>
      </c>
      <c r="M4" s="4">
        <v>0.42</v>
      </c>
      <c r="N4" s="6">
        <v>376.96539300000001</v>
      </c>
      <c r="O4" s="4">
        <v>0</v>
      </c>
      <c r="P4" s="4" t="s">
        <v>327</v>
      </c>
      <c r="Q4" s="4" t="s">
        <v>327</v>
      </c>
      <c r="R4" s="4" t="s">
        <v>325</v>
      </c>
      <c r="S4" s="4" t="s">
        <v>326</v>
      </c>
      <c r="U4" s="4" t="s">
        <v>10</v>
      </c>
      <c r="V4" s="4">
        <v>0.9</v>
      </c>
      <c r="W4" s="4">
        <v>0.5</v>
      </c>
      <c r="X4" s="4">
        <v>0.6</v>
      </c>
      <c r="Y4" s="4">
        <v>0.01</v>
      </c>
      <c r="Z4" s="4">
        <v>431.67184400000002</v>
      </c>
      <c r="AA4" s="4">
        <v>1.2E-2</v>
      </c>
      <c r="AC4" s="4" t="s">
        <v>10</v>
      </c>
      <c r="AD4" s="4">
        <v>0.9</v>
      </c>
      <c r="AE4" s="4">
        <v>0.5</v>
      </c>
      <c r="AF4" s="4">
        <v>0.6</v>
      </c>
      <c r="AG4" s="4">
        <v>0.49</v>
      </c>
      <c r="AH4" s="6">
        <v>364.59973100000002</v>
      </c>
      <c r="AI4" s="4">
        <v>1E-3</v>
      </c>
      <c r="AJ4" s="4" t="s">
        <v>327</v>
      </c>
      <c r="AK4" s="4" t="s">
        <v>327</v>
      </c>
      <c r="AL4" s="4" t="s">
        <v>325</v>
      </c>
      <c r="AM4" s="4" t="s">
        <v>326</v>
      </c>
      <c r="AO4" s="4" t="s">
        <v>11</v>
      </c>
      <c r="AP4" s="4">
        <v>0.9</v>
      </c>
      <c r="AQ4" s="4">
        <v>0.5</v>
      </c>
      <c r="AR4" s="4">
        <v>0.6</v>
      </c>
      <c r="AS4" s="4">
        <v>0.01</v>
      </c>
      <c r="AT4" s="6">
        <v>711.196777</v>
      </c>
      <c r="AU4" s="4">
        <v>4.4999999999999998E-2</v>
      </c>
      <c r="AW4" s="4" t="s">
        <v>11</v>
      </c>
      <c r="AX4" s="4">
        <v>0.9</v>
      </c>
      <c r="AY4" s="4">
        <v>0.5</v>
      </c>
      <c r="AZ4" s="4">
        <v>0.6</v>
      </c>
      <c r="BA4" s="4">
        <v>0.31</v>
      </c>
      <c r="BB4" s="4">
        <v>740.149902</v>
      </c>
      <c r="BC4" s="4">
        <v>6.0000000000000001E-3</v>
      </c>
      <c r="BD4" s="4" t="s">
        <v>327</v>
      </c>
      <c r="BE4" s="4" t="s">
        <v>327</v>
      </c>
      <c r="BF4" s="4" t="s">
        <v>325</v>
      </c>
      <c r="BG4" s="4" t="s">
        <v>326</v>
      </c>
      <c r="BI4" s="4" t="s">
        <v>11</v>
      </c>
      <c r="BJ4" s="4">
        <v>0.9</v>
      </c>
      <c r="BK4" s="4">
        <v>0.5</v>
      </c>
      <c r="BL4" s="4">
        <v>0.6</v>
      </c>
      <c r="BM4" s="4">
        <v>0.01</v>
      </c>
      <c r="BN4" s="6">
        <v>651.34509300000002</v>
      </c>
      <c r="BO4" s="4">
        <v>1.0999999999999999E-2</v>
      </c>
      <c r="BQ4" s="4" t="s">
        <v>11</v>
      </c>
      <c r="BR4" s="4">
        <v>0.9</v>
      </c>
      <c r="BS4" s="4">
        <v>0.5</v>
      </c>
      <c r="BT4" s="4">
        <v>0.6</v>
      </c>
      <c r="BU4" s="4">
        <v>0.3</v>
      </c>
      <c r="BV4" s="4">
        <v>718.32843000000003</v>
      </c>
      <c r="BW4" s="4">
        <v>4.0000000000000001E-3</v>
      </c>
      <c r="BX4" s="4" t="s">
        <v>327</v>
      </c>
      <c r="BY4" s="4" t="s">
        <v>327</v>
      </c>
      <c r="BZ4" s="4" t="s">
        <v>325</v>
      </c>
      <c r="CA4" s="4" t="s">
        <v>326</v>
      </c>
    </row>
    <row r="5" spans="1:79" x14ac:dyDescent="0.3">
      <c r="A5" s="4" t="s">
        <v>12</v>
      </c>
      <c r="B5" s="4">
        <v>0.9</v>
      </c>
      <c r="C5" s="4">
        <v>0.5</v>
      </c>
      <c r="D5" s="4">
        <v>0.6</v>
      </c>
      <c r="E5" s="4">
        <v>0.59</v>
      </c>
      <c r="F5" s="4">
        <v>427.772583</v>
      </c>
      <c r="G5" s="4">
        <v>1.7999999999999999E-2</v>
      </c>
      <c r="I5" s="4" t="s">
        <v>12</v>
      </c>
      <c r="J5" s="4">
        <v>0.9</v>
      </c>
      <c r="K5" s="4">
        <v>0.5</v>
      </c>
      <c r="L5" s="4">
        <v>0.6</v>
      </c>
      <c r="M5" s="4">
        <v>0.3</v>
      </c>
      <c r="N5" s="6">
        <v>424.229218</v>
      </c>
      <c r="O5" s="4">
        <v>0</v>
      </c>
      <c r="P5" s="3">
        <f>COUNT(F15,F27)</f>
        <v>2</v>
      </c>
      <c r="Q5" s="3">
        <f>30-P5</f>
        <v>28</v>
      </c>
      <c r="R5" s="3">
        <f>COUNT(N4:N33)</f>
        <v>30</v>
      </c>
      <c r="S5" s="3">
        <f>30-R5</f>
        <v>0</v>
      </c>
      <c r="U5" s="4" t="s">
        <v>12</v>
      </c>
      <c r="V5" s="4">
        <v>0.9</v>
      </c>
      <c r="W5" s="4">
        <v>0.5</v>
      </c>
      <c r="X5" s="4">
        <v>0.6</v>
      </c>
      <c r="Y5" s="4">
        <v>0.27</v>
      </c>
      <c r="Z5" s="4">
        <v>404.93225100000001</v>
      </c>
      <c r="AA5" s="4">
        <v>1.4E-2</v>
      </c>
      <c r="AC5" s="4" t="s">
        <v>12</v>
      </c>
      <c r="AD5" s="4">
        <v>0.9</v>
      </c>
      <c r="AE5" s="4">
        <v>0.5</v>
      </c>
      <c r="AF5" s="4">
        <v>0.6</v>
      </c>
      <c r="AG5" s="4">
        <v>0.56000000000000005</v>
      </c>
      <c r="AH5" s="6">
        <v>405.06506300000001</v>
      </c>
      <c r="AI5" s="4">
        <v>0</v>
      </c>
      <c r="AJ5" s="3">
        <f>COUNT(Z15,Z17,Z19,Z30)</f>
        <v>4</v>
      </c>
      <c r="AK5" s="3">
        <f>30-AJ5</f>
        <v>26</v>
      </c>
      <c r="AL5" s="3">
        <f>COUNT(AH4:AH33)</f>
        <v>30</v>
      </c>
      <c r="AM5" s="3">
        <f>30-AL5</f>
        <v>0</v>
      </c>
      <c r="AO5" s="4" t="s">
        <v>13</v>
      </c>
      <c r="AP5" s="4">
        <v>0.9</v>
      </c>
      <c r="AQ5" s="4">
        <v>0.5</v>
      </c>
      <c r="AR5" s="4">
        <v>0.6</v>
      </c>
      <c r="AS5" s="4">
        <v>0.5</v>
      </c>
      <c r="AT5" s="4">
        <v>723.30432099999996</v>
      </c>
      <c r="AU5" s="4">
        <v>2.3E-2</v>
      </c>
      <c r="AW5" s="4" t="s">
        <v>13</v>
      </c>
      <c r="AX5" s="4">
        <v>0.9</v>
      </c>
      <c r="AY5" s="4">
        <v>0.5</v>
      </c>
      <c r="AZ5" s="4">
        <v>0.6</v>
      </c>
      <c r="BA5" s="4">
        <v>0.32</v>
      </c>
      <c r="BB5" s="6">
        <v>684.11614999999995</v>
      </c>
      <c r="BC5" s="4">
        <v>5.0000000000000001E-3</v>
      </c>
      <c r="BD5" s="3">
        <f>COUNT(AT4,AT14:AT19,AT25,AT28,AT31,AT33)</f>
        <v>11</v>
      </c>
      <c r="BE5" s="3">
        <f>30-BD5</f>
        <v>19</v>
      </c>
      <c r="BF5" s="3">
        <f>COUNT(BB5:BB13,BB20:BB24,BB26:BB27,BB29:BB30,BB32)</f>
        <v>19</v>
      </c>
      <c r="BG5" s="3">
        <f>30-BF5</f>
        <v>11</v>
      </c>
      <c r="BI5" s="4" t="s">
        <v>13</v>
      </c>
      <c r="BJ5" s="4">
        <v>0.9</v>
      </c>
      <c r="BK5" s="4">
        <v>0.5</v>
      </c>
      <c r="BL5" s="4">
        <v>0.6</v>
      </c>
      <c r="BM5" s="4">
        <v>0.78</v>
      </c>
      <c r="BN5" s="4">
        <v>732.751892</v>
      </c>
      <c r="BO5" s="4">
        <v>2.3E-2</v>
      </c>
      <c r="BQ5" s="4" t="s">
        <v>13</v>
      </c>
      <c r="BR5" s="4">
        <v>0.9</v>
      </c>
      <c r="BS5" s="4">
        <v>0.5</v>
      </c>
      <c r="BT5" s="4">
        <v>0.6</v>
      </c>
      <c r="BU5" s="4">
        <v>0.33</v>
      </c>
      <c r="BV5" s="6">
        <v>640.94354199999998</v>
      </c>
      <c r="BW5" s="4">
        <v>5.0000000000000001E-3</v>
      </c>
      <c r="BX5" s="3">
        <f>COUNT(BN4,BN6:BN8,BN11,BN17:BN18,BN20:BN21,BN23:BN24,BN26,BN30:BN31,BN33)</f>
        <v>15</v>
      </c>
      <c r="BY5" s="3">
        <f>30-BX5</f>
        <v>15</v>
      </c>
      <c r="BZ5" s="3">
        <f>COUNT(BV5,BV9:BV10,BV12:BV16,BV19,BV22,BV25,BV27:BV29,BV32)</f>
        <v>15</v>
      </c>
      <c r="CA5" s="3">
        <f>30-BZ5</f>
        <v>15</v>
      </c>
    </row>
    <row r="6" spans="1:79" x14ac:dyDescent="0.3">
      <c r="A6" s="4" t="s">
        <v>14</v>
      </c>
      <c r="B6" s="4">
        <v>0.9</v>
      </c>
      <c r="C6" s="4">
        <v>0.5</v>
      </c>
      <c r="D6" s="4">
        <v>0.6</v>
      </c>
      <c r="E6" s="4">
        <v>0.26</v>
      </c>
      <c r="F6" s="4">
        <v>368.59149200000002</v>
      </c>
      <c r="G6" s="4">
        <v>0.01</v>
      </c>
      <c r="I6" s="4" t="s">
        <v>14</v>
      </c>
      <c r="J6" s="4">
        <v>0.9</v>
      </c>
      <c r="K6" s="4">
        <v>0.5</v>
      </c>
      <c r="L6" s="4">
        <v>0.6</v>
      </c>
      <c r="M6" s="4">
        <v>0.33</v>
      </c>
      <c r="N6" s="6">
        <v>365.81158399999998</v>
      </c>
      <c r="O6" s="4">
        <v>0</v>
      </c>
      <c r="P6" s="5"/>
      <c r="Q6" s="5"/>
      <c r="R6" s="5"/>
      <c r="S6" s="5"/>
      <c r="U6" s="4" t="s">
        <v>14</v>
      </c>
      <c r="V6" s="4">
        <v>0.9</v>
      </c>
      <c r="W6" s="4">
        <v>0.5</v>
      </c>
      <c r="X6" s="4">
        <v>0.6</v>
      </c>
      <c r="Y6" s="4">
        <v>0.31</v>
      </c>
      <c r="Z6" s="4">
        <v>338.09899899999999</v>
      </c>
      <c r="AA6" s="4">
        <v>1.2E-2</v>
      </c>
      <c r="AC6" s="4" t="s">
        <v>14</v>
      </c>
      <c r="AD6" s="4">
        <v>0.9</v>
      </c>
      <c r="AE6" s="4">
        <v>0.5</v>
      </c>
      <c r="AF6" s="4">
        <v>0.6</v>
      </c>
      <c r="AG6" s="4">
        <v>0.36</v>
      </c>
      <c r="AH6" s="6">
        <v>337.63259900000003</v>
      </c>
      <c r="AI6" s="4">
        <v>0</v>
      </c>
      <c r="AJ6" s="5"/>
      <c r="AK6" s="5"/>
      <c r="AL6" s="5"/>
      <c r="AM6" s="5"/>
      <c r="AO6" s="4" t="s">
        <v>15</v>
      </c>
      <c r="AP6" s="4">
        <v>0.9</v>
      </c>
      <c r="AQ6" s="4">
        <v>0.5</v>
      </c>
      <c r="AR6" s="4">
        <v>0.6</v>
      </c>
      <c r="AS6" s="4">
        <v>0.88</v>
      </c>
      <c r="AT6" s="4">
        <v>904.07055700000001</v>
      </c>
      <c r="AU6" s="4">
        <v>1.7999999999999999E-2</v>
      </c>
      <c r="AW6" s="4" t="s">
        <v>15</v>
      </c>
      <c r="AX6" s="4">
        <v>0.9</v>
      </c>
      <c r="AY6" s="4">
        <v>0.5</v>
      </c>
      <c r="AZ6" s="4">
        <v>0.6</v>
      </c>
      <c r="BA6" s="4">
        <v>0.31</v>
      </c>
      <c r="BB6" s="6">
        <v>716.26879899999994</v>
      </c>
      <c r="BC6" s="4">
        <v>8.0000000000000002E-3</v>
      </c>
      <c r="BD6" s="5"/>
      <c r="BE6" s="5"/>
      <c r="BF6" s="5"/>
      <c r="BG6" s="5"/>
      <c r="BI6" s="4" t="s">
        <v>15</v>
      </c>
      <c r="BJ6" s="4">
        <v>0.9</v>
      </c>
      <c r="BK6" s="4">
        <v>0.5</v>
      </c>
      <c r="BL6" s="4">
        <v>0.6</v>
      </c>
      <c r="BM6" s="4">
        <v>0.28000000000000003</v>
      </c>
      <c r="BN6" s="6">
        <v>674.43102999999996</v>
      </c>
      <c r="BO6" s="4">
        <v>1.7000000000000001E-2</v>
      </c>
      <c r="BQ6" s="4" t="s">
        <v>15</v>
      </c>
      <c r="BR6" s="4">
        <v>0.9</v>
      </c>
      <c r="BS6" s="4">
        <v>0.5</v>
      </c>
      <c r="BT6" s="4">
        <v>0.6</v>
      </c>
      <c r="BU6" s="4">
        <v>0.31</v>
      </c>
      <c r="BV6" s="4">
        <v>695.62091099999998</v>
      </c>
      <c r="BW6" s="4">
        <v>4.0000000000000001E-3</v>
      </c>
      <c r="BX6" s="5"/>
      <c r="BY6" s="5"/>
      <c r="BZ6" s="5"/>
      <c r="CA6" s="5"/>
    </row>
    <row r="7" spans="1:79" x14ac:dyDescent="0.3">
      <c r="A7" s="4" t="s">
        <v>16</v>
      </c>
      <c r="B7" s="4">
        <v>0.9</v>
      </c>
      <c r="C7" s="4">
        <v>0.5</v>
      </c>
      <c r="D7" s="4">
        <v>0.6</v>
      </c>
      <c r="E7" s="4">
        <v>0.42</v>
      </c>
      <c r="F7" s="4">
        <v>401.51928700000002</v>
      </c>
      <c r="G7" s="4">
        <v>2.9000000000000001E-2</v>
      </c>
      <c r="I7" s="4" t="s">
        <v>16</v>
      </c>
      <c r="J7" s="4">
        <v>0.9</v>
      </c>
      <c r="K7" s="4">
        <v>0.5</v>
      </c>
      <c r="L7" s="4">
        <v>0.6</v>
      </c>
      <c r="M7" s="4">
        <v>0.31</v>
      </c>
      <c r="N7" s="6">
        <v>395.05444299999999</v>
      </c>
      <c r="O7" s="4">
        <v>1E-3</v>
      </c>
      <c r="P7" s="5"/>
      <c r="Q7" s="5"/>
      <c r="R7" s="5"/>
      <c r="S7" s="5"/>
      <c r="U7" s="4" t="s">
        <v>16</v>
      </c>
      <c r="V7" s="4">
        <v>0.9</v>
      </c>
      <c r="W7" s="4">
        <v>0.5</v>
      </c>
      <c r="X7" s="4">
        <v>0.6</v>
      </c>
      <c r="Y7" s="4">
        <v>0.86</v>
      </c>
      <c r="Z7" s="4">
        <v>398.96127300000001</v>
      </c>
      <c r="AA7" s="4">
        <v>1.9E-2</v>
      </c>
      <c r="AC7" s="4" t="s">
        <v>16</v>
      </c>
      <c r="AD7" s="4">
        <v>0.9</v>
      </c>
      <c r="AE7" s="4">
        <v>0.5</v>
      </c>
      <c r="AF7" s="4">
        <v>0.6</v>
      </c>
      <c r="AG7" s="4">
        <v>0.3</v>
      </c>
      <c r="AH7" s="6">
        <v>370.94268799999998</v>
      </c>
      <c r="AI7" s="4">
        <v>1E-3</v>
      </c>
      <c r="AJ7" s="5"/>
      <c r="AK7" s="5"/>
      <c r="AL7" s="5"/>
      <c r="AM7" s="5"/>
      <c r="AO7" s="4" t="s">
        <v>17</v>
      </c>
      <c r="AP7" s="4">
        <v>0.9</v>
      </c>
      <c r="AQ7" s="4">
        <v>0.5</v>
      </c>
      <c r="AR7" s="4">
        <v>0.6</v>
      </c>
      <c r="AS7" s="4">
        <v>0.35</v>
      </c>
      <c r="AT7" s="4">
        <v>726.82226600000001</v>
      </c>
      <c r="AU7" s="4">
        <v>3.1E-2</v>
      </c>
      <c r="AW7" s="4" t="s">
        <v>17</v>
      </c>
      <c r="AX7" s="4">
        <v>0.9</v>
      </c>
      <c r="AY7" s="4">
        <v>0.5</v>
      </c>
      <c r="AZ7" s="4">
        <v>0.6</v>
      </c>
      <c r="BA7" s="4">
        <v>0.33</v>
      </c>
      <c r="BB7" s="6">
        <v>700.03228799999999</v>
      </c>
      <c r="BC7" s="4">
        <v>8.0000000000000002E-3</v>
      </c>
      <c r="BD7" s="5"/>
      <c r="BE7" s="5"/>
      <c r="BF7" s="5"/>
      <c r="BG7" s="5"/>
      <c r="BI7" s="4" t="s">
        <v>17</v>
      </c>
      <c r="BJ7" s="4">
        <v>0.9</v>
      </c>
      <c r="BK7" s="4">
        <v>0.5</v>
      </c>
      <c r="BL7" s="4">
        <v>0.6</v>
      </c>
      <c r="BM7" s="4">
        <v>0.25</v>
      </c>
      <c r="BN7" s="6">
        <v>662.15063499999997</v>
      </c>
      <c r="BO7" s="4">
        <v>1.7000000000000001E-2</v>
      </c>
      <c r="BQ7" s="4" t="s">
        <v>17</v>
      </c>
      <c r="BR7" s="4">
        <v>0.9</v>
      </c>
      <c r="BS7" s="4">
        <v>0.5</v>
      </c>
      <c r="BT7" s="4">
        <v>0.6</v>
      </c>
      <c r="BU7" s="4">
        <v>0.32</v>
      </c>
      <c r="BV7" s="4">
        <v>683.96862799999997</v>
      </c>
      <c r="BW7" s="4">
        <v>3.0000000000000001E-3</v>
      </c>
      <c r="BX7" s="5"/>
      <c r="BY7" s="5"/>
      <c r="BZ7" s="5"/>
      <c r="CA7" s="5"/>
    </row>
    <row r="8" spans="1:79" x14ac:dyDescent="0.3">
      <c r="A8" s="4" t="s">
        <v>18</v>
      </c>
      <c r="B8" s="4">
        <v>0.9</v>
      </c>
      <c r="C8" s="4">
        <v>0.5</v>
      </c>
      <c r="D8" s="4">
        <v>0.6</v>
      </c>
      <c r="E8" s="4">
        <v>0.9</v>
      </c>
      <c r="F8" s="4">
        <v>359.961792</v>
      </c>
      <c r="G8" s="4">
        <v>3.3000000000000002E-2</v>
      </c>
      <c r="I8" s="4" t="s">
        <v>18</v>
      </c>
      <c r="J8" s="4">
        <v>0.9</v>
      </c>
      <c r="K8" s="4">
        <v>0.5</v>
      </c>
      <c r="L8" s="4">
        <v>0.6</v>
      </c>
      <c r="M8" s="4">
        <v>0.36</v>
      </c>
      <c r="N8" s="6">
        <v>341.22711199999998</v>
      </c>
      <c r="O8" s="4">
        <v>0</v>
      </c>
      <c r="P8" s="5"/>
      <c r="Q8" s="5"/>
      <c r="R8" s="5"/>
      <c r="S8" s="5"/>
      <c r="U8" s="4" t="s">
        <v>18</v>
      </c>
      <c r="V8" s="4">
        <v>0.9</v>
      </c>
      <c r="W8" s="4">
        <v>0.5</v>
      </c>
      <c r="X8" s="4">
        <v>0.6</v>
      </c>
      <c r="Y8" s="4">
        <v>0.31</v>
      </c>
      <c r="Z8" s="4">
        <v>322.78381300000001</v>
      </c>
      <c r="AA8" s="4">
        <v>1.0999999999999999E-2</v>
      </c>
      <c r="AC8" s="4" t="s">
        <v>18</v>
      </c>
      <c r="AD8" s="4">
        <v>0.9</v>
      </c>
      <c r="AE8" s="4">
        <v>0.5</v>
      </c>
      <c r="AF8" s="4">
        <v>0.6</v>
      </c>
      <c r="AG8" s="4">
        <v>0.39</v>
      </c>
      <c r="AH8" s="6">
        <v>318.96472199999999</v>
      </c>
      <c r="AI8" s="4">
        <v>0</v>
      </c>
      <c r="AJ8" s="5"/>
      <c r="AK8" s="5"/>
      <c r="AL8" s="5"/>
      <c r="AM8" s="5"/>
      <c r="AO8" s="4" t="s">
        <v>19</v>
      </c>
      <c r="AP8" s="4">
        <v>0.9</v>
      </c>
      <c r="AQ8" s="4">
        <v>0.5</v>
      </c>
      <c r="AR8" s="4">
        <v>0.6</v>
      </c>
      <c r="AS8" s="4">
        <v>0.94</v>
      </c>
      <c r="AT8" s="4">
        <v>891.04199200000005</v>
      </c>
      <c r="AU8" s="4">
        <v>2.5000000000000001E-2</v>
      </c>
      <c r="AW8" s="4" t="s">
        <v>19</v>
      </c>
      <c r="AX8" s="4">
        <v>0.9</v>
      </c>
      <c r="AY8" s="4">
        <v>0.5</v>
      </c>
      <c r="AZ8" s="4">
        <v>0.6</v>
      </c>
      <c r="BA8" s="4">
        <v>0.31</v>
      </c>
      <c r="BB8" s="6">
        <v>761.31011999999998</v>
      </c>
      <c r="BC8" s="4">
        <v>6.0000000000000001E-3</v>
      </c>
      <c r="BD8" s="5"/>
      <c r="BE8" s="5"/>
      <c r="BF8" s="5"/>
      <c r="BG8" s="5"/>
      <c r="BI8" s="4" t="s">
        <v>19</v>
      </c>
      <c r="BJ8" s="4">
        <v>0.9</v>
      </c>
      <c r="BK8" s="4">
        <v>0.5</v>
      </c>
      <c r="BL8" s="4">
        <v>0.6</v>
      </c>
      <c r="BM8" s="4">
        <v>0.05</v>
      </c>
      <c r="BN8" s="6">
        <v>631.02655000000004</v>
      </c>
      <c r="BO8" s="4">
        <v>1.9E-2</v>
      </c>
      <c r="BQ8" s="4" t="s">
        <v>19</v>
      </c>
      <c r="BR8" s="4">
        <v>0.9</v>
      </c>
      <c r="BS8" s="4">
        <v>0.5</v>
      </c>
      <c r="BT8" s="4">
        <v>0.6</v>
      </c>
      <c r="BU8" s="4">
        <v>0.36</v>
      </c>
      <c r="BV8" s="4">
        <v>710.90527299999997</v>
      </c>
      <c r="BW8" s="4">
        <v>6.0000000000000001E-3</v>
      </c>
      <c r="BX8" s="5"/>
      <c r="BY8" s="5"/>
      <c r="BZ8" s="5"/>
      <c r="CA8" s="5"/>
    </row>
    <row r="9" spans="1:79" x14ac:dyDescent="0.3">
      <c r="A9" s="4" t="s">
        <v>20</v>
      </c>
      <c r="B9" s="4">
        <v>0.9</v>
      </c>
      <c r="C9" s="4">
        <v>0.5</v>
      </c>
      <c r="D9" s="4">
        <v>0.6</v>
      </c>
      <c r="E9" s="4">
        <v>0.51</v>
      </c>
      <c r="F9" s="4">
        <v>411.12417599999998</v>
      </c>
      <c r="G9" s="4">
        <v>1.9E-2</v>
      </c>
      <c r="I9" s="4" t="s">
        <v>20</v>
      </c>
      <c r="J9" s="4">
        <v>0.9</v>
      </c>
      <c r="K9" s="4">
        <v>0.5</v>
      </c>
      <c r="L9" s="4">
        <v>0.6</v>
      </c>
      <c r="M9" s="4">
        <v>0.3</v>
      </c>
      <c r="N9" s="6">
        <v>408.41876200000002</v>
      </c>
      <c r="O9" s="4">
        <v>1E-3</v>
      </c>
      <c r="P9" s="5"/>
      <c r="Q9" s="5"/>
      <c r="R9" s="5"/>
      <c r="S9" s="5"/>
      <c r="U9" s="4" t="s">
        <v>20</v>
      </c>
      <c r="V9" s="4">
        <v>0.9</v>
      </c>
      <c r="W9" s="4">
        <v>0.5</v>
      </c>
      <c r="X9" s="4">
        <v>0.6</v>
      </c>
      <c r="Y9" s="4">
        <v>0.33</v>
      </c>
      <c r="Z9" s="4">
        <v>385.83401500000002</v>
      </c>
      <c r="AA9" s="4">
        <v>1.2E-2</v>
      </c>
      <c r="AC9" s="4" t="s">
        <v>20</v>
      </c>
      <c r="AD9" s="4">
        <v>0.9</v>
      </c>
      <c r="AE9" s="4">
        <v>0.5</v>
      </c>
      <c r="AF9" s="4">
        <v>0.6</v>
      </c>
      <c r="AG9" s="4">
        <v>0.45</v>
      </c>
      <c r="AH9" s="6">
        <v>384.07998700000002</v>
      </c>
      <c r="AI9" s="4">
        <v>1E-3</v>
      </c>
      <c r="AJ9" s="5"/>
      <c r="AK9" s="5"/>
      <c r="AL9" s="5"/>
      <c r="AM9" s="5"/>
      <c r="AO9" s="4" t="s">
        <v>21</v>
      </c>
      <c r="AP9" s="4">
        <v>0.9</v>
      </c>
      <c r="AQ9" s="4">
        <v>0.5</v>
      </c>
      <c r="AR9" s="4">
        <v>0.6</v>
      </c>
      <c r="AS9" s="4">
        <v>0.83</v>
      </c>
      <c r="AT9" s="4">
        <v>921.168274</v>
      </c>
      <c r="AU9" s="4">
        <v>0.03</v>
      </c>
      <c r="AW9" s="4" t="s">
        <v>21</v>
      </c>
      <c r="AX9" s="4">
        <v>0.9</v>
      </c>
      <c r="AY9" s="4">
        <v>0.5</v>
      </c>
      <c r="AZ9" s="4">
        <v>0.6</v>
      </c>
      <c r="BA9" s="4">
        <v>0.33</v>
      </c>
      <c r="BB9" s="6">
        <v>735.19415300000003</v>
      </c>
      <c r="BC9" s="4">
        <v>4.0000000000000001E-3</v>
      </c>
      <c r="BD9" s="5"/>
      <c r="BE9" s="5"/>
      <c r="BF9" s="5"/>
      <c r="BG9" s="5"/>
      <c r="BI9" s="4" t="s">
        <v>21</v>
      </c>
      <c r="BJ9" s="4">
        <v>0.9</v>
      </c>
      <c r="BK9" s="4">
        <v>0.5</v>
      </c>
      <c r="BL9" s="4">
        <v>0.6</v>
      </c>
      <c r="BM9" s="4">
        <v>0.7</v>
      </c>
      <c r="BN9" s="4">
        <v>851.12951699999996</v>
      </c>
      <c r="BO9" s="4">
        <v>4.2000000000000003E-2</v>
      </c>
      <c r="BQ9" s="4" t="s">
        <v>21</v>
      </c>
      <c r="BR9" s="4">
        <v>0.9</v>
      </c>
      <c r="BS9" s="4">
        <v>0.5</v>
      </c>
      <c r="BT9" s="4">
        <v>0.6</v>
      </c>
      <c r="BU9" s="4">
        <v>0.3</v>
      </c>
      <c r="BV9" s="6">
        <v>674.69805899999994</v>
      </c>
      <c r="BW9" s="4">
        <v>8.9999999999999993E-3</v>
      </c>
      <c r="BX9" s="5"/>
      <c r="BY9" s="5"/>
      <c r="BZ9" s="5"/>
      <c r="CA9" s="5"/>
    </row>
    <row r="10" spans="1:79" x14ac:dyDescent="0.3">
      <c r="A10" s="4" t="s">
        <v>22</v>
      </c>
      <c r="B10" s="4">
        <v>0.9</v>
      </c>
      <c r="C10" s="4">
        <v>0.5</v>
      </c>
      <c r="D10" s="4">
        <v>0.6</v>
      </c>
      <c r="E10" s="4">
        <v>0.32</v>
      </c>
      <c r="F10" s="4">
        <v>391.49529999999999</v>
      </c>
      <c r="G10" s="4">
        <v>2.5999999999999999E-2</v>
      </c>
      <c r="I10" s="4" t="s">
        <v>22</v>
      </c>
      <c r="J10" s="4">
        <v>0.9</v>
      </c>
      <c r="K10" s="4">
        <v>0.5</v>
      </c>
      <c r="L10" s="4">
        <v>0.6</v>
      </c>
      <c r="M10" s="4">
        <v>0.31</v>
      </c>
      <c r="N10" s="6">
        <v>382.210846</v>
      </c>
      <c r="O10" s="4">
        <v>1E-3</v>
      </c>
      <c r="P10" s="5"/>
      <c r="Q10" s="5"/>
      <c r="R10" s="5"/>
      <c r="S10" s="5"/>
      <c r="U10" s="4" t="s">
        <v>22</v>
      </c>
      <c r="V10" s="4">
        <v>0.9</v>
      </c>
      <c r="W10" s="4">
        <v>0.5</v>
      </c>
      <c r="X10" s="4">
        <v>0.6</v>
      </c>
      <c r="Y10" s="4">
        <v>0.37</v>
      </c>
      <c r="Z10" s="4">
        <v>367.10611</v>
      </c>
      <c r="AA10" s="4">
        <v>1.6E-2</v>
      </c>
      <c r="AC10" s="4" t="s">
        <v>22</v>
      </c>
      <c r="AD10" s="4">
        <v>0.9</v>
      </c>
      <c r="AE10" s="4">
        <v>0.5</v>
      </c>
      <c r="AF10" s="4">
        <v>0.6</v>
      </c>
      <c r="AG10" s="4">
        <v>0.39</v>
      </c>
      <c r="AH10" s="6">
        <v>354.81280500000003</v>
      </c>
      <c r="AI10" s="4">
        <v>1E-3</v>
      </c>
      <c r="AJ10" s="5"/>
      <c r="AK10" s="5"/>
      <c r="AL10" s="5"/>
      <c r="AM10" s="5"/>
      <c r="AO10" s="4" t="s">
        <v>23</v>
      </c>
      <c r="AP10" s="4">
        <v>0.9</v>
      </c>
      <c r="AQ10" s="4">
        <v>0.5</v>
      </c>
      <c r="AR10" s="4">
        <v>0.6</v>
      </c>
      <c r="AS10" s="4">
        <v>0.55000000000000004</v>
      </c>
      <c r="AT10" s="4">
        <v>823.63378899999998</v>
      </c>
      <c r="AU10" s="4">
        <v>3.2000000000000001E-2</v>
      </c>
      <c r="AW10" s="4" t="s">
        <v>23</v>
      </c>
      <c r="AX10" s="4">
        <v>0.9</v>
      </c>
      <c r="AY10" s="4">
        <v>0.5</v>
      </c>
      <c r="AZ10" s="4">
        <v>0.6</v>
      </c>
      <c r="BA10" s="4">
        <v>0.33</v>
      </c>
      <c r="BB10" s="6">
        <v>736.36047399999995</v>
      </c>
      <c r="BC10" s="4">
        <v>7.0000000000000001E-3</v>
      </c>
      <c r="BD10" s="5"/>
      <c r="BE10" s="5"/>
      <c r="BF10" s="5"/>
      <c r="BG10" s="5"/>
      <c r="BI10" s="4" t="s">
        <v>23</v>
      </c>
      <c r="BJ10" s="4">
        <v>0.9</v>
      </c>
      <c r="BK10" s="4">
        <v>0.5</v>
      </c>
      <c r="BL10" s="4">
        <v>0.6</v>
      </c>
      <c r="BM10" s="4">
        <v>0.77</v>
      </c>
      <c r="BN10" s="4">
        <v>822.07428000000004</v>
      </c>
      <c r="BO10" s="4">
        <v>2.5999999999999999E-2</v>
      </c>
      <c r="BQ10" s="4" t="s">
        <v>23</v>
      </c>
      <c r="BR10" s="4">
        <v>0.9</v>
      </c>
      <c r="BS10" s="4">
        <v>0.5</v>
      </c>
      <c r="BT10" s="4">
        <v>0.6</v>
      </c>
      <c r="BU10" s="4">
        <v>0.3</v>
      </c>
      <c r="BV10" s="6">
        <v>703.99188200000003</v>
      </c>
      <c r="BW10" s="4">
        <v>5.0000000000000001E-3</v>
      </c>
      <c r="BX10" s="5"/>
      <c r="BY10" s="5"/>
      <c r="BZ10" s="5"/>
      <c r="CA10" s="5"/>
    </row>
    <row r="11" spans="1:79" x14ac:dyDescent="0.3">
      <c r="A11" s="4" t="s">
        <v>24</v>
      </c>
      <c r="B11" s="4">
        <v>0.9</v>
      </c>
      <c r="C11" s="4">
        <v>0.5</v>
      </c>
      <c r="D11" s="4">
        <v>0.6</v>
      </c>
      <c r="E11" s="4">
        <v>0.88</v>
      </c>
      <c r="F11" s="4">
        <v>498.953033</v>
      </c>
      <c r="G11" s="4">
        <v>1.2E-2</v>
      </c>
      <c r="I11" s="4" t="s">
        <v>24</v>
      </c>
      <c r="J11" s="4">
        <v>0.9</v>
      </c>
      <c r="K11" s="4">
        <v>0.5</v>
      </c>
      <c r="L11" s="4">
        <v>0.6</v>
      </c>
      <c r="M11" s="4">
        <v>0.35</v>
      </c>
      <c r="N11" s="6">
        <v>458.79028299999999</v>
      </c>
      <c r="O11" s="4">
        <v>1E-3</v>
      </c>
      <c r="P11" s="5"/>
      <c r="Q11" s="5"/>
      <c r="R11" s="5"/>
      <c r="S11" s="5"/>
      <c r="U11" s="4" t="s">
        <v>24</v>
      </c>
      <c r="V11" s="4">
        <v>0.9</v>
      </c>
      <c r="W11" s="4">
        <v>0.5</v>
      </c>
      <c r="X11" s="4">
        <v>0.6</v>
      </c>
      <c r="Y11" s="4">
        <v>0.99</v>
      </c>
      <c r="Z11" s="4">
        <v>433.86465500000003</v>
      </c>
      <c r="AA11" s="4">
        <v>0.03</v>
      </c>
      <c r="AC11" s="4" t="s">
        <v>24</v>
      </c>
      <c r="AD11" s="4">
        <v>0.9</v>
      </c>
      <c r="AE11" s="4">
        <v>0.5</v>
      </c>
      <c r="AF11" s="4">
        <v>0.6</v>
      </c>
      <c r="AG11" s="4">
        <v>0.37</v>
      </c>
      <c r="AH11" s="6">
        <v>413.71029700000003</v>
      </c>
      <c r="AI11" s="4">
        <v>0</v>
      </c>
      <c r="AJ11" s="5"/>
      <c r="AK11" s="5"/>
      <c r="AL11" s="5"/>
      <c r="AM11" s="5"/>
      <c r="AO11" s="4" t="s">
        <v>25</v>
      </c>
      <c r="AP11" s="4">
        <v>0.9</v>
      </c>
      <c r="AQ11" s="4">
        <v>0.5</v>
      </c>
      <c r="AR11" s="4">
        <v>0.6</v>
      </c>
      <c r="AS11" s="4">
        <v>0.79</v>
      </c>
      <c r="AT11" s="4">
        <v>878.49902299999997</v>
      </c>
      <c r="AU11" s="4">
        <v>2.5999999999999999E-2</v>
      </c>
      <c r="AW11" s="4" t="s">
        <v>25</v>
      </c>
      <c r="AX11" s="4">
        <v>0.9</v>
      </c>
      <c r="AY11" s="4">
        <v>0.5</v>
      </c>
      <c r="AZ11" s="4">
        <v>0.6</v>
      </c>
      <c r="BA11" s="4">
        <v>0.34</v>
      </c>
      <c r="BB11" s="6">
        <v>741.91430700000001</v>
      </c>
      <c r="BC11" s="4">
        <v>5.0000000000000001E-3</v>
      </c>
      <c r="BD11" s="5"/>
      <c r="BE11" s="5"/>
      <c r="BF11" s="5"/>
      <c r="BG11" s="5"/>
      <c r="BI11" s="4" t="s">
        <v>25</v>
      </c>
      <c r="BJ11" s="4">
        <v>0.9</v>
      </c>
      <c r="BK11" s="4">
        <v>0.5</v>
      </c>
      <c r="BL11" s="4">
        <v>0.6</v>
      </c>
      <c r="BM11" s="4">
        <v>0.24</v>
      </c>
      <c r="BN11" s="6">
        <v>696.77606200000002</v>
      </c>
      <c r="BO11" s="4">
        <v>2.5000000000000001E-2</v>
      </c>
      <c r="BQ11" s="4" t="s">
        <v>25</v>
      </c>
      <c r="BR11" s="4">
        <v>0.9</v>
      </c>
      <c r="BS11" s="4">
        <v>0.5</v>
      </c>
      <c r="BT11" s="4">
        <v>0.6</v>
      </c>
      <c r="BU11" s="4">
        <v>0.3</v>
      </c>
      <c r="BV11" s="4">
        <v>721.39190699999995</v>
      </c>
      <c r="BW11" s="4">
        <v>5.0000000000000001E-3</v>
      </c>
      <c r="BX11" s="5"/>
      <c r="BY11" s="5"/>
      <c r="BZ11" s="5"/>
      <c r="CA11" s="5"/>
    </row>
    <row r="12" spans="1:79" x14ac:dyDescent="0.3">
      <c r="A12" s="4" t="s">
        <v>26</v>
      </c>
      <c r="B12" s="4">
        <v>0.9</v>
      </c>
      <c r="C12" s="4">
        <v>0.5</v>
      </c>
      <c r="D12" s="4">
        <v>0.6</v>
      </c>
      <c r="E12" s="4">
        <v>0.21</v>
      </c>
      <c r="F12" s="4">
        <v>418.77362099999999</v>
      </c>
      <c r="G12" s="4">
        <v>0.02</v>
      </c>
      <c r="I12" s="4" t="s">
        <v>26</v>
      </c>
      <c r="J12" s="4">
        <v>0.9</v>
      </c>
      <c r="K12" s="4">
        <v>0.5</v>
      </c>
      <c r="L12" s="4">
        <v>0.6</v>
      </c>
      <c r="M12" s="4">
        <v>0.57999999999999996</v>
      </c>
      <c r="N12" s="6">
        <v>413.77310199999999</v>
      </c>
      <c r="O12" s="4">
        <v>1E-3</v>
      </c>
      <c r="P12" s="5"/>
      <c r="Q12" s="5"/>
      <c r="R12" s="5"/>
      <c r="S12" s="5"/>
      <c r="U12" s="4" t="s">
        <v>26</v>
      </c>
      <c r="V12" s="4">
        <v>0.9</v>
      </c>
      <c r="W12" s="4">
        <v>0.5</v>
      </c>
      <c r="X12" s="4">
        <v>0.6</v>
      </c>
      <c r="Y12" s="4">
        <v>0.27</v>
      </c>
      <c r="Z12" s="4">
        <v>397.89511099999999</v>
      </c>
      <c r="AA12" s="4">
        <v>2.5999999999999999E-2</v>
      </c>
      <c r="AC12" s="4" t="s">
        <v>26</v>
      </c>
      <c r="AD12" s="4">
        <v>0.9</v>
      </c>
      <c r="AE12" s="4">
        <v>0.5</v>
      </c>
      <c r="AF12" s="4">
        <v>0.6</v>
      </c>
      <c r="AG12" s="4">
        <v>0.41</v>
      </c>
      <c r="AH12" s="6">
        <v>395.448486</v>
      </c>
      <c r="AI12" s="4">
        <v>1E-3</v>
      </c>
      <c r="AJ12" s="5"/>
      <c r="AK12" s="5"/>
      <c r="AL12" s="5"/>
      <c r="AM12" s="5"/>
      <c r="AO12" s="4" t="s">
        <v>27</v>
      </c>
      <c r="AP12" s="4">
        <v>0.9</v>
      </c>
      <c r="AQ12" s="4">
        <v>0.5</v>
      </c>
      <c r="AR12" s="4">
        <v>0.6</v>
      </c>
      <c r="AS12" s="4">
        <v>0.93</v>
      </c>
      <c r="AT12" s="4">
        <v>879.67346199999997</v>
      </c>
      <c r="AU12" s="4">
        <v>2.5999999999999999E-2</v>
      </c>
      <c r="AW12" s="4" t="s">
        <v>27</v>
      </c>
      <c r="AX12" s="4">
        <v>0.9</v>
      </c>
      <c r="AY12" s="4">
        <v>0.5</v>
      </c>
      <c r="AZ12" s="4">
        <v>0.6</v>
      </c>
      <c r="BA12" s="4">
        <v>0.3</v>
      </c>
      <c r="BB12" s="6">
        <v>724.55328399999996</v>
      </c>
      <c r="BC12" s="4">
        <v>6.0000000000000001E-3</v>
      </c>
      <c r="BD12" s="5"/>
      <c r="BE12" s="5"/>
      <c r="BF12" s="5"/>
      <c r="BG12" s="5"/>
      <c r="BI12" s="4" t="s">
        <v>27</v>
      </c>
      <c r="BJ12" s="4">
        <v>0.9</v>
      </c>
      <c r="BK12" s="4">
        <v>0.5</v>
      </c>
      <c r="BL12" s="4">
        <v>0.6</v>
      </c>
      <c r="BM12" s="4">
        <v>0.42</v>
      </c>
      <c r="BN12" s="4">
        <v>726.48376499999995</v>
      </c>
      <c r="BO12" s="4">
        <v>2.5999999999999999E-2</v>
      </c>
      <c r="BQ12" s="4" t="s">
        <v>27</v>
      </c>
      <c r="BR12" s="4">
        <v>0.9</v>
      </c>
      <c r="BS12" s="4">
        <v>0.5</v>
      </c>
      <c r="BT12" s="4">
        <v>0.6</v>
      </c>
      <c r="BU12" s="4">
        <v>0.31</v>
      </c>
      <c r="BV12" s="6">
        <v>694.88061500000003</v>
      </c>
      <c r="BW12" s="4">
        <v>5.0000000000000001E-3</v>
      </c>
      <c r="BX12" s="5"/>
      <c r="BY12" s="5"/>
      <c r="BZ12" s="5"/>
      <c r="CA12" s="5"/>
    </row>
    <row r="13" spans="1:79" x14ac:dyDescent="0.3">
      <c r="A13" s="4" t="s">
        <v>28</v>
      </c>
      <c r="B13" s="4">
        <v>0.9</v>
      </c>
      <c r="C13" s="4">
        <v>0.5</v>
      </c>
      <c r="D13" s="4">
        <v>0.6</v>
      </c>
      <c r="E13" s="4">
        <v>0.98</v>
      </c>
      <c r="F13" s="4">
        <v>376.05883799999998</v>
      </c>
      <c r="G13" s="4">
        <v>1.7000000000000001E-2</v>
      </c>
      <c r="I13" s="4" t="s">
        <v>28</v>
      </c>
      <c r="J13" s="4">
        <v>0.9</v>
      </c>
      <c r="K13" s="4">
        <v>0.5</v>
      </c>
      <c r="L13" s="4">
        <v>0.6</v>
      </c>
      <c r="M13" s="4">
        <v>0.3</v>
      </c>
      <c r="N13" s="6">
        <v>342.79367100000002</v>
      </c>
      <c r="O13" s="4">
        <v>1E-3</v>
      </c>
      <c r="P13" s="5"/>
      <c r="Q13" s="5"/>
      <c r="R13" s="5"/>
      <c r="S13" s="5"/>
      <c r="U13" s="4" t="s">
        <v>28</v>
      </c>
      <c r="V13" s="4">
        <v>0.9</v>
      </c>
      <c r="W13" s="4">
        <v>0.5</v>
      </c>
      <c r="X13" s="4">
        <v>0.6</v>
      </c>
      <c r="Y13" s="4">
        <v>0.81</v>
      </c>
      <c r="Z13" s="4">
        <v>339.77645899999999</v>
      </c>
      <c r="AA13" s="4">
        <v>1.7999999999999999E-2</v>
      </c>
      <c r="AC13" s="4" t="s">
        <v>28</v>
      </c>
      <c r="AD13" s="4">
        <v>0.9</v>
      </c>
      <c r="AE13" s="4">
        <v>0.5</v>
      </c>
      <c r="AF13" s="4">
        <v>0.6</v>
      </c>
      <c r="AG13" s="4">
        <v>0.32</v>
      </c>
      <c r="AH13" s="6">
        <v>311.57052599999997</v>
      </c>
      <c r="AI13" s="4">
        <v>1E-3</v>
      </c>
      <c r="AJ13" s="5"/>
      <c r="AK13" s="5"/>
      <c r="AL13" s="5"/>
      <c r="AM13" s="5"/>
      <c r="AO13" s="4" t="s">
        <v>29</v>
      </c>
      <c r="AP13" s="4">
        <v>0.9</v>
      </c>
      <c r="AQ13" s="4">
        <v>0.5</v>
      </c>
      <c r="AR13" s="4">
        <v>0.6</v>
      </c>
      <c r="AS13" s="4">
        <v>0.72</v>
      </c>
      <c r="AT13" s="4">
        <v>886.31347700000003</v>
      </c>
      <c r="AU13" s="4">
        <v>3.2000000000000001E-2</v>
      </c>
      <c r="AW13" s="4" t="s">
        <v>29</v>
      </c>
      <c r="AX13" s="4">
        <v>0.9</v>
      </c>
      <c r="AY13" s="4">
        <v>0.5</v>
      </c>
      <c r="AZ13" s="4">
        <v>0.6</v>
      </c>
      <c r="BA13" s="4">
        <v>0.3</v>
      </c>
      <c r="BB13" s="6">
        <v>717.01342799999998</v>
      </c>
      <c r="BC13" s="4">
        <v>6.0000000000000001E-3</v>
      </c>
      <c r="BD13" s="5"/>
      <c r="BE13" s="5"/>
      <c r="BF13" s="5"/>
      <c r="BG13" s="5"/>
      <c r="BI13" s="4" t="s">
        <v>29</v>
      </c>
      <c r="BJ13" s="4">
        <v>0.9</v>
      </c>
      <c r="BK13" s="4">
        <v>0.5</v>
      </c>
      <c r="BL13" s="4">
        <v>0.6</v>
      </c>
      <c r="BM13" s="4">
        <v>0.59</v>
      </c>
      <c r="BN13" s="4">
        <v>805.082581</v>
      </c>
      <c r="BO13" s="4">
        <v>2.8000000000000001E-2</v>
      </c>
      <c r="BQ13" s="4" t="s">
        <v>29</v>
      </c>
      <c r="BR13" s="4">
        <v>0.9</v>
      </c>
      <c r="BS13" s="4">
        <v>0.5</v>
      </c>
      <c r="BT13" s="4">
        <v>0.6</v>
      </c>
      <c r="BU13" s="4">
        <v>0.3</v>
      </c>
      <c r="BV13" s="6">
        <v>708.32543899999996</v>
      </c>
      <c r="BW13" s="4">
        <v>4.0000000000000001E-3</v>
      </c>
      <c r="BX13" s="5"/>
      <c r="BY13" s="5"/>
      <c r="BZ13" s="5"/>
      <c r="CA13" s="5"/>
    </row>
    <row r="14" spans="1:79" x14ac:dyDescent="0.3">
      <c r="A14" s="4" t="s">
        <v>30</v>
      </c>
      <c r="B14" s="4">
        <v>0.9</v>
      </c>
      <c r="C14" s="4">
        <v>0.5</v>
      </c>
      <c r="D14" s="4">
        <v>0.6</v>
      </c>
      <c r="E14" s="4">
        <v>0.53</v>
      </c>
      <c r="F14" s="4">
        <v>571.85943599999996</v>
      </c>
      <c r="G14" s="4">
        <v>1.0999999999999999E-2</v>
      </c>
      <c r="I14" s="4" t="s">
        <v>30</v>
      </c>
      <c r="J14" s="4">
        <v>0.9</v>
      </c>
      <c r="K14" s="4">
        <v>0.5</v>
      </c>
      <c r="L14" s="4">
        <v>0.6</v>
      </c>
      <c r="M14" s="4">
        <v>0.35</v>
      </c>
      <c r="N14" s="6">
        <v>513.706909</v>
      </c>
      <c r="O14" s="4">
        <v>1E-3</v>
      </c>
      <c r="P14" s="5"/>
      <c r="Q14" s="5"/>
      <c r="R14" s="5"/>
      <c r="S14" s="5"/>
      <c r="U14" s="4" t="s">
        <v>30</v>
      </c>
      <c r="V14" s="4">
        <v>0.9</v>
      </c>
      <c r="W14" s="4">
        <v>0.5</v>
      </c>
      <c r="X14" s="4">
        <v>0.6</v>
      </c>
      <c r="Y14" s="4">
        <v>0.17</v>
      </c>
      <c r="Z14" s="4">
        <v>524.67742899999996</v>
      </c>
      <c r="AA14" s="4">
        <v>3.3000000000000002E-2</v>
      </c>
      <c r="AC14" s="4" t="s">
        <v>30</v>
      </c>
      <c r="AD14" s="4">
        <v>0.9</v>
      </c>
      <c r="AE14" s="4">
        <v>0.5</v>
      </c>
      <c r="AF14" s="4">
        <v>0.6</v>
      </c>
      <c r="AG14" s="4">
        <v>0.48</v>
      </c>
      <c r="AH14" s="6">
        <v>506.281158</v>
      </c>
      <c r="AI14" s="4">
        <v>0</v>
      </c>
      <c r="AJ14" s="5"/>
      <c r="AK14" s="5"/>
      <c r="AL14" s="5"/>
      <c r="AM14" s="5"/>
      <c r="AO14" s="4" t="s">
        <v>31</v>
      </c>
      <c r="AP14" s="4">
        <v>0.9</v>
      </c>
      <c r="AQ14" s="4">
        <v>0.5</v>
      </c>
      <c r="AR14" s="4">
        <v>0.6</v>
      </c>
      <c r="AS14" s="4">
        <v>0.01</v>
      </c>
      <c r="AT14" s="6">
        <v>713.79406700000004</v>
      </c>
      <c r="AU14" s="4">
        <v>1.7000000000000001E-2</v>
      </c>
      <c r="AW14" s="4" t="s">
        <v>31</v>
      </c>
      <c r="AX14" s="4">
        <v>0.9</v>
      </c>
      <c r="AY14" s="4">
        <v>0.5</v>
      </c>
      <c r="AZ14" s="4">
        <v>0.6</v>
      </c>
      <c r="BA14" s="4">
        <v>0.3</v>
      </c>
      <c r="BB14" s="4">
        <v>824.06768799999998</v>
      </c>
      <c r="BC14" s="4">
        <v>6.0000000000000001E-3</v>
      </c>
      <c r="BD14" s="5"/>
      <c r="BE14" s="5"/>
      <c r="BF14" s="5"/>
      <c r="BG14" s="5"/>
      <c r="BI14" s="4" t="s">
        <v>31</v>
      </c>
      <c r="BJ14" s="4">
        <v>0.9</v>
      </c>
      <c r="BK14" s="4">
        <v>0.5</v>
      </c>
      <c r="BL14" s="4">
        <v>0.6</v>
      </c>
      <c r="BM14" s="4">
        <v>0.4</v>
      </c>
      <c r="BN14" s="4">
        <v>874.93866000000003</v>
      </c>
      <c r="BO14" s="4">
        <v>2.1999999999999999E-2</v>
      </c>
      <c r="BQ14" s="4" t="s">
        <v>31</v>
      </c>
      <c r="BR14" s="4">
        <v>0.9</v>
      </c>
      <c r="BS14" s="4">
        <v>0.5</v>
      </c>
      <c r="BT14" s="4">
        <v>0.6</v>
      </c>
      <c r="BU14" s="4">
        <v>0.32</v>
      </c>
      <c r="BV14" s="6">
        <v>833.41949499999998</v>
      </c>
      <c r="BW14" s="4">
        <v>8.9999999999999993E-3</v>
      </c>
      <c r="BX14" s="5"/>
      <c r="BY14" s="5"/>
      <c r="BZ14" s="5"/>
      <c r="CA14" s="5"/>
    </row>
    <row r="15" spans="1:79" x14ac:dyDescent="0.3">
      <c r="A15" s="4" t="s">
        <v>32</v>
      </c>
      <c r="B15" s="4">
        <v>0.9</v>
      </c>
      <c r="C15" s="4">
        <v>0.5</v>
      </c>
      <c r="D15" s="4">
        <v>0.6</v>
      </c>
      <c r="E15" s="4">
        <v>0.01</v>
      </c>
      <c r="F15" s="6">
        <v>471.94580100000002</v>
      </c>
      <c r="G15" s="4">
        <v>1.7000000000000001E-2</v>
      </c>
      <c r="I15" s="4" t="s">
        <v>32</v>
      </c>
      <c r="J15" s="4">
        <v>0.9</v>
      </c>
      <c r="K15" s="4">
        <v>0.5</v>
      </c>
      <c r="L15" s="4">
        <v>0.6</v>
      </c>
      <c r="M15" s="4">
        <v>0.33</v>
      </c>
      <c r="N15" s="6">
        <v>471.94580100000002</v>
      </c>
      <c r="O15" s="4">
        <v>1E-3</v>
      </c>
      <c r="P15" s="5"/>
      <c r="Q15" s="5"/>
      <c r="R15" s="5"/>
      <c r="S15" s="5"/>
      <c r="U15" s="4" t="s">
        <v>32</v>
      </c>
      <c r="V15" s="4">
        <v>0.9</v>
      </c>
      <c r="W15" s="4">
        <v>0.5</v>
      </c>
      <c r="X15" s="4">
        <v>0.6</v>
      </c>
      <c r="Y15" s="4">
        <v>0.05</v>
      </c>
      <c r="Z15" s="8">
        <v>435.87612899999999</v>
      </c>
      <c r="AA15" s="4">
        <v>3.0000000000000001E-3</v>
      </c>
      <c r="AC15" s="4" t="s">
        <v>32</v>
      </c>
      <c r="AD15" s="4">
        <v>0.9</v>
      </c>
      <c r="AE15" s="4">
        <v>0.5</v>
      </c>
      <c r="AF15" s="4">
        <v>0.6</v>
      </c>
      <c r="AG15" s="4">
        <v>0.3</v>
      </c>
      <c r="AH15" s="6">
        <v>435.57107500000001</v>
      </c>
      <c r="AI15" s="4">
        <v>1E-3</v>
      </c>
      <c r="AJ15" s="5"/>
      <c r="AK15" s="5"/>
      <c r="AL15" s="5"/>
      <c r="AM15" s="5"/>
      <c r="AO15" s="4" t="s">
        <v>33</v>
      </c>
      <c r="AP15" s="4">
        <v>0.9</v>
      </c>
      <c r="AQ15" s="4">
        <v>0.5</v>
      </c>
      <c r="AR15" s="4">
        <v>0.6</v>
      </c>
      <c r="AS15" s="4">
        <v>0.17</v>
      </c>
      <c r="AT15" s="6">
        <v>719.89679000000001</v>
      </c>
      <c r="AU15" s="4">
        <v>2.4E-2</v>
      </c>
      <c r="AW15" s="4" t="s">
        <v>33</v>
      </c>
      <c r="AX15" s="4">
        <v>0.9</v>
      </c>
      <c r="AY15" s="4">
        <v>0.5</v>
      </c>
      <c r="AZ15" s="4">
        <v>0.6</v>
      </c>
      <c r="BA15" s="4">
        <v>0.3</v>
      </c>
      <c r="BB15" s="4">
        <v>775.71832300000005</v>
      </c>
      <c r="BC15" s="4">
        <v>4.0000000000000001E-3</v>
      </c>
      <c r="BD15" s="5"/>
      <c r="BE15" s="5"/>
      <c r="BF15" s="5"/>
      <c r="BG15" s="5"/>
      <c r="BI15" s="4" t="s">
        <v>33</v>
      </c>
      <c r="BJ15" s="4">
        <v>0.9</v>
      </c>
      <c r="BK15" s="4">
        <v>0.5</v>
      </c>
      <c r="BL15" s="4">
        <v>0.6</v>
      </c>
      <c r="BM15" s="4">
        <v>0.71</v>
      </c>
      <c r="BN15" s="4">
        <v>956.14782700000001</v>
      </c>
      <c r="BO15" s="4">
        <v>2.4E-2</v>
      </c>
      <c r="BQ15" s="4" t="s">
        <v>33</v>
      </c>
      <c r="BR15" s="4">
        <v>0.9</v>
      </c>
      <c r="BS15" s="4">
        <v>0.5</v>
      </c>
      <c r="BT15" s="4">
        <v>0.6</v>
      </c>
      <c r="BU15" s="4">
        <v>0.3</v>
      </c>
      <c r="BV15" s="6">
        <v>776.71893299999999</v>
      </c>
      <c r="BW15" s="4">
        <v>5.0000000000000001E-3</v>
      </c>
      <c r="BX15" s="5"/>
      <c r="BY15" s="5"/>
      <c r="BZ15" s="5"/>
      <c r="CA15" s="5"/>
    </row>
    <row r="16" spans="1:79" x14ac:dyDescent="0.3">
      <c r="A16" s="4" t="s">
        <v>34</v>
      </c>
      <c r="B16" s="4">
        <v>0.9</v>
      </c>
      <c r="C16" s="4">
        <v>0.5</v>
      </c>
      <c r="D16" s="4">
        <v>0.6</v>
      </c>
      <c r="E16" s="4">
        <v>0.78</v>
      </c>
      <c r="F16" s="4">
        <v>463.67385899999999</v>
      </c>
      <c r="G16" s="4">
        <v>1.2E-2</v>
      </c>
      <c r="I16" s="4" t="s">
        <v>34</v>
      </c>
      <c r="J16" s="4">
        <v>0.9</v>
      </c>
      <c r="K16" s="4">
        <v>0.5</v>
      </c>
      <c r="L16" s="4">
        <v>0.6</v>
      </c>
      <c r="M16" s="4">
        <v>0.33</v>
      </c>
      <c r="N16" s="6">
        <v>409.16146900000001</v>
      </c>
      <c r="O16" s="4">
        <v>0</v>
      </c>
      <c r="P16" s="5"/>
      <c r="Q16" s="5"/>
      <c r="R16" s="5"/>
      <c r="S16" s="5"/>
      <c r="U16" s="4" t="s">
        <v>34</v>
      </c>
      <c r="V16" s="4">
        <v>0.9</v>
      </c>
      <c r="W16" s="4">
        <v>0.5</v>
      </c>
      <c r="X16" s="4">
        <v>0.6</v>
      </c>
      <c r="Y16" s="4">
        <v>0.93</v>
      </c>
      <c r="Z16" s="4">
        <v>460.62802099999999</v>
      </c>
      <c r="AA16" s="4">
        <v>1.4999999999999999E-2</v>
      </c>
      <c r="AC16" s="4" t="s">
        <v>34</v>
      </c>
      <c r="AD16" s="4">
        <v>0.9</v>
      </c>
      <c r="AE16" s="4">
        <v>0.5</v>
      </c>
      <c r="AF16" s="4">
        <v>0.6</v>
      </c>
      <c r="AG16" s="4">
        <v>0.32</v>
      </c>
      <c r="AH16" s="6">
        <v>393.565247</v>
      </c>
      <c r="AI16" s="4">
        <v>1E-3</v>
      </c>
      <c r="AJ16" s="5"/>
      <c r="AK16" s="5"/>
      <c r="AL16" s="5"/>
      <c r="AM16" s="5"/>
      <c r="AO16" s="4" t="s">
        <v>35</v>
      </c>
      <c r="AP16" s="4">
        <v>0.9</v>
      </c>
      <c r="AQ16" s="4">
        <v>0.5</v>
      </c>
      <c r="AR16" s="4">
        <v>0.6</v>
      </c>
      <c r="AS16" s="4">
        <v>0.33</v>
      </c>
      <c r="AT16" s="6">
        <v>805.95459000000005</v>
      </c>
      <c r="AU16" s="4">
        <v>2.9000000000000001E-2</v>
      </c>
      <c r="AW16" s="4" t="s">
        <v>35</v>
      </c>
      <c r="AX16" s="4">
        <v>0.9</v>
      </c>
      <c r="AY16" s="4">
        <v>0.5</v>
      </c>
      <c r="AZ16" s="4">
        <v>0.6</v>
      </c>
      <c r="BA16" s="4">
        <v>0.3</v>
      </c>
      <c r="BB16" s="4">
        <v>809.42425500000002</v>
      </c>
      <c r="BC16" s="4">
        <v>4.0000000000000001E-3</v>
      </c>
      <c r="BD16" s="5"/>
      <c r="BE16" s="5"/>
      <c r="BF16" s="5"/>
      <c r="BG16" s="5"/>
      <c r="BI16" s="4" t="s">
        <v>35</v>
      </c>
      <c r="BJ16" s="4">
        <v>0.9</v>
      </c>
      <c r="BK16" s="4">
        <v>0.5</v>
      </c>
      <c r="BL16" s="4">
        <v>0.6</v>
      </c>
      <c r="BM16" s="4">
        <v>0.49</v>
      </c>
      <c r="BN16" s="4">
        <v>889.19586200000003</v>
      </c>
      <c r="BO16" s="4">
        <v>1.4E-2</v>
      </c>
      <c r="BQ16" s="4" t="s">
        <v>35</v>
      </c>
      <c r="BR16" s="4">
        <v>0.9</v>
      </c>
      <c r="BS16" s="4">
        <v>0.5</v>
      </c>
      <c r="BT16" s="4">
        <v>0.6</v>
      </c>
      <c r="BU16" s="4">
        <v>0.3</v>
      </c>
      <c r="BV16" s="6">
        <v>786.37359600000002</v>
      </c>
      <c r="BW16" s="4">
        <v>7.0000000000000001E-3</v>
      </c>
      <c r="BX16" s="5"/>
      <c r="BY16" s="5"/>
      <c r="BZ16" s="5"/>
      <c r="CA16" s="5"/>
    </row>
    <row r="17" spans="1:79" x14ac:dyDescent="0.3">
      <c r="A17" s="4" t="s">
        <v>36</v>
      </c>
      <c r="B17" s="4">
        <v>0.9</v>
      </c>
      <c r="C17" s="4">
        <v>0.5</v>
      </c>
      <c r="D17" s="4">
        <v>0.6</v>
      </c>
      <c r="E17" s="4">
        <v>0.96</v>
      </c>
      <c r="F17" s="4">
        <v>581.48138400000005</v>
      </c>
      <c r="G17" s="4">
        <v>8.0000000000000002E-3</v>
      </c>
      <c r="I17" s="4" t="s">
        <v>36</v>
      </c>
      <c r="J17" s="4">
        <v>0.9</v>
      </c>
      <c r="K17" s="4">
        <v>0.5</v>
      </c>
      <c r="L17" s="4">
        <v>0.6</v>
      </c>
      <c r="M17" s="4">
        <v>0.4</v>
      </c>
      <c r="N17" s="6">
        <v>510.84286500000002</v>
      </c>
      <c r="O17" s="4">
        <v>0</v>
      </c>
      <c r="P17" s="5"/>
      <c r="Q17" s="5"/>
      <c r="R17" s="5"/>
      <c r="S17" s="5"/>
      <c r="U17" s="4" t="s">
        <v>36</v>
      </c>
      <c r="V17" s="4">
        <v>0.9</v>
      </c>
      <c r="W17" s="4">
        <v>0.5</v>
      </c>
      <c r="X17" s="4">
        <v>0.6</v>
      </c>
      <c r="Y17" s="4">
        <v>0.11</v>
      </c>
      <c r="Z17" s="8">
        <v>471.11056500000001</v>
      </c>
      <c r="AA17" s="4">
        <v>8.9999999999999993E-3</v>
      </c>
      <c r="AC17" s="4" t="s">
        <v>36</v>
      </c>
      <c r="AD17" s="4">
        <v>0.9</v>
      </c>
      <c r="AE17" s="4">
        <v>0.5</v>
      </c>
      <c r="AF17" s="4">
        <v>0.6</v>
      </c>
      <c r="AG17" s="4">
        <v>0.32</v>
      </c>
      <c r="AH17" s="6">
        <v>471.080963</v>
      </c>
      <c r="AI17" s="4">
        <v>1E-3</v>
      </c>
      <c r="AJ17" s="5"/>
      <c r="AK17" s="5"/>
      <c r="AL17" s="5"/>
      <c r="AM17" s="5"/>
      <c r="AO17" s="4" t="s">
        <v>37</v>
      </c>
      <c r="AP17" s="4">
        <v>0.9</v>
      </c>
      <c r="AQ17" s="4">
        <v>0.5</v>
      </c>
      <c r="AR17" s="4">
        <v>0.6</v>
      </c>
      <c r="AS17" s="4">
        <v>0.17</v>
      </c>
      <c r="AT17" s="6">
        <v>742.49468999999999</v>
      </c>
      <c r="AU17" s="4">
        <v>0.02</v>
      </c>
      <c r="AW17" s="4" t="s">
        <v>37</v>
      </c>
      <c r="AX17" s="4">
        <v>0.9</v>
      </c>
      <c r="AY17" s="4">
        <v>0.5</v>
      </c>
      <c r="AZ17" s="4">
        <v>0.6</v>
      </c>
      <c r="BA17" s="4">
        <v>0.32</v>
      </c>
      <c r="BB17" s="4">
        <v>809.16980000000001</v>
      </c>
      <c r="BC17" s="4">
        <v>5.0000000000000001E-3</v>
      </c>
      <c r="BD17" s="5"/>
      <c r="BE17" s="5"/>
      <c r="BF17" s="5"/>
      <c r="BG17" s="5"/>
      <c r="BI17" s="4" t="s">
        <v>37</v>
      </c>
      <c r="BJ17" s="4">
        <v>0.9</v>
      </c>
      <c r="BK17" s="4">
        <v>0.5</v>
      </c>
      <c r="BL17" s="4">
        <v>0.6</v>
      </c>
      <c r="BM17" s="4">
        <v>0.19</v>
      </c>
      <c r="BN17" s="6">
        <v>707.02404799999999</v>
      </c>
      <c r="BO17" s="4">
        <v>3.9E-2</v>
      </c>
      <c r="BQ17" s="4" t="s">
        <v>37</v>
      </c>
      <c r="BR17" s="4">
        <v>0.9</v>
      </c>
      <c r="BS17" s="4">
        <v>0.5</v>
      </c>
      <c r="BT17" s="4">
        <v>0.6</v>
      </c>
      <c r="BU17" s="4">
        <v>0.4</v>
      </c>
      <c r="BV17" s="4">
        <v>760.75109899999995</v>
      </c>
      <c r="BW17" s="4">
        <v>5.0000000000000001E-3</v>
      </c>
      <c r="BX17" s="5"/>
      <c r="BY17" s="5"/>
      <c r="BZ17" s="5"/>
      <c r="CA17" s="5"/>
    </row>
    <row r="18" spans="1:79" x14ac:dyDescent="0.3">
      <c r="A18" s="4" t="s">
        <v>38</v>
      </c>
      <c r="B18" s="4">
        <v>0.9</v>
      </c>
      <c r="C18" s="4">
        <v>0.5</v>
      </c>
      <c r="D18" s="4">
        <v>0.6</v>
      </c>
      <c r="E18" s="4">
        <v>0.08</v>
      </c>
      <c r="F18" s="4">
        <v>471.74896200000001</v>
      </c>
      <c r="G18" s="4">
        <v>2.1999999999999999E-2</v>
      </c>
      <c r="I18" s="4" t="s">
        <v>38</v>
      </c>
      <c r="J18" s="4">
        <v>0.9</v>
      </c>
      <c r="K18" s="4">
        <v>0.5</v>
      </c>
      <c r="L18" s="4">
        <v>0.6</v>
      </c>
      <c r="M18" s="4">
        <v>0.34</v>
      </c>
      <c r="N18" s="6">
        <v>463.072205</v>
      </c>
      <c r="O18" s="4">
        <v>1E-3</v>
      </c>
      <c r="P18" s="5"/>
      <c r="Q18" s="5"/>
      <c r="R18" s="5"/>
      <c r="S18" s="5"/>
      <c r="U18" s="4" t="s">
        <v>38</v>
      </c>
      <c r="V18" s="4">
        <v>0.9</v>
      </c>
      <c r="W18" s="4">
        <v>0.5</v>
      </c>
      <c r="X18" s="4">
        <v>0.6</v>
      </c>
      <c r="Y18" s="4">
        <v>0.57999999999999996</v>
      </c>
      <c r="Z18" s="4">
        <v>457.28793300000001</v>
      </c>
      <c r="AA18" s="4">
        <v>8.0000000000000002E-3</v>
      </c>
      <c r="AC18" s="4" t="s">
        <v>38</v>
      </c>
      <c r="AD18" s="4">
        <v>0.9</v>
      </c>
      <c r="AE18" s="4">
        <v>0.5</v>
      </c>
      <c r="AF18" s="4">
        <v>0.6</v>
      </c>
      <c r="AG18" s="4">
        <v>0.36</v>
      </c>
      <c r="AH18" s="6">
        <v>428.46099900000002</v>
      </c>
      <c r="AI18" s="4">
        <v>1E-3</v>
      </c>
      <c r="AJ18" s="5"/>
      <c r="AK18" s="5"/>
      <c r="AL18" s="5"/>
      <c r="AM18" s="5"/>
      <c r="AO18" s="4" t="s">
        <v>39</v>
      </c>
      <c r="AP18" s="4">
        <v>0.9</v>
      </c>
      <c r="AQ18" s="4">
        <v>0.5</v>
      </c>
      <c r="AR18" s="4">
        <v>0.6</v>
      </c>
      <c r="AS18" s="4">
        <v>0.1</v>
      </c>
      <c r="AT18" s="6">
        <v>709.44702099999995</v>
      </c>
      <c r="AU18" s="4">
        <v>1.9E-2</v>
      </c>
      <c r="AW18" s="4" t="s">
        <v>39</v>
      </c>
      <c r="AX18" s="4">
        <v>0.9</v>
      </c>
      <c r="AY18" s="4">
        <v>0.5</v>
      </c>
      <c r="AZ18" s="4">
        <v>0.6</v>
      </c>
      <c r="BA18" s="4">
        <v>0.3</v>
      </c>
      <c r="BB18" s="4">
        <v>777.57501200000002</v>
      </c>
      <c r="BC18" s="4">
        <v>4.0000000000000001E-3</v>
      </c>
      <c r="BD18" s="5"/>
      <c r="BE18" s="5"/>
      <c r="BF18" s="5"/>
      <c r="BG18" s="5"/>
      <c r="BI18" s="4" t="s">
        <v>39</v>
      </c>
      <c r="BJ18" s="4">
        <v>0.9</v>
      </c>
      <c r="BK18" s="4">
        <v>0.5</v>
      </c>
      <c r="BL18" s="4">
        <v>0.6</v>
      </c>
      <c r="BM18" s="4">
        <v>0.09</v>
      </c>
      <c r="BN18" s="6">
        <v>681.59057600000006</v>
      </c>
      <c r="BO18" s="4">
        <v>2.7E-2</v>
      </c>
      <c r="BQ18" s="4" t="s">
        <v>39</v>
      </c>
      <c r="BR18" s="4">
        <v>0.9</v>
      </c>
      <c r="BS18" s="4">
        <v>0.5</v>
      </c>
      <c r="BT18" s="4">
        <v>0.6</v>
      </c>
      <c r="BU18" s="4">
        <v>0.31</v>
      </c>
      <c r="BV18" s="4">
        <v>760.90551800000003</v>
      </c>
      <c r="BW18" s="4">
        <v>5.0000000000000001E-3</v>
      </c>
      <c r="BX18" s="5"/>
      <c r="BY18" s="5"/>
      <c r="BZ18" s="5"/>
      <c r="CA18" s="5"/>
    </row>
    <row r="19" spans="1:79" x14ac:dyDescent="0.3">
      <c r="A19" s="4" t="s">
        <v>40</v>
      </c>
      <c r="B19" s="4">
        <v>0.9</v>
      </c>
      <c r="C19" s="4">
        <v>0.5</v>
      </c>
      <c r="D19" s="4">
        <v>0.6</v>
      </c>
      <c r="E19" s="4">
        <v>0.95</v>
      </c>
      <c r="F19" s="4">
        <v>465.63330100000002</v>
      </c>
      <c r="G19" s="4">
        <v>1.4999999999999999E-2</v>
      </c>
      <c r="I19" s="4" t="s">
        <v>40</v>
      </c>
      <c r="J19" s="4">
        <v>0.9</v>
      </c>
      <c r="K19" s="4">
        <v>0.5</v>
      </c>
      <c r="L19" s="4">
        <v>0.6</v>
      </c>
      <c r="M19" s="4">
        <v>0.32</v>
      </c>
      <c r="N19" s="6">
        <v>401.01702899999998</v>
      </c>
      <c r="O19" s="4">
        <v>1E-3</v>
      </c>
      <c r="P19" s="5"/>
      <c r="Q19" s="5"/>
      <c r="R19" s="5"/>
      <c r="S19" s="5"/>
      <c r="U19" s="4" t="s">
        <v>40</v>
      </c>
      <c r="V19" s="4">
        <v>0.9</v>
      </c>
      <c r="W19" s="4">
        <v>0.5</v>
      </c>
      <c r="X19" s="4">
        <v>0.6</v>
      </c>
      <c r="Y19" s="4">
        <v>0.5</v>
      </c>
      <c r="Z19" s="6">
        <v>380.45025600000002</v>
      </c>
      <c r="AA19" s="4">
        <v>1.0999999999999999E-2</v>
      </c>
      <c r="AC19" s="4" t="s">
        <v>40</v>
      </c>
      <c r="AD19" s="4">
        <v>0.9</v>
      </c>
      <c r="AE19" s="4">
        <v>0.5</v>
      </c>
      <c r="AF19" s="4">
        <v>0.6</v>
      </c>
      <c r="AG19" s="4">
        <v>0.34</v>
      </c>
      <c r="AH19" s="6">
        <v>380.45025600000002</v>
      </c>
      <c r="AI19" s="4">
        <v>1E-3</v>
      </c>
      <c r="AJ19" s="5"/>
      <c r="AK19" s="5"/>
      <c r="AL19" s="5"/>
      <c r="AM19" s="5"/>
      <c r="AO19" s="4" t="s">
        <v>41</v>
      </c>
      <c r="AP19" s="4">
        <v>0.9</v>
      </c>
      <c r="AQ19" s="4">
        <v>0.5</v>
      </c>
      <c r="AR19" s="4">
        <v>0.6</v>
      </c>
      <c r="AS19" s="4">
        <v>0.16</v>
      </c>
      <c r="AT19" s="6">
        <v>779.53704800000003</v>
      </c>
      <c r="AU19" s="4">
        <v>0.02</v>
      </c>
      <c r="AW19" s="4" t="s">
        <v>41</v>
      </c>
      <c r="AX19" s="4">
        <v>0.9</v>
      </c>
      <c r="AY19" s="4">
        <v>0.5</v>
      </c>
      <c r="AZ19" s="4">
        <v>0.6</v>
      </c>
      <c r="BA19" s="4">
        <v>0.32</v>
      </c>
      <c r="BB19" s="4">
        <v>926.06256099999996</v>
      </c>
      <c r="BC19" s="4">
        <v>5.0000000000000001E-3</v>
      </c>
      <c r="BD19" s="5"/>
      <c r="BE19" s="5"/>
      <c r="BF19" s="5"/>
      <c r="BG19" s="5"/>
      <c r="BI19" s="4" t="s">
        <v>41</v>
      </c>
      <c r="BJ19" s="4">
        <v>0.9</v>
      </c>
      <c r="BK19" s="4">
        <v>0.5</v>
      </c>
      <c r="BL19" s="4">
        <v>0.6</v>
      </c>
      <c r="BM19" s="4">
        <v>0.89</v>
      </c>
      <c r="BN19" s="4">
        <v>1050.3919679999999</v>
      </c>
      <c r="BO19" s="4">
        <v>2.4E-2</v>
      </c>
      <c r="BQ19" s="4" t="s">
        <v>41</v>
      </c>
      <c r="BR19" s="4">
        <v>0.9</v>
      </c>
      <c r="BS19" s="4">
        <v>0.5</v>
      </c>
      <c r="BT19" s="4">
        <v>0.6</v>
      </c>
      <c r="BU19" s="4">
        <v>0.35</v>
      </c>
      <c r="BV19" s="6">
        <v>879.19104000000004</v>
      </c>
      <c r="BW19" s="4">
        <v>5.0000000000000001E-3</v>
      </c>
      <c r="BX19" s="5"/>
      <c r="BY19" s="5"/>
      <c r="BZ19" s="5"/>
      <c r="CA19" s="5"/>
    </row>
    <row r="20" spans="1:79" x14ac:dyDescent="0.3">
      <c r="A20" s="4" t="s">
        <v>42</v>
      </c>
      <c r="B20" s="4">
        <v>0.9</v>
      </c>
      <c r="C20" s="4">
        <v>0.5</v>
      </c>
      <c r="D20" s="4">
        <v>0.6</v>
      </c>
      <c r="E20" s="4">
        <v>0.92</v>
      </c>
      <c r="F20" s="4">
        <v>471.45211799999998</v>
      </c>
      <c r="G20" s="4">
        <v>8.9999999999999993E-3</v>
      </c>
      <c r="I20" s="4" t="s">
        <v>42</v>
      </c>
      <c r="J20" s="4">
        <v>0.9</v>
      </c>
      <c r="K20" s="4">
        <v>0.5</v>
      </c>
      <c r="L20" s="4">
        <v>0.6</v>
      </c>
      <c r="M20" s="4">
        <v>0.35</v>
      </c>
      <c r="N20" s="6">
        <v>423.66629</v>
      </c>
      <c r="O20" s="4">
        <v>1E-3</v>
      </c>
      <c r="P20" s="5"/>
      <c r="Q20" s="5"/>
      <c r="R20" s="5"/>
      <c r="S20" s="5"/>
      <c r="U20" s="4" t="s">
        <v>42</v>
      </c>
      <c r="V20" s="4">
        <v>0.9</v>
      </c>
      <c r="W20" s="4">
        <v>0.5</v>
      </c>
      <c r="X20" s="4">
        <v>0.6</v>
      </c>
      <c r="Y20" s="4">
        <v>0.33</v>
      </c>
      <c r="Z20" s="4">
        <v>408.54623400000003</v>
      </c>
      <c r="AA20" s="4">
        <v>1.0999999999999999E-2</v>
      </c>
      <c r="AC20" s="4" t="s">
        <v>42</v>
      </c>
      <c r="AD20" s="4">
        <v>0.9</v>
      </c>
      <c r="AE20" s="4">
        <v>0.5</v>
      </c>
      <c r="AF20" s="4">
        <v>0.6</v>
      </c>
      <c r="AG20" s="4">
        <v>0.34</v>
      </c>
      <c r="AH20" s="6">
        <v>400.96005200000002</v>
      </c>
      <c r="AI20" s="4">
        <v>1E-3</v>
      </c>
      <c r="AJ20" s="5"/>
      <c r="AK20" s="5"/>
      <c r="AL20" s="5"/>
      <c r="AM20" s="5"/>
      <c r="AO20" s="4" t="s">
        <v>43</v>
      </c>
      <c r="AP20" s="4">
        <v>0.9</v>
      </c>
      <c r="AQ20" s="4">
        <v>0.5</v>
      </c>
      <c r="AR20" s="4">
        <v>0.6</v>
      </c>
      <c r="AS20" s="4">
        <v>0.69</v>
      </c>
      <c r="AT20" s="4">
        <v>964.67181400000004</v>
      </c>
      <c r="AU20" s="4">
        <v>2.1000000000000001E-2</v>
      </c>
      <c r="AW20" s="4" t="s">
        <v>43</v>
      </c>
      <c r="AX20" s="4">
        <v>0.9</v>
      </c>
      <c r="AY20" s="4">
        <v>0.5</v>
      </c>
      <c r="AZ20" s="4">
        <v>0.6</v>
      </c>
      <c r="BA20" s="4">
        <v>0.33</v>
      </c>
      <c r="BB20" s="6">
        <v>853.77990699999998</v>
      </c>
      <c r="BC20" s="4">
        <v>5.0000000000000001E-3</v>
      </c>
      <c r="BD20" s="5"/>
      <c r="BE20" s="5"/>
      <c r="BF20" s="5"/>
      <c r="BG20" s="5"/>
      <c r="BI20" s="4" t="s">
        <v>43</v>
      </c>
      <c r="BJ20" s="4">
        <v>0.9</v>
      </c>
      <c r="BK20" s="4">
        <v>0.5</v>
      </c>
      <c r="BL20" s="4">
        <v>0.6</v>
      </c>
      <c r="BM20" s="4">
        <v>0.24</v>
      </c>
      <c r="BN20" s="6">
        <v>744.63104199999998</v>
      </c>
      <c r="BO20" s="4">
        <v>1.7000000000000001E-2</v>
      </c>
      <c r="BQ20" s="4" t="s">
        <v>43</v>
      </c>
      <c r="BR20" s="4">
        <v>0.9</v>
      </c>
      <c r="BS20" s="4">
        <v>0.5</v>
      </c>
      <c r="BT20" s="4">
        <v>0.6</v>
      </c>
      <c r="BU20" s="4">
        <v>0.3</v>
      </c>
      <c r="BV20" s="4">
        <v>801.64172399999995</v>
      </c>
      <c r="BW20" s="4">
        <v>7.0000000000000001E-3</v>
      </c>
      <c r="BX20" s="5"/>
      <c r="BY20" s="5"/>
      <c r="BZ20" s="5"/>
      <c r="CA20" s="5"/>
    </row>
    <row r="21" spans="1:79" x14ac:dyDescent="0.3">
      <c r="A21" s="4" t="s">
        <v>44</v>
      </c>
      <c r="B21" s="4">
        <v>0.9</v>
      </c>
      <c r="C21" s="4">
        <v>0.5</v>
      </c>
      <c r="D21" s="4">
        <v>0.6</v>
      </c>
      <c r="E21" s="4">
        <v>0.01</v>
      </c>
      <c r="F21" s="4">
        <v>530.40942399999994</v>
      </c>
      <c r="G21" s="4">
        <v>4.9000000000000002E-2</v>
      </c>
      <c r="I21" s="4" t="s">
        <v>44</v>
      </c>
      <c r="J21" s="4">
        <v>0.9</v>
      </c>
      <c r="K21" s="4">
        <v>0.5</v>
      </c>
      <c r="L21" s="4">
        <v>0.6</v>
      </c>
      <c r="M21" s="4">
        <v>0.35</v>
      </c>
      <c r="N21" s="6">
        <v>489.51110799999998</v>
      </c>
      <c r="O21" s="4">
        <v>1E-3</v>
      </c>
      <c r="P21" s="5"/>
      <c r="Q21" s="5"/>
      <c r="R21" s="5"/>
      <c r="S21" s="5"/>
      <c r="U21" s="4" t="s">
        <v>44</v>
      </c>
      <c r="V21" s="4">
        <v>0.9</v>
      </c>
      <c r="W21" s="4">
        <v>0.5</v>
      </c>
      <c r="X21" s="4">
        <v>0.6</v>
      </c>
      <c r="Y21" s="4">
        <v>0.61</v>
      </c>
      <c r="Z21" s="4">
        <v>548.02740500000004</v>
      </c>
      <c r="AA21" s="4">
        <v>1.2999999999999999E-2</v>
      </c>
      <c r="AC21" s="4" t="s">
        <v>44</v>
      </c>
      <c r="AD21" s="4">
        <v>0.9</v>
      </c>
      <c r="AE21" s="4">
        <v>0.5</v>
      </c>
      <c r="AF21" s="4">
        <v>0.6</v>
      </c>
      <c r="AG21" s="4">
        <v>0.41</v>
      </c>
      <c r="AH21" s="6">
        <v>467.14679000000001</v>
      </c>
      <c r="AI21" s="4">
        <v>1E-3</v>
      </c>
      <c r="AJ21" s="5"/>
      <c r="AK21" s="5"/>
      <c r="AL21" s="5"/>
      <c r="AM21" s="5"/>
      <c r="AO21" s="4" t="s">
        <v>45</v>
      </c>
      <c r="AP21" s="4">
        <v>0.9</v>
      </c>
      <c r="AQ21" s="4">
        <v>0.5</v>
      </c>
      <c r="AR21" s="4">
        <v>0.6</v>
      </c>
      <c r="AS21" s="4">
        <v>0.87</v>
      </c>
      <c r="AT21" s="4">
        <v>1056.284302</v>
      </c>
      <c r="AU21" s="4">
        <v>4.8000000000000001E-2</v>
      </c>
      <c r="AW21" s="4" t="s">
        <v>45</v>
      </c>
      <c r="AX21" s="4">
        <v>0.9</v>
      </c>
      <c r="AY21" s="4">
        <v>0.5</v>
      </c>
      <c r="AZ21" s="4">
        <v>0.6</v>
      </c>
      <c r="BA21" s="4">
        <v>0.3</v>
      </c>
      <c r="BB21" s="6">
        <v>876.840149</v>
      </c>
      <c r="BC21" s="4">
        <v>4.0000000000000001E-3</v>
      </c>
      <c r="BD21" s="5"/>
      <c r="BE21" s="5"/>
      <c r="BF21" s="5"/>
      <c r="BG21" s="5"/>
      <c r="BI21" s="4" t="s">
        <v>45</v>
      </c>
      <c r="BJ21" s="4">
        <v>0.9</v>
      </c>
      <c r="BK21" s="4">
        <v>0.5</v>
      </c>
      <c r="BL21" s="4">
        <v>0.6</v>
      </c>
      <c r="BM21" s="4">
        <v>0.17</v>
      </c>
      <c r="BN21" s="6">
        <v>747.82495100000006</v>
      </c>
      <c r="BO21" s="4">
        <v>1.4999999999999999E-2</v>
      </c>
      <c r="BQ21" s="4" t="s">
        <v>45</v>
      </c>
      <c r="BR21" s="4">
        <v>0.9</v>
      </c>
      <c r="BS21" s="4">
        <v>0.5</v>
      </c>
      <c r="BT21" s="4">
        <v>0.6</v>
      </c>
      <c r="BU21" s="4">
        <v>0.33</v>
      </c>
      <c r="BV21" s="4">
        <v>845.55542000000003</v>
      </c>
      <c r="BW21" s="4">
        <v>5.0000000000000001E-3</v>
      </c>
      <c r="BX21" s="5"/>
      <c r="BY21" s="5"/>
      <c r="BZ21" s="5"/>
      <c r="CA21" s="5"/>
    </row>
    <row r="22" spans="1:79" x14ac:dyDescent="0.3">
      <c r="A22" s="4" t="s">
        <v>46</v>
      </c>
      <c r="B22" s="4">
        <v>0.9</v>
      </c>
      <c r="C22" s="4">
        <v>0.5</v>
      </c>
      <c r="D22" s="4">
        <v>0.6</v>
      </c>
      <c r="E22" s="4">
        <v>0.75</v>
      </c>
      <c r="F22" s="4">
        <v>530.06219499999997</v>
      </c>
      <c r="G22" s="4">
        <v>1.4E-2</v>
      </c>
      <c r="I22" s="4" t="s">
        <v>46</v>
      </c>
      <c r="J22" s="4">
        <v>0.9</v>
      </c>
      <c r="K22" s="4">
        <v>0.5</v>
      </c>
      <c r="L22" s="4">
        <v>0.6</v>
      </c>
      <c r="M22" s="4">
        <v>0.3</v>
      </c>
      <c r="N22" s="6">
        <v>487.48046900000003</v>
      </c>
      <c r="O22" s="4">
        <v>1E-3</v>
      </c>
      <c r="P22" s="5"/>
      <c r="Q22" s="5"/>
      <c r="R22" s="5"/>
      <c r="S22" s="5"/>
      <c r="U22" s="4" t="s">
        <v>46</v>
      </c>
      <c r="V22" s="4">
        <v>0.9</v>
      </c>
      <c r="W22" s="4">
        <v>0.5</v>
      </c>
      <c r="X22" s="4">
        <v>0.6</v>
      </c>
      <c r="Y22" s="4">
        <v>0.55000000000000004</v>
      </c>
      <c r="Z22" s="4">
        <v>473.81469700000002</v>
      </c>
      <c r="AA22" s="4">
        <v>8.0000000000000002E-3</v>
      </c>
      <c r="AC22" s="4" t="s">
        <v>46</v>
      </c>
      <c r="AD22" s="4">
        <v>0.9</v>
      </c>
      <c r="AE22" s="4">
        <v>0.5</v>
      </c>
      <c r="AF22" s="4">
        <v>0.6</v>
      </c>
      <c r="AG22" s="4">
        <v>0.3</v>
      </c>
      <c r="AH22" s="6">
        <v>465.89205900000002</v>
      </c>
      <c r="AI22" s="4">
        <v>1E-3</v>
      </c>
      <c r="AJ22" s="5"/>
      <c r="AK22" s="5"/>
      <c r="AL22" s="5"/>
      <c r="AM22" s="5"/>
      <c r="AO22" s="4" t="s">
        <v>47</v>
      </c>
      <c r="AP22" s="4">
        <v>0.9</v>
      </c>
      <c r="AQ22" s="4">
        <v>0.5</v>
      </c>
      <c r="AR22" s="4">
        <v>0.6</v>
      </c>
      <c r="AS22" s="4">
        <v>0.51</v>
      </c>
      <c r="AT22" s="4">
        <v>896.92150900000001</v>
      </c>
      <c r="AU22" s="4">
        <v>3.3000000000000002E-2</v>
      </c>
      <c r="AW22" s="4" t="s">
        <v>47</v>
      </c>
      <c r="AX22" s="4">
        <v>0.9</v>
      </c>
      <c r="AY22" s="4">
        <v>0.5</v>
      </c>
      <c r="AZ22" s="4">
        <v>0.6</v>
      </c>
      <c r="BA22" s="4">
        <v>0.3</v>
      </c>
      <c r="BB22" s="6">
        <v>804.56933600000002</v>
      </c>
      <c r="BC22" s="4">
        <v>4.0000000000000001E-3</v>
      </c>
      <c r="BD22" s="5"/>
      <c r="BE22" s="5"/>
      <c r="BF22" s="5"/>
      <c r="BG22" s="5"/>
      <c r="BI22" s="4" t="s">
        <v>47</v>
      </c>
      <c r="BJ22" s="4">
        <v>0.9</v>
      </c>
      <c r="BK22" s="4">
        <v>0.5</v>
      </c>
      <c r="BL22" s="4">
        <v>0.6</v>
      </c>
      <c r="BM22" s="4">
        <v>0.8</v>
      </c>
      <c r="BN22" s="4">
        <v>920.77783199999999</v>
      </c>
      <c r="BO22" s="4">
        <v>1.9E-2</v>
      </c>
      <c r="BQ22" s="4" t="s">
        <v>47</v>
      </c>
      <c r="BR22" s="4">
        <v>0.9</v>
      </c>
      <c r="BS22" s="4">
        <v>0.5</v>
      </c>
      <c r="BT22" s="4">
        <v>0.6</v>
      </c>
      <c r="BU22" s="4">
        <v>0.34</v>
      </c>
      <c r="BV22" s="6">
        <v>784.93194600000004</v>
      </c>
      <c r="BW22" s="4">
        <v>5.0000000000000001E-3</v>
      </c>
      <c r="BX22" s="5"/>
      <c r="BY22" s="5"/>
      <c r="BZ22" s="5"/>
      <c r="CA22" s="5"/>
    </row>
    <row r="23" spans="1:79" x14ac:dyDescent="0.3">
      <c r="A23" s="4" t="s">
        <v>48</v>
      </c>
      <c r="B23" s="4">
        <v>0.9</v>
      </c>
      <c r="C23" s="4">
        <v>0.5</v>
      </c>
      <c r="D23" s="4">
        <v>0.6</v>
      </c>
      <c r="E23" s="4">
        <v>0.71</v>
      </c>
      <c r="F23" s="4">
        <v>514.61462400000005</v>
      </c>
      <c r="G23" s="4">
        <v>1.4999999999999999E-2</v>
      </c>
      <c r="I23" s="4" t="s">
        <v>48</v>
      </c>
      <c r="J23" s="4">
        <v>0.9</v>
      </c>
      <c r="K23" s="4">
        <v>0.5</v>
      </c>
      <c r="L23" s="4">
        <v>0.6</v>
      </c>
      <c r="M23" s="4">
        <v>0.31</v>
      </c>
      <c r="N23" s="6">
        <v>453.96725500000002</v>
      </c>
      <c r="O23" s="4">
        <v>1E-3</v>
      </c>
      <c r="P23" s="5"/>
      <c r="Q23" s="5"/>
      <c r="R23" s="5"/>
      <c r="S23" s="5"/>
      <c r="U23" s="4" t="s">
        <v>48</v>
      </c>
      <c r="V23" s="4">
        <v>0.9</v>
      </c>
      <c r="W23" s="4">
        <v>0.5</v>
      </c>
      <c r="X23" s="4">
        <v>0.6</v>
      </c>
      <c r="Y23" s="4">
        <v>0.59</v>
      </c>
      <c r="Z23" s="4">
        <v>454.364441</v>
      </c>
      <c r="AA23" s="4">
        <v>1.4999999999999999E-2</v>
      </c>
      <c r="AC23" s="4" t="s">
        <v>48</v>
      </c>
      <c r="AD23" s="4">
        <v>0.9</v>
      </c>
      <c r="AE23" s="4">
        <v>0.5</v>
      </c>
      <c r="AF23" s="4">
        <v>0.6</v>
      </c>
      <c r="AG23" s="4">
        <v>0.36</v>
      </c>
      <c r="AH23" s="6">
        <v>423.08251999999999</v>
      </c>
      <c r="AI23" s="4">
        <v>0</v>
      </c>
      <c r="AJ23" s="5"/>
      <c r="AK23" s="5"/>
      <c r="AL23" s="5"/>
      <c r="AM23" s="5"/>
      <c r="AO23" s="4" t="s">
        <v>49</v>
      </c>
      <c r="AP23" s="4">
        <v>0.9</v>
      </c>
      <c r="AQ23" s="4">
        <v>0.5</v>
      </c>
      <c r="AR23" s="4">
        <v>0.6</v>
      </c>
      <c r="AS23" s="4">
        <v>0.94</v>
      </c>
      <c r="AT23" s="4">
        <v>1004.4151000000001</v>
      </c>
      <c r="AU23" s="4">
        <v>3.4000000000000002E-2</v>
      </c>
      <c r="AW23" s="4" t="s">
        <v>49</v>
      </c>
      <c r="AX23" s="4">
        <v>0.9</v>
      </c>
      <c r="AY23" s="4">
        <v>0.5</v>
      </c>
      <c r="AZ23" s="4">
        <v>0.6</v>
      </c>
      <c r="BA23" s="4">
        <v>0.31</v>
      </c>
      <c r="BB23" s="6">
        <v>846.37188700000002</v>
      </c>
      <c r="BC23" s="4">
        <v>4.0000000000000001E-3</v>
      </c>
      <c r="BD23" s="5"/>
      <c r="BE23" s="5"/>
      <c r="BF23" s="5"/>
      <c r="BG23" s="5"/>
      <c r="BI23" s="4" t="s">
        <v>49</v>
      </c>
      <c r="BJ23" s="4">
        <v>0.9</v>
      </c>
      <c r="BK23" s="4">
        <v>0.5</v>
      </c>
      <c r="BL23" s="4">
        <v>0.6</v>
      </c>
      <c r="BM23" s="4">
        <v>0.3</v>
      </c>
      <c r="BN23" s="6">
        <v>773.03851299999997</v>
      </c>
      <c r="BO23" s="4">
        <v>1.7999999999999999E-2</v>
      </c>
      <c r="BQ23" s="4" t="s">
        <v>49</v>
      </c>
      <c r="BR23" s="4">
        <v>0.9</v>
      </c>
      <c r="BS23" s="4">
        <v>0.5</v>
      </c>
      <c r="BT23" s="4">
        <v>0.6</v>
      </c>
      <c r="BU23" s="4">
        <v>0.32</v>
      </c>
      <c r="BV23" s="4">
        <v>778.01873799999998</v>
      </c>
      <c r="BW23" s="4">
        <v>5.0000000000000001E-3</v>
      </c>
      <c r="BX23" s="5"/>
      <c r="BY23" s="5"/>
      <c r="BZ23" s="5"/>
      <c r="CA23" s="5"/>
    </row>
    <row r="24" spans="1:79" x14ac:dyDescent="0.3">
      <c r="A24" s="4" t="s">
        <v>50</v>
      </c>
      <c r="B24" s="4">
        <v>0.9</v>
      </c>
      <c r="C24" s="4">
        <v>0.5</v>
      </c>
      <c r="D24" s="4">
        <v>0.6</v>
      </c>
      <c r="E24" s="4">
        <v>0.28000000000000003</v>
      </c>
      <c r="F24" s="4">
        <v>461.79037499999998</v>
      </c>
      <c r="G24" s="4">
        <v>7.0000000000000001E-3</v>
      </c>
      <c r="I24" s="4" t="s">
        <v>50</v>
      </c>
      <c r="J24" s="4">
        <v>0.9</v>
      </c>
      <c r="K24" s="4">
        <v>0.5</v>
      </c>
      <c r="L24" s="4">
        <v>0.6</v>
      </c>
      <c r="M24" s="4">
        <v>0.3</v>
      </c>
      <c r="N24" s="6">
        <v>451.81829800000003</v>
      </c>
      <c r="O24" s="4">
        <v>1E-3</v>
      </c>
      <c r="P24" s="5"/>
      <c r="Q24" s="5"/>
      <c r="R24" s="5"/>
      <c r="S24" s="5"/>
      <c r="U24" s="4" t="s">
        <v>50</v>
      </c>
      <c r="V24" s="4">
        <v>0.9</v>
      </c>
      <c r="W24" s="4">
        <v>0.5</v>
      </c>
      <c r="X24" s="4">
        <v>0.6</v>
      </c>
      <c r="Y24" s="4">
        <v>0.9</v>
      </c>
      <c r="Z24" s="4">
        <v>485.73327599999999</v>
      </c>
      <c r="AA24" s="4">
        <v>8.0000000000000002E-3</v>
      </c>
      <c r="AC24" s="4" t="s">
        <v>50</v>
      </c>
      <c r="AD24" s="4">
        <v>0.9</v>
      </c>
      <c r="AE24" s="4">
        <v>0.5</v>
      </c>
      <c r="AF24" s="4">
        <v>0.6</v>
      </c>
      <c r="AG24" s="4">
        <v>0.3</v>
      </c>
      <c r="AH24" s="6">
        <v>424.43267800000001</v>
      </c>
      <c r="AI24" s="4">
        <v>1E-3</v>
      </c>
      <c r="AJ24" s="5"/>
      <c r="AK24" s="5"/>
      <c r="AL24" s="5"/>
      <c r="AM24" s="5"/>
      <c r="AO24" s="4" t="s">
        <v>51</v>
      </c>
      <c r="AP24" s="4">
        <v>0.9</v>
      </c>
      <c r="AQ24" s="4">
        <v>0.5</v>
      </c>
      <c r="AR24" s="4">
        <v>0.6</v>
      </c>
      <c r="AS24" s="4">
        <v>0.59</v>
      </c>
      <c r="AT24" s="4">
        <v>1135.721802</v>
      </c>
      <c r="AU24" s="4">
        <v>0.03</v>
      </c>
      <c r="AW24" s="4" t="s">
        <v>51</v>
      </c>
      <c r="AX24" s="4">
        <v>0.9</v>
      </c>
      <c r="AY24" s="4">
        <v>0.5</v>
      </c>
      <c r="AZ24" s="4">
        <v>0.6</v>
      </c>
      <c r="BA24" s="4">
        <v>0.34</v>
      </c>
      <c r="BB24" s="6">
        <v>1003.293335</v>
      </c>
      <c r="BC24" s="4">
        <v>5.0000000000000001E-3</v>
      </c>
      <c r="BD24" s="5"/>
      <c r="BE24" s="5"/>
      <c r="BF24" s="5"/>
      <c r="BG24" s="5"/>
      <c r="BI24" s="4" t="s">
        <v>51</v>
      </c>
      <c r="BJ24" s="4">
        <v>0.9</v>
      </c>
      <c r="BK24" s="4">
        <v>0.5</v>
      </c>
      <c r="BL24" s="4">
        <v>0.6</v>
      </c>
      <c r="BM24" s="4">
        <v>0.13</v>
      </c>
      <c r="BN24" s="6">
        <v>858.52239999999995</v>
      </c>
      <c r="BO24" s="4">
        <v>2.8000000000000001E-2</v>
      </c>
      <c r="BQ24" s="4" t="s">
        <v>51</v>
      </c>
      <c r="BR24" s="4">
        <v>0.9</v>
      </c>
      <c r="BS24" s="4">
        <v>0.5</v>
      </c>
      <c r="BT24" s="4">
        <v>0.6</v>
      </c>
      <c r="BU24" s="4">
        <v>0.32</v>
      </c>
      <c r="BV24" s="4">
        <v>1004.403687</v>
      </c>
      <c r="BW24" s="4">
        <v>8.0000000000000002E-3</v>
      </c>
      <c r="BX24" s="5"/>
      <c r="BY24" s="5"/>
      <c r="BZ24" s="5"/>
      <c r="CA24" s="5"/>
    </row>
    <row r="25" spans="1:79" x14ac:dyDescent="0.3">
      <c r="A25" s="4" t="s">
        <v>52</v>
      </c>
      <c r="B25" s="4">
        <v>0.9</v>
      </c>
      <c r="C25" s="4">
        <v>0.5</v>
      </c>
      <c r="D25" s="4">
        <v>0.6</v>
      </c>
      <c r="E25" s="4">
        <v>0.67</v>
      </c>
      <c r="F25" s="4">
        <v>465.930725</v>
      </c>
      <c r="G25" s="4">
        <v>0.03</v>
      </c>
      <c r="I25" s="4" t="s">
        <v>52</v>
      </c>
      <c r="J25" s="4">
        <v>0.9</v>
      </c>
      <c r="K25" s="4">
        <v>0.5</v>
      </c>
      <c r="L25" s="4">
        <v>0.6</v>
      </c>
      <c r="M25" s="4">
        <v>0.3</v>
      </c>
      <c r="N25" s="6">
        <v>449.00775099999998</v>
      </c>
      <c r="O25" s="4">
        <v>1E-3</v>
      </c>
      <c r="P25" s="5"/>
      <c r="Q25" s="5"/>
      <c r="R25" s="5"/>
      <c r="S25" s="5"/>
      <c r="U25" s="4" t="s">
        <v>52</v>
      </c>
      <c r="V25" s="4">
        <v>0.9</v>
      </c>
      <c r="W25" s="4">
        <v>0.5</v>
      </c>
      <c r="X25" s="4">
        <v>0.6</v>
      </c>
      <c r="Y25" s="4">
        <v>0.82</v>
      </c>
      <c r="Z25" s="4">
        <v>527.52667199999996</v>
      </c>
      <c r="AA25" s="4">
        <v>1.2999999999999999E-2</v>
      </c>
      <c r="AC25" s="4" t="s">
        <v>52</v>
      </c>
      <c r="AD25" s="4">
        <v>0.9</v>
      </c>
      <c r="AE25" s="4">
        <v>0.5</v>
      </c>
      <c r="AF25" s="4">
        <v>0.6</v>
      </c>
      <c r="AG25" s="4">
        <v>0.31</v>
      </c>
      <c r="AH25" s="6">
        <v>443.869843</v>
      </c>
      <c r="AI25" s="4">
        <v>0</v>
      </c>
      <c r="AJ25" s="5"/>
      <c r="AK25" s="5"/>
      <c r="AL25" s="5"/>
      <c r="AM25" s="5"/>
      <c r="AO25" s="4" t="s">
        <v>53</v>
      </c>
      <c r="AP25" s="4">
        <v>0.9</v>
      </c>
      <c r="AQ25" s="4">
        <v>0.5</v>
      </c>
      <c r="AR25" s="4">
        <v>0.6</v>
      </c>
      <c r="AS25" s="4">
        <v>0.1</v>
      </c>
      <c r="AT25" s="6">
        <v>862.04901099999995</v>
      </c>
      <c r="AU25" s="4">
        <v>1.7999999999999999E-2</v>
      </c>
      <c r="AW25" s="4" t="s">
        <v>53</v>
      </c>
      <c r="AX25" s="4">
        <v>0.9</v>
      </c>
      <c r="AY25" s="4">
        <v>0.5</v>
      </c>
      <c r="AZ25" s="4">
        <v>0.6</v>
      </c>
      <c r="BA25" s="4">
        <v>0.3</v>
      </c>
      <c r="BB25" s="4">
        <v>961.97540300000003</v>
      </c>
      <c r="BC25" s="4">
        <v>5.0000000000000001E-3</v>
      </c>
      <c r="BD25" s="5"/>
      <c r="BE25" s="5"/>
      <c r="BF25" s="5"/>
      <c r="BG25" s="5"/>
      <c r="BI25" s="4" t="s">
        <v>53</v>
      </c>
      <c r="BJ25" s="4">
        <v>0.9</v>
      </c>
      <c r="BK25" s="4">
        <v>0.5</v>
      </c>
      <c r="BL25" s="4">
        <v>0.6</v>
      </c>
      <c r="BM25" s="4">
        <v>0.73</v>
      </c>
      <c r="BN25" s="4">
        <v>1093.250732</v>
      </c>
      <c r="BO25" s="4">
        <v>3.2000000000000001E-2</v>
      </c>
      <c r="BQ25" s="4" t="s">
        <v>53</v>
      </c>
      <c r="BR25" s="4">
        <v>0.9</v>
      </c>
      <c r="BS25" s="4">
        <v>0.5</v>
      </c>
      <c r="BT25" s="4">
        <v>0.6</v>
      </c>
      <c r="BU25" s="4">
        <v>0.32</v>
      </c>
      <c r="BV25" s="6">
        <v>925.33801300000005</v>
      </c>
      <c r="BW25" s="4">
        <v>1.7000000000000001E-2</v>
      </c>
      <c r="BX25" s="5"/>
      <c r="BY25" s="5"/>
      <c r="BZ25" s="5"/>
      <c r="CA25" s="5"/>
    </row>
    <row r="26" spans="1:79" x14ac:dyDescent="0.3">
      <c r="A26" s="4" t="s">
        <v>54</v>
      </c>
      <c r="B26" s="4">
        <v>0.9</v>
      </c>
      <c r="C26" s="4">
        <v>0.5</v>
      </c>
      <c r="D26" s="4">
        <v>0.6</v>
      </c>
      <c r="E26" s="4">
        <v>0.7</v>
      </c>
      <c r="F26" s="4">
        <v>586.57788100000005</v>
      </c>
      <c r="G26" s="4">
        <v>1.9E-2</v>
      </c>
      <c r="I26" s="4" t="s">
        <v>54</v>
      </c>
      <c r="J26" s="4">
        <v>0.9</v>
      </c>
      <c r="K26" s="4">
        <v>0.5</v>
      </c>
      <c r="L26" s="4">
        <v>0.6</v>
      </c>
      <c r="M26" s="4">
        <v>0.45</v>
      </c>
      <c r="N26" s="6">
        <v>537.61804199999995</v>
      </c>
      <c r="O26" s="4">
        <v>0</v>
      </c>
      <c r="P26" s="5"/>
      <c r="Q26" s="5"/>
      <c r="R26" s="5"/>
      <c r="S26" s="5"/>
      <c r="U26" s="4" t="s">
        <v>54</v>
      </c>
      <c r="V26" s="4">
        <v>0.9</v>
      </c>
      <c r="W26" s="4">
        <v>0.5</v>
      </c>
      <c r="X26" s="4">
        <v>0.6</v>
      </c>
      <c r="Y26" s="4">
        <v>0.22</v>
      </c>
      <c r="Z26" s="4">
        <v>535.27423099999999</v>
      </c>
      <c r="AA26" s="4">
        <v>8.9999999999999993E-3</v>
      </c>
      <c r="AC26" s="4" t="s">
        <v>54</v>
      </c>
      <c r="AD26" s="4">
        <v>0.9</v>
      </c>
      <c r="AE26" s="4">
        <v>0.5</v>
      </c>
      <c r="AF26" s="4">
        <v>0.6</v>
      </c>
      <c r="AG26" s="4">
        <v>0.37</v>
      </c>
      <c r="AH26" s="6">
        <v>518.181152</v>
      </c>
      <c r="AI26" s="4">
        <v>1E-3</v>
      </c>
      <c r="AJ26" s="5"/>
      <c r="AK26" s="5"/>
      <c r="AL26" s="5"/>
      <c r="AM26" s="5"/>
      <c r="AO26" s="4" t="s">
        <v>55</v>
      </c>
      <c r="AP26" s="4">
        <v>0.9</v>
      </c>
      <c r="AQ26" s="4">
        <v>0.5</v>
      </c>
      <c r="AR26" s="4">
        <v>0.6</v>
      </c>
      <c r="AS26" s="4">
        <v>0.51</v>
      </c>
      <c r="AT26" s="4">
        <v>1021.463928</v>
      </c>
      <c r="AU26" s="4">
        <v>4.1000000000000002E-2</v>
      </c>
      <c r="AW26" s="4" t="s">
        <v>55</v>
      </c>
      <c r="AX26" s="4">
        <v>0.9</v>
      </c>
      <c r="AY26" s="4">
        <v>0.5</v>
      </c>
      <c r="AZ26" s="4">
        <v>0.6</v>
      </c>
      <c r="BA26" s="4">
        <v>0.3</v>
      </c>
      <c r="BB26" s="6">
        <v>962.67724599999997</v>
      </c>
      <c r="BC26" s="4">
        <v>4.0000000000000001E-3</v>
      </c>
      <c r="BD26" s="5"/>
      <c r="BE26" s="5"/>
      <c r="BF26" s="5"/>
      <c r="BG26" s="5"/>
      <c r="BI26" s="4" t="s">
        <v>55</v>
      </c>
      <c r="BJ26" s="4">
        <v>0.9</v>
      </c>
      <c r="BK26" s="4">
        <v>0.5</v>
      </c>
      <c r="BL26" s="4">
        <v>0.6</v>
      </c>
      <c r="BM26" s="4">
        <v>0.17</v>
      </c>
      <c r="BN26" s="6">
        <v>843.37316899999996</v>
      </c>
      <c r="BO26" s="4">
        <v>1.7999999999999999E-2</v>
      </c>
      <c r="BQ26" s="4" t="s">
        <v>55</v>
      </c>
      <c r="BR26" s="4">
        <v>0.9</v>
      </c>
      <c r="BS26" s="4">
        <v>0.5</v>
      </c>
      <c r="BT26" s="4">
        <v>0.6</v>
      </c>
      <c r="BU26" s="4">
        <v>0.33</v>
      </c>
      <c r="BV26" s="4">
        <v>950.68029799999999</v>
      </c>
      <c r="BW26" s="4">
        <v>4.0000000000000001E-3</v>
      </c>
      <c r="BX26" s="5"/>
      <c r="BY26" s="5"/>
      <c r="BZ26" s="5"/>
      <c r="CA26" s="5"/>
    </row>
    <row r="27" spans="1:79" x14ac:dyDescent="0.3">
      <c r="A27" s="4" t="s">
        <v>56</v>
      </c>
      <c r="B27" s="4">
        <v>0.9</v>
      </c>
      <c r="C27" s="4">
        <v>0.5</v>
      </c>
      <c r="D27" s="4">
        <v>0.6</v>
      </c>
      <c r="E27" s="4">
        <v>0.14000000000000001</v>
      </c>
      <c r="F27" s="8">
        <v>451.63757299999997</v>
      </c>
      <c r="G27" s="4">
        <v>1.7000000000000001E-2</v>
      </c>
      <c r="I27" s="4" t="s">
        <v>56</v>
      </c>
      <c r="J27" s="4">
        <v>0.9</v>
      </c>
      <c r="K27" s="4">
        <v>0.5</v>
      </c>
      <c r="L27" s="4">
        <v>0.6</v>
      </c>
      <c r="M27" s="4">
        <v>0.43</v>
      </c>
      <c r="N27" s="6">
        <v>451.229401</v>
      </c>
      <c r="O27" s="4">
        <v>1E-3</v>
      </c>
      <c r="P27" s="5"/>
      <c r="Q27" s="5"/>
      <c r="R27" s="5"/>
      <c r="S27" s="5"/>
      <c r="U27" s="4" t="s">
        <v>56</v>
      </c>
      <c r="V27" s="4">
        <v>0.9</v>
      </c>
      <c r="W27" s="4">
        <v>0.5</v>
      </c>
      <c r="X27" s="4">
        <v>0.6</v>
      </c>
      <c r="Y27" s="4">
        <v>0.64</v>
      </c>
      <c r="Z27" s="4">
        <v>455.023346</v>
      </c>
      <c r="AA27" s="4">
        <v>8.0000000000000002E-3</v>
      </c>
      <c r="AC27" s="4" t="s">
        <v>56</v>
      </c>
      <c r="AD27" s="4">
        <v>0.9</v>
      </c>
      <c r="AE27" s="4">
        <v>0.5</v>
      </c>
      <c r="AF27" s="4">
        <v>0.6</v>
      </c>
      <c r="AG27" s="4">
        <v>0.3</v>
      </c>
      <c r="AH27" s="6">
        <v>430.00228900000002</v>
      </c>
      <c r="AI27" s="4">
        <v>0</v>
      </c>
      <c r="AJ27" s="5"/>
      <c r="AK27" s="5"/>
      <c r="AL27" s="5"/>
      <c r="AM27" s="5"/>
      <c r="AO27" s="4" t="s">
        <v>57</v>
      </c>
      <c r="AP27" s="4">
        <v>0.9</v>
      </c>
      <c r="AQ27" s="4">
        <v>0.5</v>
      </c>
      <c r="AR27" s="4">
        <v>0.6</v>
      </c>
      <c r="AS27" s="4">
        <v>0.75</v>
      </c>
      <c r="AT27" s="4">
        <v>1111.0966800000001</v>
      </c>
      <c r="AU27" s="4">
        <v>2.3E-2</v>
      </c>
      <c r="AW27" s="4" t="s">
        <v>57</v>
      </c>
      <c r="AX27" s="4">
        <v>0.9</v>
      </c>
      <c r="AY27" s="4">
        <v>0.5</v>
      </c>
      <c r="AZ27" s="4">
        <v>0.6</v>
      </c>
      <c r="BA27" s="4">
        <v>0.32</v>
      </c>
      <c r="BB27" s="6">
        <v>941.57556199999999</v>
      </c>
      <c r="BC27" s="4">
        <v>5.0000000000000001E-3</v>
      </c>
      <c r="BD27" s="5"/>
      <c r="BE27" s="5"/>
      <c r="BF27" s="5"/>
      <c r="BG27" s="5"/>
      <c r="BI27" s="4" t="s">
        <v>57</v>
      </c>
      <c r="BJ27" s="4">
        <v>0.9</v>
      </c>
      <c r="BK27" s="4">
        <v>0.5</v>
      </c>
      <c r="BL27" s="4">
        <v>0.6</v>
      </c>
      <c r="BM27" s="4">
        <v>0.94</v>
      </c>
      <c r="BN27" s="4">
        <v>1138.8374020000001</v>
      </c>
      <c r="BO27" s="4">
        <v>1.7000000000000001E-2</v>
      </c>
      <c r="BQ27" s="4" t="s">
        <v>57</v>
      </c>
      <c r="BR27" s="4">
        <v>0.9</v>
      </c>
      <c r="BS27" s="4">
        <v>0.5</v>
      </c>
      <c r="BT27" s="4">
        <v>0.6</v>
      </c>
      <c r="BU27" s="4">
        <v>0.3</v>
      </c>
      <c r="BV27" s="6">
        <v>902.93060300000002</v>
      </c>
      <c r="BW27" s="4">
        <v>5.0000000000000001E-3</v>
      </c>
      <c r="BX27" s="5"/>
      <c r="BY27" s="5"/>
      <c r="BZ27" s="5"/>
      <c r="CA27" s="5"/>
    </row>
    <row r="28" spans="1:79" x14ac:dyDescent="0.3">
      <c r="A28" s="4" t="s">
        <v>58</v>
      </c>
      <c r="B28" s="4">
        <v>0.9</v>
      </c>
      <c r="C28" s="4">
        <v>0.5</v>
      </c>
      <c r="D28" s="4">
        <v>0.6</v>
      </c>
      <c r="E28" s="4">
        <v>0.02</v>
      </c>
      <c r="F28" s="4">
        <v>487.14477499999998</v>
      </c>
      <c r="G28" s="4">
        <v>2.1999999999999999E-2</v>
      </c>
      <c r="I28" s="4" t="s">
        <v>58</v>
      </c>
      <c r="J28" s="4">
        <v>0.9</v>
      </c>
      <c r="K28" s="4">
        <v>0.5</v>
      </c>
      <c r="L28" s="4">
        <v>0.6</v>
      </c>
      <c r="M28" s="4">
        <v>0.33</v>
      </c>
      <c r="N28" s="6">
        <v>458.30166600000001</v>
      </c>
      <c r="O28" s="4">
        <v>1E-3</v>
      </c>
      <c r="P28" s="5"/>
      <c r="Q28" s="5"/>
      <c r="R28" s="5"/>
      <c r="S28" s="5"/>
      <c r="U28" s="4" t="s">
        <v>58</v>
      </c>
      <c r="V28" s="4">
        <v>0.9</v>
      </c>
      <c r="W28" s="4">
        <v>0.5</v>
      </c>
      <c r="X28" s="4">
        <v>0.6</v>
      </c>
      <c r="Y28" s="4">
        <v>0.96</v>
      </c>
      <c r="Z28" s="4">
        <v>533.95043899999996</v>
      </c>
      <c r="AA28" s="4">
        <v>8.9999999999999993E-3</v>
      </c>
      <c r="AC28" s="4" t="s">
        <v>58</v>
      </c>
      <c r="AD28" s="4">
        <v>0.9</v>
      </c>
      <c r="AE28" s="4">
        <v>0.5</v>
      </c>
      <c r="AF28" s="4">
        <v>0.6</v>
      </c>
      <c r="AG28" s="4">
        <v>0.46</v>
      </c>
      <c r="AH28" s="6">
        <v>442.56994600000002</v>
      </c>
      <c r="AI28" s="4">
        <v>0</v>
      </c>
      <c r="AJ28" s="5"/>
      <c r="AK28" s="5"/>
      <c r="AL28" s="5"/>
      <c r="AM28" s="5"/>
      <c r="AO28" s="4" t="s">
        <v>59</v>
      </c>
      <c r="AP28" s="4">
        <v>0.9</v>
      </c>
      <c r="AQ28" s="4">
        <v>0.5</v>
      </c>
      <c r="AR28" s="4">
        <v>0.6</v>
      </c>
      <c r="AS28" s="4">
        <v>0.28000000000000003</v>
      </c>
      <c r="AT28" s="6">
        <v>865.863831</v>
      </c>
      <c r="AU28" s="4">
        <v>2.5000000000000001E-2</v>
      </c>
      <c r="AW28" s="4" t="s">
        <v>59</v>
      </c>
      <c r="AX28" s="4">
        <v>0.9</v>
      </c>
      <c r="AY28" s="4">
        <v>0.5</v>
      </c>
      <c r="AZ28" s="4">
        <v>0.6</v>
      </c>
      <c r="BA28" s="4">
        <v>0.31</v>
      </c>
      <c r="BB28" s="4">
        <v>871.91888400000005</v>
      </c>
      <c r="BC28" s="4">
        <v>4.0000000000000001E-3</v>
      </c>
      <c r="BD28" s="5"/>
      <c r="BE28" s="5"/>
      <c r="BF28" s="5"/>
      <c r="BG28" s="5"/>
      <c r="BI28" s="4" t="s">
        <v>59</v>
      </c>
      <c r="BJ28" s="4">
        <v>0.9</v>
      </c>
      <c r="BK28" s="4">
        <v>0.5</v>
      </c>
      <c r="BL28" s="4">
        <v>0.6</v>
      </c>
      <c r="BM28" s="4">
        <v>0.35</v>
      </c>
      <c r="BN28" s="4">
        <v>881.48053000000004</v>
      </c>
      <c r="BO28" s="4">
        <v>1.0999999999999999E-2</v>
      </c>
      <c r="BQ28" s="4" t="s">
        <v>59</v>
      </c>
      <c r="BR28" s="4">
        <v>0.9</v>
      </c>
      <c r="BS28" s="4">
        <v>0.5</v>
      </c>
      <c r="BT28" s="4">
        <v>0.6</v>
      </c>
      <c r="BU28" s="4">
        <v>0.36</v>
      </c>
      <c r="BV28" s="6">
        <v>871.132385</v>
      </c>
      <c r="BW28" s="4">
        <v>4.0000000000000001E-3</v>
      </c>
      <c r="BX28" s="5"/>
      <c r="BY28" s="5"/>
      <c r="BZ28" s="5"/>
      <c r="CA28" s="5"/>
    </row>
    <row r="29" spans="1:79" x14ac:dyDescent="0.3">
      <c r="A29" s="4" t="s">
        <v>60</v>
      </c>
      <c r="B29" s="4">
        <v>0.9</v>
      </c>
      <c r="C29" s="4">
        <v>0.5</v>
      </c>
      <c r="D29" s="4">
        <v>0.6</v>
      </c>
      <c r="E29" s="4">
        <v>0.96</v>
      </c>
      <c r="F29" s="4">
        <v>616.73663299999998</v>
      </c>
      <c r="G29" s="4">
        <v>0.02</v>
      </c>
      <c r="I29" s="4" t="s">
        <v>60</v>
      </c>
      <c r="J29" s="4">
        <v>0.9</v>
      </c>
      <c r="K29" s="4">
        <v>0.5</v>
      </c>
      <c r="L29" s="4">
        <v>0.6</v>
      </c>
      <c r="M29" s="4">
        <v>0.4</v>
      </c>
      <c r="N29" s="6">
        <v>601.09368900000004</v>
      </c>
      <c r="O29" s="4">
        <v>1E-3</v>
      </c>
      <c r="P29" s="5"/>
      <c r="Q29" s="5"/>
      <c r="R29" s="5"/>
      <c r="S29" s="5"/>
      <c r="U29" s="4" t="s">
        <v>60</v>
      </c>
      <c r="V29" s="4">
        <v>0.9</v>
      </c>
      <c r="W29" s="4">
        <v>0.5</v>
      </c>
      <c r="X29" s="4">
        <v>0.6</v>
      </c>
      <c r="Y29" s="4">
        <v>0.03</v>
      </c>
      <c r="Z29" s="4">
        <v>613.99249299999997</v>
      </c>
      <c r="AA29" s="4">
        <v>1.4E-2</v>
      </c>
      <c r="AC29" s="4" t="s">
        <v>60</v>
      </c>
      <c r="AD29" s="4">
        <v>0.9</v>
      </c>
      <c r="AE29" s="4">
        <v>0.5</v>
      </c>
      <c r="AF29" s="4">
        <v>0.6</v>
      </c>
      <c r="AG29" s="4">
        <v>0.32</v>
      </c>
      <c r="AH29" s="6">
        <v>559.75079300000004</v>
      </c>
      <c r="AI29" s="4">
        <v>0</v>
      </c>
      <c r="AJ29" s="5"/>
      <c r="AK29" s="5"/>
      <c r="AL29" s="5"/>
      <c r="AM29" s="5"/>
      <c r="AO29" s="4" t="s">
        <v>61</v>
      </c>
      <c r="AP29" s="4">
        <v>0.9</v>
      </c>
      <c r="AQ29" s="4">
        <v>0.5</v>
      </c>
      <c r="AR29" s="4">
        <v>0.6</v>
      </c>
      <c r="AS29" s="4">
        <v>0.73</v>
      </c>
      <c r="AT29" s="4">
        <v>1201.4674070000001</v>
      </c>
      <c r="AU29" s="4">
        <v>4.4999999999999998E-2</v>
      </c>
      <c r="AW29" s="4" t="s">
        <v>61</v>
      </c>
      <c r="AX29" s="4">
        <v>0.9</v>
      </c>
      <c r="AY29" s="4">
        <v>0.5</v>
      </c>
      <c r="AZ29" s="4">
        <v>0.6</v>
      </c>
      <c r="BA29" s="4">
        <v>0.35</v>
      </c>
      <c r="BB29" s="6">
        <v>1013.297058</v>
      </c>
      <c r="BC29" s="4">
        <v>5.0000000000000001E-3</v>
      </c>
      <c r="BD29" s="5"/>
      <c r="BE29" s="5"/>
      <c r="BF29" s="5"/>
      <c r="BG29" s="5"/>
      <c r="BI29" s="4" t="s">
        <v>61</v>
      </c>
      <c r="BJ29" s="4">
        <v>0.9</v>
      </c>
      <c r="BK29" s="4">
        <v>0.5</v>
      </c>
      <c r="BL29" s="4">
        <v>0.6</v>
      </c>
      <c r="BM29" s="4">
        <v>0.56999999999999995</v>
      </c>
      <c r="BN29" s="4">
        <v>1103.3013920000001</v>
      </c>
      <c r="BO29" s="4">
        <v>2.3E-2</v>
      </c>
      <c r="BQ29" s="4" t="s">
        <v>61</v>
      </c>
      <c r="BR29" s="4">
        <v>0.9</v>
      </c>
      <c r="BS29" s="4">
        <v>0.5</v>
      </c>
      <c r="BT29" s="4">
        <v>0.6</v>
      </c>
      <c r="BU29" s="4">
        <v>0.31</v>
      </c>
      <c r="BV29" s="6">
        <v>990.26507600000002</v>
      </c>
      <c r="BW29" s="4">
        <v>6.0000000000000001E-3</v>
      </c>
      <c r="BX29" s="5"/>
      <c r="BY29" s="5"/>
      <c r="BZ29" s="5"/>
      <c r="CA29" s="5"/>
    </row>
    <row r="30" spans="1:79" x14ac:dyDescent="0.3">
      <c r="A30" s="4" t="s">
        <v>62</v>
      </c>
      <c r="B30" s="4">
        <v>0.9</v>
      </c>
      <c r="C30" s="4">
        <v>0.5</v>
      </c>
      <c r="D30" s="4">
        <v>0.6</v>
      </c>
      <c r="E30" s="4">
        <v>0.65</v>
      </c>
      <c r="F30" s="4">
        <v>415.38476600000001</v>
      </c>
      <c r="G30" s="4">
        <v>1.2999999999999999E-2</v>
      </c>
      <c r="I30" s="4" t="s">
        <v>62</v>
      </c>
      <c r="J30" s="4">
        <v>0.9</v>
      </c>
      <c r="K30" s="4">
        <v>0.5</v>
      </c>
      <c r="L30" s="4">
        <v>0.6</v>
      </c>
      <c r="M30" s="4">
        <v>0.34</v>
      </c>
      <c r="N30" s="6">
        <v>394.30676299999999</v>
      </c>
      <c r="O30" s="4">
        <v>0</v>
      </c>
      <c r="P30" s="5"/>
      <c r="Q30" s="5"/>
      <c r="R30" s="5"/>
      <c r="S30" s="5"/>
      <c r="U30" s="4" t="s">
        <v>62</v>
      </c>
      <c r="V30" s="4">
        <v>0.9</v>
      </c>
      <c r="W30" s="4">
        <v>0.5</v>
      </c>
      <c r="X30" s="4">
        <v>0.6</v>
      </c>
      <c r="Y30" s="4">
        <v>0.41</v>
      </c>
      <c r="Z30" s="6">
        <v>380.51156600000002</v>
      </c>
      <c r="AA30" s="4">
        <v>2.5999999999999999E-2</v>
      </c>
      <c r="AC30" s="4" t="s">
        <v>62</v>
      </c>
      <c r="AD30" s="4">
        <v>0.9</v>
      </c>
      <c r="AE30" s="4">
        <v>0.5</v>
      </c>
      <c r="AF30" s="4">
        <v>0.6</v>
      </c>
      <c r="AG30" s="4">
        <v>0.34</v>
      </c>
      <c r="AH30" s="8">
        <v>380.51156600000002</v>
      </c>
      <c r="AI30" s="4">
        <v>0</v>
      </c>
      <c r="AJ30" s="5"/>
      <c r="AK30" s="5"/>
      <c r="AL30" s="5"/>
      <c r="AM30" s="5"/>
      <c r="AO30" s="4" t="s">
        <v>63</v>
      </c>
      <c r="AP30" s="4">
        <v>0.9</v>
      </c>
      <c r="AQ30" s="4">
        <v>0.5</v>
      </c>
      <c r="AR30" s="4">
        <v>0.6</v>
      </c>
      <c r="AS30" s="4">
        <v>0.79</v>
      </c>
      <c r="AT30" s="4">
        <v>1126.302856</v>
      </c>
      <c r="AU30" s="4">
        <v>1.4999999999999999E-2</v>
      </c>
      <c r="AW30" s="4" t="s">
        <v>63</v>
      </c>
      <c r="AX30" s="4">
        <v>0.9</v>
      </c>
      <c r="AY30" s="4">
        <v>0.5</v>
      </c>
      <c r="AZ30" s="4">
        <v>0.6</v>
      </c>
      <c r="BA30" s="4">
        <v>0.32</v>
      </c>
      <c r="BB30" s="6">
        <v>977.73584000000005</v>
      </c>
      <c r="BC30" s="4">
        <v>4.0000000000000001E-3</v>
      </c>
      <c r="BD30" s="5"/>
      <c r="BE30" s="5"/>
      <c r="BF30" s="5"/>
      <c r="BG30" s="5"/>
      <c r="BI30" s="4" t="s">
        <v>63</v>
      </c>
      <c r="BJ30" s="4">
        <v>0.9</v>
      </c>
      <c r="BK30" s="4">
        <v>0.5</v>
      </c>
      <c r="BL30" s="4">
        <v>0.6</v>
      </c>
      <c r="BM30" s="4">
        <v>0.18</v>
      </c>
      <c r="BN30" s="6">
        <v>815.48504600000001</v>
      </c>
      <c r="BO30" s="4">
        <v>1.0999999999999999E-2</v>
      </c>
      <c r="BQ30" s="4" t="s">
        <v>63</v>
      </c>
      <c r="BR30" s="4">
        <v>0.9</v>
      </c>
      <c r="BS30" s="4">
        <v>0.5</v>
      </c>
      <c r="BT30" s="4">
        <v>0.6</v>
      </c>
      <c r="BU30" s="4">
        <v>0.32</v>
      </c>
      <c r="BV30" s="4">
        <v>956.59252900000001</v>
      </c>
      <c r="BW30" s="4">
        <v>5.0000000000000001E-3</v>
      </c>
      <c r="BX30" s="5"/>
      <c r="BY30" s="5"/>
      <c r="BZ30" s="5"/>
      <c r="CA30" s="5"/>
    </row>
    <row r="31" spans="1:79" x14ac:dyDescent="0.3">
      <c r="A31" s="4" t="s">
        <v>64</v>
      </c>
      <c r="B31" s="4">
        <v>0.9</v>
      </c>
      <c r="C31" s="4">
        <v>0.5</v>
      </c>
      <c r="D31" s="4">
        <v>0.6</v>
      </c>
      <c r="E31" s="4">
        <v>0.06</v>
      </c>
      <c r="F31" s="4">
        <v>589.04247999999995</v>
      </c>
      <c r="G31" s="4">
        <v>7.0000000000000001E-3</v>
      </c>
      <c r="I31" s="4" t="s">
        <v>64</v>
      </c>
      <c r="J31" s="4">
        <v>0.9</v>
      </c>
      <c r="K31" s="4">
        <v>0.5</v>
      </c>
      <c r="L31" s="4">
        <v>0.6</v>
      </c>
      <c r="M31" s="4">
        <v>0.31</v>
      </c>
      <c r="N31" s="6">
        <v>554.31097399999999</v>
      </c>
      <c r="O31" s="4">
        <v>1E-3</v>
      </c>
      <c r="P31" s="5"/>
      <c r="Q31" s="5"/>
      <c r="R31" s="5"/>
      <c r="S31" s="5"/>
      <c r="U31" s="4" t="s">
        <v>64</v>
      </c>
      <c r="V31" s="4">
        <v>0.9</v>
      </c>
      <c r="W31" s="4">
        <v>0.5</v>
      </c>
      <c r="X31" s="4">
        <v>0.6</v>
      </c>
      <c r="Y31" s="4">
        <v>0.98</v>
      </c>
      <c r="Z31" s="4">
        <v>617.44872999999995</v>
      </c>
      <c r="AA31" s="4">
        <v>1.0999999999999999E-2</v>
      </c>
      <c r="AC31" s="4" t="s">
        <v>64</v>
      </c>
      <c r="AD31" s="4">
        <v>0.9</v>
      </c>
      <c r="AE31" s="4">
        <v>0.5</v>
      </c>
      <c r="AF31" s="4">
        <v>0.6</v>
      </c>
      <c r="AG31" s="4">
        <v>0.3</v>
      </c>
      <c r="AH31" s="6">
        <v>548.44744900000001</v>
      </c>
      <c r="AI31" s="4">
        <v>1E-3</v>
      </c>
      <c r="AJ31" s="5"/>
      <c r="AK31" s="5"/>
      <c r="AL31" s="5"/>
      <c r="AM31" s="5"/>
      <c r="AO31" s="4" t="s">
        <v>65</v>
      </c>
      <c r="AP31" s="4">
        <v>0.9</v>
      </c>
      <c r="AQ31" s="4">
        <v>0.5</v>
      </c>
      <c r="AR31" s="4">
        <v>0.6</v>
      </c>
      <c r="AS31" s="4">
        <v>0.16</v>
      </c>
      <c r="AT31" s="6">
        <v>839.11273200000005</v>
      </c>
      <c r="AU31" s="4">
        <v>1.2999999999999999E-2</v>
      </c>
      <c r="AW31" s="4" t="s">
        <v>65</v>
      </c>
      <c r="AX31" s="4">
        <v>0.9</v>
      </c>
      <c r="AY31" s="4">
        <v>0.5</v>
      </c>
      <c r="AZ31" s="4">
        <v>0.6</v>
      </c>
      <c r="BA31" s="4">
        <v>0.41</v>
      </c>
      <c r="BB31" s="4">
        <v>922.66888400000005</v>
      </c>
      <c r="BC31" s="4">
        <v>5.0000000000000001E-3</v>
      </c>
      <c r="BD31" s="5"/>
      <c r="BE31" s="5"/>
      <c r="BF31" s="5"/>
      <c r="BG31" s="5"/>
      <c r="BI31" s="4" t="s">
        <v>65</v>
      </c>
      <c r="BJ31" s="4">
        <v>0.9</v>
      </c>
      <c r="BK31" s="4">
        <v>0.5</v>
      </c>
      <c r="BL31" s="4">
        <v>0.6</v>
      </c>
      <c r="BM31" s="4">
        <v>0.04</v>
      </c>
      <c r="BN31" s="6">
        <v>766.56213400000001</v>
      </c>
      <c r="BO31" s="4">
        <v>1.7000000000000001E-2</v>
      </c>
      <c r="BQ31" s="4" t="s">
        <v>65</v>
      </c>
      <c r="BR31" s="4">
        <v>0.9</v>
      </c>
      <c r="BS31" s="4">
        <v>0.5</v>
      </c>
      <c r="BT31" s="4">
        <v>0.6</v>
      </c>
      <c r="BU31" s="4">
        <v>0.38</v>
      </c>
      <c r="BV31" s="4">
        <v>923.75964399999998</v>
      </c>
      <c r="BW31" s="4">
        <v>5.0000000000000001E-3</v>
      </c>
      <c r="BX31" s="5"/>
      <c r="BY31" s="5"/>
      <c r="BZ31" s="5"/>
      <c r="CA31" s="5"/>
    </row>
    <row r="32" spans="1:79" x14ac:dyDescent="0.3">
      <c r="A32" s="4" t="s">
        <v>66</v>
      </c>
      <c r="B32" s="4">
        <v>0.9</v>
      </c>
      <c r="C32" s="4">
        <v>0.5</v>
      </c>
      <c r="D32" s="4">
        <v>0.6</v>
      </c>
      <c r="E32" s="4">
        <v>0.45</v>
      </c>
      <c r="F32" s="4">
        <v>526.229919</v>
      </c>
      <c r="G32" s="4">
        <v>1.2E-2</v>
      </c>
      <c r="I32" s="4" t="s">
        <v>66</v>
      </c>
      <c r="J32" s="4">
        <v>0.9</v>
      </c>
      <c r="K32" s="4">
        <v>0.5</v>
      </c>
      <c r="L32" s="4">
        <v>0.6</v>
      </c>
      <c r="M32" s="4">
        <v>0.34</v>
      </c>
      <c r="N32" s="6">
        <v>509.14325000000002</v>
      </c>
      <c r="O32" s="4">
        <v>1E-3</v>
      </c>
      <c r="P32" s="5"/>
      <c r="Q32" s="5"/>
      <c r="R32" s="5"/>
      <c r="S32" s="5"/>
      <c r="U32" s="4" t="s">
        <v>66</v>
      </c>
      <c r="V32" s="4">
        <v>0.9</v>
      </c>
      <c r="W32" s="4">
        <v>0.5</v>
      </c>
      <c r="X32" s="4">
        <v>0.6</v>
      </c>
      <c r="Y32" s="4">
        <v>0.56000000000000005</v>
      </c>
      <c r="Z32" s="4">
        <v>516.986267</v>
      </c>
      <c r="AA32" s="4">
        <v>1.4E-2</v>
      </c>
      <c r="AC32" s="4" t="s">
        <v>66</v>
      </c>
      <c r="AD32" s="4">
        <v>0.9</v>
      </c>
      <c r="AE32" s="4">
        <v>0.5</v>
      </c>
      <c r="AF32" s="4">
        <v>0.6</v>
      </c>
      <c r="AG32" s="4">
        <v>0.39</v>
      </c>
      <c r="AH32" s="6">
        <v>474.60919200000001</v>
      </c>
      <c r="AI32" s="4">
        <v>1E-3</v>
      </c>
      <c r="AJ32" s="5"/>
      <c r="AK32" s="5"/>
      <c r="AL32" s="5"/>
      <c r="AM32" s="5"/>
      <c r="AO32" s="4" t="s">
        <v>67</v>
      </c>
      <c r="AP32" s="4">
        <v>0.9</v>
      </c>
      <c r="AQ32" s="4">
        <v>0.5</v>
      </c>
      <c r="AR32" s="4">
        <v>0.6</v>
      </c>
      <c r="AS32" s="4">
        <v>0.59</v>
      </c>
      <c r="AT32" s="4">
        <v>1099.721802</v>
      </c>
      <c r="AU32" s="4">
        <v>0.02</v>
      </c>
      <c r="AW32" s="4" t="s">
        <v>67</v>
      </c>
      <c r="AX32" s="4">
        <v>0.9</v>
      </c>
      <c r="AY32" s="4">
        <v>0.5</v>
      </c>
      <c r="AZ32" s="4">
        <v>0.6</v>
      </c>
      <c r="BA32" s="4">
        <v>0.32</v>
      </c>
      <c r="BB32" s="6">
        <v>978.05761700000005</v>
      </c>
      <c r="BC32" s="4">
        <v>5.0000000000000001E-3</v>
      </c>
      <c r="BD32" s="5"/>
      <c r="BE32" s="5"/>
      <c r="BF32" s="5"/>
      <c r="BG32" s="5"/>
      <c r="BI32" s="4" t="s">
        <v>67</v>
      </c>
      <c r="BJ32" s="4">
        <v>0.9</v>
      </c>
      <c r="BK32" s="4">
        <v>0.5</v>
      </c>
      <c r="BL32" s="4">
        <v>0.6</v>
      </c>
      <c r="BM32" s="4">
        <v>0.97</v>
      </c>
      <c r="BN32" s="4">
        <v>1197.5217290000001</v>
      </c>
      <c r="BO32" s="4">
        <v>1.2E-2</v>
      </c>
      <c r="BQ32" s="4" t="s">
        <v>67</v>
      </c>
      <c r="BR32" s="4">
        <v>0.9</v>
      </c>
      <c r="BS32" s="4">
        <v>0.5</v>
      </c>
      <c r="BT32" s="4">
        <v>0.6</v>
      </c>
      <c r="BU32" s="4">
        <v>0.36</v>
      </c>
      <c r="BV32" s="6">
        <v>970.29284700000005</v>
      </c>
      <c r="BW32" s="4">
        <v>5.0000000000000001E-3</v>
      </c>
      <c r="BX32" s="5"/>
      <c r="BY32" s="5"/>
      <c r="BZ32" s="5"/>
      <c r="CA32" s="5"/>
    </row>
    <row r="33" spans="1:79" x14ac:dyDescent="0.3">
      <c r="A33" s="4" t="s">
        <v>68</v>
      </c>
      <c r="B33" s="4">
        <v>0.9</v>
      </c>
      <c r="C33" s="4">
        <v>0.5</v>
      </c>
      <c r="D33" s="4">
        <v>0.6</v>
      </c>
      <c r="E33" s="4">
        <v>0.15</v>
      </c>
      <c r="F33" s="4">
        <v>397.60961900000001</v>
      </c>
      <c r="G33" s="4">
        <v>1.2999999999999999E-2</v>
      </c>
      <c r="I33" s="4" t="s">
        <v>68</v>
      </c>
      <c r="J33" s="4">
        <v>0.9</v>
      </c>
      <c r="K33" s="4">
        <v>0.5</v>
      </c>
      <c r="L33" s="4">
        <v>0.6</v>
      </c>
      <c r="M33" s="4">
        <v>0.34</v>
      </c>
      <c r="N33" s="6">
        <v>391.43301400000001</v>
      </c>
      <c r="O33" s="4">
        <v>0</v>
      </c>
      <c r="P33" s="5"/>
      <c r="Q33" s="5"/>
      <c r="R33" s="5"/>
      <c r="S33" s="5"/>
      <c r="U33" s="4" t="s">
        <v>68</v>
      </c>
      <c r="V33" s="4">
        <v>0.9</v>
      </c>
      <c r="W33" s="4">
        <v>0.5</v>
      </c>
      <c r="X33" s="4">
        <v>0.6</v>
      </c>
      <c r="Y33" s="4">
        <v>0.56000000000000005</v>
      </c>
      <c r="Z33" s="4">
        <v>381.56494099999998</v>
      </c>
      <c r="AA33" s="4">
        <v>8.0000000000000002E-3</v>
      </c>
      <c r="AC33" s="4" t="s">
        <v>68</v>
      </c>
      <c r="AD33" s="4">
        <v>0.9</v>
      </c>
      <c r="AE33" s="4">
        <v>0.5</v>
      </c>
      <c r="AF33" s="4">
        <v>0.6</v>
      </c>
      <c r="AG33" s="4">
        <v>0.48</v>
      </c>
      <c r="AH33" s="6">
        <v>375.23397799999998</v>
      </c>
      <c r="AI33" s="4">
        <v>1E-3</v>
      </c>
      <c r="AJ33" s="5"/>
      <c r="AK33" s="5"/>
      <c r="AL33" s="5"/>
      <c r="AM33" s="5"/>
      <c r="AO33" s="4" t="s">
        <v>69</v>
      </c>
      <c r="AP33" s="4">
        <v>0.9</v>
      </c>
      <c r="AQ33" s="4">
        <v>0.5</v>
      </c>
      <c r="AR33" s="4">
        <v>0.6</v>
      </c>
      <c r="AS33" s="4">
        <v>0.03</v>
      </c>
      <c r="AT33" s="6">
        <v>761.84149200000002</v>
      </c>
      <c r="AU33" s="4">
        <v>3.5000000000000003E-2</v>
      </c>
      <c r="AW33" s="4" t="s">
        <v>69</v>
      </c>
      <c r="AX33" s="4">
        <v>0.9</v>
      </c>
      <c r="AY33" s="4">
        <v>0.5</v>
      </c>
      <c r="AZ33" s="4">
        <v>0.6</v>
      </c>
      <c r="BA33" s="4">
        <v>0.32</v>
      </c>
      <c r="BB33" s="4">
        <v>984.48223900000005</v>
      </c>
      <c r="BC33" s="4">
        <v>4.0000000000000001E-3</v>
      </c>
      <c r="BD33" s="5"/>
      <c r="BE33" s="5"/>
      <c r="BF33" s="5"/>
      <c r="BG33" s="5"/>
      <c r="BI33" s="4" t="s">
        <v>69</v>
      </c>
      <c r="BJ33" s="4">
        <v>0.9</v>
      </c>
      <c r="BK33" s="4">
        <v>0.5</v>
      </c>
      <c r="BL33" s="4">
        <v>0.6</v>
      </c>
      <c r="BM33" s="4">
        <v>0.28999999999999998</v>
      </c>
      <c r="BN33" s="6">
        <v>951.292236</v>
      </c>
      <c r="BO33" s="4">
        <v>1.2999999999999999E-2</v>
      </c>
      <c r="BQ33" s="4" t="s">
        <v>69</v>
      </c>
      <c r="BR33" s="4">
        <v>0.9</v>
      </c>
      <c r="BS33" s="4">
        <v>0.5</v>
      </c>
      <c r="BT33" s="4">
        <v>0.6</v>
      </c>
      <c r="BU33" s="4">
        <v>0.3</v>
      </c>
      <c r="BV33" s="4">
        <v>954.09082000000001</v>
      </c>
      <c r="BW33" s="4">
        <v>5.0000000000000001E-3</v>
      </c>
      <c r="BX33" s="5"/>
      <c r="BY33" s="5"/>
      <c r="BZ33" s="5"/>
      <c r="CA33" s="5"/>
    </row>
    <row r="34" spans="1:79" x14ac:dyDescent="0.3">
      <c r="A34" s="14" t="s">
        <v>316</v>
      </c>
      <c r="E34" s="14">
        <f>AVERAGE(E4:E33)</f>
        <v>0.49533333333333335</v>
      </c>
      <c r="I34" s="4" t="s">
        <v>316</v>
      </c>
      <c r="M34" s="4">
        <f>AVERAGE(M4:M33)</f>
        <v>0.34933333333333333</v>
      </c>
      <c r="P34" s="5"/>
      <c r="Q34" s="5"/>
      <c r="R34" s="5"/>
      <c r="S34" s="5"/>
      <c r="U34" s="14" t="s">
        <v>316</v>
      </c>
      <c r="Y34" s="14">
        <f>AVERAGE(Y4:Y33)</f>
        <v>0.50100000000000011</v>
      </c>
      <c r="AC34" s="4" t="s">
        <v>316</v>
      </c>
      <c r="AG34" s="4">
        <f>AVERAGE(AG4:AG33)</f>
        <v>0.37133333333333346</v>
      </c>
      <c r="AJ34" s="5"/>
      <c r="AK34" s="5"/>
      <c r="AL34" s="5"/>
      <c r="AM34" s="5"/>
      <c r="AO34" s="14" t="s">
        <v>316</v>
      </c>
      <c r="AS34" s="14">
        <f>AVERAGE(AS4:AS33)</f>
        <v>0.49933333333333318</v>
      </c>
      <c r="AW34" s="14" t="s">
        <v>316</v>
      </c>
      <c r="BA34" s="14">
        <f>AVERAGE(BA4:BA33)</f>
        <v>0.3183333333333333</v>
      </c>
      <c r="BD34" s="5"/>
      <c r="BE34" s="5"/>
      <c r="BF34" s="5"/>
      <c r="BG34" s="5"/>
      <c r="BI34" s="14" t="s">
        <v>316</v>
      </c>
      <c r="BM34" s="14">
        <f>AVERAGE(BM4:BM33)</f>
        <v>0.42466666666666669</v>
      </c>
      <c r="BQ34" s="14" t="s">
        <v>316</v>
      </c>
      <c r="BU34" s="14">
        <f>AVERAGE(BU4:BU33)</f>
        <v>0.32333333333333336</v>
      </c>
      <c r="BX34" s="5"/>
      <c r="BY34" s="5"/>
      <c r="BZ34" s="5"/>
      <c r="CA34" s="5"/>
    </row>
    <row r="35" spans="1:79" x14ac:dyDescent="0.3">
      <c r="P35" s="5"/>
      <c r="Q35" s="5"/>
      <c r="R35" s="5"/>
      <c r="S35" s="5"/>
      <c r="AJ35" s="5"/>
      <c r="AK35" s="5"/>
      <c r="AL35" s="5"/>
      <c r="AM35" s="5"/>
      <c r="BD35" s="5"/>
      <c r="BE35" s="5"/>
      <c r="BF35" s="5"/>
      <c r="BG35" s="5"/>
      <c r="BX35" s="5"/>
      <c r="BY35" s="5"/>
      <c r="BZ35" s="5"/>
      <c r="CA35" s="5"/>
    </row>
    <row r="36" spans="1:79" x14ac:dyDescent="0.3">
      <c r="P36" s="5"/>
      <c r="Q36" s="5"/>
      <c r="R36" s="5"/>
      <c r="S36" s="5"/>
      <c r="AJ36" s="5"/>
      <c r="AK36" s="5"/>
      <c r="AL36" s="5"/>
      <c r="AM36" s="5"/>
      <c r="BD36" s="5"/>
      <c r="BE36" s="5"/>
      <c r="BF36" s="5"/>
      <c r="BG36" s="5"/>
      <c r="BX36" s="5"/>
      <c r="BY36" s="5"/>
      <c r="BZ36" s="5"/>
      <c r="CA36" s="5"/>
    </row>
    <row r="37" spans="1:79" x14ac:dyDescent="0.3">
      <c r="A37" s="24" t="s">
        <v>314</v>
      </c>
      <c r="B37" s="25"/>
      <c r="C37" s="25"/>
      <c r="D37" s="25"/>
      <c r="E37" s="25"/>
      <c r="F37" s="25"/>
      <c r="G37" s="26"/>
      <c r="I37" s="23" t="s">
        <v>314</v>
      </c>
      <c r="J37" s="23"/>
      <c r="K37" s="23"/>
      <c r="L37" s="23"/>
      <c r="M37" s="23"/>
      <c r="N37" s="23"/>
      <c r="O37" s="23"/>
      <c r="P37" s="11"/>
      <c r="Q37" s="11"/>
      <c r="R37" s="11"/>
      <c r="S37" s="11"/>
      <c r="U37" s="24" t="s">
        <v>314</v>
      </c>
      <c r="V37" s="25"/>
      <c r="W37" s="25"/>
      <c r="X37" s="25"/>
      <c r="Y37" s="25"/>
      <c r="Z37" s="25"/>
      <c r="AA37" s="26"/>
      <c r="AC37" s="23" t="s">
        <v>314</v>
      </c>
      <c r="AD37" s="23"/>
      <c r="AE37" s="23"/>
      <c r="AF37" s="23"/>
      <c r="AG37" s="23"/>
      <c r="AH37" s="23"/>
      <c r="AI37" s="23"/>
      <c r="AJ37" s="11"/>
      <c r="AK37" s="11"/>
      <c r="AL37" s="11"/>
      <c r="AM37" s="11"/>
      <c r="AO37" s="24" t="s">
        <v>314</v>
      </c>
      <c r="AP37" s="25"/>
      <c r="AQ37" s="25"/>
      <c r="AR37" s="25"/>
      <c r="AS37" s="25"/>
      <c r="AT37" s="25"/>
      <c r="AU37" s="26"/>
      <c r="AW37" s="23" t="s">
        <v>314</v>
      </c>
      <c r="AX37" s="23"/>
      <c r="AY37" s="23"/>
      <c r="AZ37" s="23"/>
      <c r="BA37" s="23"/>
      <c r="BB37" s="23"/>
      <c r="BC37" s="23"/>
      <c r="BD37" s="11"/>
      <c r="BE37" s="11"/>
      <c r="BF37" s="11"/>
      <c r="BG37" s="11"/>
      <c r="BI37" s="24" t="s">
        <v>314</v>
      </c>
      <c r="BJ37" s="25"/>
      <c r="BK37" s="25"/>
      <c r="BL37" s="25"/>
      <c r="BM37" s="25"/>
      <c r="BN37" s="25"/>
      <c r="BO37" s="26"/>
      <c r="BQ37" s="23" t="s">
        <v>314</v>
      </c>
      <c r="BR37" s="23"/>
      <c r="BS37" s="23"/>
      <c r="BT37" s="23"/>
      <c r="BU37" s="23"/>
      <c r="BV37" s="23"/>
      <c r="BW37" s="23"/>
      <c r="BX37" s="11"/>
      <c r="BY37" s="11"/>
      <c r="BZ37" s="11"/>
      <c r="CA37" s="11"/>
    </row>
    <row r="38" spans="1:79" x14ac:dyDescent="0.3">
      <c r="A38" s="4" t="s">
        <v>70</v>
      </c>
      <c r="B38" s="4"/>
      <c r="C38" s="4"/>
      <c r="D38" s="4"/>
      <c r="E38" s="4"/>
      <c r="F38" s="4"/>
      <c r="G38" s="4"/>
      <c r="I38" s="23" t="s">
        <v>70</v>
      </c>
      <c r="J38" s="23"/>
      <c r="K38" s="23"/>
      <c r="L38" s="23"/>
      <c r="M38" s="23"/>
      <c r="N38" s="23"/>
      <c r="O38" s="23"/>
      <c r="P38" s="11"/>
      <c r="Q38" s="11"/>
      <c r="R38" s="11"/>
      <c r="S38" s="11"/>
      <c r="U38" s="4" t="s">
        <v>71</v>
      </c>
      <c r="V38" s="4"/>
      <c r="W38" s="4"/>
      <c r="X38" s="4"/>
      <c r="Y38" s="4"/>
      <c r="Z38" s="4"/>
      <c r="AA38" s="4"/>
      <c r="AC38" s="23" t="s">
        <v>71</v>
      </c>
      <c r="AD38" s="23"/>
      <c r="AE38" s="23"/>
      <c r="AF38" s="23"/>
      <c r="AG38" s="23"/>
      <c r="AH38" s="23"/>
      <c r="AI38" s="23"/>
      <c r="AJ38" s="11"/>
      <c r="AK38" s="11"/>
      <c r="AL38" s="11"/>
      <c r="AM38" s="11"/>
      <c r="AO38" s="4" t="s">
        <v>70</v>
      </c>
      <c r="AP38" s="4"/>
      <c r="AQ38" s="4"/>
      <c r="AR38" s="4"/>
      <c r="AS38" s="4"/>
      <c r="AT38" s="4"/>
      <c r="AU38" s="4"/>
      <c r="AW38" s="23" t="s">
        <v>70</v>
      </c>
      <c r="AX38" s="23"/>
      <c r="AY38" s="23"/>
      <c r="AZ38" s="23"/>
      <c r="BA38" s="23"/>
      <c r="BB38" s="23"/>
      <c r="BC38" s="23"/>
      <c r="BD38" s="11"/>
      <c r="BE38" s="11"/>
      <c r="BF38" s="11"/>
      <c r="BG38" s="11"/>
      <c r="BI38" s="4" t="s">
        <v>71</v>
      </c>
      <c r="BJ38" s="4"/>
      <c r="BK38" s="4"/>
      <c r="BL38" s="4"/>
      <c r="BM38" s="4"/>
      <c r="BN38" s="4"/>
      <c r="BO38" s="4"/>
      <c r="BQ38" s="23" t="s">
        <v>71</v>
      </c>
      <c r="BR38" s="23"/>
      <c r="BS38" s="23"/>
      <c r="BT38" s="23"/>
      <c r="BU38" s="23"/>
      <c r="BV38" s="23"/>
      <c r="BW38" s="23"/>
      <c r="BX38" s="11"/>
      <c r="BY38" s="11"/>
      <c r="BZ38" s="11"/>
      <c r="CA38" s="11"/>
    </row>
    <row r="39" spans="1:79" x14ac:dyDescent="0.3">
      <c r="A39" s="4" t="s">
        <v>2</v>
      </c>
      <c r="B39" s="4" t="s">
        <v>3</v>
      </c>
      <c r="C39" s="4" t="s">
        <v>4</v>
      </c>
      <c r="D39" s="4" t="s">
        <v>5</v>
      </c>
      <c r="E39" s="4" t="s">
        <v>6</v>
      </c>
      <c r="F39" s="4" t="s">
        <v>7</v>
      </c>
      <c r="G39" s="4" t="s">
        <v>8</v>
      </c>
      <c r="I39" s="4" t="s">
        <v>2</v>
      </c>
      <c r="J39" s="4" t="s">
        <v>3</v>
      </c>
      <c r="K39" s="4" t="s">
        <v>4</v>
      </c>
      <c r="L39" s="4" t="s">
        <v>5</v>
      </c>
      <c r="M39" s="4" t="s">
        <v>6</v>
      </c>
      <c r="N39" s="4" t="s">
        <v>7</v>
      </c>
      <c r="O39" s="4" t="s">
        <v>8</v>
      </c>
      <c r="P39" s="3" t="s">
        <v>322</v>
      </c>
      <c r="Q39" s="3" t="s">
        <v>323</v>
      </c>
      <c r="R39" s="3" t="s">
        <v>322</v>
      </c>
      <c r="S39" s="3" t="s">
        <v>323</v>
      </c>
      <c r="U39" s="4" t="s">
        <v>2</v>
      </c>
      <c r="V39" s="4" t="s">
        <v>3</v>
      </c>
      <c r="W39" s="4" t="s">
        <v>4</v>
      </c>
      <c r="X39" s="4" t="s">
        <v>5</v>
      </c>
      <c r="Y39" s="4" t="s">
        <v>6</v>
      </c>
      <c r="Z39" s="4" t="s">
        <v>7</v>
      </c>
      <c r="AA39" s="4" t="s">
        <v>8</v>
      </c>
      <c r="AC39" s="4" t="s">
        <v>2</v>
      </c>
      <c r="AD39" s="4" t="s">
        <v>3</v>
      </c>
      <c r="AE39" s="4" t="s">
        <v>4</v>
      </c>
      <c r="AF39" s="4" t="s">
        <v>5</v>
      </c>
      <c r="AG39" s="4" t="s">
        <v>6</v>
      </c>
      <c r="AH39" s="4" t="s">
        <v>7</v>
      </c>
      <c r="AI39" s="4" t="s">
        <v>8</v>
      </c>
      <c r="AJ39" s="3" t="s">
        <v>322</v>
      </c>
      <c r="AK39" s="3" t="s">
        <v>323</v>
      </c>
      <c r="AL39" s="3" t="s">
        <v>322</v>
      </c>
      <c r="AM39" s="3" t="s">
        <v>323</v>
      </c>
      <c r="AO39" s="4" t="s">
        <v>2</v>
      </c>
      <c r="AP39" s="4" t="s">
        <v>3</v>
      </c>
      <c r="AQ39" s="4" t="s">
        <v>4</v>
      </c>
      <c r="AR39" s="4" t="s">
        <v>5</v>
      </c>
      <c r="AS39" s="4" t="s">
        <v>6</v>
      </c>
      <c r="AT39" s="4" t="s">
        <v>7</v>
      </c>
      <c r="AU39" s="4" t="s">
        <v>8</v>
      </c>
      <c r="AW39" s="4" t="s">
        <v>2</v>
      </c>
      <c r="AX39" s="4" t="s">
        <v>3</v>
      </c>
      <c r="AY39" s="4" t="s">
        <v>4</v>
      </c>
      <c r="AZ39" s="4" t="s">
        <v>5</v>
      </c>
      <c r="BA39" s="4" t="s">
        <v>6</v>
      </c>
      <c r="BB39" s="4" t="s">
        <v>7</v>
      </c>
      <c r="BC39" s="4" t="s">
        <v>8</v>
      </c>
      <c r="BD39" s="3" t="s">
        <v>322</v>
      </c>
      <c r="BE39" s="3" t="s">
        <v>323</v>
      </c>
      <c r="BF39" s="3" t="s">
        <v>322</v>
      </c>
      <c r="BG39" s="3" t="s">
        <v>323</v>
      </c>
      <c r="BI39" s="4" t="s">
        <v>2</v>
      </c>
      <c r="BJ39" s="4" t="s">
        <v>3</v>
      </c>
      <c r="BK39" s="4" t="s">
        <v>4</v>
      </c>
      <c r="BL39" s="4" t="s">
        <v>5</v>
      </c>
      <c r="BM39" s="4" t="s">
        <v>6</v>
      </c>
      <c r="BN39" s="4" t="s">
        <v>7</v>
      </c>
      <c r="BO39" s="4" t="s">
        <v>8</v>
      </c>
      <c r="BQ39" s="4" t="s">
        <v>2</v>
      </c>
      <c r="BR39" s="4" t="s">
        <v>3</v>
      </c>
      <c r="BS39" s="4" t="s">
        <v>4</v>
      </c>
      <c r="BT39" s="4" t="s">
        <v>5</v>
      </c>
      <c r="BU39" s="4" t="s">
        <v>6</v>
      </c>
      <c r="BV39" s="4" t="s">
        <v>7</v>
      </c>
      <c r="BW39" s="4" t="s">
        <v>8</v>
      </c>
      <c r="BX39" s="3" t="s">
        <v>322</v>
      </c>
      <c r="BY39" s="3" t="s">
        <v>323</v>
      </c>
      <c r="BZ39" s="3" t="s">
        <v>322</v>
      </c>
      <c r="CA39" s="3" t="s">
        <v>323</v>
      </c>
    </row>
    <row r="40" spans="1:79" x14ac:dyDescent="0.3">
      <c r="A40" s="4" t="s">
        <v>10</v>
      </c>
      <c r="B40" s="4">
        <v>0.9</v>
      </c>
      <c r="C40" s="4">
        <v>0.5</v>
      </c>
      <c r="D40" s="4">
        <v>0.6</v>
      </c>
      <c r="E40" s="4">
        <v>0.01</v>
      </c>
      <c r="F40" s="4">
        <v>469.01501500000001</v>
      </c>
      <c r="G40" s="4">
        <v>1.6E-2</v>
      </c>
      <c r="I40" s="4" t="s">
        <v>10</v>
      </c>
      <c r="J40" s="4">
        <v>0.9</v>
      </c>
      <c r="K40" s="4">
        <v>0.5</v>
      </c>
      <c r="L40" s="4">
        <v>0.6</v>
      </c>
      <c r="M40" s="4">
        <v>0.39</v>
      </c>
      <c r="N40" s="6">
        <v>388.174103</v>
      </c>
      <c r="O40" s="4">
        <v>0</v>
      </c>
      <c r="P40" s="4" t="s">
        <v>327</v>
      </c>
      <c r="Q40" s="4" t="s">
        <v>327</v>
      </c>
      <c r="R40" s="4" t="s">
        <v>326</v>
      </c>
      <c r="S40" s="4" t="s">
        <v>326</v>
      </c>
      <c r="U40" s="4" t="s">
        <v>10</v>
      </c>
      <c r="V40" s="4">
        <v>0.9</v>
      </c>
      <c r="W40" s="4">
        <v>0.5</v>
      </c>
      <c r="X40" s="4">
        <v>0.6</v>
      </c>
      <c r="Y40" s="4">
        <v>0.01</v>
      </c>
      <c r="Z40" s="4">
        <v>444.11608899999999</v>
      </c>
      <c r="AA40" s="4">
        <v>1.4999999999999999E-2</v>
      </c>
      <c r="AC40" s="4" t="s">
        <v>10</v>
      </c>
      <c r="AD40" s="4">
        <v>0.9</v>
      </c>
      <c r="AE40" s="4">
        <v>0.5</v>
      </c>
      <c r="AF40" s="4">
        <v>0.6</v>
      </c>
      <c r="AG40" s="4">
        <v>0.4</v>
      </c>
      <c r="AH40" s="6">
        <v>370.99807700000002</v>
      </c>
      <c r="AI40" s="4">
        <v>0</v>
      </c>
      <c r="AJ40" s="4" t="s">
        <v>327</v>
      </c>
      <c r="AK40" s="4" t="s">
        <v>327</v>
      </c>
      <c r="AL40" s="4" t="s">
        <v>326</v>
      </c>
      <c r="AM40" s="4" t="s">
        <v>326</v>
      </c>
      <c r="AO40" s="4" t="s">
        <v>11</v>
      </c>
      <c r="AP40" s="4">
        <v>0.9</v>
      </c>
      <c r="AQ40" s="4">
        <v>0.5</v>
      </c>
      <c r="AR40" s="4">
        <v>0.6</v>
      </c>
      <c r="AS40" s="4">
        <v>0.01</v>
      </c>
      <c r="AT40" s="6">
        <v>714.58148200000005</v>
      </c>
      <c r="AU40" s="4">
        <v>1.2999999999999999E-2</v>
      </c>
      <c r="AW40" s="4" t="s">
        <v>11</v>
      </c>
      <c r="AX40" s="4">
        <v>0.9</v>
      </c>
      <c r="AY40" s="4">
        <v>0.5</v>
      </c>
      <c r="AZ40" s="4">
        <v>0.6</v>
      </c>
      <c r="BA40" s="4">
        <v>0.31</v>
      </c>
      <c r="BB40" s="4">
        <v>768.95526099999995</v>
      </c>
      <c r="BC40" s="4">
        <v>4.0000000000000001E-3</v>
      </c>
      <c r="BD40" s="4" t="s">
        <v>327</v>
      </c>
      <c r="BE40" s="4" t="s">
        <v>327</v>
      </c>
      <c r="BF40" s="4" t="s">
        <v>326</v>
      </c>
      <c r="BG40" s="4" t="s">
        <v>326</v>
      </c>
      <c r="BI40" s="4" t="s">
        <v>11</v>
      </c>
      <c r="BJ40" s="4">
        <v>0.9</v>
      </c>
      <c r="BK40" s="4">
        <v>0.5</v>
      </c>
      <c r="BL40" s="4">
        <v>0.6</v>
      </c>
      <c r="BM40" s="4">
        <v>0.01</v>
      </c>
      <c r="BN40" s="6">
        <v>665.46801800000003</v>
      </c>
      <c r="BO40" s="4">
        <v>2.1999999999999999E-2</v>
      </c>
      <c r="BQ40" s="4" t="s">
        <v>11</v>
      </c>
      <c r="BR40" s="4">
        <v>0.9</v>
      </c>
      <c r="BS40" s="4">
        <v>0.5</v>
      </c>
      <c r="BT40" s="4">
        <v>0.6</v>
      </c>
      <c r="BU40" s="4">
        <v>0.3</v>
      </c>
      <c r="BV40" s="4">
        <v>730.73803699999996</v>
      </c>
      <c r="BW40" s="4">
        <v>4.0000000000000001E-3</v>
      </c>
      <c r="BX40" s="4" t="s">
        <v>327</v>
      </c>
      <c r="BY40" s="4" t="s">
        <v>327</v>
      </c>
      <c r="BZ40" s="4" t="s">
        <v>326</v>
      </c>
      <c r="CA40" s="4" t="s">
        <v>326</v>
      </c>
    </row>
    <row r="41" spans="1:79" x14ac:dyDescent="0.3">
      <c r="A41" s="4" t="s">
        <v>12</v>
      </c>
      <c r="B41" s="4">
        <v>0.9</v>
      </c>
      <c r="C41" s="4">
        <v>0.5</v>
      </c>
      <c r="D41" s="4">
        <v>0.6</v>
      </c>
      <c r="E41" s="4">
        <v>0.67</v>
      </c>
      <c r="F41" s="4">
        <v>463.97686800000002</v>
      </c>
      <c r="G41" s="4">
        <v>1.2999999999999999E-2</v>
      </c>
      <c r="I41" s="4" t="s">
        <v>12</v>
      </c>
      <c r="J41" s="4">
        <v>0.9</v>
      </c>
      <c r="K41" s="4">
        <v>0.5</v>
      </c>
      <c r="L41" s="4">
        <v>0.6</v>
      </c>
      <c r="M41" s="4">
        <v>0.36</v>
      </c>
      <c r="N41" s="6">
        <v>424.23968500000001</v>
      </c>
      <c r="O41" s="4">
        <v>0</v>
      </c>
      <c r="P41" s="3">
        <f>COUNT(F49,F54)</f>
        <v>2</v>
      </c>
      <c r="Q41" s="3">
        <f>30-P41</f>
        <v>28</v>
      </c>
      <c r="R41" s="3">
        <f>COUNT(N40:N69)</f>
        <v>30</v>
      </c>
      <c r="S41" s="3">
        <f>30-R41</f>
        <v>0</v>
      </c>
      <c r="U41" s="4" t="s">
        <v>12</v>
      </c>
      <c r="V41" s="4">
        <v>0.9</v>
      </c>
      <c r="W41" s="4">
        <v>0.5</v>
      </c>
      <c r="X41" s="4">
        <v>0.6</v>
      </c>
      <c r="Y41" s="4">
        <v>0.22</v>
      </c>
      <c r="Z41" s="4">
        <v>417.50387599999999</v>
      </c>
      <c r="AA41" s="4">
        <v>1.7999999999999999E-2</v>
      </c>
      <c r="AC41" s="4" t="s">
        <v>12</v>
      </c>
      <c r="AD41" s="4">
        <v>0.9</v>
      </c>
      <c r="AE41" s="4">
        <v>0.5</v>
      </c>
      <c r="AF41" s="4">
        <v>0.6</v>
      </c>
      <c r="AG41" s="4">
        <v>0.3</v>
      </c>
      <c r="AH41" s="6">
        <v>407.82238799999999</v>
      </c>
      <c r="AI41" s="4">
        <v>1E-3</v>
      </c>
      <c r="AJ41" s="3">
        <f>COUNT(Z57)</f>
        <v>1</v>
      </c>
      <c r="AK41" s="3">
        <f>30-AJ41</f>
        <v>29</v>
      </c>
      <c r="AL41" s="3">
        <f>COUNT(AH40:AH56,AH58:AH69)</f>
        <v>29</v>
      </c>
      <c r="AM41" s="3">
        <f>30-AL41</f>
        <v>1</v>
      </c>
      <c r="AO41" s="4" t="s">
        <v>13</v>
      </c>
      <c r="AP41" s="4">
        <v>0.9</v>
      </c>
      <c r="AQ41" s="4">
        <v>0.5</v>
      </c>
      <c r="AR41" s="4">
        <v>0.6</v>
      </c>
      <c r="AS41" s="4">
        <v>0.68</v>
      </c>
      <c r="AT41" s="4">
        <v>770.78802499999995</v>
      </c>
      <c r="AU41" s="4">
        <v>1.7000000000000001E-2</v>
      </c>
      <c r="AW41" s="4" t="s">
        <v>13</v>
      </c>
      <c r="AX41" s="4">
        <v>0.9</v>
      </c>
      <c r="AY41" s="4">
        <v>0.5</v>
      </c>
      <c r="AZ41" s="4">
        <v>0.6</v>
      </c>
      <c r="BA41" s="4">
        <v>0.31</v>
      </c>
      <c r="BB41" s="6">
        <v>690.28393600000004</v>
      </c>
      <c r="BC41" s="4">
        <v>4.0000000000000001E-3</v>
      </c>
      <c r="BD41" s="3">
        <f>COUNT(AT40,AT44:AT45,AT47,AT51:AT52,AT54:AT55,AT59,AT64)</f>
        <v>10</v>
      </c>
      <c r="BE41" s="3">
        <f>30-BD41</f>
        <v>20</v>
      </c>
      <c r="BF41" s="3">
        <f>COUNT(BB41:BB43,BB46,BB48:BB50,BB53,BB56:BB58,BB60:BB63,BB65:BB69)</f>
        <v>20</v>
      </c>
      <c r="BG41" s="3">
        <f>30-BF41</f>
        <v>10</v>
      </c>
      <c r="BI41" s="4" t="s">
        <v>13</v>
      </c>
      <c r="BJ41" s="4">
        <v>0.9</v>
      </c>
      <c r="BK41" s="4">
        <v>0.5</v>
      </c>
      <c r="BL41" s="4">
        <v>0.6</v>
      </c>
      <c r="BM41" s="4">
        <v>0.06</v>
      </c>
      <c r="BN41" s="6">
        <v>577.810608</v>
      </c>
      <c r="BO41" s="4">
        <v>1.4999999999999999E-2</v>
      </c>
      <c r="BQ41" s="4" t="s">
        <v>13</v>
      </c>
      <c r="BR41" s="4">
        <v>0.9</v>
      </c>
      <c r="BS41" s="4">
        <v>0.5</v>
      </c>
      <c r="BT41" s="4">
        <v>0.6</v>
      </c>
      <c r="BU41" s="4">
        <v>0.3</v>
      </c>
      <c r="BV41" s="4">
        <v>656.598206</v>
      </c>
      <c r="BW41" s="4">
        <v>3.0000000000000001E-3</v>
      </c>
      <c r="BX41" s="3">
        <f>COUNT(BN40:BN42,BN45:BN46,BN48:BN49,BN53:BN54,BN57,BN67:BN68)</f>
        <v>12</v>
      </c>
      <c r="BY41" s="3">
        <f>30-BX41</f>
        <v>18</v>
      </c>
      <c r="BZ41" s="3">
        <f>COUNT(BV43:BV44,BV47,BV50:BV52,BV55:BV56,BV58:BV66,BV69)</f>
        <v>18</v>
      </c>
      <c r="CA41" s="3">
        <f>30-BZ41</f>
        <v>12</v>
      </c>
    </row>
    <row r="42" spans="1:79" x14ac:dyDescent="0.3">
      <c r="A42" s="4" t="s">
        <v>14</v>
      </c>
      <c r="B42" s="4">
        <v>0.9</v>
      </c>
      <c r="C42" s="4">
        <v>0.5</v>
      </c>
      <c r="D42" s="4">
        <v>0.6</v>
      </c>
      <c r="E42" s="4">
        <v>0.01</v>
      </c>
      <c r="F42" s="4">
        <v>407.78213499999998</v>
      </c>
      <c r="G42" s="4">
        <v>1.4999999999999999E-2</v>
      </c>
      <c r="I42" s="4" t="s">
        <v>14</v>
      </c>
      <c r="J42" s="4">
        <v>0.9</v>
      </c>
      <c r="K42" s="4">
        <v>0.5</v>
      </c>
      <c r="L42" s="4">
        <v>0.6</v>
      </c>
      <c r="M42" s="4">
        <v>0.31</v>
      </c>
      <c r="N42" s="6">
        <v>368.59149200000002</v>
      </c>
      <c r="O42" s="4">
        <v>0</v>
      </c>
      <c r="P42" s="5"/>
      <c r="Q42" s="5"/>
      <c r="R42" s="5"/>
      <c r="S42" s="5"/>
      <c r="U42" s="4" t="s">
        <v>14</v>
      </c>
      <c r="V42" s="4">
        <v>0.9</v>
      </c>
      <c r="W42" s="4">
        <v>0.5</v>
      </c>
      <c r="X42" s="4">
        <v>0.6</v>
      </c>
      <c r="Y42" s="4">
        <v>0.54</v>
      </c>
      <c r="Z42" s="4">
        <v>354.68279999999999</v>
      </c>
      <c r="AA42" s="4">
        <v>2.1999999999999999E-2</v>
      </c>
      <c r="AC42" s="4" t="s">
        <v>14</v>
      </c>
      <c r="AD42" s="4">
        <v>0.9</v>
      </c>
      <c r="AE42" s="4">
        <v>0.5</v>
      </c>
      <c r="AF42" s="4">
        <v>0.6</v>
      </c>
      <c r="AG42" s="4">
        <v>0.33</v>
      </c>
      <c r="AH42" s="6">
        <v>342.37698399999999</v>
      </c>
      <c r="AI42" s="4">
        <v>0</v>
      </c>
      <c r="AJ42" s="5"/>
      <c r="AK42" s="5"/>
      <c r="AL42" s="5"/>
      <c r="AM42" s="5"/>
      <c r="AO42" s="4" t="s">
        <v>15</v>
      </c>
      <c r="AP42" s="4">
        <v>0.9</v>
      </c>
      <c r="AQ42" s="4">
        <v>0.5</v>
      </c>
      <c r="AR42" s="4">
        <v>0.6</v>
      </c>
      <c r="AS42" s="4">
        <v>0.57999999999999996</v>
      </c>
      <c r="AT42" s="4">
        <v>827.30084199999999</v>
      </c>
      <c r="AU42" s="4">
        <v>0.02</v>
      </c>
      <c r="AW42" s="4" t="s">
        <v>15</v>
      </c>
      <c r="AX42" s="4">
        <v>0.9</v>
      </c>
      <c r="AY42" s="4">
        <v>0.5</v>
      </c>
      <c r="AZ42" s="4">
        <v>0.6</v>
      </c>
      <c r="BA42" s="4">
        <v>0.3</v>
      </c>
      <c r="BB42" s="6">
        <v>731.03247099999999</v>
      </c>
      <c r="BC42" s="4">
        <v>5.0000000000000001E-3</v>
      </c>
      <c r="BD42" s="5"/>
      <c r="BE42" s="5"/>
      <c r="BF42" s="5"/>
      <c r="BG42" s="5"/>
      <c r="BI42" s="4" t="s">
        <v>15</v>
      </c>
      <c r="BJ42" s="4">
        <v>0.9</v>
      </c>
      <c r="BK42" s="4">
        <v>0.5</v>
      </c>
      <c r="BL42" s="4">
        <v>0.6</v>
      </c>
      <c r="BM42" s="4">
        <v>0.04</v>
      </c>
      <c r="BN42" s="6">
        <v>602.979736</v>
      </c>
      <c r="BO42" s="4">
        <v>1.4E-2</v>
      </c>
      <c r="BQ42" s="4" t="s">
        <v>15</v>
      </c>
      <c r="BR42" s="4">
        <v>0.9</v>
      </c>
      <c r="BS42" s="4">
        <v>0.5</v>
      </c>
      <c r="BT42" s="4">
        <v>0.6</v>
      </c>
      <c r="BU42" s="4">
        <v>0.33</v>
      </c>
      <c r="BV42" s="4">
        <v>708.47570800000005</v>
      </c>
      <c r="BW42" s="4">
        <v>3.0000000000000001E-3</v>
      </c>
      <c r="BX42" s="5"/>
      <c r="BY42" s="5"/>
      <c r="BZ42" s="5"/>
      <c r="CA42" s="5"/>
    </row>
    <row r="43" spans="1:79" x14ac:dyDescent="0.3">
      <c r="A43" s="4" t="s">
        <v>16</v>
      </c>
      <c r="B43" s="4">
        <v>0.9</v>
      </c>
      <c r="C43" s="4">
        <v>0.5</v>
      </c>
      <c r="D43" s="4">
        <v>0.6</v>
      </c>
      <c r="E43" s="4">
        <v>0.06</v>
      </c>
      <c r="F43" s="4">
        <v>398.10732999999999</v>
      </c>
      <c r="G43" s="4">
        <v>0.01</v>
      </c>
      <c r="I43" s="4" t="s">
        <v>16</v>
      </c>
      <c r="J43" s="4">
        <v>0.9</v>
      </c>
      <c r="K43" s="4">
        <v>0.5</v>
      </c>
      <c r="L43" s="4">
        <v>0.6</v>
      </c>
      <c r="M43" s="4">
        <v>0.3</v>
      </c>
      <c r="N43" s="6">
        <v>394.74597199999999</v>
      </c>
      <c r="O43" s="4">
        <v>0</v>
      </c>
      <c r="P43" s="5"/>
      <c r="Q43" s="5"/>
      <c r="R43" s="5"/>
      <c r="S43" s="5"/>
      <c r="U43" s="4" t="s">
        <v>16</v>
      </c>
      <c r="V43" s="4">
        <v>0.9</v>
      </c>
      <c r="W43" s="4">
        <v>0.5</v>
      </c>
      <c r="X43" s="4">
        <v>0.6</v>
      </c>
      <c r="Y43" s="4">
        <v>0.41</v>
      </c>
      <c r="Z43" s="4">
        <v>392.34265099999999</v>
      </c>
      <c r="AA43" s="4">
        <v>1.2E-2</v>
      </c>
      <c r="AC43" s="4" t="s">
        <v>16</v>
      </c>
      <c r="AD43" s="4">
        <v>0.9</v>
      </c>
      <c r="AE43" s="4">
        <v>0.5</v>
      </c>
      <c r="AF43" s="4">
        <v>0.6</v>
      </c>
      <c r="AG43" s="4">
        <v>0.31</v>
      </c>
      <c r="AH43" s="6">
        <v>376.48089599999997</v>
      </c>
      <c r="AI43" s="4">
        <v>0</v>
      </c>
      <c r="AJ43" s="5"/>
      <c r="AK43" s="5"/>
      <c r="AL43" s="5"/>
      <c r="AM43" s="5"/>
      <c r="AO43" s="4" t="s">
        <v>17</v>
      </c>
      <c r="AP43" s="4">
        <v>0.9</v>
      </c>
      <c r="AQ43" s="4">
        <v>0.5</v>
      </c>
      <c r="AR43" s="4">
        <v>0.6</v>
      </c>
      <c r="AS43" s="4">
        <v>0.93</v>
      </c>
      <c r="AT43" s="4">
        <v>886.31329300000004</v>
      </c>
      <c r="AU43" s="4">
        <v>1.4E-2</v>
      </c>
      <c r="AW43" s="4" t="s">
        <v>17</v>
      </c>
      <c r="AX43" s="4">
        <v>0.9</v>
      </c>
      <c r="AY43" s="4">
        <v>0.5</v>
      </c>
      <c r="AZ43" s="4">
        <v>0.6</v>
      </c>
      <c r="BA43" s="4">
        <v>0.31</v>
      </c>
      <c r="BB43" s="6">
        <v>718.66632100000004</v>
      </c>
      <c r="BC43" s="4">
        <v>4.0000000000000001E-3</v>
      </c>
      <c r="BD43" s="5"/>
      <c r="BE43" s="5"/>
      <c r="BF43" s="5"/>
      <c r="BG43" s="5"/>
      <c r="BI43" s="4" t="s">
        <v>17</v>
      </c>
      <c r="BJ43" s="4">
        <v>0.9</v>
      </c>
      <c r="BK43" s="4">
        <v>0.5</v>
      </c>
      <c r="BL43" s="4">
        <v>0.6</v>
      </c>
      <c r="BM43" s="4">
        <v>0.76</v>
      </c>
      <c r="BN43" s="4">
        <v>831.582581</v>
      </c>
      <c r="BO43" s="4">
        <v>1.4E-2</v>
      </c>
      <c r="BQ43" s="4" t="s">
        <v>17</v>
      </c>
      <c r="BR43" s="4">
        <v>0.9</v>
      </c>
      <c r="BS43" s="4">
        <v>0.5</v>
      </c>
      <c r="BT43" s="4">
        <v>0.6</v>
      </c>
      <c r="BU43" s="4">
        <v>0.3</v>
      </c>
      <c r="BV43" s="6">
        <v>699.30798300000004</v>
      </c>
      <c r="BW43" s="4">
        <v>4.0000000000000001E-3</v>
      </c>
      <c r="BX43" s="5"/>
      <c r="BY43" s="5"/>
      <c r="BZ43" s="5"/>
      <c r="CA43" s="5"/>
    </row>
    <row r="44" spans="1:79" x14ac:dyDescent="0.3">
      <c r="A44" s="4" t="s">
        <v>18</v>
      </c>
      <c r="B44" s="4">
        <v>0.9</v>
      </c>
      <c r="C44" s="4">
        <v>0.5</v>
      </c>
      <c r="D44" s="4">
        <v>0.6</v>
      </c>
      <c r="E44" s="4">
        <v>0.74</v>
      </c>
      <c r="F44" s="4">
        <v>365.83923299999998</v>
      </c>
      <c r="G44" s="4">
        <v>1.0999999999999999E-2</v>
      </c>
      <c r="I44" s="4" t="s">
        <v>18</v>
      </c>
      <c r="J44" s="4">
        <v>0.9</v>
      </c>
      <c r="K44" s="4">
        <v>0.5</v>
      </c>
      <c r="L44" s="4">
        <v>0.6</v>
      </c>
      <c r="M44" s="4">
        <v>0.37</v>
      </c>
      <c r="N44" s="6">
        <v>342.83099399999998</v>
      </c>
      <c r="O44" s="4">
        <v>1E-3</v>
      </c>
      <c r="P44" s="5"/>
      <c r="Q44" s="5"/>
      <c r="R44" s="5"/>
      <c r="S44" s="5"/>
      <c r="U44" s="4" t="s">
        <v>18</v>
      </c>
      <c r="V44" s="4">
        <v>0.9</v>
      </c>
      <c r="W44" s="4">
        <v>0.5</v>
      </c>
      <c r="X44" s="4">
        <v>0.6</v>
      </c>
      <c r="Y44" s="4">
        <v>0.96</v>
      </c>
      <c r="Z44" s="4">
        <v>354.216339</v>
      </c>
      <c r="AA44" s="4">
        <v>0.01</v>
      </c>
      <c r="AC44" s="4" t="s">
        <v>18</v>
      </c>
      <c r="AD44" s="4">
        <v>0.9</v>
      </c>
      <c r="AE44" s="4">
        <v>0.5</v>
      </c>
      <c r="AF44" s="4">
        <v>0.6</v>
      </c>
      <c r="AG44" s="4">
        <v>0.3</v>
      </c>
      <c r="AH44" s="6">
        <v>326.76788299999998</v>
      </c>
      <c r="AI44" s="4">
        <v>0</v>
      </c>
      <c r="AJ44" s="5"/>
      <c r="AK44" s="5"/>
      <c r="AL44" s="5"/>
      <c r="AM44" s="5"/>
      <c r="AO44" s="4" t="s">
        <v>19</v>
      </c>
      <c r="AP44" s="4">
        <v>0.9</v>
      </c>
      <c r="AQ44" s="4">
        <v>0.5</v>
      </c>
      <c r="AR44" s="4">
        <v>0.6</v>
      </c>
      <c r="AS44" s="4">
        <v>0.14000000000000001</v>
      </c>
      <c r="AT44" s="6">
        <v>697.42907700000001</v>
      </c>
      <c r="AU44" s="4">
        <v>1.7000000000000001E-2</v>
      </c>
      <c r="AW44" s="4" t="s">
        <v>19</v>
      </c>
      <c r="AX44" s="4">
        <v>0.9</v>
      </c>
      <c r="AY44" s="4">
        <v>0.5</v>
      </c>
      <c r="AZ44" s="4">
        <v>0.6</v>
      </c>
      <c r="BA44" s="4">
        <v>0.31</v>
      </c>
      <c r="BB44" s="4">
        <v>754.30816700000003</v>
      </c>
      <c r="BC44" s="4">
        <v>4.0000000000000001E-3</v>
      </c>
      <c r="BD44" s="5"/>
      <c r="BE44" s="5"/>
      <c r="BF44" s="5"/>
      <c r="BG44" s="5"/>
      <c r="BI44" s="4" t="s">
        <v>19</v>
      </c>
      <c r="BJ44" s="4">
        <v>0.9</v>
      </c>
      <c r="BK44" s="4">
        <v>0.5</v>
      </c>
      <c r="BL44" s="4">
        <v>0.6</v>
      </c>
      <c r="BM44" s="4">
        <v>0.56999999999999995</v>
      </c>
      <c r="BN44" s="4">
        <v>801.44714399999998</v>
      </c>
      <c r="BO44" s="4">
        <v>1.4999999999999999E-2</v>
      </c>
      <c r="BQ44" s="4" t="s">
        <v>19</v>
      </c>
      <c r="BR44" s="4">
        <v>0.9</v>
      </c>
      <c r="BS44" s="4">
        <v>0.5</v>
      </c>
      <c r="BT44" s="4">
        <v>0.6</v>
      </c>
      <c r="BU44" s="4">
        <v>0.3</v>
      </c>
      <c r="BV44" s="6">
        <v>725.69781499999999</v>
      </c>
      <c r="BW44" s="4">
        <v>4.0000000000000001E-3</v>
      </c>
      <c r="BX44" s="5"/>
      <c r="BY44" s="5"/>
      <c r="BZ44" s="5"/>
      <c r="CA44" s="5"/>
    </row>
    <row r="45" spans="1:79" x14ac:dyDescent="0.3">
      <c r="A45" s="4" t="s">
        <v>20</v>
      </c>
      <c r="B45" s="4">
        <v>0.9</v>
      </c>
      <c r="C45" s="4">
        <v>0.5</v>
      </c>
      <c r="D45" s="4">
        <v>0.6</v>
      </c>
      <c r="E45" s="4">
        <v>0.71</v>
      </c>
      <c r="F45" s="4">
        <v>416.73880000000003</v>
      </c>
      <c r="G45" s="4">
        <v>1.4E-2</v>
      </c>
      <c r="I45" s="4" t="s">
        <v>20</v>
      </c>
      <c r="J45" s="4">
        <v>0.9</v>
      </c>
      <c r="K45" s="4">
        <v>0.5</v>
      </c>
      <c r="L45" s="4">
        <v>0.6</v>
      </c>
      <c r="M45" s="4">
        <v>0.32</v>
      </c>
      <c r="N45" s="6">
        <v>410.32156400000002</v>
      </c>
      <c r="O45" s="4">
        <v>1E-3</v>
      </c>
      <c r="P45" s="5"/>
      <c r="Q45" s="5"/>
      <c r="R45" s="5"/>
      <c r="S45" s="5"/>
      <c r="U45" s="4" t="s">
        <v>20</v>
      </c>
      <c r="V45" s="4">
        <v>0.9</v>
      </c>
      <c r="W45" s="4">
        <v>0.5</v>
      </c>
      <c r="X45" s="4">
        <v>0.6</v>
      </c>
      <c r="Y45" s="4">
        <v>0.43</v>
      </c>
      <c r="Z45" s="4">
        <v>401.08624300000002</v>
      </c>
      <c r="AA45" s="4">
        <v>1.7999999999999999E-2</v>
      </c>
      <c r="AC45" s="4" t="s">
        <v>20</v>
      </c>
      <c r="AD45" s="4">
        <v>0.9</v>
      </c>
      <c r="AE45" s="4">
        <v>0.5</v>
      </c>
      <c r="AF45" s="4">
        <v>0.6</v>
      </c>
      <c r="AG45" s="4">
        <v>0.42</v>
      </c>
      <c r="AH45" s="6">
        <v>394.72088600000001</v>
      </c>
      <c r="AI45" s="4">
        <v>1E-3</v>
      </c>
      <c r="AJ45" s="5"/>
      <c r="AK45" s="5"/>
      <c r="AL45" s="5"/>
      <c r="AM45" s="5"/>
      <c r="AO45" s="4" t="s">
        <v>21</v>
      </c>
      <c r="AP45" s="4">
        <v>0.9</v>
      </c>
      <c r="AQ45" s="4">
        <v>0.5</v>
      </c>
      <c r="AR45" s="4">
        <v>0.6</v>
      </c>
      <c r="AS45" s="4">
        <v>0.01</v>
      </c>
      <c r="AT45" s="6">
        <v>668.41412400000002</v>
      </c>
      <c r="AU45" s="4">
        <v>1.4E-2</v>
      </c>
      <c r="AW45" s="4" t="s">
        <v>21</v>
      </c>
      <c r="AX45" s="4">
        <v>0.9</v>
      </c>
      <c r="AY45" s="4">
        <v>0.5</v>
      </c>
      <c r="AZ45" s="4">
        <v>0.6</v>
      </c>
      <c r="BA45" s="4">
        <v>0.32</v>
      </c>
      <c r="BB45" s="4">
        <v>736.50054899999998</v>
      </c>
      <c r="BC45" s="4">
        <v>4.0000000000000001E-3</v>
      </c>
      <c r="BD45" s="5"/>
      <c r="BE45" s="5"/>
      <c r="BF45" s="5"/>
      <c r="BG45" s="5"/>
      <c r="BI45" s="4" t="s">
        <v>21</v>
      </c>
      <c r="BJ45" s="4">
        <v>0.9</v>
      </c>
      <c r="BK45" s="4">
        <v>0.5</v>
      </c>
      <c r="BL45" s="4">
        <v>0.6</v>
      </c>
      <c r="BM45" s="4">
        <v>0.16</v>
      </c>
      <c r="BN45" s="6">
        <v>663.37573199999997</v>
      </c>
      <c r="BO45" s="4">
        <v>1.0999999999999999E-2</v>
      </c>
      <c r="BQ45" s="4" t="s">
        <v>21</v>
      </c>
      <c r="BR45" s="4">
        <v>0.9</v>
      </c>
      <c r="BS45" s="4">
        <v>0.5</v>
      </c>
      <c r="BT45" s="4">
        <v>0.6</v>
      </c>
      <c r="BU45" s="4">
        <v>0.34</v>
      </c>
      <c r="BV45" s="4">
        <v>725.53253199999995</v>
      </c>
      <c r="BW45" s="4">
        <v>4.0000000000000001E-3</v>
      </c>
      <c r="BX45" s="5"/>
      <c r="BY45" s="5"/>
      <c r="BZ45" s="5"/>
      <c r="CA45" s="5"/>
    </row>
    <row r="46" spans="1:79" x14ac:dyDescent="0.3">
      <c r="A46" s="4" t="s">
        <v>22</v>
      </c>
      <c r="B46" s="4">
        <v>0.9</v>
      </c>
      <c r="C46" s="4">
        <v>0.5</v>
      </c>
      <c r="D46" s="4">
        <v>0.6</v>
      </c>
      <c r="E46" s="4">
        <v>0.02</v>
      </c>
      <c r="F46" s="4">
        <v>392.16110200000003</v>
      </c>
      <c r="G46" s="4">
        <v>1.9E-2</v>
      </c>
      <c r="I46" s="4" t="s">
        <v>22</v>
      </c>
      <c r="J46" s="4">
        <v>0.9</v>
      </c>
      <c r="K46" s="4">
        <v>0.5</v>
      </c>
      <c r="L46" s="4">
        <v>0.6</v>
      </c>
      <c r="M46" s="4">
        <v>0.3</v>
      </c>
      <c r="N46" s="6">
        <v>386.12152099999997</v>
      </c>
      <c r="O46" s="4">
        <v>0</v>
      </c>
      <c r="P46" s="5"/>
      <c r="Q46" s="5"/>
      <c r="R46" s="5"/>
      <c r="S46" s="5"/>
      <c r="U46" s="4" t="s">
        <v>22</v>
      </c>
      <c r="V46" s="4">
        <v>0.9</v>
      </c>
      <c r="W46" s="4">
        <v>0.5</v>
      </c>
      <c r="X46" s="4">
        <v>0.6</v>
      </c>
      <c r="Y46" s="4">
        <v>0.98</v>
      </c>
      <c r="Z46" s="4">
        <v>390.95031699999998</v>
      </c>
      <c r="AA46" s="4">
        <v>1.0999999999999999E-2</v>
      </c>
      <c r="AC46" s="4" t="s">
        <v>22</v>
      </c>
      <c r="AD46" s="4">
        <v>0.9</v>
      </c>
      <c r="AE46" s="4">
        <v>0.5</v>
      </c>
      <c r="AF46" s="4">
        <v>0.6</v>
      </c>
      <c r="AG46" s="4">
        <v>0.31</v>
      </c>
      <c r="AH46" s="6">
        <v>367.874664</v>
      </c>
      <c r="AI46" s="4">
        <v>1E-3</v>
      </c>
      <c r="AJ46" s="5"/>
      <c r="AK46" s="5"/>
      <c r="AL46" s="5"/>
      <c r="AM46" s="5"/>
      <c r="AO46" s="4" t="s">
        <v>23</v>
      </c>
      <c r="AP46" s="4">
        <v>0.9</v>
      </c>
      <c r="AQ46" s="4">
        <v>0.5</v>
      </c>
      <c r="AR46" s="4">
        <v>0.6</v>
      </c>
      <c r="AS46" s="4">
        <v>0.33</v>
      </c>
      <c r="AT46" s="4">
        <v>745.76147500000002</v>
      </c>
      <c r="AU46" s="4">
        <v>2.7E-2</v>
      </c>
      <c r="AW46" s="4" t="s">
        <v>23</v>
      </c>
      <c r="AX46" s="4">
        <v>0.9</v>
      </c>
      <c r="AY46" s="4">
        <v>0.5</v>
      </c>
      <c r="AZ46" s="4">
        <v>0.6</v>
      </c>
      <c r="BA46" s="4">
        <v>0.3</v>
      </c>
      <c r="BB46" s="6">
        <v>743.61993399999994</v>
      </c>
      <c r="BC46" s="4">
        <v>6.0000000000000001E-3</v>
      </c>
      <c r="BD46" s="5"/>
      <c r="BE46" s="5"/>
      <c r="BF46" s="5"/>
      <c r="BG46" s="5"/>
      <c r="BI46" s="4" t="s">
        <v>23</v>
      </c>
      <c r="BJ46" s="4">
        <v>0.9</v>
      </c>
      <c r="BK46" s="4">
        <v>0.5</v>
      </c>
      <c r="BL46" s="4">
        <v>0.6</v>
      </c>
      <c r="BM46" s="4">
        <v>0.18</v>
      </c>
      <c r="BN46" s="6">
        <v>677.18414299999995</v>
      </c>
      <c r="BO46" s="4">
        <v>1.9E-2</v>
      </c>
      <c r="BQ46" s="4" t="s">
        <v>23</v>
      </c>
      <c r="BR46" s="4">
        <v>0.9</v>
      </c>
      <c r="BS46" s="4">
        <v>0.5</v>
      </c>
      <c r="BT46" s="4">
        <v>0.6</v>
      </c>
      <c r="BU46" s="4">
        <v>0.34</v>
      </c>
      <c r="BV46" s="4">
        <v>724.92687999999998</v>
      </c>
      <c r="BW46" s="4">
        <v>3.0000000000000001E-3</v>
      </c>
      <c r="BX46" s="5"/>
      <c r="BY46" s="5"/>
      <c r="BZ46" s="5"/>
      <c r="CA46" s="5"/>
    </row>
    <row r="47" spans="1:79" x14ac:dyDescent="0.3">
      <c r="A47" s="4" t="s">
        <v>24</v>
      </c>
      <c r="B47" s="4">
        <v>0.9</v>
      </c>
      <c r="C47" s="4">
        <v>0.5</v>
      </c>
      <c r="D47" s="4">
        <v>0.6</v>
      </c>
      <c r="E47" s="4">
        <v>0.41</v>
      </c>
      <c r="F47" s="4">
        <v>466.05148300000002</v>
      </c>
      <c r="G47" s="4">
        <v>1.4E-2</v>
      </c>
      <c r="I47" s="4" t="s">
        <v>24</v>
      </c>
      <c r="J47" s="4">
        <v>0.9</v>
      </c>
      <c r="K47" s="4">
        <v>0.5</v>
      </c>
      <c r="L47" s="4">
        <v>0.6</v>
      </c>
      <c r="M47" s="4">
        <v>0.3</v>
      </c>
      <c r="N47" s="6">
        <v>462.46105999999997</v>
      </c>
      <c r="O47" s="4">
        <v>1E-3</v>
      </c>
      <c r="P47" s="5"/>
      <c r="Q47" s="5"/>
      <c r="R47" s="5"/>
      <c r="S47" s="5"/>
      <c r="U47" s="4" t="s">
        <v>24</v>
      </c>
      <c r="V47" s="4">
        <v>0.9</v>
      </c>
      <c r="W47" s="4">
        <v>0.5</v>
      </c>
      <c r="X47" s="4">
        <v>0.6</v>
      </c>
      <c r="Y47" s="4">
        <v>7.0000000000000007E-2</v>
      </c>
      <c r="Z47" s="4">
        <v>442.87179600000002</v>
      </c>
      <c r="AA47" s="4">
        <v>1.4999999999999999E-2</v>
      </c>
      <c r="AC47" s="4" t="s">
        <v>24</v>
      </c>
      <c r="AD47" s="4">
        <v>0.9</v>
      </c>
      <c r="AE47" s="4">
        <v>0.5</v>
      </c>
      <c r="AF47" s="4">
        <v>0.6</v>
      </c>
      <c r="AG47" s="4">
        <v>0.32</v>
      </c>
      <c r="AH47" s="6">
        <v>427.68786599999999</v>
      </c>
      <c r="AI47" s="4">
        <v>0</v>
      </c>
      <c r="AJ47" s="5"/>
      <c r="AK47" s="5"/>
      <c r="AL47" s="5"/>
      <c r="AM47" s="5"/>
      <c r="AO47" s="4" t="s">
        <v>25</v>
      </c>
      <c r="AP47" s="4">
        <v>0.9</v>
      </c>
      <c r="AQ47" s="4">
        <v>0.5</v>
      </c>
      <c r="AR47" s="4">
        <v>0.6</v>
      </c>
      <c r="AS47" s="4">
        <v>0.35</v>
      </c>
      <c r="AT47" s="6">
        <v>768.32745399999999</v>
      </c>
      <c r="AU47" s="4">
        <v>0.01</v>
      </c>
      <c r="AW47" s="4" t="s">
        <v>25</v>
      </c>
      <c r="AX47" s="4">
        <v>0.9</v>
      </c>
      <c r="AY47" s="4">
        <v>0.5</v>
      </c>
      <c r="AZ47" s="4">
        <v>0.6</v>
      </c>
      <c r="BA47" s="4">
        <v>0.3</v>
      </c>
      <c r="BB47" s="4">
        <v>772.68701199999998</v>
      </c>
      <c r="BC47" s="4">
        <v>6.0000000000000001E-3</v>
      </c>
      <c r="BD47" s="5"/>
      <c r="BE47" s="5"/>
      <c r="BF47" s="5"/>
      <c r="BG47" s="5"/>
      <c r="BI47" s="4" t="s">
        <v>25</v>
      </c>
      <c r="BJ47" s="4">
        <v>0.9</v>
      </c>
      <c r="BK47" s="4">
        <v>0.5</v>
      </c>
      <c r="BL47" s="4">
        <v>0.6</v>
      </c>
      <c r="BM47" s="4">
        <v>0.62</v>
      </c>
      <c r="BN47" s="4">
        <v>814.37048300000004</v>
      </c>
      <c r="BO47" s="4">
        <v>1.7999999999999999E-2</v>
      </c>
      <c r="BQ47" s="4" t="s">
        <v>25</v>
      </c>
      <c r="BR47" s="4">
        <v>0.9</v>
      </c>
      <c r="BS47" s="4">
        <v>0.5</v>
      </c>
      <c r="BT47" s="4">
        <v>0.6</v>
      </c>
      <c r="BU47" s="4">
        <v>0.31</v>
      </c>
      <c r="BV47" s="6">
        <v>742.07250999999997</v>
      </c>
      <c r="BW47" s="4">
        <v>3.0000000000000001E-3</v>
      </c>
      <c r="BX47" s="5"/>
      <c r="BY47" s="5"/>
      <c r="BZ47" s="5"/>
      <c r="CA47" s="5"/>
    </row>
    <row r="48" spans="1:79" x14ac:dyDescent="0.3">
      <c r="A48" s="4" t="s">
        <v>26</v>
      </c>
      <c r="B48" s="4">
        <v>0.9</v>
      </c>
      <c r="C48" s="4">
        <v>0.5</v>
      </c>
      <c r="D48" s="4">
        <v>0.6</v>
      </c>
      <c r="E48" s="4">
        <v>0.55000000000000004</v>
      </c>
      <c r="F48" s="4">
        <v>429.30593900000002</v>
      </c>
      <c r="G48" s="4">
        <v>1.2E-2</v>
      </c>
      <c r="I48" s="4" t="s">
        <v>26</v>
      </c>
      <c r="J48" s="4">
        <v>0.9</v>
      </c>
      <c r="K48" s="4">
        <v>0.5</v>
      </c>
      <c r="L48" s="4">
        <v>0.6</v>
      </c>
      <c r="M48" s="4">
        <v>0.32</v>
      </c>
      <c r="N48" s="6">
        <v>415.95513899999997</v>
      </c>
      <c r="O48" s="4">
        <v>1E-3</v>
      </c>
      <c r="P48" s="5"/>
      <c r="Q48" s="5"/>
      <c r="R48" s="5"/>
      <c r="S48" s="5"/>
      <c r="U48" s="4" t="s">
        <v>26</v>
      </c>
      <c r="V48" s="4">
        <v>0.9</v>
      </c>
      <c r="W48" s="4">
        <v>0.5</v>
      </c>
      <c r="X48" s="4">
        <v>0.6</v>
      </c>
      <c r="Y48" s="4">
        <v>0.46</v>
      </c>
      <c r="Z48" s="4">
        <v>409.87942500000003</v>
      </c>
      <c r="AA48" s="4">
        <v>0.06</v>
      </c>
      <c r="AC48" s="4" t="s">
        <v>26</v>
      </c>
      <c r="AD48" s="4">
        <v>0.9</v>
      </c>
      <c r="AE48" s="4">
        <v>0.5</v>
      </c>
      <c r="AF48" s="4">
        <v>0.6</v>
      </c>
      <c r="AG48" s="4">
        <v>0.39</v>
      </c>
      <c r="AH48" s="6">
        <v>404.13464399999998</v>
      </c>
      <c r="AI48" s="4">
        <v>0</v>
      </c>
      <c r="AJ48" s="5"/>
      <c r="AK48" s="5"/>
      <c r="AL48" s="5"/>
      <c r="AM48" s="5"/>
      <c r="AO48" s="4" t="s">
        <v>27</v>
      </c>
      <c r="AP48" s="4">
        <v>0.9</v>
      </c>
      <c r="AQ48" s="4">
        <v>0.5</v>
      </c>
      <c r="AR48" s="4">
        <v>0.6</v>
      </c>
      <c r="AS48" s="4">
        <v>0.38</v>
      </c>
      <c r="AT48" s="4">
        <v>758.743652</v>
      </c>
      <c r="AU48" s="4">
        <v>0.01</v>
      </c>
      <c r="AW48" s="4" t="s">
        <v>27</v>
      </c>
      <c r="AX48" s="4">
        <v>0.9</v>
      </c>
      <c r="AY48" s="4">
        <v>0.5</v>
      </c>
      <c r="AZ48" s="4">
        <v>0.6</v>
      </c>
      <c r="BA48" s="4">
        <v>0.31</v>
      </c>
      <c r="BB48" s="6">
        <v>737.00176999999996</v>
      </c>
      <c r="BC48" s="4">
        <v>0.01</v>
      </c>
      <c r="BD48" s="5"/>
      <c r="BE48" s="5"/>
      <c r="BF48" s="5"/>
      <c r="BG48" s="5"/>
      <c r="BI48" s="4" t="s">
        <v>27</v>
      </c>
      <c r="BJ48" s="4">
        <v>0.9</v>
      </c>
      <c r="BK48" s="4">
        <v>0.5</v>
      </c>
      <c r="BL48" s="4">
        <v>0.6</v>
      </c>
      <c r="BM48" s="4">
        <v>0.17</v>
      </c>
      <c r="BN48" s="6">
        <v>643.71209699999997</v>
      </c>
      <c r="BO48" s="4">
        <v>1.0999999999999999E-2</v>
      </c>
      <c r="BQ48" s="4" t="s">
        <v>27</v>
      </c>
      <c r="BR48" s="4">
        <v>0.9</v>
      </c>
      <c r="BS48" s="4">
        <v>0.5</v>
      </c>
      <c r="BT48" s="4">
        <v>0.6</v>
      </c>
      <c r="BU48" s="4">
        <v>0.3</v>
      </c>
      <c r="BV48" s="4">
        <v>685.56707800000004</v>
      </c>
      <c r="BW48" s="4">
        <v>4.0000000000000001E-3</v>
      </c>
      <c r="BX48" s="5"/>
      <c r="BY48" s="5"/>
      <c r="BZ48" s="5"/>
      <c r="CA48" s="5"/>
    </row>
    <row r="49" spans="1:79" x14ac:dyDescent="0.3">
      <c r="A49" s="4" t="s">
        <v>28</v>
      </c>
      <c r="B49" s="4">
        <v>0.9</v>
      </c>
      <c r="C49" s="4">
        <v>0.5</v>
      </c>
      <c r="D49" s="4">
        <v>0.6</v>
      </c>
      <c r="E49" s="4">
        <v>0.09</v>
      </c>
      <c r="F49" s="6">
        <v>342.79367100000002</v>
      </c>
      <c r="G49" s="4">
        <v>1.0999999999999999E-2</v>
      </c>
      <c r="I49" s="4" t="s">
        <v>28</v>
      </c>
      <c r="J49" s="4">
        <v>0.9</v>
      </c>
      <c r="K49" s="4">
        <v>0.5</v>
      </c>
      <c r="L49" s="4">
        <v>0.6</v>
      </c>
      <c r="M49" s="4">
        <v>0.41</v>
      </c>
      <c r="N49" s="6">
        <v>342.79367100000002</v>
      </c>
      <c r="O49" s="4">
        <v>1E-3</v>
      </c>
      <c r="P49" s="5"/>
      <c r="Q49" s="5"/>
      <c r="R49" s="5"/>
      <c r="S49" s="5"/>
      <c r="U49" s="4" t="s">
        <v>28</v>
      </c>
      <c r="V49" s="4">
        <v>0.9</v>
      </c>
      <c r="W49" s="4">
        <v>0.5</v>
      </c>
      <c r="X49" s="4">
        <v>0.6</v>
      </c>
      <c r="Y49" s="4">
        <v>0.56000000000000005</v>
      </c>
      <c r="Z49" s="4">
        <v>336.56967200000003</v>
      </c>
      <c r="AA49" s="4">
        <v>1.6E-2</v>
      </c>
      <c r="AC49" s="4" t="s">
        <v>28</v>
      </c>
      <c r="AD49" s="4">
        <v>0.9</v>
      </c>
      <c r="AE49" s="4">
        <v>0.5</v>
      </c>
      <c r="AF49" s="4">
        <v>0.6</v>
      </c>
      <c r="AG49" s="4">
        <v>0.31</v>
      </c>
      <c r="AH49" s="6">
        <v>321.178314</v>
      </c>
      <c r="AI49" s="4">
        <v>0</v>
      </c>
      <c r="AJ49" s="5"/>
      <c r="AK49" s="5"/>
      <c r="AL49" s="5"/>
      <c r="AM49" s="5"/>
      <c r="AO49" s="4" t="s">
        <v>29</v>
      </c>
      <c r="AP49" s="4">
        <v>0.9</v>
      </c>
      <c r="AQ49" s="4">
        <v>0.5</v>
      </c>
      <c r="AR49" s="4">
        <v>0.6</v>
      </c>
      <c r="AS49" s="4">
        <v>0.34</v>
      </c>
      <c r="AT49" s="4">
        <v>765.08569299999999</v>
      </c>
      <c r="AU49" s="4">
        <v>1.2E-2</v>
      </c>
      <c r="AW49" s="4" t="s">
        <v>29</v>
      </c>
      <c r="AX49" s="4">
        <v>0.9</v>
      </c>
      <c r="AY49" s="4">
        <v>0.5</v>
      </c>
      <c r="AZ49" s="4">
        <v>0.6</v>
      </c>
      <c r="BA49" s="4">
        <v>0.33</v>
      </c>
      <c r="BB49" s="6">
        <v>764.25109899999995</v>
      </c>
      <c r="BC49" s="4">
        <v>3.0000000000000001E-3</v>
      </c>
      <c r="BD49" s="5"/>
      <c r="BE49" s="5"/>
      <c r="BF49" s="5"/>
      <c r="BG49" s="5"/>
      <c r="BI49" s="4" t="s">
        <v>29</v>
      </c>
      <c r="BJ49" s="4">
        <v>0.9</v>
      </c>
      <c r="BK49" s="4">
        <v>0.5</v>
      </c>
      <c r="BL49" s="4">
        <v>0.6</v>
      </c>
      <c r="BM49" s="4">
        <v>0.05</v>
      </c>
      <c r="BN49" s="6">
        <v>633.13159199999996</v>
      </c>
      <c r="BO49" s="4">
        <v>1.4E-2</v>
      </c>
      <c r="BQ49" s="4" t="s">
        <v>29</v>
      </c>
      <c r="BR49" s="4">
        <v>0.9</v>
      </c>
      <c r="BS49" s="4">
        <v>0.5</v>
      </c>
      <c r="BT49" s="4">
        <v>0.6</v>
      </c>
      <c r="BU49" s="4">
        <v>0.3</v>
      </c>
      <c r="BV49" s="4">
        <v>723.33148200000005</v>
      </c>
      <c r="BW49" s="4">
        <v>4.0000000000000001E-3</v>
      </c>
      <c r="BX49" s="5"/>
      <c r="BY49" s="5"/>
      <c r="BZ49" s="5"/>
      <c r="CA49" s="5"/>
    </row>
    <row r="50" spans="1:79" x14ac:dyDescent="0.3">
      <c r="A50" s="4" t="s">
        <v>30</v>
      </c>
      <c r="B50" s="4">
        <v>0.9</v>
      </c>
      <c r="C50" s="4">
        <v>0.5</v>
      </c>
      <c r="D50" s="4">
        <v>0.6</v>
      </c>
      <c r="E50" s="4">
        <v>0.95</v>
      </c>
      <c r="F50" s="4">
        <v>599.32690400000001</v>
      </c>
      <c r="G50" s="4">
        <v>1.0999999999999999E-2</v>
      </c>
      <c r="I50" s="4" t="s">
        <v>30</v>
      </c>
      <c r="J50" s="4">
        <v>0.9</v>
      </c>
      <c r="K50" s="4">
        <v>0.5</v>
      </c>
      <c r="L50" s="4">
        <v>0.6</v>
      </c>
      <c r="M50" s="4">
        <v>0.4</v>
      </c>
      <c r="N50" s="6">
        <v>530.35003700000004</v>
      </c>
      <c r="O50" s="4">
        <v>0</v>
      </c>
      <c r="P50" s="5"/>
      <c r="Q50" s="5"/>
      <c r="R50" s="5"/>
      <c r="S50" s="5"/>
      <c r="U50" s="4" t="s">
        <v>30</v>
      </c>
      <c r="V50" s="4">
        <v>0.9</v>
      </c>
      <c r="W50" s="4">
        <v>0.5</v>
      </c>
      <c r="X50" s="4">
        <v>0.6</v>
      </c>
      <c r="Y50" s="4">
        <v>0.87</v>
      </c>
      <c r="Z50" s="4">
        <v>593.26654099999996</v>
      </c>
      <c r="AA50" s="4">
        <v>1.2E-2</v>
      </c>
      <c r="AC50" s="4" t="s">
        <v>30</v>
      </c>
      <c r="AD50" s="4">
        <v>0.9</v>
      </c>
      <c r="AE50" s="4">
        <v>0.5</v>
      </c>
      <c r="AF50" s="4">
        <v>0.6</v>
      </c>
      <c r="AG50" s="4">
        <v>0.47</v>
      </c>
      <c r="AH50" s="6">
        <v>521.48571800000002</v>
      </c>
      <c r="AI50" s="4">
        <v>1E-3</v>
      </c>
      <c r="AJ50" s="5"/>
      <c r="AK50" s="5"/>
      <c r="AL50" s="5"/>
      <c r="AM50" s="5"/>
      <c r="AO50" s="4" t="s">
        <v>31</v>
      </c>
      <c r="AP50" s="4">
        <v>0.9</v>
      </c>
      <c r="AQ50" s="4">
        <v>0.5</v>
      </c>
      <c r="AR50" s="4">
        <v>0.6</v>
      </c>
      <c r="AS50" s="4">
        <v>0.56000000000000005</v>
      </c>
      <c r="AT50" s="4">
        <v>1003.76532</v>
      </c>
      <c r="AU50" s="4">
        <v>2.5000000000000001E-2</v>
      </c>
      <c r="AW50" s="4" t="s">
        <v>31</v>
      </c>
      <c r="AX50" s="4">
        <v>0.9</v>
      </c>
      <c r="AY50" s="4">
        <v>0.5</v>
      </c>
      <c r="AZ50" s="4">
        <v>0.6</v>
      </c>
      <c r="BA50" s="4">
        <v>0.3</v>
      </c>
      <c r="BB50" s="6">
        <v>828.64166299999999</v>
      </c>
      <c r="BC50" s="4">
        <v>0.01</v>
      </c>
      <c r="BD50" s="5"/>
      <c r="BE50" s="5"/>
      <c r="BF50" s="5"/>
      <c r="BG50" s="5"/>
      <c r="BI50" s="4" t="s">
        <v>31</v>
      </c>
      <c r="BJ50" s="4">
        <v>0.9</v>
      </c>
      <c r="BK50" s="4">
        <v>0.5</v>
      </c>
      <c r="BL50" s="4">
        <v>0.6</v>
      </c>
      <c r="BM50" s="4">
        <v>0.63</v>
      </c>
      <c r="BN50" s="4">
        <v>1017.88147</v>
      </c>
      <c r="BO50" s="4">
        <v>3.2000000000000001E-2</v>
      </c>
      <c r="BQ50" s="4" t="s">
        <v>31</v>
      </c>
      <c r="BR50" s="4">
        <v>0.9</v>
      </c>
      <c r="BS50" s="4">
        <v>0.5</v>
      </c>
      <c r="BT50" s="4">
        <v>0.6</v>
      </c>
      <c r="BU50" s="4">
        <v>0.31</v>
      </c>
      <c r="BV50" s="6">
        <v>853.11639400000001</v>
      </c>
      <c r="BW50" s="4">
        <v>5.0000000000000001E-3</v>
      </c>
      <c r="BX50" s="5"/>
      <c r="BY50" s="5"/>
      <c r="BZ50" s="5"/>
      <c r="CA50" s="5"/>
    </row>
    <row r="51" spans="1:79" x14ac:dyDescent="0.3">
      <c r="A51" s="4" t="s">
        <v>32</v>
      </c>
      <c r="B51" s="4">
        <v>0.9</v>
      </c>
      <c r="C51" s="4">
        <v>0.5</v>
      </c>
      <c r="D51" s="4">
        <v>0.6</v>
      </c>
      <c r="E51" s="4">
        <v>0.39</v>
      </c>
      <c r="F51" s="4">
        <v>492.27050800000001</v>
      </c>
      <c r="G51" s="4">
        <v>0.01</v>
      </c>
      <c r="I51" s="4" t="s">
        <v>32</v>
      </c>
      <c r="J51" s="4">
        <v>0.9</v>
      </c>
      <c r="K51" s="4">
        <v>0.5</v>
      </c>
      <c r="L51" s="4">
        <v>0.6</v>
      </c>
      <c r="M51" s="4">
        <v>0.36</v>
      </c>
      <c r="N51" s="6">
        <v>474.58337399999999</v>
      </c>
      <c r="O51" s="4">
        <v>1E-3</v>
      </c>
      <c r="P51" s="5"/>
      <c r="Q51" s="5"/>
      <c r="R51" s="5"/>
      <c r="S51" s="5"/>
      <c r="U51" s="4" t="s">
        <v>32</v>
      </c>
      <c r="V51" s="4">
        <v>0.9</v>
      </c>
      <c r="W51" s="4">
        <v>0.5</v>
      </c>
      <c r="X51" s="4">
        <v>0.6</v>
      </c>
      <c r="Y51" s="4">
        <v>0.42</v>
      </c>
      <c r="Z51" s="4">
        <v>451.13433800000001</v>
      </c>
      <c r="AA51" s="4">
        <v>3.5000000000000003E-2</v>
      </c>
      <c r="AC51" s="4" t="s">
        <v>32</v>
      </c>
      <c r="AD51" s="4">
        <v>0.9</v>
      </c>
      <c r="AE51" s="4">
        <v>0.5</v>
      </c>
      <c r="AF51" s="4">
        <v>0.6</v>
      </c>
      <c r="AG51" s="4">
        <v>0.34</v>
      </c>
      <c r="AH51" s="6">
        <v>448.473206</v>
      </c>
      <c r="AI51" s="4">
        <v>0</v>
      </c>
      <c r="AJ51" s="5"/>
      <c r="AK51" s="5"/>
      <c r="AL51" s="5"/>
      <c r="AM51" s="5"/>
      <c r="AO51" s="4" t="s">
        <v>33</v>
      </c>
      <c r="AP51" s="4">
        <v>0.9</v>
      </c>
      <c r="AQ51" s="4">
        <v>0.5</v>
      </c>
      <c r="AR51" s="4">
        <v>0.6</v>
      </c>
      <c r="AS51" s="4">
        <v>0.19</v>
      </c>
      <c r="AT51" s="6">
        <v>724.33154300000001</v>
      </c>
      <c r="AU51" s="4">
        <v>2.8000000000000001E-2</v>
      </c>
      <c r="AW51" s="4" t="s">
        <v>33</v>
      </c>
      <c r="AX51" s="4">
        <v>0.9</v>
      </c>
      <c r="AY51" s="4">
        <v>0.5</v>
      </c>
      <c r="AZ51" s="4">
        <v>0.6</v>
      </c>
      <c r="BA51" s="4">
        <v>0.32</v>
      </c>
      <c r="BB51" s="4">
        <v>791.49188200000003</v>
      </c>
      <c r="BC51" s="4">
        <v>4.0000000000000001E-3</v>
      </c>
      <c r="BD51" s="5"/>
      <c r="BE51" s="5"/>
      <c r="BF51" s="5"/>
      <c r="BG51" s="5"/>
      <c r="BI51" s="4" t="s">
        <v>33</v>
      </c>
      <c r="BJ51" s="4">
        <v>0.9</v>
      </c>
      <c r="BK51" s="4">
        <v>0.5</v>
      </c>
      <c r="BL51" s="4">
        <v>0.6</v>
      </c>
      <c r="BM51" s="4">
        <v>0.59</v>
      </c>
      <c r="BN51" s="4">
        <v>929.01080300000001</v>
      </c>
      <c r="BO51" s="4">
        <v>1.6E-2</v>
      </c>
      <c r="BQ51" s="4" t="s">
        <v>33</v>
      </c>
      <c r="BR51" s="4">
        <v>0.9</v>
      </c>
      <c r="BS51" s="4">
        <v>0.5</v>
      </c>
      <c r="BT51" s="4">
        <v>0.6</v>
      </c>
      <c r="BU51" s="4">
        <v>0.3</v>
      </c>
      <c r="BV51" s="6">
        <v>753.53216599999996</v>
      </c>
      <c r="BW51" s="4">
        <v>6.0000000000000001E-3</v>
      </c>
      <c r="BX51" s="5"/>
      <c r="BY51" s="5"/>
      <c r="BZ51" s="5"/>
      <c r="CA51" s="5"/>
    </row>
    <row r="52" spans="1:79" x14ac:dyDescent="0.3">
      <c r="A52" s="4" t="s">
        <v>34</v>
      </c>
      <c r="B52" s="4">
        <v>0.9</v>
      </c>
      <c r="C52" s="4">
        <v>0.5</v>
      </c>
      <c r="D52" s="4">
        <v>0.6</v>
      </c>
      <c r="E52" s="4">
        <v>0.93</v>
      </c>
      <c r="F52" s="4">
        <v>476.92193600000002</v>
      </c>
      <c r="G52" s="4">
        <v>0.02</v>
      </c>
      <c r="I52" s="4" t="s">
        <v>34</v>
      </c>
      <c r="J52" s="4">
        <v>0.9</v>
      </c>
      <c r="K52" s="4">
        <v>0.5</v>
      </c>
      <c r="L52" s="4">
        <v>0.6</v>
      </c>
      <c r="M52" s="4">
        <v>0.57999999999999996</v>
      </c>
      <c r="N52" s="6">
        <v>410.641052</v>
      </c>
      <c r="O52" s="4">
        <v>1E-3</v>
      </c>
      <c r="P52" s="5"/>
      <c r="Q52" s="5"/>
      <c r="R52" s="5"/>
      <c r="S52" s="5"/>
      <c r="U52" s="4" t="s">
        <v>34</v>
      </c>
      <c r="V52" s="4">
        <v>0.9</v>
      </c>
      <c r="W52" s="4">
        <v>0.5</v>
      </c>
      <c r="X52" s="4">
        <v>0.6</v>
      </c>
      <c r="Y52" s="4">
        <v>0.66</v>
      </c>
      <c r="Z52" s="4">
        <v>411.86706500000003</v>
      </c>
      <c r="AA52" s="4">
        <v>3.4000000000000002E-2</v>
      </c>
      <c r="AC52" s="4" t="s">
        <v>34</v>
      </c>
      <c r="AD52" s="4">
        <v>0.9</v>
      </c>
      <c r="AE52" s="4">
        <v>0.5</v>
      </c>
      <c r="AF52" s="4">
        <v>0.6</v>
      </c>
      <c r="AG52" s="4">
        <v>0.3</v>
      </c>
      <c r="AH52" s="6">
        <v>403.30395499999997</v>
      </c>
      <c r="AI52" s="4">
        <v>1E-3</v>
      </c>
      <c r="AJ52" s="5"/>
      <c r="AK52" s="5"/>
      <c r="AL52" s="5"/>
      <c r="AM52" s="5"/>
      <c r="AO52" s="4" t="s">
        <v>35</v>
      </c>
      <c r="AP52" s="4">
        <v>0.9</v>
      </c>
      <c r="AQ52" s="4">
        <v>0.5</v>
      </c>
      <c r="AR52" s="4">
        <v>0.6</v>
      </c>
      <c r="AS52" s="4">
        <v>0.09</v>
      </c>
      <c r="AT52" s="6">
        <v>691.70568800000001</v>
      </c>
      <c r="AU52" s="4">
        <v>1.2E-2</v>
      </c>
      <c r="AW52" s="4" t="s">
        <v>35</v>
      </c>
      <c r="AX52" s="4">
        <v>0.9</v>
      </c>
      <c r="AY52" s="4">
        <v>0.5</v>
      </c>
      <c r="AZ52" s="4">
        <v>0.6</v>
      </c>
      <c r="BA52" s="4">
        <v>0.31</v>
      </c>
      <c r="BB52" s="4">
        <v>823.37982199999999</v>
      </c>
      <c r="BC52" s="4">
        <v>8.0000000000000002E-3</v>
      </c>
      <c r="BD52" s="5"/>
      <c r="BE52" s="5"/>
      <c r="BF52" s="5"/>
      <c r="BG52" s="5"/>
      <c r="BI52" s="4" t="s">
        <v>35</v>
      </c>
      <c r="BJ52" s="4">
        <v>0.9</v>
      </c>
      <c r="BK52" s="4">
        <v>0.5</v>
      </c>
      <c r="BL52" s="4">
        <v>0.6</v>
      </c>
      <c r="BM52" s="4">
        <v>0.62</v>
      </c>
      <c r="BN52" s="4">
        <v>969.627747</v>
      </c>
      <c r="BO52" s="4">
        <v>1.0999999999999999E-2</v>
      </c>
      <c r="BQ52" s="4" t="s">
        <v>35</v>
      </c>
      <c r="BR52" s="4">
        <v>0.9</v>
      </c>
      <c r="BS52" s="4">
        <v>0.5</v>
      </c>
      <c r="BT52" s="4">
        <v>0.6</v>
      </c>
      <c r="BU52" s="4">
        <v>0.36</v>
      </c>
      <c r="BV52" s="6">
        <v>827.339966</v>
      </c>
      <c r="BW52" s="4">
        <v>4.0000000000000001E-3</v>
      </c>
      <c r="BX52" s="5"/>
      <c r="BY52" s="5"/>
      <c r="BZ52" s="5"/>
      <c r="CA52" s="5"/>
    </row>
    <row r="53" spans="1:79" x14ac:dyDescent="0.3">
      <c r="A53" s="4" t="s">
        <v>36</v>
      </c>
      <c r="B53" s="4">
        <v>0.9</v>
      </c>
      <c r="C53" s="4">
        <v>0.5</v>
      </c>
      <c r="D53" s="4">
        <v>0.6</v>
      </c>
      <c r="E53" s="4">
        <v>0.05</v>
      </c>
      <c r="F53" s="4">
        <v>524.63445999999999</v>
      </c>
      <c r="G53" s="4">
        <v>1.7999999999999999E-2</v>
      </c>
      <c r="I53" s="4" t="s">
        <v>36</v>
      </c>
      <c r="J53" s="4">
        <v>0.9</v>
      </c>
      <c r="K53" s="4">
        <v>0.5</v>
      </c>
      <c r="L53" s="4">
        <v>0.6</v>
      </c>
      <c r="M53" s="4">
        <v>0.3</v>
      </c>
      <c r="N53" s="6">
        <v>519.61700399999995</v>
      </c>
      <c r="O53" s="4">
        <v>0</v>
      </c>
      <c r="P53" s="5"/>
      <c r="Q53" s="5"/>
      <c r="R53" s="5"/>
      <c r="S53" s="5"/>
      <c r="U53" s="4" t="s">
        <v>36</v>
      </c>
      <c r="V53" s="4">
        <v>0.9</v>
      </c>
      <c r="W53" s="4">
        <v>0.5</v>
      </c>
      <c r="X53" s="4">
        <v>0.6</v>
      </c>
      <c r="Y53" s="4">
        <v>0.32</v>
      </c>
      <c r="Z53" s="4">
        <v>515.84991500000001</v>
      </c>
      <c r="AA53" s="4">
        <v>1.4E-2</v>
      </c>
      <c r="AC53" s="4" t="s">
        <v>36</v>
      </c>
      <c r="AD53" s="4">
        <v>0.9</v>
      </c>
      <c r="AE53" s="4">
        <v>0.5</v>
      </c>
      <c r="AF53" s="4">
        <v>0.6</v>
      </c>
      <c r="AG53" s="4">
        <v>0.36</v>
      </c>
      <c r="AH53" s="6">
        <v>498.56735200000003</v>
      </c>
      <c r="AI53" s="4">
        <v>1E-3</v>
      </c>
      <c r="AJ53" s="5"/>
      <c r="AK53" s="5"/>
      <c r="AL53" s="5"/>
      <c r="AM53" s="5"/>
      <c r="AO53" s="4" t="s">
        <v>37</v>
      </c>
      <c r="AP53" s="4">
        <v>0.9</v>
      </c>
      <c r="AQ53" s="4">
        <v>0.5</v>
      </c>
      <c r="AR53" s="4">
        <v>0.6</v>
      </c>
      <c r="AS53" s="4">
        <v>0.69</v>
      </c>
      <c r="AT53" s="4">
        <v>958.21044900000004</v>
      </c>
      <c r="AU53" s="4">
        <v>1.7999999999999999E-2</v>
      </c>
      <c r="AW53" s="4" t="s">
        <v>37</v>
      </c>
      <c r="AX53" s="4">
        <v>0.9</v>
      </c>
      <c r="AY53" s="4">
        <v>0.5</v>
      </c>
      <c r="AZ53" s="4">
        <v>0.6</v>
      </c>
      <c r="BA53" s="4">
        <v>0.31</v>
      </c>
      <c r="BB53" s="6">
        <v>831.66473399999995</v>
      </c>
      <c r="BC53" s="4">
        <v>4.0000000000000001E-3</v>
      </c>
      <c r="BD53" s="5"/>
      <c r="BE53" s="5"/>
      <c r="BF53" s="5"/>
      <c r="BG53" s="5"/>
      <c r="BI53" s="4" t="s">
        <v>37</v>
      </c>
      <c r="BJ53" s="4">
        <v>0.9</v>
      </c>
      <c r="BK53" s="4">
        <v>0.5</v>
      </c>
      <c r="BL53" s="4">
        <v>0.6</v>
      </c>
      <c r="BM53" s="4">
        <v>0.02</v>
      </c>
      <c r="BN53" s="6">
        <v>688.94085700000005</v>
      </c>
      <c r="BO53" s="4">
        <v>1.7999999999999999E-2</v>
      </c>
      <c r="BQ53" s="4" t="s">
        <v>37</v>
      </c>
      <c r="BR53" s="4">
        <v>0.9</v>
      </c>
      <c r="BS53" s="4">
        <v>0.5</v>
      </c>
      <c r="BT53" s="4">
        <v>0.6</v>
      </c>
      <c r="BU53" s="4">
        <v>0.32</v>
      </c>
      <c r="BV53" s="4">
        <v>777.042419</v>
      </c>
      <c r="BW53" s="4">
        <v>4.0000000000000001E-3</v>
      </c>
      <c r="BX53" s="5"/>
      <c r="BY53" s="5"/>
      <c r="BZ53" s="5"/>
      <c r="CA53" s="5"/>
    </row>
    <row r="54" spans="1:79" x14ac:dyDescent="0.3">
      <c r="A54" s="4" t="s">
        <v>38</v>
      </c>
      <c r="B54" s="4">
        <v>0.9</v>
      </c>
      <c r="C54" s="4">
        <v>0.5</v>
      </c>
      <c r="D54" s="4">
        <v>0.6</v>
      </c>
      <c r="E54" s="4">
        <v>0.16</v>
      </c>
      <c r="F54" s="6">
        <v>460.70144699999997</v>
      </c>
      <c r="G54" s="4">
        <v>0.02</v>
      </c>
      <c r="I54" s="4" t="s">
        <v>38</v>
      </c>
      <c r="J54" s="4">
        <v>0.9</v>
      </c>
      <c r="K54" s="4">
        <v>0.5</v>
      </c>
      <c r="L54" s="4">
        <v>0.6</v>
      </c>
      <c r="M54" s="4">
        <v>0.33</v>
      </c>
      <c r="N54" s="8">
        <v>460.70144699999997</v>
      </c>
      <c r="O54" s="4">
        <v>1E-3</v>
      </c>
      <c r="P54" s="5"/>
      <c r="Q54" s="5"/>
      <c r="R54" s="5"/>
      <c r="S54" s="5"/>
      <c r="U54" s="4" t="s">
        <v>38</v>
      </c>
      <c r="V54" s="4">
        <v>0.9</v>
      </c>
      <c r="W54" s="4">
        <v>0.5</v>
      </c>
      <c r="X54" s="4">
        <v>0.6</v>
      </c>
      <c r="Y54" s="4">
        <v>0.9</v>
      </c>
      <c r="Z54" s="4">
        <v>480.62985200000003</v>
      </c>
      <c r="AA54" s="4">
        <v>1.0999999999999999E-2</v>
      </c>
      <c r="AC54" s="4" t="s">
        <v>38</v>
      </c>
      <c r="AD54" s="4">
        <v>0.9</v>
      </c>
      <c r="AE54" s="4">
        <v>0.5</v>
      </c>
      <c r="AF54" s="4">
        <v>0.6</v>
      </c>
      <c r="AG54" s="4">
        <v>0.35</v>
      </c>
      <c r="AH54" s="6">
        <v>445.48510700000003</v>
      </c>
      <c r="AI54" s="4">
        <v>1E-3</v>
      </c>
      <c r="AJ54" s="5"/>
      <c r="AK54" s="5"/>
      <c r="AL54" s="5"/>
      <c r="AM54" s="5"/>
      <c r="AO54" s="4" t="s">
        <v>39</v>
      </c>
      <c r="AP54" s="4">
        <v>0.9</v>
      </c>
      <c r="AQ54" s="4">
        <v>0.5</v>
      </c>
      <c r="AR54" s="4">
        <v>0.6</v>
      </c>
      <c r="AS54" s="4">
        <v>0.08</v>
      </c>
      <c r="AT54" s="6">
        <v>712.37927200000001</v>
      </c>
      <c r="AU54" s="4">
        <v>8.9999999999999993E-3</v>
      </c>
      <c r="AW54" s="4" t="s">
        <v>39</v>
      </c>
      <c r="AX54" s="4">
        <v>0.9</v>
      </c>
      <c r="AY54" s="4">
        <v>0.5</v>
      </c>
      <c r="AZ54" s="4">
        <v>0.6</v>
      </c>
      <c r="BA54" s="4">
        <v>0.3</v>
      </c>
      <c r="BB54" s="4">
        <v>813.07049600000005</v>
      </c>
      <c r="BC54" s="4">
        <v>5.0000000000000001E-3</v>
      </c>
      <c r="BD54" s="5"/>
      <c r="BE54" s="5"/>
      <c r="BF54" s="5"/>
      <c r="BG54" s="5"/>
      <c r="BI54" s="4" t="s">
        <v>39</v>
      </c>
      <c r="BJ54" s="4">
        <v>0.9</v>
      </c>
      <c r="BK54" s="4">
        <v>0.5</v>
      </c>
      <c r="BL54" s="4">
        <v>0.6</v>
      </c>
      <c r="BM54" s="4">
        <v>0.4</v>
      </c>
      <c r="BN54" s="6">
        <v>794.63861099999997</v>
      </c>
      <c r="BO54" s="4">
        <v>1.2E-2</v>
      </c>
      <c r="BQ54" s="4" t="s">
        <v>39</v>
      </c>
      <c r="BR54" s="4">
        <v>0.9</v>
      </c>
      <c r="BS54" s="4">
        <v>0.5</v>
      </c>
      <c r="BT54" s="4">
        <v>0.6</v>
      </c>
      <c r="BU54" s="4">
        <v>0.3</v>
      </c>
      <c r="BV54" s="4">
        <v>797.18023700000003</v>
      </c>
      <c r="BW54" s="4">
        <v>5.0000000000000001E-3</v>
      </c>
      <c r="BX54" s="5"/>
      <c r="BY54" s="5"/>
      <c r="BZ54" s="5"/>
      <c r="CA54" s="5"/>
    </row>
    <row r="55" spans="1:79" x14ac:dyDescent="0.3">
      <c r="A55" s="4" t="s">
        <v>40</v>
      </c>
      <c r="B55" s="4">
        <v>0.9</v>
      </c>
      <c r="C55" s="4">
        <v>0.5</v>
      </c>
      <c r="D55" s="4">
        <v>0.6</v>
      </c>
      <c r="E55" s="4">
        <v>0.44</v>
      </c>
      <c r="F55" s="4">
        <v>409.011078</v>
      </c>
      <c r="G55" s="4">
        <v>1.2E-2</v>
      </c>
      <c r="I55" s="4" t="s">
        <v>40</v>
      </c>
      <c r="J55" s="4">
        <v>0.9</v>
      </c>
      <c r="K55" s="4">
        <v>0.5</v>
      </c>
      <c r="L55" s="4">
        <v>0.6</v>
      </c>
      <c r="M55" s="4">
        <v>0.39</v>
      </c>
      <c r="N55" s="6">
        <v>402.25769000000003</v>
      </c>
      <c r="O55" s="4">
        <v>0</v>
      </c>
      <c r="P55" s="5"/>
      <c r="Q55" s="5"/>
      <c r="R55" s="5"/>
      <c r="S55" s="5"/>
      <c r="U55" s="4" t="s">
        <v>40</v>
      </c>
      <c r="V55" s="4">
        <v>0.9</v>
      </c>
      <c r="W55" s="4">
        <v>0.5</v>
      </c>
      <c r="X55" s="4">
        <v>0.6</v>
      </c>
      <c r="Y55" s="4">
        <v>0.55000000000000004</v>
      </c>
      <c r="Z55" s="4">
        <v>404.30941799999999</v>
      </c>
      <c r="AA55" s="4">
        <v>2.5999999999999999E-2</v>
      </c>
      <c r="AC55" s="4" t="s">
        <v>40</v>
      </c>
      <c r="AD55" s="4">
        <v>0.9</v>
      </c>
      <c r="AE55" s="4">
        <v>0.5</v>
      </c>
      <c r="AF55" s="4">
        <v>0.6</v>
      </c>
      <c r="AG55" s="4">
        <v>0.33</v>
      </c>
      <c r="AH55" s="6">
        <v>389.52652</v>
      </c>
      <c r="AI55" s="4">
        <v>1E-3</v>
      </c>
      <c r="AJ55" s="5"/>
      <c r="AK55" s="5"/>
      <c r="AL55" s="5"/>
      <c r="AM55" s="5"/>
      <c r="AO55" s="4" t="s">
        <v>41</v>
      </c>
      <c r="AP55" s="4">
        <v>0.9</v>
      </c>
      <c r="AQ55" s="4">
        <v>0.5</v>
      </c>
      <c r="AR55" s="4">
        <v>0.6</v>
      </c>
      <c r="AS55" s="4">
        <v>0.04</v>
      </c>
      <c r="AT55" s="6">
        <v>741.34246800000005</v>
      </c>
      <c r="AU55" s="4">
        <v>1.6E-2</v>
      </c>
      <c r="AW55" s="4" t="s">
        <v>41</v>
      </c>
      <c r="AX55" s="4">
        <v>0.9</v>
      </c>
      <c r="AY55" s="4">
        <v>0.5</v>
      </c>
      <c r="AZ55" s="4">
        <v>0.6</v>
      </c>
      <c r="BA55" s="4">
        <v>0.3</v>
      </c>
      <c r="BB55" s="4">
        <v>933.11230499999999</v>
      </c>
      <c r="BC55" s="4">
        <v>6.0000000000000001E-3</v>
      </c>
      <c r="BD55" s="5"/>
      <c r="BE55" s="5"/>
      <c r="BF55" s="5"/>
      <c r="BG55" s="5"/>
      <c r="BI55" s="4" t="s">
        <v>41</v>
      </c>
      <c r="BJ55" s="4">
        <v>0.9</v>
      </c>
      <c r="BK55" s="4">
        <v>0.5</v>
      </c>
      <c r="BL55" s="4">
        <v>0.6</v>
      </c>
      <c r="BM55" s="4">
        <v>0.6</v>
      </c>
      <c r="BN55" s="4">
        <v>1023.988159</v>
      </c>
      <c r="BO55" s="4">
        <v>2.8000000000000001E-2</v>
      </c>
      <c r="BQ55" s="4" t="s">
        <v>41</v>
      </c>
      <c r="BR55" s="4">
        <v>0.9</v>
      </c>
      <c r="BS55" s="4">
        <v>0.5</v>
      </c>
      <c r="BT55" s="4">
        <v>0.6</v>
      </c>
      <c r="BU55" s="4">
        <v>0.33</v>
      </c>
      <c r="BV55" s="6">
        <v>879.11480700000004</v>
      </c>
      <c r="BW55" s="4">
        <v>5.0000000000000001E-3</v>
      </c>
      <c r="BX55" s="5"/>
      <c r="BY55" s="5"/>
      <c r="BZ55" s="5"/>
      <c r="CA55" s="5"/>
    </row>
    <row r="56" spans="1:79" x14ac:dyDescent="0.3">
      <c r="A56" s="4" t="s">
        <v>42</v>
      </c>
      <c r="B56" s="4">
        <v>0.9</v>
      </c>
      <c r="C56" s="4">
        <v>0.5</v>
      </c>
      <c r="D56" s="4">
        <v>0.6</v>
      </c>
      <c r="E56" s="4">
        <v>0.47</v>
      </c>
      <c r="F56" s="4">
        <v>446.863831</v>
      </c>
      <c r="G56" s="4">
        <v>2.5999999999999999E-2</v>
      </c>
      <c r="I56" s="4" t="s">
        <v>42</v>
      </c>
      <c r="J56" s="4">
        <v>0.9</v>
      </c>
      <c r="K56" s="4">
        <v>0.5</v>
      </c>
      <c r="L56" s="4">
        <v>0.6</v>
      </c>
      <c r="M56" s="4">
        <v>0.3</v>
      </c>
      <c r="N56" s="6">
        <v>428.95291099999997</v>
      </c>
      <c r="O56" s="4">
        <v>1E-3</v>
      </c>
      <c r="P56" s="5"/>
      <c r="Q56" s="5"/>
      <c r="R56" s="5"/>
      <c r="S56" s="5"/>
      <c r="U56" s="4" t="s">
        <v>42</v>
      </c>
      <c r="V56" s="4">
        <v>0.9</v>
      </c>
      <c r="W56" s="4">
        <v>0.5</v>
      </c>
      <c r="X56" s="4">
        <v>0.6</v>
      </c>
      <c r="Y56" s="4">
        <v>0.79</v>
      </c>
      <c r="Z56" s="4">
        <v>466.98504600000001</v>
      </c>
      <c r="AA56" s="4">
        <v>1.2E-2</v>
      </c>
      <c r="AC56" s="4" t="s">
        <v>42</v>
      </c>
      <c r="AD56" s="4">
        <v>0.9</v>
      </c>
      <c r="AE56" s="4">
        <v>0.5</v>
      </c>
      <c r="AF56" s="4">
        <v>0.6</v>
      </c>
      <c r="AG56" s="4">
        <v>0.35</v>
      </c>
      <c r="AH56" s="6">
        <v>409.94903599999998</v>
      </c>
      <c r="AI56" s="4">
        <v>0</v>
      </c>
      <c r="AJ56" s="5"/>
      <c r="AK56" s="5"/>
      <c r="AL56" s="5"/>
      <c r="AM56" s="5"/>
      <c r="AO56" s="4" t="s">
        <v>43</v>
      </c>
      <c r="AP56" s="4">
        <v>0.9</v>
      </c>
      <c r="AQ56" s="4">
        <v>0.5</v>
      </c>
      <c r="AR56" s="4">
        <v>0.6</v>
      </c>
      <c r="AS56" s="4">
        <v>0.88</v>
      </c>
      <c r="AT56" s="4">
        <v>983.80688499999997</v>
      </c>
      <c r="AU56" s="4">
        <v>1.4999999999999999E-2</v>
      </c>
      <c r="AW56" s="4" t="s">
        <v>43</v>
      </c>
      <c r="AX56" s="4">
        <v>0.9</v>
      </c>
      <c r="AY56" s="4">
        <v>0.5</v>
      </c>
      <c r="AZ56" s="4">
        <v>0.6</v>
      </c>
      <c r="BA56" s="4">
        <v>0.35</v>
      </c>
      <c r="BB56" s="6">
        <v>816.88177499999995</v>
      </c>
      <c r="BC56" s="4">
        <v>6.0000000000000001E-3</v>
      </c>
      <c r="BD56" s="5"/>
      <c r="BE56" s="5"/>
      <c r="BF56" s="5"/>
      <c r="BG56" s="5"/>
      <c r="BI56" s="4" t="s">
        <v>43</v>
      </c>
      <c r="BJ56" s="4">
        <v>0.9</v>
      </c>
      <c r="BK56" s="4">
        <v>0.5</v>
      </c>
      <c r="BL56" s="4">
        <v>0.6</v>
      </c>
      <c r="BM56" s="4">
        <v>0.52</v>
      </c>
      <c r="BN56" s="4">
        <v>888.82391399999995</v>
      </c>
      <c r="BO56" s="4">
        <v>1.2999999999999999E-2</v>
      </c>
      <c r="BQ56" s="4" t="s">
        <v>43</v>
      </c>
      <c r="BR56" s="4">
        <v>0.9</v>
      </c>
      <c r="BS56" s="4">
        <v>0.5</v>
      </c>
      <c r="BT56" s="4">
        <v>0.6</v>
      </c>
      <c r="BU56" s="4">
        <v>0.36</v>
      </c>
      <c r="BV56" s="6">
        <v>804.87780799999996</v>
      </c>
      <c r="BW56" s="4">
        <v>4.0000000000000001E-3</v>
      </c>
      <c r="BX56" s="5"/>
      <c r="BY56" s="5"/>
      <c r="BZ56" s="5"/>
      <c r="CA56" s="5"/>
    </row>
    <row r="57" spans="1:79" x14ac:dyDescent="0.3">
      <c r="A57" s="4" t="s">
        <v>44</v>
      </c>
      <c r="B57" s="4">
        <v>0.9</v>
      </c>
      <c r="C57" s="4">
        <v>0.5</v>
      </c>
      <c r="D57" s="4">
        <v>0.6</v>
      </c>
      <c r="E57" s="4">
        <v>0.48</v>
      </c>
      <c r="F57" s="4">
        <v>540.86798099999999</v>
      </c>
      <c r="G57" s="4">
        <v>1.2E-2</v>
      </c>
      <c r="I57" s="4" t="s">
        <v>44</v>
      </c>
      <c r="J57" s="4">
        <v>0.9</v>
      </c>
      <c r="K57" s="4">
        <v>0.5</v>
      </c>
      <c r="L57" s="4">
        <v>0.6</v>
      </c>
      <c r="M57" s="4">
        <v>0.37</v>
      </c>
      <c r="N57" s="6">
        <v>511.68850700000002</v>
      </c>
      <c r="O57" s="4">
        <v>0</v>
      </c>
      <c r="P57" s="5"/>
      <c r="Q57" s="5"/>
      <c r="R57" s="5"/>
      <c r="S57" s="5"/>
      <c r="U57" s="4" t="s">
        <v>44</v>
      </c>
      <c r="V57" s="4">
        <v>0.9</v>
      </c>
      <c r="W57" s="4">
        <v>0.5</v>
      </c>
      <c r="X57" s="4">
        <v>0.6</v>
      </c>
      <c r="Y57" s="4">
        <v>0.08</v>
      </c>
      <c r="Z57" s="6">
        <v>493.68411300000002</v>
      </c>
      <c r="AA57" s="4">
        <v>1.4999999999999999E-2</v>
      </c>
      <c r="AC57" s="4" t="s">
        <v>44</v>
      </c>
      <c r="AD57" s="4">
        <v>0.9</v>
      </c>
      <c r="AE57" s="4">
        <v>0.5</v>
      </c>
      <c r="AF57" s="4">
        <v>0.6</v>
      </c>
      <c r="AG57" s="4">
        <v>0.32</v>
      </c>
      <c r="AH57" s="4">
        <v>503.404968</v>
      </c>
      <c r="AI57" s="4">
        <v>1E-3</v>
      </c>
      <c r="AJ57" s="5"/>
      <c r="AK57" s="5"/>
      <c r="AL57" s="5"/>
      <c r="AM57" s="5"/>
      <c r="AO57" s="4" t="s">
        <v>45</v>
      </c>
      <c r="AP57" s="4">
        <v>0.9</v>
      </c>
      <c r="AQ57" s="4">
        <v>0.5</v>
      </c>
      <c r="AR57" s="4">
        <v>0.6</v>
      </c>
      <c r="AS57" s="4">
        <v>0.51</v>
      </c>
      <c r="AT57" s="4">
        <v>970.62969999999996</v>
      </c>
      <c r="AU57" s="4">
        <v>1.4999999999999999E-2</v>
      </c>
      <c r="AW57" s="4" t="s">
        <v>45</v>
      </c>
      <c r="AX57" s="4">
        <v>0.9</v>
      </c>
      <c r="AY57" s="4">
        <v>0.5</v>
      </c>
      <c r="AZ57" s="4">
        <v>0.6</v>
      </c>
      <c r="BA57" s="4">
        <v>0.32</v>
      </c>
      <c r="BB57" s="6">
        <v>874.96545400000002</v>
      </c>
      <c r="BC57" s="4">
        <v>6.0000000000000001E-3</v>
      </c>
      <c r="BD57" s="5"/>
      <c r="BE57" s="5"/>
      <c r="BF57" s="5"/>
      <c r="BG57" s="5"/>
      <c r="BI57" s="4" t="s">
        <v>45</v>
      </c>
      <c r="BJ57" s="4">
        <v>0.9</v>
      </c>
      <c r="BK57" s="4">
        <v>0.5</v>
      </c>
      <c r="BL57" s="4">
        <v>0.6</v>
      </c>
      <c r="BM57" s="4">
        <v>0.25</v>
      </c>
      <c r="BN57" s="6">
        <v>800.54461700000002</v>
      </c>
      <c r="BO57" s="4">
        <v>2.5000000000000001E-2</v>
      </c>
      <c r="BQ57" s="4" t="s">
        <v>45</v>
      </c>
      <c r="BR57" s="4">
        <v>0.9</v>
      </c>
      <c r="BS57" s="4">
        <v>0.5</v>
      </c>
      <c r="BT57" s="4">
        <v>0.6</v>
      </c>
      <c r="BU57" s="4">
        <v>0.32</v>
      </c>
      <c r="BV57" s="4">
        <v>859.44891399999995</v>
      </c>
      <c r="BW57" s="4">
        <v>5.0000000000000001E-3</v>
      </c>
      <c r="BX57" s="5"/>
      <c r="BY57" s="5"/>
      <c r="BZ57" s="5"/>
      <c r="CA57" s="5"/>
    </row>
    <row r="58" spans="1:79" x14ac:dyDescent="0.3">
      <c r="A58" s="4" t="s">
        <v>46</v>
      </c>
      <c r="B58" s="4">
        <v>0.9</v>
      </c>
      <c r="C58" s="4">
        <v>0.5</v>
      </c>
      <c r="D58" s="4">
        <v>0.6</v>
      </c>
      <c r="E58" s="4">
        <v>0.63</v>
      </c>
      <c r="F58" s="4">
        <v>496.26355000000001</v>
      </c>
      <c r="G58" s="4">
        <v>3.4000000000000002E-2</v>
      </c>
      <c r="I58" s="4" t="s">
        <v>46</v>
      </c>
      <c r="J58" s="4">
        <v>0.9</v>
      </c>
      <c r="K58" s="4">
        <v>0.5</v>
      </c>
      <c r="L58" s="4">
        <v>0.6</v>
      </c>
      <c r="M58" s="4">
        <v>0.48</v>
      </c>
      <c r="N58" s="6">
        <v>488.44482399999998</v>
      </c>
      <c r="O58" s="4">
        <v>1E-3</v>
      </c>
      <c r="P58" s="5"/>
      <c r="Q58" s="5"/>
      <c r="R58" s="5"/>
      <c r="S58" s="5"/>
      <c r="U58" s="4" t="s">
        <v>46</v>
      </c>
      <c r="V58" s="4">
        <v>0.9</v>
      </c>
      <c r="W58" s="4">
        <v>0.5</v>
      </c>
      <c r="X58" s="4">
        <v>0.6</v>
      </c>
      <c r="Y58" s="4">
        <v>0.7</v>
      </c>
      <c r="Z58" s="4">
        <v>487.16113300000001</v>
      </c>
      <c r="AA58" s="4">
        <v>1.7999999999999999E-2</v>
      </c>
      <c r="AC58" s="4" t="s">
        <v>46</v>
      </c>
      <c r="AD58" s="4">
        <v>0.9</v>
      </c>
      <c r="AE58" s="4">
        <v>0.5</v>
      </c>
      <c r="AF58" s="4">
        <v>0.6</v>
      </c>
      <c r="AG58" s="4">
        <v>0.42</v>
      </c>
      <c r="AH58" s="6">
        <v>472.42095899999998</v>
      </c>
      <c r="AI58" s="4">
        <v>0</v>
      </c>
      <c r="AJ58" s="5"/>
      <c r="AK58" s="5"/>
      <c r="AL58" s="5"/>
      <c r="AM58" s="5"/>
      <c r="AO58" s="4" t="s">
        <v>47</v>
      </c>
      <c r="AP58" s="4">
        <v>0.9</v>
      </c>
      <c r="AQ58" s="4">
        <v>0.5</v>
      </c>
      <c r="AR58" s="4">
        <v>0.6</v>
      </c>
      <c r="AS58" s="4">
        <v>0.98</v>
      </c>
      <c r="AT58" s="4">
        <v>987.79699700000003</v>
      </c>
      <c r="AU58" s="4">
        <v>2.5000000000000001E-2</v>
      </c>
      <c r="AW58" s="4" t="s">
        <v>47</v>
      </c>
      <c r="AX58" s="4">
        <v>0.9</v>
      </c>
      <c r="AY58" s="4">
        <v>0.5</v>
      </c>
      <c r="AZ58" s="4">
        <v>0.6</v>
      </c>
      <c r="BA58" s="4">
        <v>0.3</v>
      </c>
      <c r="BB58" s="6">
        <v>803.90490699999998</v>
      </c>
      <c r="BC58" s="4">
        <v>6.0000000000000001E-3</v>
      </c>
      <c r="BD58" s="5"/>
      <c r="BE58" s="5"/>
      <c r="BF58" s="5"/>
      <c r="BG58" s="5"/>
      <c r="BI58" s="4" t="s">
        <v>47</v>
      </c>
      <c r="BJ58" s="4">
        <v>0.9</v>
      </c>
      <c r="BK58" s="4">
        <v>0.5</v>
      </c>
      <c r="BL58" s="4">
        <v>0.6</v>
      </c>
      <c r="BM58" s="4">
        <v>0.73</v>
      </c>
      <c r="BN58" s="4">
        <v>935.40039100000001</v>
      </c>
      <c r="BO58" s="4">
        <v>0.01</v>
      </c>
      <c r="BQ58" s="4" t="s">
        <v>47</v>
      </c>
      <c r="BR58" s="4">
        <v>0.9</v>
      </c>
      <c r="BS58" s="4">
        <v>0.5</v>
      </c>
      <c r="BT58" s="4">
        <v>0.6</v>
      </c>
      <c r="BU58" s="4">
        <v>0.33</v>
      </c>
      <c r="BV58" s="6">
        <v>775.75659199999996</v>
      </c>
      <c r="BW58" s="4">
        <v>4.0000000000000001E-3</v>
      </c>
      <c r="BX58" s="5"/>
      <c r="BY58" s="5"/>
      <c r="BZ58" s="5"/>
      <c r="CA58" s="5"/>
    </row>
    <row r="59" spans="1:79" x14ac:dyDescent="0.3">
      <c r="A59" s="4" t="s">
        <v>48</v>
      </c>
      <c r="B59" s="4">
        <v>0.9</v>
      </c>
      <c r="C59" s="4">
        <v>0.5</v>
      </c>
      <c r="D59" s="4">
        <v>0.6</v>
      </c>
      <c r="E59" s="4">
        <v>0.87</v>
      </c>
      <c r="F59" s="4">
        <v>505.35818499999999</v>
      </c>
      <c r="G59" s="4">
        <v>6.0000000000000001E-3</v>
      </c>
      <c r="I59" s="4" t="s">
        <v>48</v>
      </c>
      <c r="J59" s="4">
        <v>0.9</v>
      </c>
      <c r="K59" s="4">
        <v>0.5</v>
      </c>
      <c r="L59" s="4">
        <v>0.6</v>
      </c>
      <c r="M59" s="4">
        <v>0.33</v>
      </c>
      <c r="N59" s="6">
        <v>455.84371900000002</v>
      </c>
      <c r="O59" s="4">
        <v>1E-3</v>
      </c>
      <c r="P59" s="5"/>
      <c r="Q59" s="5"/>
      <c r="R59" s="5"/>
      <c r="S59" s="5"/>
      <c r="U59" s="4" t="s">
        <v>48</v>
      </c>
      <c r="V59" s="4">
        <v>0.9</v>
      </c>
      <c r="W59" s="4">
        <v>0.5</v>
      </c>
      <c r="X59" s="4">
        <v>0.6</v>
      </c>
      <c r="Y59" s="4">
        <v>0.88</v>
      </c>
      <c r="Z59" s="4">
        <v>490.06985500000002</v>
      </c>
      <c r="AA59" s="4">
        <v>8.9999999999999993E-3</v>
      </c>
      <c r="AC59" s="4" t="s">
        <v>48</v>
      </c>
      <c r="AD59" s="4">
        <v>0.9</v>
      </c>
      <c r="AE59" s="4">
        <v>0.5</v>
      </c>
      <c r="AF59" s="4">
        <v>0.6</v>
      </c>
      <c r="AG59" s="4">
        <v>0.4</v>
      </c>
      <c r="AH59" s="6">
        <v>435.15716600000002</v>
      </c>
      <c r="AI59" s="4">
        <v>1E-3</v>
      </c>
      <c r="AJ59" s="5"/>
      <c r="AK59" s="5"/>
      <c r="AL59" s="5"/>
      <c r="AM59" s="5"/>
      <c r="AO59" s="4" t="s">
        <v>49</v>
      </c>
      <c r="AP59" s="4">
        <v>0.9</v>
      </c>
      <c r="AQ59" s="4">
        <v>0.5</v>
      </c>
      <c r="AR59" s="4">
        <v>0.6</v>
      </c>
      <c r="AS59" s="4">
        <v>0.31</v>
      </c>
      <c r="AT59" s="6">
        <v>823.80255099999999</v>
      </c>
      <c r="AU59" s="4">
        <v>1.4999999999999999E-2</v>
      </c>
      <c r="AW59" s="4" t="s">
        <v>49</v>
      </c>
      <c r="AX59" s="4">
        <v>0.9</v>
      </c>
      <c r="AY59" s="4">
        <v>0.5</v>
      </c>
      <c r="AZ59" s="4">
        <v>0.6</v>
      </c>
      <c r="BA59" s="4">
        <v>0.3</v>
      </c>
      <c r="BB59" s="4">
        <v>860.29156499999999</v>
      </c>
      <c r="BC59" s="4">
        <v>6.0000000000000001E-3</v>
      </c>
      <c r="BD59" s="5"/>
      <c r="BE59" s="5"/>
      <c r="BF59" s="5"/>
      <c r="BG59" s="5"/>
      <c r="BI59" s="4" t="s">
        <v>49</v>
      </c>
      <c r="BJ59" s="4">
        <v>0.9</v>
      </c>
      <c r="BK59" s="4">
        <v>0.5</v>
      </c>
      <c r="BL59" s="4">
        <v>0.6</v>
      </c>
      <c r="BM59" s="4">
        <v>0.56999999999999995</v>
      </c>
      <c r="BN59" s="4">
        <v>889.14404300000001</v>
      </c>
      <c r="BO59" s="4">
        <v>2.3E-2</v>
      </c>
      <c r="BQ59" s="4" t="s">
        <v>49</v>
      </c>
      <c r="BR59" s="4">
        <v>0.9</v>
      </c>
      <c r="BS59" s="4">
        <v>0.5</v>
      </c>
      <c r="BT59" s="4">
        <v>0.6</v>
      </c>
      <c r="BU59" s="4">
        <v>0.3</v>
      </c>
      <c r="BV59" s="6">
        <v>821.84484899999995</v>
      </c>
      <c r="BW59" s="4">
        <v>4.0000000000000001E-3</v>
      </c>
      <c r="BX59" s="5"/>
      <c r="BY59" s="5"/>
      <c r="BZ59" s="5"/>
      <c r="CA59" s="5"/>
    </row>
    <row r="60" spans="1:79" x14ac:dyDescent="0.3">
      <c r="A60" s="4" t="s">
        <v>50</v>
      </c>
      <c r="B60" s="4">
        <v>0.9</v>
      </c>
      <c r="C60" s="4">
        <v>0.5</v>
      </c>
      <c r="D60" s="4">
        <v>0.6</v>
      </c>
      <c r="E60" s="4">
        <v>0.69</v>
      </c>
      <c r="F60" s="4">
        <v>523.51831100000004</v>
      </c>
      <c r="G60" s="4">
        <v>1.0999999999999999E-2</v>
      </c>
      <c r="I60" s="4" t="s">
        <v>50</v>
      </c>
      <c r="J60" s="4">
        <v>0.9</v>
      </c>
      <c r="K60" s="4">
        <v>0.5</v>
      </c>
      <c r="L60" s="4">
        <v>0.6</v>
      </c>
      <c r="M60" s="4">
        <v>0.31</v>
      </c>
      <c r="N60" s="6">
        <v>459.18582199999997</v>
      </c>
      <c r="O60" s="4">
        <v>0</v>
      </c>
      <c r="P60" s="5"/>
      <c r="Q60" s="5"/>
      <c r="R60" s="5"/>
      <c r="S60" s="5"/>
      <c r="U60" s="4" t="s">
        <v>50</v>
      </c>
      <c r="V60" s="4">
        <v>0.9</v>
      </c>
      <c r="W60" s="4">
        <v>0.5</v>
      </c>
      <c r="X60" s="4">
        <v>0.6</v>
      </c>
      <c r="Y60" s="4">
        <v>0.3</v>
      </c>
      <c r="Z60" s="4">
        <v>458.80484000000001</v>
      </c>
      <c r="AA60" s="4">
        <v>8.0000000000000002E-3</v>
      </c>
      <c r="AC60" s="4" t="s">
        <v>50</v>
      </c>
      <c r="AD60" s="4">
        <v>0.9</v>
      </c>
      <c r="AE60" s="4">
        <v>0.5</v>
      </c>
      <c r="AF60" s="4">
        <v>0.6</v>
      </c>
      <c r="AG60" s="4">
        <v>0.34</v>
      </c>
      <c r="AH60" s="6">
        <v>435.99331699999999</v>
      </c>
      <c r="AI60" s="4">
        <v>1E-3</v>
      </c>
      <c r="AJ60" s="5"/>
      <c r="AK60" s="5"/>
      <c r="AL60" s="5"/>
      <c r="AM60" s="5"/>
      <c r="AO60" s="4" t="s">
        <v>51</v>
      </c>
      <c r="AP60" s="4">
        <v>0.9</v>
      </c>
      <c r="AQ60" s="4">
        <v>0.5</v>
      </c>
      <c r="AR60" s="4">
        <v>0.6</v>
      </c>
      <c r="AS60" s="4">
        <v>0.6</v>
      </c>
      <c r="AT60" s="4">
        <v>1122.199707</v>
      </c>
      <c r="AU60" s="4">
        <v>2.1000000000000001E-2</v>
      </c>
      <c r="AW60" s="4" t="s">
        <v>51</v>
      </c>
      <c r="AX60" s="4">
        <v>0.9</v>
      </c>
      <c r="AY60" s="4">
        <v>0.5</v>
      </c>
      <c r="AZ60" s="4">
        <v>0.6</v>
      </c>
      <c r="BA60" s="4">
        <v>0.31</v>
      </c>
      <c r="BB60" s="6">
        <v>1025.1004640000001</v>
      </c>
      <c r="BC60" s="4">
        <v>0.01</v>
      </c>
      <c r="BD60" s="5"/>
      <c r="BE60" s="5"/>
      <c r="BF60" s="5"/>
      <c r="BG60" s="5"/>
      <c r="BI60" s="4" t="s">
        <v>51</v>
      </c>
      <c r="BJ60" s="4">
        <v>0.9</v>
      </c>
      <c r="BK60" s="4">
        <v>0.5</v>
      </c>
      <c r="BL60" s="4">
        <v>0.6</v>
      </c>
      <c r="BM60" s="4">
        <v>0.97</v>
      </c>
      <c r="BN60" s="4">
        <v>1244.8831789999999</v>
      </c>
      <c r="BO60" s="4">
        <v>2.1000000000000001E-2</v>
      </c>
      <c r="BQ60" s="4" t="s">
        <v>51</v>
      </c>
      <c r="BR60" s="4">
        <v>0.9</v>
      </c>
      <c r="BS60" s="4">
        <v>0.5</v>
      </c>
      <c r="BT60" s="4">
        <v>0.6</v>
      </c>
      <c r="BU60" s="4">
        <v>0.33</v>
      </c>
      <c r="BV60" s="6">
        <v>994.307861</v>
      </c>
      <c r="BW60" s="4">
        <v>5.0000000000000001E-3</v>
      </c>
      <c r="BX60" s="5"/>
      <c r="BY60" s="5"/>
      <c r="BZ60" s="5"/>
      <c r="CA60" s="5"/>
    </row>
    <row r="61" spans="1:79" x14ac:dyDescent="0.3">
      <c r="A61" s="4" t="s">
        <v>52</v>
      </c>
      <c r="B61" s="4">
        <v>0.9</v>
      </c>
      <c r="C61" s="4">
        <v>0.5</v>
      </c>
      <c r="D61" s="4">
        <v>0.6</v>
      </c>
      <c r="E61" s="4">
        <v>0.57999999999999996</v>
      </c>
      <c r="F61" s="4">
        <v>530.33508300000005</v>
      </c>
      <c r="G61" s="4">
        <v>1.2E-2</v>
      </c>
      <c r="I61" s="4" t="s">
        <v>52</v>
      </c>
      <c r="J61" s="4">
        <v>0.9</v>
      </c>
      <c r="K61" s="4">
        <v>0.5</v>
      </c>
      <c r="L61" s="4">
        <v>0.6</v>
      </c>
      <c r="M61" s="4">
        <v>0.31</v>
      </c>
      <c r="N61" s="6">
        <v>463.34295700000001</v>
      </c>
      <c r="O61" s="4">
        <v>1E-3</v>
      </c>
      <c r="P61" s="5"/>
      <c r="Q61" s="5"/>
      <c r="R61" s="5"/>
      <c r="S61" s="5"/>
      <c r="U61" s="4" t="s">
        <v>52</v>
      </c>
      <c r="V61" s="4">
        <v>0.9</v>
      </c>
      <c r="W61" s="4">
        <v>0.5</v>
      </c>
      <c r="X61" s="4">
        <v>0.6</v>
      </c>
      <c r="Y61" s="4">
        <v>0.23</v>
      </c>
      <c r="Z61" s="4">
        <v>459.364014</v>
      </c>
      <c r="AA61" s="4">
        <v>7.0000000000000001E-3</v>
      </c>
      <c r="AC61" s="4" t="s">
        <v>52</v>
      </c>
      <c r="AD61" s="4">
        <v>0.9</v>
      </c>
      <c r="AE61" s="4">
        <v>0.5</v>
      </c>
      <c r="AF61" s="4">
        <v>0.6</v>
      </c>
      <c r="AG61" s="4">
        <v>0.34</v>
      </c>
      <c r="AH61" s="6">
        <v>457.10873400000003</v>
      </c>
      <c r="AI61" s="4">
        <v>1E-3</v>
      </c>
      <c r="AJ61" s="5"/>
      <c r="AK61" s="5"/>
      <c r="AL61" s="5"/>
      <c r="AM61" s="5"/>
      <c r="AO61" s="4" t="s">
        <v>53</v>
      </c>
      <c r="AP61" s="4">
        <v>0.9</v>
      </c>
      <c r="AQ61" s="4">
        <v>0.5</v>
      </c>
      <c r="AR61" s="4">
        <v>0.6</v>
      </c>
      <c r="AS61" s="4">
        <v>0.82</v>
      </c>
      <c r="AT61" s="4">
        <v>1161.131592</v>
      </c>
      <c r="AU61" s="4">
        <v>1.7000000000000001E-2</v>
      </c>
      <c r="AW61" s="4" t="s">
        <v>53</v>
      </c>
      <c r="AX61" s="4">
        <v>0.9</v>
      </c>
      <c r="AY61" s="4">
        <v>0.5</v>
      </c>
      <c r="AZ61" s="4">
        <v>0.6</v>
      </c>
      <c r="BA61" s="4">
        <v>0.34</v>
      </c>
      <c r="BB61" s="6">
        <v>945.96118200000001</v>
      </c>
      <c r="BC61" s="4">
        <v>5.0000000000000001E-3</v>
      </c>
      <c r="BD61" s="5"/>
      <c r="BE61" s="5"/>
      <c r="BF61" s="5"/>
      <c r="BG61" s="5"/>
      <c r="BI61" s="4" t="s">
        <v>53</v>
      </c>
      <c r="BJ61" s="4">
        <v>0.9</v>
      </c>
      <c r="BK61" s="4">
        <v>0.5</v>
      </c>
      <c r="BL61" s="4">
        <v>0.6</v>
      </c>
      <c r="BM61" s="4">
        <v>0.44</v>
      </c>
      <c r="BN61" s="4">
        <v>997.14141800000004</v>
      </c>
      <c r="BO61" s="4">
        <v>2.3E-2</v>
      </c>
      <c r="BQ61" s="4" t="s">
        <v>53</v>
      </c>
      <c r="BR61" s="4">
        <v>0.9</v>
      </c>
      <c r="BS61" s="4">
        <v>0.5</v>
      </c>
      <c r="BT61" s="4">
        <v>0.6</v>
      </c>
      <c r="BU61" s="4">
        <v>0.32</v>
      </c>
      <c r="BV61" s="6">
        <v>947.59252900000001</v>
      </c>
      <c r="BW61" s="4">
        <v>5.0000000000000001E-3</v>
      </c>
      <c r="BX61" s="5"/>
      <c r="BY61" s="5"/>
      <c r="BZ61" s="5"/>
      <c r="CA61" s="5"/>
    </row>
    <row r="62" spans="1:79" x14ac:dyDescent="0.3">
      <c r="A62" s="4" t="s">
        <v>54</v>
      </c>
      <c r="B62" s="4">
        <v>0.9</v>
      </c>
      <c r="C62" s="4">
        <v>0.5</v>
      </c>
      <c r="D62" s="4">
        <v>0.6</v>
      </c>
      <c r="E62" s="4">
        <v>0.01</v>
      </c>
      <c r="F62" s="4">
        <v>580.88555899999994</v>
      </c>
      <c r="G62" s="4">
        <v>2.7E-2</v>
      </c>
      <c r="I62" s="4" t="s">
        <v>54</v>
      </c>
      <c r="J62" s="4">
        <v>0.9</v>
      </c>
      <c r="K62" s="4">
        <v>0.5</v>
      </c>
      <c r="L62" s="4">
        <v>0.6</v>
      </c>
      <c r="M62" s="4">
        <v>0.35</v>
      </c>
      <c r="N62" s="6">
        <v>541.601135</v>
      </c>
      <c r="O62" s="4">
        <v>0</v>
      </c>
      <c r="P62" s="5"/>
      <c r="Q62" s="5"/>
      <c r="R62" s="5"/>
      <c r="S62" s="5"/>
      <c r="U62" s="4" t="s">
        <v>54</v>
      </c>
      <c r="V62" s="4">
        <v>0.9</v>
      </c>
      <c r="W62" s="4">
        <v>0.5</v>
      </c>
      <c r="X62" s="4">
        <v>0.6</v>
      </c>
      <c r="Y62" s="4">
        <v>0.05</v>
      </c>
      <c r="Z62" s="4">
        <v>574.77880900000002</v>
      </c>
      <c r="AA62" s="4">
        <v>1.9E-2</v>
      </c>
      <c r="AC62" s="4" t="s">
        <v>54</v>
      </c>
      <c r="AD62" s="4">
        <v>0.9</v>
      </c>
      <c r="AE62" s="4">
        <v>0.5</v>
      </c>
      <c r="AF62" s="4">
        <v>0.6</v>
      </c>
      <c r="AG62" s="4">
        <v>0.36</v>
      </c>
      <c r="AH62" s="6">
        <v>546.47717299999999</v>
      </c>
      <c r="AI62" s="4">
        <v>1E-3</v>
      </c>
      <c r="AJ62" s="5"/>
      <c r="AK62" s="5"/>
      <c r="AL62" s="5"/>
      <c r="AM62" s="5"/>
      <c r="AO62" s="4" t="s">
        <v>55</v>
      </c>
      <c r="AP62" s="4">
        <v>0.9</v>
      </c>
      <c r="AQ62" s="4">
        <v>0.5</v>
      </c>
      <c r="AR62" s="4">
        <v>0.6</v>
      </c>
      <c r="AS62" s="4">
        <v>0.44</v>
      </c>
      <c r="AT62" s="4">
        <v>1015.68042</v>
      </c>
      <c r="AU62" s="4">
        <v>2.3E-2</v>
      </c>
      <c r="AW62" s="4" t="s">
        <v>55</v>
      </c>
      <c r="AX62" s="4">
        <v>0.9</v>
      </c>
      <c r="AY62" s="4">
        <v>0.5</v>
      </c>
      <c r="AZ62" s="4">
        <v>0.6</v>
      </c>
      <c r="BA62" s="4">
        <v>0.34</v>
      </c>
      <c r="BB62" s="6">
        <v>978.29730199999995</v>
      </c>
      <c r="BC62" s="4">
        <v>7.0000000000000001E-3</v>
      </c>
      <c r="BD62" s="5"/>
      <c r="BE62" s="5"/>
      <c r="BF62" s="5"/>
      <c r="BG62" s="5"/>
      <c r="BI62" s="4" t="s">
        <v>55</v>
      </c>
      <c r="BJ62" s="4">
        <v>0.9</v>
      </c>
      <c r="BK62" s="4">
        <v>0.5</v>
      </c>
      <c r="BL62" s="4">
        <v>0.6</v>
      </c>
      <c r="BM62" s="4">
        <v>0.93</v>
      </c>
      <c r="BN62" s="4">
        <v>1137.1789550000001</v>
      </c>
      <c r="BO62" s="4">
        <v>1.9E-2</v>
      </c>
      <c r="BQ62" s="4" t="s">
        <v>55</v>
      </c>
      <c r="BR62" s="4">
        <v>0.9</v>
      </c>
      <c r="BS62" s="4">
        <v>0.5</v>
      </c>
      <c r="BT62" s="4">
        <v>0.6</v>
      </c>
      <c r="BU62" s="4">
        <v>0.3</v>
      </c>
      <c r="BV62" s="6">
        <v>984.52392599999996</v>
      </c>
      <c r="BW62" s="4">
        <v>5.0000000000000001E-3</v>
      </c>
      <c r="BX62" s="5"/>
      <c r="BY62" s="5"/>
      <c r="BZ62" s="5"/>
      <c r="CA62" s="5"/>
    </row>
    <row r="63" spans="1:79" x14ac:dyDescent="0.3">
      <c r="A63" s="4" t="s">
        <v>56</v>
      </c>
      <c r="B63" s="4">
        <v>0.9</v>
      </c>
      <c r="C63" s="4">
        <v>0.5</v>
      </c>
      <c r="D63" s="4">
        <v>0.6</v>
      </c>
      <c r="E63" s="4">
        <v>0.93</v>
      </c>
      <c r="F63" s="4">
        <v>577.11499000000003</v>
      </c>
      <c r="G63" s="4">
        <v>8.9999999999999993E-3</v>
      </c>
      <c r="I63" s="4" t="s">
        <v>56</v>
      </c>
      <c r="J63" s="4">
        <v>0.9</v>
      </c>
      <c r="K63" s="4">
        <v>0.5</v>
      </c>
      <c r="L63" s="4">
        <v>0.6</v>
      </c>
      <c r="M63" s="4">
        <v>0.3</v>
      </c>
      <c r="N63" s="6">
        <v>455.96814000000001</v>
      </c>
      <c r="O63" s="4">
        <v>1E-3</v>
      </c>
      <c r="P63" s="5"/>
      <c r="Q63" s="5"/>
      <c r="R63" s="5"/>
      <c r="S63" s="5"/>
      <c r="U63" s="4" t="s">
        <v>56</v>
      </c>
      <c r="V63" s="4">
        <v>0.9</v>
      </c>
      <c r="W63" s="4">
        <v>0.5</v>
      </c>
      <c r="X63" s="4">
        <v>0.6</v>
      </c>
      <c r="Y63" s="4">
        <v>0.09</v>
      </c>
      <c r="Z63" s="4">
        <v>454.64901700000001</v>
      </c>
      <c r="AA63" s="4">
        <v>2.5999999999999999E-2</v>
      </c>
      <c r="AC63" s="4" t="s">
        <v>56</v>
      </c>
      <c r="AD63" s="4">
        <v>0.9</v>
      </c>
      <c r="AE63" s="4">
        <v>0.5</v>
      </c>
      <c r="AF63" s="4">
        <v>0.6</v>
      </c>
      <c r="AG63" s="4">
        <v>0.35</v>
      </c>
      <c r="AH63" s="6">
        <v>453.643372</v>
      </c>
      <c r="AI63" s="4">
        <v>0</v>
      </c>
      <c r="AJ63" s="5"/>
      <c r="AK63" s="5"/>
      <c r="AL63" s="5"/>
      <c r="AM63" s="5"/>
      <c r="AO63" s="4" t="s">
        <v>57</v>
      </c>
      <c r="AP63" s="4">
        <v>0.9</v>
      </c>
      <c r="AQ63" s="4">
        <v>0.5</v>
      </c>
      <c r="AR63" s="4">
        <v>0.6</v>
      </c>
      <c r="AS63" s="4">
        <v>0.46</v>
      </c>
      <c r="AT63" s="4">
        <v>986.64843800000006</v>
      </c>
      <c r="AU63" s="4">
        <v>1.4E-2</v>
      </c>
      <c r="AW63" s="4" t="s">
        <v>57</v>
      </c>
      <c r="AX63" s="4">
        <v>0.9</v>
      </c>
      <c r="AY63" s="4">
        <v>0.5</v>
      </c>
      <c r="AZ63" s="4">
        <v>0.6</v>
      </c>
      <c r="BA63" s="4">
        <v>0.31</v>
      </c>
      <c r="BB63" s="6">
        <v>956.87353499999995</v>
      </c>
      <c r="BC63" s="4">
        <v>6.0000000000000001E-3</v>
      </c>
      <c r="BD63" s="5"/>
      <c r="BE63" s="5"/>
      <c r="BF63" s="5"/>
      <c r="BG63" s="5"/>
      <c r="BI63" s="4" t="s">
        <v>57</v>
      </c>
      <c r="BJ63" s="4">
        <v>0.9</v>
      </c>
      <c r="BK63" s="4">
        <v>0.5</v>
      </c>
      <c r="BL63" s="4">
        <v>0.6</v>
      </c>
      <c r="BM63" s="4">
        <v>0.39</v>
      </c>
      <c r="BN63" s="4">
        <v>978.18066399999998</v>
      </c>
      <c r="BO63" s="4">
        <v>2.3E-2</v>
      </c>
      <c r="BQ63" s="4" t="s">
        <v>57</v>
      </c>
      <c r="BR63" s="4">
        <v>0.9</v>
      </c>
      <c r="BS63" s="4">
        <v>0.5</v>
      </c>
      <c r="BT63" s="4">
        <v>0.6</v>
      </c>
      <c r="BU63" s="4">
        <v>0.32</v>
      </c>
      <c r="BV63" s="6">
        <v>954.160889</v>
      </c>
      <c r="BW63" s="4">
        <v>5.0000000000000001E-3</v>
      </c>
      <c r="BX63" s="5"/>
      <c r="BY63" s="5"/>
      <c r="BZ63" s="5"/>
      <c r="CA63" s="5"/>
    </row>
    <row r="64" spans="1:79" x14ac:dyDescent="0.3">
      <c r="A64" s="4" t="s">
        <v>58</v>
      </c>
      <c r="B64" s="4">
        <v>0.9</v>
      </c>
      <c r="C64" s="4">
        <v>0.5</v>
      </c>
      <c r="D64" s="4">
        <v>0.6</v>
      </c>
      <c r="E64" s="4">
        <v>0.59</v>
      </c>
      <c r="F64" s="4">
        <v>543.69921899999997</v>
      </c>
      <c r="G64" s="4">
        <v>2.1999999999999999E-2</v>
      </c>
      <c r="I64" s="4" t="s">
        <v>58</v>
      </c>
      <c r="J64" s="4">
        <v>0.9</v>
      </c>
      <c r="K64" s="4">
        <v>0.5</v>
      </c>
      <c r="L64" s="4">
        <v>0.6</v>
      </c>
      <c r="M64" s="4">
        <v>0.32</v>
      </c>
      <c r="N64" s="6">
        <v>469.98245200000002</v>
      </c>
      <c r="O64" s="4">
        <v>1E-3</v>
      </c>
      <c r="P64" s="5"/>
      <c r="Q64" s="5"/>
      <c r="R64" s="5"/>
      <c r="S64" s="5"/>
      <c r="U64" s="4" t="s">
        <v>58</v>
      </c>
      <c r="V64" s="4">
        <v>0.9</v>
      </c>
      <c r="W64" s="4">
        <v>0.5</v>
      </c>
      <c r="X64" s="4">
        <v>0.6</v>
      </c>
      <c r="Y64" s="4">
        <v>0.53</v>
      </c>
      <c r="Z64" s="4">
        <v>530.34112500000003</v>
      </c>
      <c r="AA64" s="4">
        <v>8.9999999999999993E-3</v>
      </c>
      <c r="AC64" s="4" t="s">
        <v>58</v>
      </c>
      <c r="AD64" s="4">
        <v>0.9</v>
      </c>
      <c r="AE64" s="4">
        <v>0.5</v>
      </c>
      <c r="AF64" s="4">
        <v>0.6</v>
      </c>
      <c r="AG64" s="4">
        <v>0.31</v>
      </c>
      <c r="AH64" s="6">
        <v>461.47448700000001</v>
      </c>
      <c r="AI64" s="4">
        <v>1E-3</v>
      </c>
      <c r="AJ64" s="5"/>
      <c r="AK64" s="5"/>
      <c r="AL64" s="5"/>
      <c r="AM64" s="5"/>
      <c r="AO64" s="4" t="s">
        <v>59</v>
      </c>
      <c r="AP64" s="4">
        <v>0.9</v>
      </c>
      <c r="AQ64" s="4">
        <v>0.5</v>
      </c>
      <c r="AR64" s="4">
        <v>0.6</v>
      </c>
      <c r="AS64" s="4">
        <v>0.08</v>
      </c>
      <c r="AT64" s="6">
        <v>759.77484100000004</v>
      </c>
      <c r="AU64" s="4">
        <v>1.6E-2</v>
      </c>
      <c r="AW64" s="4" t="s">
        <v>59</v>
      </c>
      <c r="AX64" s="4">
        <v>0.9</v>
      </c>
      <c r="AY64" s="4">
        <v>0.5</v>
      </c>
      <c r="AZ64" s="4">
        <v>0.6</v>
      </c>
      <c r="BA64" s="4">
        <v>0.36</v>
      </c>
      <c r="BB64" s="4">
        <v>901.480591</v>
      </c>
      <c r="BC64" s="4">
        <v>5.0000000000000001E-3</v>
      </c>
      <c r="BD64" s="5"/>
      <c r="BE64" s="5"/>
      <c r="BF64" s="5"/>
      <c r="BG64" s="5"/>
      <c r="BI64" s="4" t="s">
        <v>59</v>
      </c>
      <c r="BJ64" s="4">
        <v>0.9</v>
      </c>
      <c r="BK64" s="4">
        <v>0.5</v>
      </c>
      <c r="BL64" s="4">
        <v>0.6</v>
      </c>
      <c r="BM64" s="4">
        <v>0.94</v>
      </c>
      <c r="BN64" s="4">
        <v>1099.02478</v>
      </c>
      <c r="BO64" s="4">
        <v>1.2E-2</v>
      </c>
      <c r="BQ64" s="4" t="s">
        <v>59</v>
      </c>
      <c r="BR64" s="4">
        <v>0.9</v>
      </c>
      <c r="BS64" s="4">
        <v>0.5</v>
      </c>
      <c r="BT64" s="4">
        <v>0.6</v>
      </c>
      <c r="BU64" s="4">
        <v>0.32</v>
      </c>
      <c r="BV64" s="6">
        <v>873.852844</v>
      </c>
      <c r="BW64" s="4">
        <v>4.0000000000000001E-3</v>
      </c>
      <c r="BX64" s="5"/>
      <c r="BY64" s="5"/>
      <c r="BZ64" s="5"/>
      <c r="CA64" s="5"/>
    </row>
    <row r="65" spans="1:79" x14ac:dyDescent="0.3">
      <c r="A65" s="4" t="s">
        <v>60</v>
      </c>
      <c r="B65" s="4">
        <v>0.9</v>
      </c>
      <c r="C65" s="4">
        <v>0.5</v>
      </c>
      <c r="D65" s="4">
        <v>0.6</v>
      </c>
      <c r="E65" s="4">
        <v>0.54</v>
      </c>
      <c r="F65" s="4">
        <v>614.75720200000001</v>
      </c>
      <c r="G65" s="4">
        <v>1.2999999999999999E-2</v>
      </c>
      <c r="I65" s="4" t="s">
        <v>60</v>
      </c>
      <c r="J65" s="4">
        <v>0.9</v>
      </c>
      <c r="K65" s="4">
        <v>0.5</v>
      </c>
      <c r="L65" s="4">
        <v>0.6</v>
      </c>
      <c r="M65" s="4">
        <v>0.38</v>
      </c>
      <c r="N65" s="6">
        <v>586.94378700000004</v>
      </c>
      <c r="O65" s="4">
        <v>0</v>
      </c>
      <c r="P65" s="5"/>
      <c r="Q65" s="5"/>
      <c r="R65" s="5"/>
      <c r="S65" s="5"/>
      <c r="U65" s="4" t="s">
        <v>60</v>
      </c>
      <c r="V65" s="4">
        <v>0.9</v>
      </c>
      <c r="W65" s="4">
        <v>0.5</v>
      </c>
      <c r="X65" s="4">
        <v>0.6</v>
      </c>
      <c r="Y65" s="4">
        <v>0.64</v>
      </c>
      <c r="Z65" s="4">
        <v>617.78466800000001</v>
      </c>
      <c r="AA65" s="4">
        <v>1.0999999999999999E-2</v>
      </c>
      <c r="AC65" s="4" t="s">
        <v>60</v>
      </c>
      <c r="AD65" s="4">
        <v>0.9</v>
      </c>
      <c r="AE65" s="4">
        <v>0.5</v>
      </c>
      <c r="AF65" s="4">
        <v>0.6</v>
      </c>
      <c r="AG65" s="4">
        <v>0.33</v>
      </c>
      <c r="AH65" s="6">
        <v>559.60125700000003</v>
      </c>
      <c r="AI65" s="4">
        <v>1E-3</v>
      </c>
      <c r="AJ65" s="5"/>
      <c r="AK65" s="5"/>
      <c r="AL65" s="5"/>
      <c r="AM65" s="5"/>
      <c r="AO65" s="4" t="s">
        <v>61</v>
      </c>
      <c r="AP65" s="4">
        <v>0.9</v>
      </c>
      <c r="AQ65" s="4">
        <v>0.5</v>
      </c>
      <c r="AR65" s="4">
        <v>0.6</v>
      </c>
      <c r="AS65" s="4">
        <v>0.46</v>
      </c>
      <c r="AT65" s="4">
        <v>1084.8055420000001</v>
      </c>
      <c r="AU65" s="4">
        <v>2.9000000000000001E-2</v>
      </c>
      <c r="AW65" s="4" t="s">
        <v>61</v>
      </c>
      <c r="AX65" s="4">
        <v>0.9</v>
      </c>
      <c r="AY65" s="4">
        <v>0.5</v>
      </c>
      <c r="AZ65" s="4">
        <v>0.6</v>
      </c>
      <c r="BA65" s="4">
        <v>0.32</v>
      </c>
      <c r="BB65" s="6">
        <v>1007.883362</v>
      </c>
      <c r="BC65" s="4">
        <v>7.0000000000000001E-3</v>
      </c>
      <c r="BD65" s="5"/>
      <c r="BE65" s="5"/>
      <c r="BF65" s="5"/>
      <c r="BG65" s="5"/>
      <c r="BI65" s="4" t="s">
        <v>61</v>
      </c>
      <c r="BJ65" s="4">
        <v>0.9</v>
      </c>
      <c r="BK65" s="4">
        <v>0.5</v>
      </c>
      <c r="BL65" s="4">
        <v>0.6</v>
      </c>
      <c r="BM65" s="4">
        <v>0.65</v>
      </c>
      <c r="BN65" s="4">
        <v>1121.7337649999999</v>
      </c>
      <c r="BO65" s="4">
        <v>1.2999999999999999E-2</v>
      </c>
      <c r="BQ65" s="4" t="s">
        <v>61</v>
      </c>
      <c r="BR65" s="4">
        <v>0.9</v>
      </c>
      <c r="BS65" s="4">
        <v>0.5</v>
      </c>
      <c r="BT65" s="4">
        <v>0.6</v>
      </c>
      <c r="BU65" s="4">
        <v>0.3</v>
      </c>
      <c r="BV65" s="6">
        <v>956.61090100000001</v>
      </c>
      <c r="BW65" s="4">
        <v>6.0000000000000001E-3</v>
      </c>
      <c r="BX65" s="5"/>
      <c r="BY65" s="5"/>
      <c r="BZ65" s="5"/>
      <c r="CA65" s="5"/>
    </row>
    <row r="66" spans="1:79" x14ac:dyDescent="0.3">
      <c r="A66" s="4" t="s">
        <v>62</v>
      </c>
      <c r="B66" s="4">
        <v>0.9</v>
      </c>
      <c r="C66" s="4">
        <v>0.5</v>
      </c>
      <c r="D66" s="4">
        <v>0.6</v>
      </c>
      <c r="E66" s="4">
        <v>0.71</v>
      </c>
      <c r="F66" s="4">
        <v>418.71951300000001</v>
      </c>
      <c r="G66" s="4">
        <v>3.2000000000000001E-2</v>
      </c>
      <c r="I66" s="4" t="s">
        <v>62</v>
      </c>
      <c r="J66" s="4">
        <v>0.9</v>
      </c>
      <c r="K66" s="4">
        <v>0.5</v>
      </c>
      <c r="L66" s="4">
        <v>0.6</v>
      </c>
      <c r="M66" s="4">
        <v>0.43</v>
      </c>
      <c r="N66" s="6">
        <v>396.86749300000002</v>
      </c>
      <c r="O66" s="4">
        <v>1E-3</v>
      </c>
      <c r="P66" s="5"/>
      <c r="Q66" s="5"/>
      <c r="R66" s="5"/>
      <c r="S66" s="5"/>
      <c r="U66" s="4" t="s">
        <v>62</v>
      </c>
      <c r="V66" s="4">
        <v>0.9</v>
      </c>
      <c r="W66" s="4">
        <v>0.5</v>
      </c>
      <c r="X66" s="4">
        <v>0.6</v>
      </c>
      <c r="Y66" s="4">
        <v>0.71</v>
      </c>
      <c r="Z66" s="4">
        <v>412.57354700000002</v>
      </c>
      <c r="AA66" s="4">
        <v>2.3E-2</v>
      </c>
      <c r="AC66" s="4" t="s">
        <v>62</v>
      </c>
      <c r="AD66" s="4">
        <v>0.9</v>
      </c>
      <c r="AE66" s="4">
        <v>0.5</v>
      </c>
      <c r="AF66" s="4">
        <v>0.6</v>
      </c>
      <c r="AG66" s="4">
        <v>0.37</v>
      </c>
      <c r="AH66" s="6">
        <v>386.23226899999997</v>
      </c>
      <c r="AI66" s="4">
        <v>1E-3</v>
      </c>
      <c r="AJ66" s="5"/>
      <c r="AK66" s="5"/>
      <c r="AL66" s="5"/>
      <c r="AM66" s="5"/>
      <c r="AO66" s="4" t="s">
        <v>63</v>
      </c>
      <c r="AP66" s="4">
        <v>0.9</v>
      </c>
      <c r="AQ66" s="4">
        <v>0.5</v>
      </c>
      <c r="AR66" s="4">
        <v>0.6</v>
      </c>
      <c r="AS66" s="4">
        <v>0.94</v>
      </c>
      <c r="AT66" s="4">
        <v>1138.9736330000001</v>
      </c>
      <c r="AU66" s="4">
        <v>2.4E-2</v>
      </c>
      <c r="AW66" s="4" t="s">
        <v>63</v>
      </c>
      <c r="AX66" s="4">
        <v>0.9</v>
      </c>
      <c r="AY66" s="4">
        <v>0.5</v>
      </c>
      <c r="AZ66" s="4">
        <v>0.6</v>
      </c>
      <c r="BA66" s="4">
        <v>0.3</v>
      </c>
      <c r="BB66" s="6">
        <v>987.89642300000003</v>
      </c>
      <c r="BC66" s="4">
        <v>7.0000000000000001E-3</v>
      </c>
      <c r="BD66" s="5"/>
      <c r="BE66" s="5"/>
      <c r="BF66" s="5"/>
      <c r="BG66" s="5"/>
      <c r="BI66" s="4" t="s">
        <v>63</v>
      </c>
      <c r="BJ66" s="4">
        <v>0.9</v>
      </c>
      <c r="BK66" s="4">
        <v>0.5</v>
      </c>
      <c r="BL66" s="4">
        <v>0.6</v>
      </c>
      <c r="BM66" s="4">
        <v>0.9</v>
      </c>
      <c r="BN66" s="4">
        <v>1141.4655760000001</v>
      </c>
      <c r="BO66" s="4">
        <v>1.4999999999999999E-2</v>
      </c>
      <c r="BQ66" s="4" t="s">
        <v>63</v>
      </c>
      <c r="BR66" s="4">
        <v>0.9</v>
      </c>
      <c r="BS66" s="4">
        <v>0.5</v>
      </c>
      <c r="BT66" s="4">
        <v>0.6</v>
      </c>
      <c r="BU66" s="4">
        <v>0.31</v>
      </c>
      <c r="BV66" s="6">
        <v>967.34619099999998</v>
      </c>
      <c r="BW66" s="4">
        <v>4.0000000000000001E-3</v>
      </c>
      <c r="BX66" s="5"/>
      <c r="BY66" s="5"/>
      <c r="BZ66" s="5"/>
      <c r="CA66" s="5"/>
    </row>
    <row r="67" spans="1:79" x14ac:dyDescent="0.3">
      <c r="A67" s="4" t="s">
        <v>64</v>
      </c>
      <c r="B67" s="4">
        <v>0.9</v>
      </c>
      <c r="C67" s="4">
        <v>0.5</v>
      </c>
      <c r="D67" s="4">
        <v>0.6</v>
      </c>
      <c r="E67" s="4">
        <v>0.96</v>
      </c>
      <c r="F67" s="4">
        <v>626.46758999999997</v>
      </c>
      <c r="G67" s="4">
        <v>1.4999999999999999E-2</v>
      </c>
      <c r="I67" s="4" t="s">
        <v>64</v>
      </c>
      <c r="J67" s="4">
        <v>0.9</v>
      </c>
      <c r="K67" s="4">
        <v>0.5</v>
      </c>
      <c r="L67" s="4">
        <v>0.6</v>
      </c>
      <c r="M67" s="4">
        <v>0.32</v>
      </c>
      <c r="N67" s="6">
        <v>557.57983400000001</v>
      </c>
      <c r="O67" s="4">
        <v>1E-3</v>
      </c>
      <c r="P67" s="5"/>
      <c r="Q67" s="5"/>
      <c r="R67" s="5"/>
      <c r="S67" s="5"/>
      <c r="U67" s="4" t="s">
        <v>64</v>
      </c>
      <c r="V67" s="4">
        <v>0.9</v>
      </c>
      <c r="W67" s="4">
        <v>0.5</v>
      </c>
      <c r="X67" s="4">
        <v>0.6</v>
      </c>
      <c r="Y67" s="4">
        <v>0.1</v>
      </c>
      <c r="Z67" s="4">
        <v>584.44262700000002</v>
      </c>
      <c r="AA67" s="4">
        <v>1.0999999999999999E-2</v>
      </c>
      <c r="AC67" s="4" t="s">
        <v>64</v>
      </c>
      <c r="AD67" s="4">
        <v>0.9</v>
      </c>
      <c r="AE67" s="4">
        <v>0.5</v>
      </c>
      <c r="AF67" s="4">
        <v>0.6</v>
      </c>
      <c r="AG67" s="4">
        <v>0.32</v>
      </c>
      <c r="AH67" s="6">
        <v>549.18920900000001</v>
      </c>
      <c r="AI67" s="4">
        <v>1E-3</v>
      </c>
      <c r="AJ67" s="5"/>
      <c r="AK67" s="5"/>
      <c r="AL67" s="5"/>
      <c r="AM67" s="5"/>
      <c r="AO67" s="4" t="s">
        <v>65</v>
      </c>
      <c r="AP67" s="4">
        <v>0.9</v>
      </c>
      <c r="AQ67" s="4">
        <v>0.5</v>
      </c>
      <c r="AR67" s="4">
        <v>0.6</v>
      </c>
      <c r="AS67" s="4">
        <v>0.87</v>
      </c>
      <c r="AT67" s="4">
        <v>1157.4842530000001</v>
      </c>
      <c r="AU67" s="4">
        <v>1.7999999999999999E-2</v>
      </c>
      <c r="AW67" s="4" t="s">
        <v>65</v>
      </c>
      <c r="AX67" s="4">
        <v>0.9</v>
      </c>
      <c r="AY67" s="4">
        <v>0.5</v>
      </c>
      <c r="AZ67" s="4">
        <v>0.6</v>
      </c>
      <c r="BA67" s="4">
        <v>0.3</v>
      </c>
      <c r="BB67" s="6">
        <v>935.03942900000004</v>
      </c>
      <c r="BC67" s="4">
        <v>8.0000000000000002E-3</v>
      </c>
      <c r="BD67" s="5"/>
      <c r="BE67" s="5"/>
      <c r="BF67" s="5"/>
      <c r="BG67" s="5"/>
      <c r="BI67" s="4" t="s">
        <v>65</v>
      </c>
      <c r="BJ67" s="4">
        <v>0.9</v>
      </c>
      <c r="BK67" s="4">
        <v>0.5</v>
      </c>
      <c r="BL67" s="4">
        <v>0.6</v>
      </c>
      <c r="BM67" s="4">
        <v>0.03</v>
      </c>
      <c r="BN67" s="6">
        <v>797.10034199999996</v>
      </c>
      <c r="BO67" s="4">
        <v>2.4E-2</v>
      </c>
      <c r="BQ67" s="4" t="s">
        <v>65</v>
      </c>
      <c r="BR67" s="4">
        <v>0.9</v>
      </c>
      <c r="BS67" s="4">
        <v>0.5</v>
      </c>
      <c r="BT67" s="4">
        <v>0.6</v>
      </c>
      <c r="BU67" s="4">
        <v>0.3</v>
      </c>
      <c r="BV67" s="4">
        <v>912.40722700000003</v>
      </c>
      <c r="BW67" s="4">
        <v>5.0000000000000001E-3</v>
      </c>
      <c r="BX67" s="5"/>
      <c r="BY67" s="5"/>
      <c r="BZ67" s="5"/>
      <c r="CA67" s="5"/>
    </row>
    <row r="68" spans="1:79" x14ac:dyDescent="0.3">
      <c r="A68" s="4" t="s">
        <v>66</v>
      </c>
      <c r="B68" s="4">
        <v>0.9</v>
      </c>
      <c r="C68" s="4">
        <v>0.5</v>
      </c>
      <c r="D68" s="4">
        <v>0.6</v>
      </c>
      <c r="E68" s="4">
        <v>0.9</v>
      </c>
      <c r="F68" s="4">
        <v>600.08453399999996</v>
      </c>
      <c r="G68" s="4">
        <v>0.02</v>
      </c>
      <c r="I68" s="4" t="s">
        <v>66</v>
      </c>
      <c r="J68" s="4">
        <v>0.9</v>
      </c>
      <c r="K68" s="4">
        <v>0.5</v>
      </c>
      <c r="L68" s="4">
        <v>0.6</v>
      </c>
      <c r="M68" s="4">
        <v>0.47</v>
      </c>
      <c r="N68" s="6">
        <v>509.56030299999998</v>
      </c>
      <c r="O68" s="4">
        <v>0</v>
      </c>
      <c r="P68" s="5"/>
      <c r="Q68" s="5"/>
      <c r="R68" s="5"/>
      <c r="S68" s="5"/>
      <c r="U68" s="4" t="s">
        <v>66</v>
      </c>
      <c r="V68" s="4">
        <v>0.9</v>
      </c>
      <c r="W68" s="4">
        <v>0.5</v>
      </c>
      <c r="X68" s="4">
        <v>0.6</v>
      </c>
      <c r="Y68" s="4">
        <v>0.92</v>
      </c>
      <c r="Z68" s="4">
        <v>594.48809800000004</v>
      </c>
      <c r="AA68" s="4">
        <v>2.9000000000000001E-2</v>
      </c>
      <c r="AC68" s="4" t="s">
        <v>66</v>
      </c>
      <c r="AD68" s="4">
        <v>0.9</v>
      </c>
      <c r="AE68" s="4">
        <v>0.5</v>
      </c>
      <c r="AF68" s="4">
        <v>0.6</v>
      </c>
      <c r="AG68" s="4">
        <v>0.31</v>
      </c>
      <c r="AH68" s="6">
        <v>486.33865400000002</v>
      </c>
      <c r="AI68" s="4">
        <v>0</v>
      </c>
      <c r="AJ68" s="5"/>
      <c r="AK68" s="5"/>
      <c r="AL68" s="5"/>
      <c r="AM68" s="5"/>
      <c r="AO68" s="4" t="s">
        <v>67</v>
      </c>
      <c r="AP68" s="4">
        <v>0.9</v>
      </c>
      <c r="AQ68" s="4">
        <v>0.5</v>
      </c>
      <c r="AR68" s="4">
        <v>0.6</v>
      </c>
      <c r="AS68" s="4">
        <v>0.49</v>
      </c>
      <c r="AT68" s="4">
        <v>1050.8127440000001</v>
      </c>
      <c r="AU68" s="4">
        <v>0.01</v>
      </c>
      <c r="AW68" s="4" t="s">
        <v>67</v>
      </c>
      <c r="AX68" s="4">
        <v>0.9</v>
      </c>
      <c r="AY68" s="4">
        <v>0.5</v>
      </c>
      <c r="AZ68" s="4">
        <v>0.6</v>
      </c>
      <c r="BA68" s="4">
        <v>0.3</v>
      </c>
      <c r="BB68" s="6">
        <v>971.71270800000002</v>
      </c>
      <c r="BC68" s="4">
        <v>6.0000000000000001E-3</v>
      </c>
      <c r="BD68" s="5"/>
      <c r="BE68" s="5"/>
      <c r="BF68" s="5"/>
      <c r="BG68" s="5"/>
      <c r="BI68" s="4" t="s">
        <v>67</v>
      </c>
      <c r="BJ68" s="4">
        <v>0.9</v>
      </c>
      <c r="BK68" s="4">
        <v>0.5</v>
      </c>
      <c r="BL68" s="4">
        <v>0.6</v>
      </c>
      <c r="BM68" s="4">
        <v>0.31</v>
      </c>
      <c r="BN68" s="6">
        <v>961.68780500000003</v>
      </c>
      <c r="BO68" s="4">
        <v>1.4E-2</v>
      </c>
      <c r="BQ68" s="4" t="s">
        <v>67</v>
      </c>
      <c r="BR68" s="4">
        <v>0.9</v>
      </c>
      <c r="BS68" s="4">
        <v>0.5</v>
      </c>
      <c r="BT68" s="4">
        <v>0.6</v>
      </c>
      <c r="BU68" s="4">
        <v>0.39</v>
      </c>
      <c r="BV68" s="4">
        <v>984.52044699999999</v>
      </c>
      <c r="BW68" s="4">
        <v>5.0000000000000001E-3</v>
      </c>
      <c r="BX68" s="5"/>
      <c r="BY68" s="5"/>
      <c r="BZ68" s="5"/>
      <c r="CA68" s="5"/>
    </row>
    <row r="69" spans="1:79" x14ac:dyDescent="0.3">
      <c r="A69" s="4" t="s">
        <v>68</v>
      </c>
      <c r="B69" s="4">
        <v>0.9</v>
      </c>
      <c r="C69" s="4">
        <v>0.5</v>
      </c>
      <c r="D69" s="4">
        <v>0.6</v>
      </c>
      <c r="E69" s="4">
        <v>0.66</v>
      </c>
      <c r="F69" s="4">
        <v>409.623199</v>
      </c>
      <c r="G69" s="4">
        <v>1.2E-2</v>
      </c>
      <c r="I69" s="4" t="s">
        <v>68</v>
      </c>
      <c r="J69" s="4">
        <v>0.9</v>
      </c>
      <c r="K69" s="4">
        <v>0.5</v>
      </c>
      <c r="L69" s="4">
        <v>0.6</v>
      </c>
      <c r="M69" s="4">
        <v>0.35</v>
      </c>
      <c r="N69" s="6">
        <v>396.642426</v>
      </c>
      <c r="O69" s="4">
        <v>1E-3</v>
      </c>
      <c r="P69" s="5"/>
      <c r="Q69" s="5"/>
      <c r="R69" s="5"/>
      <c r="S69" s="5"/>
      <c r="U69" s="4" t="s">
        <v>68</v>
      </c>
      <c r="V69" s="4">
        <v>0.9</v>
      </c>
      <c r="W69" s="4">
        <v>0.5</v>
      </c>
      <c r="X69" s="4">
        <v>0.6</v>
      </c>
      <c r="Y69" s="4">
        <v>0.37</v>
      </c>
      <c r="Z69" s="4">
        <v>391.63028000000003</v>
      </c>
      <c r="AA69" s="4">
        <v>1.4999999999999999E-2</v>
      </c>
      <c r="AC69" s="4" t="s">
        <v>68</v>
      </c>
      <c r="AD69" s="4">
        <v>0.9</v>
      </c>
      <c r="AE69" s="4">
        <v>0.5</v>
      </c>
      <c r="AF69" s="4">
        <v>0.6</v>
      </c>
      <c r="AG69" s="4">
        <v>0.33</v>
      </c>
      <c r="AH69" s="6">
        <v>389.56133999999997</v>
      </c>
      <c r="AI69" s="4">
        <v>0</v>
      </c>
      <c r="AJ69" s="5"/>
      <c r="AK69" s="5"/>
      <c r="AL69" s="5"/>
      <c r="AM69" s="5"/>
      <c r="AO69" s="4" t="s">
        <v>69</v>
      </c>
      <c r="AP69" s="4">
        <v>0.9</v>
      </c>
      <c r="AQ69" s="4">
        <v>0.5</v>
      </c>
      <c r="AR69" s="4">
        <v>0.6</v>
      </c>
      <c r="AS69" s="4">
        <v>0.66</v>
      </c>
      <c r="AT69" s="4">
        <v>1124.822754</v>
      </c>
      <c r="AU69" s="4">
        <v>2.1000000000000001E-2</v>
      </c>
      <c r="AW69" s="4" t="s">
        <v>69</v>
      </c>
      <c r="AX69" s="4">
        <v>0.9</v>
      </c>
      <c r="AY69" s="4">
        <v>0.5</v>
      </c>
      <c r="AZ69" s="4">
        <v>0.6</v>
      </c>
      <c r="BA69" s="4">
        <v>0.3</v>
      </c>
      <c r="BB69" s="6">
        <v>995.40362500000003</v>
      </c>
      <c r="BC69" s="4">
        <v>6.0000000000000001E-3</v>
      </c>
      <c r="BD69" s="5"/>
      <c r="BE69" s="5"/>
      <c r="BF69" s="5"/>
      <c r="BG69" s="5"/>
      <c r="BI69" s="4" t="s">
        <v>69</v>
      </c>
      <c r="BJ69" s="4">
        <v>0.9</v>
      </c>
      <c r="BK69" s="4">
        <v>0.5</v>
      </c>
      <c r="BL69" s="4">
        <v>0.6</v>
      </c>
      <c r="BM69" s="4">
        <v>0.86</v>
      </c>
      <c r="BN69" s="4">
        <v>1179.2617190000001</v>
      </c>
      <c r="BO69" s="4">
        <v>1.2E-2</v>
      </c>
      <c r="BQ69" s="4" t="s">
        <v>69</v>
      </c>
      <c r="BR69" s="4">
        <v>0.9</v>
      </c>
      <c r="BS69" s="4">
        <v>0.5</v>
      </c>
      <c r="BT69" s="4">
        <v>0.6</v>
      </c>
      <c r="BU69" s="4">
        <v>0.31</v>
      </c>
      <c r="BV69" s="6">
        <v>961.64685099999997</v>
      </c>
      <c r="BW69" s="4">
        <v>4.0000000000000001E-3</v>
      </c>
      <c r="BX69" s="5"/>
      <c r="BY69" s="5"/>
      <c r="BZ69" s="5"/>
      <c r="CA69" s="5"/>
    </row>
    <row r="70" spans="1:79" x14ac:dyDescent="0.3">
      <c r="A70" s="14" t="s">
        <v>316</v>
      </c>
      <c r="E70" s="14">
        <f>AVERAGE(E40:E69)</f>
        <v>0.50700000000000012</v>
      </c>
      <c r="I70" s="4" t="s">
        <v>316</v>
      </c>
      <c r="M70" s="4">
        <f>AVERAGE(M40:M69)</f>
        <v>0.35866666666666663</v>
      </c>
      <c r="P70" s="5"/>
      <c r="Q70" s="5"/>
      <c r="R70" s="5"/>
      <c r="S70" s="5"/>
      <c r="U70" s="14" t="s">
        <v>316</v>
      </c>
      <c r="Y70" s="14">
        <f>AVERAGE(Y40:Y69)</f>
        <v>0.49166666666666675</v>
      </c>
      <c r="AC70" s="14" t="s">
        <v>316</v>
      </c>
      <c r="AG70" s="14">
        <f>AVERAGE(AG40:AG69)</f>
        <v>0.34633333333333333</v>
      </c>
      <c r="AJ70" s="5"/>
      <c r="AK70" s="5"/>
      <c r="AL70" s="5"/>
      <c r="AM70" s="5"/>
      <c r="AO70" s="14" t="s">
        <v>316</v>
      </c>
      <c r="AS70" s="14">
        <f>AVERAGE(AS40:AS69)</f>
        <v>0.46333333333333343</v>
      </c>
      <c r="AW70" s="14" t="s">
        <v>316</v>
      </c>
      <c r="BA70" s="14">
        <f>AVERAGE(BA40:BA69)</f>
        <v>0.313</v>
      </c>
      <c r="BD70" s="5"/>
      <c r="BE70" s="5"/>
      <c r="BF70" s="5"/>
      <c r="BG70" s="5"/>
      <c r="BI70" s="14" t="s">
        <v>316</v>
      </c>
      <c r="BM70" s="14">
        <f>AVERAGE(BM40:BM69)</f>
        <v>0.46566666666666662</v>
      </c>
      <c r="BQ70" s="14" t="s">
        <v>316</v>
      </c>
      <c r="BU70" s="14">
        <f>AVERAGE(BU40:BU69)</f>
        <v>0.31833333333333347</v>
      </c>
      <c r="BX70" s="5"/>
      <c r="BY70" s="5"/>
      <c r="BZ70" s="5"/>
      <c r="CA70" s="5"/>
    </row>
    <row r="71" spans="1:79" x14ac:dyDescent="0.3">
      <c r="P71" s="5"/>
      <c r="Q71" s="5"/>
      <c r="R71" s="5"/>
      <c r="S71" s="5"/>
      <c r="AJ71" s="5"/>
      <c r="AK71" s="5"/>
      <c r="AL71" s="5"/>
      <c r="AM71" s="5"/>
      <c r="BD71" s="5"/>
      <c r="BE71" s="5"/>
      <c r="BF71" s="5"/>
      <c r="BG71" s="5"/>
      <c r="BX71" s="5"/>
      <c r="BY71" s="5"/>
      <c r="BZ71" s="5"/>
      <c r="CA71" s="5"/>
    </row>
    <row r="72" spans="1:79" x14ac:dyDescent="0.3">
      <c r="P72" s="5"/>
      <c r="Q72" s="5"/>
      <c r="R72" s="5"/>
      <c r="S72" s="5"/>
      <c r="AJ72" s="5"/>
      <c r="AK72" s="5"/>
      <c r="AL72" s="5"/>
      <c r="AM72" s="5"/>
      <c r="BD72" s="5"/>
      <c r="BE72" s="5"/>
      <c r="BF72" s="5"/>
      <c r="BG72" s="5"/>
      <c r="BX72" s="5"/>
      <c r="BY72" s="5"/>
      <c r="BZ72" s="5"/>
      <c r="CA72" s="5"/>
    </row>
    <row r="73" spans="1:79" x14ac:dyDescent="0.3">
      <c r="A73" s="24" t="s">
        <v>314</v>
      </c>
      <c r="B73" s="25"/>
      <c r="C73" s="25"/>
      <c r="D73" s="25"/>
      <c r="E73" s="25"/>
      <c r="F73" s="25"/>
      <c r="G73" s="26"/>
      <c r="I73" s="23" t="s">
        <v>314</v>
      </c>
      <c r="J73" s="23"/>
      <c r="K73" s="23"/>
      <c r="L73" s="23"/>
      <c r="M73" s="23"/>
      <c r="N73" s="23"/>
      <c r="O73" s="23"/>
      <c r="P73" s="11"/>
      <c r="Q73" s="11"/>
      <c r="R73" s="11"/>
      <c r="S73" s="11"/>
      <c r="U73" s="24" t="s">
        <v>314</v>
      </c>
      <c r="V73" s="25"/>
      <c r="W73" s="25"/>
      <c r="X73" s="25"/>
      <c r="Y73" s="25"/>
      <c r="Z73" s="25"/>
      <c r="AA73" s="26"/>
      <c r="AC73" s="23" t="s">
        <v>314</v>
      </c>
      <c r="AD73" s="23"/>
      <c r="AE73" s="23"/>
      <c r="AF73" s="23"/>
      <c r="AG73" s="23"/>
      <c r="AH73" s="23"/>
      <c r="AI73" s="23"/>
      <c r="AJ73" s="11"/>
      <c r="AK73" s="11"/>
      <c r="AL73" s="11"/>
      <c r="AM73" s="11"/>
      <c r="AO73" s="24" t="s">
        <v>314</v>
      </c>
      <c r="AP73" s="25"/>
      <c r="AQ73" s="25"/>
      <c r="AR73" s="25"/>
      <c r="AS73" s="25"/>
      <c r="AT73" s="25"/>
      <c r="AU73" s="26"/>
      <c r="AW73" s="23" t="s">
        <v>314</v>
      </c>
      <c r="AX73" s="23"/>
      <c r="AY73" s="23"/>
      <c r="AZ73" s="23"/>
      <c r="BA73" s="23"/>
      <c r="BB73" s="23"/>
      <c r="BC73" s="23"/>
      <c r="BD73" s="11"/>
      <c r="BE73" s="11"/>
      <c r="BF73" s="11"/>
      <c r="BG73" s="11"/>
      <c r="BI73" s="24" t="s">
        <v>314</v>
      </c>
      <c r="BJ73" s="25"/>
      <c r="BK73" s="25"/>
      <c r="BL73" s="25"/>
      <c r="BM73" s="25"/>
      <c r="BN73" s="25"/>
      <c r="BO73" s="26"/>
      <c r="BQ73" s="23" t="s">
        <v>314</v>
      </c>
      <c r="BR73" s="23"/>
      <c r="BS73" s="23"/>
      <c r="BT73" s="23"/>
      <c r="BU73" s="23"/>
      <c r="BV73" s="23"/>
      <c r="BW73" s="23"/>
      <c r="BX73" s="11"/>
      <c r="BY73" s="11"/>
      <c r="BZ73" s="11"/>
      <c r="CA73" s="11"/>
    </row>
    <row r="74" spans="1:79" x14ac:dyDescent="0.3">
      <c r="A74" s="4" t="s">
        <v>72</v>
      </c>
      <c r="B74" s="4"/>
      <c r="C74" s="4"/>
      <c r="D74" s="4"/>
      <c r="E74" s="4"/>
      <c r="F74" s="4"/>
      <c r="G74" s="4"/>
      <c r="I74" s="23" t="s">
        <v>72</v>
      </c>
      <c r="J74" s="23"/>
      <c r="K74" s="23"/>
      <c r="L74" s="23"/>
      <c r="M74" s="23"/>
      <c r="N74" s="23"/>
      <c r="O74" s="23"/>
      <c r="P74" s="11"/>
      <c r="Q74" s="11"/>
      <c r="R74" s="11"/>
      <c r="S74" s="11"/>
      <c r="U74" s="4" t="s">
        <v>73</v>
      </c>
      <c r="V74" s="4"/>
      <c r="W74" s="4"/>
      <c r="X74" s="4"/>
      <c r="Y74" s="4"/>
      <c r="Z74" s="4"/>
      <c r="AA74" s="4"/>
      <c r="AC74" s="23" t="s">
        <v>73</v>
      </c>
      <c r="AD74" s="23"/>
      <c r="AE74" s="23"/>
      <c r="AF74" s="23"/>
      <c r="AG74" s="23"/>
      <c r="AH74" s="23"/>
      <c r="AI74" s="23"/>
      <c r="AJ74" s="11"/>
      <c r="AK74" s="11"/>
      <c r="AL74" s="11"/>
      <c r="AM74" s="11"/>
      <c r="AO74" s="4" t="s">
        <v>72</v>
      </c>
      <c r="AP74" s="4"/>
      <c r="AQ74" s="4"/>
      <c r="AR74" s="4"/>
      <c r="AS74" s="4"/>
      <c r="AT74" s="4"/>
      <c r="AU74" s="4"/>
      <c r="AW74" s="23" t="s">
        <v>72</v>
      </c>
      <c r="AX74" s="23"/>
      <c r="AY74" s="23"/>
      <c r="AZ74" s="23"/>
      <c r="BA74" s="23"/>
      <c r="BB74" s="23"/>
      <c r="BC74" s="23"/>
      <c r="BD74" s="11"/>
      <c r="BE74" s="11"/>
      <c r="BF74" s="11"/>
      <c r="BG74" s="11"/>
      <c r="BI74" s="4" t="s">
        <v>73</v>
      </c>
      <c r="BJ74" s="4"/>
      <c r="BK74" s="4"/>
      <c r="BL74" s="4"/>
      <c r="BM74" s="4"/>
      <c r="BN74" s="4"/>
      <c r="BO74" s="4"/>
      <c r="BQ74" s="23" t="s">
        <v>73</v>
      </c>
      <c r="BR74" s="23"/>
      <c r="BS74" s="23"/>
      <c r="BT74" s="23"/>
      <c r="BU74" s="23"/>
      <c r="BV74" s="23"/>
      <c r="BW74" s="23"/>
      <c r="BX74" s="11"/>
      <c r="BY74" s="11"/>
      <c r="BZ74" s="11"/>
      <c r="CA74" s="11"/>
    </row>
    <row r="75" spans="1:79" x14ac:dyDescent="0.3">
      <c r="A75" s="4" t="s">
        <v>2</v>
      </c>
      <c r="B75" s="4" t="s">
        <v>3</v>
      </c>
      <c r="C75" s="4" t="s">
        <v>4</v>
      </c>
      <c r="D75" s="4" t="s">
        <v>5</v>
      </c>
      <c r="E75" s="4" t="s">
        <v>6</v>
      </c>
      <c r="F75" s="4" t="s">
        <v>7</v>
      </c>
      <c r="G75" s="4" t="s">
        <v>8</v>
      </c>
      <c r="I75" s="4" t="s">
        <v>2</v>
      </c>
      <c r="J75" s="4" t="s">
        <v>3</v>
      </c>
      <c r="K75" s="4" t="s">
        <v>4</v>
      </c>
      <c r="L75" s="4" t="s">
        <v>5</v>
      </c>
      <c r="M75" s="4" t="s">
        <v>6</v>
      </c>
      <c r="N75" s="4" t="s">
        <v>7</v>
      </c>
      <c r="O75" s="4" t="s">
        <v>8</v>
      </c>
      <c r="P75" s="3" t="s">
        <v>322</v>
      </c>
      <c r="Q75" s="3" t="s">
        <v>323</v>
      </c>
      <c r="R75" s="3" t="s">
        <v>322</v>
      </c>
      <c r="S75" s="3" t="s">
        <v>323</v>
      </c>
      <c r="U75" s="4" t="s">
        <v>2</v>
      </c>
      <c r="V75" s="4" t="s">
        <v>3</v>
      </c>
      <c r="W75" s="4" t="s">
        <v>4</v>
      </c>
      <c r="X75" s="4" t="s">
        <v>5</v>
      </c>
      <c r="Y75" s="4" t="s">
        <v>6</v>
      </c>
      <c r="Z75" s="4" t="s">
        <v>7</v>
      </c>
      <c r="AA75" s="4" t="s">
        <v>8</v>
      </c>
      <c r="AC75" s="4" t="s">
        <v>2</v>
      </c>
      <c r="AD75" s="4" t="s">
        <v>3</v>
      </c>
      <c r="AE75" s="4" t="s">
        <v>4</v>
      </c>
      <c r="AF75" s="4" t="s">
        <v>5</v>
      </c>
      <c r="AG75" s="4" t="s">
        <v>6</v>
      </c>
      <c r="AH75" s="4" t="s">
        <v>7</v>
      </c>
      <c r="AI75" s="4" t="s">
        <v>8</v>
      </c>
      <c r="AJ75" s="3" t="s">
        <v>322</v>
      </c>
      <c r="AK75" s="3" t="s">
        <v>323</v>
      </c>
      <c r="AL75" s="3" t="s">
        <v>322</v>
      </c>
      <c r="AM75" s="3" t="s">
        <v>323</v>
      </c>
      <c r="AO75" s="4" t="s">
        <v>2</v>
      </c>
      <c r="AP75" s="4" t="s">
        <v>3</v>
      </c>
      <c r="AQ75" s="4" t="s">
        <v>4</v>
      </c>
      <c r="AR75" s="4" t="s">
        <v>5</v>
      </c>
      <c r="AS75" s="4" t="s">
        <v>6</v>
      </c>
      <c r="AT75" s="4" t="s">
        <v>7</v>
      </c>
      <c r="AU75" s="4" t="s">
        <v>8</v>
      </c>
      <c r="AW75" s="4" t="s">
        <v>2</v>
      </c>
      <c r="AX75" s="4" t="s">
        <v>3</v>
      </c>
      <c r="AY75" s="4" t="s">
        <v>4</v>
      </c>
      <c r="AZ75" s="4" t="s">
        <v>5</v>
      </c>
      <c r="BA75" s="4" t="s">
        <v>6</v>
      </c>
      <c r="BB75" s="4" t="s">
        <v>7</v>
      </c>
      <c r="BC75" s="4" t="s">
        <v>8</v>
      </c>
      <c r="BD75" s="3" t="s">
        <v>322</v>
      </c>
      <c r="BE75" s="3" t="s">
        <v>323</v>
      </c>
      <c r="BF75" s="3" t="s">
        <v>322</v>
      </c>
      <c r="BG75" s="3" t="s">
        <v>323</v>
      </c>
      <c r="BI75" s="4" t="s">
        <v>2</v>
      </c>
      <c r="BJ75" s="4" t="s">
        <v>3</v>
      </c>
      <c r="BK75" s="4" t="s">
        <v>4</v>
      </c>
      <c r="BL75" s="4" t="s">
        <v>5</v>
      </c>
      <c r="BM75" s="4" t="s">
        <v>6</v>
      </c>
      <c r="BN75" s="4" t="s">
        <v>7</v>
      </c>
      <c r="BO75" s="4" t="s">
        <v>8</v>
      </c>
      <c r="BQ75" s="4" t="s">
        <v>2</v>
      </c>
      <c r="BR75" s="4" t="s">
        <v>3</v>
      </c>
      <c r="BS75" s="4" t="s">
        <v>4</v>
      </c>
      <c r="BT75" s="4" t="s">
        <v>5</v>
      </c>
      <c r="BU75" s="4" t="s">
        <v>6</v>
      </c>
      <c r="BV75" s="4" t="s">
        <v>7</v>
      </c>
      <c r="BW75" s="4" t="s">
        <v>8</v>
      </c>
      <c r="BX75" s="3" t="s">
        <v>322</v>
      </c>
      <c r="BY75" s="3" t="s">
        <v>323</v>
      </c>
      <c r="BZ75" s="3" t="s">
        <v>322</v>
      </c>
      <c r="CA75" s="3" t="s">
        <v>323</v>
      </c>
    </row>
    <row r="76" spans="1:79" x14ac:dyDescent="0.3">
      <c r="A76" s="4" t="s">
        <v>10</v>
      </c>
      <c r="B76" s="4">
        <v>0.9</v>
      </c>
      <c r="C76" s="4">
        <v>0.5</v>
      </c>
      <c r="D76" s="4">
        <v>0.6</v>
      </c>
      <c r="E76" s="4">
        <v>0.01</v>
      </c>
      <c r="F76" s="4">
        <v>469.01501500000001</v>
      </c>
      <c r="G76" s="4">
        <v>3.1E-2</v>
      </c>
      <c r="I76" s="4" t="s">
        <v>10</v>
      </c>
      <c r="J76" s="4">
        <v>0.9</v>
      </c>
      <c r="K76" s="4">
        <v>0.5</v>
      </c>
      <c r="L76" s="4">
        <v>0.6</v>
      </c>
      <c r="M76" s="4">
        <v>0.39</v>
      </c>
      <c r="N76" s="6">
        <v>388.59506199999998</v>
      </c>
      <c r="O76" s="4">
        <v>1E-3</v>
      </c>
      <c r="P76" s="4" t="s">
        <v>327</v>
      </c>
      <c r="Q76" s="4" t="s">
        <v>327</v>
      </c>
      <c r="R76" s="4" t="s">
        <v>326</v>
      </c>
      <c r="S76" s="4" t="s">
        <v>326</v>
      </c>
      <c r="U76" s="4" t="s">
        <v>10</v>
      </c>
      <c r="V76" s="4">
        <v>0.9</v>
      </c>
      <c r="W76" s="4">
        <v>0.5</v>
      </c>
      <c r="X76" s="4">
        <v>0.6</v>
      </c>
      <c r="Y76" s="4">
        <v>0.01</v>
      </c>
      <c r="Z76" s="4">
        <v>455.15219100000002</v>
      </c>
      <c r="AA76" s="4">
        <v>1.2E-2</v>
      </c>
      <c r="AC76" s="4" t="s">
        <v>10</v>
      </c>
      <c r="AD76" s="4">
        <v>0.9</v>
      </c>
      <c r="AE76" s="4">
        <v>0.5</v>
      </c>
      <c r="AF76" s="4">
        <v>0.6</v>
      </c>
      <c r="AG76" s="4">
        <v>0.43</v>
      </c>
      <c r="AH76" s="6">
        <v>378.34726000000001</v>
      </c>
      <c r="AI76" s="4">
        <v>0</v>
      </c>
      <c r="AJ76" s="4" t="s">
        <v>327</v>
      </c>
      <c r="AK76" s="4" t="s">
        <v>327</v>
      </c>
      <c r="AL76" s="4" t="s">
        <v>326</v>
      </c>
      <c r="AM76" s="4" t="s">
        <v>326</v>
      </c>
      <c r="AO76" s="4" t="s">
        <v>11</v>
      </c>
      <c r="AP76" s="4">
        <v>0.9</v>
      </c>
      <c r="AQ76" s="4">
        <v>0.5</v>
      </c>
      <c r="AR76" s="4">
        <v>0.6</v>
      </c>
      <c r="AS76" s="4">
        <v>0.01</v>
      </c>
      <c r="AT76" s="6">
        <v>703.49676499999998</v>
      </c>
      <c r="AU76" s="4">
        <v>0.04</v>
      </c>
      <c r="AW76" s="4" t="s">
        <v>11</v>
      </c>
      <c r="AX76" s="4">
        <v>0.9</v>
      </c>
      <c r="AY76" s="4">
        <v>0.5</v>
      </c>
      <c r="AZ76" s="4">
        <v>0.6</v>
      </c>
      <c r="BA76" s="4">
        <v>0.36</v>
      </c>
      <c r="BB76" s="4">
        <v>754.50354000000004</v>
      </c>
      <c r="BC76" s="4">
        <v>4.0000000000000001E-3</v>
      </c>
      <c r="BD76" s="4" t="s">
        <v>327</v>
      </c>
      <c r="BE76" s="4" t="s">
        <v>327</v>
      </c>
      <c r="BF76" s="4" t="s">
        <v>326</v>
      </c>
      <c r="BG76" s="4" t="s">
        <v>326</v>
      </c>
      <c r="BI76" s="4" t="s">
        <v>11</v>
      </c>
      <c r="BJ76" s="4">
        <v>0.9</v>
      </c>
      <c r="BK76" s="4">
        <v>0.5</v>
      </c>
      <c r="BL76" s="4">
        <v>0.6</v>
      </c>
      <c r="BM76" s="4">
        <v>0.01</v>
      </c>
      <c r="BN76" s="6">
        <v>692.25921600000004</v>
      </c>
      <c r="BO76" s="4">
        <v>1.4E-2</v>
      </c>
      <c r="BQ76" s="4" t="s">
        <v>11</v>
      </c>
      <c r="BR76" s="4">
        <v>0.9</v>
      </c>
      <c r="BS76" s="4">
        <v>0.5</v>
      </c>
      <c r="BT76" s="4">
        <v>0.6</v>
      </c>
      <c r="BU76" s="4">
        <v>0.35</v>
      </c>
      <c r="BV76" s="4">
        <v>753.64080799999999</v>
      </c>
      <c r="BW76" s="4">
        <v>5.0000000000000001E-3</v>
      </c>
      <c r="BX76" s="4" t="s">
        <v>327</v>
      </c>
      <c r="BY76" s="4" t="s">
        <v>327</v>
      </c>
      <c r="BZ76" s="4" t="s">
        <v>326</v>
      </c>
      <c r="CA76" s="4" t="s">
        <v>326</v>
      </c>
    </row>
    <row r="77" spans="1:79" x14ac:dyDescent="0.3">
      <c r="A77" s="4" t="s">
        <v>12</v>
      </c>
      <c r="B77" s="4">
        <v>0.9</v>
      </c>
      <c r="C77" s="4">
        <v>0.5</v>
      </c>
      <c r="D77" s="4">
        <v>0.6</v>
      </c>
      <c r="E77" s="4">
        <v>0.16</v>
      </c>
      <c r="F77" s="4">
        <v>435.30145299999998</v>
      </c>
      <c r="G77" s="4">
        <v>3.3000000000000002E-2</v>
      </c>
      <c r="I77" s="4" t="s">
        <v>12</v>
      </c>
      <c r="J77" s="4">
        <v>0.9</v>
      </c>
      <c r="K77" s="4">
        <v>0.5</v>
      </c>
      <c r="L77" s="4">
        <v>0.6</v>
      </c>
      <c r="M77" s="4">
        <v>0.35</v>
      </c>
      <c r="N77" s="6">
        <v>428.79330399999998</v>
      </c>
      <c r="O77" s="4">
        <v>1E-3</v>
      </c>
      <c r="P77" s="3">
        <f>COUNT(F87,F93,F101)</f>
        <v>3</v>
      </c>
      <c r="Q77" s="3">
        <f>30-P77</f>
        <v>27</v>
      </c>
      <c r="R77" s="3">
        <f>COUNT(N76:N92,N94:N100,N102:N105)</f>
        <v>28</v>
      </c>
      <c r="S77" s="3">
        <f>30-R77</f>
        <v>2</v>
      </c>
      <c r="U77" s="4" t="s">
        <v>12</v>
      </c>
      <c r="V77" s="4">
        <v>0.9</v>
      </c>
      <c r="W77" s="4">
        <v>0.5</v>
      </c>
      <c r="X77" s="4">
        <v>0.6</v>
      </c>
      <c r="Y77" s="4">
        <v>0.57999999999999996</v>
      </c>
      <c r="Z77" s="4">
        <v>425.35144000000003</v>
      </c>
      <c r="AA77" s="4">
        <v>1.6E-2</v>
      </c>
      <c r="AC77" s="4" t="s">
        <v>12</v>
      </c>
      <c r="AD77" s="4">
        <v>0.9</v>
      </c>
      <c r="AE77" s="4">
        <v>0.5</v>
      </c>
      <c r="AF77" s="4">
        <v>0.6</v>
      </c>
      <c r="AG77" s="4">
        <v>0.39</v>
      </c>
      <c r="AH77" s="6">
        <v>417.44442700000002</v>
      </c>
      <c r="AI77" s="4">
        <v>0</v>
      </c>
      <c r="AJ77" s="3">
        <f>COUNT(Z78,Z81,Z87,Z99,Z105)</f>
        <v>5</v>
      </c>
      <c r="AK77" s="3">
        <f>30-AJ77</f>
        <v>25</v>
      </c>
      <c r="AL77" s="3">
        <f>COUNT(AH76:AH105)</f>
        <v>30</v>
      </c>
      <c r="AM77" s="3">
        <f>30-AL77</f>
        <v>0</v>
      </c>
      <c r="AO77" s="4" t="s">
        <v>13</v>
      </c>
      <c r="AP77" s="4">
        <v>0.9</v>
      </c>
      <c r="AQ77" s="4">
        <v>0.5</v>
      </c>
      <c r="AR77" s="4">
        <v>0.6</v>
      </c>
      <c r="AS77" s="4">
        <v>0.94</v>
      </c>
      <c r="AT77" s="4">
        <v>781.18280000000004</v>
      </c>
      <c r="AU77" s="4">
        <v>2.4E-2</v>
      </c>
      <c r="AW77" s="4" t="s">
        <v>13</v>
      </c>
      <c r="AX77" s="4">
        <v>0.9</v>
      </c>
      <c r="AY77" s="4">
        <v>0.5</v>
      </c>
      <c r="AZ77" s="4">
        <v>0.6</v>
      </c>
      <c r="BA77" s="4">
        <v>0.35</v>
      </c>
      <c r="BB77" s="6">
        <v>685.78131099999996</v>
      </c>
      <c r="BC77" s="4">
        <v>4.0000000000000001E-3</v>
      </c>
      <c r="BD77" s="3">
        <f>COUNT(AT76,AT79,AT83:AT84,AT87,AT90:AT91,AT94,AT99:AT100,AT105)</f>
        <v>11</v>
      </c>
      <c r="BE77" s="3">
        <f>30-BD77</f>
        <v>19</v>
      </c>
      <c r="BF77" s="3">
        <f>COUNT(BB77:BB78,BB80:BB82,BB85:BB86,BB88:BB89,BB92:BB93,BB95:BB98,BB101:BB104)</f>
        <v>19</v>
      </c>
      <c r="BG77" s="3">
        <f>30-BF77</f>
        <v>11</v>
      </c>
      <c r="BI77" s="4" t="s">
        <v>13</v>
      </c>
      <c r="BJ77" s="4">
        <v>0.9</v>
      </c>
      <c r="BK77" s="4">
        <v>0.5</v>
      </c>
      <c r="BL77" s="4">
        <v>0.6</v>
      </c>
      <c r="BM77" s="4">
        <v>0.46</v>
      </c>
      <c r="BN77" s="4">
        <v>712.25866699999995</v>
      </c>
      <c r="BO77" s="4">
        <v>1.4E-2</v>
      </c>
      <c r="BQ77" s="4" t="s">
        <v>13</v>
      </c>
      <c r="BR77" s="4">
        <v>0.9</v>
      </c>
      <c r="BS77" s="4">
        <v>0.5</v>
      </c>
      <c r="BT77" s="4">
        <v>0.6</v>
      </c>
      <c r="BU77" s="4">
        <v>0.32</v>
      </c>
      <c r="BV77" s="6">
        <v>673.08551</v>
      </c>
      <c r="BW77" s="4">
        <v>4.0000000000000001E-3</v>
      </c>
      <c r="BX77" s="3">
        <f>COUNT(BN76,BN79,BN81:BN82,BN84:BN86,BN88:BN90,BN92,BN97,BN99,BN103:BN104)</f>
        <v>15</v>
      </c>
      <c r="BY77" s="3">
        <f>30-BX77</f>
        <v>15</v>
      </c>
      <c r="BZ77" s="3">
        <f>COUNT(BV77:BV78,BV80,BV83,BV87,BV91,BV93:BV94,BV95:BV96,BV98,BV100:BV102,BV105)</f>
        <v>15</v>
      </c>
      <c r="CA77" s="3">
        <f>30-BZ77</f>
        <v>15</v>
      </c>
    </row>
    <row r="78" spans="1:79" x14ac:dyDescent="0.3">
      <c r="A78" s="4" t="s">
        <v>14</v>
      </c>
      <c r="B78" s="4">
        <v>0.9</v>
      </c>
      <c r="C78" s="4">
        <v>0.5</v>
      </c>
      <c r="D78" s="4">
        <v>0.6</v>
      </c>
      <c r="E78" s="4">
        <v>0.97</v>
      </c>
      <c r="F78" s="4">
        <v>387.20840500000003</v>
      </c>
      <c r="G78" s="4">
        <v>2.5999999999999999E-2</v>
      </c>
      <c r="I78" s="4" t="s">
        <v>14</v>
      </c>
      <c r="J78" s="4">
        <v>0.9</v>
      </c>
      <c r="K78" s="4">
        <v>0.5</v>
      </c>
      <c r="L78" s="4">
        <v>0.6</v>
      </c>
      <c r="M78" s="4">
        <v>0.33</v>
      </c>
      <c r="N78" s="6">
        <v>367.32510400000001</v>
      </c>
      <c r="O78" s="4">
        <v>0</v>
      </c>
      <c r="P78" s="5"/>
      <c r="Q78" s="5"/>
      <c r="R78" s="5"/>
      <c r="S78" s="5"/>
      <c r="U78" s="4" t="s">
        <v>14</v>
      </c>
      <c r="V78" s="4">
        <v>0.9</v>
      </c>
      <c r="W78" s="4">
        <v>0.5</v>
      </c>
      <c r="X78" s="4">
        <v>0.6</v>
      </c>
      <c r="Y78" s="4">
        <v>0.18</v>
      </c>
      <c r="Z78" s="8">
        <v>357.13305700000001</v>
      </c>
      <c r="AA78" s="4">
        <v>1.7000000000000001E-2</v>
      </c>
      <c r="AC78" s="4" t="s">
        <v>14</v>
      </c>
      <c r="AD78" s="4">
        <v>0.9</v>
      </c>
      <c r="AE78" s="4">
        <v>0.5</v>
      </c>
      <c r="AF78" s="4">
        <v>0.6</v>
      </c>
      <c r="AG78" s="4">
        <v>0.31</v>
      </c>
      <c r="AH78" s="6">
        <v>357.08395400000001</v>
      </c>
      <c r="AI78" s="4">
        <v>0</v>
      </c>
      <c r="AJ78" s="5"/>
      <c r="AK78" s="5"/>
      <c r="AL78" s="5"/>
      <c r="AM78" s="5"/>
      <c r="AO78" s="4" t="s">
        <v>15</v>
      </c>
      <c r="AP78" s="4">
        <v>0.9</v>
      </c>
      <c r="AQ78" s="4">
        <v>0.5</v>
      </c>
      <c r="AR78" s="4">
        <v>0.6</v>
      </c>
      <c r="AS78" s="4">
        <v>0.75</v>
      </c>
      <c r="AT78" s="4">
        <v>887.11901899999998</v>
      </c>
      <c r="AU78" s="4">
        <v>0.02</v>
      </c>
      <c r="AW78" s="4" t="s">
        <v>15</v>
      </c>
      <c r="AX78" s="4">
        <v>0.9</v>
      </c>
      <c r="AY78" s="4">
        <v>0.5</v>
      </c>
      <c r="AZ78" s="4">
        <v>0.6</v>
      </c>
      <c r="BA78" s="4">
        <v>0.32</v>
      </c>
      <c r="BB78" s="6">
        <v>737.26208499999996</v>
      </c>
      <c r="BC78" s="4">
        <v>3.0000000000000001E-3</v>
      </c>
      <c r="BD78" s="5"/>
      <c r="BE78" s="5"/>
      <c r="BF78" s="5"/>
      <c r="BG78" s="5"/>
      <c r="BI78" s="4" t="s">
        <v>15</v>
      </c>
      <c r="BJ78" s="4">
        <v>0.9</v>
      </c>
      <c r="BK78" s="4">
        <v>0.5</v>
      </c>
      <c r="BL78" s="4">
        <v>0.6</v>
      </c>
      <c r="BM78" s="4">
        <v>0.4</v>
      </c>
      <c r="BN78" s="4">
        <v>759.70996100000002</v>
      </c>
      <c r="BO78" s="4">
        <v>1.9E-2</v>
      </c>
      <c r="BQ78" s="4" t="s">
        <v>15</v>
      </c>
      <c r="BR78" s="4">
        <v>0.9</v>
      </c>
      <c r="BS78" s="4">
        <v>0.5</v>
      </c>
      <c r="BT78" s="4">
        <v>0.6</v>
      </c>
      <c r="BU78" s="4">
        <v>0.3</v>
      </c>
      <c r="BV78" s="6">
        <v>735.89562999999998</v>
      </c>
      <c r="BW78" s="4">
        <v>6.0000000000000001E-3</v>
      </c>
      <c r="BX78" s="5"/>
      <c r="BY78" s="5"/>
      <c r="BZ78" s="5"/>
      <c r="CA78" s="5"/>
    </row>
    <row r="79" spans="1:79" x14ac:dyDescent="0.3">
      <c r="A79" s="4" t="s">
        <v>16</v>
      </c>
      <c r="B79" s="4">
        <v>0.9</v>
      </c>
      <c r="C79" s="4">
        <v>0.5</v>
      </c>
      <c r="D79" s="4">
        <v>0.6</v>
      </c>
      <c r="E79" s="4">
        <v>0.28000000000000003</v>
      </c>
      <c r="F79" s="4">
        <v>396.49188199999998</v>
      </c>
      <c r="G79" s="4">
        <v>8.0000000000000002E-3</v>
      </c>
      <c r="I79" s="4" t="s">
        <v>16</v>
      </c>
      <c r="J79" s="4">
        <v>0.9</v>
      </c>
      <c r="K79" s="4">
        <v>0.5</v>
      </c>
      <c r="L79" s="4">
        <v>0.6</v>
      </c>
      <c r="M79" s="4">
        <v>0.37</v>
      </c>
      <c r="N79" s="6">
        <v>394.36831699999999</v>
      </c>
      <c r="O79" s="4">
        <v>1E-3</v>
      </c>
      <c r="P79" s="5"/>
      <c r="Q79" s="5"/>
      <c r="R79" s="5"/>
      <c r="S79" s="5"/>
      <c r="U79" s="4" t="s">
        <v>16</v>
      </c>
      <c r="V79" s="4">
        <v>0.9</v>
      </c>
      <c r="W79" s="4">
        <v>0.5</v>
      </c>
      <c r="X79" s="4">
        <v>0.6</v>
      </c>
      <c r="Y79" s="4">
        <v>0.63</v>
      </c>
      <c r="Z79" s="4">
        <v>405.18270899999999</v>
      </c>
      <c r="AA79" s="4">
        <v>2.1999999999999999E-2</v>
      </c>
      <c r="AC79" s="4" t="s">
        <v>16</v>
      </c>
      <c r="AD79" s="4">
        <v>0.9</v>
      </c>
      <c r="AE79" s="4">
        <v>0.5</v>
      </c>
      <c r="AF79" s="4">
        <v>0.6</v>
      </c>
      <c r="AG79" s="4">
        <v>0.3</v>
      </c>
      <c r="AH79" s="6">
        <v>388.27044699999999</v>
      </c>
      <c r="AI79" s="4">
        <v>1E-3</v>
      </c>
      <c r="AJ79" s="5"/>
      <c r="AK79" s="5"/>
      <c r="AL79" s="5"/>
      <c r="AM79" s="5"/>
      <c r="AO79" s="4" t="s">
        <v>17</v>
      </c>
      <c r="AP79" s="4">
        <v>0.9</v>
      </c>
      <c r="AQ79" s="4">
        <v>0.5</v>
      </c>
      <c r="AR79" s="4">
        <v>0.6</v>
      </c>
      <c r="AS79" s="4">
        <v>0.09</v>
      </c>
      <c r="AT79" s="6">
        <v>654.11505099999999</v>
      </c>
      <c r="AU79" s="4">
        <v>1.4999999999999999E-2</v>
      </c>
      <c r="AW79" s="4" t="s">
        <v>17</v>
      </c>
      <c r="AX79" s="4">
        <v>0.9</v>
      </c>
      <c r="AY79" s="4">
        <v>0.5</v>
      </c>
      <c r="AZ79" s="4">
        <v>0.6</v>
      </c>
      <c r="BA79" s="4">
        <v>0.3</v>
      </c>
      <c r="BB79" s="4">
        <v>715.78576699999996</v>
      </c>
      <c r="BC79" s="4">
        <v>3.0000000000000001E-3</v>
      </c>
      <c r="BD79" s="5"/>
      <c r="BE79" s="5"/>
      <c r="BF79" s="5"/>
      <c r="BG79" s="5"/>
      <c r="BI79" s="4" t="s">
        <v>17</v>
      </c>
      <c r="BJ79" s="4">
        <v>0.9</v>
      </c>
      <c r="BK79" s="4">
        <v>0.5</v>
      </c>
      <c r="BL79" s="4">
        <v>0.6</v>
      </c>
      <c r="BM79" s="4">
        <v>0.16</v>
      </c>
      <c r="BN79" s="6">
        <v>661.024719</v>
      </c>
      <c r="BO79" s="4">
        <v>1.9E-2</v>
      </c>
      <c r="BQ79" s="4" t="s">
        <v>17</v>
      </c>
      <c r="BR79" s="4">
        <v>0.9</v>
      </c>
      <c r="BS79" s="4">
        <v>0.5</v>
      </c>
      <c r="BT79" s="4">
        <v>0.6</v>
      </c>
      <c r="BU79" s="4">
        <v>0.32</v>
      </c>
      <c r="BV79" s="4">
        <v>714.46227999999996</v>
      </c>
      <c r="BW79" s="4">
        <v>5.0000000000000001E-3</v>
      </c>
      <c r="BX79" s="5"/>
      <c r="BY79" s="5"/>
      <c r="BZ79" s="5"/>
      <c r="CA79" s="5"/>
    </row>
    <row r="80" spans="1:79" x14ac:dyDescent="0.3">
      <c r="A80" s="4" t="s">
        <v>18</v>
      </c>
      <c r="B80" s="4">
        <v>0.9</v>
      </c>
      <c r="C80" s="4">
        <v>0.5</v>
      </c>
      <c r="D80" s="4">
        <v>0.6</v>
      </c>
      <c r="E80" s="4">
        <v>0.56000000000000005</v>
      </c>
      <c r="F80" s="4">
        <v>354.978973</v>
      </c>
      <c r="G80" s="4">
        <v>1.6E-2</v>
      </c>
      <c r="I80" s="4" t="s">
        <v>18</v>
      </c>
      <c r="J80" s="4">
        <v>0.9</v>
      </c>
      <c r="K80" s="4">
        <v>0.5</v>
      </c>
      <c r="L80" s="4">
        <v>0.6</v>
      </c>
      <c r="M80" s="4">
        <v>0.32</v>
      </c>
      <c r="N80" s="6">
        <v>347.80276500000002</v>
      </c>
      <c r="O80" s="4">
        <v>1E-3</v>
      </c>
      <c r="P80" s="5"/>
      <c r="Q80" s="5"/>
      <c r="R80" s="5"/>
      <c r="S80" s="5"/>
      <c r="U80" s="4" t="s">
        <v>18</v>
      </c>
      <c r="V80" s="4">
        <v>0.9</v>
      </c>
      <c r="W80" s="4">
        <v>0.5</v>
      </c>
      <c r="X80" s="4">
        <v>0.6</v>
      </c>
      <c r="Y80" s="4">
        <v>0.72</v>
      </c>
      <c r="Z80" s="4">
        <v>364.76736499999998</v>
      </c>
      <c r="AA80" s="4">
        <v>2.3E-2</v>
      </c>
      <c r="AC80" s="4" t="s">
        <v>18</v>
      </c>
      <c r="AD80" s="4">
        <v>0.9</v>
      </c>
      <c r="AE80" s="4">
        <v>0.5</v>
      </c>
      <c r="AF80" s="4">
        <v>0.6</v>
      </c>
      <c r="AG80" s="4">
        <v>0.32</v>
      </c>
      <c r="AH80" s="6">
        <v>337.70214800000002</v>
      </c>
      <c r="AI80" s="4">
        <v>1E-3</v>
      </c>
      <c r="AJ80" s="5"/>
      <c r="AK80" s="5"/>
      <c r="AL80" s="5"/>
      <c r="AM80" s="5"/>
      <c r="AO80" s="4" t="s">
        <v>19</v>
      </c>
      <c r="AP80" s="4">
        <v>0.9</v>
      </c>
      <c r="AQ80" s="4">
        <v>0.5</v>
      </c>
      <c r="AR80" s="4">
        <v>0.6</v>
      </c>
      <c r="AS80" s="4">
        <v>0.63</v>
      </c>
      <c r="AT80" s="4">
        <v>853.75671399999999</v>
      </c>
      <c r="AU80" s="4">
        <v>1.7000000000000001E-2</v>
      </c>
      <c r="AW80" s="4" t="s">
        <v>19</v>
      </c>
      <c r="AX80" s="4">
        <v>0.9</v>
      </c>
      <c r="AY80" s="4">
        <v>0.5</v>
      </c>
      <c r="AZ80" s="4">
        <v>0.6</v>
      </c>
      <c r="BA80" s="4">
        <v>0.31</v>
      </c>
      <c r="BB80" s="6">
        <v>757.83526600000005</v>
      </c>
      <c r="BC80" s="4">
        <v>4.0000000000000001E-3</v>
      </c>
      <c r="BD80" s="5"/>
      <c r="BE80" s="5"/>
      <c r="BF80" s="5"/>
      <c r="BG80" s="5"/>
      <c r="BI80" s="4" t="s">
        <v>19</v>
      </c>
      <c r="BJ80" s="4">
        <v>0.9</v>
      </c>
      <c r="BK80" s="4">
        <v>0.5</v>
      </c>
      <c r="BL80" s="4">
        <v>0.6</v>
      </c>
      <c r="BM80" s="4">
        <v>0.87</v>
      </c>
      <c r="BN80" s="4">
        <v>889.009094</v>
      </c>
      <c r="BO80" s="4">
        <v>1.0999999999999999E-2</v>
      </c>
      <c r="BQ80" s="4" t="s">
        <v>19</v>
      </c>
      <c r="BR80" s="4">
        <v>0.9</v>
      </c>
      <c r="BS80" s="4">
        <v>0.5</v>
      </c>
      <c r="BT80" s="4">
        <v>0.6</v>
      </c>
      <c r="BU80" s="4">
        <v>0.32</v>
      </c>
      <c r="BV80" s="6">
        <v>741.10516399999995</v>
      </c>
      <c r="BW80" s="4">
        <v>5.0000000000000001E-3</v>
      </c>
      <c r="BX80" s="5"/>
      <c r="BY80" s="5"/>
      <c r="BZ80" s="5"/>
      <c r="CA80" s="5"/>
    </row>
    <row r="81" spans="1:79" x14ac:dyDescent="0.3">
      <c r="A81" s="4" t="s">
        <v>20</v>
      </c>
      <c r="B81" s="4">
        <v>0.9</v>
      </c>
      <c r="C81" s="4">
        <v>0.5</v>
      </c>
      <c r="D81" s="4">
        <v>0.6</v>
      </c>
      <c r="E81" s="4">
        <v>0.43</v>
      </c>
      <c r="F81" s="4">
        <v>415.33334400000001</v>
      </c>
      <c r="G81" s="4">
        <v>6.0000000000000001E-3</v>
      </c>
      <c r="I81" s="4" t="s">
        <v>20</v>
      </c>
      <c r="J81" s="4">
        <v>0.9</v>
      </c>
      <c r="K81" s="4">
        <v>0.5</v>
      </c>
      <c r="L81" s="4">
        <v>0.6</v>
      </c>
      <c r="M81" s="4">
        <v>0.33</v>
      </c>
      <c r="N81" s="6">
        <v>412.04544099999998</v>
      </c>
      <c r="O81" s="4">
        <v>0</v>
      </c>
      <c r="P81" s="5"/>
      <c r="Q81" s="5"/>
      <c r="R81" s="5"/>
      <c r="S81" s="5"/>
      <c r="U81" s="4" t="s">
        <v>20</v>
      </c>
      <c r="V81" s="4">
        <v>0.9</v>
      </c>
      <c r="W81" s="4">
        <v>0.5</v>
      </c>
      <c r="X81" s="4">
        <v>0.6</v>
      </c>
      <c r="Y81" s="4">
        <v>0.5</v>
      </c>
      <c r="Z81" s="6">
        <v>408.54724099999999</v>
      </c>
      <c r="AA81" s="4">
        <v>0.02</v>
      </c>
      <c r="AC81" s="4" t="s">
        <v>20</v>
      </c>
      <c r="AD81" s="4">
        <v>0.9</v>
      </c>
      <c r="AE81" s="4">
        <v>0.5</v>
      </c>
      <c r="AF81" s="4">
        <v>0.6</v>
      </c>
      <c r="AG81" s="4">
        <v>0.34</v>
      </c>
      <c r="AH81" s="8">
        <v>404.81759599999998</v>
      </c>
      <c r="AI81" s="4">
        <v>0</v>
      </c>
      <c r="AJ81" s="5"/>
      <c r="AK81" s="5"/>
      <c r="AL81" s="5"/>
      <c r="AM81" s="5"/>
      <c r="AO81" s="4" t="s">
        <v>21</v>
      </c>
      <c r="AP81" s="4">
        <v>0.9</v>
      </c>
      <c r="AQ81" s="4">
        <v>0.5</v>
      </c>
      <c r="AR81" s="4">
        <v>0.6</v>
      </c>
      <c r="AS81" s="4">
        <v>0.64</v>
      </c>
      <c r="AT81" s="4">
        <v>876.73376499999995</v>
      </c>
      <c r="AU81" s="4">
        <v>3.4000000000000002E-2</v>
      </c>
      <c r="AW81" s="4" t="s">
        <v>21</v>
      </c>
      <c r="AX81" s="4">
        <v>0.9</v>
      </c>
      <c r="AY81" s="4">
        <v>0.5</v>
      </c>
      <c r="AZ81" s="4">
        <v>0.6</v>
      </c>
      <c r="BA81" s="4">
        <v>0.3</v>
      </c>
      <c r="BB81" s="6">
        <v>750.52612299999998</v>
      </c>
      <c r="BC81" s="4">
        <v>3.0000000000000001E-3</v>
      </c>
      <c r="BD81" s="5"/>
      <c r="BE81" s="5"/>
      <c r="BF81" s="5"/>
      <c r="BG81" s="5"/>
      <c r="BI81" s="4" t="s">
        <v>21</v>
      </c>
      <c r="BJ81" s="4">
        <v>0.9</v>
      </c>
      <c r="BK81" s="4">
        <v>0.5</v>
      </c>
      <c r="BL81" s="4">
        <v>0.6</v>
      </c>
      <c r="BM81" s="4">
        <v>0.22</v>
      </c>
      <c r="BN81" s="6">
        <v>703.45190400000001</v>
      </c>
      <c r="BO81" s="4">
        <v>1.4E-2</v>
      </c>
      <c r="BQ81" s="4" t="s">
        <v>21</v>
      </c>
      <c r="BR81" s="4">
        <v>0.9</v>
      </c>
      <c r="BS81" s="4">
        <v>0.5</v>
      </c>
      <c r="BT81" s="4">
        <v>0.6</v>
      </c>
      <c r="BU81" s="4">
        <v>0.31</v>
      </c>
      <c r="BV81" s="4">
        <v>724.39593500000001</v>
      </c>
      <c r="BW81" s="4">
        <v>7.0000000000000001E-3</v>
      </c>
      <c r="BX81" s="5"/>
      <c r="BY81" s="5"/>
      <c r="BZ81" s="5"/>
      <c r="CA81" s="5"/>
    </row>
    <row r="82" spans="1:79" x14ac:dyDescent="0.3">
      <c r="A82" s="4" t="s">
        <v>22</v>
      </c>
      <c r="B82" s="4">
        <v>0.9</v>
      </c>
      <c r="C82" s="4">
        <v>0.5</v>
      </c>
      <c r="D82" s="4">
        <v>0.6</v>
      </c>
      <c r="E82" s="4">
        <v>0.23</v>
      </c>
      <c r="F82" s="4">
        <v>392.53036500000002</v>
      </c>
      <c r="G82" s="4">
        <v>8.9999999999999993E-3</v>
      </c>
      <c r="I82" s="4" t="s">
        <v>22</v>
      </c>
      <c r="J82" s="4">
        <v>0.9</v>
      </c>
      <c r="K82" s="4">
        <v>0.5</v>
      </c>
      <c r="L82" s="4">
        <v>0.6</v>
      </c>
      <c r="M82" s="4">
        <v>0.42</v>
      </c>
      <c r="N82" s="6">
        <v>390.87133799999998</v>
      </c>
      <c r="O82" s="4">
        <v>1E-3</v>
      </c>
      <c r="P82" s="5"/>
      <c r="Q82" s="5"/>
      <c r="R82" s="5"/>
      <c r="S82" s="5"/>
      <c r="U82" s="4" t="s">
        <v>22</v>
      </c>
      <c r="V82" s="4">
        <v>0.9</v>
      </c>
      <c r="W82" s="4">
        <v>0.5</v>
      </c>
      <c r="X82" s="4">
        <v>0.6</v>
      </c>
      <c r="Y82" s="4">
        <v>0.54</v>
      </c>
      <c r="Z82" s="4">
        <v>399.55404700000003</v>
      </c>
      <c r="AA82" s="4">
        <v>1.7999999999999999E-2</v>
      </c>
      <c r="AC82" s="4" t="s">
        <v>22</v>
      </c>
      <c r="AD82" s="4">
        <v>0.9</v>
      </c>
      <c r="AE82" s="4">
        <v>0.5</v>
      </c>
      <c r="AF82" s="4">
        <v>0.6</v>
      </c>
      <c r="AG82" s="4">
        <v>0.32</v>
      </c>
      <c r="AH82" s="6">
        <v>378.59249899999998</v>
      </c>
      <c r="AI82" s="4">
        <v>1E-3</v>
      </c>
      <c r="AJ82" s="5"/>
      <c r="AK82" s="5"/>
      <c r="AL82" s="5"/>
      <c r="AM82" s="5"/>
      <c r="AO82" s="4" t="s">
        <v>23</v>
      </c>
      <c r="AP82" s="4">
        <v>0.9</v>
      </c>
      <c r="AQ82" s="4">
        <v>0.5</v>
      </c>
      <c r="AR82" s="4">
        <v>0.6</v>
      </c>
      <c r="AS82" s="4">
        <v>0.91</v>
      </c>
      <c r="AT82" s="4">
        <v>903.92932099999996</v>
      </c>
      <c r="AU82" s="4">
        <v>3.3000000000000002E-2</v>
      </c>
      <c r="AW82" s="4" t="s">
        <v>23</v>
      </c>
      <c r="AX82" s="4">
        <v>0.9</v>
      </c>
      <c r="AY82" s="4">
        <v>0.5</v>
      </c>
      <c r="AZ82" s="4">
        <v>0.6</v>
      </c>
      <c r="BA82" s="4">
        <v>0.34</v>
      </c>
      <c r="BB82" s="6">
        <v>743.80670199999997</v>
      </c>
      <c r="BC82" s="4">
        <v>3.0000000000000001E-3</v>
      </c>
      <c r="BD82" s="5"/>
      <c r="BE82" s="5"/>
      <c r="BF82" s="5"/>
      <c r="BG82" s="5"/>
      <c r="BI82" s="4" t="s">
        <v>23</v>
      </c>
      <c r="BJ82" s="4">
        <v>0.9</v>
      </c>
      <c r="BK82" s="4">
        <v>0.5</v>
      </c>
      <c r="BL82" s="4">
        <v>0.6</v>
      </c>
      <c r="BM82" s="4">
        <v>0.13</v>
      </c>
      <c r="BN82" s="6">
        <v>667.31390399999998</v>
      </c>
      <c r="BO82" s="4">
        <v>1.2999999999999999E-2</v>
      </c>
      <c r="BQ82" s="4" t="s">
        <v>23</v>
      </c>
      <c r="BR82" s="4">
        <v>0.9</v>
      </c>
      <c r="BS82" s="4">
        <v>0.5</v>
      </c>
      <c r="BT82" s="4">
        <v>0.6</v>
      </c>
      <c r="BU82" s="4">
        <v>0.3</v>
      </c>
      <c r="BV82" s="4">
        <v>717.65777600000001</v>
      </c>
      <c r="BW82" s="4">
        <v>6.0000000000000001E-3</v>
      </c>
      <c r="BX82" s="5"/>
      <c r="BY82" s="5"/>
      <c r="BZ82" s="5"/>
      <c r="CA82" s="5"/>
    </row>
    <row r="83" spans="1:79" x14ac:dyDescent="0.3">
      <c r="A83" s="4" t="s">
        <v>24</v>
      </c>
      <c r="B83" s="4">
        <v>0.9</v>
      </c>
      <c r="C83" s="4">
        <v>0.5</v>
      </c>
      <c r="D83" s="4">
        <v>0.6</v>
      </c>
      <c r="E83" s="4">
        <v>0.21</v>
      </c>
      <c r="F83" s="4">
        <v>469.45126299999998</v>
      </c>
      <c r="G83" s="4">
        <v>1.4E-2</v>
      </c>
      <c r="I83" s="4" t="s">
        <v>24</v>
      </c>
      <c r="J83" s="4">
        <v>0.9</v>
      </c>
      <c r="K83" s="4">
        <v>0.5</v>
      </c>
      <c r="L83" s="4">
        <v>0.6</v>
      </c>
      <c r="M83" s="4">
        <v>0.49</v>
      </c>
      <c r="N83" s="6">
        <v>466.09802200000001</v>
      </c>
      <c r="O83" s="4">
        <v>0</v>
      </c>
      <c r="P83" s="5"/>
      <c r="Q83" s="5"/>
      <c r="R83" s="5"/>
      <c r="S83" s="5"/>
      <c r="U83" s="4" t="s">
        <v>24</v>
      </c>
      <c r="V83" s="4">
        <v>0.9</v>
      </c>
      <c r="W83" s="4">
        <v>0.5</v>
      </c>
      <c r="X83" s="4">
        <v>0.6</v>
      </c>
      <c r="Y83" s="4">
        <v>7.0000000000000007E-2</v>
      </c>
      <c r="Z83" s="4">
        <v>457.41906699999998</v>
      </c>
      <c r="AA83" s="4">
        <v>1.7000000000000001E-2</v>
      </c>
      <c r="AC83" s="4" t="s">
        <v>24</v>
      </c>
      <c r="AD83" s="4">
        <v>0.9</v>
      </c>
      <c r="AE83" s="4">
        <v>0.5</v>
      </c>
      <c r="AF83" s="4">
        <v>0.6</v>
      </c>
      <c r="AG83" s="4">
        <v>0.32</v>
      </c>
      <c r="AH83" s="6">
        <v>451.84316999999999</v>
      </c>
      <c r="AI83" s="4">
        <v>0</v>
      </c>
      <c r="AJ83" s="5"/>
      <c r="AK83" s="5"/>
      <c r="AL83" s="5"/>
      <c r="AM83" s="5"/>
      <c r="AO83" s="4" t="s">
        <v>25</v>
      </c>
      <c r="AP83" s="4">
        <v>0.9</v>
      </c>
      <c r="AQ83" s="4">
        <v>0.5</v>
      </c>
      <c r="AR83" s="4">
        <v>0.6</v>
      </c>
      <c r="AS83" s="4">
        <v>0.16</v>
      </c>
      <c r="AT83" s="6">
        <v>712.83947799999999</v>
      </c>
      <c r="AU83" s="4">
        <v>2.8000000000000001E-2</v>
      </c>
      <c r="AW83" s="4" t="s">
        <v>25</v>
      </c>
      <c r="AX83" s="4">
        <v>0.9</v>
      </c>
      <c r="AY83" s="4">
        <v>0.5</v>
      </c>
      <c r="AZ83" s="4">
        <v>0.6</v>
      </c>
      <c r="BA83" s="4">
        <v>0.32</v>
      </c>
      <c r="BB83" s="4">
        <v>760.89086899999995</v>
      </c>
      <c r="BC83" s="4">
        <v>5.0000000000000001E-3</v>
      </c>
      <c r="BD83" s="5"/>
      <c r="BE83" s="5"/>
      <c r="BF83" s="5"/>
      <c r="BG83" s="5"/>
      <c r="BI83" s="4" t="s">
        <v>25</v>
      </c>
      <c r="BJ83" s="4">
        <v>0.9</v>
      </c>
      <c r="BK83" s="4">
        <v>0.5</v>
      </c>
      <c r="BL83" s="4">
        <v>0.6</v>
      </c>
      <c r="BM83" s="4">
        <v>0.63</v>
      </c>
      <c r="BN83" s="4">
        <v>855.98126200000002</v>
      </c>
      <c r="BO83" s="4">
        <v>1.7000000000000001E-2</v>
      </c>
      <c r="BQ83" s="4" t="s">
        <v>25</v>
      </c>
      <c r="BR83" s="4">
        <v>0.9</v>
      </c>
      <c r="BS83" s="4">
        <v>0.5</v>
      </c>
      <c r="BT83" s="4">
        <v>0.6</v>
      </c>
      <c r="BU83" s="4">
        <v>0.3</v>
      </c>
      <c r="BV83" s="6">
        <v>760.71978799999999</v>
      </c>
      <c r="BW83" s="4">
        <v>6.0000000000000001E-3</v>
      </c>
      <c r="BX83" s="5"/>
      <c r="BY83" s="5"/>
      <c r="BZ83" s="5"/>
      <c r="CA83" s="5"/>
    </row>
    <row r="84" spans="1:79" x14ac:dyDescent="0.3">
      <c r="A84" s="4" t="s">
        <v>26</v>
      </c>
      <c r="B84" s="4">
        <v>0.9</v>
      </c>
      <c r="C84" s="4">
        <v>0.5</v>
      </c>
      <c r="D84" s="4">
        <v>0.6</v>
      </c>
      <c r="E84" s="4">
        <v>0.94</v>
      </c>
      <c r="F84" s="4">
        <v>444.667236</v>
      </c>
      <c r="G84" s="4">
        <v>1.2E-2</v>
      </c>
      <c r="I84" s="4" t="s">
        <v>26</v>
      </c>
      <c r="J84" s="4">
        <v>0.9</v>
      </c>
      <c r="K84" s="4">
        <v>0.5</v>
      </c>
      <c r="L84" s="4">
        <v>0.6</v>
      </c>
      <c r="M84" s="4">
        <v>0.35</v>
      </c>
      <c r="N84" s="6">
        <v>418.75277699999998</v>
      </c>
      <c r="O84" s="4">
        <v>0</v>
      </c>
      <c r="P84" s="5"/>
      <c r="Q84" s="5"/>
      <c r="R84" s="5"/>
      <c r="S84" s="5"/>
      <c r="U84" s="4" t="s">
        <v>26</v>
      </c>
      <c r="V84" s="4">
        <v>0.9</v>
      </c>
      <c r="W84" s="4">
        <v>0.5</v>
      </c>
      <c r="X84" s="4">
        <v>0.6</v>
      </c>
      <c r="Y84" s="4">
        <v>0.63</v>
      </c>
      <c r="Z84" s="4">
        <v>416.37329099999999</v>
      </c>
      <c r="AA84" s="4">
        <v>2.1999999999999999E-2</v>
      </c>
      <c r="AC84" s="4" t="s">
        <v>26</v>
      </c>
      <c r="AD84" s="4">
        <v>0.9</v>
      </c>
      <c r="AE84" s="4">
        <v>0.5</v>
      </c>
      <c r="AF84" s="4">
        <v>0.6</v>
      </c>
      <c r="AG84" s="4">
        <v>0.33</v>
      </c>
      <c r="AH84" s="6">
        <v>410.80957000000001</v>
      </c>
      <c r="AI84" s="4">
        <v>1E-3</v>
      </c>
      <c r="AJ84" s="5"/>
      <c r="AK84" s="5"/>
      <c r="AL84" s="5"/>
      <c r="AM84" s="5"/>
      <c r="AO84" s="4" t="s">
        <v>27</v>
      </c>
      <c r="AP84" s="4">
        <v>0.9</v>
      </c>
      <c r="AQ84" s="4">
        <v>0.5</v>
      </c>
      <c r="AR84" s="4">
        <v>0.6</v>
      </c>
      <c r="AS84" s="4">
        <v>0.13</v>
      </c>
      <c r="AT84" s="6">
        <v>650.52044699999999</v>
      </c>
      <c r="AU84" s="4">
        <v>2.8000000000000001E-2</v>
      </c>
      <c r="AW84" s="4" t="s">
        <v>27</v>
      </c>
      <c r="AX84" s="4">
        <v>0.9</v>
      </c>
      <c r="AY84" s="4">
        <v>0.5</v>
      </c>
      <c r="AZ84" s="4">
        <v>0.6</v>
      </c>
      <c r="BA84" s="4">
        <v>0.34</v>
      </c>
      <c r="BB84" s="4">
        <v>747.85253899999998</v>
      </c>
      <c r="BC84" s="4">
        <v>4.0000000000000001E-3</v>
      </c>
      <c r="BD84" s="5"/>
      <c r="BE84" s="5"/>
      <c r="BF84" s="5"/>
      <c r="BG84" s="5"/>
      <c r="BI84" s="4" t="s">
        <v>27</v>
      </c>
      <c r="BJ84" s="4">
        <v>0.9</v>
      </c>
      <c r="BK84" s="4">
        <v>0.5</v>
      </c>
      <c r="BL84" s="4">
        <v>0.6</v>
      </c>
      <c r="BM84" s="4">
        <v>0.6</v>
      </c>
      <c r="BN84" s="6">
        <v>772.35571300000004</v>
      </c>
      <c r="BO84" s="4">
        <v>0.03</v>
      </c>
      <c r="BQ84" s="4" t="s">
        <v>27</v>
      </c>
      <c r="BR84" s="4">
        <v>0.9</v>
      </c>
      <c r="BS84" s="4">
        <v>0.5</v>
      </c>
      <c r="BT84" s="4">
        <v>0.6</v>
      </c>
      <c r="BU84" s="4">
        <v>0.31</v>
      </c>
      <c r="BV84" s="4">
        <v>733.42687999999998</v>
      </c>
      <c r="BW84" s="4">
        <v>4.0000000000000001E-3</v>
      </c>
      <c r="BX84" s="5"/>
      <c r="BY84" s="5"/>
      <c r="BZ84" s="5"/>
      <c r="CA84" s="5"/>
    </row>
    <row r="85" spans="1:79" x14ac:dyDescent="0.3">
      <c r="A85" s="4" t="s">
        <v>28</v>
      </c>
      <c r="B85" s="4">
        <v>0.9</v>
      </c>
      <c r="C85" s="4">
        <v>0.5</v>
      </c>
      <c r="D85" s="4">
        <v>0.6</v>
      </c>
      <c r="E85" s="4">
        <v>0.42</v>
      </c>
      <c r="F85" s="4">
        <v>347.05917399999998</v>
      </c>
      <c r="G85" s="4">
        <v>1.7000000000000001E-2</v>
      </c>
      <c r="I85" s="4" t="s">
        <v>28</v>
      </c>
      <c r="J85" s="4">
        <v>0.9</v>
      </c>
      <c r="K85" s="4">
        <v>0.5</v>
      </c>
      <c r="L85" s="4">
        <v>0.6</v>
      </c>
      <c r="M85" s="4">
        <v>0.33</v>
      </c>
      <c r="N85" s="6">
        <v>342.79367100000002</v>
      </c>
      <c r="O85" s="4">
        <v>0</v>
      </c>
      <c r="P85" s="5"/>
      <c r="Q85" s="5"/>
      <c r="R85" s="5"/>
      <c r="S85" s="5"/>
      <c r="U85" s="4" t="s">
        <v>28</v>
      </c>
      <c r="V85" s="4">
        <v>0.9</v>
      </c>
      <c r="W85" s="4">
        <v>0.5</v>
      </c>
      <c r="X85" s="4">
        <v>0.6</v>
      </c>
      <c r="Y85" s="4">
        <v>0.62</v>
      </c>
      <c r="Z85" s="4">
        <v>349.72781400000002</v>
      </c>
      <c r="AA85" s="4">
        <v>2.5999999999999999E-2</v>
      </c>
      <c r="AC85" s="4" t="s">
        <v>28</v>
      </c>
      <c r="AD85" s="4">
        <v>0.9</v>
      </c>
      <c r="AE85" s="4">
        <v>0.5</v>
      </c>
      <c r="AF85" s="4">
        <v>0.6</v>
      </c>
      <c r="AG85" s="4">
        <v>0.4</v>
      </c>
      <c r="AH85" s="6">
        <v>333.32995599999998</v>
      </c>
      <c r="AI85" s="4">
        <v>0</v>
      </c>
      <c r="AJ85" s="5"/>
      <c r="AK85" s="5"/>
      <c r="AL85" s="5"/>
      <c r="AM85" s="5"/>
      <c r="AO85" s="4" t="s">
        <v>29</v>
      </c>
      <c r="AP85" s="4">
        <v>0.9</v>
      </c>
      <c r="AQ85" s="4">
        <v>0.5</v>
      </c>
      <c r="AR85" s="4">
        <v>0.6</v>
      </c>
      <c r="AS85" s="4">
        <v>0.39</v>
      </c>
      <c r="AT85" s="4">
        <v>799.12298599999997</v>
      </c>
      <c r="AU85" s="4">
        <v>2.3E-2</v>
      </c>
      <c r="AW85" s="4" t="s">
        <v>29</v>
      </c>
      <c r="AX85" s="4">
        <v>0.9</v>
      </c>
      <c r="AY85" s="4">
        <v>0.5</v>
      </c>
      <c r="AZ85" s="4">
        <v>0.6</v>
      </c>
      <c r="BA85" s="4">
        <v>0.32</v>
      </c>
      <c r="BB85" s="6">
        <v>760.686646</v>
      </c>
      <c r="BC85" s="4">
        <v>3.0000000000000001E-3</v>
      </c>
      <c r="BD85" s="5"/>
      <c r="BE85" s="5"/>
      <c r="BF85" s="5"/>
      <c r="BG85" s="5"/>
      <c r="BI85" s="4" t="s">
        <v>29</v>
      </c>
      <c r="BJ85" s="4">
        <v>0.9</v>
      </c>
      <c r="BK85" s="4">
        <v>0.5</v>
      </c>
      <c r="BL85" s="4">
        <v>0.6</v>
      </c>
      <c r="BM85" s="4">
        <v>0.06</v>
      </c>
      <c r="BN85" s="6">
        <v>654.17248500000005</v>
      </c>
      <c r="BO85" s="4">
        <v>1.0999999999999999E-2</v>
      </c>
      <c r="BQ85" s="4" t="s">
        <v>29</v>
      </c>
      <c r="BR85" s="4">
        <v>0.9</v>
      </c>
      <c r="BS85" s="4">
        <v>0.5</v>
      </c>
      <c r="BT85" s="4">
        <v>0.6</v>
      </c>
      <c r="BU85" s="4">
        <v>0.31</v>
      </c>
      <c r="BV85" s="4">
        <v>749.69970699999999</v>
      </c>
      <c r="BW85" s="4">
        <v>6.0000000000000001E-3</v>
      </c>
      <c r="BX85" s="5"/>
      <c r="BY85" s="5"/>
      <c r="BZ85" s="5"/>
      <c r="CA85" s="5"/>
    </row>
    <row r="86" spans="1:79" x14ac:dyDescent="0.3">
      <c r="A86" s="4" t="s">
        <v>30</v>
      </c>
      <c r="B86" s="4">
        <v>0.9</v>
      </c>
      <c r="C86" s="4">
        <v>0.5</v>
      </c>
      <c r="D86" s="4">
        <v>0.6</v>
      </c>
      <c r="E86" s="4">
        <v>0.75</v>
      </c>
      <c r="F86" s="4">
        <v>598.56921399999999</v>
      </c>
      <c r="G86" s="4">
        <v>8.0000000000000002E-3</v>
      </c>
      <c r="I86" s="4" t="s">
        <v>30</v>
      </c>
      <c r="J86" s="4">
        <v>0.9</v>
      </c>
      <c r="K86" s="4">
        <v>0.5</v>
      </c>
      <c r="L86" s="4">
        <v>0.6</v>
      </c>
      <c r="M86" s="4">
        <v>0.35</v>
      </c>
      <c r="N86" s="6">
        <v>549.63574200000005</v>
      </c>
      <c r="O86" s="4">
        <v>0</v>
      </c>
      <c r="P86" s="5"/>
      <c r="Q86" s="5"/>
      <c r="R86" s="5"/>
      <c r="S86" s="5"/>
      <c r="U86" s="4" t="s">
        <v>30</v>
      </c>
      <c r="V86" s="4">
        <v>0.9</v>
      </c>
      <c r="W86" s="4">
        <v>0.5</v>
      </c>
      <c r="X86" s="4">
        <v>0.6</v>
      </c>
      <c r="Y86" s="4">
        <v>0.49</v>
      </c>
      <c r="Z86" s="4">
        <v>584.87292500000001</v>
      </c>
      <c r="AA86" s="4">
        <v>1.2999999999999999E-2</v>
      </c>
      <c r="AC86" s="4" t="s">
        <v>30</v>
      </c>
      <c r="AD86" s="4">
        <v>0.9</v>
      </c>
      <c r="AE86" s="4">
        <v>0.5</v>
      </c>
      <c r="AF86" s="4">
        <v>0.6</v>
      </c>
      <c r="AG86" s="4">
        <v>0.48</v>
      </c>
      <c r="AH86" s="6">
        <v>545.56408699999997</v>
      </c>
      <c r="AI86" s="4">
        <v>1E-3</v>
      </c>
      <c r="AJ86" s="5"/>
      <c r="AK86" s="5"/>
      <c r="AL86" s="5"/>
      <c r="AM86" s="5"/>
      <c r="AO86" s="4" t="s">
        <v>31</v>
      </c>
      <c r="AP86" s="4">
        <v>0.9</v>
      </c>
      <c r="AQ86" s="4">
        <v>0.5</v>
      </c>
      <c r="AR86" s="4">
        <v>0.6</v>
      </c>
      <c r="AS86" s="4">
        <v>0.65</v>
      </c>
      <c r="AT86" s="4">
        <v>1015.2770389999999</v>
      </c>
      <c r="AU86" s="4">
        <v>1.6E-2</v>
      </c>
      <c r="AW86" s="4" t="s">
        <v>31</v>
      </c>
      <c r="AX86" s="4">
        <v>0.9</v>
      </c>
      <c r="AY86" s="4">
        <v>0.5</v>
      </c>
      <c r="AZ86" s="4">
        <v>0.6</v>
      </c>
      <c r="BA86" s="4">
        <v>0.31</v>
      </c>
      <c r="BB86" s="6">
        <v>888.32025099999998</v>
      </c>
      <c r="BC86" s="4">
        <v>4.0000000000000001E-3</v>
      </c>
      <c r="BD86" s="5"/>
      <c r="BE86" s="5"/>
      <c r="BF86" s="5"/>
      <c r="BG86" s="5"/>
      <c r="BI86" s="4" t="s">
        <v>31</v>
      </c>
      <c r="BJ86" s="4">
        <v>0.9</v>
      </c>
      <c r="BK86" s="4">
        <v>0.5</v>
      </c>
      <c r="BL86" s="4">
        <v>0.6</v>
      </c>
      <c r="BM86" s="4">
        <v>0.27</v>
      </c>
      <c r="BN86" s="6">
        <v>835.89587400000005</v>
      </c>
      <c r="BO86" s="4">
        <v>2.5999999999999999E-2</v>
      </c>
      <c r="BQ86" s="4" t="s">
        <v>31</v>
      </c>
      <c r="BR86" s="4">
        <v>0.9</v>
      </c>
      <c r="BS86" s="4">
        <v>0.5</v>
      </c>
      <c r="BT86" s="4">
        <v>0.6</v>
      </c>
      <c r="BU86" s="4">
        <v>0.31</v>
      </c>
      <c r="BV86" s="4">
        <v>842.49694799999997</v>
      </c>
      <c r="BW86" s="4">
        <v>8.0000000000000002E-3</v>
      </c>
      <c r="BX86" s="5"/>
      <c r="BY86" s="5"/>
      <c r="BZ86" s="5"/>
      <c r="CA86" s="5"/>
    </row>
    <row r="87" spans="1:79" x14ac:dyDescent="0.3">
      <c r="A87" s="4" t="s">
        <v>32</v>
      </c>
      <c r="B87" s="4">
        <v>0.9</v>
      </c>
      <c r="C87" s="4">
        <v>0.5</v>
      </c>
      <c r="D87" s="4">
        <v>0.6</v>
      </c>
      <c r="E87" s="4">
        <v>0.21</v>
      </c>
      <c r="F87" s="6">
        <v>474.83212300000002</v>
      </c>
      <c r="G87" s="4">
        <v>1.0999999999999999E-2</v>
      </c>
      <c r="I87" s="4" t="s">
        <v>32</v>
      </c>
      <c r="J87" s="4">
        <v>0.9</v>
      </c>
      <c r="K87" s="4">
        <v>0.5</v>
      </c>
      <c r="L87" s="4">
        <v>0.6</v>
      </c>
      <c r="M87" s="4">
        <v>0.34</v>
      </c>
      <c r="N87" s="6">
        <v>474.83212300000002</v>
      </c>
      <c r="O87" s="4">
        <v>0</v>
      </c>
      <c r="P87" s="5"/>
      <c r="Q87" s="5"/>
      <c r="R87" s="5"/>
      <c r="S87" s="5"/>
      <c r="U87" s="4" t="s">
        <v>32</v>
      </c>
      <c r="V87" s="4">
        <v>0.9</v>
      </c>
      <c r="W87" s="4">
        <v>0.5</v>
      </c>
      <c r="X87" s="4">
        <v>0.6</v>
      </c>
      <c r="Y87" s="4">
        <v>0.31</v>
      </c>
      <c r="Z87" s="6">
        <v>464.43417399999998</v>
      </c>
      <c r="AA87" s="4">
        <v>1.0999999999999999E-2</v>
      </c>
      <c r="AC87" s="4" t="s">
        <v>32</v>
      </c>
      <c r="AD87" s="4">
        <v>0.9</v>
      </c>
      <c r="AE87" s="4">
        <v>0.5</v>
      </c>
      <c r="AF87" s="4">
        <v>0.6</v>
      </c>
      <c r="AG87" s="4">
        <v>0.36</v>
      </c>
      <c r="AH87" s="8">
        <v>464.45480300000003</v>
      </c>
      <c r="AI87" s="4">
        <v>0</v>
      </c>
      <c r="AJ87" s="5"/>
      <c r="AK87" s="5"/>
      <c r="AL87" s="5"/>
      <c r="AM87" s="5"/>
      <c r="AO87" s="4" t="s">
        <v>33</v>
      </c>
      <c r="AP87" s="4">
        <v>0.9</v>
      </c>
      <c r="AQ87" s="4">
        <v>0.5</v>
      </c>
      <c r="AR87" s="4">
        <v>0.6</v>
      </c>
      <c r="AS87" s="4">
        <v>0.22</v>
      </c>
      <c r="AT87" s="6">
        <v>763.00647000000004</v>
      </c>
      <c r="AU87" s="4">
        <v>1.4999999999999999E-2</v>
      </c>
      <c r="AW87" s="4" t="s">
        <v>33</v>
      </c>
      <c r="AX87" s="4">
        <v>0.9</v>
      </c>
      <c r="AY87" s="4">
        <v>0.5</v>
      </c>
      <c r="AZ87" s="4">
        <v>0.6</v>
      </c>
      <c r="BA87" s="4">
        <v>0.32</v>
      </c>
      <c r="BB87" s="4">
        <v>818.50311299999998</v>
      </c>
      <c r="BC87" s="4">
        <v>5.0000000000000001E-3</v>
      </c>
      <c r="BD87" s="5"/>
      <c r="BE87" s="5"/>
      <c r="BF87" s="5"/>
      <c r="BG87" s="5"/>
      <c r="BI87" s="4" t="s">
        <v>33</v>
      </c>
      <c r="BJ87" s="4">
        <v>0.9</v>
      </c>
      <c r="BK87" s="4">
        <v>0.5</v>
      </c>
      <c r="BL87" s="4">
        <v>0.6</v>
      </c>
      <c r="BM87" s="4">
        <v>0.5</v>
      </c>
      <c r="BN87" s="4">
        <v>925.12579300000004</v>
      </c>
      <c r="BO87" s="4">
        <v>1.4999999999999999E-2</v>
      </c>
      <c r="BQ87" s="4" t="s">
        <v>33</v>
      </c>
      <c r="BR87" s="4">
        <v>0.9</v>
      </c>
      <c r="BS87" s="4">
        <v>0.5</v>
      </c>
      <c r="BT87" s="4">
        <v>0.6</v>
      </c>
      <c r="BU87" s="4">
        <v>0.31</v>
      </c>
      <c r="BV87" s="6">
        <v>821.69158900000002</v>
      </c>
      <c r="BW87" s="4">
        <v>5.0000000000000001E-3</v>
      </c>
      <c r="BX87" s="5"/>
      <c r="BY87" s="5"/>
      <c r="BZ87" s="5"/>
      <c r="CA87" s="5"/>
    </row>
    <row r="88" spans="1:79" x14ac:dyDescent="0.3">
      <c r="A88" s="4" t="s">
        <v>34</v>
      </c>
      <c r="B88" s="4">
        <v>0.9</v>
      </c>
      <c r="C88" s="4">
        <v>0.5</v>
      </c>
      <c r="D88" s="4">
        <v>0.6</v>
      </c>
      <c r="E88" s="4">
        <v>0.69</v>
      </c>
      <c r="F88" s="4">
        <v>425.61172499999998</v>
      </c>
      <c r="G88" s="4">
        <v>1.4E-2</v>
      </c>
      <c r="I88" s="4" t="s">
        <v>34</v>
      </c>
      <c r="J88" s="4">
        <v>0.9</v>
      </c>
      <c r="K88" s="4">
        <v>0.5</v>
      </c>
      <c r="L88" s="4">
        <v>0.6</v>
      </c>
      <c r="M88" s="4">
        <v>0.35</v>
      </c>
      <c r="N88" s="6">
        <v>414.75891100000001</v>
      </c>
      <c r="O88" s="4">
        <v>1E-3</v>
      </c>
      <c r="P88" s="5"/>
      <c r="Q88" s="5"/>
      <c r="R88" s="5"/>
      <c r="S88" s="5"/>
      <c r="U88" s="4" t="s">
        <v>34</v>
      </c>
      <c r="V88" s="4">
        <v>0.9</v>
      </c>
      <c r="W88" s="4">
        <v>0.5</v>
      </c>
      <c r="X88" s="4">
        <v>0.6</v>
      </c>
      <c r="Y88" s="4">
        <v>0.7</v>
      </c>
      <c r="Z88" s="4">
        <v>419.05215500000003</v>
      </c>
      <c r="AA88" s="4">
        <v>0.02</v>
      </c>
      <c r="AC88" s="4" t="s">
        <v>34</v>
      </c>
      <c r="AD88" s="4">
        <v>0.9</v>
      </c>
      <c r="AE88" s="4">
        <v>0.5</v>
      </c>
      <c r="AF88" s="4">
        <v>0.6</v>
      </c>
      <c r="AG88" s="4">
        <v>0.3</v>
      </c>
      <c r="AH88" s="6">
        <v>409.961792</v>
      </c>
      <c r="AI88" s="4">
        <v>1E-3</v>
      </c>
      <c r="AJ88" s="5"/>
      <c r="AK88" s="5"/>
      <c r="AL88" s="5"/>
      <c r="AM88" s="5"/>
      <c r="AO88" s="4" t="s">
        <v>35</v>
      </c>
      <c r="AP88" s="4">
        <v>0.9</v>
      </c>
      <c r="AQ88" s="4">
        <v>0.5</v>
      </c>
      <c r="AR88" s="4">
        <v>0.6</v>
      </c>
      <c r="AS88" s="4">
        <v>0.7</v>
      </c>
      <c r="AT88" s="4">
        <v>1017.622314</v>
      </c>
      <c r="AU88" s="4">
        <v>1.2E-2</v>
      </c>
      <c r="AW88" s="4" t="s">
        <v>35</v>
      </c>
      <c r="AX88" s="4">
        <v>0.9</v>
      </c>
      <c r="AY88" s="4">
        <v>0.5</v>
      </c>
      <c r="AZ88" s="4">
        <v>0.6</v>
      </c>
      <c r="BA88" s="4">
        <v>0.36</v>
      </c>
      <c r="BB88" s="6">
        <v>835.92999299999997</v>
      </c>
      <c r="BC88" s="4">
        <v>4.0000000000000001E-3</v>
      </c>
      <c r="BD88" s="5"/>
      <c r="BE88" s="5"/>
      <c r="BF88" s="5"/>
      <c r="BG88" s="5"/>
      <c r="BI88" s="4" t="s">
        <v>35</v>
      </c>
      <c r="BJ88" s="4">
        <v>0.9</v>
      </c>
      <c r="BK88" s="4">
        <v>0.5</v>
      </c>
      <c r="BL88" s="4">
        <v>0.6</v>
      </c>
      <c r="BM88" s="4">
        <v>0.24</v>
      </c>
      <c r="BN88" s="6">
        <v>759.53869599999996</v>
      </c>
      <c r="BO88" s="4">
        <v>2.9000000000000001E-2</v>
      </c>
      <c r="BQ88" s="4" t="s">
        <v>35</v>
      </c>
      <c r="BR88" s="4">
        <v>0.9</v>
      </c>
      <c r="BS88" s="4">
        <v>0.5</v>
      </c>
      <c r="BT88" s="4">
        <v>0.6</v>
      </c>
      <c r="BU88" s="4">
        <v>0.31</v>
      </c>
      <c r="BV88" s="4">
        <v>820.17059300000005</v>
      </c>
      <c r="BW88" s="4">
        <v>7.0000000000000001E-3</v>
      </c>
      <c r="BX88" s="5"/>
      <c r="BY88" s="5"/>
      <c r="BZ88" s="5"/>
      <c r="CA88" s="5"/>
    </row>
    <row r="89" spans="1:79" x14ac:dyDescent="0.3">
      <c r="A89" s="4" t="s">
        <v>36</v>
      </c>
      <c r="B89" s="4">
        <v>0.9</v>
      </c>
      <c r="C89" s="4">
        <v>0.5</v>
      </c>
      <c r="D89" s="4">
        <v>0.6</v>
      </c>
      <c r="E89" s="4">
        <v>0.06</v>
      </c>
      <c r="F89" s="4">
        <v>530.46447799999999</v>
      </c>
      <c r="G89" s="4">
        <v>1.4999999999999999E-2</v>
      </c>
      <c r="I89" s="4" t="s">
        <v>36</v>
      </c>
      <c r="J89" s="4">
        <v>0.9</v>
      </c>
      <c r="K89" s="4">
        <v>0.5</v>
      </c>
      <c r="L89" s="4">
        <v>0.6</v>
      </c>
      <c r="M89" s="4">
        <v>0.55000000000000004</v>
      </c>
      <c r="N89" s="6">
        <v>529.52691700000003</v>
      </c>
      <c r="O89" s="4">
        <v>1E-3</v>
      </c>
      <c r="P89" s="5"/>
      <c r="Q89" s="5"/>
      <c r="R89" s="5"/>
      <c r="S89" s="5"/>
      <c r="U89" s="4" t="s">
        <v>36</v>
      </c>
      <c r="V89" s="4">
        <v>0.9</v>
      </c>
      <c r="W89" s="4">
        <v>0.5</v>
      </c>
      <c r="X89" s="4">
        <v>0.6</v>
      </c>
      <c r="Y89" s="4">
        <v>0.78</v>
      </c>
      <c r="Z89" s="4">
        <v>568.41510000000005</v>
      </c>
      <c r="AA89" s="4">
        <v>1.2999999999999999E-2</v>
      </c>
      <c r="AC89" s="4" t="s">
        <v>36</v>
      </c>
      <c r="AD89" s="4">
        <v>0.9</v>
      </c>
      <c r="AE89" s="4">
        <v>0.5</v>
      </c>
      <c r="AF89" s="4">
        <v>0.6</v>
      </c>
      <c r="AG89" s="4">
        <v>0.34</v>
      </c>
      <c r="AH89" s="6">
        <v>512.97534199999996</v>
      </c>
      <c r="AI89" s="4">
        <v>1E-3</v>
      </c>
      <c r="AJ89" s="5"/>
      <c r="AK89" s="5"/>
      <c r="AL89" s="5"/>
      <c r="AM89" s="5"/>
      <c r="AO89" s="4" t="s">
        <v>37</v>
      </c>
      <c r="AP89" s="4">
        <v>0.9</v>
      </c>
      <c r="AQ89" s="4">
        <v>0.5</v>
      </c>
      <c r="AR89" s="4">
        <v>0.6</v>
      </c>
      <c r="AS89" s="4">
        <v>0.4</v>
      </c>
      <c r="AT89" s="4">
        <v>854.20428500000003</v>
      </c>
      <c r="AU89" s="4">
        <v>2.5999999999999999E-2</v>
      </c>
      <c r="AW89" s="4" t="s">
        <v>37</v>
      </c>
      <c r="AX89" s="4">
        <v>0.9</v>
      </c>
      <c r="AY89" s="4">
        <v>0.5</v>
      </c>
      <c r="AZ89" s="4">
        <v>0.6</v>
      </c>
      <c r="BA89" s="4">
        <v>0.33</v>
      </c>
      <c r="BB89" s="6">
        <v>814.42926</v>
      </c>
      <c r="BC89" s="4">
        <v>4.0000000000000001E-3</v>
      </c>
      <c r="BD89" s="5"/>
      <c r="BE89" s="5"/>
      <c r="BF89" s="5"/>
      <c r="BG89" s="5"/>
      <c r="BI89" s="4" t="s">
        <v>37</v>
      </c>
      <c r="BJ89" s="4">
        <v>0.9</v>
      </c>
      <c r="BK89" s="4">
        <v>0.5</v>
      </c>
      <c r="BL89" s="4">
        <v>0.6</v>
      </c>
      <c r="BM89" s="4">
        <v>0.19</v>
      </c>
      <c r="BN89" s="6">
        <v>740.16125499999998</v>
      </c>
      <c r="BO89" s="4">
        <v>3.2000000000000001E-2</v>
      </c>
      <c r="BQ89" s="4" t="s">
        <v>37</v>
      </c>
      <c r="BR89" s="4">
        <v>0.9</v>
      </c>
      <c r="BS89" s="4">
        <v>0.5</v>
      </c>
      <c r="BT89" s="4">
        <v>0.6</v>
      </c>
      <c r="BU89" s="4">
        <v>0.35</v>
      </c>
      <c r="BV89" s="4">
        <v>788.20098900000005</v>
      </c>
      <c r="BW89" s="4">
        <v>5.0000000000000001E-3</v>
      </c>
      <c r="BX89" s="5"/>
      <c r="BY89" s="5"/>
      <c r="BZ89" s="5"/>
      <c r="CA89" s="5"/>
    </row>
    <row r="90" spans="1:79" x14ac:dyDescent="0.3">
      <c r="A90" s="4" t="s">
        <v>38</v>
      </c>
      <c r="B90" s="4">
        <v>0.9</v>
      </c>
      <c r="C90" s="4">
        <v>0.5</v>
      </c>
      <c r="D90" s="4">
        <v>0.6</v>
      </c>
      <c r="E90" s="4">
        <v>0.42</v>
      </c>
      <c r="F90" s="4">
        <v>491.81729100000001</v>
      </c>
      <c r="G90" s="4">
        <v>8.0000000000000002E-3</v>
      </c>
      <c r="I90" s="4" t="s">
        <v>38</v>
      </c>
      <c r="J90" s="4">
        <v>0.9</v>
      </c>
      <c r="K90" s="4">
        <v>0.5</v>
      </c>
      <c r="L90" s="4">
        <v>0.6</v>
      </c>
      <c r="M90" s="4">
        <v>0.51</v>
      </c>
      <c r="N90" s="6">
        <v>471.08462500000002</v>
      </c>
      <c r="O90" s="4">
        <v>2E-3</v>
      </c>
      <c r="P90" s="5"/>
      <c r="Q90" s="5"/>
      <c r="R90" s="5"/>
      <c r="S90" s="5"/>
      <c r="U90" s="4" t="s">
        <v>38</v>
      </c>
      <c r="V90" s="4">
        <v>0.9</v>
      </c>
      <c r="W90" s="4">
        <v>0.5</v>
      </c>
      <c r="X90" s="4">
        <v>0.6</v>
      </c>
      <c r="Y90" s="4">
        <v>0.55000000000000004</v>
      </c>
      <c r="Z90" s="4">
        <v>486.023438</v>
      </c>
      <c r="AA90" s="4">
        <v>1.0999999999999999E-2</v>
      </c>
      <c r="AC90" s="4" t="s">
        <v>38</v>
      </c>
      <c r="AD90" s="4">
        <v>0.9</v>
      </c>
      <c r="AE90" s="4">
        <v>0.5</v>
      </c>
      <c r="AF90" s="4">
        <v>0.6</v>
      </c>
      <c r="AG90" s="4">
        <v>0.3</v>
      </c>
      <c r="AH90" s="6">
        <v>457.08355699999998</v>
      </c>
      <c r="AI90" s="4">
        <v>1E-3</v>
      </c>
      <c r="AJ90" s="5"/>
      <c r="AK90" s="5"/>
      <c r="AL90" s="5"/>
      <c r="AM90" s="5"/>
      <c r="AO90" s="4" t="s">
        <v>39</v>
      </c>
      <c r="AP90" s="4">
        <v>0.9</v>
      </c>
      <c r="AQ90" s="4">
        <v>0.5</v>
      </c>
      <c r="AR90" s="4">
        <v>0.6</v>
      </c>
      <c r="AS90" s="4">
        <v>0.12</v>
      </c>
      <c r="AT90" s="6">
        <v>721.24163799999997</v>
      </c>
      <c r="AU90" s="4">
        <v>2.1999999999999999E-2</v>
      </c>
      <c r="AW90" s="4" t="s">
        <v>39</v>
      </c>
      <c r="AX90" s="4">
        <v>0.9</v>
      </c>
      <c r="AY90" s="4">
        <v>0.5</v>
      </c>
      <c r="AZ90" s="4">
        <v>0.6</v>
      </c>
      <c r="BA90" s="4">
        <v>0.3</v>
      </c>
      <c r="BB90" s="4">
        <v>824.86499000000003</v>
      </c>
      <c r="BC90" s="4">
        <v>8.0000000000000002E-3</v>
      </c>
      <c r="BD90" s="5"/>
      <c r="BE90" s="5"/>
      <c r="BF90" s="5"/>
      <c r="BG90" s="5"/>
      <c r="BI90" s="4" t="s">
        <v>39</v>
      </c>
      <c r="BJ90" s="4">
        <v>0.9</v>
      </c>
      <c r="BK90" s="4">
        <v>0.5</v>
      </c>
      <c r="BL90" s="4">
        <v>0.6</v>
      </c>
      <c r="BM90" s="4">
        <v>0.01</v>
      </c>
      <c r="BN90" s="6">
        <v>736.39862100000005</v>
      </c>
      <c r="BO90" s="4">
        <v>1.6E-2</v>
      </c>
      <c r="BQ90" s="4" t="s">
        <v>39</v>
      </c>
      <c r="BR90" s="4">
        <v>0.9</v>
      </c>
      <c r="BS90" s="4">
        <v>0.5</v>
      </c>
      <c r="BT90" s="4">
        <v>0.6</v>
      </c>
      <c r="BU90" s="4">
        <v>0.3</v>
      </c>
      <c r="BV90" s="4">
        <v>819.98742700000003</v>
      </c>
      <c r="BW90" s="4">
        <v>5.0000000000000001E-3</v>
      </c>
      <c r="BX90" s="5"/>
      <c r="BY90" s="5"/>
      <c r="BZ90" s="5"/>
      <c r="CA90" s="5"/>
    </row>
    <row r="91" spans="1:79" x14ac:dyDescent="0.3">
      <c r="A91" s="4" t="s">
        <v>40</v>
      </c>
      <c r="B91" s="4">
        <v>0.9</v>
      </c>
      <c r="C91" s="4">
        <v>0.5</v>
      </c>
      <c r="D91" s="4">
        <v>0.6</v>
      </c>
      <c r="E91" s="4">
        <v>0.36</v>
      </c>
      <c r="F91" s="4">
        <v>412.41693099999998</v>
      </c>
      <c r="G91" s="4">
        <v>1.2E-2</v>
      </c>
      <c r="I91" s="4" t="s">
        <v>40</v>
      </c>
      <c r="J91" s="4">
        <v>0.9</v>
      </c>
      <c r="K91" s="4">
        <v>0.5</v>
      </c>
      <c r="L91" s="4">
        <v>0.6</v>
      </c>
      <c r="M91" s="4">
        <v>0.46</v>
      </c>
      <c r="N91" s="6">
        <v>404.60012799999998</v>
      </c>
      <c r="O91" s="4">
        <v>0</v>
      </c>
      <c r="P91" s="5"/>
      <c r="Q91" s="5"/>
      <c r="R91" s="5"/>
      <c r="S91" s="5"/>
      <c r="U91" s="4" t="s">
        <v>40</v>
      </c>
      <c r="V91" s="4">
        <v>0.9</v>
      </c>
      <c r="W91" s="4">
        <v>0.5</v>
      </c>
      <c r="X91" s="4">
        <v>0.6</v>
      </c>
      <c r="Y91" s="4">
        <v>0.97</v>
      </c>
      <c r="Z91" s="4">
        <v>464.20895400000001</v>
      </c>
      <c r="AA91" s="4">
        <v>2.5000000000000001E-2</v>
      </c>
      <c r="AC91" s="4" t="s">
        <v>40</v>
      </c>
      <c r="AD91" s="4">
        <v>0.9</v>
      </c>
      <c r="AE91" s="4">
        <v>0.5</v>
      </c>
      <c r="AF91" s="4">
        <v>0.6</v>
      </c>
      <c r="AG91" s="4">
        <v>0.37</v>
      </c>
      <c r="AH91" s="6">
        <v>402.01260400000001</v>
      </c>
      <c r="AI91" s="4">
        <v>1E-3</v>
      </c>
      <c r="AJ91" s="5"/>
      <c r="AK91" s="5"/>
      <c r="AL91" s="5"/>
      <c r="AM91" s="5"/>
      <c r="AO91" s="4" t="s">
        <v>41</v>
      </c>
      <c r="AP91" s="4">
        <v>0.9</v>
      </c>
      <c r="AQ91" s="4">
        <v>0.5</v>
      </c>
      <c r="AR91" s="4">
        <v>0.6</v>
      </c>
      <c r="AS91" s="4">
        <v>0.31</v>
      </c>
      <c r="AT91" s="6">
        <v>896.84332300000005</v>
      </c>
      <c r="AU91" s="4">
        <v>3.1E-2</v>
      </c>
      <c r="AW91" s="4" t="s">
        <v>41</v>
      </c>
      <c r="AX91" s="4">
        <v>0.9</v>
      </c>
      <c r="AY91" s="4">
        <v>0.5</v>
      </c>
      <c r="AZ91" s="4">
        <v>0.6</v>
      </c>
      <c r="BA91" s="4">
        <v>0.31</v>
      </c>
      <c r="BB91" s="4">
        <v>923.90753199999995</v>
      </c>
      <c r="BC91" s="4">
        <v>4.0000000000000001E-3</v>
      </c>
      <c r="BD91" s="5"/>
      <c r="BE91" s="5"/>
      <c r="BF91" s="5"/>
      <c r="BG91" s="5"/>
      <c r="BI91" s="4" t="s">
        <v>41</v>
      </c>
      <c r="BJ91" s="4">
        <v>0.9</v>
      </c>
      <c r="BK91" s="4">
        <v>0.5</v>
      </c>
      <c r="BL91" s="4">
        <v>0.6</v>
      </c>
      <c r="BM91" s="4">
        <v>0.53</v>
      </c>
      <c r="BN91" s="4">
        <v>1014.653564</v>
      </c>
      <c r="BO91" s="4">
        <v>1.4999999999999999E-2</v>
      </c>
      <c r="BQ91" s="4" t="s">
        <v>41</v>
      </c>
      <c r="BR91" s="4">
        <v>0.9</v>
      </c>
      <c r="BS91" s="4">
        <v>0.5</v>
      </c>
      <c r="BT91" s="4">
        <v>0.6</v>
      </c>
      <c r="BU91" s="4">
        <v>0.31</v>
      </c>
      <c r="BV91" s="6">
        <v>914.69915800000001</v>
      </c>
      <c r="BW91" s="4">
        <v>6.0000000000000001E-3</v>
      </c>
      <c r="BX91" s="5"/>
      <c r="BY91" s="5"/>
      <c r="BZ91" s="5"/>
      <c r="CA91" s="5"/>
    </row>
    <row r="92" spans="1:79" x14ac:dyDescent="0.3">
      <c r="A92" s="4" t="s">
        <v>42</v>
      </c>
      <c r="B92" s="4">
        <v>0.9</v>
      </c>
      <c r="C92" s="4">
        <v>0.5</v>
      </c>
      <c r="D92" s="4">
        <v>0.6</v>
      </c>
      <c r="E92" s="4">
        <v>0.75</v>
      </c>
      <c r="F92" s="4">
        <v>471.45211799999998</v>
      </c>
      <c r="G92" s="4">
        <v>8.0000000000000002E-3</v>
      </c>
      <c r="I92" s="4" t="s">
        <v>42</v>
      </c>
      <c r="J92" s="4">
        <v>0.9</v>
      </c>
      <c r="K92" s="4">
        <v>0.5</v>
      </c>
      <c r="L92" s="4">
        <v>0.6</v>
      </c>
      <c r="M92" s="4">
        <v>0.46</v>
      </c>
      <c r="N92" s="6">
        <v>429.55294800000001</v>
      </c>
      <c r="O92" s="4">
        <v>0</v>
      </c>
      <c r="P92" s="5"/>
      <c r="Q92" s="5"/>
      <c r="R92" s="5"/>
      <c r="S92" s="5"/>
      <c r="U92" s="4" t="s">
        <v>42</v>
      </c>
      <c r="V92" s="4">
        <v>0.9</v>
      </c>
      <c r="W92" s="4">
        <v>0.5</v>
      </c>
      <c r="X92" s="4">
        <v>0.6</v>
      </c>
      <c r="Y92" s="4">
        <v>0.54</v>
      </c>
      <c r="Z92" s="4">
        <v>448.22326700000002</v>
      </c>
      <c r="AA92" s="4">
        <v>4.2000000000000003E-2</v>
      </c>
      <c r="AC92" s="4" t="s">
        <v>42</v>
      </c>
      <c r="AD92" s="4">
        <v>0.9</v>
      </c>
      <c r="AE92" s="4">
        <v>0.5</v>
      </c>
      <c r="AF92" s="4">
        <v>0.6</v>
      </c>
      <c r="AG92" s="4">
        <v>0.32</v>
      </c>
      <c r="AH92" s="6">
        <v>416.69476300000002</v>
      </c>
      <c r="AI92" s="4">
        <v>1E-3</v>
      </c>
      <c r="AJ92" s="5"/>
      <c r="AK92" s="5"/>
      <c r="AL92" s="5"/>
      <c r="AM92" s="5"/>
      <c r="AO92" s="4" t="s">
        <v>43</v>
      </c>
      <c r="AP92" s="4">
        <v>0.9</v>
      </c>
      <c r="AQ92" s="4">
        <v>0.5</v>
      </c>
      <c r="AR92" s="4">
        <v>0.6</v>
      </c>
      <c r="AS92" s="4">
        <v>0.62</v>
      </c>
      <c r="AT92" s="4">
        <v>963.01580799999999</v>
      </c>
      <c r="AU92" s="4">
        <v>2.8000000000000001E-2</v>
      </c>
      <c r="AW92" s="4" t="s">
        <v>43</v>
      </c>
      <c r="AX92" s="4">
        <v>0.9</v>
      </c>
      <c r="AY92" s="4">
        <v>0.5</v>
      </c>
      <c r="AZ92" s="4">
        <v>0.6</v>
      </c>
      <c r="BA92" s="4">
        <v>0.34</v>
      </c>
      <c r="BB92" s="6">
        <v>816.24249299999997</v>
      </c>
      <c r="BC92" s="4">
        <v>5.0000000000000001E-3</v>
      </c>
      <c r="BD92" s="5"/>
      <c r="BE92" s="5"/>
      <c r="BF92" s="5"/>
      <c r="BG92" s="5"/>
      <c r="BI92" s="4" t="s">
        <v>43</v>
      </c>
      <c r="BJ92" s="4">
        <v>0.9</v>
      </c>
      <c r="BK92" s="4">
        <v>0.5</v>
      </c>
      <c r="BL92" s="4">
        <v>0.6</v>
      </c>
      <c r="BM92" s="4">
        <v>7.0000000000000007E-2</v>
      </c>
      <c r="BN92" s="6">
        <v>725.292236</v>
      </c>
      <c r="BO92" s="4">
        <v>1.6E-2</v>
      </c>
      <c r="BQ92" s="4" t="s">
        <v>43</v>
      </c>
      <c r="BR92" s="4">
        <v>0.9</v>
      </c>
      <c r="BS92" s="4">
        <v>0.5</v>
      </c>
      <c r="BT92" s="4">
        <v>0.6</v>
      </c>
      <c r="BU92" s="4">
        <v>0.35</v>
      </c>
      <c r="BV92" s="4">
        <v>819.86828600000001</v>
      </c>
      <c r="BW92" s="4">
        <v>7.0000000000000001E-3</v>
      </c>
      <c r="BX92" s="5"/>
      <c r="BY92" s="5"/>
      <c r="BZ92" s="5"/>
      <c r="CA92" s="5"/>
    </row>
    <row r="93" spans="1:79" x14ac:dyDescent="0.3">
      <c r="A93" s="4" t="s">
        <v>44</v>
      </c>
      <c r="B93" s="4">
        <v>0.9</v>
      </c>
      <c r="C93" s="4">
        <v>0.5</v>
      </c>
      <c r="D93" s="4">
        <v>0.6</v>
      </c>
      <c r="E93" s="4">
        <v>0.14000000000000001</v>
      </c>
      <c r="F93" s="6">
        <v>522.48529099999996</v>
      </c>
      <c r="G93" s="4">
        <v>0.02</v>
      </c>
      <c r="I93" s="4" t="s">
        <v>44</v>
      </c>
      <c r="J93" s="4">
        <v>0.9</v>
      </c>
      <c r="K93" s="4">
        <v>0.5</v>
      </c>
      <c r="L93" s="4">
        <v>0.6</v>
      </c>
      <c r="M93" s="4">
        <v>0.48</v>
      </c>
      <c r="N93" s="4">
        <v>525.51599099999999</v>
      </c>
      <c r="O93" s="4">
        <v>1E-3</v>
      </c>
      <c r="P93" s="5"/>
      <c r="Q93" s="5"/>
      <c r="R93" s="5"/>
      <c r="S93" s="5"/>
      <c r="U93" s="4" t="s">
        <v>44</v>
      </c>
      <c r="V93" s="4">
        <v>0.9</v>
      </c>
      <c r="W93" s="4">
        <v>0.5</v>
      </c>
      <c r="X93" s="4">
        <v>0.6</v>
      </c>
      <c r="Y93" s="4">
        <v>0.43</v>
      </c>
      <c r="Z93" s="4">
        <v>544.45184300000005</v>
      </c>
      <c r="AA93" s="4">
        <v>0.01</v>
      </c>
      <c r="AC93" s="4" t="s">
        <v>44</v>
      </c>
      <c r="AD93" s="4">
        <v>0.9</v>
      </c>
      <c r="AE93" s="4">
        <v>0.5</v>
      </c>
      <c r="AF93" s="4">
        <v>0.6</v>
      </c>
      <c r="AG93" s="4">
        <v>0.31</v>
      </c>
      <c r="AH93" s="6">
        <v>518.333618</v>
      </c>
      <c r="AI93" s="4">
        <v>0</v>
      </c>
      <c r="AJ93" s="5"/>
      <c r="AK93" s="5"/>
      <c r="AL93" s="5"/>
      <c r="AM93" s="5"/>
      <c r="AO93" s="4" t="s">
        <v>45</v>
      </c>
      <c r="AP93" s="4">
        <v>0.9</v>
      </c>
      <c r="AQ93" s="4">
        <v>0.5</v>
      </c>
      <c r="AR93" s="4">
        <v>0.6</v>
      </c>
      <c r="AS93" s="4">
        <v>0.38</v>
      </c>
      <c r="AT93" s="4">
        <v>926.10778800000003</v>
      </c>
      <c r="AU93" s="4">
        <v>1.9E-2</v>
      </c>
      <c r="AW93" s="4" t="s">
        <v>45</v>
      </c>
      <c r="AX93" s="4">
        <v>0.9</v>
      </c>
      <c r="AY93" s="4">
        <v>0.5</v>
      </c>
      <c r="AZ93" s="4">
        <v>0.6</v>
      </c>
      <c r="BA93" s="4">
        <v>0.3</v>
      </c>
      <c r="BB93" s="6">
        <v>888.57098399999995</v>
      </c>
      <c r="BC93" s="4">
        <v>5.0000000000000001E-3</v>
      </c>
      <c r="BD93" s="5"/>
      <c r="BE93" s="5"/>
      <c r="BF93" s="5"/>
      <c r="BG93" s="5"/>
      <c r="BI93" s="4" t="s">
        <v>45</v>
      </c>
      <c r="BJ93" s="4">
        <v>0.9</v>
      </c>
      <c r="BK93" s="4">
        <v>0.5</v>
      </c>
      <c r="BL93" s="4">
        <v>0.6</v>
      </c>
      <c r="BM93" s="4">
        <v>0.81</v>
      </c>
      <c r="BN93" s="4">
        <v>1083.6685789999999</v>
      </c>
      <c r="BO93" s="4">
        <v>1.9E-2</v>
      </c>
      <c r="BQ93" s="4" t="s">
        <v>45</v>
      </c>
      <c r="BR93" s="4">
        <v>0.9</v>
      </c>
      <c r="BS93" s="4">
        <v>0.5</v>
      </c>
      <c r="BT93" s="4">
        <v>0.6</v>
      </c>
      <c r="BU93" s="4">
        <v>0.33</v>
      </c>
      <c r="BV93" s="6">
        <v>894.14819299999999</v>
      </c>
      <c r="BW93" s="4">
        <v>5.0000000000000001E-3</v>
      </c>
      <c r="BX93" s="5"/>
      <c r="BY93" s="5"/>
      <c r="BZ93" s="5"/>
      <c r="CA93" s="5"/>
    </row>
    <row r="94" spans="1:79" x14ac:dyDescent="0.3">
      <c r="A94" s="4" t="s">
        <v>46</v>
      </c>
      <c r="B94" s="4">
        <v>0.9</v>
      </c>
      <c r="C94" s="4">
        <v>0.5</v>
      </c>
      <c r="D94" s="4">
        <v>0.6</v>
      </c>
      <c r="E94" s="4">
        <v>0.9</v>
      </c>
      <c r="F94" s="4">
        <v>545.95080600000006</v>
      </c>
      <c r="G94" s="4">
        <v>6.0000000000000001E-3</v>
      </c>
      <c r="I94" s="4" t="s">
        <v>46</v>
      </c>
      <c r="J94" s="4">
        <v>0.9</v>
      </c>
      <c r="K94" s="4">
        <v>0.5</v>
      </c>
      <c r="L94" s="4">
        <v>0.6</v>
      </c>
      <c r="M94" s="4">
        <v>0.45</v>
      </c>
      <c r="N94" s="6">
        <v>499.078644</v>
      </c>
      <c r="O94" s="4">
        <v>1E-3</v>
      </c>
      <c r="P94" s="5"/>
      <c r="Q94" s="5"/>
      <c r="R94" s="5"/>
      <c r="S94" s="5"/>
      <c r="U94" s="4" t="s">
        <v>46</v>
      </c>
      <c r="V94" s="4">
        <v>0.9</v>
      </c>
      <c r="W94" s="4">
        <v>0.5</v>
      </c>
      <c r="X94" s="4">
        <v>0.6</v>
      </c>
      <c r="Y94" s="4">
        <v>0.49</v>
      </c>
      <c r="Z94" s="4">
        <v>494.461029</v>
      </c>
      <c r="AA94" s="4">
        <v>0.01</v>
      </c>
      <c r="AC94" s="4" t="s">
        <v>46</v>
      </c>
      <c r="AD94" s="4">
        <v>0.9</v>
      </c>
      <c r="AE94" s="4">
        <v>0.5</v>
      </c>
      <c r="AF94" s="4">
        <v>0.6</v>
      </c>
      <c r="AG94" s="4">
        <v>0.31</v>
      </c>
      <c r="AH94" s="6">
        <v>492.45419299999998</v>
      </c>
      <c r="AI94" s="4">
        <v>0</v>
      </c>
      <c r="AJ94" s="5"/>
      <c r="AK94" s="5"/>
      <c r="AL94" s="5"/>
      <c r="AM94" s="5"/>
      <c r="AO94" s="4" t="s">
        <v>47</v>
      </c>
      <c r="AP94" s="4">
        <v>0.9</v>
      </c>
      <c r="AQ94" s="4">
        <v>0.5</v>
      </c>
      <c r="AR94" s="4">
        <v>0.6</v>
      </c>
      <c r="AS94" s="4">
        <v>0.14000000000000001</v>
      </c>
      <c r="AT94" s="6">
        <v>709.53704800000003</v>
      </c>
      <c r="AU94" s="4">
        <v>1.4999999999999999E-2</v>
      </c>
      <c r="AW94" s="4" t="s">
        <v>47</v>
      </c>
      <c r="AX94" s="4">
        <v>0.9</v>
      </c>
      <c r="AY94" s="4">
        <v>0.5</v>
      </c>
      <c r="AZ94" s="4">
        <v>0.6</v>
      </c>
      <c r="BA94" s="4">
        <v>0.31</v>
      </c>
      <c r="BB94" s="4">
        <v>798.12854000000004</v>
      </c>
      <c r="BC94" s="4">
        <v>4.0000000000000001E-3</v>
      </c>
      <c r="BD94" s="5"/>
      <c r="BE94" s="5"/>
      <c r="BF94" s="5"/>
      <c r="BG94" s="5"/>
      <c r="BI94" s="4" t="s">
        <v>47</v>
      </c>
      <c r="BJ94" s="4">
        <v>0.9</v>
      </c>
      <c r="BK94" s="4">
        <v>0.5</v>
      </c>
      <c r="BL94" s="4">
        <v>0.6</v>
      </c>
      <c r="BM94" s="4">
        <v>0.54</v>
      </c>
      <c r="BN94" s="4">
        <v>883.80041500000004</v>
      </c>
      <c r="BO94" s="4">
        <v>1.2999999999999999E-2</v>
      </c>
      <c r="BQ94" s="4" t="s">
        <v>47</v>
      </c>
      <c r="BR94" s="4">
        <v>0.9</v>
      </c>
      <c r="BS94" s="4">
        <v>0.5</v>
      </c>
      <c r="BT94" s="4">
        <v>0.6</v>
      </c>
      <c r="BU94" s="4">
        <v>0.3</v>
      </c>
      <c r="BV94" s="6">
        <v>788.20556599999998</v>
      </c>
      <c r="BW94" s="4">
        <v>5.0000000000000001E-3</v>
      </c>
      <c r="BX94" s="5"/>
      <c r="BY94" s="5"/>
      <c r="BZ94" s="5"/>
      <c r="CA94" s="5"/>
    </row>
    <row r="95" spans="1:79" x14ac:dyDescent="0.3">
      <c r="A95" s="4" t="s">
        <v>48</v>
      </c>
      <c r="B95" s="4">
        <v>0.9</v>
      </c>
      <c r="C95" s="4">
        <v>0.5</v>
      </c>
      <c r="D95" s="4">
        <v>0.6</v>
      </c>
      <c r="E95" s="4">
        <v>0.41</v>
      </c>
      <c r="F95" s="4">
        <v>479.29489100000001</v>
      </c>
      <c r="G95" s="4">
        <v>3.5000000000000003E-2</v>
      </c>
      <c r="I95" s="4" t="s">
        <v>48</v>
      </c>
      <c r="J95" s="4">
        <v>0.9</v>
      </c>
      <c r="K95" s="4">
        <v>0.5</v>
      </c>
      <c r="L95" s="4">
        <v>0.6</v>
      </c>
      <c r="M95" s="4">
        <v>0.44</v>
      </c>
      <c r="N95" s="6">
        <v>468.23364299999997</v>
      </c>
      <c r="O95" s="4">
        <v>1E-3</v>
      </c>
      <c r="P95" s="5"/>
      <c r="Q95" s="5"/>
      <c r="R95" s="5"/>
      <c r="S95" s="5"/>
      <c r="U95" s="4" t="s">
        <v>48</v>
      </c>
      <c r="V95" s="4">
        <v>0.9</v>
      </c>
      <c r="W95" s="4">
        <v>0.5</v>
      </c>
      <c r="X95" s="4">
        <v>0.6</v>
      </c>
      <c r="Y95" s="4">
        <v>0.54</v>
      </c>
      <c r="Z95" s="4">
        <v>476.42626999999999</v>
      </c>
      <c r="AA95" s="4">
        <v>1.9E-2</v>
      </c>
      <c r="AC95" s="4" t="s">
        <v>48</v>
      </c>
      <c r="AD95" s="4">
        <v>0.9</v>
      </c>
      <c r="AE95" s="4">
        <v>0.5</v>
      </c>
      <c r="AF95" s="4">
        <v>0.6</v>
      </c>
      <c r="AG95" s="4">
        <v>0.32</v>
      </c>
      <c r="AH95" s="6">
        <v>455.04409800000002</v>
      </c>
      <c r="AI95" s="4">
        <v>1E-3</v>
      </c>
      <c r="AJ95" s="5"/>
      <c r="AK95" s="5"/>
      <c r="AL95" s="5"/>
      <c r="AM95" s="5"/>
      <c r="AO95" s="4" t="s">
        <v>49</v>
      </c>
      <c r="AP95" s="4">
        <v>0.9</v>
      </c>
      <c r="AQ95" s="4">
        <v>0.5</v>
      </c>
      <c r="AR95" s="4">
        <v>0.6</v>
      </c>
      <c r="AS95" s="4">
        <v>0.69</v>
      </c>
      <c r="AT95" s="4">
        <v>973.27526899999998</v>
      </c>
      <c r="AU95" s="4">
        <v>1.7000000000000001E-2</v>
      </c>
      <c r="AW95" s="4" t="s">
        <v>49</v>
      </c>
      <c r="AX95" s="4">
        <v>0.9</v>
      </c>
      <c r="AY95" s="4">
        <v>0.5</v>
      </c>
      <c r="AZ95" s="4">
        <v>0.6</v>
      </c>
      <c r="BA95" s="4">
        <v>0.33</v>
      </c>
      <c r="BB95" s="6">
        <v>835.72778300000004</v>
      </c>
      <c r="BC95" s="4">
        <v>4.0000000000000001E-3</v>
      </c>
      <c r="BD95" s="5"/>
      <c r="BE95" s="5"/>
      <c r="BF95" s="5"/>
      <c r="BG95" s="5"/>
      <c r="BI95" s="4" t="s">
        <v>49</v>
      </c>
      <c r="BJ95" s="4">
        <v>0.9</v>
      </c>
      <c r="BK95" s="4">
        <v>0.5</v>
      </c>
      <c r="BL95" s="4">
        <v>0.6</v>
      </c>
      <c r="BM95" s="4">
        <v>0.49</v>
      </c>
      <c r="BN95" s="4">
        <v>904.06719999999996</v>
      </c>
      <c r="BO95" s="4">
        <v>1.0999999999999999E-2</v>
      </c>
      <c r="BQ95" s="4" t="s">
        <v>49</v>
      </c>
      <c r="BR95" s="4">
        <v>0.9</v>
      </c>
      <c r="BS95" s="4">
        <v>0.5</v>
      </c>
      <c r="BT95" s="4">
        <v>0.6</v>
      </c>
      <c r="BU95" s="4">
        <v>0.34</v>
      </c>
      <c r="BV95" s="6">
        <v>829.05419900000004</v>
      </c>
      <c r="BW95" s="4">
        <v>5.0000000000000001E-3</v>
      </c>
      <c r="BX95" s="5"/>
      <c r="BY95" s="5"/>
      <c r="BZ95" s="5"/>
      <c r="CA95" s="5"/>
    </row>
    <row r="96" spans="1:79" x14ac:dyDescent="0.3">
      <c r="A96" s="4" t="s">
        <v>50</v>
      </c>
      <c r="B96" s="4">
        <v>0.9</v>
      </c>
      <c r="C96" s="4">
        <v>0.5</v>
      </c>
      <c r="D96" s="4">
        <v>0.6</v>
      </c>
      <c r="E96" s="4">
        <v>0.41</v>
      </c>
      <c r="F96" s="4">
        <v>477.68231200000002</v>
      </c>
      <c r="G96" s="4">
        <v>1.4E-2</v>
      </c>
      <c r="I96" s="4" t="s">
        <v>50</v>
      </c>
      <c r="J96" s="4">
        <v>0.9</v>
      </c>
      <c r="K96" s="4">
        <v>0.5</v>
      </c>
      <c r="L96" s="4">
        <v>0.6</v>
      </c>
      <c r="M96" s="4">
        <v>0.48</v>
      </c>
      <c r="N96" s="6">
        <v>453.93545499999999</v>
      </c>
      <c r="O96" s="4">
        <v>1E-3</v>
      </c>
      <c r="P96" s="5"/>
      <c r="Q96" s="5"/>
      <c r="R96" s="5"/>
      <c r="S96" s="5"/>
      <c r="U96" s="4" t="s">
        <v>50</v>
      </c>
      <c r="V96" s="4">
        <v>0.9</v>
      </c>
      <c r="W96" s="4">
        <v>0.5</v>
      </c>
      <c r="X96" s="4">
        <v>0.6</v>
      </c>
      <c r="Y96" s="4">
        <v>0.28999999999999998</v>
      </c>
      <c r="Z96" s="4">
        <v>467.73568699999998</v>
      </c>
      <c r="AA96" s="4">
        <v>1.6E-2</v>
      </c>
      <c r="AC96" s="4" t="s">
        <v>50</v>
      </c>
      <c r="AD96" s="4">
        <v>0.9</v>
      </c>
      <c r="AE96" s="4">
        <v>0.5</v>
      </c>
      <c r="AF96" s="4">
        <v>0.6</v>
      </c>
      <c r="AG96" s="4">
        <v>0.43</v>
      </c>
      <c r="AH96" s="6">
        <v>453.06878699999999</v>
      </c>
      <c r="AI96" s="4">
        <v>0</v>
      </c>
      <c r="AJ96" s="5"/>
      <c r="AK96" s="5"/>
      <c r="AL96" s="5"/>
      <c r="AM96" s="5"/>
      <c r="AO96" s="4" t="s">
        <v>51</v>
      </c>
      <c r="AP96" s="4">
        <v>0.9</v>
      </c>
      <c r="AQ96" s="4">
        <v>0.5</v>
      </c>
      <c r="AR96" s="4">
        <v>0.6</v>
      </c>
      <c r="AS96" s="4">
        <v>0.64</v>
      </c>
      <c r="AT96" s="4">
        <v>1154.8865969999999</v>
      </c>
      <c r="AU96" s="4">
        <v>1.2999999999999999E-2</v>
      </c>
      <c r="AW96" s="4" t="s">
        <v>51</v>
      </c>
      <c r="AX96" s="4">
        <v>0.9</v>
      </c>
      <c r="AY96" s="4">
        <v>0.5</v>
      </c>
      <c r="AZ96" s="4">
        <v>0.6</v>
      </c>
      <c r="BA96" s="4">
        <v>0.3</v>
      </c>
      <c r="BB96" s="6">
        <v>1022.283203</v>
      </c>
      <c r="BC96" s="4">
        <v>5.0000000000000001E-3</v>
      </c>
      <c r="BD96" s="5"/>
      <c r="BE96" s="5"/>
      <c r="BF96" s="5"/>
      <c r="BG96" s="5"/>
      <c r="BI96" s="4" t="s">
        <v>51</v>
      </c>
      <c r="BJ96" s="4">
        <v>0.9</v>
      </c>
      <c r="BK96" s="4">
        <v>0.5</v>
      </c>
      <c r="BL96" s="4">
        <v>0.6</v>
      </c>
      <c r="BM96" s="4">
        <v>0.71</v>
      </c>
      <c r="BN96" s="4">
        <v>1169.4570309999999</v>
      </c>
      <c r="BO96" s="4">
        <v>2.4E-2</v>
      </c>
      <c r="BQ96" s="4" t="s">
        <v>51</v>
      </c>
      <c r="BR96" s="4">
        <v>0.9</v>
      </c>
      <c r="BS96" s="4">
        <v>0.5</v>
      </c>
      <c r="BT96" s="4">
        <v>0.6</v>
      </c>
      <c r="BU96" s="4">
        <v>0.3</v>
      </c>
      <c r="BV96" s="6">
        <v>1017.177734</v>
      </c>
      <c r="BW96" s="4">
        <v>5.0000000000000001E-3</v>
      </c>
      <c r="BX96" s="5"/>
      <c r="BY96" s="5"/>
      <c r="BZ96" s="5"/>
      <c r="CA96" s="5"/>
    </row>
    <row r="97" spans="1:79" x14ac:dyDescent="0.3">
      <c r="A97" s="4" t="s">
        <v>52</v>
      </c>
      <c r="B97" s="4">
        <v>0.9</v>
      </c>
      <c r="C97" s="4">
        <v>0.5</v>
      </c>
      <c r="D97" s="4">
        <v>0.6</v>
      </c>
      <c r="E97" s="4">
        <v>0.67</v>
      </c>
      <c r="F97" s="4">
        <v>508.19259599999998</v>
      </c>
      <c r="G97" s="4">
        <v>0.01</v>
      </c>
      <c r="I97" s="4" t="s">
        <v>52</v>
      </c>
      <c r="J97" s="4">
        <v>0.9</v>
      </c>
      <c r="K97" s="4">
        <v>0.5</v>
      </c>
      <c r="L97" s="4">
        <v>0.6</v>
      </c>
      <c r="M97" s="4">
        <v>0.3</v>
      </c>
      <c r="N97" s="6">
        <v>468.975189</v>
      </c>
      <c r="O97" s="4">
        <v>1E-3</v>
      </c>
      <c r="P97" s="5"/>
      <c r="Q97" s="5"/>
      <c r="R97" s="5"/>
      <c r="S97" s="5"/>
      <c r="U97" s="4" t="s">
        <v>52</v>
      </c>
      <c r="V97" s="4">
        <v>0.9</v>
      </c>
      <c r="W97" s="4">
        <v>0.5</v>
      </c>
      <c r="X97" s="4">
        <v>0.6</v>
      </c>
      <c r="Y97" s="4">
        <v>0.89</v>
      </c>
      <c r="Z97" s="4">
        <v>574.52673300000004</v>
      </c>
      <c r="AA97" s="4">
        <v>1.7999999999999999E-2</v>
      </c>
      <c r="AC97" s="4" t="s">
        <v>52</v>
      </c>
      <c r="AD97" s="4">
        <v>0.9</v>
      </c>
      <c r="AE97" s="4">
        <v>0.5</v>
      </c>
      <c r="AF97" s="4">
        <v>0.6</v>
      </c>
      <c r="AG97" s="4">
        <v>0.3</v>
      </c>
      <c r="AH97" s="6">
        <v>469.24471999999997</v>
      </c>
      <c r="AI97" s="4">
        <v>0</v>
      </c>
      <c r="AJ97" s="5"/>
      <c r="AK97" s="5"/>
      <c r="AL97" s="5"/>
      <c r="AM97" s="5"/>
      <c r="AO97" s="4" t="s">
        <v>53</v>
      </c>
      <c r="AP97" s="4">
        <v>0.9</v>
      </c>
      <c r="AQ97" s="4">
        <v>0.5</v>
      </c>
      <c r="AR97" s="4">
        <v>0.6</v>
      </c>
      <c r="AS97" s="4">
        <v>0.37</v>
      </c>
      <c r="AT97" s="4">
        <v>996.40393100000006</v>
      </c>
      <c r="AU97" s="4">
        <v>1.2E-2</v>
      </c>
      <c r="AW97" s="4" t="s">
        <v>53</v>
      </c>
      <c r="AX97" s="4">
        <v>0.9</v>
      </c>
      <c r="AY97" s="4">
        <v>0.5</v>
      </c>
      <c r="AZ97" s="4">
        <v>0.6</v>
      </c>
      <c r="BA97" s="4">
        <v>0.31</v>
      </c>
      <c r="BB97" s="6">
        <v>970.07037400000002</v>
      </c>
      <c r="BC97" s="4">
        <v>5.0000000000000001E-3</v>
      </c>
      <c r="BD97" s="5"/>
      <c r="BE97" s="5"/>
      <c r="BF97" s="5"/>
      <c r="BG97" s="5"/>
      <c r="BI97" s="4" t="s">
        <v>53</v>
      </c>
      <c r="BJ97" s="4">
        <v>0.9</v>
      </c>
      <c r="BK97" s="4">
        <v>0.5</v>
      </c>
      <c r="BL97" s="4">
        <v>0.6</v>
      </c>
      <c r="BM97" s="4">
        <v>0.28999999999999998</v>
      </c>
      <c r="BN97" s="6">
        <v>953.27435300000002</v>
      </c>
      <c r="BO97" s="4">
        <v>1.2999999999999999E-2</v>
      </c>
      <c r="BQ97" s="4" t="s">
        <v>53</v>
      </c>
      <c r="BR97" s="4">
        <v>0.9</v>
      </c>
      <c r="BS97" s="4">
        <v>0.5</v>
      </c>
      <c r="BT97" s="4">
        <v>0.6</v>
      </c>
      <c r="BU97" s="4">
        <v>0.3</v>
      </c>
      <c r="BV97" s="4">
        <v>968.25335700000005</v>
      </c>
      <c r="BW97" s="4">
        <v>7.0000000000000001E-3</v>
      </c>
      <c r="BX97" s="5"/>
      <c r="BY97" s="5"/>
      <c r="BZ97" s="5"/>
      <c r="CA97" s="5"/>
    </row>
    <row r="98" spans="1:79" x14ac:dyDescent="0.3">
      <c r="A98" s="4" t="s">
        <v>54</v>
      </c>
      <c r="B98" s="4">
        <v>0.9</v>
      </c>
      <c r="C98" s="4">
        <v>0.5</v>
      </c>
      <c r="D98" s="4">
        <v>0.6</v>
      </c>
      <c r="E98" s="4">
        <v>0.69</v>
      </c>
      <c r="F98" s="4">
        <v>569.511841</v>
      </c>
      <c r="G98" s="4">
        <v>1.4999999999999999E-2</v>
      </c>
      <c r="I98" s="4" t="s">
        <v>54</v>
      </c>
      <c r="J98" s="4">
        <v>0.9</v>
      </c>
      <c r="K98" s="4">
        <v>0.5</v>
      </c>
      <c r="L98" s="4">
        <v>0.6</v>
      </c>
      <c r="M98" s="4">
        <v>0.5</v>
      </c>
      <c r="N98" s="6">
        <v>551.785706</v>
      </c>
      <c r="O98" s="4">
        <v>1E-3</v>
      </c>
      <c r="P98" s="5"/>
      <c r="Q98" s="5"/>
      <c r="R98" s="5"/>
      <c r="S98" s="5"/>
      <c r="U98" s="4" t="s">
        <v>54</v>
      </c>
      <c r="V98" s="4">
        <v>0.9</v>
      </c>
      <c r="W98" s="4">
        <v>0.5</v>
      </c>
      <c r="X98" s="4">
        <v>0.6</v>
      </c>
      <c r="Y98" s="4">
        <v>0.89</v>
      </c>
      <c r="Z98" s="4">
        <v>614.63629200000003</v>
      </c>
      <c r="AA98" s="4">
        <v>1.6E-2</v>
      </c>
      <c r="AC98" s="4" t="s">
        <v>54</v>
      </c>
      <c r="AD98" s="4">
        <v>0.9</v>
      </c>
      <c r="AE98" s="4">
        <v>0.5</v>
      </c>
      <c r="AF98" s="4">
        <v>0.6</v>
      </c>
      <c r="AG98" s="4">
        <v>0.41</v>
      </c>
      <c r="AH98" s="6">
        <v>549.54534899999999</v>
      </c>
      <c r="AI98" s="4">
        <v>1E-3</v>
      </c>
      <c r="AJ98" s="5"/>
      <c r="AK98" s="5"/>
      <c r="AL98" s="5"/>
      <c r="AM98" s="5"/>
      <c r="AO98" s="4" t="s">
        <v>55</v>
      </c>
      <c r="AP98" s="4">
        <v>0.9</v>
      </c>
      <c r="AQ98" s="4">
        <v>0.5</v>
      </c>
      <c r="AR98" s="4">
        <v>0.6</v>
      </c>
      <c r="AS98" s="4">
        <v>0.77</v>
      </c>
      <c r="AT98" s="4">
        <v>1105.1370850000001</v>
      </c>
      <c r="AU98" s="4">
        <v>2.7E-2</v>
      </c>
      <c r="AW98" s="4" t="s">
        <v>55</v>
      </c>
      <c r="AX98" s="4">
        <v>0.9</v>
      </c>
      <c r="AY98" s="4">
        <v>0.5</v>
      </c>
      <c r="AZ98" s="4">
        <v>0.6</v>
      </c>
      <c r="BA98" s="4">
        <v>0.31</v>
      </c>
      <c r="BB98" s="6">
        <v>989.58746299999996</v>
      </c>
      <c r="BC98" s="4">
        <v>4.0000000000000001E-3</v>
      </c>
      <c r="BD98" s="5"/>
      <c r="BE98" s="5"/>
      <c r="BF98" s="5"/>
      <c r="BG98" s="5"/>
      <c r="BI98" s="4" t="s">
        <v>55</v>
      </c>
      <c r="BJ98" s="4">
        <v>0.9</v>
      </c>
      <c r="BK98" s="4">
        <v>0.5</v>
      </c>
      <c r="BL98" s="4">
        <v>0.6</v>
      </c>
      <c r="BM98" s="4">
        <v>0.82</v>
      </c>
      <c r="BN98" s="4">
        <v>1122.970947</v>
      </c>
      <c r="BO98" s="4">
        <v>0.01</v>
      </c>
      <c r="BQ98" s="4" t="s">
        <v>55</v>
      </c>
      <c r="BR98" s="4">
        <v>0.9</v>
      </c>
      <c r="BS98" s="4">
        <v>0.5</v>
      </c>
      <c r="BT98" s="4">
        <v>0.6</v>
      </c>
      <c r="BU98" s="4">
        <v>0.31</v>
      </c>
      <c r="BV98" s="6">
        <v>980.73126200000002</v>
      </c>
      <c r="BW98" s="4">
        <v>6.0000000000000001E-3</v>
      </c>
      <c r="BX98" s="5"/>
      <c r="BY98" s="5"/>
      <c r="BZ98" s="5"/>
      <c r="CA98" s="5"/>
    </row>
    <row r="99" spans="1:79" x14ac:dyDescent="0.3">
      <c r="A99" s="4" t="s">
        <v>56</v>
      </c>
      <c r="B99" s="4">
        <v>0.9</v>
      </c>
      <c r="C99" s="4">
        <v>0.5</v>
      </c>
      <c r="D99" s="4">
        <v>0.6</v>
      </c>
      <c r="E99" s="4">
        <v>0.64</v>
      </c>
      <c r="F99" s="4">
        <v>526.87280299999998</v>
      </c>
      <c r="G99" s="4">
        <v>2.4E-2</v>
      </c>
      <c r="I99" s="4" t="s">
        <v>56</v>
      </c>
      <c r="J99" s="4">
        <v>0.9</v>
      </c>
      <c r="K99" s="4">
        <v>0.5</v>
      </c>
      <c r="L99" s="4">
        <v>0.6</v>
      </c>
      <c r="M99" s="4">
        <v>0.44</v>
      </c>
      <c r="N99" s="6">
        <v>463.83065800000003</v>
      </c>
      <c r="O99" s="4">
        <v>0</v>
      </c>
      <c r="P99" s="5"/>
      <c r="Q99" s="5"/>
      <c r="R99" s="5"/>
      <c r="S99" s="5"/>
      <c r="U99" s="4" t="s">
        <v>56</v>
      </c>
      <c r="V99" s="4">
        <v>0.9</v>
      </c>
      <c r="W99" s="4">
        <v>0.5</v>
      </c>
      <c r="X99" s="4">
        <v>0.6</v>
      </c>
      <c r="Y99" s="4">
        <v>0.21</v>
      </c>
      <c r="Z99" s="6">
        <v>463.59741200000002</v>
      </c>
      <c r="AA99" s="4">
        <v>1.7000000000000001E-2</v>
      </c>
      <c r="AC99" s="4" t="s">
        <v>56</v>
      </c>
      <c r="AD99" s="4">
        <v>0.9</v>
      </c>
      <c r="AE99" s="4">
        <v>0.5</v>
      </c>
      <c r="AF99" s="4">
        <v>0.6</v>
      </c>
      <c r="AG99" s="4">
        <v>0.34</v>
      </c>
      <c r="AH99" s="6">
        <v>463.59741200000002</v>
      </c>
      <c r="AI99" s="4">
        <v>1E-3</v>
      </c>
      <c r="AJ99" s="5"/>
      <c r="AK99" s="5"/>
      <c r="AL99" s="5"/>
      <c r="AM99" s="5"/>
      <c r="AO99" s="4" t="s">
        <v>57</v>
      </c>
      <c r="AP99" s="4">
        <v>0.9</v>
      </c>
      <c r="AQ99" s="4">
        <v>0.5</v>
      </c>
      <c r="AR99" s="4">
        <v>0.6</v>
      </c>
      <c r="AS99" s="4">
        <v>0.01</v>
      </c>
      <c r="AT99" s="6">
        <v>851.12493900000004</v>
      </c>
      <c r="AU99" s="4">
        <v>1.9E-2</v>
      </c>
      <c r="AW99" s="4" t="s">
        <v>57</v>
      </c>
      <c r="AX99" s="4">
        <v>0.9</v>
      </c>
      <c r="AY99" s="4">
        <v>0.5</v>
      </c>
      <c r="AZ99" s="4">
        <v>0.6</v>
      </c>
      <c r="BA99" s="4">
        <v>0.3</v>
      </c>
      <c r="BB99" s="4">
        <v>965.99139400000001</v>
      </c>
      <c r="BC99" s="4">
        <v>5.0000000000000001E-3</v>
      </c>
      <c r="BD99" s="5"/>
      <c r="BE99" s="5"/>
      <c r="BF99" s="5"/>
      <c r="BG99" s="5"/>
      <c r="BI99" s="4" t="s">
        <v>57</v>
      </c>
      <c r="BJ99" s="4">
        <v>0.9</v>
      </c>
      <c r="BK99" s="4">
        <v>0.5</v>
      </c>
      <c r="BL99" s="4">
        <v>0.6</v>
      </c>
      <c r="BM99" s="4">
        <v>0.18</v>
      </c>
      <c r="BN99" s="6">
        <v>897.13812299999995</v>
      </c>
      <c r="BO99" s="4">
        <v>2.1000000000000001E-2</v>
      </c>
      <c r="BQ99" s="4" t="s">
        <v>57</v>
      </c>
      <c r="BR99" s="4">
        <v>0.9</v>
      </c>
      <c r="BS99" s="4">
        <v>0.5</v>
      </c>
      <c r="BT99" s="4">
        <v>0.6</v>
      </c>
      <c r="BU99" s="4">
        <v>0.31</v>
      </c>
      <c r="BV99" s="4">
        <v>947.33105499999999</v>
      </c>
      <c r="BW99" s="4">
        <v>8.9999999999999993E-3</v>
      </c>
      <c r="BX99" s="5"/>
      <c r="BY99" s="5"/>
      <c r="BZ99" s="5"/>
      <c r="CA99" s="5"/>
    </row>
    <row r="100" spans="1:79" x14ac:dyDescent="0.3">
      <c r="A100" s="4" t="s">
        <v>58</v>
      </c>
      <c r="B100" s="4">
        <v>0.9</v>
      </c>
      <c r="C100" s="4">
        <v>0.5</v>
      </c>
      <c r="D100" s="4">
        <v>0.6</v>
      </c>
      <c r="E100" s="4">
        <v>0.74</v>
      </c>
      <c r="F100" s="4">
        <v>548.36456299999998</v>
      </c>
      <c r="G100" s="4">
        <v>8.9999999999999993E-3</v>
      </c>
      <c r="I100" s="4" t="s">
        <v>58</v>
      </c>
      <c r="J100" s="4">
        <v>0.9</v>
      </c>
      <c r="K100" s="4">
        <v>0.5</v>
      </c>
      <c r="L100" s="4">
        <v>0.6</v>
      </c>
      <c r="M100" s="4">
        <v>0.3</v>
      </c>
      <c r="N100" s="6">
        <v>479.978973</v>
      </c>
      <c r="O100" s="4">
        <v>1E-3</v>
      </c>
      <c r="P100" s="5"/>
      <c r="Q100" s="5"/>
      <c r="R100" s="5"/>
      <c r="S100" s="5"/>
      <c r="U100" s="4" t="s">
        <v>58</v>
      </c>
      <c r="V100" s="4">
        <v>0.9</v>
      </c>
      <c r="W100" s="4">
        <v>0.5</v>
      </c>
      <c r="X100" s="4">
        <v>0.6</v>
      </c>
      <c r="Y100" s="4">
        <v>0.37</v>
      </c>
      <c r="Z100" s="4">
        <v>489.24707000000001</v>
      </c>
      <c r="AA100" s="4">
        <v>3.2000000000000001E-2</v>
      </c>
      <c r="AC100" s="4" t="s">
        <v>58</v>
      </c>
      <c r="AD100" s="4">
        <v>0.9</v>
      </c>
      <c r="AE100" s="4">
        <v>0.5</v>
      </c>
      <c r="AF100" s="4">
        <v>0.6</v>
      </c>
      <c r="AG100" s="4">
        <v>0.31</v>
      </c>
      <c r="AH100" s="6">
        <v>473.08017000000001</v>
      </c>
      <c r="AI100" s="4">
        <v>0</v>
      </c>
      <c r="AJ100" s="5"/>
      <c r="AK100" s="5"/>
      <c r="AL100" s="5"/>
      <c r="AM100" s="5"/>
      <c r="AO100" s="4" t="s">
        <v>59</v>
      </c>
      <c r="AP100" s="4">
        <v>0.9</v>
      </c>
      <c r="AQ100" s="4">
        <v>0.5</v>
      </c>
      <c r="AR100" s="4">
        <v>0.6</v>
      </c>
      <c r="AS100" s="4">
        <v>0.14000000000000001</v>
      </c>
      <c r="AT100" s="6">
        <v>779.65606700000001</v>
      </c>
      <c r="AU100" s="4">
        <v>1.2999999999999999E-2</v>
      </c>
      <c r="AW100" s="4" t="s">
        <v>59</v>
      </c>
      <c r="AX100" s="4">
        <v>0.9</v>
      </c>
      <c r="AY100" s="4">
        <v>0.5</v>
      </c>
      <c r="AZ100" s="4">
        <v>0.6</v>
      </c>
      <c r="BA100" s="4">
        <v>0.3</v>
      </c>
      <c r="BB100" s="4">
        <v>876.41345200000001</v>
      </c>
      <c r="BC100" s="4">
        <v>4.0000000000000001E-3</v>
      </c>
      <c r="BD100" s="5"/>
      <c r="BE100" s="5"/>
      <c r="BF100" s="5"/>
      <c r="BG100" s="5"/>
      <c r="BI100" s="4" t="s">
        <v>59</v>
      </c>
      <c r="BJ100" s="4">
        <v>0.9</v>
      </c>
      <c r="BK100" s="4">
        <v>0.5</v>
      </c>
      <c r="BL100" s="4">
        <v>0.6</v>
      </c>
      <c r="BM100" s="4">
        <v>0.84</v>
      </c>
      <c r="BN100" s="4">
        <v>1075.179443</v>
      </c>
      <c r="BO100" s="4">
        <v>1.4999999999999999E-2</v>
      </c>
      <c r="BQ100" s="4" t="s">
        <v>59</v>
      </c>
      <c r="BR100" s="4">
        <v>0.9</v>
      </c>
      <c r="BS100" s="4">
        <v>0.5</v>
      </c>
      <c r="BT100" s="4">
        <v>0.6</v>
      </c>
      <c r="BU100" s="4">
        <v>0.32</v>
      </c>
      <c r="BV100" s="6">
        <v>876.904358</v>
      </c>
      <c r="BW100" s="4">
        <v>5.0000000000000001E-3</v>
      </c>
      <c r="BX100" s="5"/>
      <c r="BY100" s="5"/>
      <c r="BZ100" s="5"/>
      <c r="CA100" s="5"/>
    </row>
    <row r="101" spans="1:79" x14ac:dyDescent="0.3">
      <c r="A101" s="4" t="s">
        <v>60</v>
      </c>
      <c r="B101" s="4">
        <v>0.9</v>
      </c>
      <c r="C101" s="4">
        <v>0.5</v>
      </c>
      <c r="D101" s="4">
        <v>0.6</v>
      </c>
      <c r="E101" s="4">
        <v>0.23</v>
      </c>
      <c r="F101" s="6">
        <v>577.06536900000003</v>
      </c>
      <c r="G101" s="4">
        <v>0.02</v>
      </c>
      <c r="I101" s="4" t="s">
        <v>60</v>
      </c>
      <c r="J101" s="4">
        <v>0.9</v>
      </c>
      <c r="K101" s="4">
        <v>0.5</v>
      </c>
      <c r="L101" s="4">
        <v>0.6</v>
      </c>
      <c r="M101" s="4">
        <v>0.38</v>
      </c>
      <c r="N101" s="4">
        <v>595.24987799999997</v>
      </c>
      <c r="O101" s="4">
        <v>1E-3</v>
      </c>
      <c r="P101" s="5"/>
      <c r="Q101" s="5"/>
      <c r="R101" s="5"/>
      <c r="S101" s="5"/>
      <c r="U101" s="4" t="s">
        <v>60</v>
      </c>
      <c r="V101" s="4">
        <v>0.9</v>
      </c>
      <c r="W101" s="4">
        <v>0.5</v>
      </c>
      <c r="X101" s="4">
        <v>0.6</v>
      </c>
      <c r="Y101" s="4">
        <v>0.67</v>
      </c>
      <c r="Z101" s="4">
        <v>603.24285899999995</v>
      </c>
      <c r="AA101" s="4">
        <v>2.1999999999999999E-2</v>
      </c>
      <c r="AC101" s="4" t="s">
        <v>60</v>
      </c>
      <c r="AD101" s="4">
        <v>0.9</v>
      </c>
      <c r="AE101" s="4">
        <v>0.5</v>
      </c>
      <c r="AF101" s="4">
        <v>0.6</v>
      </c>
      <c r="AG101" s="4">
        <v>0.3</v>
      </c>
      <c r="AH101" s="6">
        <v>587.75176999999996</v>
      </c>
      <c r="AI101" s="4">
        <v>1E-3</v>
      </c>
      <c r="AJ101" s="5"/>
      <c r="AK101" s="5"/>
      <c r="AL101" s="5"/>
      <c r="AM101" s="5"/>
      <c r="AO101" s="4" t="s">
        <v>61</v>
      </c>
      <c r="AP101" s="4">
        <v>0.9</v>
      </c>
      <c r="AQ101" s="4">
        <v>0.5</v>
      </c>
      <c r="AR101" s="4">
        <v>0.6</v>
      </c>
      <c r="AS101" s="4">
        <v>0.42</v>
      </c>
      <c r="AT101" s="4">
        <v>1070.9392089999999</v>
      </c>
      <c r="AU101" s="4">
        <v>0.03</v>
      </c>
      <c r="AW101" s="4" t="s">
        <v>61</v>
      </c>
      <c r="AX101" s="4">
        <v>0.9</v>
      </c>
      <c r="AY101" s="4">
        <v>0.5</v>
      </c>
      <c r="AZ101" s="4">
        <v>0.6</v>
      </c>
      <c r="BA101" s="4">
        <v>0.31</v>
      </c>
      <c r="BB101" s="6">
        <v>1023.433777</v>
      </c>
      <c r="BC101" s="4">
        <v>4.0000000000000001E-3</v>
      </c>
      <c r="BD101" s="5"/>
      <c r="BE101" s="5"/>
      <c r="BF101" s="5"/>
      <c r="BG101" s="5"/>
      <c r="BI101" s="4" t="s">
        <v>61</v>
      </c>
      <c r="BJ101" s="4">
        <v>0.9</v>
      </c>
      <c r="BK101" s="4">
        <v>0.5</v>
      </c>
      <c r="BL101" s="4">
        <v>0.6</v>
      </c>
      <c r="BM101" s="4">
        <v>0.91</v>
      </c>
      <c r="BN101" s="4">
        <v>1240.221436</v>
      </c>
      <c r="BO101" s="4">
        <v>1.2999999999999999E-2</v>
      </c>
      <c r="BQ101" s="4" t="s">
        <v>61</v>
      </c>
      <c r="BR101" s="4">
        <v>0.9</v>
      </c>
      <c r="BS101" s="4">
        <v>0.5</v>
      </c>
      <c r="BT101" s="4">
        <v>0.6</v>
      </c>
      <c r="BU101" s="4">
        <v>0.3</v>
      </c>
      <c r="BV101" s="6">
        <v>1019.385681</v>
      </c>
      <c r="BW101" s="4">
        <v>6.0000000000000001E-3</v>
      </c>
      <c r="BX101" s="5"/>
      <c r="BY101" s="5"/>
      <c r="BZ101" s="5"/>
      <c r="CA101" s="5"/>
    </row>
    <row r="102" spans="1:79" x14ac:dyDescent="0.3">
      <c r="A102" s="4" t="s">
        <v>62</v>
      </c>
      <c r="B102" s="4">
        <v>0.9</v>
      </c>
      <c r="C102" s="4">
        <v>0.5</v>
      </c>
      <c r="D102" s="4">
        <v>0.6</v>
      </c>
      <c r="E102" s="4">
        <v>0.64</v>
      </c>
      <c r="F102" s="4">
        <v>422.68566900000002</v>
      </c>
      <c r="G102" s="4">
        <v>1.4999999999999999E-2</v>
      </c>
      <c r="I102" s="4" t="s">
        <v>62</v>
      </c>
      <c r="J102" s="4">
        <v>0.9</v>
      </c>
      <c r="K102" s="4">
        <v>0.5</v>
      </c>
      <c r="L102" s="4">
        <v>0.6</v>
      </c>
      <c r="M102" s="4">
        <v>0.34</v>
      </c>
      <c r="N102" s="6">
        <v>399.97909499999997</v>
      </c>
      <c r="O102" s="4">
        <v>0</v>
      </c>
      <c r="P102" s="5"/>
      <c r="Q102" s="5"/>
      <c r="R102" s="5"/>
      <c r="S102" s="5"/>
      <c r="U102" s="4" t="s">
        <v>62</v>
      </c>
      <c r="V102" s="4">
        <v>0.9</v>
      </c>
      <c r="W102" s="4">
        <v>0.5</v>
      </c>
      <c r="X102" s="4">
        <v>0.6</v>
      </c>
      <c r="Y102" s="4">
        <v>0.46</v>
      </c>
      <c r="Z102" s="4">
        <v>398.00112899999999</v>
      </c>
      <c r="AA102" s="4">
        <v>2.8000000000000001E-2</v>
      </c>
      <c r="AC102" s="4" t="s">
        <v>62</v>
      </c>
      <c r="AD102" s="4">
        <v>0.9</v>
      </c>
      <c r="AE102" s="4">
        <v>0.5</v>
      </c>
      <c r="AF102" s="4">
        <v>0.6</v>
      </c>
      <c r="AG102" s="4">
        <v>0.32</v>
      </c>
      <c r="AH102" s="6">
        <v>396.15759300000002</v>
      </c>
      <c r="AI102" s="4">
        <v>1E-3</v>
      </c>
      <c r="AJ102" s="5"/>
      <c r="AK102" s="5"/>
      <c r="AL102" s="5"/>
      <c r="AM102" s="5"/>
      <c r="AO102" s="4" t="s">
        <v>63</v>
      </c>
      <c r="AP102" s="4">
        <v>0.9</v>
      </c>
      <c r="AQ102" s="4">
        <v>0.5</v>
      </c>
      <c r="AR102" s="4">
        <v>0.6</v>
      </c>
      <c r="AS102" s="4">
        <v>0.38</v>
      </c>
      <c r="AT102" s="4">
        <v>1022.923523</v>
      </c>
      <c r="AU102" s="4">
        <v>1.2999999999999999E-2</v>
      </c>
      <c r="AW102" s="4" t="s">
        <v>63</v>
      </c>
      <c r="AX102" s="4">
        <v>0.9</v>
      </c>
      <c r="AY102" s="4">
        <v>0.5</v>
      </c>
      <c r="AZ102" s="4">
        <v>0.6</v>
      </c>
      <c r="BA102" s="4">
        <v>0.37</v>
      </c>
      <c r="BB102" s="6">
        <v>992.51391599999999</v>
      </c>
      <c r="BC102" s="4">
        <v>4.0000000000000001E-3</v>
      </c>
      <c r="BD102" s="5"/>
      <c r="BE102" s="5"/>
      <c r="BF102" s="5"/>
      <c r="BG102" s="5"/>
      <c r="BI102" s="4" t="s">
        <v>63</v>
      </c>
      <c r="BJ102" s="4">
        <v>0.9</v>
      </c>
      <c r="BK102" s="4">
        <v>0.5</v>
      </c>
      <c r="BL102" s="4">
        <v>0.6</v>
      </c>
      <c r="BM102" s="4">
        <v>0.9</v>
      </c>
      <c r="BN102" s="4">
        <v>1120.2742920000001</v>
      </c>
      <c r="BO102" s="4">
        <v>2.1999999999999999E-2</v>
      </c>
      <c r="BQ102" s="4" t="s">
        <v>63</v>
      </c>
      <c r="BR102" s="4">
        <v>0.9</v>
      </c>
      <c r="BS102" s="4">
        <v>0.5</v>
      </c>
      <c r="BT102" s="4">
        <v>0.6</v>
      </c>
      <c r="BU102" s="4">
        <v>0.31</v>
      </c>
      <c r="BV102" s="6">
        <v>978.00402799999995</v>
      </c>
      <c r="BW102" s="4">
        <v>6.0000000000000001E-3</v>
      </c>
      <c r="BX102" s="5"/>
      <c r="BY102" s="5"/>
      <c r="BZ102" s="5"/>
      <c r="CA102" s="5"/>
    </row>
    <row r="103" spans="1:79" x14ac:dyDescent="0.3">
      <c r="A103" s="4" t="s">
        <v>64</v>
      </c>
      <c r="B103" s="4">
        <v>0.9</v>
      </c>
      <c r="C103" s="4">
        <v>0.5</v>
      </c>
      <c r="D103" s="4">
        <v>0.6</v>
      </c>
      <c r="E103" s="4">
        <v>0.01</v>
      </c>
      <c r="F103" s="4">
        <v>638.30169699999999</v>
      </c>
      <c r="G103" s="4">
        <v>1.6E-2</v>
      </c>
      <c r="I103" s="4" t="s">
        <v>64</v>
      </c>
      <c r="J103" s="4">
        <v>0.9</v>
      </c>
      <c r="K103" s="4">
        <v>0.5</v>
      </c>
      <c r="L103" s="4">
        <v>0.6</v>
      </c>
      <c r="M103" s="4">
        <v>0.3</v>
      </c>
      <c r="N103" s="6">
        <v>559.56286599999999</v>
      </c>
      <c r="O103" s="4">
        <v>1E-3</v>
      </c>
      <c r="P103" s="5"/>
      <c r="Q103" s="5"/>
      <c r="R103" s="5"/>
      <c r="S103" s="5"/>
      <c r="U103" s="4" t="s">
        <v>64</v>
      </c>
      <c r="V103" s="4">
        <v>0.9</v>
      </c>
      <c r="W103" s="4">
        <v>0.5</v>
      </c>
      <c r="X103" s="4">
        <v>0.6</v>
      </c>
      <c r="Y103" s="4">
        <v>0.71</v>
      </c>
      <c r="Z103" s="4">
        <v>600.43170199999997</v>
      </c>
      <c r="AA103" s="4">
        <v>1.4E-2</v>
      </c>
      <c r="AC103" s="4" t="s">
        <v>64</v>
      </c>
      <c r="AD103" s="4">
        <v>0.9</v>
      </c>
      <c r="AE103" s="4">
        <v>0.5</v>
      </c>
      <c r="AF103" s="4">
        <v>0.6</v>
      </c>
      <c r="AG103" s="4">
        <v>0.3</v>
      </c>
      <c r="AH103" s="6">
        <v>558.28326400000003</v>
      </c>
      <c r="AI103" s="4">
        <v>1E-3</v>
      </c>
      <c r="AJ103" s="5"/>
      <c r="AK103" s="5"/>
      <c r="AL103" s="5"/>
      <c r="AM103" s="5"/>
      <c r="AO103" s="4" t="s">
        <v>65</v>
      </c>
      <c r="AP103" s="4">
        <v>0.9</v>
      </c>
      <c r="AQ103" s="4">
        <v>0.5</v>
      </c>
      <c r="AR103" s="4">
        <v>0.6</v>
      </c>
      <c r="AS103" s="4">
        <v>0.96</v>
      </c>
      <c r="AT103" s="4">
        <v>1169.184448</v>
      </c>
      <c r="AU103" s="4">
        <v>2.4E-2</v>
      </c>
      <c r="AW103" s="4" t="s">
        <v>65</v>
      </c>
      <c r="AX103" s="4">
        <v>0.9</v>
      </c>
      <c r="AY103" s="4">
        <v>0.5</v>
      </c>
      <c r="AZ103" s="4">
        <v>0.6</v>
      </c>
      <c r="BA103" s="4">
        <v>0.44</v>
      </c>
      <c r="BB103" s="6">
        <v>932.12829599999998</v>
      </c>
      <c r="BC103" s="4">
        <v>5.0000000000000001E-3</v>
      </c>
      <c r="BD103" s="5"/>
      <c r="BE103" s="5"/>
      <c r="BF103" s="5"/>
      <c r="BG103" s="5"/>
      <c r="BI103" s="4" t="s">
        <v>65</v>
      </c>
      <c r="BJ103" s="4">
        <v>0.9</v>
      </c>
      <c r="BK103" s="4">
        <v>0.5</v>
      </c>
      <c r="BL103" s="4">
        <v>0.6</v>
      </c>
      <c r="BM103" s="4">
        <v>0.13</v>
      </c>
      <c r="BN103" s="6">
        <v>839.36181599999998</v>
      </c>
      <c r="BO103" s="4">
        <v>2.1000000000000001E-2</v>
      </c>
      <c r="BQ103" s="4" t="s">
        <v>65</v>
      </c>
      <c r="BR103" s="4">
        <v>0.9</v>
      </c>
      <c r="BS103" s="4">
        <v>0.5</v>
      </c>
      <c r="BT103" s="4">
        <v>0.6</v>
      </c>
      <c r="BU103" s="4">
        <v>0.3</v>
      </c>
      <c r="BV103" s="4">
        <v>937.78692599999999</v>
      </c>
      <c r="BW103" s="4">
        <v>6.0000000000000001E-3</v>
      </c>
      <c r="BX103" s="5"/>
      <c r="BY103" s="5"/>
      <c r="BZ103" s="5"/>
      <c r="CA103" s="5"/>
    </row>
    <row r="104" spans="1:79" x14ac:dyDescent="0.3">
      <c r="A104" s="4" t="s">
        <v>66</v>
      </c>
      <c r="B104" s="4">
        <v>0.9</v>
      </c>
      <c r="C104" s="4">
        <v>0.5</v>
      </c>
      <c r="D104" s="4">
        <v>0.6</v>
      </c>
      <c r="E104" s="4">
        <v>0.61</v>
      </c>
      <c r="F104" s="4">
        <v>561.53582800000004</v>
      </c>
      <c r="G104" s="4">
        <v>1.2E-2</v>
      </c>
      <c r="I104" s="4" t="s">
        <v>66</v>
      </c>
      <c r="J104" s="4">
        <v>0.9</v>
      </c>
      <c r="K104" s="4">
        <v>0.5</v>
      </c>
      <c r="L104" s="4">
        <v>0.6</v>
      </c>
      <c r="M104" s="4">
        <v>0.33</v>
      </c>
      <c r="N104" s="6">
        <v>513.70263699999998</v>
      </c>
      <c r="O104" s="4">
        <v>1E-3</v>
      </c>
      <c r="P104" s="5"/>
      <c r="Q104" s="5"/>
      <c r="R104" s="5"/>
      <c r="S104" s="5"/>
      <c r="U104" s="4" t="s">
        <v>66</v>
      </c>
      <c r="V104" s="4">
        <v>0.9</v>
      </c>
      <c r="W104" s="4">
        <v>0.5</v>
      </c>
      <c r="X104" s="4">
        <v>0.6</v>
      </c>
      <c r="Y104" s="4">
        <v>0.55000000000000004</v>
      </c>
      <c r="Z104" s="4">
        <v>556.18225099999995</v>
      </c>
      <c r="AA104" s="4">
        <v>1.2999999999999999E-2</v>
      </c>
      <c r="AC104" s="4" t="s">
        <v>66</v>
      </c>
      <c r="AD104" s="4">
        <v>0.9</v>
      </c>
      <c r="AE104" s="4">
        <v>0.5</v>
      </c>
      <c r="AF104" s="4">
        <v>0.6</v>
      </c>
      <c r="AG104" s="4">
        <v>0.33</v>
      </c>
      <c r="AH104" s="6">
        <v>505.31863399999997</v>
      </c>
      <c r="AI104" s="4">
        <v>1E-3</v>
      </c>
      <c r="AJ104" s="5"/>
      <c r="AK104" s="5"/>
      <c r="AL104" s="5"/>
      <c r="AM104" s="5"/>
      <c r="AO104" s="4" t="s">
        <v>67</v>
      </c>
      <c r="AP104" s="4">
        <v>0.9</v>
      </c>
      <c r="AQ104" s="4">
        <v>0.5</v>
      </c>
      <c r="AR104" s="4">
        <v>0.6</v>
      </c>
      <c r="AS104" s="4">
        <v>0.84</v>
      </c>
      <c r="AT104" s="4">
        <v>1190.889404</v>
      </c>
      <c r="AU104" s="4">
        <v>2.4E-2</v>
      </c>
      <c r="AW104" s="4" t="s">
        <v>67</v>
      </c>
      <c r="AX104" s="4">
        <v>0.9</v>
      </c>
      <c r="AY104" s="4">
        <v>0.5</v>
      </c>
      <c r="AZ104" s="4">
        <v>0.6</v>
      </c>
      <c r="BA104" s="4">
        <v>0.36</v>
      </c>
      <c r="BB104" s="6">
        <v>967.59783900000002</v>
      </c>
      <c r="BC104" s="4">
        <v>5.0000000000000001E-3</v>
      </c>
      <c r="BD104" s="5"/>
      <c r="BE104" s="5"/>
      <c r="BF104" s="5"/>
      <c r="BG104" s="5"/>
      <c r="BI104" s="4" t="s">
        <v>67</v>
      </c>
      <c r="BJ104" s="4">
        <v>0.9</v>
      </c>
      <c r="BK104" s="4">
        <v>0.5</v>
      </c>
      <c r="BL104" s="4">
        <v>0.6</v>
      </c>
      <c r="BM104" s="4">
        <v>0.3</v>
      </c>
      <c r="BN104" s="6">
        <v>987.64025900000001</v>
      </c>
      <c r="BO104" s="4">
        <v>1.4999999999999999E-2</v>
      </c>
      <c r="BQ104" s="4" t="s">
        <v>67</v>
      </c>
      <c r="BR104" s="4">
        <v>0.9</v>
      </c>
      <c r="BS104" s="4">
        <v>0.5</v>
      </c>
      <c r="BT104" s="4">
        <v>0.6</v>
      </c>
      <c r="BU104" s="4">
        <v>0.31</v>
      </c>
      <c r="BV104" s="4">
        <v>995.30102499999998</v>
      </c>
      <c r="BW104" s="4">
        <v>6.0000000000000001E-3</v>
      </c>
      <c r="BX104" s="5"/>
      <c r="BY104" s="5"/>
      <c r="BZ104" s="5"/>
      <c r="CA104" s="5"/>
    </row>
    <row r="105" spans="1:79" x14ac:dyDescent="0.3">
      <c r="A105" s="4" t="s">
        <v>68</v>
      </c>
      <c r="B105" s="4">
        <v>0.9</v>
      </c>
      <c r="C105" s="4">
        <v>0.5</v>
      </c>
      <c r="D105" s="4">
        <v>0.6</v>
      </c>
      <c r="E105" s="4">
        <v>0.84</v>
      </c>
      <c r="F105" s="4">
        <v>419.298157</v>
      </c>
      <c r="G105" s="4">
        <v>1.4999999999999999E-2</v>
      </c>
      <c r="I105" s="4" t="s">
        <v>68</v>
      </c>
      <c r="J105" s="4">
        <v>0.9</v>
      </c>
      <c r="K105" s="4">
        <v>0.5</v>
      </c>
      <c r="L105" s="4">
        <v>0.6</v>
      </c>
      <c r="M105" s="4">
        <v>0.37</v>
      </c>
      <c r="N105" s="6">
        <v>400.58245799999997</v>
      </c>
      <c r="O105" s="4">
        <v>1E-3</v>
      </c>
      <c r="P105" s="5"/>
      <c r="Q105" s="5"/>
      <c r="R105" s="5"/>
      <c r="S105" s="5"/>
      <c r="U105" s="4" t="s">
        <v>68</v>
      </c>
      <c r="V105" s="4">
        <v>0.9</v>
      </c>
      <c r="W105" s="4">
        <v>0.5</v>
      </c>
      <c r="X105" s="4">
        <v>0.6</v>
      </c>
      <c r="Y105" s="4">
        <v>0.22</v>
      </c>
      <c r="Z105" s="6">
        <v>397.25357100000002</v>
      </c>
      <c r="AA105" s="4">
        <v>1.4E-2</v>
      </c>
      <c r="AC105" s="4" t="s">
        <v>68</v>
      </c>
      <c r="AD105" s="4">
        <v>0.9</v>
      </c>
      <c r="AE105" s="4">
        <v>0.5</v>
      </c>
      <c r="AF105" s="4">
        <v>0.6</v>
      </c>
      <c r="AG105" s="4">
        <v>0.34</v>
      </c>
      <c r="AH105" s="6">
        <v>397.21749899999998</v>
      </c>
      <c r="AI105" s="4">
        <v>1E-3</v>
      </c>
      <c r="AJ105" s="5"/>
      <c r="AK105" s="5"/>
      <c r="AL105" s="5"/>
      <c r="AM105" s="5"/>
      <c r="AO105" s="4" t="s">
        <v>69</v>
      </c>
      <c r="AP105" s="4">
        <v>0.9</v>
      </c>
      <c r="AQ105" s="4">
        <v>0.5</v>
      </c>
      <c r="AR105" s="4">
        <v>0.6</v>
      </c>
      <c r="AS105" s="4">
        <v>0.28000000000000003</v>
      </c>
      <c r="AT105" s="6">
        <v>966.15905799999996</v>
      </c>
      <c r="AU105" s="4">
        <v>0.02</v>
      </c>
      <c r="AW105" s="4" t="s">
        <v>69</v>
      </c>
      <c r="AX105" s="4">
        <v>0.9</v>
      </c>
      <c r="AY105" s="4">
        <v>0.5</v>
      </c>
      <c r="AZ105" s="4">
        <v>0.6</v>
      </c>
      <c r="BA105" s="4">
        <v>0.3</v>
      </c>
      <c r="BB105" s="4">
        <v>983.14709500000004</v>
      </c>
      <c r="BC105" s="4">
        <v>5.0000000000000001E-3</v>
      </c>
      <c r="BD105" s="5"/>
      <c r="BE105" s="5"/>
      <c r="BF105" s="5"/>
      <c r="BG105" s="5"/>
      <c r="BI105" s="4" t="s">
        <v>69</v>
      </c>
      <c r="BJ105" s="4">
        <v>0.9</v>
      </c>
      <c r="BK105" s="4">
        <v>0.5</v>
      </c>
      <c r="BL105" s="4">
        <v>0.6</v>
      </c>
      <c r="BM105" s="4">
        <v>0.95</v>
      </c>
      <c r="BN105" s="4">
        <v>1211.4580080000001</v>
      </c>
      <c r="BO105" s="4">
        <v>0.01</v>
      </c>
      <c r="BQ105" s="4" t="s">
        <v>69</v>
      </c>
      <c r="BR105" s="4">
        <v>0.9</v>
      </c>
      <c r="BS105" s="4">
        <v>0.5</v>
      </c>
      <c r="BT105" s="4">
        <v>0.6</v>
      </c>
      <c r="BU105" s="4">
        <v>0.3</v>
      </c>
      <c r="BV105" s="6">
        <v>995.79925500000002</v>
      </c>
      <c r="BW105" s="4">
        <v>8.0000000000000002E-3</v>
      </c>
      <c r="BX105" s="5"/>
      <c r="BY105" s="5"/>
      <c r="BZ105" s="5"/>
      <c r="CA105" s="5"/>
    </row>
    <row r="106" spans="1:79" x14ac:dyDescent="0.3">
      <c r="A106" s="14" t="s">
        <v>316</v>
      </c>
      <c r="E106" s="14">
        <f>AVERAGE(E76:E105)</f>
        <v>0.47933333333333328</v>
      </c>
      <c r="I106" s="4" t="s">
        <v>316</v>
      </c>
      <c r="M106" s="4">
        <f>AVERAGE(M76:M105)</f>
        <v>0.39366666666666672</v>
      </c>
      <c r="U106" s="4" t="s">
        <v>316</v>
      </c>
      <c r="Y106" s="4">
        <f>AVERAGE(Y76:Y105)</f>
        <v>0.51800000000000013</v>
      </c>
      <c r="AC106" s="4" t="s">
        <v>316</v>
      </c>
      <c r="AG106" s="4">
        <f>AVERAGE(AG76:AG105)</f>
        <v>0.34166666666666667</v>
      </c>
      <c r="AO106" s="14" t="s">
        <v>316</v>
      </c>
      <c r="AS106" s="14">
        <f>AVERAGE(AS76:AS105)</f>
        <v>0.45633333333333331</v>
      </c>
      <c r="AW106" s="14" t="s">
        <v>316</v>
      </c>
      <c r="BA106" s="14">
        <f>AVERAGE(BA76:BA105)</f>
        <v>0.32566666666666655</v>
      </c>
      <c r="BI106" s="14" t="s">
        <v>316</v>
      </c>
      <c r="BM106" s="14">
        <f>AVERAGE(BM76:BM105)</f>
        <v>0.44066666666666676</v>
      </c>
      <c r="BQ106" s="14" t="s">
        <v>316</v>
      </c>
      <c r="BU106" s="14">
        <f>AVERAGE(BU76:BU105)</f>
        <v>0.31366666666666665</v>
      </c>
    </row>
    <row r="107" spans="1:79" s="1" customFormat="1" x14ac:dyDescent="0.3"/>
    <row r="108" spans="1:79" x14ac:dyDescent="0.3">
      <c r="A108" s="24" t="s">
        <v>314</v>
      </c>
      <c r="B108" s="25"/>
      <c r="C108" s="25"/>
      <c r="D108" s="25"/>
      <c r="E108" s="25"/>
      <c r="F108" s="25"/>
      <c r="G108" s="26"/>
      <c r="I108" s="23" t="s">
        <v>314</v>
      </c>
      <c r="J108" s="23"/>
      <c r="K108" s="23"/>
      <c r="L108" s="23"/>
      <c r="M108" s="23"/>
      <c r="N108" s="23"/>
      <c r="O108" s="23"/>
      <c r="P108" s="11"/>
      <c r="Q108" s="11"/>
      <c r="R108" s="11"/>
      <c r="S108" s="11"/>
      <c r="U108" s="24" t="s">
        <v>314</v>
      </c>
      <c r="V108" s="25"/>
      <c r="W108" s="25"/>
      <c r="X108" s="25"/>
      <c r="Y108" s="25"/>
      <c r="Z108" s="25"/>
      <c r="AA108" s="26"/>
      <c r="AC108" s="23" t="s">
        <v>314</v>
      </c>
      <c r="AD108" s="23"/>
      <c r="AE108" s="23"/>
      <c r="AF108" s="23"/>
      <c r="AG108" s="23"/>
      <c r="AH108" s="23"/>
      <c r="AI108" s="23"/>
      <c r="AJ108" s="11"/>
      <c r="AK108" s="11"/>
      <c r="AL108" s="11"/>
      <c r="AM108" s="11"/>
      <c r="AO108" s="24" t="s">
        <v>314</v>
      </c>
      <c r="AP108" s="25"/>
      <c r="AQ108" s="25"/>
      <c r="AR108" s="25"/>
      <c r="AS108" s="25"/>
      <c r="AT108" s="25"/>
      <c r="AU108" s="26"/>
      <c r="AW108" s="23" t="s">
        <v>314</v>
      </c>
      <c r="AX108" s="23"/>
      <c r="AY108" s="23"/>
      <c r="AZ108" s="23"/>
      <c r="BA108" s="23"/>
      <c r="BB108" s="23"/>
      <c r="BC108" s="23"/>
      <c r="BD108" s="11"/>
      <c r="BE108" s="11"/>
      <c r="BF108" s="11"/>
      <c r="BG108" s="11"/>
      <c r="BI108" s="24" t="s">
        <v>314</v>
      </c>
      <c r="BJ108" s="25"/>
      <c r="BK108" s="25"/>
      <c r="BL108" s="25"/>
      <c r="BM108" s="25"/>
      <c r="BN108" s="25"/>
      <c r="BO108" s="26"/>
      <c r="BQ108" s="23" t="s">
        <v>314</v>
      </c>
      <c r="BR108" s="23"/>
      <c r="BS108" s="23"/>
      <c r="BT108" s="23"/>
      <c r="BU108" s="23"/>
      <c r="BV108" s="23"/>
      <c r="BW108" s="23"/>
      <c r="BX108" s="11"/>
      <c r="BY108" s="11"/>
      <c r="BZ108" s="11"/>
      <c r="CA108" s="11"/>
    </row>
    <row r="109" spans="1:79" x14ac:dyDescent="0.3">
      <c r="A109" s="4" t="s">
        <v>0</v>
      </c>
      <c r="B109" s="4"/>
      <c r="C109" s="4"/>
      <c r="D109" s="4"/>
      <c r="E109" s="4"/>
      <c r="F109" s="4"/>
      <c r="G109" s="4"/>
      <c r="I109" s="23" t="s">
        <v>0</v>
      </c>
      <c r="J109" s="23"/>
      <c r="K109" s="23"/>
      <c r="L109" s="23"/>
      <c r="M109" s="23"/>
      <c r="N109" s="23"/>
      <c r="O109" s="23"/>
      <c r="P109" s="11"/>
      <c r="Q109" s="11"/>
      <c r="R109" s="11"/>
      <c r="S109" s="11"/>
      <c r="U109" s="4" t="s">
        <v>1</v>
      </c>
      <c r="V109" s="4"/>
      <c r="W109" s="4"/>
      <c r="X109" s="4"/>
      <c r="Y109" s="4"/>
      <c r="Z109" s="4"/>
      <c r="AA109" s="4"/>
      <c r="AC109" s="23" t="s">
        <v>1</v>
      </c>
      <c r="AD109" s="23"/>
      <c r="AE109" s="23"/>
      <c r="AF109" s="23"/>
      <c r="AG109" s="23"/>
      <c r="AH109" s="23"/>
      <c r="AI109" s="23"/>
      <c r="AJ109" s="11"/>
      <c r="AK109" s="11"/>
      <c r="AL109" s="11"/>
      <c r="AM109" s="11"/>
      <c r="AO109" s="4" t="s">
        <v>0</v>
      </c>
      <c r="AP109" s="4"/>
      <c r="AQ109" s="4"/>
      <c r="AR109" s="4"/>
      <c r="AS109" s="4"/>
      <c r="AT109" s="4"/>
      <c r="AU109" s="4"/>
      <c r="AW109" s="23" t="s">
        <v>0</v>
      </c>
      <c r="AX109" s="23"/>
      <c r="AY109" s="23"/>
      <c r="AZ109" s="23"/>
      <c r="BA109" s="23"/>
      <c r="BB109" s="23"/>
      <c r="BC109" s="23"/>
      <c r="BD109" s="11"/>
      <c r="BE109" s="11"/>
      <c r="BF109" s="11"/>
      <c r="BG109" s="11"/>
      <c r="BI109" s="4" t="s">
        <v>1</v>
      </c>
      <c r="BJ109" s="4"/>
      <c r="BK109" s="4"/>
      <c r="BL109" s="4"/>
      <c r="BM109" s="4"/>
      <c r="BN109" s="4"/>
      <c r="BO109" s="4"/>
      <c r="BQ109" s="23" t="s">
        <v>1</v>
      </c>
      <c r="BR109" s="23"/>
      <c r="BS109" s="23"/>
      <c r="BT109" s="23"/>
      <c r="BU109" s="23"/>
      <c r="BV109" s="23"/>
      <c r="BW109" s="23"/>
      <c r="BX109" s="11"/>
      <c r="BY109" s="11"/>
      <c r="BZ109" s="11"/>
      <c r="CA109" s="11"/>
    </row>
    <row r="110" spans="1:79" x14ac:dyDescent="0.3">
      <c r="A110" s="4" t="s">
        <v>2</v>
      </c>
      <c r="B110" s="4" t="s">
        <v>3</v>
      </c>
      <c r="C110" s="4" t="s">
        <v>4</v>
      </c>
      <c r="D110" s="4" t="s">
        <v>5</v>
      </c>
      <c r="E110" s="4" t="s">
        <v>6</v>
      </c>
      <c r="F110" s="4" t="s">
        <v>7</v>
      </c>
      <c r="G110" s="4" t="s">
        <v>8</v>
      </c>
      <c r="I110" s="4" t="s">
        <v>2</v>
      </c>
      <c r="J110" s="4" t="s">
        <v>3</v>
      </c>
      <c r="K110" s="4" t="s">
        <v>4</v>
      </c>
      <c r="L110" s="4" t="s">
        <v>5</v>
      </c>
      <c r="M110" s="4" t="s">
        <v>6</v>
      </c>
      <c r="N110" s="4" t="s">
        <v>7</v>
      </c>
      <c r="O110" s="4" t="s">
        <v>8</v>
      </c>
      <c r="P110" s="3" t="s">
        <v>322</v>
      </c>
      <c r="Q110" s="3" t="s">
        <v>323</v>
      </c>
      <c r="R110" s="3" t="s">
        <v>322</v>
      </c>
      <c r="S110" s="3" t="s">
        <v>323</v>
      </c>
      <c r="U110" s="4" t="s">
        <v>2</v>
      </c>
      <c r="V110" s="4" t="s">
        <v>3</v>
      </c>
      <c r="W110" s="4" t="s">
        <v>4</v>
      </c>
      <c r="X110" s="4" t="s">
        <v>5</v>
      </c>
      <c r="Y110" s="4" t="s">
        <v>6</v>
      </c>
      <c r="Z110" s="4" t="s">
        <v>7</v>
      </c>
      <c r="AA110" s="4" t="s">
        <v>8</v>
      </c>
      <c r="AC110" s="4" t="s">
        <v>2</v>
      </c>
      <c r="AD110" s="4" t="s">
        <v>3</v>
      </c>
      <c r="AE110" s="4" t="s">
        <v>4</v>
      </c>
      <c r="AF110" s="4" t="s">
        <v>5</v>
      </c>
      <c r="AG110" s="4" t="s">
        <v>6</v>
      </c>
      <c r="AH110" s="4" t="s">
        <v>7</v>
      </c>
      <c r="AI110" s="4" t="s">
        <v>8</v>
      </c>
      <c r="AJ110" s="3" t="s">
        <v>322</v>
      </c>
      <c r="AK110" s="3" t="s">
        <v>323</v>
      </c>
      <c r="AL110" s="3" t="s">
        <v>322</v>
      </c>
      <c r="AM110" s="3" t="s">
        <v>323</v>
      </c>
      <c r="AO110" s="4" t="s">
        <v>2</v>
      </c>
      <c r="AP110" s="4" t="s">
        <v>3</v>
      </c>
      <c r="AQ110" s="4" t="s">
        <v>4</v>
      </c>
      <c r="AR110" s="4" t="s">
        <v>5</v>
      </c>
      <c r="AS110" s="4" t="s">
        <v>6</v>
      </c>
      <c r="AT110" s="4" t="s">
        <v>7</v>
      </c>
      <c r="AU110" s="4" t="s">
        <v>8</v>
      </c>
      <c r="AW110" s="4" t="s">
        <v>2</v>
      </c>
      <c r="AX110" s="4" t="s">
        <v>3</v>
      </c>
      <c r="AY110" s="4" t="s">
        <v>4</v>
      </c>
      <c r="AZ110" s="4" t="s">
        <v>5</v>
      </c>
      <c r="BA110" s="4" t="s">
        <v>6</v>
      </c>
      <c r="BB110" s="4" t="s">
        <v>7</v>
      </c>
      <c r="BC110" s="4" t="s">
        <v>8</v>
      </c>
      <c r="BD110" s="3" t="s">
        <v>322</v>
      </c>
      <c r="BE110" s="3" t="s">
        <v>323</v>
      </c>
      <c r="BF110" s="3" t="s">
        <v>322</v>
      </c>
      <c r="BG110" s="3" t="s">
        <v>323</v>
      </c>
      <c r="BI110" s="4" t="s">
        <v>2</v>
      </c>
      <c r="BJ110" s="4" t="s">
        <v>3</v>
      </c>
      <c r="BK110" s="4" t="s">
        <v>4</v>
      </c>
      <c r="BL110" s="4" t="s">
        <v>5</v>
      </c>
      <c r="BM110" s="4" t="s">
        <v>6</v>
      </c>
      <c r="BN110" s="4" t="s">
        <v>7</v>
      </c>
      <c r="BO110" s="4" t="s">
        <v>8</v>
      </c>
      <c r="BQ110" s="4" t="s">
        <v>2</v>
      </c>
      <c r="BR110" s="4" t="s">
        <v>3</v>
      </c>
      <c r="BS110" s="4" t="s">
        <v>4</v>
      </c>
      <c r="BT110" s="4" t="s">
        <v>5</v>
      </c>
      <c r="BU110" s="4" t="s">
        <v>6</v>
      </c>
      <c r="BV110" s="4" t="s">
        <v>7</v>
      </c>
      <c r="BW110" s="4" t="s">
        <v>8</v>
      </c>
      <c r="BX110" s="3" t="s">
        <v>322</v>
      </c>
      <c r="BY110" s="3" t="s">
        <v>323</v>
      </c>
      <c r="BZ110" s="3" t="s">
        <v>322</v>
      </c>
      <c r="CA110" s="3" t="s">
        <v>323</v>
      </c>
    </row>
    <row r="111" spans="1:79" x14ac:dyDescent="0.3">
      <c r="A111" s="4" t="s">
        <v>74</v>
      </c>
      <c r="B111" s="4">
        <v>0.9</v>
      </c>
      <c r="C111" s="4">
        <v>0.5</v>
      </c>
      <c r="D111" s="4">
        <v>0.6</v>
      </c>
      <c r="E111" s="4">
        <v>0.01</v>
      </c>
      <c r="F111" s="4">
        <v>429.75</v>
      </c>
      <c r="G111" s="4">
        <v>3.6999999999999998E-2</v>
      </c>
      <c r="I111" s="4" t="s">
        <v>74</v>
      </c>
      <c r="J111" s="4">
        <v>0.9</v>
      </c>
      <c r="K111" s="4">
        <v>0.5</v>
      </c>
      <c r="L111" s="4">
        <v>0.6</v>
      </c>
      <c r="M111" s="4">
        <v>0.3</v>
      </c>
      <c r="N111" s="6">
        <v>404.11584499999998</v>
      </c>
      <c r="O111" s="4">
        <v>2E-3</v>
      </c>
      <c r="P111" s="4" t="s">
        <v>327</v>
      </c>
      <c r="Q111" s="4" t="s">
        <v>327</v>
      </c>
      <c r="R111" s="4" t="s">
        <v>326</v>
      </c>
      <c r="S111" s="4" t="s">
        <v>326</v>
      </c>
      <c r="U111" s="4" t="s">
        <v>74</v>
      </c>
      <c r="V111" s="4">
        <v>0.9</v>
      </c>
      <c r="W111" s="4">
        <v>0.5</v>
      </c>
      <c r="X111" s="4">
        <v>0.6</v>
      </c>
      <c r="Y111" s="4">
        <v>0.01</v>
      </c>
      <c r="Z111" s="4">
        <v>400.44961499999999</v>
      </c>
      <c r="AA111" s="4">
        <v>1.6E-2</v>
      </c>
      <c r="AC111" s="4" t="s">
        <v>74</v>
      </c>
      <c r="AD111" s="4">
        <v>0.9</v>
      </c>
      <c r="AE111" s="4">
        <v>0.5</v>
      </c>
      <c r="AF111" s="4">
        <v>0.6</v>
      </c>
      <c r="AG111" s="4">
        <v>0.33</v>
      </c>
      <c r="AH111" s="6">
        <v>369.545074</v>
      </c>
      <c r="AI111" s="4">
        <v>1E-3</v>
      </c>
      <c r="AJ111" s="4" t="s">
        <v>327</v>
      </c>
      <c r="AK111" s="4" t="s">
        <v>327</v>
      </c>
      <c r="AL111" s="4" t="s">
        <v>326</v>
      </c>
      <c r="AM111" s="4" t="s">
        <v>326</v>
      </c>
      <c r="AO111" s="4" t="s">
        <v>75</v>
      </c>
      <c r="AP111" s="4">
        <v>0.9</v>
      </c>
      <c r="AQ111" s="4">
        <v>0.5</v>
      </c>
      <c r="AR111" s="4">
        <v>0.6</v>
      </c>
      <c r="AS111" s="4">
        <v>0.01</v>
      </c>
      <c r="AT111" s="6">
        <v>685.51715100000001</v>
      </c>
      <c r="AU111" s="4">
        <v>2.1999999999999999E-2</v>
      </c>
      <c r="AW111" s="4" t="s">
        <v>75</v>
      </c>
      <c r="AX111" s="4">
        <v>0.9</v>
      </c>
      <c r="AY111" s="4">
        <v>0.5</v>
      </c>
      <c r="AZ111" s="4">
        <v>0.6</v>
      </c>
      <c r="BA111" s="4">
        <v>0.3</v>
      </c>
      <c r="BB111" s="4">
        <v>740.00640899999996</v>
      </c>
      <c r="BC111" s="4">
        <v>4.0000000000000001E-3</v>
      </c>
      <c r="BD111" s="4" t="s">
        <v>327</v>
      </c>
      <c r="BE111" s="4" t="s">
        <v>327</v>
      </c>
      <c r="BF111" s="4" t="s">
        <v>326</v>
      </c>
      <c r="BG111" s="4" t="s">
        <v>326</v>
      </c>
      <c r="BI111" s="4" t="s">
        <v>75</v>
      </c>
      <c r="BJ111" s="4">
        <v>0.9</v>
      </c>
      <c r="BK111" s="4">
        <v>0.5</v>
      </c>
      <c r="BL111" s="4">
        <v>0.6</v>
      </c>
      <c r="BM111" s="4">
        <v>0.01</v>
      </c>
      <c r="BN111" s="6">
        <v>632.99401899999998</v>
      </c>
      <c r="BO111" s="4">
        <v>1.6E-2</v>
      </c>
      <c r="BQ111" s="4" t="s">
        <v>75</v>
      </c>
      <c r="BR111" s="4">
        <v>0.9</v>
      </c>
      <c r="BS111" s="4">
        <v>0.5</v>
      </c>
      <c r="BT111" s="4">
        <v>0.6</v>
      </c>
      <c r="BU111" s="4">
        <v>0.31</v>
      </c>
      <c r="BV111" s="4">
        <v>708.80426</v>
      </c>
      <c r="BW111" s="4">
        <v>6.0000000000000001E-3</v>
      </c>
      <c r="BX111" s="4" t="s">
        <v>327</v>
      </c>
      <c r="BY111" s="4" t="s">
        <v>327</v>
      </c>
      <c r="BZ111" s="4" t="s">
        <v>326</v>
      </c>
      <c r="CA111" s="4" t="s">
        <v>326</v>
      </c>
    </row>
    <row r="112" spans="1:79" x14ac:dyDescent="0.3">
      <c r="A112" s="4" t="s">
        <v>76</v>
      </c>
      <c r="B112" s="4">
        <v>0.9</v>
      </c>
      <c r="C112" s="4">
        <v>0.5</v>
      </c>
      <c r="D112" s="4">
        <v>0.6</v>
      </c>
      <c r="E112" s="4">
        <v>0.65</v>
      </c>
      <c r="F112" s="4">
        <v>461.07058699999999</v>
      </c>
      <c r="G112" s="4">
        <v>8.0000000000000002E-3</v>
      </c>
      <c r="I112" s="4" t="s">
        <v>76</v>
      </c>
      <c r="J112" s="4">
        <v>0.9</v>
      </c>
      <c r="K112" s="4">
        <v>0.5</v>
      </c>
      <c r="L112" s="4">
        <v>0.6</v>
      </c>
      <c r="M112" s="4">
        <v>0.3</v>
      </c>
      <c r="N112" s="6">
        <v>444.69982900000002</v>
      </c>
      <c r="O112" s="4">
        <v>1E-3</v>
      </c>
      <c r="P112" s="3">
        <f>COUNT(F115:F117,F120:F122,F125,F132,F134)</f>
        <v>9</v>
      </c>
      <c r="Q112" s="3">
        <f>30-P112</f>
        <v>21</v>
      </c>
      <c r="R112" s="3">
        <f>COUNT(N111:N114,N118:N119,N123:N124,N126:N131,N133,N135:N140)</f>
        <v>21</v>
      </c>
      <c r="S112" s="3">
        <f>30-R112</f>
        <v>9</v>
      </c>
      <c r="U112" s="4" t="s">
        <v>76</v>
      </c>
      <c r="V112" s="4">
        <v>0.9</v>
      </c>
      <c r="W112" s="4">
        <v>0.5</v>
      </c>
      <c r="X112" s="4">
        <v>0.6</v>
      </c>
      <c r="Y112" s="4">
        <v>0.63</v>
      </c>
      <c r="Z112" s="4">
        <v>415.98556500000001</v>
      </c>
      <c r="AA112" s="4">
        <v>0.02</v>
      </c>
      <c r="AC112" s="4" t="s">
        <v>76</v>
      </c>
      <c r="AD112" s="4">
        <v>0.9</v>
      </c>
      <c r="AE112" s="4">
        <v>0.5</v>
      </c>
      <c r="AF112" s="4">
        <v>0.6</v>
      </c>
      <c r="AG112" s="4">
        <v>0.34</v>
      </c>
      <c r="AH112" s="6">
        <v>406.33590700000002</v>
      </c>
      <c r="AI112" s="4">
        <v>1E-3</v>
      </c>
      <c r="AJ112" s="3">
        <f>COUNT(Z117,Z134)</f>
        <v>2</v>
      </c>
      <c r="AK112" s="3">
        <f>30-AJ112</f>
        <v>28</v>
      </c>
      <c r="AL112" s="3">
        <f>COUNT(AH111:AH116,AH118:AH133,AH135:AH140)</f>
        <v>28</v>
      </c>
      <c r="AM112" s="3">
        <f>30-AL112</f>
        <v>2</v>
      </c>
      <c r="AO112" s="4" t="s">
        <v>77</v>
      </c>
      <c r="AP112" s="4">
        <v>0.9</v>
      </c>
      <c r="AQ112" s="4">
        <v>0.5</v>
      </c>
      <c r="AR112" s="4">
        <v>0.6</v>
      </c>
      <c r="AS112" s="4">
        <v>0.86</v>
      </c>
      <c r="AT112" s="4">
        <v>976.96179199999995</v>
      </c>
      <c r="AU112" s="4">
        <v>0.01</v>
      </c>
      <c r="AW112" s="4" t="s">
        <v>77</v>
      </c>
      <c r="AX112" s="4">
        <v>0.9</v>
      </c>
      <c r="AY112" s="4">
        <v>0.5</v>
      </c>
      <c r="AZ112" s="4">
        <v>0.6</v>
      </c>
      <c r="BA112" s="4">
        <v>0.3</v>
      </c>
      <c r="BB112" s="6">
        <v>847.78204300000004</v>
      </c>
      <c r="BC112" s="4">
        <v>4.0000000000000001E-3</v>
      </c>
      <c r="BD112" s="3">
        <f>COUNT(AT111,AT114,AT123,AT130,AT137:AT139)</f>
        <v>7</v>
      </c>
      <c r="BE112" s="3">
        <f>30-BD112</f>
        <v>23</v>
      </c>
      <c r="BF112" s="3">
        <f>COUNT(BB112:BB113,BB115:BB122,BB124:BB129,BB131:BB136,BB140)</f>
        <v>23</v>
      </c>
      <c r="BG112" s="3">
        <f>30-BF112</f>
        <v>7</v>
      </c>
      <c r="BI112" s="4" t="s">
        <v>77</v>
      </c>
      <c r="BJ112" s="4">
        <v>0.9</v>
      </c>
      <c r="BK112" s="4">
        <v>0.5</v>
      </c>
      <c r="BL112" s="4">
        <v>0.6</v>
      </c>
      <c r="BM112" s="4">
        <v>0.04</v>
      </c>
      <c r="BN112" s="6">
        <v>653.99188200000003</v>
      </c>
      <c r="BO112" s="4">
        <v>3.9E-2</v>
      </c>
      <c r="BQ112" s="4" t="s">
        <v>77</v>
      </c>
      <c r="BR112" s="4">
        <v>0.9</v>
      </c>
      <c r="BS112" s="4">
        <v>0.5</v>
      </c>
      <c r="BT112" s="4">
        <v>0.6</v>
      </c>
      <c r="BU112" s="4">
        <v>0.33</v>
      </c>
      <c r="BV112" s="4">
        <v>792.84680200000003</v>
      </c>
      <c r="BW112" s="4">
        <v>4.0000000000000001E-3</v>
      </c>
      <c r="BX112" s="3">
        <f>COUNT(BN111:BN112,BN120,BN123,BN126:BN127,BN130,BN133)</f>
        <v>8</v>
      </c>
      <c r="BY112" s="3">
        <f>30-BX112</f>
        <v>22</v>
      </c>
      <c r="BZ112" s="3">
        <f>COUNT(BV113:BV119,BV121:BV122,BV124:BV125,BV128:BV129,BV131:BV132,BV134:BV140)</f>
        <v>22</v>
      </c>
      <c r="CA112" s="3">
        <f>30-BZ112</f>
        <v>8</v>
      </c>
    </row>
    <row r="113" spans="1:79" x14ac:dyDescent="0.3">
      <c r="A113" s="4" t="s">
        <v>78</v>
      </c>
      <c r="B113" s="4">
        <v>0.9</v>
      </c>
      <c r="C113" s="4">
        <v>0.5</v>
      </c>
      <c r="D113" s="4">
        <v>0.6</v>
      </c>
      <c r="E113" s="4">
        <v>0.86</v>
      </c>
      <c r="F113" s="4">
        <v>473.94439699999998</v>
      </c>
      <c r="G113" s="4">
        <v>2.1000000000000001E-2</v>
      </c>
      <c r="I113" s="4" t="s">
        <v>78</v>
      </c>
      <c r="J113" s="4">
        <v>0.9</v>
      </c>
      <c r="K113" s="4">
        <v>0.5</v>
      </c>
      <c r="L113" s="4">
        <v>0.6</v>
      </c>
      <c r="M113" s="4">
        <v>0.3</v>
      </c>
      <c r="N113" s="6">
        <v>430.92837500000002</v>
      </c>
      <c r="O113" s="4">
        <v>1E-3</v>
      </c>
      <c r="P113" s="5"/>
      <c r="Q113" s="5"/>
      <c r="R113" s="5"/>
      <c r="S113" s="5"/>
      <c r="U113" s="4" t="s">
        <v>78</v>
      </c>
      <c r="V113" s="4">
        <v>0.9</v>
      </c>
      <c r="W113" s="4">
        <v>0.5</v>
      </c>
      <c r="X113" s="4">
        <v>0.6</v>
      </c>
      <c r="Y113" s="4">
        <v>0.04</v>
      </c>
      <c r="Z113" s="4">
        <v>397.966858</v>
      </c>
      <c r="AA113" s="4">
        <v>0.02</v>
      </c>
      <c r="AC113" s="4" t="s">
        <v>78</v>
      </c>
      <c r="AD113" s="4">
        <v>0.9</v>
      </c>
      <c r="AE113" s="4">
        <v>0.5</v>
      </c>
      <c r="AF113" s="4">
        <v>0.6</v>
      </c>
      <c r="AG113" s="4">
        <v>0.3</v>
      </c>
      <c r="AH113" s="6">
        <v>389.59921300000002</v>
      </c>
      <c r="AI113" s="4">
        <v>1E-3</v>
      </c>
      <c r="AJ113" s="5"/>
      <c r="AK113" s="5"/>
      <c r="AL113" s="5"/>
      <c r="AM113" s="5"/>
      <c r="AO113" s="4" t="s">
        <v>79</v>
      </c>
      <c r="AP113" s="4">
        <v>0.9</v>
      </c>
      <c r="AQ113" s="4">
        <v>0.5</v>
      </c>
      <c r="AR113" s="4">
        <v>0.6</v>
      </c>
      <c r="AS113" s="4">
        <v>0.88</v>
      </c>
      <c r="AT113" s="4">
        <v>967.25854500000003</v>
      </c>
      <c r="AU113" s="4">
        <v>1.9E-2</v>
      </c>
      <c r="AW113" s="4" t="s">
        <v>79</v>
      </c>
      <c r="AX113" s="4">
        <v>0.9</v>
      </c>
      <c r="AY113" s="4">
        <v>0.5</v>
      </c>
      <c r="AZ113" s="4">
        <v>0.6</v>
      </c>
      <c r="BA113" s="4">
        <v>0.3</v>
      </c>
      <c r="BB113" s="6">
        <v>797.51934800000004</v>
      </c>
      <c r="BC113" s="4">
        <v>5.0000000000000001E-3</v>
      </c>
      <c r="BD113" s="5"/>
      <c r="BE113" s="5"/>
      <c r="BF113" s="5"/>
      <c r="BG113" s="5"/>
      <c r="BI113" s="4" t="s">
        <v>79</v>
      </c>
      <c r="BJ113" s="4">
        <v>0.9</v>
      </c>
      <c r="BK113" s="4">
        <v>0.5</v>
      </c>
      <c r="BL113" s="4">
        <v>0.6</v>
      </c>
      <c r="BM113" s="4">
        <v>0.62</v>
      </c>
      <c r="BN113" s="4">
        <v>893.18048099999999</v>
      </c>
      <c r="BO113" s="4">
        <v>1.4999999999999999E-2</v>
      </c>
      <c r="BQ113" s="4" t="s">
        <v>79</v>
      </c>
      <c r="BR113" s="4">
        <v>0.9</v>
      </c>
      <c r="BS113" s="4">
        <v>0.5</v>
      </c>
      <c r="BT113" s="4">
        <v>0.6</v>
      </c>
      <c r="BU113" s="4">
        <v>0.32</v>
      </c>
      <c r="BV113" s="6">
        <v>734.31726100000003</v>
      </c>
      <c r="BW113" s="4">
        <v>4.0000000000000001E-3</v>
      </c>
      <c r="BX113" s="5"/>
      <c r="BY113" s="5"/>
      <c r="BZ113" s="5"/>
      <c r="CA113" s="5"/>
    </row>
    <row r="114" spans="1:79" x14ac:dyDescent="0.3">
      <c r="A114" s="4" t="s">
        <v>80</v>
      </c>
      <c r="B114" s="4">
        <v>0.9</v>
      </c>
      <c r="C114" s="4">
        <v>0.5</v>
      </c>
      <c r="D114" s="4">
        <v>0.6</v>
      </c>
      <c r="E114" s="4">
        <v>0.54</v>
      </c>
      <c r="F114" s="4">
        <v>487.95428500000003</v>
      </c>
      <c r="G114" s="4">
        <v>1.0999999999999999E-2</v>
      </c>
      <c r="I114" s="4" t="s">
        <v>80</v>
      </c>
      <c r="J114" s="4">
        <v>0.9</v>
      </c>
      <c r="K114" s="4">
        <v>0.5</v>
      </c>
      <c r="L114" s="4">
        <v>0.6</v>
      </c>
      <c r="M114" s="4">
        <v>0.37</v>
      </c>
      <c r="N114" s="6">
        <v>464.92394999999999</v>
      </c>
      <c r="O114" s="4">
        <v>1E-3</v>
      </c>
      <c r="P114" s="5"/>
      <c r="Q114" s="5"/>
      <c r="R114" s="5"/>
      <c r="S114" s="5"/>
      <c r="U114" s="4" t="s">
        <v>80</v>
      </c>
      <c r="V114" s="4">
        <v>0.9</v>
      </c>
      <c r="W114" s="4">
        <v>0.5</v>
      </c>
      <c r="X114" s="4">
        <v>0.6</v>
      </c>
      <c r="Y114" s="4">
        <v>0.67</v>
      </c>
      <c r="Z114" s="4">
        <v>452.305115</v>
      </c>
      <c r="AA114" s="4">
        <v>0.02</v>
      </c>
      <c r="AC114" s="4" t="s">
        <v>80</v>
      </c>
      <c r="AD114" s="4">
        <v>0.9</v>
      </c>
      <c r="AE114" s="4">
        <v>0.5</v>
      </c>
      <c r="AF114" s="4">
        <v>0.6</v>
      </c>
      <c r="AG114" s="4">
        <v>0.3</v>
      </c>
      <c r="AH114" s="6">
        <v>413.60144000000003</v>
      </c>
      <c r="AI114" s="4">
        <v>1E-3</v>
      </c>
      <c r="AJ114" s="5"/>
      <c r="AK114" s="5"/>
      <c r="AL114" s="5"/>
      <c r="AM114" s="5"/>
      <c r="AO114" s="4" t="s">
        <v>81</v>
      </c>
      <c r="AP114" s="4">
        <v>0.9</v>
      </c>
      <c r="AQ114" s="4">
        <v>0.5</v>
      </c>
      <c r="AR114" s="4">
        <v>0.6</v>
      </c>
      <c r="AS114" s="4">
        <v>0.01</v>
      </c>
      <c r="AT114" s="6">
        <v>670.56359899999995</v>
      </c>
      <c r="AU114" s="4">
        <v>2.1000000000000001E-2</v>
      </c>
      <c r="AW114" s="4" t="s">
        <v>81</v>
      </c>
      <c r="AX114" s="4">
        <v>0.9</v>
      </c>
      <c r="AY114" s="4">
        <v>0.5</v>
      </c>
      <c r="AZ114" s="4">
        <v>0.6</v>
      </c>
      <c r="BA114" s="4">
        <v>0.32</v>
      </c>
      <c r="BB114" s="4">
        <v>750.23406999999997</v>
      </c>
      <c r="BC114" s="4">
        <v>4.0000000000000001E-3</v>
      </c>
      <c r="BD114" s="5"/>
      <c r="BE114" s="5"/>
      <c r="BF114" s="5"/>
      <c r="BG114" s="5"/>
      <c r="BI114" s="4" t="s">
        <v>81</v>
      </c>
      <c r="BJ114" s="4">
        <v>0.9</v>
      </c>
      <c r="BK114" s="4">
        <v>0.5</v>
      </c>
      <c r="BL114" s="4">
        <v>0.6</v>
      </c>
      <c r="BM114" s="4">
        <v>0.76</v>
      </c>
      <c r="BN114" s="4">
        <v>823.97051999999996</v>
      </c>
      <c r="BO114" s="4">
        <v>2.5000000000000001E-2</v>
      </c>
      <c r="BQ114" s="4" t="s">
        <v>81</v>
      </c>
      <c r="BR114" s="4">
        <v>0.9</v>
      </c>
      <c r="BS114" s="4">
        <v>0.5</v>
      </c>
      <c r="BT114" s="4">
        <v>0.6</v>
      </c>
      <c r="BU114" s="4">
        <v>0.31</v>
      </c>
      <c r="BV114" s="6">
        <v>712.08752400000003</v>
      </c>
      <c r="BW114" s="4">
        <v>4.0000000000000001E-3</v>
      </c>
      <c r="BX114" s="5"/>
      <c r="BY114" s="5"/>
      <c r="BZ114" s="5"/>
      <c r="CA114" s="5"/>
    </row>
    <row r="115" spans="1:79" x14ac:dyDescent="0.3">
      <c r="A115" s="4" t="s">
        <v>82</v>
      </c>
      <c r="B115" s="4">
        <v>0.9</v>
      </c>
      <c r="C115" s="4">
        <v>0.5</v>
      </c>
      <c r="D115" s="4">
        <v>0.6</v>
      </c>
      <c r="E115" s="4">
        <v>0.19</v>
      </c>
      <c r="F115" s="6">
        <v>417.25854500000003</v>
      </c>
      <c r="G115" s="4">
        <v>3.1E-2</v>
      </c>
      <c r="I115" s="4" t="s">
        <v>82</v>
      </c>
      <c r="J115" s="4">
        <v>0.9</v>
      </c>
      <c r="K115" s="4">
        <v>0.5</v>
      </c>
      <c r="L115" s="4">
        <v>0.6</v>
      </c>
      <c r="M115" s="4">
        <v>0.37</v>
      </c>
      <c r="N115" s="4">
        <v>423.14672899999999</v>
      </c>
      <c r="O115" s="4">
        <v>1E-3</v>
      </c>
      <c r="P115" s="5"/>
      <c r="Q115" s="5"/>
      <c r="R115" s="5"/>
      <c r="S115" s="5"/>
      <c r="U115" s="4" t="s">
        <v>82</v>
      </c>
      <c r="V115" s="4">
        <v>0.9</v>
      </c>
      <c r="W115" s="4">
        <v>0.5</v>
      </c>
      <c r="X115" s="4">
        <v>0.6</v>
      </c>
      <c r="Y115" s="4">
        <v>0.72</v>
      </c>
      <c r="Z115" s="4">
        <v>426.67373700000002</v>
      </c>
      <c r="AA115" s="4">
        <v>1.0999999999999999E-2</v>
      </c>
      <c r="AC115" s="4" t="s">
        <v>82</v>
      </c>
      <c r="AD115" s="4">
        <v>0.9</v>
      </c>
      <c r="AE115" s="4">
        <v>0.5</v>
      </c>
      <c r="AF115" s="4">
        <v>0.6</v>
      </c>
      <c r="AG115" s="4">
        <v>0.34</v>
      </c>
      <c r="AH115" s="6">
        <v>390.92746</v>
      </c>
      <c r="AI115" s="4">
        <v>1E-3</v>
      </c>
      <c r="AJ115" s="5"/>
      <c r="AK115" s="5"/>
      <c r="AL115" s="5"/>
      <c r="AM115" s="5"/>
      <c r="AO115" s="4" t="s">
        <v>83</v>
      </c>
      <c r="AP115" s="4">
        <v>0.9</v>
      </c>
      <c r="AQ115" s="4">
        <v>0.5</v>
      </c>
      <c r="AR115" s="4">
        <v>0.6</v>
      </c>
      <c r="AS115" s="4">
        <v>0.67</v>
      </c>
      <c r="AT115" s="4">
        <v>895.96081500000003</v>
      </c>
      <c r="AU115" s="4">
        <v>1.2999999999999999E-2</v>
      </c>
      <c r="AW115" s="4" t="s">
        <v>83</v>
      </c>
      <c r="AX115" s="4">
        <v>0.9</v>
      </c>
      <c r="AY115" s="4">
        <v>0.5</v>
      </c>
      <c r="AZ115" s="4">
        <v>0.6</v>
      </c>
      <c r="BA115" s="4">
        <v>0.33</v>
      </c>
      <c r="BB115" s="6">
        <v>764.42687999999998</v>
      </c>
      <c r="BC115" s="4">
        <v>4.0000000000000001E-3</v>
      </c>
      <c r="BD115" s="5"/>
      <c r="BE115" s="5"/>
      <c r="BF115" s="5"/>
      <c r="BG115" s="5"/>
      <c r="BI115" s="4" t="s">
        <v>83</v>
      </c>
      <c r="BJ115" s="4">
        <v>0.9</v>
      </c>
      <c r="BK115" s="4">
        <v>0.5</v>
      </c>
      <c r="BL115" s="4">
        <v>0.6</v>
      </c>
      <c r="BM115" s="4">
        <v>0.63</v>
      </c>
      <c r="BN115" s="4">
        <v>829.44146699999999</v>
      </c>
      <c r="BO115" s="4">
        <v>0.02</v>
      </c>
      <c r="BQ115" s="4" t="s">
        <v>83</v>
      </c>
      <c r="BR115" s="4">
        <v>0.9</v>
      </c>
      <c r="BS115" s="4">
        <v>0.5</v>
      </c>
      <c r="BT115" s="4">
        <v>0.6</v>
      </c>
      <c r="BU115" s="4">
        <v>0.3</v>
      </c>
      <c r="BV115" s="6">
        <v>726.19879200000003</v>
      </c>
      <c r="BW115" s="4">
        <v>4.0000000000000001E-3</v>
      </c>
      <c r="BX115" s="5"/>
      <c r="BY115" s="5"/>
      <c r="BZ115" s="5"/>
      <c r="CA115" s="5"/>
    </row>
    <row r="116" spans="1:79" x14ac:dyDescent="0.3">
      <c r="A116" s="4" t="s">
        <v>84</v>
      </c>
      <c r="B116" s="4">
        <v>0.9</v>
      </c>
      <c r="C116" s="4">
        <v>0.5</v>
      </c>
      <c r="D116" s="4">
        <v>0.6</v>
      </c>
      <c r="E116" s="4">
        <v>0.42</v>
      </c>
      <c r="F116" s="6">
        <v>550.57843000000003</v>
      </c>
      <c r="G116" s="4">
        <v>1.7000000000000001E-2</v>
      </c>
      <c r="I116" s="4" t="s">
        <v>84</v>
      </c>
      <c r="J116" s="4">
        <v>0.9</v>
      </c>
      <c r="K116" s="4">
        <v>0.5</v>
      </c>
      <c r="L116" s="4">
        <v>0.6</v>
      </c>
      <c r="M116" s="4">
        <v>0.32</v>
      </c>
      <c r="N116" s="4">
        <v>546.52374299999997</v>
      </c>
      <c r="O116" s="4">
        <v>1E-3</v>
      </c>
      <c r="P116" s="5"/>
      <c r="Q116" s="5"/>
      <c r="R116" s="5"/>
      <c r="S116" s="5"/>
      <c r="U116" s="4" t="s">
        <v>84</v>
      </c>
      <c r="V116" s="4">
        <v>0.9</v>
      </c>
      <c r="W116" s="4">
        <v>0.5</v>
      </c>
      <c r="X116" s="4">
        <v>0.6</v>
      </c>
      <c r="Y116" s="4">
        <v>0.45</v>
      </c>
      <c r="Z116" s="4">
        <v>481.64892600000002</v>
      </c>
      <c r="AA116" s="4">
        <v>7.0000000000000001E-3</v>
      </c>
      <c r="AC116" s="4" t="s">
        <v>84</v>
      </c>
      <c r="AD116" s="4">
        <v>0.9</v>
      </c>
      <c r="AE116" s="4">
        <v>0.5</v>
      </c>
      <c r="AF116" s="4">
        <v>0.6</v>
      </c>
      <c r="AG116" s="4">
        <v>0.34</v>
      </c>
      <c r="AH116" s="6">
        <v>478.70352200000002</v>
      </c>
      <c r="AI116" s="4">
        <v>1E-3</v>
      </c>
      <c r="AJ116" s="5"/>
      <c r="AK116" s="5"/>
      <c r="AL116" s="5"/>
      <c r="AM116" s="5"/>
      <c r="AO116" s="4" t="s">
        <v>85</v>
      </c>
      <c r="AP116" s="4">
        <v>0.9</v>
      </c>
      <c r="AQ116" s="4">
        <v>0.5</v>
      </c>
      <c r="AR116" s="4">
        <v>0.6</v>
      </c>
      <c r="AS116" s="4">
        <v>0.59</v>
      </c>
      <c r="AT116" s="4">
        <v>992.01812700000005</v>
      </c>
      <c r="AU116" s="4">
        <v>1.6E-2</v>
      </c>
      <c r="AW116" s="4" t="s">
        <v>85</v>
      </c>
      <c r="AX116" s="4">
        <v>0.9</v>
      </c>
      <c r="AY116" s="4">
        <v>0.5</v>
      </c>
      <c r="AZ116" s="4">
        <v>0.6</v>
      </c>
      <c r="BA116" s="4">
        <v>0.31</v>
      </c>
      <c r="BB116" s="6">
        <v>896.339294</v>
      </c>
      <c r="BC116" s="4">
        <v>4.0000000000000001E-3</v>
      </c>
      <c r="BD116" s="5"/>
      <c r="BE116" s="5"/>
      <c r="BF116" s="5"/>
      <c r="BG116" s="5"/>
      <c r="BI116" s="4" t="s">
        <v>85</v>
      </c>
      <c r="BJ116" s="4">
        <v>0.9</v>
      </c>
      <c r="BK116" s="4">
        <v>0.5</v>
      </c>
      <c r="BL116" s="4">
        <v>0.6</v>
      </c>
      <c r="BM116" s="4">
        <v>0.37</v>
      </c>
      <c r="BN116" s="4">
        <v>871.980774</v>
      </c>
      <c r="BO116" s="4">
        <v>2.1000000000000001E-2</v>
      </c>
      <c r="BQ116" s="4" t="s">
        <v>85</v>
      </c>
      <c r="BR116" s="4">
        <v>0.9</v>
      </c>
      <c r="BS116" s="4">
        <v>0.5</v>
      </c>
      <c r="BT116" s="4">
        <v>0.6</v>
      </c>
      <c r="BU116" s="4">
        <v>0.32</v>
      </c>
      <c r="BV116" s="6">
        <v>859.64386000000002</v>
      </c>
      <c r="BW116" s="4">
        <v>5.0000000000000001E-3</v>
      </c>
      <c r="BX116" s="5"/>
      <c r="BY116" s="5"/>
      <c r="BZ116" s="5"/>
      <c r="CA116" s="5"/>
    </row>
    <row r="117" spans="1:79" x14ac:dyDescent="0.3">
      <c r="A117" s="4" t="s">
        <v>86</v>
      </c>
      <c r="B117" s="4">
        <v>0.9</v>
      </c>
      <c r="C117" s="4">
        <v>0.5</v>
      </c>
      <c r="D117" s="4">
        <v>0.6</v>
      </c>
      <c r="E117" s="4">
        <v>0.23</v>
      </c>
      <c r="F117" s="6">
        <v>572.856628</v>
      </c>
      <c r="G117" s="4">
        <v>3.2000000000000001E-2</v>
      </c>
      <c r="I117" s="4" t="s">
        <v>86</v>
      </c>
      <c r="J117" s="4">
        <v>0.9</v>
      </c>
      <c r="K117" s="4">
        <v>0.5</v>
      </c>
      <c r="L117" s="4">
        <v>0.6</v>
      </c>
      <c r="M117" s="4">
        <v>0.31</v>
      </c>
      <c r="N117" s="4">
        <v>576.66253700000004</v>
      </c>
      <c r="O117" s="4">
        <v>1E-3</v>
      </c>
      <c r="P117" s="5"/>
      <c r="Q117" s="5"/>
      <c r="R117" s="5"/>
      <c r="S117" s="5"/>
      <c r="U117" s="4" t="s">
        <v>86</v>
      </c>
      <c r="V117" s="4">
        <v>0.9</v>
      </c>
      <c r="W117" s="4">
        <v>0.5</v>
      </c>
      <c r="X117" s="4">
        <v>0.6</v>
      </c>
      <c r="Y117" s="4">
        <v>0.16</v>
      </c>
      <c r="Z117" s="6">
        <v>498.71838400000001</v>
      </c>
      <c r="AA117" s="4">
        <v>6.0000000000000001E-3</v>
      </c>
      <c r="AC117" s="4" t="s">
        <v>86</v>
      </c>
      <c r="AD117" s="4">
        <v>0.9</v>
      </c>
      <c r="AE117" s="4">
        <v>0.5</v>
      </c>
      <c r="AF117" s="4">
        <v>0.6</v>
      </c>
      <c r="AG117" s="4">
        <v>0.35</v>
      </c>
      <c r="AH117" s="4">
        <v>518.72546399999999</v>
      </c>
      <c r="AI117" s="4">
        <v>1E-3</v>
      </c>
      <c r="AJ117" s="5"/>
      <c r="AK117" s="5"/>
      <c r="AL117" s="5"/>
      <c r="AM117" s="5"/>
      <c r="AO117" s="4" t="s">
        <v>87</v>
      </c>
      <c r="AP117" s="4">
        <v>0.9</v>
      </c>
      <c r="AQ117" s="4">
        <v>0.5</v>
      </c>
      <c r="AR117" s="4">
        <v>0.6</v>
      </c>
      <c r="AS117" s="4">
        <v>0.64</v>
      </c>
      <c r="AT117" s="4">
        <v>935.512024</v>
      </c>
      <c r="AU117" s="4">
        <v>2.7E-2</v>
      </c>
      <c r="AW117" s="4" t="s">
        <v>87</v>
      </c>
      <c r="AX117" s="4">
        <v>0.9</v>
      </c>
      <c r="AY117" s="4">
        <v>0.5</v>
      </c>
      <c r="AZ117" s="4">
        <v>0.6</v>
      </c>
      <c r="BA117" s="4">
        <v>0.3</v>
      </c>
      <c r="BB117" s="6">
        <v>827.04736300000002</v>
      </c>
      <c r="BC117" s="4">
        <v>5.0000000000000001E-3</v>
      </c>
      <c r="BD117" s="5"/>
      <c r="BE117" s="5"/>
      <c r="BF117" s="5"/>
      <c r="BG117" s="5"/>
      <c r="BI117" s="4" t="s">
        <v>87</v>
      </c>
      <c r="BJ117" s="4">
        <v>0.9</v>
      </c>
      <c r="BK117" s="4">
        <v>0.5</v>
      </c>
      <c r="BL117" s="4">
        <v>0.6</v>
      </c>
      <c r="BM117" s="4">
        <v>0.85</v>
      </c>
      <c r="BN117" s="4">
        <v>925.17437700000005</v>
      </c>
      <c r="BO117" s="4">
        <v>1.4999999999999999E-2</v>
      </c>
      <c r="BQ117" s="4" t="s">
        <v>87</v>
      </c>
      <c r="BR117" s="4">
        <v>0.9</v>
      </c>
      <c r="BS117" s="4">
        <v>0.5</v>
      </c>
      <c r="BT117" s="4">
        <v>0.6</v>
      </c>
      <c r="BU117" s="4">
        <v>0.31</v>
      </c>
      <c r="BV117" s="6">
        <v>755.50299099999995</v>
      </c>
      <c r="BW117" s="4">
        <v>5.0000000000000001E-3</v>
      </c>
      <c r="BX117" s="5"/>
      <c r="BY117" s="5"/>
      <c r="BZ117" s="5"/>
      <c r="CA117" s="5"/>
    </row>
    <row r="118" spans="1:79" x14ac:dyDescent="0.3">
      <c r="A118" s="4" t="s">
        <v>88</v>
      </c>
      <c r="B118" s="4">
        <v>0.9</v>
      </c>
      <c r="C118" s="4">
        <v>0.5</v>
      </c>
      <c r="D118" s="4">
        <v>0.6</v>
      </c>
      <c r="E118" s="4">
        <v>0.63</v>
      </c>
      <c r="F118" s="4">
        <v>510.97723400000001</v>
      </c>
      <c r="G118" s="4">
        <v>1.7000000000000001E-2</v>
      </c>
      <c r="I118" s="4" t="s">
        <v>88</v>
      </c>
      <c r="J118" s="4">
        <v>0.9</v>
      </c>
      <c r="K118" s="4">
        <v>0.5</v>
      </c>
      <c r="L118" s="4">
        <v>0.6</v>
      </c>
      <c r="M118" s="4">
        <v>0.31</v>
      </c>
      <c r="N118" s="6">
        <v>498.79675300000002</v>
      </c>
      <c r="O118" s="4">
        <v>0</v>
      </c>
      <c r="P118" s="5"/>
      <c r="Q118" s="5"/>
      <c r="R118" s="5"/>
      <c r="S118" s="5"/>
      <c r="U118" s="4" t="s">
        <v>88</v>
      </c>
      <c r="V118" s="4">
        <v>0.9</v>
      </c>
      <c r="W118" s="4">
        <v>0.5</v>
      </c>
      <c r="X118" s="4">
        <v>0.6</v>
      </c>
      <c r="Y118" s="4">
        <v>0.68</v>
      </c>
      <c r="Z118" s="4">
        <v>469.06451399999997</v>
      </c>
      <c r="AA118" s="4">
        <v>2.4E-2</v>
      </c>
      <c r="AC118" s="4" t="s">
        <v>88</v>
      </c>
      <c r="AD118" s="4">
        <v>0.9</v>
      </c>
      <c r="AE118" s="4">
        <v>0.5</v>
      </c>
      <c r="AF118" s="4">
        <v>0.6</v>
      </c>
      <c r="AG118" s="4">
        <v>0.31</v>
      </c>
      <c r="AH118" s="6">
        <v>443.48443600000002</v>
      </c>
      <c r="AI118" s="4">
        <v>0</v>
      </c>
      <c r="AJ118" s="5"/>
      <c r="AK118" s="5"/>
      <c r="AL118" s="5"/>
      <c r="AM118" s="5"/>
      <c r="AO118" s="4" t="s">
        <v>89</v>
      </c>
      <c r="AP118" s="4">
        <v>0.9</v>
      </c>
      <c r="AQ118" s="4">
        <v>0.5</v>
      </c>
      <c r="AR118" s="4">
        <v>0.6</v>
      </c>
      <c r="AS118" s="4">
        <v>0.44</v>
      </c>
      <c r="AT118" s="4">
        <v>877.334473</v>
      </c>
      <c r="AU118" s="4">
        <v>1.7999999999999999E-2</v>
      </c>
      <c r="AW118" s="4" t="s">
        <v>89</v>
      </c>
      <c r="AX118" s="4">
        <v>0.9</v>
      </c>
      <c r="AY118" s="4">
        <v>0.5</v>
      </c>
      <c r="AZ118" s="4">
        <v>0.6</v>
      </c>
      <c r="BA118" s="4">
        <v>0.3</v>
      </c>
      <c r="BB118" s="6">
        <v>818.80304000000001</v>
      </c>
      <c r="BC118" s="4">
        <v>5.0000000000000001E-3</v>
      </c>
      <c r="BD118" s="5"/>
      <c r="BE118" s="5"/>
      <c r="BF118" s="5"/>
      <c r="BG118" s="5"/>
      <c r="BI118" s="4" t="s">
        <v>89</v>
      </c>
      <c r="BJ118" s="4">
        <v>0.9</v>
      </c>
      <c r="BK118" s="4">
        <v>0.5</v>
      </c>
      <c r="BL118" s="4">
        <v>0.6</v>
      </c>
      <c r="BM118" s="4">
        <v>0.4</v>
      </c>
      <c r="BN118" s="4">
        <v>806.49664299999995</v>
      </c>
      <c r="BO118" s="4">
        <v>3.4000000000000002E-2</v>
      </c>
      <c r="BQ118" s="4" t="s">
        <v>89</v>
      </c>
      <c r="BR118" s="4">
        <v>0.9</v>
      </c>
      <c r="BS118" s="4">
        <v>0.5</v>
      </c>
      <c r="BT118" s="4">
        <v>0.6</v>
      </c>
      <c r="BU118" s="4">
        <v>0.3</v>
      </c>
      <c r="BV118" s="6">
        <v>784.81518600000004</v>
      </c>
      <c r="BW118" s="4">
        <v>4.0000000000000001E-3</v>
      </c>
      <c r="BX118" s="5"/>
      <c r="BY118" s="5"/>
      <c r="BZ118" s="5"/>
      <c r="CA118" s="5"/>
    </row>
    <row r="119" spans="1:79" x14ac:dyDescent="0.3">
      <c r="A119" s="4" t="s">
        <v>90</v>
      </c>
      <c r="B119" s="4">
        <v>0.9</v>
      </c>
      <c r="C119" s="4">
        <v>0.5</v>
      </c>
      <c r="D119" s="4">
        <v>0.6</v>
      </c>
      <c r="E119" s="4">
        <v>0.46</v>
      </c>
      <c r="F119" s="4">
        <v>472.17303500000003</v>
      </c>
      <c r="G119" s="4">
        <v>1.9E-2</v>
      </c>
      <c r="I119" s="4" t="s">
        <v>90</v>
      </c>
      <c r="J119" s="4">
        <v>0.9</v>
      </c>
      <c r="K119" s="4">
        <v>0.5</v>
      </c>
      <c r="L119" s="4">
        <v>0.6</v>
      </c>
      <c r="M119" s="4">
        <v>0.34</v>
      </c>
      <c r="N119" s="6">
        <v>444.79968300000002</v>
      </c>
      <c r="O119" s="4">
        <v>1E-3</v>
      </c>
      <c r="P119" s="5"/>
      <c r="Q119" s="5"/>
      <c r="R119" s="5"/>
      <c r="S119" s="5"/>
      <c r="U119" s="4" t="s">
        <v>90</v>
      </c>
      <c r="V119" s="4">
        <v>0.9</v>
      </c>
      <c r="W119" s="4">
        <v>0.5</v>
      </c>
      <c r="X119" s="4">
        <v>0.6</v>
      </c>
      <c r="Y119" s="4">
        <v>0.33</v>
      </c>
      <c r="Z119" s="4">
        <v>410.69042999999999</v>
      </c>
      <c r="AA119" s="4">
        <v>1.2999999999999999E-2</v>
      </c>
      <c r="AC119" s="4" t="s">
        <v>90</v>
      </c>
      <c r="AD119" s="4">
        <v>0.9</v>
      </c>
      <c r="AE119" s="4">
        <v>0.5</v>
      </c>
      <c r="AF119" s="4">
        <v>0.6</v>
      </c>
      <c r="AG119" s="4">
        <v>0.31</v>
      </c>
      <c r="AH119" s="6">
        <v>408.78964200000001</v>
      </c>
      <c r="AI119" s="4">
        <v>1E-3</v>
      </c>
      <c r="AJ119" s="5"/>
      <c r="AK119" s="5"/>
      <c r="AL119" s="5"/>
      <c r="AM119" s="5"/>
      <c r="AO119" s="4" t="s">
        <v>91</v>
      </c>
      <c r="AP119" s="4">
        <v>0.9</v>
      </c>
      <c r="AQ119" s="4">
        <v>0.5</v>
      </c>
      <c r="AR119" s="4">
        <v>0.6</v>
      </c>
      <c r="AS119" s="4">
        <v>0.8</v>
      </c>
      <c r="AT119" s="4">
        <v>927.08355700000004</v>
      </c>
      <c r="AU119" s="4">
        <v>2.7E-2</v>
      </c>
      <c r="AW119" s="4" t="s">
        <v>91</v>
      </c>
      <c r="AX119" s="4">
        <v>0.9</v>
      </c>
      <c r="AY119" s="4">
        <v>0.5</v>
      </c>
      <c r="AZ119" s="4">
        <v>0.6</v>
      </c>
      <c r="BA119" s="4">
        <v>0.3</v>
      </c>
      <c r="BB119" s="6">
        <v>827.49511700000005</v>
      </c>
      <c r="BC119" s="4">
        <v>6.0000000000000001E-3</v>
      </c>
      <c r="BD119" s="5"/>
      <c r="BE119" s="5"/>
      <c r="BF119" s="5"/>
      <c r="BG119" s="5"/>
      <c r="BI119" s="4" t="s">
        <v>91</v>
      </c>
      <c r="BJ119" s="4">
        <v>0.9</v>
      </c>
      <c r="BK119" s="4">
        <v>0.5</v>
      </c>
      <c r="BL119" s="4">
        <v>0.6</v>
      </c>
      <c r="BM119" s="4">
        <v>0.93</v>
      </c>
      <c r="BN119" s="4">
        <v>863.13708499999996</v>
      </c>
      <c r="BO119" s="4">
        <v>0.06</v>
      </c>
      <c r="BQ119" s="4" t="s">
        <v>91</v>
      </c>
      <c r="BR119" s="4">
        <v>0.9</v>
      </c>
      <c r="BS119" s="4">
        <v>0.5</v>
      </c>
      <c r="BT119" s="4">
        <v>0.6</v>
      </c>
      <c r="BU119" s="4">
        <v>0.3</v>
      </c>
      <c r="BV119" s="6">
        <v>762.36230499999999</v>
      </c>
      <c r="BW119" s="4">
        <v>4.0000000000000001E-3</v>
      </c>
      <c r="BX119" s="5"/>
      <c r="BY119" s="5"/>
      <c r="BZ119" s="5"/>
      <c r="CA119" s="5"/>
    </row>
    <row r="120" spans="1:79" x14ac:dyDescent="0.3">
      <c r="A120" s="4" t="s">
        <v>92</v>
      </c>
      <c r="B120" s="4">
        <v>0.9</v>
      </c>
      <c r="C120" s="4">
        <v>0.5</v>
      </c>
      <c r="D120" s="4">
        <v>0.6</v>
      </c>
      <c r="E120" s="4">
        <v>0.19</v>
      </c>
      <c r="F120" s="6">
        <v>557.04998799999998</v>
      </c>
      <c r="G120" s="4">
        <v>3.1E-2</v>
      </c>
      <c r="I120" s="4" t="s">
        <v>92</v>
      </c>
      <c r="J120" s="4">
        <v>0.9</v>
      </c>
      <c r="K120" s="4">
        <v>0.5</v>
      </c>
      <c r="L120" s="4">
        <v>0.6</v>
      </c>
      <c r="M120" s="4">
        <v>0.31</v>
      </c>
      <c r="N120" s="4">
        <v>563.186646</v>
      </c>
      <c r="O120" s="4">
        <v>1E-3</v>
      </c>
      <c r="P120" s="5"/>
      <c r="Q120" s="5"/>
      <c r="R120" s="5"/>
      <c r="S120" s="5"/>
      <c r="U120" s="4" t="s">
        <v>92</v>
      </c>
      <c r="V120" s="4">
        <v>0.9</v>
      </c>
      <c r="W120" s="4">
        <v>0.5</v>
      </c>
      <c r="X120" s="4">
        <v>0.6</v>
      </c>
      <c r="Y120" s="4">
        <v>0.51</v>
      </c>
      <c r="Z120" s="4">
        <v>533.48028599999998</v>
      </c>
      <c r="AA120" s="4">
        <v>2.3E-2</v>
      </c>
      <c r="AC120" s="4" t="s">
        <v>92</v>
      </c>
      <c r="AD120" s="4">
        <v>0.9</v>
      </c>
      <c r="AE120" s="4">
        <v>0.5</v>
      </c>
      <c r="AF120" s="4">
        <v>0.6</v>
      </c>
      <c r="AG120" s="4">
        <v>0.33</v>
      </c>
      <c r="AH120" s="6">
        <v>490.313782</v>
      </c>
      <c r="AI120" s="4">
        <v>1E-3</v>
      </c>
      <c r="AJ120" s="5"/>
      <c r="AK120" s="5"/>
      <c r="AL120" s="5"/>
      <c r="AM120" s="5"/>
      <c r="AO120" s="4" t="s">
        <v>93</v>
      </c>
      <c r="AP120" s="4">
        <v>0.9</v>
      </c>
      <c r="AQ120" s="4">
        <v>0.5</v>
      </c>
      <c r="AR120" s="4">
        <v>0.6</v>
      </c>
      <c r="AS120" s="4">
        <v>0.5</v>
      </c>
      <c r="AT120" s="4">
        <v>845.10455300000001</v>
      </c>
      <c r="AU120" s="4">
        <v>1.4999999999999999E-2</v>
      </c>
      <c r="AW120" s="4" t="s">
        <v>93</v>
      </c>
      <c r="AX120" s="4">
        <v>0.9</v>
      </c>
      <c r="AY120" s="4">
        <v>0.5</v>
      </c>
      <c r="AZ120" s="4">
        <v>0.6</v>
      </c>
      <c r="BA120" s="4">
        <v>0.31</v>
      </c>
      <c r="BB120" s="6">
        <v>758.79504399999996</v>
      </c>
      <c r="BC120" s="4">
        <v>4.0000000000000001E-3</v>
      </c>
      <c r="BD120" s="5"/>
      <c r="BE120" s="5"/>
      <c r="BF120" s="5"/>
      <c r="BG120" s="5"/>
      <c r="BI120" s="4" t="s">
        <v>93</v>
      </c>
      <c r="BJ120" s="4">
        <v>0.9</v>
      </c>
      <c r="BK120" s="4">
        <v>0.5</v>
      </c>
      <c r="BL120" s="4">
        <v>0.6</v>
      </c>
      <c r="BM120" s="4">
        <v>0.24</v>
      </c>
      <c r="BN120" s="6">
        <v>678.06921399999999</v>
      </c>
      <c r="BO120" s="4">
        <v>4.7E-2</v>
      </c>
      <c r="BQ120" s="4" t="s">
        <v>93</v>
      </c>
      <c r="BR120" s="4">
        <v>0.9</v>
      </c>
      <c r="BS120" s="4">
        <v>0.5</v>
      </c>
      <c r="BT120" s="4">
        <v>0.6</v>
      </c>
      <c r="BU120" s="4">
        <v>0.3</v>
      </c>
      <c r="BV120" s="4">
        <v>719.65856900000006</v>
      </c>
      <c r="BW120" s="4">
        <v>4.0000000000000001E-3</v>
      </c>
      <c r="BX120" s="5"/>
      <c r="BY120" s="5"/>
      <c r="BZ120" s="5"/>
      <c r="CA120" s="5"/>
    </row>
    <row r="121" spans="1:79" x14ac:dyDescent="0.3">
      <c r="A121" s="4" t="s">
        <v>94</v>
      </c>
      <c r="B121" s="4">
        <v>0.9</v>
      </c>
      <c r="C121" s="4">
        <v>0.5</v>
      </c>
      <c r="D121" s="4">
        <v>0.6</v>
      </c>
      <c r="E121" s="4">
        <v>0.01</v>
      </c>
      <c r="F121" s="6">
        <v>432.20474200000001</v>
      </c>
      <c r="G121" s="4">
        <v>2.5999999999999999E-2</v>
      </c>
      <c r="I121" s="4" t="s">
        <v>94</v>
      </c>
      <c r="J121" s="4">
        <v>0.9</v>
      </c>
      <c r="K121" s="4">
        <v>0.5</v>
      </c>
      <c r="L121" s="4">
        <v>0.6</v>
      </c>
      <c r="M121" s="4">
        <v>0.32</v>
      </c>
      <c r="N121" s="4">
        <v>462.340057</v>
      </c>
      <c r="O121" s="4">
        <v>1E-3</v>
      </c>
      <c r="P121" s="5"/>
      <c r="Q121" s="5"/>
      <c r="R121" s="5"/>
      <c r="S121" s="5"/>
      <c r="U121" s="4" t="s">
        <v>94</v>
      </c>
      <c r="V121" s="4">
        <v>0.9</v>
      </c>
      <c r="W121" s="4">
        <v>0.5</v>
      </c>
      <c r="X121" s="4">
        <v>0.6</v>
      </c>
      <c r="Y121" s="4">
        <v>0.6</v>
      </c>
      <c r="Z121" s="4">
        <v>525.42260699999997</v>
      </c>
      <c r="AA121" s="4">
        <v>1.9E-2</v>
      </c>
      <c r="AC121" s="4" t="s">
        <v>94</v>
      </c>
      <c r="AD121" s="4">
        <v>0.9</v>
      </c>
      <c r="AE121" s="4">
        <v>0.5</v>
      </c>
      <c r="AF121" s="4">
        <v>0.6</v>
      </c>
      <c r="AG121" s="4">
        <v>0.31</v>
      </c>
      <c r="AH121" s="6">
        <v>441.841339</v>
      </c>
      <c r="AI121" s="4">
        <v>1E-3</v>
      </c>
      <c r="AJ121" s="5"/>
      <c r="AK121" s="5"/>
      <c r="AL121" s="5"/>
      <c r="AM121" s="5"/>
      <c r="AO121" s="4" t="s">
        <v>95</v>
      </c>
      <c r="AP121" s="4">
        <v>0.9</v>
      </c>
      <c r="AQ121" s="4">
        <v>0.5</v>
      </c>
      <c r="AR121" s="4">
        <v>0.6</v>
      </c>
      <c r="AS121" s="4">
        <v>0.78</v>
      </c>
      <c r="AT121" s="4">
        <v>998.17034899999999</v>
      </c>
      <c r="AU121" s="4">
        <v>1.4E-2</v>
      </c>
      <c r="AW121" s="4" t="s">
        <v>95</v>
      </c>
      <c r="AX121" s="4">
        <v>0.9</v>
      </c>
      <c r="AY121" s="4">
        <v>0.5</v>
      </c>
      <c r="AZ121" s="4">
        <v>0.6</v>
      </c>
      <c r="BA121" s="4">
        <v>0.32</v>
      </c>
      <c r="BB121" s="6">
        <v>846.48864700000001</v>
      </c>
      <c r="BC121" s="4">
        <v>5.0000000000000001E-3</v>
      </c>
      <c r="BD121" s="5"/>
      <c r="BE121" s="5"/>
      <c r="BF121" s="5"/>
      <c r="BG121" s="5"/>
      <c r="BI121" s="4" t="s">
        <v>95</v>
      </c>
      <c r="BJ121" s="4">
        <v>0.9</v>
      </c>
      <c r="BK121" s="4">
        <v>0.5</v>
      </c>
      <c r="BL121" s="4">
        <v>0.6</v>
      </c>
      <c r="BM121" s="4">
        <v>0.74</v>
      </c>
      <c r="BN121" s="4">
        <v>978.29187000000002</v>
      </c>
      <c r="BO121" s="4">
        <v>3.6999999999999998E-2</v>
      </c>
      <c r="BQ121" s="4" t="s">
        <v>95</v>
      </c>
      <c r="BR121" s="4">
        <v>0.9</v>
      </c>
      <c r="BS121" s="4">
        <v>0.5</v>
      </c>
      <c r="BT121" s="4">
        <v>0.6</v>
      </c>
      <c r="BU121" s="4">
        <v>0.3</v>
      </c>
      <c r="BV121" s="6">
        <v>820.42718500000001</v>
      </c>
      <c r="BW121" s="4">
        <v>5.0000000000000001E-3</v>
      </c>
      <c r="BX121" s="5"/>
      <c r="BY121" s="5"/>
      <c r="BZ121" s="5"/>
      <c r="CA121" s="5"/>
    </row>
    <row r="122" spans="1:79" x14ac:dyDescent="0.3">
      <c r="A122" s="4" t="s">
        <v>96</v>
      </c>
      <c r="B122" s="4">
        <v>0.9</v>
      </c>
      <c r="C122" s="4">
        <v>0.5</v>
      </c>
      <c r="D122" s="4">
        <v>0.6</v>
      </c>
      <c r="E122" s="4">
        <v>0.21</v>
      </c>
      <c r="F122" s="6">
        <v>575.90270999999996</v>
      </c>
      <c r="G122" s="4">
        <v>8.0000000000000002E-3</v>
      </c>
      <c r="I122" s="4" t="s">
        <v>96</v>
      </c>
      <c r="J122" s="4">
        <v>0.9</v>
      </c>
      <c r="K122" s="4">
        <v>0.5</v>
      </c>
      <c r="L122" s="4">
        <v>0.6</v>
      </c>
      <c r="M122" s="4">
        <v>0.33</v>
      </c>
      <c r="N122" s="4">
        <v>583.15667699999995</v>
      </c>
      <c r="O122" s="4">
        <v>1E-3</v>
      </c>
      <c r="P122" s="5"/>
      <c r="Q122" s="5"/>
      <c r="R122" s="5"/>
      <c r="S122" s="5"/>
      <c r="U122" s="4" t="s">
        <v>96</v>
      </c>
      <c r="V122" s="4">
        <v>0.9</v>
      </c>
      <c r="W122" s="4">
        <v>0.5</v>
      </c>
      <c r="X122" s="4">
        <v>0.6</v>
      </c>
      <c r="Y122" s="4">
        <v>0.88</v>
      </c>
      <c r="Z122" s="4">
        <v>643.59765600000003</v>
      </c>
      <c r="AA122" s="4">
        <v>8.0000000000000002E-3</v>
      </c>
      <c r="AC122" s="4" t="s">
        <v>96</v>
      </c>
      <c r="AD122" s="4">
        <v>0.9</v>
      </c>
      <c r="AE122" s="4">
        <v>0.5</v>
      </c>
      <c r="AF122" s="4">
        <v>0.6</v>
      </c>
      <c r="AG122" s="4">
        <v>0.3</v>
      </c>
      <c r="AH122" s="6">
        <v>559.05523700000003</v>
      </c>
      <c r="AI122" s="4">
        <v>1E-3</v>
      </c>
      <c r="AJ122" s="5"/>
      <c r="AK122" s="5"/>
      <c r="AL122" s="5"/>
      <c r="AM122" s="5"/>
      <c r="AO122" s="4" t="s">
        <v>97</v>
      </c>
      <c r="AP122" s="4">
        <v>0.9</v>
      </c>
      <c r="AQ122" s="4">
        <v>0.5</v>
      </c>
      <c r="AR122" s="4">
        <v>0.6</v>
      </c>
      <c r="AS122" s="4">
        <v>0.65</v>
      </c>
      <c r="AT122" s="4">
        <v>1081.380371</v>
      </c>
      <c r="AU122" s="4">
        <v>0.01</v>
      </c>
      <c r="AW122" s="4" t="s">
        <v>97</v>
      </c>
      <c r="AX122" s="4">
        <v>0.9</v>
      </c>
      <c r="AY122" s="4">
        <v>0.5</v>
      </c>
      <c r="AZ122" s="4">
        <v>0.6</v>
      </c>
      <c r="BA122" s="4">
        <v>0.3</v>
      </c>
      <c r="BB122" s="6">
        <v>966.325378</v>
      </c>
      <c r="BC122" s="4">
        <v>5.0000000000000001E-3</v>
      </c>
      <c r="BD122" s="5"/>
      <c r="BE122" s="5"/>
      <c r="BF122" s="5"/>
      <c r="BG122" s="5"/>
      <c r="BI122" s="4" t="s">
        <v>97</v>
      </c>
      <c r="BJ122" s="4">
        <v>0.9</v>
      </c>
      <c r="BK122" s="4">
        <v>0.5</v>
      </c>
      <c r="BL122" s="4">
        <v>0.6</v>
      </c>
      <c r="BM122" s="4">
        <v>0.99</v>
      </c>
      <c r="BN122" s="4">
        <v>1090.6735839999999</v>
      </c>
      <c r="BO122" s="4">
        <v>1.7999999999999999E-2</v>
      </c>
      <c r="BQ122" s="4" t="s">
        <v>97</v>
      </c>
      <c r="BR122" s="4">
        <v>0.9</v>
      </c>
      <c r="BS122" s="4">
        <v>0.5</v>
      </c>
      <c r="BT122" s="4">
        <v>0.6</v>
      </c>
      <c r="BU122" s="4">
        <v>0.3</v>
      </c>
      <c r="BV122" s="6">
        <v>946.75286900000003</v>
      </c>
      <c r="BW122" s="4">
        <v>5.0000000000000001E-3</v>
      </c>
      <c r="BX122" s="5"/>
      <c r="BY122" s="5"/>
      <c r="BZ122" s="5"/>
      <c r="CA122" s="5"/>
    </row>
    <row r="123" spans="1:79" x14ac:dyDescent="0.3">
      <c r="A123" s="4" t="s">
        <v>98</v>
      </c>
      <c r="B123" s="4">
        <v>0.9</v>
      </c>
      <c r="C123" s="4">
        <v>0.5</v>
      </c>
      <c r="D123" s="4">
        <v>0.6</v>
      </c>
      <c r="E123" s="4">
        <v>0.91</v>
      </c>
      <c r="F123" s="4">
        <v>592.31890899999996</v>
      </c>
      <c r="G123" s="4">
        <v>1.4999999999999999E-2</v>
      </c>
      <c r="I123" s="4" t="s">
        <v>98</v>
      </c>
      <c r="J123" s="4">
        <v>0.9</v>
      </c>
      <c r="K123" s="4">
        <v>0.5</v>
      </c>
      <c r="L123" s="4">
        <v>0.6</v>
      </c>
      <c r="M123" s="4">
        <v>0.35</v>
      </c>
      <c r="N123" s="6">
        <v>474.41699199999999</v>
      </c>
      <c r="O123" s="4">
        <v>1E-3</v>
      </c>
      <c r="P123" s="5"/>
      <c r="Q123" s="5"/>
      <c r="R123" s="5"/>
      <c r="S123" s="5"/>
      <c r="U123" s="4" t="s">
        <v>98</v>
      </c>
      <c r="V123" s="4">
        <v>0.9</v>
      </c>
      <c r="W123" s="4">
        <v>0.5</v>
      </c>
      <c r="X123" s="4">
        <v>0.6</v>
      </c>
      <c r="Y123" s="4">
        <v>0.59</v>
      </c>
      <c r="Z123" s="4">
        <v>500.13116500000001</v>
      </c>
      <c r="AA123" s="4">
        <v>1.4999999999999999E-2</v>
      </c>
      <c r="AC123" s="4" t="s">
        <v>98</v>
      </c>
      <c r="AD123" s="4">
        <v>0.9</v>
      </c>
      <c r="AE123" s="4">
        <v>0.5</v>
      </c>
      <c r="AF123" s="4">
        <v>0.6</v>
      </c>
      <c r="AG123" s="4">
        <v>0.35</v>
      </c>
      <c r="AH123" s="6">
        <v>440.73159800000002</v>
      </c>
      <c r="AI123" s="4">
        <v>1E-3</v>
      </c>
      <c r="AJ123" s="5"/>
      <c r="AK123" s="5"/>
      <c r="AL123" s="5"/>
      <c r="AM123" s="5"/>
      <c r="AO123" s="4" t="s">
        <v>99</v>
      </c>
      <c r="AP123" s="4">
        <v>0.9</v>
      </c>
      <c r="AQ123" s="4">
        <v>0.5</v>
      </c>
      <c r="AR123" s="4">
        <v>0.6</v>
      </c>
      <c r="AS123" s="4">
        <v>0.23</v>
      </c>
      <c r="AT123" s="6">
        <v>882.39019800000005</v>
      </c>
      <c r="AU123" s="4">
        <v>1.0999999999999999E-2</v>
      </c>
      <c r="AW123" s="4" t="s">
        <v>99</v>
      </c>
      <c r="AX123" s="4">
        <v>0.9</v>
      </c>
      <c r="AY123" s="4">
        <v>0.5</v>
      </c>
      <c r="AZ123" s="4">
        <v>0.6</v>
      </c>
      <c r="BA123" s="4">
        <v>0.36</v>
      </c>
      <c r="BB123" s="4">
        <v>951.66296399999999</v>
      </c>
      <c r="BC123" s="4">
        <v>5.0000000000000001E-3</v>
      </c>
      <c r="BD123" s="5"/>
      <c r="BE123" s="5"/>
      <c r="BF123" s="5"/>
      <c r="BG123" s="5"/>
      <c r="BI123" s="4" t="s">
        <v>99</v>
      </c>
      <c r="BJ123" s="4">
        <v>0.9</v>
      </c>
      <c r="BK123" s="4">
        <v>0.5</v>
      </c>
      <c r="BL123" s="4">
        <v>0.6</v>
      </c>
      <c r="BM123" s="4">
        <v>0.14000000000000001</v>
      </c>
      <c r="BN123" s="6">
        <v>756.57391399999995</v>
      </c>
      <c r="BO123" s="4">
        <v>3.1E-2</v>
      </c>
      <c r="BQ123" s="4" t="s">
        <v>99</v>
      </c>
      <c r="BR123" s="4">
        <v>0.9</v>
      </c>
      <c r="BS123" s="4">
        <v>0.5</v>
      </c>
      <c r="BT123" s="4">
        <v>0.6</v>
      </c>
      <c r="BU123" s="4">
        <v>0.33</v>
      </c>
      <c r="BV123" s="4">
        <v>884.21148700000003</v>
      </c>
      <c r="BW123" s="4">
        <v>5.0000000000000001E-3</v>
      </c>
      <c r="BX123" s="5"/>
      <c r="BY123" s="5"/>
      <c r="BZ123" s="5"/>
      <c r="CA123" s="5"/>
    </row>
    <row r="124" spans="1:79" x14ac:dyDescent="0.3">
      <c r="A124" s="4" t="s">
        <v>100</v>
      </c>
      <c r="B124" s="4">
        <v>0.9</v>
      </c>
      <c r="C124" s="4">
        <v>0.5</v>
      </c>
      <c r="D124" s="4">
        <v>0.6</v>
      </c>
      <c r="E124" s="4">
        <v>0.35</v>
      </c>
      <c r="F124" s="4">
        <v>621.20977800000003</v>
      </c>
      <c r="G124" s="4">
        <v>1.4999999999999999E-2</v>
      </c>
      <c r="I124" s="4" t="s">
        <v>100</v>
      </c>
      <c r="J124" s="4">
        <v>0.9</v>
      </c>
      <c r="K124" s="4">
        <v>0.5</v>
      </c>
      <c r="L124" s="4">
        <v>0.6</v>
      </c>
      <c r="M124" s="4">
        <v>0.3</v>
      </c>
      <c r="N124" s="6">
        <v>610.109375</v>
      </c>
      <c r="O124" s="4">
        <v>2E-3</v>
      </c>
      <c r="P124" s="5"/>
      <c r="Q124" s="5"/>
      <c r="R124" s="5"/>
      <c r="S124" s="5"/>
      <c r="U124" s="4" t="s">
        <v>100</v>
      </c>
      <c r="V124" s="4">
        <v>0.9</v>
      </c>
      <c r="W124" s="4">
        <v>0.5</v>
      </c>
      <c r="X124" s="4">
        <v>0.6</v>
      </c>
      <c r="Y124" s="4">
        <v>0.61</v>
      </c>
      <c r="Z124" s="4">
        <v>664.019409</v>
      </c>
      <c r="AA124" s="4">
        <v>0.01</v>
      </c>
      <c r="AC124" s="4" t="s">
        <v>100</v>
      </c>
      <c r="AD124" s="4">
        <v>0.9</v>
      </c>
      <c r="AE124" s="4">
        <v>0.5</v>
      </c>
      <c r="AF124" s="4">
        <v>0.6</v>
      </c>
      <c r="AG124" s="4">
        <v>0.31</v>
      </c>
      <c r="AH124" s="6">
        <v>611.44476299999997</v>
      </c>
      <c r="AI124" s="4">
        <v>1E-3</v>
      </c>
      <c r="AJ124" s="5"/>
      <c r="AK124" s="5"/>
      <c r="AL124" s="5"/>
      <c r="AM124" s="5"/>
      <c r="AO124" s="4" t="s">
        <v>101</v>
      </c>
      <c r="AP124" s="4">
        <v>0.9</v>
      </c>
      <c r="AQ124" s="4">
        <v>0.5</v>
      </c>
      <c r="AR124" s="4">
        <v>0.6</v>
      </c>
      <c r="AS124" s="4">
        <v>0.65</v>
      </c>
      <c r="AT124" s="4">
        <v>970.76611300000002</v>
      </c>
      <c r="AU124" s="4">
        <v>1.2E-2</v>
      </c>
      <c r="AW124" s="4" t="s">
        <v>101</v>
      </c>
      <c r="AX124" s="4">
        <v>0.9</v>
      </c>
      <c r="AY124" s="4">
        <v>0.5</v>
      </c>
      <c r="AZ124" s="4">
        <v>0.6</v>
      </c>
      <c r="BA124" s="4">
        <v>0.34</v>
      </c>
      <c r="BB124" s="6">
        <v>847.98498500000005</v>
      </c>
      <c r="BC124" s="4">
        <v>5.0000000000000001E-3</v>
      </c>
      <c r="BD124" s="5"/>
      <c r="BE124" s="5"/>
      <c r="BF124" s="5"/>
      <c r="BG124" s="5"/>
      <c r="BI124" s="4" t="s">
        <v>101</v>
      </c>
      <c r="BJ124" s="4">
        <v>0.9</v>
      </c>
      <c r="BK124" s="4">
        <v>0.5</v>
      </c>
      <c r="BL124" s="4">
        <v>0.6</v>
      </c>
      <c r="BM124" s="4">
        <v>0.65</v>
      </c>
      <c r="BN124" s="4">
        <v>980.95135500000004</v>
      </c>
      <c r="BO124" s="4">
        <v>2.1000000000000001E-2</v>
      </c>
      <c r="BQ124" s="4" t="s">
        <v>101</v>
      </c>
      <c r="BR124" s="4">
        <v>0.9</v>
      </c>
      <c r="BS124" s="4">
        <v>0.5</v>
      </c>
      <c r="BT124" s="4">
        <v>0.6</v>
      </c>
      <c r="BU124" s="4">
        <v>0.31</v>
      </c>
      <c r="BV124" s="6">
        <v>798.69805899999994</v>
      </c>
      <c r="BW124" s="4">
        <v>4.0000000000000001E-3</v>
      </c>
      <c r="BX124" s="5"/>
      <c r="BY124" s="5"/>
      <c r="BZ124" s="5"/>
      <c r="CA124" s="5"/>
    </row>
    <row r="125" spans="1:79" x14ac:dyDescent="0.3">
      <c r="A125" s="4" t="s">
        <v>102</v>
      </c>
      <c r="B125" s="4">
        <v>0.9</v>
      </c>
      <c r="C125" s="4">
        <v>0.5</v>
      </c>
      <c r="D125" s="4">
        <v>0.6</v>
      </c>
      <c r="E125" s="4">
        <v>0.18</v>
      </c>
      <c r="F125" s="6">
        <v>596.16888400000005</v>
      </c>
      <c r="G125" s="4">
        <v>1.2999999999999999E-2</v>
      </c>
      <c r="I125" s="4" t="s">
        <v>102</v>
      </c>
      <c r="J125" s="4">
        <v>0.9</v>
      </c>
      <c r="K125" s="4">
        <v>0.5</v>
      </c>
      <c r="L125" s="4">
        <v>0.6</v>
      </c>
      <c r="M125" s="4">
        <v>0.32</v>
      </c>
      <c r="N125" s="4">
        <v>612.33050500000002</v>
      </c>
      <c r="O125" s="4">
        <v>1E-3</v>
      </c>
      <c r="P125" s="5"/>
      <c r="Q125" s="5"/>
      <c r="R125" s="5"/>
      <c r="S125" s="5"/>
      <c r="U125" s="4" t="s">
        <v>102</v>
      </c>
      <c r="V125" s="4">
        <v>0.9</v>
      </c>
      <c r="W125" s="4">
        <v>0.5</v>
      </c>
      <c r="X125" s="4">
        <v>0.6</v>
      </c>
      <c r="Y125" s="4">
        <v>0.96</v>
      </c>
      <c r="Z125" s="4">
        <v>688.150757</v>
      </c>
      <c r="AA125" s="4">
        <v>1.2999999999999999E-2</v>
      </c>
      <c r="AC125" s="4" t="s">
        <v>102</v>
      </c>
      <c r="AD125" s="4">
        <v>0.9</v>
      </c>
      <c r="AE125" s="4">
        <v>0.5</v>
      </c>
      <c r="AF125" s="4">
        <v>0.6</v>
      </c>
      <c r="AG125" s="4">
        <v>0.34</v>
      </c>
      <c r="AH125" s="6">
        <v>593.92486599999995</v>
      </c>
      <c r="AI125" s="4">
        <v>1E-3</v>
      </c>
      <c r="AJ125" s="5"/>
      <c r="AK125" s="5"/>
      <c r="AL125" s="5"/>
      <c r="AM125" s="5"/>
      <c r="AO125" s="4" t="s">
        <v>103</v>
      </c>
      <c r="AP125" s="4">
        <v>0.9</v>
      </c>
      <c r="AQ125" s="4">
        <v>0.5</v>
      </c>
      <c r="AR125" s="4">
        <v>0.6</v>
      </c>
      <c r="AS125" s="4">
        <v>0.94</v>
      </c>
      <c r="AT125" s="4">
        <v>1016.879944</v>
      </c>
      <c r="AU125" s="4">
        <v>1.7000000000000001E-2</v>
      </c>
      <c r="AW125" s="4" t="s">
        <v>103</v>
      </c>
      <c r="AX125" s="4">
        <v>0.9</v>
      </c>
      <c r="AY125" s="4">
        <v>0.5</v>
      </c>
      <c r="AZ125" s="4">
        <v>0.6</v>
      </c>
      <c r="BA125" s="4">
        <v>0.32</v>
      </c>
      <c r="BB125" s="6">
        <v>883.11364700000001</v>
      </c>
      <c r="BC125" s="4">
        <v>5.0000000000000001E-3</v>
      </c>
      <c r="BD125" s="5"/>
      <c r="BE125" s="5"/>
      <c r="BF125" s="5"/>
      <c r="BG125" s="5"/>
      <c r="BI125" s="4" t="s">
        <v>103</v>
      </c>
      <c r="BJ125" s="4">
        <v>0.9</v>
      </c>
      <c r="BK125" s="4">
        <v>0.5</v>
      </c>
      <c r="BL125" s="4">
        <v>0.6</v>
      </c>
      <c r="BM125" s="4">
        <v>0.39</v>
      </c>
      <c r="BN125" s="4">
        <v>897.47271699999999</v>
      </c>
      <c r="BO125" s="4">
        <v>1.4999999999999999E-2</v>
      </c>
      <c r="BQ125" s="4" t="s">
        <v>103</v>
      </c>
      <c r="BR125" s="4">
        <v>0.9</v>
      </c>
      <c r="BS125" s="4">
        <v>0.5</v>
      </c>
      <c r="BT125" s="4">
        <v>0.6</v>
      </c>
      <c r="BU125" s="4">
        <v>0.3</v>
      </c>
      <c r="BV125" s="6">
        <v>830.97644000000003</v>
      </c>
      <c r="BW125" s="4">
        <v>4.0000000000000001E-3</v>
      </c>
      <c r="BX125" s="5"/>
      <c r="BY125" s="5"/>
      <c r="BZ125" s="5"/>
      <c r="CA125" s="5"/>
    </row>
    <row r="126" spans="1:79" x14ac:dyDescent="0.3">
      <c r="A126" s="4" t="s">
        <v>104</v>
      </c>
      <c r="B126" s="4">
        <v>0.9</v>
      </c>
      <c r="C126" s="4">
        <v>0.5</v>
      </c>
      <c r="D126" s="4">
        <v>0.6</v>
      </c>
      <c r="E126" s="4">
        <v>0.82</v>
      </c>
      <c r="F126" s="4">
        <v>681.259277</v>
      </c>
      <c r="G126" s="4">
        <v>0.01</v>
      </c>
      <c r="I126" s="4" t="s">
        <v>104</v>
      </c>
      <c r="J126" s="4">
        <v>0.9</v>
      </c>
      <c r="K126" s="4">
        <v>0.5</v>
      </c>
      <c r="L126" s="4">
        <v>0.6</v>
      </c>
      <c r="M126" s="4">
        <v>0.34</v>
      </c>
      <c r="N126" s="6">
        <v>601.25073199999997</v>
      </c>
      <c r="O126" s="4">
        <v>1E-3</v>
      </c>
      <c r="P126" s="5"/>
      <c r="Q126" s="5"/>
      <c r="R126" s="5"/>
      <c r="S126" s="5"/>
      <c r="U126" s="4" t="s">
        <v>104</v>
      </c>
      <c r="V126" s="4">
        <v>0.9</v>
      </c>
      <c r="W126" s="4">
        <v>0.5</v>
      </c>
      <c r="X126" s="4">
        <v>0.6</v>
      </c>
      <c r="Y126" s="4">
        <v>0.39</v>
      </c>
      <c r="Z126" s="4">
        <v>603.65136700000005</v>
      </c>
      <c r="AA126" s="4">
        <v>8.9999999999999993E-3</v>
      </c>
      <c r="AC126" s="4" t="s">
        <v>104</v>
      </c>
      <c r="AD126" s="4">
        <v>0.9</v>
      </c>
      <c r="AE126" s="4">
        <v>0.5</v>
      </c>
      <c r="AF126" s="4">
        <v>0.6</v>
      </c>
      <c r="AG126" s="4">
        <v>0.52</v>
      </c>
      <c r="AH126" s="6">
        <v>593.38348399999995</v>
      </c>
      <c r="AI126" s="4">
        <v>1E-3</v>
      </c>
      <c r="AJ126" s="5"/>
      <c r="AK126" s="5"/>
      <c r="AL126" s="5"/>
      <c r="AM126" s="5"/>
      <c r="AO126" s="4" t="s">
        <v>105</v>
      </c>
      <c r="AP126" s="4">
        <v>0.9</v>
      </c>
      <c r="AQ126" s="4">
        <v>0.5</v>
      </c>
      <c r="AR126" s="4">
        <v>0.6</v>
      </c>
      <c r="AS126" s="4">
        <v>0.37</v>
      </c>
      <c r="AT126" s="4">
        <v>1012.917419</v>
      </c>
      <c r="AU126" s="4">
        <v>2.7E-2</v>
      </c>
      <c r="AW126" s="4" t="s">
        <v>105</v>
      </c>
      <c r="AX126" s="4">
        <v>0.9</v>
      </c>
      <c r="AY126" s="4">
        <v>0.5</v>
      </c>
      <c r="AZ126" s="4">
        <v>0.6</v>
      </c>
      <c r="BA126" s="4">
        <v>0.31</v>
      </c>
      <c r="BB126" s="6">
        <v>995.50012200000003</v>
      </c>
      <c r="BC126" s="4">
        <v>6.0000000000000001E-3</v>
      </c>
      <c r="BD126" s="5"/>
      <c r="BE126" s="5"/>
      <c r="BF126" s="5"/>
      <c r="BG126" s="5"/>
      <c r="BI126" s="4" t="s">
        <v>105</v>
      </c>
      <c r="BJ126" s="4">
        <v>0.9</v>
      </c>
      <c r="BK126" s="4">
        <v>0.5</v>
      </c>
      <c r="BL126" s="4">
        <v>0.6</v>
      </c>
      <c r="BM126" s="4">
        <v>0.08</v>
      </c>
      <c r="BN126" s="6">
        <v>771.94293200000004</v>
      </c>
      <c r="BO126" s="4">
        <v>0.03</v>
      </c>
      <c r="BQ126" s="4" t="s">
        <v>105</v>
      </c>
      <c r="BR126" s="4">
        <v>0.9</v>
      </c>
      <c r="BS126" s="4">
        <v>0.5</v>
      </c>
      <c r="BT126" s="4">
        <v>0.6</v>
      </c>
      <c r="BU126" s="4">
        <v>0.33</v>
      </c>
      <c r="BV126" s="4">
        <v>951.48577899999998</v>
      </c>
      <c r="BW126" s="4">
        <v>5.0000000000000001E-3</v>
      </c>
      <c r="BX126" s="5"/>
      <c r="BY126" s="5"/>
      <c r="BZ126" s="5"/>
      <c r="CA126" s="5"/>
    </row>
    <row r="127" spans="1:79" x14ac:dyDescent="0.3">
      <c r="A127" s="4" t="s">
        <v>106</v>
      </c>
      <c r="B127" s="4">
        <v>0.9</v>
      </c>
      <c r="C127" s="4">
        <v>0.5</v>
      </c>
      <c r="D127" s="4">
        <v>0.6</v>
      </c>
      <c r="E127" s="4">
        <v>0.04</v>
      </c>
      <c r="F127" s="4">
        <v>567.05273399999999</v>
      </c>
      <c r="G127" s="4">
        <v>2.7E-2</v>
      </c>
      <c r="I127" s="4" t="s">
        <v>106</v>
      </c>
      <c r="J127" s="4">
        <v>0.9</v>
      </c>
      <c r="K127" s="4">
        <v>0.5</v>
      </c>
      <c r="L127" s="4">
        <v>0.6</v>
      </c>
      <c r="M127" s="4">
        <v>0.34</v>
      </c>
      <c r="N127" s="6">
        <v>563.65118399999994</v>
      </c>
      <c r="O127" s="4">
        <v>1E-3</v>
      </c>
      <c r="P127" s="5"/>
      <c r="Q127" s="5"/>
      <c r="R127" s="5"/>
      <c r="S127" s="5"/>
      <c r="U127" s="4" t="s">
        <v>106</v>
      </c>
      <c r="V127" s="4">
        <v>0.9</v>
      </c>
      <c r="W127" s="4">
        <v>0.5</v>
      </c>
      <c r="X127" s="4">
        <v>0.6</v>
      </c>
      <c r="Y127" s="4">
        <v>0.51</v>
      </c>
      <c r="Z127" s="4">
        <v>606.734375</v>
      </c>
      <c r="AA127" s="4">
        <v>1.4E-2</v>
      </c>
      <c r="AC127" s="4" t="s">
        <v>106</v>
      </c>
      <c r="AD127" s="4">
        <v>0.9</v>
      </c>
      <c r="AE127" s="4">
        <v>0.5</v>
      </c>
      <c r="AF127" s="4">
        <v>0.6</v>
      </c>
      <c r="AG127" s="4">
        <v>0.31</v>
      </c>
      <c r="AH127" s="6">
        <v>534.15765399999998</v>
      </c>
      <c r="AI127" s="4">
        <v>1E-3</v>
      </c>
      <c r="AJ127" s="5"/>
      <c r="AK127" s="5"/>
      <c r="AL127" s="5"/>
      <c r="AM127" s="5"/>
      <c r="AO127" s="4" t="s">
        <v>107</v>
      </c>
      <c r="AP127" s="4">
        <v>0.9</v>
      </c>
      <c r="AQ127" s="4">
        <v>0.5</v>
      </c>
      <c r="AR127" s="4">
        <v>0.6</v>
      </c>
      <c r="AS127" s="4">
        <v>0.61</v>
      </c>
      <c r="AT127" s="4">
        <v>1132.849365</v>
      </c>
      <c r="AU127" s="4">
        <v>0.02</v>
      </c>
      <c r="AW127" s="4" t="s">
        <v>107</v>
      </c>
      <c r="AX127" s="4">
        <v>0.9</v>
      </c>
      <c r="AY127" s="4">
        <v>0.5</v>
      </c>
      <c r="AZ127" s="4">
        <v>0.6</v>
      </c>
      <c r="BA127" s="4">
        <v>0.33</v>
      </c>
      <c r="BB127" s="6">
        <v>1071.7769780000001</v>
      </c>
      <c r="BC127" s="4">
        <v>6.0000000000000001E-3</v>
      </c>
      <c r="BD127" s="5"/>
      <c r="BE127" s="5"/>
      <c r="BF127" s="5"/>
      <c r="BG127" s="5"/>
      <c r="BI127" s="4" t="s">
        <v>107</v>
      </c>
      <c r="BJ127" s="4">
        <v>0.9</v>
      </c>
      <c r="BK127" s="4">
        <v>0.5</v>
      </c>
      <c r="BL127" s="4">
        <v>0.6</v>
      </c>
      <c r="BM127" s="4">
        <v>7.0000000000000007E-2</v>
      </c>
      <c r="BN127" s="6">
        <v>847.97863800000005</v>
      </c>
      <c r="BO127" s="4">
        <v>2.8000000000000001E-2</v>
      </c>
      <c r="BQ127" s="4" t="s">
        <v>107</v>
      </c>
      <c r="BR127" s="4">
        <v>0.9</v>
      </c>
      <c r="BS127" s="4">
        <v>0.5</v>
      </c>
      <c r="BT127" s="4">
        <v>0.6</v>
      </c>
      <c r="BU127" s="4">
        <v>0.3</v>
      </c>
      <c r="BV127" s="4">
        <v>1035.7303469999999</v>
      </c>
      <c r="BW127" s="4">
        <v>5.0000000000000001E-3</v>
      </c>
      <c r="BX127" s="5"/>
      <c r="BY127" s="5"/>
      <c r="BZ127" s="5"/>
      <c r="CA127" s="5"/>
    </row>
    <row r="128" spans="1:79" x14ac:dyDescent="0.3">
      <c r="A128" s="4" t="s">
        <v>108</v>
      </c>
      <c r="B128" s="4">
        <v>0.9</v>
      </c>
      <c r="C128" s="4">
        <v>0.5</v>
      </c>
      <c r="D128" s="4">
        <v>0.6</v>
      </c>
      <c r="E128" s="4">
        <v>0.11</v>
      </c>
      <c r="F128" s="4">
        <v>631.16156000000001</v>
      </c>
      <c r="G128" s="4">
        <v>0.01</v>
      </c>
      <c r="I128" s="4" t="s">
        <v>108</v>
      </c>
      <c r="J128" s="4">
        <v>0.9</v>
      </c>
      <c r="K128" s="4">
        <v>0.5</v>
      </c>
      <c r="L128" s="4">
        <v>0.6</v>
      </c>
      <c r="M128" s="4">
        <v>0.32</v>
      </c>
      <c r="N128" s="6">
        <v>601.30621299999996</v>
      </c>
      <c r="O128" s="4">
        <v>1E-3</v>
      </c>
      <c r="P128" s="5"/>
      <c r="Q128" s="5"/>
      <c r="R128" s="5"/>
      <c r="S128" s="5"/>
      <c r="U128" s="4" t="s">
        <v>108</v>
      </c>
      <c r="V128" s="4">
        <v>0.9</v>
      </c>
      <c r="W128" s="4">
        <v>0.5</v>
      </c>
      <c r="X128" s="4">
        <v>0.6</v>
      </c>
      <c r="Y128" s="4">
        <v>0.04</v>
      </c>
      <c r="Z128" s="4">
        <v>621.52050799999995</v>
      </c>
      <c r="AA128" s="4">
        <v>8.9999999999999993E-3</v>
      </c>
      <c r="AC128" s="4" t="s">
        <v>108</v>
      </c>
      <c r="AD128" s="4">
        <v>0.9</v>
      </c>
      <c r="AE128" s="4">
        <v>0.5</v>
      </c>
      <c r="AF128" s="4">
        <v>0.6</v>
      </c>
      <c r="AG128" s="4">
        <v>0.33</v>
      </c>
      <c r="AH128" s="6">
        <v>572.92175299999997</v>
      </c>
      <c r="AI128" s="4">
        <v>1E-3</v>
      </c>
      <c r="AJ128" s="5"/>
      <c r="AK128" s="5"/>
      <c r="AL128" s="5"/>
      <c r="AM128" s="5"/>
      <c r="AO128" s="4" t="s">
        <v>109</v>
      </c>
      <c r="AP128" s="4">
        <v>0.9</v>
      </c>
      <c r="AQ128" s="4">
        <v>0.5</v>
      </c>
      <c r="AR128" s="4">
        <v>0.6</v>
      </c>
      <c r="AS128" s="4">
        <v>0.7</v>
      </c>
      <c r="AT128" s="4">
        <v>1082.5980219999999</v>
      </c>
      <c r="AU128" s="4">
        <v>0.02</v>
      </c>
      <c r="AW128" s="4" t="s">
        <v>109</v>
      </c>
      <c r="AX128" s="4">
        <v>0.9</v>
      </c>
      <c r="AY128" s="4">
        <v>0.5</v>
      </c>
      <c r="AZ128" s="4">
        <v>0.6</v>
      </c>
      <c r="BA128" s="4">
        <v>0.36</v>
      </c>
      <c r="BB128" s="6">
        <v>914.65228300000001</v>
      </c>
      <c r="BC128" s="4">
        <v>5.0000000000000001E-3</v>
      </c>
      <c r="BD128" s="5"/>
      <c r="BE128" s="5"/>
      <c r="BF128" s="5"/>
      <c r="BG128" s="5"/>
      <c r="BI128" s="4" t="s">
        <v>109</v>
      </c>
      <c r="BJ128" s="4">
        <v>0.9</v>
      </c>
      <c r="BK128" s="4">
        <v>0.5</v>
      </c>
      <c r="BL128" s="4">
        <v>0.6</v>
      </c>
      <c r="BM128" s="4">
        <v>0.66</v>
      </c>
      <c r="BN128" s="4">
        <v>1060.3695070000001</v>
      </c>
      <c r="BO128" s="4">
        <v>2.7E-2</v>
      </c>
      <c r="BQ128" s="4" t="s">
        <v>109</v>
      </c>
      <c r="BR128" s="4">
        <v>0.9</v>
      </c>
      <c r="BS128" s="4">
        <v>0.5</v>
      </c>
      <c r="BT128" s="4">
        <v>0.6</v>
      </c>
      <c r="BU128" s="4">
        <v>0.38</v>
      </c>
      <c r="BV128" s="6">
        <v>909.95892300000003</v>
      </c>
      <c r="BW128" s="4">
        <v>6.0000000000000001E-3</v>
      </c>
      <c r="BX128" s="5"/>
      <c r="BY128" s="5"/>
      <c r="BZ128" s="5"/>
      <c r="CA128" s="5"/>
    </row>
    <row r="129" spans="1:79" x14ac:dyDescent="0.3">
      <c r="A129" s="4" t="s">
        <v>110</v>
      </c>
      <c r="B129" s="4">
        <v>0.9</v>
      </c>
      <c r="C129" s="4">
        <v>0.5</v>
      </c>
      <c r="D129" s="4">
        <v>0.6</v>
      </c>
      <c r="E129" s="4">
        <v>0.46</v>
      </c>
      <c r="F129" s="4">
        <v>632.43878199999995</v>
      </c>
      <c r="G129" s="4">
        <v>8.0000000000000002E-3</v>
      </c>
      <c r="I129" s="4" t="s">
        <v>110</v>
      </c>
      <c r="J129" s="4">
        <v>0.9</v>
      </c>
      <c r="K129" s="4">
        <v>0.5</v>
      </c>
      <c r="L129" s="4">
        <v>0.6</v>
      </c>
      <c r="M129" s="4">
        <v>0.3</v>
      </c>
      <c r="N129" s="6">
        <v>608.27484100000004</v>
      </c>
      <c r="O129" s="4">
        <v>2E-3</v>
      </c>
      <c r="P129" s="5"/>
      <c r="Q129" s="5"/>
      <c r="R129" s="5"/>
      <c r="S129" s="5"/>
      <c r="U129" s="4" t="s">
        <v>110</v>
      </c>
      <c r="V129" s="4">
        <v>0.9</v>
      </c>
      <c r="W129" s="4">
        <v>0.5</v>
      </c>
      <c r="X129" s="4">
        <v>0.6</v>
      </c>
      <c r="Y129" s="4">
        <v>0.95</v>
      </c>
      <c r="Z129" s="4">
        <v>677.26556400000004</v>
      </c>
      <c r="AA129" s="4">
        <v>8.9999999999999993E-3</v>
      </c>
      <c r="AC129" s="4" t="s">
        <v>110</v>
      </c>
      <c r="AD129" s="4">
        <v>0.9</v>
      </c>
      <c r="AE129" s="4">
        <v>0.5</v>
      </c>
      <c r="AF129" s="4">
        <v>0.6</v>
      </c>
      <c r="AG129" s="4">
        <v>0.35</v>
      </c>
      <c r="AH129" s="6">
        <v>561.89392099999998</v>
      </c>
      <c r="AI129" s="4">
        <v>1E-3</v>
      </c>
      <c r="AJ129" s="5"/>
      <c r="AK129" s="5"/>
      <c r="AL129" s="5"/>
      <c r="AM129" s="5"/>
      <c r="AO129" s="4" t="s">
        <v>111</v>
      </c>
      <c r="AP129" s="4">
        <v>0.9</v>
      </c>
      <c r="AQ129" s="4">
        <v>0.5</v>
      </c>
      <c r="AR129" s="4">
        <v>0.6</v>
      </c>
      <c r="AS129" s="4">
        <v>0.43</v>
      </c>
      <c r="AT129" s="4">
        <v>1059.6791989999999</v>
      </c>
      <c r="AU129" s="4">
        <v>1.4999999999999999E-2</v>
      </c>
      <c r="AW129" s="4" t="s">
        <v>111</v>
      </c>
      <c r="AX129" s="4">
        <v>0.9</v>
      </c>
      <c r="AY129" s="4">
        <v>0.5</v>
      </c>
      <c r="AZ129" s="4">
        <v>0.6</v>
      </c>
      <c r="BA129" s="4">
        <v>0.3</v>
      </c>
      <c r="BB129" s="6">
        <v>1024.6417240000001</v>
      </c>
      <c r="BC129" s="4">
        <v>7.0000000000000001E-3</v>
      </c>
      <c r="BD129" s="5"/>
      <c r="BE129" s="5"/>
      <c r="BF129" s="5"/>
      <c r="BG129" s="5"/>
      <c r="BI129" s="4" t="s">
        <v>111</v>
      </c>
      <c r="BJ129" s="4">
        <v>0.9</v>
      </c>
      <c r="BK129" s="4">
        <v>0.5</v>
      </c>
      <c r="BL129" s="4">
        <v>0.6</v>
      </c>
      <c r="BM129" s="4">
        <v>0.57999999999999996</v>
      </c>
      <c r="BN129" s="4">
        <v>1087.7322999999999</v>
      </c>
      <c r="BO129" s="4">
        <v>2.8000000000000001E-2</v>
      </c>
      <c r="BQ129" s="4" t="s">
        <v>111</v>
      </c>
      <c r="BR129" s="4">
        <v>0.9</v>
      </c>
      <c r="BS129" s="4">
        <v>0.5</v>
      </c>
      <c r="BT129" s="4">
        <v>0.6</v>
      </c>
      <c r="BU129" s="4">
        <v>0.33</v>
      </c>
      <c r="BV129" s="6">
        <v>992.40087900000003</v>
      </c>
      <c r="BW129" s="4">
        <v>6.0000000000000001E-3</v>
      </c>
      <c r="BX129" s="5"/>
      <c r="BY129" s="5"/>
      <c r="BZ129" s="5"/>
      <c r="CA129" s="5"/>
    </row>
    <row r="130" spans="1:79" x14ac:dyDescent="0.3">
      <c r="A130" s="4" t="s">
        <v>112</v>
      </c>
      <c r="B130" s="4">
        <v>0.9</v>
      </c>
      <c r="C130" s="4">
        <v>0.5</v>
      </c>
      <c r="D130" s="4">
        <v>0.6</v>
      </c>
      <c r="E130" s="4">
        <v>0.93</v>
      </c>
      <c r="F130" s="4">
        <v>567.92407200000002</v>
      </c>
      <c r="G130" s="4">
        <v>1.4999999999999999E-2</v>
      </c>
      <c r="I130" s="4" t="s">
        <v>112</v>
      </c>
      <c r="J130" s="4">
        <v>0.9</v>
      </c>
      <c r="K130" s="4">
        <v>0.5</v>
      </c>
      <c r="L130" s="4">
        <v>0.6</v>
      </c>
      <c r="M130" s="4">
        <v>0.3</v>
      </c>
      <c r="N130" s="6">
        <v>474.47961400000003</v>
      </c>
      <c r="O130" s="4">
        <v>1E-3</v>
      </c>
      <c r="P130" s="5"/>
      <c r="Q130" s="5"/>
      <c r="R130" s="5"/>
      <c r="S130" s="5"/>
      <c r="U130" s="4" t="s">
        <v>112</v>
      </c>
      <c r="V130" s="4">
        <v>0.9</v>
      </c>
      <c r="W130" s="4">
        <v>0.5</v>
      </c>
      <c r="X130" s="4">
        <v>0.6</v>
      </c>
      <c r="Y130" s="4">
        <v>0.87</v>
      </c>
      <c r="Z130" s="4">
        <v>483.83502199999998</v>
      </c>
      <c r="AA130" s="4">
        <v>8.9999999999999993E-3</v>
      </c>
      <c r="AC130" s="4" t="s">
        <v>112</v>
      </c>
      <c r="AD130" s="4">
        <v>0.9</v>
      </c>
      <c r="AE130" s="4">
        <v>0.5</v>
      </c>
      <c r="AF130" s="4">
        <v>0.6</v>
      </c>
      <c r="AG130" s="4">
        <v>0.35</v>
      </c>
      <c r="AH130" s="6">
        <v>420.12194799999997</v>
      </c>
      <c r="AI130" s="4">
        <v>0</v>
      </c>
      <c r="AJ130" s="5"/>
      <c r="AK130" s="5"/>
      <c r="AL130" s="5"/>
      <c r="AM130" s="5"/>
      <c r="AO130" s="4" t="s">
        <v>113</v>
      </c>
      <c r="AP130" s="4">
        <v>0.9</v>
      </c>
      <c r="AQ130" s="4">
        <v>0.5</v>
      </c>
      <c r="AR130" s="4">
        <v>0.6</v>
      </c>
      <c r="AS130" s="4">
        <v>0.17</v>
      </c>
      <c r="AT130" s="6">
        <v>848.05676300000005</v>
      </c>
      <c r="AU130" s="4">
        <v>1.4999999999999999E-2</v>
      </c>
      <c r="AW130" s="4" t="s">
        <v>113</v>
      </c>
      <c r="AX130" s="4">
        <v>0.9</v>
      </c>
      <c r="AY130" s="4">
        <v>0.5</v>
      </c>
      <c r="AZ130" s="4">
        <v>0.6</v>
      </c>
      <c r="BA130" s="4">
        <v>0.3</v>
      </c>
      <c r="BB130" s="4">
        <v>934.56555200000003</v>
      </c>
      <c r="BC130" s="4">
        <v>5.0000000000000001E-3</v>
      </c>
      <c r="BD130" s="5"/>
      <c r="BE130" s="5"/>
      <c r="BF130" s="5"/>
      <c r="BG130" s="5"/>
      <c r="BI130" s="4" t="s">
        <v>113</v>
      </c>
      <c r="BJ130" s="4">
        <v>0.9</v>
      </c>
      <c r="BK130" s="4">
        <v>0.5</v>
      </c>
      <c r="BL130" s="4">
        <v>0.6</v>
      </c>
      <c r="BM130" s="4">
        <v>0.1</v>
      </c>
      <c r="BN130" s="6">
        <v>777.264771</v>
      </c>
      <c r="BO130" s="4">
        <v>1.4E-2</v>
      </c>
      <c r="BQ130" s="4" t="s">
        <v>113</v>
      </c>
      <c r="BR130" s="4">
        <v>0.9</v>
      </c>
      <c r="BS130" s="4">
        <v>0.5</v>
      </c>
      <c r="BT130" s="4">
        <v>0.6</v>
      </c>
      <c r="BU130" s="4">
        <v>0.35</v>
      </c>
      <c r="BV130" s="4">
        <v>883.25469999999996</v>
      </c>
      <c r="BW130" s="4">
        <v>5.0000000000000001E-3</v>
      </c>
      <c r="BX130" s="5"/>
      <c r="BY130" s="5"/>
      <c r="BZ130" s="5"/>
      <c r="CA130" s="5"/>
    </row>
    <row r="131" spans="1:79" x14ac:dyDescent="0.3">
      <c r="A131" s="4" t="s">
        <v>114</v>
      </c>
      <c r="B131" s="4">
        <v>0.9</v>
      </c>
      <c r="C131" s="4">
        <v>0.5</v>
      </c>
      <c r="D131" s="4">
        <v>0.6</v>
      </c>
      <c r="E131" s="4">
        <v>0.74</v>
      </c>
      <c r="F131" s="4">
        <v>700.677368</v>
      </c>
      <c r="G131" s="4">
        <v>7.0000000000000001E-3</v>
      </c>
      <c r="I131" s="4" t="s">
        <v>114</v>
      </c>
      <c r="J131" s="4">
        <v>0.9</v>
      </c>
      <c r="K131" s="4">
        <v>0.5</v>
      </c>
      <c r="L131" s="4">
        <v>0.6</v>
      </c>
      <c r="M131" s="4">
        <v>0.32</v>
      </c>
      <c r="N131" s="6">
        <v>605.30358899999999</v>
      </c>
      <c r="O131" s="4">
        <v>2E-3</v>
      </c>
      <c r="P131" s="5"/>
      <c r="Q131" s="5"/>
      <c r="R131" s="5"/>
      <c r="S131" s="5"/>
      <c r="U131" s="4" t="s">
        <v>114</v>
      </c>
      <c r="V131" s="4">
        <v>0.9</v>
      </c>
      <c r="W131" s="4">
        <v>0.5</v>
      </c>
      <c r="X131" s="4">
        <v>0.6</v>
      </c>
      <c r="Y131" s="4">
        <v>0.4</v>
      </c>
      <c r="Z131" s="4">
        <v>621.85406499999999</v>
      </c>
      <c r="AA131" s="4">
        <v>7.0000000000000001E-3</v>
      </c>
      <c r="AC131" s="4" t="s">
        <v>114</v>
      </c>
      <c r="AD131" s="4">
        <v>0.9</v>
      </c>
      <c r="AE131" s="4">
        <v>0.5</v>
      </c>
      <c r="AF131" s="4">
        <v>0.6</v>
      </c>
      <c r="AG131" s="4">
        <v>0.36</v>
      </c>
      <c r="AH131" s="6">
        <v>581.57067900000004</v>
      </c>
      <c r="AI131" s="4">
        <v>1E-3</v>
      </c>
      <c r="AJ131" s="5"/>
      <c r="AK131" s="5"/>
      <c r="AL131" s="5"/>
      <c r="AM131" s="5"/>
      <c r="AO131" s="4" t="s">
        <v>115</v>
      </c>
      <c r="AP131" s="4">
        <v>0.9</v>
      </c>
      <c r="AQ131" s="4">
        <v>0.5</v>
      </c>
      <c r="AR131" s="4">
        <v>0.6</v>
      </c>
      <c r="AS131" s="4">
        <v>0.89</v>
      </c>
      <c r="AT131" s="4">
        <v>1329.1936040000001</v>
      </c>
      <c r="AU131" s="4">
        <v>1.6E-2</v>
      </c>
      <c r="AW131" s="4" t="s">
        <v>115</v>
      </c>
      <c r="AX131" s="4">
        <v>0.9</v>
      </c>
      <c r="AY131" s="4">
        <v>0.5</v>
      </c>
      <c r="AZ131" s="4">
        <v>0.6</v>
      </c>
      <c r="BA131" s="4">
        <v>0.34</v>
      </c>
      <c r="BB131" s="6">
        <v>1033.6420900000001</v>
      </c>
      <c r="BC131" s="4">
        <v>1.2999999999999999E-2</v>
      </c>
      <c r="BD131" s="5"/>
      <c r="BE131" s="5"/>
      <c r="BF131" s="5"/>
      <c r="BG131" s="5"/>
      <c r="BI131" s="4" t="s">
        <v>115</v>
      </c>
      <c r="BJ131" s="4">
        <v>0.9</v>
      </c>
      <c r="BK131" s="4">
        <v>0.5</v>
      </c>
      <c r="BL131" s="4">
        <v>0.6</v>
      </c>
      <c r="BM131" s="4">
        <v>0.56999999999999995</v>
      </c>
      <c r="BN131" s="4">
        <v>1185.1110839999999</v>
      </c>
      <c r="BO131" s="4">
        <v>3.2000000000000001E-2</v>
      </c>
      <c r="BQ131" s="4" t="s">
        <v>115</v>
      </c>
      <c r="BR131" s="4">
        <v>0.9</v>
      </c>
      <c r="BS131" s="4">
        <v>0.5</v>
      </c>
      <c r="BT131" s="4">
        <v>0.6</v>
      </c>
      <c r="BU131" s="4">
        <v>0.3</v>
      </c>
      <c r="BV131" s="6">
        <v>1021.9140619999999</v>
      </c>
      <c r="BW131" s="4">
        <v>8.0000000000000002E-3</v>
      </c>
      <c r="BX131" s="5"/>
      <c r="BY131" s="5"/>
      <c r="BZ131" s="5"/>
      <c r="CA131" s="5"/>
    </row>
    <row r="132" spans="1:79" x14ac:dyDescent="0.3">
      <c r="A132" s="4" t="s">
        <v>116</v>
      </c>
      <c r="B132" s="4">
        <v>0.9</v>
      </c>
      <c r="C132" s="4">
        <v>0.5</v>
      </c>
      <c r="D132" s="4">
        <v>0.6</v>
      </c>
      <c r="E132" s="4">
        <v>0.13</v>
      </c>
      <c r="F132" s="6">
        <v>627.33325200000002</v>
      </c>
      <c r="G132" s="4">
        <v>2.5999999999999999E-2</v>
      </c>
      <c r="I132" s="4" t="s">
        <v>116</v>
      </c>
      <c r="J132" s="4">
        <v>0.9</v>
      </c>
      <c r="K132" s="4">
        <v>0.5</v>
      </c>
      <c r="L132" s="4">
        <v>0.6</v>
      </c>
      <c r="M132" s="4">
        <v>0.31</v>
      </c>
      <c r="N132" s="4">
        <v>656.59576400000003</v>
      </c>
      <c r="O132" s="4">
        <v>1E-3</v>
      </c>
      <c r="P132" s="5"/>
      <c r="Q132" s="5"/>
      <c r="R132" s="5"/>
      <c r="S132" s="5"/>
      <c r="U132" s="4" t="s">
        <v>116</v>
      </c>
      <c r="V132" s="4">
        <v>0.9</v>
      </c>
      <c r="W132" s="4">
        <v>0.5</v>
      </c>
      <c r="X132" s="4">
        <v>0.6</v>
      </c>
      <c r="Y132" s="4">
        <v>0.54</v>
      </c>
      <c r="Z132" s="4">
        <v>667.867615</v>
      </c>
      <c r="AA132" s="4">
        <v>1.2E-2</v>
      </c>
      <c r="AC132" s="4" t="s">
        <v>116</v>
      </c>
      <c r="AD132" s="4">
        <v>0.9</v>
      </c>
      <c r="AE132" s="4">
        <v>0.5</v>
      </c>
      <c r="AF132" s="4">
        <v>0.6</v>
      </c>
      <c r="AG132" s="4">
        <v>0.3</v>
      </c>
      <c r="AH132" s="6">
        <v>627.42004399999996</v>
      </c>
      <c r="AI132" s="4">
        <v>1E-3</v>
      </c>
      <c r="AJ132" s="5"/>
      <c r="AK132" s="5"/>
      <c r="AL132" s="5"/>
      <c r="AM132" s="5"/>
      <c r="AO132" s="4" t="s">
        <v>117</v>
      </c>
      <c r="AP132" s="4">
        <v>0.9</v>
      </c>
      <c r="AQ132" s="4">
        <v>0.5</v>
      </c>
      <c r="AR132" s="4">
        <v>0.6</v>
      </c>
      <c r="AS132" s="4">
        <v>0.88</v>
      </c>
      <c r="AT132" s="4">
        <v>1165.3479</v>
      </c>
      <c r="AU132" s="4">
        <v>1.7999999999999999E-2</v>
      </c>
      <c r="AW132" s="4" t="s">
        <v>117</v>
      </c>
      <c r="AX132" s="4">
        <v>0.9</v>
      </c>
      <c r="AY132" s="4">
        <v>0.5</v>
      </c>
      <c r="AZ132" s="4">
        <v>0.6</v>
      </c>
      <c r="BA132" s="4">
        <v>0.34</v>
      </c>
      <c r="BB132" s="6">
        <v>991.94964600000003</v>
      </c>
      <c r="BC132" s="4">
        <v>5.0000000000000001E-3</v>
      </c>
      <c r="BD132" s="5"/>
      <c r="BE132" s="5"/>
      <c r="BF132" s="5"/>
      <c r="BG132" s="5"/>
      <c r="BI132" s="4" t="s">
        <v>117</v>
      </c>
      <c r="BJ132" s="4">
        <v>0.9</v>
      </c>
      <c r="BK132" s="4">
        <v>0.5</v>
      </c>
      <c r="BL132" s="4">
        <v>0.6</v>
      </c>
      <c r="BM132" s="4">
        <v>0.44</v>
      </c>
      <c r="BN132" s="4">
        <v>1029.7346190000001</v>
      </c>
      <c r="BO132" s="4">
        <v>2.1999999999999999E-2</v>
      </c>
      <c r="BQ132" s="4" t="s">
        <v>117</v>
      </c>
      <c r="BR132" s="4">
        <v>0.9</v>
      </c>
      <c r="BS132" s="4">
        <v>0.5</v>
      </c>
      <c r="BT132" s="4">
        <v>0.6</v>
      </c>
      <c r="BU132" s="4">
        <v>0.31</v>
      </c>
      <c r="BV132" s="6">
        <v>951.56506300000001</v>
      </c>
      <c r="BW132" s="4">
        <v>6.0000000000000001E-3</v>
      </c>
      <c r="BX132" s="5"/>
      <c r="BY132" s="5"/>
      <c r="BZ132" s="5"/>
      <c r="CA132" s="5"/>
    </row>
    <row r="133" spans="1:79" x14ac:dyDescent="0.3">
      <c r="A133" s="4" t="s">
        <v>118</v>
      </c>
      <c r="B133" s="4">
        <v>0.9</v>
      </c>
      <c r="C133" s="4">
        <v>0.5</v>
      </c>
      <c r="D133" s="4">
        <v>0.6</v>
      </c>
      <c r="E133" s="4">
        <v>0.61</v>
      </c>
      <c r="F133" s="4">
        <v>646.13622999999995</v>
      </c>
      <c r="G133" s="4">
        <v>1.7000000000000001E-2</v>
      </c>
      <c r="I133" s="4" t="s">
        <v>118</v>
      </c>
      <c r="J133" s="4">
        <v>0.9</v>
      </c>
      <c r="K133" s="4">
        <v>0.5</v>
      </c>
      <c r="L133" s="4">
        <v>0.6</v>
      </c>
      <c r="M133" s="4">
        <v>0.31</v>
      </c>
      <c r="N133" s="6">
        <v>576.58062700000005</v>
      </c>
      <c r="O133" s="4">
        <v>1E-3</v>
      </c>
      <c r="P133" s="5"/>
      <c r="Q133" s="5"/>
      <c r="R133" s="5"/>
      <c r="S133" s="5"/>
      <c r="U133" s="4" t="s">
        <v>118</v>
      </c>
      <c r="V133" s="4">
        <v>0.9</v>
      </c>
      <c r="W133" s="4">
        <v>0.5</v>
      </c>
      <c r="X133" s="4">
        <v>0.6</v>
      </c>
      <c r="Y133" s="4">
        <v>0.28999999999999998</v>
      </c>
      <c r="Z133" s="4">
        <v>558.29760699999997</v>
      </c>
      <c r="AA133" s="4">
        <v>2.1000000000000001E-2</v>
      </c>
      <c r="AC133" s="4" t="s">
        <v>118</v>
      </c>
      <c r="AD133" s="4">
        <v>0.9</v>
      </c>
      <c r="AE133" s="4">
        <v>0.5</v>
      </c>
      <c r="AF133" s="4">
        <v>0.6</v>
      </c>
      <c r="AG133" s="4">
        <v>0.32</v>
      </c>
      <c r="AH133" s="6">
        <v>542.29913299999998</v>
      </c>
      <c r="AI133" s="4">
        <v>1E-3</v>
      </c>
      <c r="AJ133" s="5"/>
      <c r="AK133" s="5"/>
      <c r="AL133" s="5"/>
      <c r="AM133" s="5"/>
      <c r="AO133" s="4" t="s">
        <v>119</v>
      </c>
      <c r="AP133" s="4">
        <v>0.9</v>
      </c>
      <c r="AQ133" s="4">
        <v>0.5</v>
      </c>
      <c r="AR133" s="4">
        <v>0.6</v>
      </c>
      <c r="AS133" s="4">
        <v>0.42</v>
      </c>
      <c r="AT133" s="4">
        <v>1066.661255</v>
      </c>
      <c r="AU133" s="4">
        <v>1.6E-2</v>
      </c>
      <c r="AW133" s="4" t="s">
        <v>119</v>
      </c>
      <c r="AX133" s="4">
        <v>0.9</v>
      </c>
      <c r="AY133" s="4">
        <v>0.5</v>
      </c>
      <c r="AZ133" s="4">
        <v>0.6</v>
      </c>
      <c r="BA133" s="4">
        <v>0.32</v>
      </c>
      <c r="BB133" s="6">
        <v>1013.20752</v>
      </c>
      <c r="BC133" s="4">
        <v>6.0000000000000001E-3</v>
      </c>
      <c r="BD133" s="5"/>
      <c r="BE133" s="5"/>
      <c r="BF133" s="5"/>
      <c r="BG133" s="5"/>
      <c r="BI133" s="4" t="s">
        <v>119</v>
      </c>
      <c r="BJ133" s="4">
        <v>0.9</v>
      </c>
      <c r="BK133" s="4">
        <v>0.5</v>
      </c>
      <c r="BL133" s="4">
        <v>0.6</v>
      </c>
      <c r="BM133" s="4">
        <v>0.13</v>
      </c>
      <c r="BN133" s="6">
        <v>884.73541299999999</v>
      </c>
      <c r="BO133" s="4">
        <v>3.7999999999999999E-2</v>
      </c>
      <c r="BQ133" s="4" t="s">
        <v>119</v>
      </c>
      <c r="BR133" s="4">
        <v>0.9</v>
      </c>
      <c r="BS133" s="4">
        <v>0.5</v>
      </c>
      <c r="BT133" s="4">
        <v>0.6</v>
      </c>
      <c r="BU133" s="4">
        <v>0.32</v>
      </c>
      <c r="BV133" s="4">
        <v>991.27618399999994</v>
      </c>
      <c r="BW133" s="4">
        <v>6.0000000000000001E-3</v>
      </c>
      <c r="BX133" s="5"/>
      <c r="BY133" s="5"/>
      <c r="BZ133" s="5"/>
      <c r="CA133" s="5"/>
    </row>
    <row r="134" spans="1:79" x14ac:dyDescent="0.3">
      <c r="A134" s="4" t="s">
        <v>120</v>
      </c>
      <c r="B134" s="4">
        <v>0.9</v>
      </c>
      <c r="C134" s="4">
        <v>0.5</v>
      </c>
      <c r="D134" s="4">
        <v>0.6</v>
      </c>
      <c r="E134" s="4">
        <v>0.2</v>
      </c>
      <c r="F134" s="6">
        <v>699.40936299999998</v>
      </c>
      <c r="G134" s="4">
        <v>1.0999999999999999E-2</v>
      </c>
      <c r="I134" s="4" t="s">
        <v>120</v>
      </c>
      <c r="J134" s="4">
        <v>0.9</v>
      </c>
      <c r="K134" s="4">
        <v>0.5</v>
      </c>
      <c r="L134" s="4">
        <v>0.6</v>
      </c>
      <c r="M134" s="4">
        <v>0.33</v>
      </c>
      <c r="N134" s="4">
        <v>709.82324200000005</v>
      </c>
      <c r="O134" s="4">
        <v>2E-3</v>
      </c>
      <c r="P134" s="5"/>
      <c r="Q134" s="5"/>
      <c r="R134" s="5"/>
      <c r="S134" s="5"/>
      <c r="U134" s="4" t="s">
        <v>120</v>
      </c>
      <c r="V134" s="4">
        <v>0.9</v>
      </c>
      <c r="W134" s="4">
        <v>0.5</v>
      </c>
      <c r="X134" s="4">
        <v>0.6</v>
      </c>
      <c r="Y134" s="4">
        <v>0.3</v>
      </c>
      <c r="Z134" s="6">
        <v>700.93688999999995</v>
      </c>
      <c r="AA134" s="4">
        <v>3.2000000000000001E-2</v>
      </c>
      <c r="AC134" s="4" t="s">
        <v>120</v>
      </c>
      <c r="AD134" s="4">
        <v>0.9</v>
      </c>
      <c r="AE134" s="4">
        <v>0.5</v>
      </c>
      <c r="AF134" s="4">
        <v>0.6</v>
      </c>
      <c r="AG134" s="4">
        <v>0.3</v>
      </c>
      <c r="AH134" s="4">
        <v>715.97485400000005</v>
      </c>
      <c r="AI134" s="4">
        <v>1E-3</v>
      </c>
      <c r="AJ134" s="5"/>
      <c r="AK134" s="5"/>
      <c r="AL134" s="5"/>
      <c r="AM134" s="5"/>
      <c r="AO134" s="4" t="s">
        <v>121</v>
      </c>
      <c r="AP134" s="4">
        <v>0.9</v>
      </c>
      <c r="AQ134" s="4">
        <v>0.5</v>
      </c>
      <c r="AR134" s="4">
        <v>0.6</v>
      </c>
      <c r="AS134" s="4">
        <v>0.8</v>
      </c>
      <c r="AT134" s="4">
        <v>1213.7977289999999</v>
      </c>
      <c r="AU134" s="4">
        <v>1.7999999999999999E-2</v>
      </c>
      <c r="AW134" s="4" t="s">
        <v>121</v>
      </c>
      <c r="AX134" s="4">
        <v>0.9</v>
      </c>
      <c r="AY134" s="4">
        <v>0.5</v>
      </c>
      <c r="AZ134" s="4">
        <v>0.6</v>
      </c>
      <c r="BA134" s="4">
        <v>0.37</v>
      </c>
      <c r="BB134" s="6">
        <v>1058.6573490000001</v>
      </c>
      <c r="BC134" s="4">
        <v>5.0000000000000001E-3</v>
      </c>
      <c r="BD134" s="5"/>
      <c r="BE134" s="5"/>
      <c r="BF134" s="5"/>
      <c r="BG134" s="5"/>
      <c r="BI134" s="4" t="s">
        <v>121</v>
      </c>
      <c r="BJ134" s="4">
        <v>0.9</v>
      </c>
      <c r="BK134" s="4">
        <v>0.5</v>
      </c>
      <c r="BL134" s="4">
        <v>0.6</v>
      </c>
      <c r="BM134" s="4">
        <v>0.71</v>
      </c>
      <c r="BN134" s="4">
        <v>1170.6964109999999</v>
      </c>
      <c r="BO134" s="4">
        <v>0.03</v>
      </c>
      <c r="BQ134" s="4" t="s">
        <v>121</v>
      </c>
      <c r="BR134" s="4">
        <v>0.9</v>
      </c>
      <c r="BS134" s="4">
        <v>0.5</v>
      </c>
      <c r="BT134" s="4">
        <v>0.6</v>
      </c>
      <c r="BU134" s="4">
        <v>0.3</v>
      </c>
      <c r="BV134" s="6">
        <v>1028.45874</v>
      </c>
      <c r="BW134" s="4">
        <v>8.0000000000000002E-3</v>
      </c>
      <c r="BX134" s="5"/>
      <c r="BY134" s="5"/>
      <c r="BZ134" s="5"/>
      <c r="CA134" s="5"/>
    </row>
    <row r="135" spans="1:79" x14ac:dyDescent="0.3">
      <c r="A135" s="4" t="s">
        <v>122</v>
      </c>
      <c r="B135" s="4">
        <v>0.9</v>
      </c>
      <c r="C135" s="4">
        <v>0.5</v>
      </c>
      <c r="D135" s="4">
        <v>0.6</v>
      </c>
      <c r="E135" s="4">
        <v>0.4</v>
      </c>
      <c r="F135" s="4">
        <v>672.94775400000003</v>
      </c>
      <c r="G135" s="4">
        <v>1.4999999999999999E-2</v>
      </c>
      <c r="I135" s="4" t="s">
        <v>122</v>
      </c>
      <c r="J135" s="4">
        <v>0.9</v>
      </c>
      <c r="K135" s="4">
        <v>0.5</v>
      </c>
      <c r="L135" s="4">
        <v>0.6</v>
      </c>
      <c r="M135" s="4">
        <v>0.35</v>
      </c>
      <c r="N135" s="6">
        <v>657.38525400000003</v>
      </c>
      <c r="O135" s="4">
        <v>2E-3</v>
      </c>
      <c r="P135" s="5"/>
      <c r="Q135" s="5"/>
      <c r="R135" s="5"/>
      <c r="S135" s="5"/>
      <c r="U135" s="4" t="s">
        <v>122</v>
      </c>
      <c r="V135" s="4">
        <v>0.9</v>
      </c>
      <c r="W135" s="4">
        <v>0.5</v>
      </c>
      <c r="X135" s="4">
        <v>0.6</v>
      </c>
      <c r="Y135" s="4">
        <v>0.56000000000000005</v>
      </c>
      <c r="Z135" s="4">
        <v>686.01586899999995</v>
      </c>
      <c r="AA135" s="4">
        <v>8.9999999999999993E-3</v>
      </c>
      <c r="AC135" s="4" t="s">
        <v>122</v>
      </c>
      <c r="AD135" s="4">
        <v>0.9</v>
      </c>
      <c r="AE135" s="4">
        <v>0.5</v>
      </c>
      <c r="AF135" s="4">
        <v>0.6</v>
      </c>
      <c r="AG135" s="4">
        <v>0.39</v>
      </c>
      <c r="AH135" s="6">
        <v>640.44140600000003</v>
      </c>
      <c r="AI135" s="4">
        <v>1E-3</v>
      </c>
      <c r="AJ135" s="5"/>
      <c r="AK135" s="5"/>
      <c r="AL135" s="5"/>
      <c r="AM135" s="5"/>
      <c r="AO135" s="4" t="s">
        <v>123</v>
      </c>
      <c r="AP135" s="4">
        <v>0.9</v>
      </c>
      <c r="AQ135" s="4">
        <v>0.5</v>
      </c>
      <c r="AR135" s="4">
        <v>0.6</v>
      </c>
      <c r="AS135" s="4">
        <v>0.73</v>
      </c>
      <c r="AT135" s="4">
        <v>1186.54126</v>
      </c>
      <c r="AU135" s="4">
        <v>1.2999999999999999E-2</v>
      </c>
      <c r="AW135" s="4" t="s">
        <v>123</v>
      </c>
      <c r="AX135" s="4">
        <v>0.9</v>
      </c>
      <c r="AY135" s="4">
        <v>0.5</v>
      </c>
      <c r="AZ135" s="4">
        <v>0.6</v>
      </c>
      <c r="BA135" s="4">
        <v>0.35</v>
      </c>
      <c r="BB135" s="6">
        <v>1003.645386</v>
      </c>
      <c r="BC135" s="4">
        <v>6.0000000000000001E-3</v>
      </c>
      <c r="BD135" s="5"/>
      <c r="BE135" s="5"/>
      <c r="BF135" s="5"/>
      <c r="BG135" s="5"/>
      <c r="BI135" s="4" t="s">
        <v>123</v>
      </c>
      <c r="BJ135" s="4">
        <v>0.9</v>
      </c>
      <c r="BK135" s="4">
        <v>0.5</v>
      </c>
      <c r="BL135" s="4">
        <v>0.6</v>
      </c>
      <c r="BM135" s="4">
        <v>0.52</v>
      </c>
      <c r="BN135" s="4">
        <v>1087.1441649999999</v>
      </c>
      <c r="BO135" s="4">
        <v>2.3E-2</v>
      </c>
      <c r="BQ135" s="4" t="s">
        <v>123</v>
      </c>
      <c r="BR135" s="4">
        <v>0.9</v>
      </c>
      <c r="BS135" s="4">
        <v>0.5</v>
      </c>
      <c r="BT135" s="4">
        <v>0.6</v>
      </c>
      <c r="BU135" s="4">
        <v>0.3</v>
      </c>
      <c r="BV135" s="6">
        <v>996.879639</v>
      </c>
      <c r="BW135" s="4">
        <v>8.0000000000000002E-3</v>
      </c>
      <c r="BX135" s="5"/>
      <c r="BY135" s="5"/>
      <c r="BZ135" s="5"/>
      <c r="CA135" s="5"/>
    </row>
    <row r="136" spans="1:79" x14ac:dyDescent="0.3">
      <c r="A136" s="4" t="s">
        <v>124</v>
      </c>
      <c r="B136" s="4">
        <v>0.9</v>
      </c>
      <c r="C136" s="4">
        <v>0.5</v>
      </c>
      <c r="D136" s="4">
        <v>0.6</v>
      </c>
      <c r="E136" s="4">
        <v>0.64</v>
      </c>
      <c r="F136" s="4">
        <v>605.87506099999996</v>
      </c>
      <c r="G136" s="4">
        <v>2.1999999999999999E-2</v>
      </c>
      <c r="I136" s="4" t="s">
        <v>124</v>
      </c>
      <c r="J136" s="4">
        <v>0.9</v>
      </c>
      <c r="K136" s="4">
        <v>0.5</v>
      </c>
      <c r="L136" s="4">
        <v>0.6</v>
      </c>
      <c r="M136" s="4">
        <v>0.32</v>
      </c>
      <c r="N136" s="6">
        <v>553.33111599999995</v>
      </c>
      <c r="O136" s="4">
        <v>1E-3</v>
      </c>
      <c r="P136" s="5"/>
      <c r="Q136" s="5"/>
      <c r="R136" s="5"/>
      <c r="S136" s="5"/>
      <c r="U136" s="4" t="s">
        <v>124</v>
      </c>
      <c r="V136" s="4">
        <v>0.9</v>
      </c>
      <c r="W136" s="4">
        <v>0.5</v>
      </c>
      <c r="X136" s="4">
        <v>0.6</v>
      </c>
      <c r="Y136" s="4">
        <v>0.91</v>
      </c>
      <c r="Z136" s="4">
        <v>669.73382600000002</v>
      </c>
      <c r="AA136" s="4">
        <v>1.2999999999999999E-2</v>
      </c>
      <c r="AC136" s="4" t="s">
        <v>124</v>
      </c>
      <c r="AD136" s="4">
        <v>0.9</v>
      </c>
      <c r="AE136" s="4">
        <v>0.5</v>
      </c>
      <c r="AF136" s="4">
        <v>0.6</v>
      </c>
      <c r="AG136" s="4">
        <v>0.39</v>
      </c>
      <c r="AH136" s="6">
        <v>546.83569299999999</v>
      </c>
      <c r="AI136" s="4">
        <v>1E-3</v>
      </c>
      <c r="AJ136" s="5"/>
      <c r="AK136" s="5"/>
      <c r="AL136" s="5"/>
      <c r="AM136" s="5"/>
      <c r="AO136" s="4" t="s">
        <v>125</v>
      </c>
      <c r="AP136" s="4">
        <v>0.9</v>
      </c>
      <c r="AQ136" s="4">
        <v>0.5</v>
      </c>
      <c r="AR136" s="4">
        <v>0.6</v>
      </c>
      <c r="AS136" s="4">
        <v>0.35</v>
      </c>
      <c r="AT136" s="4">
        <v>1083.5902100000001</v>
      </c>
      <c r="AU136" s="4">
        <v>1.6E-2</v>
      </c>
      <c r="AW136" s="4" t="s">
        <v>125</v>
      </c>
      <c r="AX136" s="4">
        <v>0.9</v>
      </c>
      <c r="AY136" s="4">
        <v>0.5</v>
      </c>
      <c r="AZ136" s="4">
        <v>0.6</v>
      </c>
      <c r="BA136" s="4">
        <v>0.33</v>
      </c>
      <c r="BB136" s="6">
        <v>1057.5261230000001</v>
      </c>
      <c r="BC136" s="4">
        <v>6.0000000000000001E-3</v>
      </c>
      <c r="BD136" s="5"/>
      <c r="BE136" s="5"/>
      <c r="BF136" s="5"/>
      <c r="BG136" s="5"/>
      <c r="BI136" s="4" t="s">
        <v>125</v>
      </c>
      <c r="BJ136" s="4">
        <v>0.9</v>
      </c>
      <c r="BK136" s="4">
        <v>0.5</v>
      </c>
      <c r="BL136" s="4">
        <v>0.6</v>
      </c>
      <c r="BM136" s="4">
        <v>0.86</v>
      </c>
      <c r="BN136" s="4">
        <v>1258.778442</v>
      </c>
      <c r="BO136" s="4">
        <v>0.03</v>
      </c>
      <c r="BQ136" s="4" t="s">
        <v>125</v>
      </c>
      <c r="BR136" s="4">
        <v>0.9</v>
      </c>
      <c r="BS136" s="4">
        <v>0.5</v>
      </c>
      <c r="BT136" s="4">
        <v>0.6</v>
      </c>
      <c r="BU136" s="4">
        <v>0.3</v>
      </c>
      <c r="BV136" s="6">
        <v>1042.001953</v>
      </c>
      <c r="BW136" s="4">
        <v>0.01</v>
      </c>
      <c r="BX136" s="5"/>
      <c r="BY136" s="5"/>
      <c r="BZ136" s="5"/>
      <c r="CA136" s="5"/>
    </row>
    <row r="137" spans="1:79" x14ac:dyDescent="0.3">
      <c r="A137" s="4" t="s">
        <v>126</v>
      </c>
      <c r="B137" s="4">
        <v>0.9</v>
      </c>
      <c r="C137" s="4">
        <v>0.5</v>
      </c>
      <c r="D137" s="4">
        <v>0.6</v>
      </c>
      <c r="E137" s="4">
        <v>0.01</v>
      </c>
      <c r="F137" s="4">
        <v>675.33166500000004</v>
      </c>
      <c r="G137" s="4">
        <v>4.0000000000000001E-3</v>
      </c>
      <c r="I137" s="4" t="s">
        <v>126</v>
      </c>
      <c r="J137" s="4">
        <v>0.9</v>
      </c>
      <c r="K137" s="4">
        <v>0.5</v>
      </c>
      <c r="L137" s="4">
        <v>0.6</v>
      </c>
      <c r="M137" s="4">
        <v>0.3</v>
      </c>
      <c r="N137" s="6">
        <v>630.25396699999999</v>
      </c>
      <c r="O137" s="4">
        <v>1E-3</v>
      </c>
      <c r="P137" s="5"/>
      <c r="Q137" s="5"/>
      <c r="R137" s="5"/>
      <c r="S137" s="5"/>
      <c r="U137" s="4" t="s">
        <v>126</v>
      </c>
      <c r="V137" s="4">
        <v>0.9</v>
      </c>
      <c r="W137" s="4">
        <v>0.5</v>
      </c>
      <c r="X137" s="4">
        <v>0.6</v>
      </c>
      <c r="Y137" s="4">
        <v>0.83</v>
      </c>
      <c r="Z137" s="4">
        <v>727.69164999999998</v>
      </c>
      <c r="AA137" s="4">
        <v>1.2999999999999999E-2</v>
      </c>
      <c r="AC137" s="4" t="s">
        <v>126</v>
      </c>
      <c r="AD137" s="4">
        <v>0.9</v>
      </c>
      <c r="AE137" s="4">
        <v>0.5</v>
      </c>
      <c r="AF137" s="4">
        <v>0.6</v>
      </c>
      <c r="AG137" s="4">
        <v>0.36</v>
      </c>
      <c r="AH137" s="6">
        <v>628.83703600000001</v>
      </c>
      <c r="AI137" s="4">
        <v>2E-3</v>
      </c>
      <c r="AJ137" s="5"/>
      <c r="AK137" s="5"/>
      <c r="AL137" s="5"/>
      <c r="AM137" s="5"/>
      <c r="AO137" s="4" t="s">
        <v>127</v>
      </c>
      <c r="AP137" s="4">
        <v>0.9</v>
      </c>
      <c r="AQ137" s="4">
        <v>0.5</v>
      </c>
      <c r="AR137" s="4">
        <v>0.6</v>
      </c>
      <c r="AS137" s="4">
        <v>0.17</v>
      </c>
      <c r="AT137" s="6">
        <v>952.20819100000006</v>
      </c>
      <c r="AU137" s="4">
        <v>1.4E-2</v>
      </c>
      <c r="AW137" s="4" t="s">
        <v>127</v>
      </c>
      <c r="AX137" s="4">
        <v>0.9</v>
      </c>
      <c r="AY137" s="4">
        <v>0.5</v>
      </c>
      <c r="AZ137" s="4">
        <v>0.6</v>
      </c>
      <c r="BA137" s="4">
        <v>0.3</v>
      </c>
      <c r="BB137" s="4">
        <v>1062.272217</v>
      </c>
      <c r="BC137" s="4">
        <v>7.0000000000000001E-3</v>
      </c>
      <c r="BD137" s="5"/>
      <c r="BE137" s="5"/>
      <c r="BF137" s="5"/>
      <c r="BG137" s="5"/>
      <c r="BI137" s="4" t="s">
        <v>127</v>
      </c>
      <c r="BJ137" s="4">
        <v>0.9</v>
      </c>
      <c r="BK137" s="4">
        <v>0.5</v>
      </c>
      <c r="BL137" s="4">
        <v>0.6</v>
      </c>
      <c r="BM137" s="4">
        <v>0.7</v>
      </c>
      <c r="BN137" s="4">
        <v>1235.036865</v>
      </c>
      <c r="BO137" s="4">
        <v>0.02</v>
      </c>
      <c r="BQ137" s="4" t="s">
        <v>127</v>
      </c>
      <c r="BR137" s="4">
        <v>0.9</v>
      </c>
      <c r="BS137" s="4">
        <v>0.5</v>
      </c>
      <c r="BT137" s="4">
        <v>0.6</v>
      </c>
      <c r="BU137" s="4">
        <v>0.36</v>
      </c>
      <c r="BV137" s="6">
        <v>1045.3675539999999</v>
      </c>
      <c r="BW137" s="4">
        <v>5.0000000000000001E-3</v>
      </c>
      <c r="BX137" s="5"/>
      <c r="BY137" s="5"/>
      <c r="BZ137" s="5"/>
      <c r="CA137" s="5"/>
    </row>
    <row r="138" spans="1:79" x14ac:dyDescent="0.3">
      <c r="A138" s="4" t="s">
        <v>128</v>
      </c>
      <c r="B138" s="4">
        <v>0.9</v>
      </c>
      <c r="C138" s="4">
        <v>0.5</v>
      </c>
      <c r="D138" s="4">
        <v>0.6</v>
      </c>
      <c r="E138" s="4">
        <v>0.28999999999999998</v>
      </c>
      <c r="F138" s="4">
        <v>603.15130599999998</v>
      </c>
      <c r="G138" s="4">
        <v>1.7999999999999999E-2</v>
      </c>
      <c r="I138" s="4" t="s">
        <v>128</v>
      </c>
      <c r="J138" s="4">
        <v>0.9</v>
      </c>
      <c r="K138" s="4">
        <v>0.5</v>
      </c>
      <c r="L138" s="4">
        <v>0.6</v>
      </c>
      <c r="M138" s="4">
        <v>0.32</v>
      </c>
      <c r="N138" s="6">
        <v>587.75598100000002</v>
      </c>
      <c r="O138" s="4">
        <v>2E-3</v>
      </c>
      <c r="P138" s="5"/>
      <c r="Q138" s="5"/>
      <c r="R138" s="5"/>
      <c r="S138" s="5"/>
      <c r="U138" s="4" t="s">
        <v>128</v>
      </c>
      <c r="V138" s="4">
        <v>0.9</v>
      </c>
      <c r="W138" s="4">
        <v>0.5</v>
      </c>
      <c r="X138" s="4">
        <v>0.6</v>
      </c>
      <c r="Y138" s="4">
        <v>0.84</v>
      </c>
      <c r="Z138" s="4">
        <v>695.71398899999997</v>
      </c>
      <c r="AA138" s="4">
        <v>1.7999999999999999E-2</v>
      </c>
      <c r="AC138" s="4" t="s">
        <v>128</v>
      </c>
      <c r="AD138" s="4">
        <v>0.9</v>
      </c>
      <c r="AE138" s="4">
        <v>0.5</v>
      </c>
      <c r="AF138" s="4">
        <v>0.6</v>
      </c>
      <c r="AG138" s="4">
        <v>0.32</v>
      </c>
      <c r="AH138" s="6">
        <v>598.39324999999997</v>
      </c>
      <c r="AI138" s="4">
        <v>1E-3</v>
      </c>
      <c r="AJ138" s="5"/>
      <c r="AK138" s="5"/>
      <c r="AL138" s="5"/>
      <c r="AM138" s="5"/>
      <c r="AO138" s="4" t="s">
        <v>129</v>
      </c>
      <c r="AP138" s="4">
        <v>0.9</v>
      </c>
      <c r="AQ138" s="4">
        <v>0.5</v>
      </c>
      <c r="AR138" s="4">
        <v>0.6</v>
      </c>
      <c r="AS138" s="4">
        <v>0.28000000000000003</v>
      </c>
      <c r="AT138" s="6">
        <v>998.56829800000003</v>
      </c>
      <c r="AU138" s="4">
        <v>2.5999999999999999E-2</v>
      </c>
      <c r="AW138" s="4" t="s">
        <v>129</v>
      </c>
      <c r="AX138" s="4">
        <v>0.9</v>
      </c>
      <c r="AY138" s="4">
        <v>0.5</v>
      </c>
      <c r="AZ138" s="4">
        <v>0.6</v>
      </c>
      <c r="BA138" s="4">
        <v>0.3</v>
      </c>
      <c r="BB138" s="4">
        <v>1025.6298830000001</v>
      </c>
      <c r="BC138" s="4">
        <v>6.0000000000000001E-3</v>
      </c>
      <c r="BD138" s="5"/>
      <c r="BE138" s="5"/>
      <c r="BF138" s="5"/>
      <c r="BG138" s="5"/>
      <c r="BI138" s="4" t="s">
        <v>129</v>
      </c>
      <c r="BJ138" s="4">
        <v>0.9</v>
      </c>
      <c r="BK138" s="4">
        <v>0.5</v>
      </c>
      <c r="BL138" s="4">
        <v>0.6</v>
      </c>
      <c r="BM138" s="4">
        <v>0.49</v>
      </c>
      <c r="BN138" s="4">
        <v>1103.4788820000001</v>
      </c>
      <c r="BO138" s="4">
        <v>4.2999999999999997E-2</v>
      </c>
      <c r="BQ138" s="4" t="s">
        <v>129</v>
      </c>
      <c r="BR138" s="4">
        <v>0.9</v>
      </c>
      <c r="BS138" s="4">
        <v>0.5</v>
      </c>
      <c r="BT138" s="4">
        <v>0.6</v>
      </c>
      <c r="BU138" s="4">
        <v>0.3</v>
      </c>
      <c r="BV138" s="6">
        <v>1021.59906</v>
      </c>
      <c r="BW138" s="4">
        <v>6.0000000000000001E-3</v>
      </c>
      <c r="BX138" s="5"/>
      <c r="BY138" s="5"/>
      <c r="BZ138" s="5"/>
      <c r="CA138" s="5"/>
    </row>
    <row r="139" spans="1:79" x14ac:dyDescent="0.3">
      <c r="A139" s="4" t="s">
        <v>130</v>
      </c>
      <c r="B139" s="4">
        <v>0.9</v>
      </c>
      <c r="C139" s="4">
        <v>0.5</v>
      </c>
      <c r="D139" s="4">
        <v>0.6</v>
      </c>
      <c r="E139" s="4">
        <v>0.78</v>
      </c>
      <c r="F139" s="4">
        <v>711.19366500000001</v>
      </c>
      <c r="G139" s="4">
        <v>1.4E-2</v>
      </c>
      <c r="I139" s="4" t="s">
        <v>130</v>
      </c>
      <c r="J139" s="4">
        <v>0.9</v>
      </c>
      <c r="K139" s="4">
        <v>0.5</v>
      </c>
      <c r="L139" s="4">
        <v>0.6</v>
      </c>
      <c r="M139" s="4">
        <v>0.3</v>
      </c>
      <c r="N139" s="6">
        <v>656.67535399999997</v>
      </c>
      <c r="O139" s="4">
        <v>3.0000000000000001E-3</v>
      </c>
      <c r="P139" s="5"/>
      <c r="Q139" s="5"/>
      <c r="R139" s="5"/>
      <c r="S139" s="5"/>
      <c r="U139" s="4" t="s">
        <v>130</v>
      </c>
      <c r="V139" s="4">
        <v>0.9</v>
      </c>
      <c r="W139" s="4">
        <v>0.5</v>
      </c>
      <c r="X139" s="4">
        <v>0.6</v>
      </c>
      <c r="Y139" s="4">
        <v>0.74</v>
      </c>
      <c r="Z139" s="4">
        <v>724.99737500000003</v>
      </c>
      <c r="AA139" s="4">
        <v>8.0000000000000002E-3</v>
      </c>
      <c r="AC139" s="4" t="s">
        <v>130</v>
      </c>
      <c r="AD139" s="4">
        <v>0.9</v>
      </c>
      <c r="AE139" s="4">
        <v>0.5</v>
      </c>
      <c r="AF139" s="4">
        <v>0.6</v>
      </c>
      <c r="AG139" s="4">
        <v>0.34</v>
      </c>
      <c r="AH139" s="6">
        <v>648.15527299999997</v>
      </c>
      <c r="AI139" s="4">
        <v>1E-3</v>
      </c>
      <c r="AJ139" s="5"/>
      <c r="AK139" s="5"/>
      <c r="AL139" s="5"/>
      <c r="AM139" s="5"/>
      <c r="AO139" s="4" t="s">
        <v>131</v>
      </c>
      <c r="AP139" s="4">
        <v>0.9</v>
      </c>
      <c r="AQ139" s="4">
        <v>0.5</v>
      </c>
      <c r="AR139" s="4">
        <v>0.6</v>
      </c>
      <c r="AS139" s="4">
        <v>0.06</v>
      </c>
      <c r="AT139" s="6">
        <v>827.73364300000003</v>
      </c>
      <c r="AU139" s="4">
        <v>0.04</v>
      </c>
      <c r="AW139" s="4" t="s">
        <v>131</v>
      </c>
      <c r="AX139" s="4">
        <v>0.9</v>
      </c>
      <c r="AY139" s="4">
        <v>0.5</v>
      </c>
      <c r="AZ139" s="4">
        <v>0.6</v>
      </c>
      <c r="BA139" s="4">
        <v>0.3</v>
      </c>
      <c r="BB139" s="4">
        <v>1029.2089840000001</v>
      </c>
      <c r="BC139" s="4">
        <v>7.0000000000000001E-3</v>
      </c>
      <c r="BD139" s="5"/>
      <c r="BE139" s="5"/>
      <c r="BF139" s="5"/>
      <c r="BG139" s="5"/>
      <c r="BI139" s="4" t="s">
        <v>131</v>
      </c>
      <c r="BJ139" s="4">
        <v>0.9</v>
      </c>
      <c r="BK139" s="4">
        <v>0.5</v>
      </c>
      <c r="BL139" s="4">
        <v>0.6</v>
      </c>
      <c r="BM139" s="4">
        <v>0.36</v>
      </c>
      <c r="BN139" s="4">
        <v>1056.5792240000001</v>
      </c>
      <c r="BO139" s="4">
        <v>1.4999999999999999E-2</v>
      </c>
      <c r="BQ139" s="4" t="s">
        <v>131</v>
      </c>
      <c r="BR139" s="4">
        <v>0.9</v>
      </c>
      <c r="BS139" s="4">
        <v>0.5</v>
      </c>
      <c r="BT139" s="4">
        <v>0.6</v>
      </c>
      <c r="BU139" s="4">
        <v>0.3</v>
      </c>
      <c r="BV139" s="6">
        <v>1045.5421140000001</v>
      </c>
      <c r="BW139" s="4">
        <v>8.0000000000000002E-3</v>
      </c>
      <c r="BX139" s="5"/>
      <c r="BY139" s="5"/>
      <c r="BZ139" s="5"/>
      <c r="CA139" s="5"/>
    </row>
    <row r="140" spans="1:79" x14ac:dyDescent="0.3">
      <c r="A140" s="4" t="s">
        <v>132</v>
      </c>
      <c r="B140" s="4">
        <v>0.9</v>
      </c>
      <c r="C140" s="4">
        <v>0.5</v>
      </c>
      <c r="D140" s="4">
        <v>0.6</v>
      </c>
      <c r="E140" s="4">
        <v>0.78</v>
      </c>
      <c r="F140" s="4">
        <v>671.89349400000003</v>
      </c>
      <c r="G140" s="4">
        <v>1.0999999999999999E-2</v>
      </c>
      <c r="I140" s="4" t="s">
        <v>132</v>
      </c>
      <c r="J140" s="4">
        <v>0.9</v>
      </c>
      <c r="K140" s="4">
        <v>0.5</v>
      </c>
      <c r="L140" s="4">
        <v>0.6</v>
      </c>
      <c r="M140" s="4">
        <v>0.3</v>
      </c>
      <c r="N140" s="6">
        <v>568.16583300000002</v>
      </c>
      <c r="O140" s="4">
        <v>1E-3</v>
      </c>
      <c r="P140" s="5"/>
      <c r="Q140" s="5"/>
      <c r="R140" s="5"/>
      <c r="S140" s="5"/>
      <c r="U140" s="4" t="s">
        <v>132</v>
      </c>
      <c r="V140" s="4">
        <v>0.9</v>
      </c>
      <c r="W140" s="4">
        <v>0.5</v>
      </c>
      <c r="X140" s="4">
        <v>0.6</v>
      </c>
      <c r="Y140" s="4">
        <v>0.46</v>
      </c>
      <c r="Z140" s="4">
        <v>578.05206299999998</v>
      </c>
      <c r="AA140" s="4">
        <v>1.4999999999999999E-2</v>
      </c>
      <c r="AC140" s="4" t="s">
        <v>132</v>
      </c>
      <c r="AD140" s="4">
        <v>0.9</v>
      </c>
      <c r="AE140" s="4">
        <v>0.5</v>
      </c>
      <c r="AF140" s="4">
        <v>0.6</v>
      </c>
      <c r="AG140" s="4">
        <v>0.35</v>
      </c>
      <c r="AH140" s="6">
        <v>560.28118900000004</v>
      </c>
      <c r="AI140" s="4">
        <v>1E-3</v>
      </c>
      <c r="AJ140" s="5"/>
      <c r="AK140" s="5"/>
      <c r="AL140" s="5"/>
      <c r="AM140" s="5"/>
      <c r="AO140" s="4" t="s">
        <v>133</v>
      </c>
      <c r="AP140" s="4">
        <v>0.9</v>
      </c>
      <c r="AQ140" s="4">
        <v>0.5</v>
      </c>
      <c r="AR140" s="4">
        <v>0.6</v>
      </c>
      <c r="AS140" s="4">
        <v>0.62</v>
      </c>
      <c r="AT140" s="4">
        <v>1226.810669</v>
      </c>
      <c r="AU140" s="4">
        <v>1.4999999999999999E-2</v>
      </c>
      <c r="AW140" s="4" t="s">
        <v>133</v>
      </c>
      <c r="AX140" s="4">
        <v>0.9</v>
      </c>
      <c r="AY140" s="4">
        <v>0.5</v>
      </c>
      <c r="AZ140" s="4">
        <v>0.6</v>
      </c>
      <c r="BA140" s="4">
        <v>0.3</v>
      </c>
      <c r="BB140" s="6">
        <v>1058.2346190000001</v>
      </c>
      <c r="BC140" s="4">
        <v>6.0000000000000001E-3</v>
      </c>
      <c r="BD140" s="5"/>
      <c r="BE140" s="5"/>
      <c r="BF140" s="5"/>
      <c r="BG140" s="5"/>
      <c r="BI140" s="4" t="s">
        <v>133</v>
      </c>
      <c r="BJ140" s="4">
        <v>0.9</v>
      </c>
      <c r="BK140" s="4">
        <v>0.5</v>
      </c>
      <c r="BL140" s="4">
        <v>0.6</v>
      </c>
      <c r="BM140" s="4">
        <v>0.71</v>
      </c>
      <c r="BN140" s="4">
        <v>1260.91272</v>
      </c>
      <c r="BO140" s="4">
        <v>3.2000000000000001E-2</v>
      </c>
      <c r="BQ140" s="4" t="s">
        <v>133</v>
      </c>
      <c r="BR140" s="4">
        <v>0.9</v>
      </c>
      <c r="BS140" s="4">
        <v>0.5</v>
      </c>
      <c r="BT140" s="4">
        <v>0.6</v>
      </c>
      <c r="BU140" s="4">
        <v>0.32</v>
      </c>
      <c r="BV140" s="6">
        <v>1044.474121</v>
      </c>
      <c r="BW140" s="4">
        <v>0.01</v>
      </c>
      <c r="BX140" s="5"/>
      <c r="BY140" s="5"/>
      <c r="BZ140" s="5"/>
      <c r="CA140" s="5"/>
    </row>
    <row r="141" spans="1:79" x14ac:dyDescent="0.3">
      <c r="A141" s="14" t="s">
        <v>316</v>
      </c>
      <c r="E141" s="14">
        <f>AVERAGE(E111:E140)</f>
        <v>0.42599999999999993</v>
      </c>
      <c r="I141" s="14" t="s">
        <v>316</v>
      </c>
      <c r="M141" s="14">
        <f>AVERAGE(M111:M140)</f>
        <v>0.32033333333333336</v>
      </c>
      <c r="P141" s="5"/>
      <c r="Q141" s="5"/>
      <c r="R141" s="5"/>
      <c r="S141" s="5"/>
      <c r="U141" s="14" t="s">
        <v>316</v>
      </c>
      <c r="Y141" s="14">
        <f>AVERAGE(Y111:Y140)</f>
        <v>0.54899999999999993</v>
      </c>
      <c r="AC141" s="14" t="s">
        <v>316</v>
      </c>
      <c r="AG141" s="14">
        <f>AVERAGE(AG111:AG140)</f>
        <v>0.33833333333333326</v>
      </c>
      <c r="AJ141" s="5"/>
      <c r="AK141" s="5"/>
      <c r="AL141" s="5"/>
      <c r="AM141" s="5"/>
      <c r="AO141" s="14" t="s">
        <v>316</v>
      </c>
      <c r="AS141" s="14">
        <f>AVERAGE(AS111:AS140)</f>
        <v>0.53766666666666674</v>
      </c>
      <c r="AW141" s="14" t="s">
        <v>316</v>
      </c>
      <c r="BA141" s="14">
        <f>AVERAGE(BA111:BA140)</f>
        <v>0.31866666666666676</v>
      </c>
      <c r="BD141" s="5"/>
      <c r="BE141" s="5"/>
      <c r="BF141" s="5"/>
      <c r="BG141" s="5"/>
      <c r="BI141" s="14" t="s">
        <v>316</v>
      </c>
      <c r="BM141" s="14">
        <f>AVERAGE(BM111:BM140)</f>
        <v>0.49133333333333329</v>
      </c>
      <c r="BQ141" s="14" t="s">
        <v>316</v>
      </c>
      <c r="BU141" s="14">
        <f>AVERAGE(BU111:BU140)</f>
        <v>0.31466666666666665</v>
      </c>
      <c r="BX141" s="5"/>
      <c r="BY141" s="5"/>
      <c r="BZ141" s="5"/>
      <c r="CA141" s="5"/>
    </row>
    <row r="142" spans="1:79" x14ac:dyDescent="0.3">
      <c r="P142" s="5"/>
      <c r="Q142" s="5"/>
      <c r="R142" s="5"/>
      <c r="S142" s="5"/>
      <c r="AJ142" s="5"/>
      <c r="AK142" s="5"/>
      <c r="AL142" s="5"/>
      <c r="AM142" s="5"/>
      <c r="BD142" s="5"/>
      <c r="BE142" s="5"/>
      <c r="BF142" s="5"/>
      <c r="BG142" s="5"/>
      <c r="BX142" s="5"/>
      <c r="BY142" s="5"/>
      <c r="BZ142" s="5"/>
      <c r="CA142" s="5"/>
    </row>
    <row r="143" spans="1:79" x14ac:dyDescent="0.3">
      <c r="P143" s="5"/>
      <c r="Q143" s="5"/>
      <c r="R143" s="5"/>
      <c r="S143" s="5"/>
      <c r="AJ143" s="5"/>
      <c r="AK143" s="5"/>
      <c r="AL143" s="5"/>
      <c r="AM143" s="5"/>
      <c r="BD143" s="5"/>
      <c r="BE143" s="5"/>
      <c r="BF143" s="5"/>
      <c r="BG143" s="5"/>
      <c r="BX143" s="5"/>
      <c r="BY143" s="5"/>
      <c r="BZ143" s="5"/>
      <c r="CA143" s="5"/>
    </row>
    <row r="144" spans="1:79" x14ac:dyDescent="0.3">
      <c r="A144" s="24" t="s">
        <v>314</v>
      </c>
      <c r="B144" s="25"/>
      <c r="C144" s="25"/>
      <c r="D144" s="25"/>
      <c r="E144" s="25"/>
      <c r="F144" s="25"/>
      <c r="G144" s="26"/>
      <c r="I144" s="23" t="s">
        <v>314</v>
      </c>
      <c r="J144" s="23"/>
      <c r="K144" s="23"/>
      <c r="L144" s="23"/>
      <c r="M144" s="23"/>
      <c r="N144" s="23"/>
      <c r="O144" s="23"/>
      <c r="P144" s="11"/>
      <c r="Q144" s="11"/>
      <c r="R144" s="11"/>
      <c r="S144" s="11"/>
      <c r="U144" s="23" t="s">
        <v>314</v>
      </c>
      <c r="V144" s="23"/>
      <c r="W144" s="23"/>
      <c r="X144" s="23"/>
      <c r="Y144" s="23"/>
      <c r="Z144" s="23"/>
      <c r="AA144" s="23"/>
      <c r="AC144" s="23" t="s">
        <v>314</v>
      </c>
      <c r="AD144" s="23"/>
      <c r="AE144" s="23"/>
      <c r="AF144" s="23"/>
      <c r="AG144" s="23"/>
      <c r="AH144" s="23"/>
      <c r="AI144" s="23"/>
      <c r="AJ144" s="11"/>
      <c r="AK144" s="11"/>
      <c r="AL144" s="11"/>
      <c r="AM144" s="11"/>
      <c r="AO144" s="24" t="s">
        <v>314</v>
      </c>
      <c r="AP144" s="25"/>
      <c r="AQ144" s="25"/>
      <c r="AR144" s="25"/>
      <c r="AS144" s="25"/>
      <c r="AT144" s="25"/>
      <c r="AU144" s="26"/>
      <c r="AW144" s="23" t="s">
        <v>314</v>
      </c>
      <c r="AX144" s="23"/>
      <c r="AY144" s="23"/>
      <c r="AZ144" s="23"/>
      <c r="BA144" s="23"/>
      <c r="BB144" s="23"/>
      <c r="BC144" s="23"/>
      <c r="BD144" s="11"/>
      <c r="BE144" s="11"/>
      <c r="BF144" s="11"/>
      <c r="BG144" s="11"/>
      <c r="BI144" s="24" t="s">
        <v>314</v>
      </c>
      <c r="BJ144" s="25"/>
      <c r="BK144" s="25"/>
      <c r="BL144" s="25"/>
      <c r="BM144" s="25"/>
      <c r="BN144" s="25"/>
      <c r="BO144" s="26"/>
      <c r="BQ144" s="23" t="s">
        <v>314</v>
      </c>
      <c r="BR144" s="23"/>
      <c r="BS144" s="23"/>
      <c r="BT144" s="23"/>
      <c r="BU144" s="23"/>
      <c r="BV144" s="23"/>
      <c r="BW144" s="23"/>
      <c r="BX144" s="11"/>
      <c r="BY144" s="11"/>
      <c r="BZ144" s="11"/>
      <c r="CA144" s="11"/>
    </row>
    <row r="145" spans="1:79" x14ac:dyDescent="0.3">
      <c r="A145" s="4" t="s">
        <v>70</v>
      </c>
      <c r="B145" s="4"/>
      <c r="C145" s="4"/>
      <c r="D145" s="4"/>
      <c r="E145" s="4"/>
      <c r="F145" s="4"/>
      <c r="G145" s="4"/>
      <c r="I145" s="23" t="s">
        <v>70</v>
      </c>
      <c r="J145" s="23"/>
      <c r="K145" s="23"/>
      <c r="L145" s="23"/>
      <c r="M145" s="23"/>
      <c r="N145" s="23"/>
      <c r="O145" s="23"/>
      <c r="P145" s="11"/>
      <c r="Q145" s="11"/>
      <c r="R145" s="11"/>
      <c r="S145" s="11"/>
      <c r="U145" s="4" t="s">
        <v>71</v>
      </c>
      <c r="V145" s="4"/>
      <c r="W145" s="4"/>
      <c r="X145" s="4"/>
      <c r="Y145" s="4"/>
      <c r="Z145" s="4"/>
      <c r="AA145" s="4"/>
      <c r="AC145" s="23" t="s">
        <v>71</v>
      </c>
      <c r="AD145" s="23"/>
      <c r="AE145" s="23"/>
      <c r="AF145" s="23"/>
      <c r="AG145" s="23"/>
      <c r="AH145" s="23"/>
      <c r="AI145" s="23"/>
      <c r="AJ145" s="11"/>
      <c r="AK145" s="11"/>
      <c r="AL145" s="11"/>
      <c r="AM145" s="11"/>
      <c r="AO145" s="4" t="s">
        <v>70</v>
      </c>
      <c r="AP145" s="4"/>
      <c r="AQ145" s="4"/>
      <c r="AR145" s="4"/>
      <c r="AS145" s="4"/>
      <c r="AT145" s="4"/>
      <c r="AU145" s="4"/>
      <c r="AW145" s="23" t="s">
        <v>70</v>
      </c>
      <c r="AX145" s="23"/>
      <c r="AY145" s="23"/>
      <c r="AZ145" s="23"/>
      <c r="BA145" s="23"/>
      <c r="BB145" s="23"/>
      <c r="BC145" s="23"/>
      <c r="BD145" s="11"/>
      <c r="BE145" s="11"/>
      <c r="BF145" s="11"/>
      <c r="BG145" s="11"/>
      <c r="BI145" s="4" t="s">
        <v>71</v>
      </c>
      <c r="BJ145" s="4"/>
      <c r="BK145" s="4"/>
      <c r="BL145" s="4"/>
      <c r="BM145" s="4"/>
      <c r="BN145" s="4"/>
      <c r="BO145" s="4"/>
      <c r="BQ145" s="23" t="s">
        <v>71</v>
      </c>
      <c r="BR145" s="23"/>
      <c r="BS145" s="23"/>
      <c r="BT145" s="23"/>
      <c r="BU145" s="23"/>
      <c r="BV145" s="23"/>
      <c r="BW145" s="23"/>
      <c r="BX145" s="11"/>
      <c r="BY145" s="11"/>
      <c r="BZ145" s="11"/>
      <c r="CA145" s="11"/>
    </row>
    <row r="146" spans="1:79" x14ac:dyDescent="0.3">
      <c r="A146" s="4" t="s">
        <v>2</v>
      </c>
      <c r="B146" s="4" t="s">
        <v>3</v>
      </c>
      <c r="C146" s="4" t="s">
        <v>4</v>
      </c>
      <c r="D146" s="4" t="s">
        <v>5</v>
      </c>
      <c r="E146" s="4" t="s">
        <v>6</v>
      </c>
      <c r="F146" s="4" t="s">
        <v>7</v>
      </c>
      <c r="G146" s="4" t="s">
        <v>8</v>
      </c>
      <c r="I146" s="4" t="s">
        <v>2</v>
      </c>
      <c r="J146" s="4" t="s">
        <v>3</v>
      </c>
      <c r="K146" s="4" t="s">
        <v>4</v>
      </c>
      <c r="L146" s="4" t="s">
        <v>5</v>
      </c>
      <c r="M146" s="4" t="s">
        <v>6</v>
      </c>
      <c r="N146" s="4" t="s">
        <v>7</v>
      </c>
      <c r="O146" s="4" t="s">
        <v>8</v>
      </c>
      <c r="P146" s="3" t="s">
        <v>322</v>
      </c>
      <c r="Q146" s="3" t="s">
        <v>323</v>
      </c>
      <c r="R146" s="3" t="s">
        <v>322</v>
      </c>
      <c r="S146" s="3" t="s">
        <v>323</v>
      </c>
      <c r="U146" s="4" t="s">
        <v>2</v>
      </c>
      <c r="V146" s="4" t="s">
        <v>3</v>
      </c>
      <c r="W146" s="4" t="s">
        <v>4</v>
      </c>
      <c r="X146" s="4" t="s">
        <v>5</v>
      </c>
      <c r="Y146" s="4" t="s">
        <v>6</v>
      </c>
      <c r="Z146" s="4" t="s">
        <v>7</v>
      </c>
      <c r="AA146" s="4" t="s">
        <v>8</v>
      </c>
      <c r="AC146" s="4" t="s">
        <v>2</v>
      </c>
      <c r="AD146" s="4" t="s">
        <v>3</v>
      </c>
      <c r="AE146" s="4" t="s">
        <v>4</v>
      </c>
      <c r="AF146" s="4" t="s">
        <v>5</v>
      </c>
      <c r="AG146" s="4" t="s">
        <v>6</v>
      </c>
      <c r="AH146" s="4" t="s">
        <v>7</v>
      </c>
      <c r="AI146" s="4" t="s">
        <v>8</v>
      </c>
      <c r="AJ146" s="3" t="s">
        <v>322</v>
      </c>
      <c r="AK146" s="3" t="s">
        <v>323</v>
      </c>
      <c r="AL146" s="3" t="s">
        <v>322</v>
      </c>
      <c r="AM146" s="3" t="s">
        <v>323</v>
      </c>
      <c r="AO146" s="4" t="s">
        <v>2</v>
      </c>
      <c r="AP146" s="4" t="s">
        <v>3</v>
      </c>
      <c r="AQ146" s="4" t="s">
        <v>4</v>
      </c>
      <c r="AR146" s="4" t="s">
        <v>5</v>
      </c>
      <c r="AS146" s="4" t="s">
        <v>6</v>
      </c>
      <c r="AT146" s="4" t="s">
        <v>7</v>
      </c>
      <c r="AU146" s="4" t="s">
        <v>8</v>
      </c>
      <c r="AW146" s="4" t="s">
        <v>2</v>
      </c>
      <c r="AX146" s="4" t="s">
        <v>3</v>
      </c>
      <c r="AY146" s="4" t="s">
        <v>4</v>
      </c>
      <c r="AZ146" s="4" t="s">
        <v>5</v>
      </c>
      <c r="BA146" s="4" t="s">
        <v>6</v>
      </c>
      <c r="BB146" s="4" t="s">
        <v>7</v>
      </c>
      <c r="BC146" s="4" t="s">
        <v>8</v>
      </c>
      <c r="BD146" s="3" t="s">
        <v>322</v>
      </c>
      <c r="BE146" s="3" t="s">
        <v>323</v>
      </c>
      <c r="BF146" s="3" t="s">
        <v>322</v>
      </c>
      <c r="BG146" s="3" t="s">
        <v>323</v>
      </c>
      <c r="BI146" s="4" t="s">
        <v>2</v>
      </c>
      <c r="BJ146" s="4" t="s">
        <v>3</v>
      </c>
      <c r="BK146" s="4" t="s">
        <v>4</v>
      </c>
      <c r="BL146" s="4" t="s">
        <v>5</v>
      </c>
      <c r="BM146" s="4" t="s">
        <v>6</v>
      </c>
      <c r="BN146" s="4" t="s">
        <v>7</v>
      </c>
      <c r="BO146" s="4" t="s">
        <v>8</v>
      </c>
      <c r="BQ146" s="4" t="s">
        <v>2</v>
      </c>
      <c r="BR146" s="4" t="s">
        <v>3</v>
      </c>
      <c r="BS146" s="4" t="s">
        <v>4</v>
      </c>
      <c r="BT146" s="4" t="s">
        <v>5</v>
      </c>
      <c r="BU146" s="4" t="s">
        <v>6</v>
      </c>
      <c r="BV146" s="4" t="s">
        <v>7</v>
      </c>
      <c r="BW146" s="4" t="s">
        <v>8</v>
      </c>
      <c r="BX146" s="3" t="s">
        <v>322</v>
      </c>
      <c r="BY146" s="3" t="s">
        <v>323</v>
      </c>
      <c r="BZ146" s="3" t="s">
        <v>322</v>
      </c>
      <c r="CA146" s="3" t="s">
        <v>323</v>
      </c>
    </row>
    <row r="147" spans="1:79" x14ac:dyDescent="0.3">
      <c r="A147" s="4" t="s">
        <v>74</v>
      </c>
      <c r="B147" s="4">
        <v>0.9</v>
      </c>
      <c r="C147" s="4">
        <v>0.5</v>
      </c>
      <c r="D147" s="4">
        <v>0.6</v>
      </c>
      <c r="E147" s="4">
        <v>0.01</v>
      </c>
      <c r="F147" s="4">
        <v>429.75</v>
      </c>
      <c r="G147" s="4">
        <v>2.7E-2</v>
      </c>
      <c r="I147" s="4" t="s">
        <v>74</v>
      </c>
      <c r="J147" s="4">
        <v>0.9</v>
      </c>
      <c r="K147" s="4">
        <v>0.5</v>
      </c>
      <c r="L147" s="4">
        <v>0.6</v>
      </c>
      <c r="M147" s="4">
        <v>0.3</v>
      </c>
      <c r="N147" s="6">
        <v>404.11584499999998</v>
      </c>
      <c r="O147" s="4">
        <v>1E-3</v>
      </c>
      <c r="P147" s="4" t="s">
        <v>327</v>
      </c>
      <c r="Q147" s="4" t="s">
        <v>327</v>
      </c>
      <c r="R147" s="4" t="s">
        <v>326</v>
      </c>
      <c r="S147" s="4" t="s">
        <v>326</v>
      </c>
      <c r="U147" s="4" t="s">
        <v>74</v>
      </c>
      <c r="V147" s="4">
        <v>0.9</v>
      </c>
      <c r="W147" s="4">
        <v>0.5</v>
      </c>
      <c r="X147" s="4">
        <v>0.6</v>
      </c>
      <c r="Y147" s="4">
        <v>0.01</v>
      </c>
      <c r="Z147" s="4">
        <v>405.03613300000001</v>
      </c>
      <c r="AA147" s="4">
        <v>3.1E-2</v>
      </c>
      <c r="AC147" s="4" t="s">
        <v>74</v>
      </c>
      <c r="AD147" s="4">
        <v>0.9</v>
      </c>
      <c r="AE147" s="4">
        <v>0.5</v>
      </c>
      <c r="AF147" s="4">
        <v>0.6</v>
      </c>
      <c r="AG147" s="4">
        <v>0.36</v>
      </c>
      <c r="AH147" s="6">
        <v>379.26654100000002</v>
      </c>
      <c r="AI147" s="4">
        <v>0</v>
      </c>
      <c r="AJ147" s="4" t="s">
        <v>327</v>
      </c>
      <c r="AK147" s="4" t="s">
        <v>327</v>
      </c>
      <c r="AL147" s="4" t="s">
        <v>326</v>
      </c>
      <c r="AM147" s="4" t="s">
        <v>326</v>
      </c>
      <c r="AO147" s="4" t="s">
        <v>75</v>
      </c>
      <c r="AP147" s="4">
        <v>0.9</v>
      </c>
      <c r="AQ147" s="4">
        <v>0.5</v>
      </c>
      <c r="AR147" s="4">
        <v>0.6</v>
      </c>
      <c r="AS147" s="4">
        <v>0.01</v>
      </c>
      <c r="AT147" s="6">
        <v>685.51715100000001</v>
      </c>
      <c r="AU147" s="4">
        <v>0.02</v>
      </c>
      <c r="AW147" s="4" t="s">
        <v>75</v>
      </c>
      <c r="AX147" s="4">
        <v>0.9</v>
      </c>
      <c r="AY147" s="4">
        <v>0.5</v>
      </c>
      <c r="AZ147" s="4">
        <v>0.6</v>
      </c>
      <c r="BA147" s="4">
        <v>0.3</v>
      </c>
      <c r="BB147" s="4">
        <v>740.92761199999995</v>
      </c>
      <c r="BC147" s="4">
        <v>6.0000000000000001E-3</v>
      </c>
      <c r="BD147" s="4" t="s">
        <v>327</v>
      </c>
      <c r="BE147" s="4" t="s">
        <v>327</v>
      </c>
      <c r="BF147" s="4" t="s">
        <v>326</v>
      </c>
      <c r="BG147" s="4" t="s">
        <v>326</v>
      </c>
      <c r="BI147" s="4" t="s">
        <v>75</v>
      </c>
      <c r="BJ147" s="4">
        <v>0.9</v>
      </c>
      <c r="BK147" s="4">
        <v>0.5</v>
      </c>
      <c r="BL147" s="4">
        <v>0.6</v>
      </c>
      <c r="BM147" s="4">
        <v>0.01</v>
      </c>
      <c r="BN147" s="6">
        <v>654.31719999999996</v>
      </c>
      <c r="BO147" s="4">
        <v>2.4E-2</v>
      </c>
      <c r="BQ147" s="4" t="s">
        <v>75</v>
      </c>
      <c r="BR147" s="4">
        <v>0.9</v>
      </c>
      <c r="BS147" s="4">
        <v>0.5</v>
      </c>
      <c r="BT147" s="4">
        <v>0.6</v>
      </c>
      <c r="BU147" s="4">
        <v>0.31</v>
      </c>
      <c r="BV147" s="4">
        <v>707.48303199999998</v>
      </c>
      <c r="BW147" s="4">
        <v>4.0000000000000001E-3</v>
      </c>
      <c r="BX147" s="4" t="s">
        <v>327</v>
      </c>
      <c r="BY147" s="4" t="s">
        <v>327</v>
      </c>
      <c r="BZ147" s="4" t="s">
        <v>326</v>
      </c>
      <c r="CA147" s="4" t="s">
        <v>326</v>
      </c>
    </row>
    <row r="148" spans="1:79" x14ac:dyDescent="0.3">
      <c r="A148" s="4" t="s">
        <v>76</v>
      </c>
      <c r="B148" s="4">
        <v>0.9</v>
      </c>
      <c r="C148" s="4">
        <v>0.5</v>
      </c>
      <c r="D148" s="4">
        <v>0.6</v>
      </c>
      <c r="E148" s="4">
        <v>0.77</v>
      </c>
      <c r="F148" s="4">
        <v>492.788544</v>
      </c>
      <c r="G148" s="4">
        <v>1.2999999999999999E-2</v>
      </c>
      <c r="I148" s="4" t="s">
        <v>76</v>
      </c>
      <c r="J148" s="4">
        <v>0.9</v>
      </c>
      <c r="K148" s="4">
        <v>0.5</v>
      </c>
      <c r="L148" s="4">
        <v>0.6</v>
      </c>
      <c r="M148" s="4">
        <v>0.31</v>
      </c>
      <c r="N148" s="6">
        <v>442.72726399999999</v>
      </c>
      <c r="O148" s="4">
        <v>1E-3</v>
      </c>
      <c r="P148" s="3">
        <f>COUNT(F150,F152,F155,F161,F163,F165,F168:F171,F173)</f>
        <v>11</v>
      </c>
      <c r="Q148" s="3">
        <f>30-P148</f>
        <v>19</v>
      </c>
      <c r="R148" s="3">
        <f>COUNT(N147:N149,N151,N153:N154,N156:N160,N162,N164,N166:N167,N172,N174:N176)</f>
        <v>19</v>
      </c>
      <c r="S148" s="3">
        <f>30-R148</f>
        <v>11</v>
      </c>
      <c r="U148" s="4" t="s">
        <v>76</v>
      </c>
      <c r="V148" s="4">
        <v>0.9</v>
      </c>
      <c r="W148" s="4">
        <v>0.5</v>
      </c>
      <c r="X148" s="4">
        <v>0.6</v>
      </c>
      <c r="Y148" s="4">
        <v>0.18</v>
      </c>
      <c r="Z148" s="6">
        <v>407.28213499999998</v>
      </c>
      <c r="AA148" s="4">
        <v>2.9000000000000001E-2</v>
      </c>
      <c r="AC148" s="4" t="s">
        <v>76</v>
      </c>
      <c r="AD148" s="4">
        <v>0.9</v>
      </c>
      <c r="AE148" s="4">
        <v>0.5</v>
      </c>
      <c r="AF148" s="4">
        <v>0.6</v>
      </c>
      <c r="AG148" s="4">
        <v>0.3</v>
      </c>
      <c r="AH148" s="4">
        <v>413.67385899999999</v>
      </c>
      <c r="AI148" s="4">
        <v>1E-3</v>
      </c>
      <c r="AJ148" s="3">
        <f>COUNT(Z148,Z152,Z155,Z161,Z166,Z168,Z170,Z174)</f>
        <v>8</v>
      </c>
      <c r="AK148" s="3">
        <f>30-AJ148</f>
        <v>22</v>
      </c>
      <c r="AL148" s="3">
        <f>COUNT(AH147,AH149:AH151,AH153:AH154,AH156:AH160,AH162:AH165,AH167,AH169,AH171:AH173,AH175:AH176)</f>
        <v>22</v>
      </c>
      <c r="AM148" s="3">
        <f>30-AL148</f>
        <v>8</v>
      </c>
      <c r="AO148" s="4" t="s">
        <v>77</v>
      </c>
      <c r="AP148" s="4">
        <v>0.9</v>
      </c>
      <c r="AQ148" s="4">
        <v>0.5</v>
      </c>
      <c r="AR148" s="4">
        <v>0.6</v>
      </c>
      <c r="AS148" s="4">
        <v>0.93</v>
      </c>
      <c r="AT148" s="4">
        <v>981.21649200000002</v>
      </c>
      <c r="AU148" s="4">
        <v>2.5999999999999999E-2</v>
      </c>
      <c r="AW148" s="4" t="s">
        <v>77</v>
      </c>
      <c r="AX148" s="4">
        <v>0.9</v>
      </c>
      <c r="AY148" s="4">
        <v>0.5</v>
      </c>
      <c r="AZ148" s="4">
        <v>0.6</v>
      </c>
      <c r="BA148" s="4">
        <v>0.34</v>
      </c>
      <c r="BB148" s="6">
        <v>820.79418899999996</v>
      </c>
      <c r="BC148" s="4">
        <v>6.0000000000000001E-3</v>
      </c>
      <c r="BD148" s="3">
        <f>COUNT(AT147,AT149,AT156,AT162,AT171:AT174,AT176)</f>
        <v>9</v>
      </c>
      <c r="BE148" s="3">
        <f>30-BD148</f>
        <v>21</v>
      </c>
      <c r="BF148" s="3">
        <f>COUNT(BB148,BB150:BB155,BB157:BB161,BB163:BB170,BB175)</f>
        <v>21</v>
      </c>
      <c r="BG148" s="3">
        <f>30-BF148</f>
        <v>9</v>
      </c>
      <c r="BI148" s="4" t="s">
        <v>77</v>
      </c>
      <c r="BJ148" s="4">
        <v>0.9</v>
      </c>
      <c r="BK148" s="4">
        <v>0.5</v>
      </c>
      <c r="BL148" s="4">
        <v>0.6</v>
      </c>
      <c r="BM148" s="4">
        <v>0.57999999999999996</v>
      </c>
      <c r="BN148" s="4">
        <v>909.81262200000003</v>
      </c>
      <c r="BO148" s="4">
        <v>1.7999999999999999E-2</v>
      </c>
      <c r="BQ148" s="4" t="s">
        <v>77</v>
      </c>
      <c r="BR148" s="4">
        <v>0.9</v>
      </c>
      <c r="BS148" s="4">
        <v>0.5</v>
      </c>
      <c r="BT148" s="4">
        <v>0.6</v>
      </c>
      <c r="BU148" s="4">
        <v>0.32</v>
      </c>
      <c r="BV148" s="6">
        <v>778.41570999999999</v>
      </c>
      <c r="BW148" s="4">
        <v>5.0000000000000001E-3</v>
      </c>
      <c r="BX148" s="3">
        <f>COUNT(BN147,BN149,BN153,BN158,BN160,BN163:BN165,BN167,BN170,BN173,BN175:BN176)</f>
        <v>13</v>
      </c>
      <c r="BY148" s="3">
        <f>30-BX148</f>
        <v>17</v>
      </c>
      <c r="BZ148" s="3">
        <f>COUNT(BV148,BV150:BV152,BV154:BV157,BV159,BV161:BV162,BV166,BV168:BV169,BV171:BV172,BV174)</f>
        <v>17</v>
      </c>
      <c r="CA148" s="3">
        <f>30-BZ148</f>
        <v>13</v>
      </c>
    </row>
    <row r="149" spans="1:79" x14ac:dyDescent="0.3">
      <c r="A149" s="4" t="s">
        <v>78</v>
      </c>
      <c r="B149" s="4">
        <v>0.9</v>
      </c>
      <c r="C149" s="4">
        <v>0.5</v>
      </c>
      <c r="D149" s="4">
        <v>0.6</v>
      </c>
      <c r="E149" s="4">
        <v>0.35</v>
      </c>
      <c r="F149" s="4">
        <v>436.52801499999998</v>
      </c>
      <c r="G149" s="4">
        <v>1.0999999999999999E-2</v>
      </c>
      <c r="I149" s="4" t="s">
        <v>78</v>
      </c>
      <c r="J149" s="4">
        <v>0.9</v>
      </c>
      <c r="K149" s="4">
        <v>0.5</v>
      </c>
      <c r="L149" s="4">
        <v>0.6</v>
      </c>
      <c r="M149" s="4">
        <v>0.3</v>
      </c>
      <c r="N149" s="6">
        <v>430.92837500000002</v>
      </c>
      <c r="O149" s="4">
        <v>1E-3</v>
      </c>
      <c r="P149" s="5"/>
      <c r="Q149" s="5"/>
      <c r="R149" s="5"/>
      <c r="S149" s="5"/>
      <c r="U149" s="4" t="s">
        <v>78</v>
      </c>
      <c r="V149" s="4">
        <v>0.9</v>
      </c>
      <c r="W149" s="4">
        <v>0.5</v>
      </c>
      <c r="X149" s="4">
        <v>0.6</v>
      </c>
      <c r="Y149" s="4">
        <v>0.78</v>
      </c>
      <c r="Z149" s="4">
        <v>436.404022</v>
      </c>
      <c r="AA149" s="4">
        <v>8.0000000000000002E-3</v>
      </c>
      <c r="AC149" s="4" t="s">
        <v>78</v>
      </c>
      <c r="AD149" s="4">
        <v>0.9</v>
      </c>
      <c r="AE149" s="4">
        <v>0.5</v>
      </c>
      <c r="AF149" s="4">
        <v>0.6</v>
      </c>
      <c r="AG149" s="4">
        <v>0.33</v>
      </c>
      <c r="AH149" s="6">
        <v>405.70871</v>
      </c>
      <c r="AI149" s="4">
        <v>1E-3</v>
      </c>
      <c r="AJ149" s="5"/>
      <c r="AK149" s="5"/>
      <c r="AL149" s="5"/>
      <c r="AM149" s="5"/>
      <c r="AO149" s="4" t="s">
        <v>79</v>
      </c>
      <c r="AP149" s="4">
        <v>0.9</v>
      </c>
      <c r="AQ149" s="4">
        <v>0.5</v>
      </c>
      <c r="AR149" s="4">
        <v>0.6</v>
      </c>
      <c r="AS149" s="4">
        <v>0.16</v>
      </c>
      <c r="AT149" s="6">
        <v>703.22216800000001</v>
      </c>
      <c r="AU149" s="4">
        <v>2.4E-2</v>
      </c>
      <c r="AW149" s="4" t="s">
        <v>79</v>
      </c>
      <c r="AX149" s="4">
        <v>0.9</v>
      </c>
      <c r="AY149" s="4">
        <v>0.5</v>
      </c>
      <c r="AZ149" s="4">
        <v>0.6</v>
      </c>
      <c r="BA149" s="4">
        <v>0.3</v>
      </c>
      <c r="BB149" s="4">
        <v>809.052368</v>
      </c>
      <c r="BC149" s="4">
        <v>7.0000000000000001E-3</v>
      </c>
      <c r="BD149" s="5"/>
      <c r="BE149" s="5"/>
      <c r="BF149" s="5"/>
      <c r="BG149" s="5"/>
      <c r="BI149" s="4" t="s">
        <v>79</v>
      </c>
      <c r="BJ149" s="4">
        <v>0.9</v>
      </c>
      <c r="BK149" s="4">
        <v>0.5</v>
      </c>
      <c r="BL149" s="4">
        <v>0.6</v>
      </c>
      <c r="BM149" s="4">
        <v>0.24</v>
      </c>
      <c r="BN149" s="6">
        <v>715.59814500000005</v>
      </c>
      <c r="BO149" s="4">
        <v>0.01</v>
      </c>
      <c r="BQ149" s="4" t="s">
        <v>79</v>
      </c>
      <c r="BR149" s="4">
        <v>0.9</v>
      </c>
      <c r="BS149" s="4">
        <v>0.5</v>
      </c>
      <c r="BT149" s="4">
        <v>0.6</v>
      </c>
      <c r="BU149" s="4">
        <v>0.31</v>
      </c>
      <c r="BV149" s="4">
        <v>768.84368900000004</v>
      </c>
      <c r="BW149" s="4">
        <v>4.0000000000000001E-3</v>
      </c>
      <c r="BX149" s="5"/>
      <c r="BY149" s="5"/>
      <c r="BZ149" s="5"/>
      <c r="CA149" s="5"/>
    </row>
    <row r="150" spans="1:79" x14ac:dyDescent="0.3">
      <c r="A150" s="4" t="s">
        <v>80</v>
      </c>
      <c r="B150" s="4">
        <v>0.9</v>
      </c>
      <c r="C150" s="4">
        <v>0.5</v>
      </c>
      <c r="D150" s="4">
        <v>0.6</v>
      </c>
      <c r="E150" s="4">
        <v>0.2</v>
      </c>
      <c r="F150" s="6">
        <v>461.60003699999999</v>
      </c>
      <c r="G150" s="4">
        <v>2.1000000000000001E-2</v>
      </c>
      <c r="I150" s="4" t="s">
        <v>80</v>
      </c>
      <c r="J150" s="4">
        <v>0.9</v>
      </c>
      <c r="K150" s="4">
        <v>0.5</v>
      </c>
      <c r="L150" s="4">
        <v>0.6</v>
      </c>
      <c r="M150" s="4">
        <v>0.36</v>
      </c>
      <c r="N150" s="4">
        <v>469.467804</v>
      </c>
      <c r="O150" s="4">
        <v>1E-3</v>
      </c>
      <c r="P150" s="5"/>
      <c r="Q150" s="5"/>
      <c r="R150" s="5"/>
      <c r="S150" s="5"/>
      <c r="U150" s="4" t="s">
        <v>80</v>
      </c>
      <c r="V150" s="4">
        <v>0.9</v>
      </c>
      <c r="W150" s="4">
        <v>0.5</v>
      </c>
      <c r="X150" s="4">
        <v>0.6</v>
      </c>
      <c r="Y150" s="4">
        <v>0.7</v>
      </c>
      <c r="Z150" s="4">
        <v>470.20062300000001</v>
      </c>
      <c r="AA150" s="4">
        <v>0.01</v>
      </c>
      <c r="AC150" s="4" t="s">
        <v>80</v>
      </c>
      <c r="AD150" s="4">
        <v>0.9</v>
      </c>
      <c r="AE150" s="4">
        <v>0.5</v>
      </c>
      <c r="AF150" s="4">
        <v>0.6</v>
      </c>
      <c r="AG150" s="4">
        <v>0.34</v>
      </c>
      <c r="AH150" s="6">
        <v>424.53918499999997</v>
      </c>
      <c r="AI150" s="4">
        <v>1E-3</v>
      </c>
      <c r="AJ150" s="5"/>
      <c r="AK150" s="5"/>
      <c r="AL150" s="5"/>
      <c r="AM150" s="5"/>
      <c r="AO150" s="4" t="s">
        <v>81</v>
      </c>
      <c r="AP150" s="4">
        <v>0.9</v>
      </c>
      <c r="AQ150" s="4">
        <v>0.5</v>
      </c>
      <c r="AR150" s="4">
        <v>0.6</v>
      </c>
      <c r="AS150" s="4">
        <v>0.39</v>
      </c>
      <c r="AT150" s="4">
        <v>764.69354199999998</v>
      </c>
      <c r="AU150" s="4">
        <v>2.1999999999999999E-2</v>
      </c>
      <c r="AW150" s="4" t="s">
        <v>81</v>
      </c>
      <c r="AX150" s="4">
        <v>0.9</v>
      </c>
      <c r="AY150" s="4">
        <v>0.5</v>
      </c>
      <c r="AZ150" s="4">
        <v>0.6</v>
      </c>
      <c r="BA150" s="4">
        <v>0.32</v>
      </c>
      <c r="BB150" s="6">
        <v>754.72351100000003</v>
      </c>
      <c r="BC150" s="4">
        <v>5.0000000000000001E-3</v>
      </c>
      <c r="BD150" s="5"/>
      <c r="BE150" s="5"/>
      <c r="BF150" s="5"/>
      <c r="BG150" s="5"/>
      <c r="BI150" s="4" t="s">
        <v>81</v>
      </c>
      <c r="BJ150" s="4">
        <v>0.9</v>
      </c>
      <c r="BK150" s="4">
        <v>0.5</v>
      </c>
      <c r="BL150" s="4">
        <v>0.6</v>
      </c>
      <c r="BM150" s="4">
        <v>0.38</v>
      </c>
      <c r="BN150" s="4">
        <v>734.790344</v>
      </c>
      <c r="BO150" s="4">
        <v>1.7999999999999999E-2</v>
      </c>
      <c r="BQ150" s="4" t="s">
        <v>81</v>
      </c>
      <c r="BR150" s="4">
        <v>0.9</v>
      </c>
      <c r="BS150" s="4">
        <v>0.5</v>
      </c>
      <c r="BT150" s="4">
        <v>0.6</v>
      </c>
      <c r="BU150" s="4">
        <v>0.31</v>
      </c>
      <c r="BV150" s="6">
        <v>717.15136700000005</v>
      </c>
      <c r="BW150" s="4">
        <v>4.0000000000000001E-3</v>
      </c>
      <c r="BX150" s="5"/>
      <c r="BY150" s="5"/>
      <c r="BZ150" s="5"/>
      <c r="CA150" s="5"/>
    </row>
    <row r="151" spans="1:79" x14ac:dyDescent="0.3">
      <c r="A151" s="4" t="s">
        <v>82</v>
      </c>
      <c r="B151" s="4">
        <v>0.9</v>
      </c>
      <c r="C151" s="4">
        <v>0.5</v>
      </c>
      <c r="D151" s="4">
        <v>0.6</v>
      </c>
      <c r="E151" s="4">
        <v>0.96</v>
      </c>
      <c r="F151" s="4">
        <v>516.67425500000002</v>
      </c>
      <c r="G151" s="4">
        <v>6.0000000000000001E-3</v>
      </c>
      <c r="I151" s="4" t="s">
        <v>82</v>
      </c>
      <c r="J151" s="4">
        <v>0.9</v>
      </c>
      <c r="K151" s="4">
        <v>0.5</v>
      </c>
      <c r="L151" s="4">
        <v>0.6</v>
      </c>
      <c r="M151" s="4">
        <v>0.37</v>
      </c>
      <c r="N151" s="6">
        <v>429.70715300000001</v>
      </c>
      <c r="O151" s="4">
        <v>2E-3</v>
      </c>
      <c r="P151" s="5"/>
      <c r="Q151" s="5"/>
      <c r="R151" s="5"/>
      <c r="S151" s="5"/>
      <c r="U151" s="4" t="s">
        <v>82</v>
      </c>
      <c r="V151" s="4">
        <v>0.9</v>
      </c>
      <c r="W151" s="4">
        <v>0.5</v>
      </c>
      <c r="X151" s="4">
        <v>0.6</v>
      </c>
      <c r="Y151" s="4">
        <v>0.88</v>
      </c>
      <c r="Z151" s="4">
        <v>447.766571</v>
      </c>
      <c r="AA151" s="4">
        <v>1.4E-2</v>
      </c>
      <c r="AC151" s="4" t="s">
        <v>82</v>
      </c>
      <c r="AD151" s="4">
        <v>0.9</v>
      </c>
      <c r="AE151" s="4">
        <v>0.5</v>
      </c>
      <c r="AF151" s="4">
        <v>0.6</v>
      </c>
      <c r="AG151" s="4">
        <v>0.36</v>
      </c>
      <c r="AH151" s="6">
        <v>407.24176</v>
      </c>
      <c r="AI151" s="4">
        <v>2E-3</v>
      </c>
      <c r="AJ151" s="5"/>
      <c r="AK151" s="5"/>
      <c r="AL151" s="5"/>
      <c r="AM151" s="5"/>
      <c r="AO151" s="4" t="s">
        <v>83</v>
      </c>
      <c r="AP151" s="4">
        <v>0.9</v>
      </c>
      <c r="AQ151" s="4">
        <v>0.5</v>
      </c>
      <c r="AR151" s="4">
        <v>0.6</v>
      </c>
      <c r="AS151" s="4">
        <v>0.39</v>
      </c>
      <c r="AT151" s="4">
        <v>797.86962900000003</v>
      </c>
      <c r="AU151" s="4">
        <v>2.5000000000000001E-2</v>
      </c>
      <c r="AW151" s="4" t="s">
        <v>83</v>
      </c>
      <c r="AX151" s="4">
        <v>0.9</v>
      </c>
      <c r="AY151" s="4">
        <v>0.5</v>
      </c>
      <c r="AZ151" s="4">
        <v>0.6</v>
      </c>
      <c r="BA151" s="4">
        <v>0.35</v>
      </c>
      <c r="BB151" s="6">
        <v>775.46264599999995</v>
      </c>
      <c r="BC151" s="4">
        <v>6.0000000000000001E-3</v>
      </c>
      <c r="BD151" s="5"/>
      <c r="BE151" s="5"/>
      <c r="BF151" s="5"/>
      <c r="BG151" s="5"/>
      <c r="BI151" s="4" t="s">
        <v>83</v>
      </c>
      <c r="BJ151" s="4">
        <v>0.9</v>
      </c>
      <c r="BK151" s="4">
        <v>0.5</v>
      </c>
      <c r="BL151" s="4">
        <v>0.6</v>
      </c>
      <c r="BM151" s="4">
        <v>0.48</v>
      </c>
      <c r="BN151" s="4">
        <v>800.00701900000001</v>
      </c>
      <c r="BO151" s="4">
        <v>2.1999999999999999E-2</v>
      </c>
      <c r="BQ151" s="4" t="s">
        <v>83</v>
      </c>
      <c r="BR151" s="4">
        <v>0.9</v>
      </c>
      <c r="BS151" s="4">
        <v>0.5</v>
      </c>
      <c r="BT151" s="4">
        <v>0.6</v>
      </c>
      <c r="BU151" s="4">
        <v>0.33</v>
      </c>
      <c r="BV151" s="6">
        <v>744.37591599999996</v>
      </c>
      <c r="BW151" s="4">
        <v>4.0000000000000001E-3</v>
      </c>
      <c r="BX151" s="5"/>
      <c r="BY151" s="5"/>
      <c r="BZ151" s="5"/>
      <c r="CA151" s="5"/>
    </row>
    <row r="152" spans="1:79" x14ac:dyDescent="0.3">
      <c r="A152" s="4" t="s">
        <v>84</v>
      </c>
      <c r="B152" s="4">
        <v>0.9</v>
      </c>
      <c r="C152" s="4">
        <v>0.5</v>
      </c>
      <c r="D152" s="4">
        <v>0.6</v>
      </c>
      <c r="E152" s="4">
        <v>0.19</v>
      </c>
      <c r="F152" s="6">
        <v>521.63586399999997</v>
      </c>
      <c r="G152" s="4">
        <v>1.7999999999999999E-2</v>
      </c>
      <c r="I152" s="4" t="s">
        <v>84</v>
      </c>
      <c r="J152" s="4">
        <v>0.9</v>
      </c>
      <c r="K152" s="4">
        <v>0.5</v>
      </c>
      <c r="L152" s="4">
        <v>0.6</v>
      </c>
      <c r="M152" s="4">
        <v>0.35</v>
      </c>
      <c r="N152" s="4">
        <v>537.17108199999996</v>
      </c>
      <c r="O152" s="4">
        <v>1E-3</v>
      </c>
      <c r="P152" s="5"/>
      <c r="Q152" s="5"/>
      <c r="R152" s="5"/>
      <c r="S152" s="5"/>
      <c r="U152" s="4" t="s">
        <v>84</v>
      </c>
      <c r="V152" s="4">
        <v>0.9</v>
      </c>
      <c r="W152" s="4">
        <v>0.5</v>
      </c>
      <c r="X152" s="4">
        <v>0.6</v>
      </c>
      <c r="Y152" s="4">
        <v>0.32</v>
      </c>
      <c r="Z152" s="6">
        <v>500.77368200000001</v>
      </c>
      <c r="AA152" s="4">
        <v>1.2999999999999999E-2</v>
      </c>
      <c r="AC152" s="4" t="s">
        <v>84</v>
      </c>
      <c r="AD152" s="4">
        <v>0.9</v>
      </c>
      <c r="AE152" s="4">
        <v>0.5</v>
      </c>
      <c r="AF152" s="4">
        <v>0.6</v>
      </c>
      <c r="AG152" s="4">
        <v>0.31</v>
      </c>
      <c r="AH152" s="4">
        <v>506.08660900000001</v>
      </c>
      <c r="AI152" s="4">
        <v>1E-3</v>
      </c>
      <c r="AJ152" s="5"/>
      <c r="AK152" s="5"/>
      <c r="AL152" s="5"/>
      <c r="AM152" s="5"/>
      <c r="AO152" s="4" t="s">
        <v>85</v>
      </c>
      <c r="AP152" s="4">
        <v>0.9</v>
      </c>
      <c r="AQ152" s="4">
        <v>0.5</v>
      </c>
      <c r="AR152" s="4">
        <v>0.6</v>
      </c>
      <c r="AS152" s="4">
        <v>0.6</v>
      </c>
      <c r="AT152" s="4">
        <v>987.71350099999995</v>
      </c>
      <c r="AU152" s="4">
        <v>3.2000000000000001E-2</v>
      </c>
      <c r="AW152" s="4" t="s">
        <v>85</v>
      </c>
      <c r="AX152" s="4">
        <v>0.9</v>
      </c>
      <c r="AY152" s="4">
        <v>0.5</v>
      </c>
      <c r="AZ152" s="4">
        <v>0.6</v>
      </c>
      <c r="BA152" s="4">
        <v>0.31</v>
      </c>
      <c r="BB152" s="6">
        <v>914.57281499999999</v>
      </c>
      <c r="BC152" s="4">
        <v>1.2E-2</v>
      </c>
      <c r="BD152" s="5"/>
      <c r="BE152" s="5"/>
      <c r="BF152" s="5"/>
      <c r="BG152" s="5"/>
      <c r="BI152" s="4" t="s">
        <v>85</v>
      </c>
      <c r="BJ152" s="4">
        <v>0.9</v>
      </c>
      <c r="BK152" s="4">
        <v>0.5</v>
      </c>
      <c r="BL152" s="4">
        <v>0.6</v>
      </c>
      <c r="BM152" s="4">
        <v>0.82</v>
      </c>
      <c r="BN152" s="4">
        <v>993.64349400000003</v>
      </c>
      <c r="BO152" s="4">
        <v>1.6E-2</v>
      </c>
      <c r="BQ152" s="4" t="s">
        <v>85</v>
      </c>
      <c r="BR152" s="4">
        <v>0.9</v>
      </c>
      <c r="BS152" s="4">
        <v>0.5</v>
      </c>
      <c r="BT152" s="4">
        <v>0.6</v>
      </c>
      <c r="BU152" s="4">
        <v>0.33</v>
      </c>
      <c r="BV152" s="6">
        <v>875.89587400000005</v>
      </c>
      <c r="BW152" s="4">
        <v>6.0000000000000001E-3</v>
      </c>
      <c r="BX152" s="5"/>
      <c r="BY152" s="5"/>
      <c r="BZ152" s="5"/>
      <c r="CA152" s="5"/>
    </row>
    <row r="153" spans="1:79" x14ac:dyDescent="0.3">
      <c r="A153" s="4" t="s">
        <v>86</v>
      </c>
      <c r="B153" s="4">
        <v>0.9</v>
      </c>
      <c r="C153" s="4">
        <v>0.5</v>
      </c>
      <c r="D153" s="4">
        <v>0.6</v>
      </c>
      <c r="E153" s="4">
        <v>0.67</v>
      </c>
      <c r="F153" s="4">
        <v>607.37603799999999</v>
      </c>
      <c r="G153" s="4">
        <v>8.9999999999999993E-3</v>
      </c>
      <c r="I153" s="4" t="s">
        <v>86</v>
      </c>
      <c r="J153" s="4">
        <v>0.9</v>
      </c>
      <c r="K153" s="4">
        <v>0.5</v>
      </c>
      <c r="L153" s="4">
        <v>0.6</v>
      </c>
      <c r="M153" s="4">
        <v>0.32</v>
      </c>
      <c r="N153" s="6">
        <v>575.388733</v>
      </c>
      <c r="O153" s="4">
        <v>1E-3</v>
      </c>
      <c r="P153" s="5"/>
      <c r="Q153" s="5"/>
      <c r="R153" s="5"/>
      <c r="S153" s="5"/>
      <c r="U153" s="4" t="s">
        <v>86</v>
      </c>
      <c r="V153" s="4">
        <v>0.9</v>
      </c>
      <c r="W153" s="4">
        <v>0.5</v>
      </c>
      <c r="X153" s="4">
        <v>0.6</v>
      </c>
      <c r="Y153" s="4">
        <v>0.74</v>
      </c>
      <c r="Z153" s="4">
        <v>587.23388699999998</v>
      </c>
      <c r="AA153" s="4">
        <v>1.6E-2</v>
      </c>
      <c r="AC153" s="4" t="s">
        <v>86</v>
      </c>
      <c r="AD153" s="4">
        <v>0.9</v>
      </c>
      <c r="AE153" s="4">
        <v>0.5</v>
      </c>
      <c r="AF153" s="4">
        <v>0.6</v>
      </c>
      <c r="AG153" s="4">
        <v>0.3</v>
      </c>
      <c r="AH153" s="6">
        <v>553.70422399999995</v>
      </c>
      <c r="AI153" s="4">
        <v>1E-3</v>
      </c>
      <c r="AJ153" s="5"/>
      <c r="AK153" s="5"/>
      <c r="AL153" s="5"/>
      <c r="AM153" s="5"/>
      <c r="AO153" s="4" t="s">
        <v>87</v>
      </c>
      <c r="AP153" s="4">
        <v>0.9</v>
      </c>
      <c r="AQ153" s="4">
        <v>0.5</v>
      </c>
      <c r="AR153" s="4">
        <v>0.6</v>
      </c>
      <c r="AS153" s="4">
        <v>0.84</v>
      </c>
      <c r="AT153" s="4">
        <v>980.95489499999996</v>
      </c>
      <c r="AU153" s="4">
        <v>1.4999999999999999E-2</v>
      </c>
      <c r="AW153" s="4" t="s">
        <v>87</v>
      </c>
      <c r="AX153" s="4">
        <v>0.9</v>
      </c>
      <c r="AY153" s="4">
        <v>0.5</v>
      </c>
      <c r="AZ153" s="4">
        <v>0.6</v>
      </c>
      <c r="BA153" s="4">
        <v>0.3</v>
      </c>
      <c r="BB153" s="6">
        <v>807.087402</v>
      </c>
      <c r="BC153" s="4">
        <v>8.9999999999999993E-3</v>
      </c>
      <c r="BD153" s="5"/>
      <c r="BE153" s="5"/>
      <c r="BF153" s="5"/>
      <c r="BG153" s="5"/>
      <c r="BI153" s="4" t="s">
        <v>87</v>
      </c>
      <c r="BJ153" s="4">
        <v>0.9</v>
      </c>
      <c r="BK153" s="4">
        <v>0.5</v>
      </c>
      <c r="BL153" s="4">
        <v>0.6</v>
      </c>
      <c r="BM153" s="4">
        <v>0.02</v>
      </c>
      <c r="BN153" s="6">
        <v>674.55450399999995</v>
      </c>
      <c r="BO153" s="4">
        <v>1.2E-2</v>
      </c>
      <c r="BQ153" s="4" t="s">
        <v>87</v>
      </c>
      <c r="BR153" s="4">
        <v>0.9</v>
      </c>
      <c r="BS153" s="4">
        <v>0.5</v>
      </c>
      <c r="BT153" s="4">
        <v>0.6</v>
      </c>
      <c r="BU153" s="4">
        <v>0.3</v>
      </c>
      <c r="BV153" s="4">
        <v>776.323669</v>
      </c>
      <c r="BW153" s="4">
        <v>4.0000000000000001E-3</v>
      </c>
      <c r="BX153" s="5"/>
      <c r="BY153" s="5"/>
      <c r="BZ153" s="5"/>
      <c r="CA153" s="5"/>
    </row>
    <row r="154" spans="1:79" x14ac:dyDescent="0.3">
      <c r="A154" s="4" t="s">
        <v>88</v>
      </c>
      <c r="B154" s="4">
        <v>0.9</v>
      </c>
      <c r="C154" s="4">
        <v>0.5</v>
      </c>
      <c r="D154" s="4">
        <v>0.6</v>
      </c>
      <c r="E154" s="4">
        <v>0.51</v>
      </c>
      <c r="F154" s="4">
        <v>512.47051999999996</v>
      </c>
      <c r="G154" s="4">
        <v>5.0000000000000001E-3</v>
      </c>
      <c r="I154" s="4" t="s">
        <v>88</v>
      </c>
      <c r="J154" s="4">
        <v>0.9</v>
      </c>
      <c r="K154" s="4">
        <v>0.5</v>
      </c>
      <c r="L154" s="4">
        <v>0.6</v>
      </c>
      <c r="M154" s="4">
        <v>0.3</v>
      </c>
      <c r="N154" s="6">
        <v>506.49737499999998</v>
      </c>
      <c r="O154" s="4">
        <v>1E-3</v>
      </c>
      <c r="P154" s="5"/>
      <c r="Q154" s="5"/>
      <c r="R154" s="5"/>
      <c r="S154" s="5"/>
      <c r="U154" s="4" t="s">
        <v>88</v>
      </c>
      <c r="V154" s="4">
        <v>0.9</v>
      </c>
      <c r="W154" s="4">
        <v>0.5</v>
      </c>
      <c r="X154" s="4">
        <v>0.6</v>
      </c>
      <c r="Y154" s="4">
        <v>0.55000000000000004</v>
      </c>
      <c r="Z154" s="4">
        <v>497.127319</v>
      </c>
      <c r="AA154" s="4">
        <v>1.0999999999999999E-2</v>
      </c>
      <c r="AC154" s="4" t="s">
        <v>88</v>
      </c>
      <c r="AD154" s="4">
        <v>0.9</v>
      </c>
      <c r="AE154" s="4">
        <v>0.5</v>
      </c>
      <c r="AF154" s="4">
        <v>0.6</v>
      </c>
      <c r="AG154" s="4">
        <v>0.41</v>
      </c>
      <c r="AH154" s="6">
        <v>469.24456800000002</v>
      </c>
      <c r="AI154" s="4">
        <v>2E-3</v>
      </c>
      <c r="AJ154" s="5"/>
      <c r="AK154" s="5"/>
      <c r="AL154" s="5"/>
      <c r="AM154" s="5"/>
      <c r="AO154" s="4" t="s">
        <v>89</v>
      </c>
      <c r="AP154" s="4">
        <v>0.9</v>
      </c>
      <c r="AQ154" s="4">
        <v>0.5</v>
      </c>
      <c r="AR154" s="4">
        <v>0.6</v>
      </c>
      <c r="AS154" s="4">
        <v>0.82</v>
      </c>
      <c r="AT154" s="4">
        <v>979.40368699999999</v>
      </c>
      <c r="AU154" s="4">
        <v>3.4000000000000002E-2</v>
      </c>
      <c r="AW154" s="4" t="s">
        <v>89</v>
      </c>
      <c r="AX154" s="4">
        <v>0.9</v>
      </c>
      <c r="AY154" s="4">
        <v>0.5</v>
      </c>
      <c r="AZ154" s="4">
        <v>0.6</v>
      </c>
      <c r="BA154" s="4">
        <v>0.32</v>
      </c>
      <c r="BB154" s="6">
        <v>818.59716800000001</v>
      </c>
      <c r="BC154" s="4">
        <v>7.0000000000000001E-3</v>
      </c>
      <c r="BD154" s="5"/>
      <c r="BE154" s="5"/>
      <c r="BF154" s="5"/>
      <c r="BG154" s="5"/>
      <c r="BI154" s="4" t="s">
        <v>89</v>
      </c>
      <c r="BJ154" s="4">
        <v>0.9</v>
      </c>
      <c r="BK154" s="4">
        <v>0.5</v>
      </c>
      <c r="BL154" s="4">
        <v>0.6</v>
      </c>
      <c r="BM154" s="4">
        <v>0.61</v>
      </c>
      <c r="BN154" s="4">
        <v>923.25866699999995</v>
      </c>
      <c r="BO154" s="4">
        <v>1.4E-2</v>
      </c>
      <c r="BQ154" s="4" t="s">
        <v>89</v>
      </c>
      <c r="BR154" s="4">
        <v>0.9</v>
      </c>
      <c r="BS154" s="4">
        <v>0.5</v>
      </c>
      <c r="BT154" s="4">
        <v>0.6</v>
      </c>
      <c r="BU154" s="4">
        <v>0.31</v>
      </c>
      <c r="BV154" s="6">
        <v>811.46765100000005</v>
      </c>
      <c r="BW154" s="4">
        <v>5.0000000000000001E-3</v>
      </c>
      <c r="BX154" s="5"/>
      <c r="BY154" s="5"/>
      <c r="BZ154" s="5"/>
      <c r="CA154" s="5"/>
    </row>
    <row r="155" spans="1:79" x14ac:dyDescent="0.3">
      <c r="A155" s="4" t="s">
        <v>90</v>
      </c>
      <c r="B155" s="4">
        <v>0.9</v>
      </c>
      <c r="C155" s="4">
        <v>0.5</v>
      </c>
      <c r="D155" s="4">
        <v>0.6</v>
      </c>
      <c r="E155" s="4">
        <v>0.09</v>
      </c>
      <c r="F155" s="6">
        <v>416.78308099999998</v>
      </c>
      <c r="G155" s="4">
        <v>1.0999999999999999E-2</v>
      </c>
      <c r="I155" s="4" t="s">
        <v>90</v>
      </c>
      <c r="J155" s="4">
        <v>0.9</v>
      </c>
      <c r="K155" s="4">
        <v>0.5</v>
      </c>
      <c r="L155" s="4">
        <v>0.6</v>
      </c>
      <c r="M155" s="4">
        <v>0.32</v>
      </c>
      <c r="N155" s="4">
        <v>434.68905599999999</v>
      </c>
      <c r="O155" s="4">
        <v>0</v>
      </c>
      <c r="P155" s="5"/>
      <c r="Q155" s="5"/>
      <c r="R155" s="5"/>
      <c r="S155" s="5"/>
      <c r="U155" s="4" t="s">
        <v>90</v>
      </c>
      <c r="V155" s="4">
        <v>0.9</v>
      </c>
      <c r="W155" s="4">
        <v>0.5</v>
      </c>
      <c r="X155" s="4">
        <v>0.6</v>
      </c>
      <c r="Y155" s="4">
        <v>0.21</v>
      </c>
      <c r="Z155" s="6">
        <v>411.14254799999998</v>
      </c>
      <c r="AA155" s="4">
        <v>1.7999999999999999E-2</v>
      </c>
      <c r="AC155" s="4" t="s">
        <v>90</v>
      </c>
      <c r="AD155" s="4">
        <v>0.9</v>
      </c>
      <c r="AE155" s="4">
        <v>0.5</v>
      </c>
      <c r="AF155" s="4">
        <v>0.6</v>
      </c>
      <c r="AG155" s="4">
        <v>0.3</v>
      </c>
      <c r="AH155" s="4">
        <v>425.32205199999999</v>
      </c>
      <c r="AI155" s="4">
        <v>1E-3</v>
      </c>
      <c r="AJ155" s="5"/>
      <c r="AK155" s="5"/>
      <c r="AL155" s="5"/>
      <c r="AM155" s="5"/>
      <c r="AO155" s="4" t="s">
        <v>91</v>
      </c>
      <c r="AP155" s="4">
        <v>0.9</v>
      </c>
      <c r="AQ155" s="4">
        <v>0.5</v>
      </c>
      <c r="AR155" s="4">
        <v>0.6</v>
      </c>
      <c r="AS155" s="4">
        <v>0.89</v>
      </c>
      <c r="AT155" s="4">
        <v>903.95300299999997</v>
      </c>
      <c r="AU155" s="4">
        <v>3.1E-2</v>
      </c>
      <c r="AW155" s="4" t="s">
        <v>91</v>
      </c>
      <c r="AX155" s="4">
        <v>0.9</v>
      </c>
      <c r="AY155" s="4">
        <v>0.5</v>
      </c>
      <c r="AZ155" s="4">
        <v>0.6</v>
      </c>
      <c r="BA155" s="4">
        <v>0.3</v>
      </c>
      <c r="BB155" s="6">
        <v>817.78961200000003</v>
      </c>
      <c r="BC155" s="4">
        <v>5.0000000000000001E-3</v>
      </c>
      <c r="BD155" s="5"/>
      <c r="BE155" s="5"/>
      <c r="BF155" s="5"/>
      <c r="BG155" s="5"/>
      <c r="BI155" s="4" t="s">
        <v>91</v>
      </c>
      <c r="BJ155" s="4">
        <v>0.9</v>
      </c>
      <c r="BK155" s="4">
        <v>0.5</v>
      </c>
      <c r="BL155" s="4">
        <v>0.6</v>
      </c>
      <c r="BM155" s="4">
        <v>0.48</v>
      </c>
      <c r="BN155" s="4">
        <v>836.88354500000003</v>
      </c>
      <c r="BO155" s="4">
        <v>1.7999999999999999E-2</v>
      </c>
      <c r="BQ155" s="4" t="s">
        <v>91</v>
      </c>
      <c r="BR155" s="4">
        <v>0.9</v>
      </c>
      <c r="BS155" s="4">
        <v>0.5</v>
      </c>
      <c r="BT155" s="4">
        <v>0.6</v>
      </c>
      <c r="BU155" s="4">
        <v>0.34</v>
      </c>
      <c r="BV155" s="6">
        <v>779.92028800000003</v>
      </c>
      <c r="BW155" s="4">
        <v>5.0000000000000001E-3</v>
      </c>
      <c r="BX155" s="5"/>
      <c r="BY155" s="5"/>
      <c r="BZ155" s="5"/>
      <c r="CA155" s="5"/>
    </row>
    <row r="156" spans="1:79" x14ac:dyDescent="0.3">
      <c r="A156" s="4" t="s">
        <v>92</v>
      </c>
      <c r="B156" s="4">
        <v>0.9</v>
      </c>
      <c r="C156" s="4">
        <v>0.5</v>
      </c>
      <c r="D156" s="4">
        <v>0.6</v>
      </c>
      <c r="E156" s="4">
        <v>0.11</v>
      </c>
      <c r="F156" s="4">
        <v>572.62030000000004</v>
      </c>
      <c r="G156" s="4">
        <v>1.7999999999999999E-2</v>
      </c>
      <c r="I156" s="4" t="s">
        <v>92</v>
      </c>
      <c r="J156" s="4">
        <v>0.9</v>
      </c>
      <c r="K156" s="4">
        <v>0.5</v>
      </c>
      <c r="L156" s="4">
        <v>0.6</v>
      </c>
      <c r="M156" s="4">
        <v>0.3</v>
      </c>
      <c r="N156" s="6">
        <v>568.74169900000004</v>
      </c>
      <c r="O156" s="4">
        <v>1E-3</v>
      </c>
      <c r="P156" s="5"/>
      <c r="Q156" s="5"/>
      <c r="R156" s="5"/>
      <c r="S156" s="5"/>
      <c r="U156" s="4" t="s">
        <v>92</v>
      </c>
      <c r="V156" s="4">
        <v>0.9</v>
      </c>
      <c r="W156" s="4">
        <v>0.5</v>
      </c>
      <c r="X156" s="4">
        <v>0.6</v>
      </c>
      <c r="Y156" s="4">
        <v>0.75</v>
      </c>
      <c r="Z156" s="4">
        <v>579.75872800000002</v>
      </c>
      <c r="AA156" s="4">
        <v>1.2E-2</v>
      </c>
      <c r="AC156" s="4" t="s">
        <v>92</v>
      </c>
      <c r="AD156" s="4">
        <v>0.9</v>
      </c>
      <c r="AE156" s="4">
        <v>0.5</v>
      </c>
      <c r="AF156" s="4">
        <v>0.6</v>
      </c>
      <c r="AG156" s="4">
        <v>0.31</v>
      </c>
      <c r="AH156" s="6">
        <v>538.08831799999996</v>
      </c>
      <c r="AI156" s="4">
        <v>1E-3</v>
      </c>
      <c r="AJ156" s="5"/>
      <c r="AK156" s="5"/>
      <c r="AL156" s="5"/>
      <c r="AM156" s="5"/>
      <c r="AO156" s="4" t="s">
        <v>93</v>
      </c>
      <c r="AP156" s="4">
        <v>0.9</v>
      </c>
      <c r="AQ156" s="4">
        <v>0.5</v>
      </c>
      <c r="AR156" s="4">
        <v>0.6</v>
      </c>
      <c r="AS156" s="4">
        <v>0.06</v>
      </c>
      <c r="AT156" s="6">
        <v>674.11920199999997</v>
      </c>
      <c r="AU156" s="4">
        <v>2.3E-2</v>
      </c>
      <c r="AW156" s="4" t="s">
        <v>93</v>
      </c>
      <c r="AX156" s="4">
        <v>0.9</v>
      </c>
      <c r="AY156" s="4">
        <v>0.5</v>
      </c>
      <c r="AZ156" s="4">
        <v>0.6</v>
      </c>
      <c r="BA156" s="4">
        <v>0.32</v>
      </c>
      <c r="BB156" s="4">
        <v>763.55212400000005</v>
      </c>
      <c r="BC156" s="4">
        <v>6.0000000000000001E-3</v>
      </c>
      <c r="BD156" s="5"/>
      <c r="BE156" s="5"/>
      <c r="BF156" s="5"/>
      <c r="BG156" s="5"/>
      <c r="BI156" s="4" t="s">
        <v>93</v>
      </c>
      <c r="BJ156" s="4">
        <v>0.9</v>
      </c>
      <c r="BK156" s="4">
        <v>0.5</v>
      </c>
      <c r="BL156" s="4">
        <v>0.6</v>
      </c>
      <c r="BM156" s="4">
        <v>0.47</v>
      </c>
      <c r="BN156" s="4">
        <v>777.28881799999999</v>
      </c>
      <c r="BO156" s="4">
        <v>1.6E-2</v>
      </c>
      <c r="BQ156" s="4" t="s">
        <v>93</v>
      </c>
      <c r="BR156" s="4">
        <v>0.9</v>
      </c>
      <c r="BS156" s="4">
        <v>0.5</v>
      </c>
      <c r="BT156" s="4">
        <v>0.6</v>
      </c>
      <c r="BU156" s="4">
        <v>0.3</v>
      </c>
      <c r="BV156" s="6">
        <v>734.26715100000001</v>
      </c>
      <c r="BW156" s="4">
        <v>4.0000000000000001E-3</v>
      </c>
      <c r="BX156" s="5"/>
      <c r="BY156" s="5"/>
      <c r="BZ156" s="5"/>
      <c r="CA156" s="5"/>
    </row>
    <row r="157" spans="1:79" x14ac:dyDescent="0.3">
      <c r="A157" s="4" t="s">
        <v>94</v>
      </c>
      <c r="B157" s="4">
        <v>0.9</v>
      </c>
      <c r="C157" s="4">
        <v>0.5</v>
      </c>
      <c r="D157" s="4">
        <v>0.6</v>
      </c>
      <c r="E157" s="4">
        <v>0.64</v>
      </c>
      <c r="F157" s="4">
        <v>580.13678000000004</v>
      </c>
      <c r="G157" s="4">
        <v>2.5999999999999999E-2</v>
      </c>
      <c r="I157" s="4" t="s">
        <v>94</v>
      </c>
      <c r="J157" s="4">
        <v>0.9</v>
      </c>
      <c r="K157" s="4">
        <v>0.5</v>
      </c>
      <c r="L157" s="4">
        <v>0.6</v>
      </c>
      <c r="M157" s="4">
        <v>0.3</v>
      </c>
      <c r="N157" s="6">
        <v>491.68090799999999</v>
      </c>
      <c r="O157" s="4">
        <v>1E-3</v>
      </c>
      <c r="P157" s="5"/>
      <c r="Q157" s="5"/>
      <c r="R157" s="5"/>
      <c r="S157" s="5"/>
      <c r="U157" s="4" t="s">
        <v>94</v>
      </c>
      <c r="V157" s="4">
        <v>0.9</v>
      </c>
      <c r="W157" s="4">
        <v>0.5</v>
      </c>
      <c r="X157" s="4">
        <v>0.6</v>
      </c>
      <c r="Y157" s="4">
        <v>0.91</v>
      </c>
      <c r="Z157" s="4">
        <v>621.20043899999996</v>
      </c>
      <c r="AA157" s="4">
        <v>2.1999999999999999E-2</v>
      </c>
      <c r="AC157" s="4" t="s">
        <v>94</v>
      </c>
      <c r="AD157" s="4">
        <v>0.9</v>
      </c>
      <c r="AE157" s="4">
        <v>0.5</v>
      </c>
      <c r="AF157" s="4">
        <v>0.6</v>
      </c>
      <c r="AG157" s="4">
        <v>0.31</v>
      </c>
      <c r="AH157" s="6">
        <v>447.151093</v>
      </c>
      <c r="AI157" s="4">
        <v>2E-3</v>
      </c>
      <c r="AJ157" s="5"/>
      <c r="AK157" s="5"/>
      <c r="AL157" s="5"/>
      <c r="AM157" s="5"/>
      <c r="AO157" s="4" t="s">
        <v>95</v>
      </c>
      <c r="AP157" s="4">
        <v>0.9</v>
      </c>
      <c r="AQ157" s="4">
        <v>0.5</v>
      </c>
      <c r="AR157" s="4">
        <v>0.6</v>
      </c>
      <c r="AS157" s="4">
        <v>0.95</v>
      </c>
      <c r="AT157" s="4">
        <v>1061.7827150000001</v>
      </c>
      <c r="AU157" s="4">
        <v>1.0999999999999999E-2</v>
      </c>
      <c r="AW157" s="4" t="s">
        <v>95</v>
      </c>
      <c r="AX157" s="4">
        <v>0.9</v>
      </c>
      <c r="AY157" s="4">
        <v>0.5</v>
      </c>
      <c r="AZ157" s="4">
        <v>0.6</v>
      </c>
      <c r="BA157" s="4">
        <v>0.3</v>
      </c>
      <c r="BB157" s="6">
        <v>860.31951900000001</v>
      </c>
      <c r="BC157" s="4">
        <v>6.0000000000000001E-3</v>
      </c>
      <c r="BD157" s="5"/>
      <c r="BE157" s="5"/>
      <c r="BF157" s="5"/>
      <c r="BG157" s="5"/>
      <c r="BI157" s="4" t="s">
        <v>95</v>
      </c>
      <c r="BJ157" s="4">
        <v>0.9</v>
      </c>
      <c r="BK157" s="4">
        <v>0.5</v>
      </c>
      <c r="BL157" s="4">
        <v>0.6</v>
      </c>
      <c r="BM157" s="4">
        <v>0.92</v>
      </c>
      <c r="BN157" s="4">
        <v>1017.336121</v>
      </c>
      <c r="BO157" s="4">
        <v>2.3E-2</v>
      </c>
      <c r="BQ157" s="4" t="s">
        <v>95</v>
      </c>
      <c r="BR157" s="4">
        <v>0.9</v>
      </c>
      <c r="BS157" s="4">
        <v>0.5</v>
      </c>
      <c r="BT157" s="4">
        <v>0.6</v>
      </c>
      <c r="BU157" s="4">
        <v>0.31</v>
      </c>
      <c r="BV157" s="6">
        <v>818.88415499999996</v>
      </c>
      <c r="BW157" s="4">
        <v>5.0000000000000001E-3</v>
      </c>
      <c r="BX157" s="5"/>
      <c r="BY157" s="5"/>
      <c r="BZ157" s="5"/>
      <c r="CA157" s="5"/>
    </row>
    <row r="158" spans="1:79" x14ac:dyDescent="0.3">
      <c r="A158" s="4" t="s">
        <v>96</v>
      </c>
      <c r="B158" s="4">
        <v>0.9</v>
      </c>
      <c r="C158" s="4">
        <v>0.5</v>
      </c>
      <c r="D158" s="4">
        <v>0.6</v>
      </c>
      <c r="E158" s="4">
        <v>0.44</v>
      </c>
      <c r="F158" s="4">
        <v>623.26849400000003</v>
      </c>
      <c r="G158" s="4">
        <v>0.02</v>
      </c>
      <c r="I158" s="4" t="s">
        <v>96</v>
      </c>
      <c r="J158" s="4">
        <v>0.9</v>
      </c>
      <c r="K158" s="4">
        <v>0.5</v>
      </c>
      <c r="L158" s="4">
        <v>0.6</v>
      </c>
      <c r="M158" s="4">
        <v>0.3</v>
      </c>
      <c r="N158" s="6">
        <v>598.90344200000004</v>
      </c>
      <c r="O158" s="4">
        <v>1E-3</v>
      </c>
      <c r="P158" s="5"/>
      <c r="Q158" s="5"/>
      <c r="R158" s="5"/>
      <c r="S158" s="5"/>
      <c r="U158" s="4" t="s">
        <v>96</v>
      </c>
      <c r="V158" s="4">
        <v>0.9</v>
      </c>
      <c r="W158" s="4">
        <v>0.5</v>
      </c>
      <c r="X158" s="4">
        <v>0.6</v>
      </c>
      <c r="Y158" s="4">
        <v>0.43</v>
      </c>
      <c r="Z158" s="4">
        <v>617.04199200000005</v>
      </c>
      <c r="AA158" s="4">
        <v>1.4999999999999999E-2</v>
      </c>
      <c r="AC158" s="4" t="s">
        <v>96</v>
      </c>
      <c r="AD158" s="4">
        <v>0.9</v>
      </c>
      <c r="AE158" s="4">
        <v>0.5</v>
      </c>
      <c r="AF158" s="4">
        <v>0.6</v>
      </c>
      <c r="AG158" s="4">
        <v>0.32</v>
      </c>
      <c r="AH158" s="6">
        <v>595.24273700000003</v>
      </c>
      <c r="AI158" s="4">
        <v>2E-3</v>
      </c>
      <c r="AJ158" s="5"/>
      <c r="AK158" s="5"/>
      <c r="AL158" s="5"/>
      <c r="AM158" s="5"/>
      <c r="AO158" s="4" t="s">
        <v>97</v>
      </c>
      <c r="AP158" s="4">
        <v>0.9</v>
      </c>
      <c r="AQ158" s="4">
        <v>0.5</v>
      </c>
      <c r="AR158" s="4">
        <v>0.6</v>
      </c>
      <c r="AS158" s="4">
        <v>0.88</v>
      </c>
      <c r="AT158" s="4">
        <v>1107.4338379999999</v>
      </c>
      <c r="AU158" s="4">
        <v>3.5000000000000003E-2</v>
      </c>
      <c r="AW158" s="4" t="s">
        <v>97</v>
      </c>
      <c r="AX158" s="4">
        <v>0.9</v>
      </c>
      <c r="AY158" s="4">
        <v>0.5</v>
      </c>
      <c r="AZ158" s="4">
        <v>0.6</v>
      </c>
      <c r="BA158" s="4">
        <v>0.34</v>
      </c>
      <c r="BB158" s="6">
        <v>987.600281</v>
      </c>
      <c r="BC158" s="4">
        <v>5.0000000000000001E-3</v>
      </c>
      <c r="BD158" s="5"/>
      <c r="BE158" s="5"/>
      <c r="BF158" s="5"/>
      <c r="BG158" s="5"/>
      <c r="BI158" s="4" t="s">
        <v>97</v>
      </c>
      <c r="BJ158" s="4">
        <v>0.9</v>
      </c>
      <c r="BK158" s="4">
        <v>0.5</v>
      </c>
      <c r="BL158" s="4">
        <v>0.6</v>
      </c>
      <c r="BM158" s="4">
        <v>0.02</v>
      </c>
      <c r="BN158" s="6">
        <v>770.11505099999999</v>
      </c>
      <c r="BO158" s="4">
        <v>1.2999999999999999E-2</v>
      </c>
      <c r="BQ158" s="4" t="s">
        <v>97</v>
      </c>
      <c r="BR158" s="4">
        <v>0.9</v>
      </c>
      <c r="BS158" s="4">
        <v>0.5</v>
      </c>
      <c r="BT158" s="4">
        <v>0.6</v>
      </c>
      <c r="BU158" s="4">
        <v>0.31</v>
      </c>
      <c r="BV158" s="4">
        <v>976.24780299999998</v>
      </c>
      <c r="BW158" s="4">
        <v>7.0000000000000001E-3</v>
      </c>
      <c r="BX158" s="5"/>
      <c r="BY158" s="5"/>
      <c r="BZ158" s="5"/>
      <c r="CA158" s="5"/>
    </row>
    <row r="159" spans="1:79" x14ac:dyDescent="0.3">
      <c r="A159" s="4" t="s">
        <v>98</v>
      </c>
      <c r="B159" s="4">
        <v>0.9</v>
      </c>
      <c r="C159" s="4">
        <v>0.5</v>
      </c>
      <c r="D159" s="4">
        <v>0.6</v>
      </c>
      <c r="E159" s="4">
        <v>0.36</v>
      </c>
      <c r="F159" s="4">
        <v>514.152649</v>
      </c>
      <c r="G159" s="4">
        <v>1.6E-2</v>
      </c>
      <c r="I159" s="4" t="s">
        <v>98</v>
      </c>
      <c r="J159" s="4">
        <v>0.9</v>
      </c>
      <c r="K159" s="4">
        <v>0.5</v>
      </c>
      <c r="L159" s="4">
        <v>0.6</v>
      </c>
      <c r="M159" s="4">
        <v>0.3</v>
      </c>
      <c r="N159" s="6">
        <v>495.15078699999998</v>
      </c>
      <c r="O159" s="4">
        <v>1E-3</v>
      </c>
      <c r="P159" s="5"/>
      <c r="Q159" s="5"/>
      <c r="R159" s="5"/>
      <c r="S159" s="5"/>
      <c r="U159" s="4" t="s">
        <v>98</v>
      </c>
      <c r="V159" s="4">
        <v>0.9</v>
      </c>
      <c r="W159" s="4">
        <v>0.5</v>
      </c>
      <c r="X159" s="4">
        <v>0.6</v>
      </c>
      <c r="Y159" s="4">
        <v>0.39</v>
      </c>
      <c r="Z159" s="4">
        <v>491.76007099999998</v>
      </c>
      <c r="AA159" s="4">
        <v>2.1000000000000001E-2</v>
      </c>
      <c r="AC159" s="4" t="s">
        <v>98</v>
      </c>
      <c r="AD159" s="4">
        <v>0.9</v>
      </c>
      <c r="AE159" s="4">
        <v>0.5</v>
      </c>
      <c r="AF159" s="4">
        <v>0.6</v>
      </c>
      <c r="AG159" s="4">
        <v>0.43</v>
      </c>
      <c r="AH159" s="6">
        <v>472.13714599999997</v>
      </c>
      <c r="AI159" s="4">
        <v>2E-3</v>
      </c>
      <c r="AJ159" s="5"/>
      <c r="AK159" s="5"/>
      <c r="AL159" s="5"/>
      <c r="AM159" s="5"/>
      <c r="AO159" s="4" t="s">
        <v>99</v>
      </c>
      <c r="AP159" s="4">
        <v>0.9</v>
      </c>
      <c r="AQ159" s="4">
        <v>0.5</v>
      </c>
      <c r="AR159" s="4">
        <v>0.6</v>
      </c>
      <c r="AS159" s="4">
        <v>0.48</v>
      </c>
      <c r="AT159" s="4">
        <v>1023.195374</v>
      </c>
      <c r="AU159" s="4">
        <v>1.4E-2</v>
      </c>
      <c r="AW159" s="4" t="s">
        <v>99</v>
      </c>
      <c r="AX159" s="4">
        <v>0.9</v>
      </c>
      <c r="AY159" s="4">
        <v>0.5</v>
      </c>
      <c r="AZ159" s="4">
        <v>0.6</v>
      </c>
      <c r="BA159" s="4">
        <v>0.35</v>
      </c>
      <c r="BB159" s="6">
        <v>948.69232199999999</v>
      </c>
      <c r="BC159" s="4">
        <v>6.0000000000000001E-3</v>
      </c>
      <c r="BD159" s="5"/>
      <c r="BE159" s="5"/>
      <c r="BF159" s="5"/>
      <c r="BG159" s="5"/>
      <c r="BI159" s="4" t="s">
        <v>99</v>
      </c>
      <c r="BJ159" s="4">
        <v>0.9</v>
      </c>
      <c r="BK159" s="4">
        <v>0.5</v>
      </c>
      <c r="BL159" s="4">
        <v>0.6</v>
      </c>
      <c r="BM159" s="4">
        <v>0.66</v>
      </c>
      <c r="BN159" s="4">
        <v>1051.4105219999999</v>
      </c>
      <c r="BO159" s="4">
        <v>8.9999999999999993E-3</v>
      </c>
      <c r="BQ159" s="4" t="s">
        <v>99</v>
      </c>
      <c r="BR159" s="4">
        <v>0.9</v>
      </c>
      <c r="BS159" s="4">
        <v>0.5</v>
      </c>
      <c r="BT159" s="4">
        <v>0.6</v>
      </c>
      <c r="BU159" s="4">
        <v>0.31</v>
      </c>
      <c r="BV159" s="6">
        <v>939.76654099999996</v>
      </c>
      <c r="BW159" s="4">
        <v>5.0000000000000001E-3</v>
      </c>
      <c r="BX159" s="5"/>
      <c r="BY159" s="5"/>
      <c r="BZ159" s="5"/>
      <c r="CA159" s="5"/>
    </row>
    <row r="160" spans="1:79" x14ac:dyDescent="0.3">
      <c r="A160" s="4" t="s">
        <v>100</v>
      </c>
      <c r="B160" s="4">
        <v>0.9</v>
      </c>
      <c r="C160" s="4">
        <v>0.5</v>
      </c>
      <c r="D160" s="4">
        <v>0.6</v>
      </c>
      <c r="E160" s="4">
        <v>0.5</v>
      </c>
      <c r="F160" s="4">
        <v>667.78716999999995</v>
      </c>
      <c r="G160" s="4">
        <v>3.5999999999999997E-2</v>
      </c>
      <c r="I160" s="4" t="s">
        <v>100</v>
      </c>
      <c r="J160" s="4">
        <v>0.9</v>
      </c>
      <c r="K160" s="4">
        <v>0.5</v>
      </c>
      <c r="L160" s="4">
        <v>0.6</v>
      </c>
      <c r="M160" s="4">
        <v>0.34</v>
      </c>
      <c r="N160" s="6">
        <v>623.48120100000006</v>
      </c>
      <c r="O160" s="4">
        <v>1E-3</v>
      </c>
      <c r="P160" s="5"/>
      <c r="Q160" s="5"/>
      <c r="R160" s="5"/>
      <c r="S160" s="5"/>
      <c r="U160" s="4" t="s">
        <v>100</v>
      </c>
      <c r="V160" s="4">
        <v>0.9</v>
      </c>
      <c r="W160" s="4">
        <v>0.5</v>
      </c>
      <c r="X160" s="4">
        <v>0.6</v>
      </c>
      <c r="Y160" s="4">
        <v>0.81</v>
      </c>
      <c r="Z160" s="4">
        <v>698.13403300000004</v>
      </c>
      <c r="AA160" s="4">
        <v>1.7999999999999999E-2</v>
      </c>
      <c r="AC160" s="4" t="s">
        <v>100</v>
      </c>
      <c r="AD160" s="4">
        <v>0.9</v>
      </c>
      <c r="AE160" s="4">
        <v>0.5</v>
      </c>
      <c r="AF160" s="4">
        <v>0.6</v>
      </c>
      <c r="AG160" s="4">
        <v>0.33</v>
      </c>
      <c r="AH160" s="6">
        <v>617.18414299999995</v>
      </c>
      <c r="AI160" s="4">
        <v>2E-3</v>
      </c>
      <c r="AJ160" s="5"/>
      <c r="AK160" s="5"/>
      <c r="AL160" s="5"/>
      <c r="AM160" s="5"/>
      <c r="AO160" s="4" t="s">
        <v>101</v>
      </c>
      <c r="AP160" s="4">
        <v>0.9</v>
      </c>
      <c r="AQ160" s="4">
        <v>0.5</v>
      </c>
      <c r="AR160" s="4">
        <v>0.6</v>
      </c>
      <c r="AS160" s="4">
        <v>0.95</v>
      </c>
      <c r="AT160" s="4">
        <v>1037.1281739999999</v>
      </c>
      <c r="AU160" s="4">
        <v>2.8000000000000001E-2</v>
      </c>
      <c r="AW160" s="4" t="s">
        <v>101</v>
      </c>
      <c r="AX160" s="4">
        <v>0.9</v>
      </c>
      <c r="AY160" s="4">
        <v>0.5</v>
      </c>
      <c r="AZ160" s="4">
        <v>0.6</v>
      </c>
      <c r="BA160" s="4">
        <v>0.31</v>
      </c>
      <c r="BB160" s="6">
        <v>851.28832999999997</v>
      </c>
      <c r="BC160" s="4">
        <v>5.0000000000000001E-3</v>
      </c>
      <c r="BD160" s="5"/>
      <c r="BE160" s="5"/>
      <c r="BF160" s="5"/>
      <c r="BG160" s="5"/>
      <c r="BI160" s="4" t="s">
        <v>101</v>
      </c>
      <c r="BJ160" s="4">
        <v>0.9</v>
      </c>
      <c r="BK160" s="4">
        <v>0.5</v>
      </c>
      <c r="BL160" s="4">
        <v>0.6</v>
      </c>
      <c r="BM160" s="4">
        <v>0.08</v>
      </c>
      <c r="BN160" s="6">
        <v>707.485229</v>
      </c>
      <c r="BO160" s="4">
        <v>1.2999999999999999E-2</v>
      </c>
      <c r="BQ160" s="4" t="s">
        <v>101</v>
      </c>
      <c r="BR160" s="4">
        <v>0.9</v>
      </c>
      <c r="BS160" s="4">
        <v>0.5</v>
      </c>
      <c r="BT160" s="4">
        <v>0.6</v>
      </c>
      <c r="BU160" s="4">
        <v>0.3</v>
      </c>
      <c r="BV160" s="4">
        <v>843.42797900000005</v>
      </c>
      <c r="BW160" s="4">
        <v>4.0000000000000001E-3</v>
      </c>
      <c r="BX160" s="5"/>
      <c r="BY160" s="5"/>
      <c r="BZ160" s="5"/>
      <c r="CA160" s="5"/>
    </row>
    <row r="161" spans="1:79" x14ac:dyDescent="0.3">
      <c r="A161" s="4" t="s">
        <v>102</v>
      </c>
      <c r="B161" s="4">
        <v>0.9</v>
      </c>
      <c r="C161" s="4">
        <v>0.5</v>
      </c>
      <c r="D161" s="4">
        <v>0.6</v>
      </c>
      <c r="E161" s="4">
        <v>0.13</v>
      </c>
      <c r="F161" s="6">
        <v>594.72051999999996</v>
      </c>
      <c r="G161" s="4">
        <v>2.1999999999999999E-2</v>
      </c>
      <c r="I161" s="4" t="s">
        <v>102</v>
      </c>
      <c r="J161" s="4">
        <v>0.9</v>
      </c>
      <c r="K161" s="4">
        <v>0.5</v>
      </c>
      <c r="L161" s="4">
        <v>0.6</v>
      </c>
      <c r="M161" s="4">
        <v>0.31</v>
      </c>
      <c r="N161" s="4">
        <v>609.95062299999995</v>
      </c>
      <c r="O161" s="4">
        <v>1E-3</v>
      </c>
      <c r="P161" s="5"/>
      <c r="Q161" s="5"/>
      <c r="R161" s="5"/>
      <c r="S161" s="5"/>
      <c r="U161" s="4" t="s">
        <v>102</v>
      </c>
      <c r="V161" s="4">
        <v>0.9</v>
      </c>
      <c r="W161" s="4">
        <v>0.5</v>
      </c>
      <c r="X161" s="4">
        <v>0.6</v>
      </c>
      <c r="Y161" s="4">
        <v>0.08</v>
      </c>
      <c r="Z161" s="6">
        <v>598.16717500000004</v>
      </c>
      <c r="AA161" s="4">
        <v>1.0999999999999999E-2</v>
      </c>
      <c r="AC161" s="4" t="s">
        <v>102</v>
      </c>
      <c r="AD161" s="4">
        <v>0.9</v>
      </c>
      <c r="AE161" s="4">
        <v>0.5</v>
      </c>
      <c r="AF161" s="4">
        <v>0.6</v>
      </c>
      <c r="AG161" s="4">
        <v>0.34</v>
      </c>
      <c r="AH161" s="4">
        <v>607.58245799999997</v>
      </c>
      <c r="AI161" s="4">
        <v>1E-3</v>
      </c>
      <c r="AJ161" s="5"/>
      <c r="AK161" s="5"/>
      <c r="AL161" s="5"/>
      <c r="AM161" s="5"/>
      <c r="AO161" s="4" t="s">
        <v>103</v>
      </c>
      <c r="AP161" s="4">
        <v>0.9</v>
      </c>
      <c r="AQ161" s="4">
        <v>0.5</v>
      </c>
      <c r="AR161" s="4">
        <v>0.6</v>
      </c>
      <c r="AS161" s="4">
        <v>0.8</v>
      </c>
      <c r="AT161" s="4">
        <v>1013.844238</v>
      </c>
      <c r="AU161" s="4">
        <v>2.8000000000000001E-2</v>
      </c>
      <c r="AW161" s="4" t="s">
        <v>103</v>
      </c>
      <c r="AX161" s="4">
        <v>0.9</v>
      </c>
      <c r="AY161" s="4">
        <v>0.5</v>
      </c>
      <c r="AZ161" s="4">
        <v>0.6</v>
      </c>
      <c r="BA161" s="4">
        <v>0.3</v>
      </c>
      <c r="BB161" s="6">
        <v>914.24310300000002</v>
      </c>
      <c r="BC161" s="4">
        <v>6.0000000000000001E-3</v>
      </c>
      <c r="BD161" s="5"/>
      <c r="BE161" s="5"/>
      <c r="BF161" s="5"/>
      <c r="BG161" s="5"/>
      <c r="BI161" s="4" t="s">
        <v>103</v>
      </c>
      <c r="BJ161" s="4">
        <v>0.9</v>
      </c>
      <c r="BK161" s="4">
        <v>0.5</v>
      </c>
      <c r="BL161" s="4">
        <v>0.6</v>
      </c>
      <c r="BM161" s="4">
        <v>0.74</v>
      </c>
      <c r="BN161" s="4">
        <v>1009.14624</v>
      </c>
      <c r="BO161" s="4">
        <v>1.4999999999999999E-2</v>
      </c>
      <c r="BQ161" s="4" t="s">
        <v>103</v>
      </c>
      <c r="BR161" s="4">
        <v>0.9</v>
      </c>
      <c r="BS161" s="4">
        <v>0.5</v>
      </c>
      <c r="BT161" s="4">
        <v>0.6</v>
      </c>
      <c r="BU161" s="4">
        <v>0.33</v>
      </c>
      <c r="BV161" s="6">
        <v>881.25317399999994</v>
      </c>
      <c r="BW161" s="4">
        <v>5.0000000000000001E-3</v>
      </c>
      <c r="BX161" s="5"/>
      <c r="BY161" s="5"/>
      <c r="BZ161" s="5"/>
      <c r="CA161" s="5"/>
    </row>
    <row r="162" spans="1:79" x14ac:dyDescent="0.3">
      <c r="A162" s="4" t="s">
        <v>104</v>
      </c>
      <c r="B162" s="4">
        <v>0.9</v>
      </c>
      <c r="C162" s="4">
        <v>0.5</v>
      </c>
      <c r="D162" s="4">
        <v>0.6</v>
      </c>
      <c r="E162" s="4">
        <v>0.47</v>
      </c>
      <c r="F162" s="4">
        <v>655.88232400000004</v>
      </c>
      <c r="G162" s="4">
        <v>6.0000000000000001E-3</v>
      </c>
      <c r="I162" s="4" t="s">
        <v>104</v>
      </c>
      <c r="J162" s="4">
        <v>0.9</v>
      </c>
      <c r="K162" s="4">
        <v>0.5</v>
      </c>
      <c r="L162" s="4">
        <v>0.6</v>
      </c>
      <c r="M162" s="4">
        <v>0.31</v>
      </c>
      <c r="N162" s="6">
        <v>614.06683299999997</v>
      </c>
      <c r="O162" s="4">
        <v>1E-3</v>
      </c>
      <c r="P162" s="5"/>
      <c r="Q162" s="5"/>
      <c r="R162" s="5"/>
      <c r="S162" s="5"/>
      <c r="U162" s="4" t="s">
        <v>104</v>
      </c>
      <c r="V162" s="4">
        <v>0.9</v>
      </c>
      <c r="W162" s="4">
        <v>0.5</v>
      </c>
      <c r="X162" s="4">
        <v>0.6</v>
      </c>
      <c r="Y162" s="4">
        <v>0.83</v>
      </c>
      <c r="Z162" s="4">
        <v>687.69476299999997</v>
      </c>
      <c r="AA162" s="4">
        <v>2.9000000000000001E-2</v>
      </c>
      <c r="AC162" s="4" t="s">
        <v>104</v>
      </c>
      <c r="AD162" s="4">
        <v>0.9</v>
      </c>
      <c r="AE162" s="4">
        <v>0.5</v>
      </c>
      <c r="AF162" s="4">
        <v>0.6</v>
      </c>
      <c r="AG162" s="4">
        <v>0.34</v>
      </c>
      <c r="AH162" s="6">
        <v>603.28198199999997</v>
      </c>
      <c r="AI162" s="4">
        <v>1E-3</v>
      </c>
      <c r="AJ162" s="5"/>
      <c r="AK162" s="5"/>
      <c r="AL162" s="5"/>
      <c r="AM162" s="5"/>
      <c r="AO162" s="4" t="s">
        <v>105</v>
      </c>
      <c r="AP162" s="4">
        <v>0.9</v>
      </c>
      <c r="AQ162" s="4">
        <v>0.5</v>
      </c>
      <c r="AR162" s="4">
        <v>0.6</v>
      </c>
      <c r="AS162" s="4">
        <v>0.1</v>
      </c>
      <c r="AT162" s="6">
        <v>835.62823500000002</v>
      </c>
      <c r="AU162" s="4">
        <v>0.03</v>
      </c>
      <c r="AW162" s="4" t="s">
        <v>105</v>
      </c>
      <c r="AX162" s="4">
        <v>0.9</v>
      </c>
      <c r="AY162" s="4">
        <v>0.5</v>
      </c>
      <c r="AZ162" s="4">
        <v>0.6</v>
      </c>
      <c r="BA162" s="4">
        <v>0.32</v>
      </c>
      <c r="BB162" s="4">
        <v>1015.423584</v>
      </c>
      <c r="BC162" s="4">
        <v>8.0000000000000002E-3</v>
      </c>
      <c r="BD162" s="5"/>
      <c r="BE162" s="5"/>
      <c r="BF162" s="5"/>
      <c r="BG162" s="5"/>
      <c r="BI162" s="4" t="s">
        <v>105</v>
      </c>
      <c r="BJ162" s="4">
        <v>0.9</v>
      </c>
      <c r="BK162" s="4">
        <v>0.5</v>
      </c>
      <c r="BL162" s="4">
        <v>0.6</v>
      </c>
      <c r="BM162" s="4">
        <v>0.38</v>
      </c>
      <c r="BN162" s="4">
        <v>1007.29187</v>
      </c>
      <c r="BO162" s="4">
        <v>1.2999999999999999E-2</v>
      </c>
      <c r="BQ162" s="4" t="s">
        <v>105</v>
      </c>
      <c r="BR162" s="4">
        <v>0.9</v>
      </c>
      <c r="BS162" s="4">
        <v>0.5</v>
      </c>
      <c r="BT162" s="4">
        <v>0.6</v>
      </c>
      <c r="BU162" s="4">
        <v>0.31</v>
      </c>
      <c r="BV162" s="6">
        <v>1004.921082</v>
      </c>
      <c r="BW162" s="4">
        <v>5.0000000000000001E-3</v>
      </c>
      <c r="BX162" s="5"/>
      <c r="BY162" s="5"/>
      <c r="BZ162" s="5"/>
      <c r="CA162" s="5"/>
    </row>
    <row r="163" spans="1:79" x14ac:dyDescent="0.3">
      <c r="A163" s="4" t="s">
        <v>106</v>
      </c>
      <c r="B163" s="4">
        <v>0.9</v>
      </c>
      <c r="C163" s="4">
        <v>0.5</v>
      </c>
      <c r="D163" s="4">
        <v>0.6</v>
      </c>
      <c r="E163" s="4">
        <v>0.14000000000000001</v>
      </c>
      <c r="F163" s="6">
        <v>541.38891599999999</v>
      </c>
      <c r="G163" s="4">
        <v>2.1999999999999999E-2</v>
      </c>
      <c r="I163" s="4" t="s">
        <v>106</v>
      </c>
      <c r="J163" s="4">
        <v>0.9</v>
      </c>
      <c r="K163" s="4">
        <v>0.5</v>
      </c>
      <c r="L163" s="4">
        <v>0.6</v>
      </c>
      <c r="M163" s="4">
        <v>0.31</v>
      </c>
      <c r="N163" s="4">
        <v>564.21716300000003</v>
      </c>
      <c r="O163" s="4">
        <v>1E-3</v>
      </c>
      <c r="P163" s="5"/>
      <c r="Q163" s="5"/>
      <c r="R163" s="5"/>
      <c r="S163" s="5"/>
      <c r="U163" s="4" t="s">
        <v>106</v>
      </c>
      <c r="V163" s="4">
        <v>0.9</v>
      </c>
      <c r="W163" s="4">
        <v>0.5</v>
      </c>
      <c r="X163" s="4">
        <v>0.6</v>
      </c>
      <c r="Y163" s="4">
        <v>0.41</v>
      </c>
      <c r="Z163" s="4">
        <v>590.43988000000002</v>
      </c>
      <c r="AA163" s="4">
        <v>2.3E-2</v>
      </c>
      <c r="AC163" s="4" t="s">
        <v>106</v>
      </c>
      <c r="AD163" s="4">
        <v>0.9</v>
      </c>
      <c r="AE163" s="4">
        <v>0.5</v>
      </c>
      <c r="AF163" s="4">
        <v>0.6</v>
      </c>
      <c r="AG163" s="4">
        <v>0.31</v>
      </c>
      <c r="AH163" s="6">
        <v>572.47955300000001</v>
      </c>
      <c r="AI163" s="4">
        <v>1E-3</v>
      </c>
      <c r="AJ163" s="5"/>
      <c r="AK163" s="5"/>
      <c r="AL163" s="5"/>
      <c r="AM163" s="5"/>
      <c r="AO163" s="4" t="s">
        <v>107</v>
      </c>
      <c r="AP163" s="4">
        <v>0.9</v>
      </c>
      <c r="AQ163" s="4">
        <v>0.5</v>
      </c>
      <c r="AR163" s="4">
        <v>0.6</v>
      </c>
      <c r="AS163" s="4">
        <v>0.74</v>
      </c>
      <c r="AT163" s="4">
        <v>1190.372803</v>
      </c>
      <c r="AU163" s="4">
        <v>4.7E-2</v>
      </c>
      <c r="AW163" s="4" t="s">
        <v>107</v>
      </c>
      <c r="AX163" s="4">
        <v>0.9</v>
      </c>
      <c r="AY163" s="4">
        <v>0.5</v>
      </c>
      <c r="AZ163" s="4">
        <v>0.6</v>
      </c>
      <c r="BA163" s="4">
        <v>0.34</v>
      </c>
      <c r="BB163" s="6">
        <v>1062.802612</v>
      </c>
      <c r="BC163" s="4">
        <v>6.0000000000000001E-3</v>
      </c>
      <c r="BD163" s="5"/>
      <c r="BE163" s="5"/>
      <c r="BF163" s="5"/>
      <c r="BG163" s="5"/>
      <c r="BI163" s="4" t="s">
        <v>107</v>
      </c>
      <c r="BJ163" s="4">
        <v>0.9</v>
      </c>
      <c r="BK163" s="4">
        <v>0.5</v>
      </c>
      <c r="BL163" s="4">
        <v>0.6</v>
      </c>
      <c r="BM163" s="4">
        <v>0.03</v>
      </c>
      <c r="BN163" s="6">
        <v>878.28118900000004</v>
      </c>
      <c r="BO163" s="4">
        <v>1.4999999999999999E-2</v>
      </c>
      <c r="BQ163" s="4" t="s">
        <v>107</v>
      </c>
      <c r="BR163" s="4">
        <v>0.9</v>
      </c>
      <c r="BS163" s="4">
        <v>0.5</v>
      </c>
      <c r="BT163" s="4">
        <v>0.6</v>
      </c>
      <c r="BU163" s="4">
        <v>0.3</v>
      </c>
      <c r="BV163" s="4">
        <v>1027.905029</v>
      </c>
      <c r="BW163" s="4">
        <v>6.0000000000000001E-3</v>
      </c>
      <c r="BX163" s="5"/>
      <c r="BY163" s="5"/>
      <c r="BZ163" s="5"/>
      <c r="CA163" s="5"/>
    </row>
    <row r="164" spans="1:79" x14ac:dyDescent="0.3">
      <c r="A164" s="4" t="s">
        <v>108</v>
      </c>
      <c r="B164" s="4">
        <v>0.9</v>
      </c>
      <c r="C164" s="4">
        <v>0.5</v>
      </c>
      <c r="D164" s="4">
        <v>0.6</v>
      </c>
      <c r="E164" s="4">
        <v>0.1</v>
      </c>
      <c r="F164" s="4">
        <v>638.67529300000001</v>
      </c>
      <c r="G164" s="4">
        <v>3.4000000000000002E-2</v>
      </c>
      <c r="I164" s="4" t="s">
        <v>108</v>
      </c>
      <c r="J164" s="4">
        <v>0.9</v>
      </c>
      <c r="K164" s="4">
        <v>0.5</v>
      </c>
      <c r="L164" s="4">
        <v>0.6</v>
      </c>
      <c r="M164" s="4">
        <v>0.31</v>
      </c>
      <c r="N164" s="6">
        <v>609.84387200000003</v>
      </c>
      <c r="O164" s="4">
        <v>1E-3</v>
      </c>
      <c r="P164" s="5"/>
      <c r="Q164" s="5"/>
      <c r="R164" s="5"/>
      <c r="S164" s="5"/>
      <c r="U164" s="4" t="s">
        <v>108</v>
      </c>
      <c r="V164" s="4">
        <v>0.9</v>
      </c>
      <c r="W164" s="4">
        <v>0.5</v>
      </c>
      <c r="X164" s="4">
        <v>0.6</v>
      </c>
      <c r="Y164" s="4">
        <v>0.83</v>
      </c>
      <c r="Z164" s="4">
        <v>636.00988800000005</v>
      </c>
      <c r="AA164" s="4">
        <v>1.2999999999999999E-2</v>
      </c>
      <c r="AC164" s="4" t="s">
        <v>108</v>
      </c>
      <c r="AD164" s="4">
        <v>0.9</v>
      </c>
      <c r="AE164" s="4">
        <v>0.5</v>
      </c>
      <c r="AF164" s="4">
        <v>0.6</v>
      </c>
      <c r="AG164" s="4">
        <v>0.32</v>
      </c>
      <c r="AH164" s="6">
        <v>598.33752400000003</v>
      </c>
      <c r="AI164" s="4">
        <v>2E-3</v>
      </c>
      <c r="AJ164" s="5"/>
      <c r="AK164" s="5"/>
      <c r="AL164" s="5"/>
      <c r="AM164" s="5"/>
      <c r="AO164" s="4" t="s">
        <v>109</v>
      </c>
      <c r="AP164" s="4">
        <v>0.9</v>
      </c>
      <c r="AQ164" s="4">
        <v>0.5</v>
      </c>
      <c r="AR164" s="4">
        <v>0.6</v>
      </c>
      <c r="AS164" s="4">
        <v>0.86</v>
      </c>
      <c r="AT164" s="4">
        <v>1109.7298579999999</v>
      </c>
      <c r="AU164" s="4">
        <v>1.7999999999999999E-2</v>
      </c>
      <c r="AW164" s="4" t="s">
        <v>109</v>
      </c>
      <c r="AX164" s="4">
        <v>0.9</v>
      </c>
      <c r="AY164" s="4">
        <v>0.5</v>
      </c>
      <c r="AZ164" s="4">
        <v>0.6</v>
      </c>
      <c r="BA164" s="4">
        <v>0.31</v>
      </c>
      <c r="BB164" s="6">
        <v>924.37371800000005</v>
      </c>
      <c r="BC164" s="4">
        <v>5.0000000000000001E-3</v>
      </c>
      <c r="BD164" s="5"/>
      <c r="BE164" s="5"/>
      <c r="BF164" s="5"/>
      <c r="BG164" s="5"/>
      <c r="BI164" s="4" t="s">
        <v>109</v>
      </c>
      <c r="BJ164" s="4">
        <v>0.9</v>
      </c>
      <c r="BK164" s="4">
        <v>0.5</v>
      </c>
      <c r="BL164" s="4">
        <v>0.6</v>
      </c>
      <c r="BM164" s="4">
        <v>0</v>
      </c>
      <c r="BN164" s="6">
        <v>829.77203399999996</v>
      </c>
      <c r="BO164" s="4">
        <v>2.5999999999999999E-2</v>
      </c>
      <c r="BQ164" s="4" t="s">
        <v>109</v>
      </c>
      <c r="BR164" s="4">
        <v>0.9</v>
      </c>
      <c r="BS164" s="4">
        <v>0.5</v>
      </c>
      <c r="BT164" s="4">
        <v>0.6</v>
      </c>
      <c r="BU164" s="4">
        <v>0.3</v>
      </c>
      <c r="BV164" s="4">
        <v>914.49548300000004</v>
      </c>
      <c r="BW164" s="4">
        <v>5.0000000000000001E-3</v>
      </c>
      <c r="BX164" s="5"/>
      <c r="BY164" s="5"/>
      <c r="BZ164" s="5"/>
      <c r="CA164" s="5"/>
    </row>
    <row r="165" spans="1:79" x14ac:dyDescent="0.3">
      <c r="A165" s="4" t="s">
        <v>110</v>
      </c>
      <c r="B165" s="4">
        <v>0.9</v>
      </c>
      <c r="C165" s="4">
        <v>0.5</v>
      </c>
      <c r="D165" s="4">
        <v>0.6</v>
      </c>
      <c r="E165" s="4">
        <v>0.12</v>
      </c>
      <c r="F165" s="6">
        <v>557.82195999999999</v>
      </c>
      <c r="G165" s="4">
        <v>4.0000000000000001E-3</v>
      </c>
      <c r="I165" s="4" t="s">
        <v>110</v>
      </c>
      <c r="J165" s="4">
        <v>0.9</v>
      </c>
      <c r="K165" s="4">
        <v>0.5</v>
      </c>
      <c r="L165" s="4">
        <v>0.6</v>
      </c>
      <c r="M165" s="4">
        <v>0.46</v>
      </c>
      <c r="N165" s="4">
        <v>585.01507600000002</v>
      </c>
      <c r="O165" s="4">
        <v>1E-3</v>
      </c>
      <c r="P165" s="5"/>
      <c r="Q165" s="5"/>
      <c r="R165" s="5"/>
      <c r="S165" s="5"/>
      <c r="U165" s="4" t="s">
        <v>110</v>
      </c>
      <c r="V165" s="4">
        <v>0.9</v>
      </c>
      <c r="W165" s="4">
        <v>0.5</v>
      </c>
      <c r="X165" s="4">
        <v>0.6</v>
      </c>
      <c r="Y165" s="4">
        <v>0.87</v>
      </c>
      <c r="Z165" s="4">
        <v>671.54339600000003</v>
      </c>
      <c r="AA165" s="4">
        <v>1.4999999999999999E-2</v>
      </c>
      <c r="AC165" s="4" t="s">
        <v>110</v>
      </c>
      <c r="AD165" s="4">
        <v>0.9</v>
      </c>
      <c r="AE165" s="4">
        <v>0.5</v>
      </c>
      <c r="AF165" s="4">
        <v>0.6</v>
      </c>
      <c r="AG165" s="4">
        <v>0.3</v>
      </c>
      <c r="AH165" s="6">
        <v>594.47930899999994</v>
      </c>
      <c r="AI165" s="4">
        <v>1E-3</v>
      </c>
      <c r="AJ165" s="5"/>
      <c r="AK165" s="5"/>
      <c r="AL165" s="5"/>
      <c r="AM165" s="5"/>
      <c r="AO165" s="4" t="s">
        <v>111</v>
      </c>
      <c r="AP165" s="4">
        <v>0.9</v>
      </c>
      <c r="AQ165" s="4">
        <v>0.5</v>
      </c>
      <c r="AR165" s="4">
        <v>0.6</v>
      </c>
      <c r="AS165" s="4">
        <v>0.6</v>
      </c>
      <c r="AT165" s="4">
        <v>1116.9586179999999</v>
      </c>
      <c r="AU165" s="4">
        <v>2.8000000000000001E-2</v>
      </c>
      <c r="AW165" s="4" t="s">
        <v>111</v>
      </c>
      <c r="AX165" s="4">
        <v>0.9</v>
      </c>
      <c r="AY165" s="4">
        <v>0.5</v>
      </c>
      <c r="AZ165" s="4">
        <v>0.6</v>
      </c>
      <c r="BA165" s="4">
        <v>0.31</v>
      </c>
      <c r="BB165" s="6">
        <v>999.56781000000001</v>
      </c>
      <c r="BC165" s="4">
        <v>0.01</v>
      </c>
      <c r="BD165" s="5"/>
      <c r="BE165" s="5"/>
      <c r="BF165" s="5"/>
      <c r="BG165" s="5"/>
      <c r="BI165" s="4" t="s">
        <v>111</v>
      </c>
      <c r="BJ165" s="4">
        <v>0.9</v>
      </c>
      <c r="BK165" s="4">
        <v>0.5</v>
      </c>
      <c r="BL165" s="4">
        <v>0.6</v>
      </c>
      <c r="BM165" s="4">
        <v>0.04</v>
      </c>
      <c r="BN165" s="6">
        <v>828.51391599999999</v>
      </c>
      <c r="BO165" s="4">
        <v>1.6E-2</v>
      </c>
      <c r="BQ165" s="4" t="s">
        <v>111</v>
      </c>
      <c r="BR165" s="4">
        <v>0.9</v>
      </c>
      <c r="BS165" s="4">
        <v>0.5</v>
      </c>
      <c r="BT165" s="4">
        <v>0.6</v>
      </c>
      <c r="BU165" s="4">
        <v>0.31</v>
      </c>
      <c r="BV165" s="4">
        <v>1017.0591429999999</v>
      </c>
      <c r="BW165" s="4">
        <v>6.0000000000000001E-3</v>
      </c>
      <c r="BX165" s="5"/>
      <c r="BY165" s="5"/>
      <c r="BZ165" s="5"/>
      <c r="CA165" s="5"/>
    </row>
    <row r="166" spans="1:79" x14ac:dyDescent="0.3">
      <c r="A166" s="4" t="s">
        <v>112</v>
      </c>
      <c r="B166" s="4">
        <v>0.9</v>
      </c>
      <c r="C166" s="4">
        <v>0.5</v>
      </c>
      <c r="D166" s="4">
        <v>0.6</v>
      </c>
      <c r="E166" s="4">
        <v>0.35</v>
      </c>
      <c r="F166" s="4">
        <v>489.28988600000002</v>
      </c>
      <c r="G166" s="4">
        <v>1.4999999999999999E-2</v>
      </c>
      <c r="I166" s="4" t="s">
        <v>112</v>
      </c>
      <c r="J166" s="4">
        <v>0.9</v>
      </c>
      <c r="K166" s="4">
        <v>0.5</v>
      </c>
      <c r="L166" s="4">
        <v>0.6</v>
      </c>
      <c r="M166" s="4">
        <v>0.36</v>
      </c>
      <c r="N166" s="6">
        <v>472.01461799999998</v>
      </c>
      <c r="O166" s="4">
        <v>1E-3</v>
      </c>
      <c r="P166" s="5"/>
      <c r="Q166" s="5"/>
      <c r="R166" s="5"/>
      <c r="S166" s="5"/>
      <c r="U166" s="4" t="s">
        <v>112</v>
      </c>
      <c r="V166" s="4">
        <v>0.9</v>
      </c>
      <c r="W166" s="4">
        <v>0.5</v>
      </c>
      <c r="X166" s="4">
        <v>0.6</v>
      </c>
      <c r="Y166" s="4">
        <v>0.1</v>
      </c>
      <c r="Z166" s="6">
        <v>445.93069500000001</v>
      </c>
      <c r="AA166" s="4">
        <v>1.2E-2</v>
      </c>
      <c r="AC166" s="4" t="s">
        <v>112</v>
      </c>
      <c r="AD166" s="4">
        <v>0.9</v>
      </c>
      <c r="AE166" s="4">
        <v>0.5</v>
      </c>
      <c r="AF166" s="4">
        <v>0.6</v>
      </c>
      <c r="AG166" s="4">
        <v>0.3</v>
      </c>
      <c r="AH166" s="4">
        <v>446.33166499999999</v>
      </c>
      <c r="AI166" s="4">
        <v>2E-3</v>
      </c>
      <c r="AJ166" s="5"/>
      <c r="AK166" s="5"/>
      <c r="AL166" s="5"/>
      <c r="AM166" s="5"/>
      <c r="AO166" s="4" t="s">
        <v>113</v>
      </c>
      <c r="AP166" s="4">
        <v>0.9</v>
      </c>
      <c r="AQ166" s="4">
        <v>0.5</v>
      </c>
      <c r="AR166" s="4">
        <v>0.6</v>
      </c>
      <c r="AS166" s="4">
        <v>0.55000000000000004</v>
      </c>
      <c r="AT166" s="4">
        <v>1010.748474</v>
      </c>
      <c r="AU166" s="4">
        <v>2.7E-2</v>
      </c>
      <c r="AW166" s="4" t="s">
        <v>113</v>
      </c>
      <c r="AX166" s="4">
        <v>0.9</v>
      </c>
      <c r="AY166" s="4">
        <v>0.5</v>
      </c>
      <c r="AZ166" s="4">
        <v>0.6</v>
      </c>
      <c r="BA166" s="4">
        <v>0.3</v>
      </c>
      <c r="BB166" s="6">
        <v>920.98638900000003</v>
      </c>
      <c r="BC166" s="4">
        <v>5.0000000000000001E-3</v>
      </c>
      <c r="BD166" s="5"/>
      <c r="BE166" s="5"/>
      <c r="BF166" s="5"/>
      <c r="BG166" s="5"/>
      <c r="BI166" s="4" t="s">
        <v>113</v>
      </c>
      <c r="BJ166" s="4">
        <v>0.9</v>
      </c>
      <c r="BK166" s="4">
        <v>0.5</v>
      </c>
      <c r="BL166" s="4">
        <v>0.6</v>
      </c>
      <c r="BM166" s="4">
        <v>0.57999999999999996</v>
      </c>
      <c r="BN166" s="4">
        <v>1010.38739</v>
      </c>
      <c r="BO166" s="4">
        <v>1.4999999999999999E-2</v>
      </c>
      <c r="BQ166" s="4" t="s">
        <v>113</v>
      </c>
      <c r="BR166" s="4">
        <v>0.9</v>
      </c>
      <c r="BS166" s="4">
        <v>0.5</v>
      </c>
      <c r="BT166" s="4">
        <v>0.6</v>
      </c>
      <c r="BU166" s="4">
        <v>0.31</v>
      </c>
      <c r="BV166" s="6">
        <v>928.340149</v>
      </c>
      <c r="BW166" s="4">
        <v>5.0000000000000001E-3</v>
      </c>
      <c r="BX166" s="5"/>
      <c r="BY166" s="5"/>
      <c r="BZ166" s="5"/>
      <c r="CA166" s="5"/>
    </row>
    <row r="167" spans="1:79" x14ac:dyDescent="0.3">
      <c r="A167" s="4" t="s">
        <v>114</v>
      </c>
      <c r="B167" s="4">
        <v>0.9</v>
      </c>
      <c r="C167" s="4">
        <v>0.5</v>
      </c>
      <c r="D167" s="4">
        <v>0.6</v>
      </c>
      <c r="E167" s="4">
        <v>0.31</v>
      </c>
      <c r="F167" s="4">
        <v>612.69805899999994</v>
      </c>
      <c r="G167" s="4">
        <v>1.9E-2</v>
      </c>
      <c r="I167" s="4" t="s">
        <v>114</v>
      </c>
      <c r="J167" s="4">
        <v>0.9</v>
      </c>
      <c r="K167" s="4">
        <v>0.5</v>
      </c>
      <c r="L167" s="4">
        <v>0.6</v>
      </c>
      <c r="M167" s="4">
        <v>0.3</v>
      </c>
      <c r="N167" s="6">
        <v>602.620544</v>
      </c>
      <c r="O167" s="4">
        <v>1E-3</v>
      </c>
      <c r="P167" s="5"/>
      <c r="Q167" s="5"/>
      <c r="R167" s="5"/>
      <c r="S167" s="5"/>
      <c r="U167" s="4" t="s">
        <v>114</v>
      </c>
      <c r="V167" s="4">
        <v>0.9</v>
      </c>
      <c r="W167" s="4">
        <v>0.5</v>
      </c>
      <c r="X167" s="4">
        <v>0.6</v>
      </c>
      <c r="Y167" s="4">
        <v>0.9</v>
      </c>
      <c r="Z167" s="4">
        <v>697.24017300000003</v>
      </c>
      <c r="AA167" s="4">
        <v>1.2999999999999999E-2</v>
      </c>
      <c r="AC167" s="4" t="s">
        <v>114</v>
      </c>
      <c r="AD167" s="4">
        <v>0.9</v>
      </c>
      <c r="AE167" s="4">
        <v>0.5</v>
      </c>
      <c r="AF167" s="4">
        <v>0.6</v>
      </c>
      <c r="AG167" s="4">
        <v>0.33</v>
      </c>
      <c r="AH167" s="6">
        <v>597.57690400000001</v>
      </c>
      <c r="AI167" s="4">
        <v>1E-3</v>
      </c>
      <c r="AJ167" s="5"/>
      <c r="AK167" s="5"/>
      <c r="AL167" s="5"/>
      <c r="AM167" s="5"/>
      <c r="AO167" s="4" t="s">
        <v>115</v>
      </c>
      <c r="AP167" s="4">
        <v>0.9</v>
      </c>
      <c r="AQ167" s="4">
        <v>0.5</v>
      </c>
      <c r="AR167" s="4">
        <v>0.6</v>
      </c>
      <c r="AS167" s="4">
        <v>0.84</v>
      </c>
      <c r="AT167" s="4">
        <v>1332.5032960000001</v>
      </c>
      <c r="AU167" s="4">
        <v>0.02</v>
      </c>
      <c r="AW167" s="4" t="s">
        <v>115</v>
      </c>
      <c r="AX167" s="4">
        <v>0.9</v>
      </c>
      <c r="AY167" s="4">
        <v>0.5</v>
      </c>
      <c r="AZ167" s="4">
        <v>0.6</v>
      </c>
      <c r="BA167" s="4">
        <v>0.34</v>
      </c>
      <c r="BB167" s="6">
        <v>1029.0471190000001</v>
      </c>
      <c r="BC167" s="4">
        <v>6.0000000000000001E-3</v>
      </c>
      <c r="BD167" s="5"/>
      <c r="BE167" s="5"/>
      <c r="BF167" s="5"/>
      <c r="BG167" s="5"/>
      <c r="BI167" s="4" t="s">
        <v>115</v>
      </c>
      <c r="BJ167" s="4">
        <v>0.9</v>
      </c>
      <c r="BK167" s="4">
        <v>0.5</v>
      </c>
      <c r="BL167" s="4">
        <v>0.6</v>
      </c>
      <c r="BM167" s="4">
        <v>0.03</v>
      </c>
      <c r="BN167" s="6">
        <v>804.73028599999998</v>
      </c>
      <c r="BO167" s="4">
        <v>1.2999999999999999E-2</v>
      </c>
      <c r="BQ167" s="4" t="s">
        <v>115</v>
      </c>
      <c r="BR167" s="4">
        <v>0.9</v>
      </c>
      <c r="BS167" s="4">
        <v>0.5</v>
      </c>
      <c r="BT167" s="4">
        <v>0.6</v>
      </c>
      <c r="BU167" s="4">
        <v>0.3</v>
      </c>
      <c r="BV167" s="4">
        <v>1022.843628</v>
      </c>
      <c r="BW167" s="4">
        <v>6.0000000000000001E-3</v>
      </c>
      <c r="BX167" s="5"/>
      <c r="BY167" s="5"/>
      <c r="BZ167" s="5"/>
      <c r="CA167" s="5"/>
    </row>
    <row r="168" spans="1:79" x14ac:dyDescent="0.3">
      <c r="A168" s="4" t="s">
        <v>116</v>
      </c>
      <c r="B168" s="4">
        <v>0.9</v>
      </c>
      <c r="C168" s="4">
        <v>0.5</v>
      </c>
      <c r="D168" s="4">
        <v>0.6</v>
      </c>
      <c r="E168" s="4">
        <v>7.0000000000000007E-2</v>
      </c>
      <c r="F168" s="6">
        <v>620.785889</v>
      </c>
      <c r="G168" s="4">
        <v>2.5000000000000001E-2</v>
      </c>
      <c r="I168" s="4" t="s">
        <v>116</v>
      </c>
      <c r="J168" s="4">
        <v>0.9</v>
      </c>
      <c r="K168" s="4">
        <v>0.5</v>
      </c>
      <c r="L168" s="4">
        <v>0.6</v>
      </c>
      <c r="M168" s="4">
        <v>0.38</v>
      </c>
      <c r="N168" s="4">
        <v>664.10217299999999</v>
      </c>
      <c r="O168" s="4">
        <v>1E-3</v>
      </c>
      <c r="P168" s="5"/>
      <c r="Q168" s="5"/>
      <c r="R168" s="5"/>
      <c r="S168" s="5"/>
      <c r="U168" s="4" t="s">
        <v>116</v>
      </c>
      <c r="V168" s="4">
        <v>0.9</v>
      </c>
      <c r="W168" s="4">
        <v>0.5</v>
      </c>
      <c r="X168" s="4">
        <v>0.6</v>
      </c>
      <c r="Y168" s="4">
        <v>0.17</v>
      </c>
      <c r="Z168" s="6">
        <v>611.13293499999997</v>
      </c>
      <c r="AA168" s="4">
        <v>1.4E-2</v>
      </c>
      <c r="AC168" s="4" t="s">
        <v>116</v>
      </c>
      <c r="AD168" s="4">
        <v>0.9</v>
      </c>
      <c r="AE168" s="4">
        <v>0.5</v>
      </c>
      <c r="AF168" s="4">
        <v>0.6</v>
      </c>
      <c r="AG168" s="4">
        <v>0.3</v>
      </c>
      <c r="AH168" s="4">
        <v>642.09844999999996</v>
      </c>
      <c r="AI168" s="4">
        <v>1E-3</v>
      </c>
      <c r="AJ168" s="5"/>
      <c r="AK168" s="5"/>
      <c r="AL168" s="5"/>
      <c r="AM168" s="5"/>
      <c r="AO168" s="4" t="s">
        <v>117</v>
      </c>
      <c r="AP168" s="4">
        <v>0.9</v>
      </c>
      <c r="AQ168" s="4">
        <v>0.5</v>
      </c>
      <c r="AR168" s="4">
        <v>0.6</v>
      </c>
      <c r="AS168" s="4">
        <v>0.6</v>
      </c>
      <c r="AT168" s="4">
        <v>1109.1999510000001</v>
      </c>
      <c r="AU168" s="4">
        <v>1.4E-2</v>
      </c>
      <c r="AW168" s="4" t="s">
        <v>117</v>
      </c>
      <c r="AX168" s="4">
        <v>0.9</v>
      </c>
      <c r="AY168" s="4">
        <v>0.5</v>
      </c>
      <c r="AZ168" s="4">
        <v>0.6</v>
      </c>
      <c r="BA168" s="4">
        <v>0.37</v>
      </c>
      <c r="BB168" s="6">
        <v>1009.486755</v>
      </c>
      <c r="BC168" s="4">
        <v>6.0000000000000001E-3</v>
      </c>
      <c r="BD168" s="5"/>
      <c r="BE168" s="5"/>
      <c r="BF168" s="5"/>
      <c r="BG168" s="5"/>
      <c r="BI168" s="4" t="s">
        <v>117</v>
      </c>
      <c r="BJ168" s="4">
        <v>0.9</v>
      </c>
      <c r="BK168" s="4">
        <v>0.5</v>
      </c>
      <c r="BL168" s="4">
        <v>0.6</v>
      </c>
      <c r="BM168" s="4">
        <v>0.53</v>
      </c>
      <c r="BN168" s="4">
        <v>1068.4554439999999</v>
      </c>
      <c r="BO168" s="4">
        <v>1.9E-2</v>
      </c>
      <c r="BQ168" s="4" t="s">
        <v>117</v>
      </c>
      <c r="BR168" s="4">
        <v>0.9</v>
      </c>
      <c r="BS168" s="4">
        <v>0.5</v>
      </c>
      <c r="BT168" s="4">
        <v>0.6</v>
      </c>
      <c r="BU168" s="4">
        <v>0.3</v>
      </c>
      <c r="BV168" s="6">
        <v>979.59704599999998</v>
      </c>
      <c r="BW168" s="4">
        <v>6.0000000000000001E-3</v>
      </c>
      <c r="BX168" s="5"/>
      <c r="BY168" s="5"/>
      <c r="BZ168" s="5"/>
      <c r="CA168" s="5"/>
    </row>
    <row r="169" spans="1:79" x14ac:dyDescent="0.3">
      <c r="A169" s="4" t="s">
        <v>118</v>
      </c>
      <c r="B169" s="4">
        <v>0.9</v>
      </c>
      <c r="C169" s="4">
        <v>0.5</v>
      </c>
      <c r="D169" s="4">
        <v>0.6</v>
      </c>
      <c r="E169" s="4">
        <v>0.15</v>
      </c>
      <c r="F169" s="6">
        <v>553.96673599999997</v>
      </c>
      <c r="G169" s="4">
        <v>2.1999999999999999E-2</v>
      </c>
      <c r="I169" s="4" t="s">
        <v>118</v>
      </c>
      <c r="J169" s="4">
        <v>0.9</v>
      </c>
      <c r="K169" s="4">
        <v>0.5</v>
      </c>
      <c r="L169" s="4">
        <v>0.6</v>
      </c>
      <c r="M169" s="4">
        <v>0.41</v>
      </c>
      <c r="N169" s="4">
        <v>581.69366500000001</v>
      </c>
      <c r="O169" s="4">
        <v>1E-3</v>
      </c>
      <c r="P169" s="5"/>
      <c r="Q169" s="5"/>
      <c r="R169" s="5"/>
      <c r="S169" s="5"/>
      <c r="U169" s="4" t="s">
        <v>118</v>
      </c>
      <c r="V169" s="4">
        <v>0.9</v>
      </c>
      <c r="W169" s="4">
        <v>0.5</v>
      </c>
      <c r="X169" s="4">
        <v>0.6</v>
      </c>
      <c r="Y169" s="4">
        <v>0.52</v>
      </c>
      <c r="Z169" s="4">
        <v>642.53186000000005</v>
      </c>
      <c r="AA169" s="4">
        <v>1.0999999999999999E-2</v>
      </c>
      <c r="AC169" s="4" t="s">
        <v>118</v>
      </c>
      <c r="AD169" s="4">
        <v>0.9</v>
      </c>
      <c r="AE169" s="4">
        <v>0.5</v>
      </c>
      <c r="AF169" s="4">
        <v>0.6</v>
      </c>
      <c r="AG169" s="4">
        <v>0.33</v>
      </c>
      <c r="AH169" s="6">
        <v>574.32305899999994</v>
      </c>
      <c r="AI169" s="4">
        <v>1E-3</v>
      </c>
      <c r="AJ169" s="5"/>
      <c r="AK169" s="5"/>
      <c r="AL169" s="5"/>
      <c r="AM169" s="5"/>
      <c r="AO169" s="4" t="s">
        <v>119</v>
      </c>
      <c r="AP169" s="4">
        <v>0.9</v>
      </c>
      <c r="AQ169" s="4">
        <v>0.5</v>
      </c>
      <c r="AR169" s="4">
        <v>0.6</v>
      </c>
      <c r="AS169" s="4">
        <v>0.53</v>
      </c>
      <c r="AT169" s="4">
        <v>1139.794678</v>
      </c>
      <c r="AU169" s="4">
        <v>1.4999999999999999E-2</v>
      </c>
      <c r="AW169" s="4" t="s">
        <v>119</v>
      </c>
      <c r="AX169" s="4">
        <v>0.9</v>
      </c>
      <c r="AY169" s="4">
        <v>0.5</v>
      </c>
      <c r="AZ169" s="4">
        <v>0.6</v>
      </c>
      <c r="BA169" s="4">
        <v>0.3</v>
      </c>
      <c r="BB169" s="6">
        <v>1023.5859380000001</v>
      </c>
      <c r="BC169" s="4">
        <v>8.9999999999999993E-3</v>
      </c>
      <c r="BD169" s="5"/>
      <c r="BE169" s="5"/>
      <c r="BF169" s="5"/>
      <c r="BG169" s="5"/>
      <c r="BI169" s="4" t="s">
        <v>119</v>
      </c>
      <c r="BJ169" s="4">
        <v>0.9</v>
      </c>
      <c r="BK169" s="4">
        <v>0.5</v>
      </c>
      <c r="BL169" s="4">
        <v>0.6</v>
      </c>
      <c r="BM169" s="4">
        <v>0.5</v>
      </c>
      <c r="BN169" s="4">
        <v>1119.9693600000001</v>
      </c>
      <c r="BO169" s="4">
        <v>1.6E-2</v>
      </c>
      <c r="BQ169" s="4" t="s">
        <v>119</v>
      </c>
      <c r="BR169" s="4">
        <v>0.9</v>
      </c>
      <c r="BS169" s="4">
        <v>0.5</v>
      </c>
      <c r="BT169" s="4">
        <v>0.6</v>
      </c>
      <c r="BU169" s="4">
        <v>0.4</v>
      </c>
      <c r="BV169" s="6">
        <v>1019.048401</v>
      </c>
      <c r="BW169" s="4">
        <v>6.0000000000000001E-3</v>
      </c>
      <c r="BX169" s="5"/>
      <c r="BY169" s="5"/>
      <c r="BZ169" s="5"/>
      <c r="CA169" s="5"/>
    </row>
    <row r="170" spans="1:79" x14ac:dyDescent="0.3">
      <c r="A170" s="4" t="s">
        <v>120</v>
      </c>
      <c r="B170" s="4">
        <v>0.9</v>
      </c>
      <c r="C170" s="4">
        <v>0.5</v>
      </c>
      <c r="D170" s="4">
        <v>0.6</v>
      </c>
      <c r="E170" s="4">
        <v>0.04</v>
      </c>
      <c r="F170" s="6">
        <v>715.88507100000004</v>
      </c>
      <c r="G170" s="4">
        <v>2.3E-2</v>
      </c>
      <c r="I170" s="4" t="s">
        <v>120</v>
      </c>
      <c r="J170" s="4">
        <v>0.9</v>
      </c>
      <c r="K170" s="4">
        <v>0.5</v>
      </c>
      <c r="L170" s="4">
        <v>0.6</v>
      </c>
      <c r="M170" s="4">
        <v>0.33</v>
      </c>
      <c r="N170" s="4">
        <v>718.14733899999999</v>
      </c>
      <c r="O170" s="4">
        <v>2E-3</v>
      </c>
      <c r="P170" s="5"/>
      <c r="Q170" s="5"/>
      <c r="R170" s="5"/>
      <c r="S170" s="5"/>
      <c r="U170" s="4" t="s">
        <v>120</v>
      </c>
      <c r="V170" s="4">
        <v>0.9</v>
      </c>
      <c r="W170" s="4">
        <v>0.5</v>
      </c>
      <c r="X170" s="4">
        <v>0.6</v>
      </c>
      <c r="Y170" s="4">
        <v>0.22</v>
      </c>
      <c r="Z170" s="6">
        <v>695.92138699999998</v>
      </c>
      <c r="AA170" s="4">
        <v>1.4E-2</v>
      </c>
      <c r="AC170" s="4" t="s">
        <v>120</v>
      </c>
      <c r="AD170" s="4">
        <v>0.9</v>
      </c>
      <c r="AE170" s="4">
        <v>0.5</v>
      </c>
      <c r="AF170" s="4">
        <v>0.6</v>
      </c>
      <c r="AG170" s="4">
        <v>0.3</v>
      </c>
      <c r="AH170" s="4">
        <v>713.49054000000001</v>
      </c>
      <c r="AI170" s="4">
        <v>1E-3</v>
      </c>
      <c r="AJ170" s="5"/>
      <c r="AK170" s="5"/>
      <c r="AL170" s="5"/>
      <c r="AM170" s="5"/>
      <c r="AO170" s="4" t="s">
        <v>121</v>
      </c>
      <c r="AP170" s="4">
        <v>0.9</v>
      </c>
      <c r="AQ170" s="4">
        <v>0.5</v>
      </c>
      <c r="AR170" s="4">
        <v>0.6</v>
      </c>
      <c r="AS170" s="4">
        <v>0.85</v>
      </c>
      <c r="AT170" s="4">
        <v>1250.4702150000001</v>
      </c>
      <c r="AU170" s="4">
        <v>0.02</v>
      </c>
      <c r="AW170" s="4" t="s">
        <v>121</v>
      </c>
      <c r="AX170" s="4">
        <v>0.9</v>
      </c>
      <c r="AY170" s="4">
        <v>0.5</v>
      </c>
      <c r="AZ170" s="4">
        <v>0.6</v>
      </c>
      <c r="BA170" s="4">
        <v>0.3</v>
      </c>
      <c r="BB170" s="6">
        <v>1068.928345</v>
      </c>
      <c r="BC170" s="4">
        <v>8.0000000000000002E-3</v>
      </c>
      <c r="BD170" s="5"/>
      <c r="BE170" s="5"/>
      <c r="BF170" s="5"/>
      <c r="BG170" s="5"/>
      <c r="BI170" s="4" t="s">
        <v>121</v>
      </c>
      <c r="BJ170" s="4">
        <v>0.9</v>
      </c>
      <c r="BK170" s="4">
        <v>0.5</v>
      </c>
      <c r="BL170" s="4">
        <v>0.6</v>
      </c>
      <c r="BM170" s="4">
        <v>0</v>
      </c>
      <c r="BN170" s="6">
        <v>927.14019800000005</v>
      </c>
      <c r="BO170" s="4">
        <v>1.7999999999999999E-2</v>
      </c>
      <c r="BQ170" s="4" t="s">
        <v>121</v>
      </c>
      <c r="BR170" s="4">
        <v>0.9</v>
      </c>
      <c r="BS170" s="4">
        <v>0.5</v>
      </c>
      <c r="BT170" s="4">
        <v>0.6</v>
      </c>
      <c r="BU170" s="4">
        <v>0.31</v>
      </c>
      <c r="BV170" s="4">
        <v>1056.6529539999999</v>
      </c>
      <c r="BW170" s="4">
        <v>7.0000000000000001E-3</v>
      </c>
      <c r="BX170" s="5"/>
      <c r="BY170" s="5"/>
      <c r="BZ170" s="5"/>
      <c r="CA170" s="5"/>
    </row>
    <row r="171" spans="1:79" x14ac:dyDescent="0.3">
      <c r="A171" s="4" t="s">
        <v>122</v>
      </c>
      <c r="B171" s="4">
        <v>0.9</v>
      </c>
      <c r="C171" s="4">
        <v>0.5</v>
      </c>
      <c r="D171" s="4">
        <v>0.6</v>
      </c>
      <c r="E171" s="4">
        <v>0.14000000000000001</v>
      </c>
      <c r="F171" s="6">
        <v>640.79394500000001</v>
      </c>
      <c r="G171" s="4">
        <v>2.7E-2</v>
      </c>
      <c r="I171" s="4" t="s">
        <v>122</v>
      </c>
      <c r="J171" s="4">
        <v>0.9</v>
      </c>
      <c r="K171" s="4">
        <v>0.5</v>
      </c>
      <c r="L171" s="4">
        <v>0.6</v>
      </c>
      <c r="M171" s="4">
        <v>0.32</v>
      </c>
      <c r="N171" s="4">
        <v>661.61749299999997</v>
      </c>
      <c r="O171" s="4">
        <v>1E-3</v>
      </c>
      <c r="P171" s="5"/>
      <c r="Q171" s="5"/>
      <c r="R171" s="5"/>
      <c r="S171" s="5"/>
      <c r="U171" s="4" t="s">
        <v>122</v>
      </c>
      <c r="V171" s="4">
        <v>0.9</v>
      </c>
      <c r="W171" s="4">
        <v>0.5</v>
      </c>
      <c r="X171" s="4">
        <v>0.6</v>
      </c>
      <c r="Y171" s="4">
        <v>0.28999999999999998</v>
      </c>
      <c r="Z171" s="4">
        <v>654.77642800000001</v>
      </c>
      <c r="AA171" s="4">
        <v>1.2999999999999999E-2</v>
      </c>
      <c r="AC171" s="4" t="s">
        <v>122</v>
      </c>
      <c r="AD171" s="4">
        <v>0.9</v>
      </c>
      <c r="AE171" s="4">
        <v>0.5</v>
      </c>
      <c r="AF171" s="4">
        <v>0.6</v>
      </c>
      <c r="AG171" s="4">
        <v>0.52</v>
      </c>
      <c r="AH171" s="6">
        <v>650.76336700000002</v>
      </c>
      <c r="AI171" s="4">
        <v>1E-3</v>
      </c>
      <c r="AJ171" s="5"/>
      <c r="AK171" s="5"/>
      <c r="AL171" s="5"/>
      <c r="AM171" s="5"/>
      <c r="AO171" s="4" t="s">
        <v>123</v>
      </c>
      <c r="AP171" s="4">
        <v>0.9</v>
      </c>
      <c r="AQ171" s="4">
        <v>0.5</v>
      </c>
      <c r="AR171" s="4">
        <v>0.6</v>
      </c>
      <c r="AS171" s="4">
        <v>0.27</v>
      </c>
      <c r="AT171" s="6">
        <v>981.20733600000005</v>
      </c>
      <c r="AU171" s="4">
        <v>1.2E-2</v>
      </c>
      <c r="AW171" s="4" t="s">
        <v>123</v>
      </c>
      <c r="AX171" s="4">
        <v>0.9</v>
      </c>
      <c r="AY171" s="4">
        <v>0.5</v>
      </c>
      <c r="AZ171" s="4">
        <v>0.6</v>
      </c>
      <c r="BA171" s="4">
        <v>0.31</v>
      </c>
      <c r="BB171" s="4">
        <v>1016.541138</v>
      </c>
      <c r="BC171" s="4">
        <v>6.0000000000000001E-3</v>
      </c>
      <c r="BD171" s="5"/>
      <c r="BE171" s="5"/>
      <c r="BF171" s="5"/>
      <c r="BG171" s="5"/>
      <c r="BI171" s="4" t="s">
        <v>123</v>
      </c>
      <c r="BJ171" s="4">
        <v>0.9</v>
      </c>
      <c r="BK171" s="4">
        <v>0.5</v>
      </c>
      <c r="BL171" s="4">
        <v>0.6</v>
      </c>
      <c r="BM171" s="4">
        <v>0.97</v>
      </c>
      <c r="BN171" s="4">
        <v>1245.7711179999999</v>
      </c>
      <c r="BO171" s="4">
        <v>1.7999999999999999E-2</v>
      </c>
      <c r="BQ171" s="4" t="s">
        <v>123</v>
      </c>
      <c r="BR171" s="4">
        <v>0.9</v>
      </c>
      <c r="BS171" s="4">
        <v>0.5</v>
      </c>
      <c r="BT171" s="4">
        <v>0.6</v>
      </c>
      <c r="BU171" s="4">
        <v>0.3</v>
      </c>
      <c r="BV171" s="6">
        <v>1016.4537350000001</v>
      </c>
      <c r="BW171" s="4">
        <v>6.0000000000000001E-3</v>
      </c>
      <c r="BX171" s="5"/>
      <c r="BY171" s="5"/>
      <c r="BZ171" s="5"/>
      <c r="CA171" s="5"/>
    </row>
    <row r="172" spans="1:79" x14ac:dyDescent="0.3">
      <c r="A172" s="4" t="s">
        <v>124</v>
      </c>
      <c r="B172" s="4">
        <v>0.9</v>
      </c>
      <c r="C172" s="4">
        <v>0.5</v>
      </c>
      <c r="D172" s="4">
        <v>0.6</v>
      </c>
      <c r="E172" s="4">
        <v>0.49</v>
      </c>
      <c r="F172" s="4">
        <v>621.42016599999999</v>
      </c>
      <c r="G172" s="4">
        <v>3.3000000000000002E-2</v>
      </c>
      <c r="I172" s="4" t="s">
        <v>124</v>
      </c>
      <c r="J172" s="4">
        <v>0.9</v>
      </c>
      <c r="K172" s="4">
        <v>0.5</v>
      </c>
      <c r="L172" s="4">
        <v>0.6</v>
      </c>
      <c r="M172" s="4">
        <v>0.32</v>
      </c>
      <c r="N172" s="6">
        <v>576.68908699999997</v>
      </c>
      <c r="O172" s="4">
        <v>1E-3</v>
      </c>
      <c r="P172" s="5"/>
      <c r="Q172" s="5"/>
      <c r="R172" s="5"/>
      <c r="S172" s="5"/>
      <c r="U172" s="4" t="s">
        <v>124</v>
      </c>
      <c r="V172" s="4">
        <v>0.9</v>
      </c>
      <c r="W172" s="4">
        <v>0.5</v>
      </c>
      <c r="X172" s="4">
        <v>0.6</v>
      </c>
      <c r="Y172" s="4">
        <v>0.8</v>
      </c>
      <c r="Z172" s="4">
        <v>659.816956</v>
      </c>
      <c r="AA172" s="4">
        <v>1.0999999999999999E-2</v>
      </c>
      <c r="AC172" s="4" t="s">
        <v>124</v>
      </c>
      <c r="AD172" s="4">
        <v>0.9</v>
      </c>
      <c r="AE172" s="4">
        <v>0.5</v>
      </c>
      <c r="AF172" s="4">
        <v>0.6</v>
      </c>
      <c r="AG172" s="4">
        <v>0.32</v>
      </c>
      <c r="AH172" s="6">
        <v>574.85742200000004</v>
      </c>
      <c r="AI172" s="4">
        <v>2E-3</v>
      </c>
      <c r="AJ172" s="5"/>
      <c r="AK172" s="5"/>
      <c r="AL172" s="5"/>
      <c r="AM172" s="5"/>
      <c r="AO172" s="4" t="s">
        <v>125</v>
      </c>
      <c r="AP172" s="4">
        <v>0.9</v>
      </c>
      <c r="AQ172" s="4">
        <v>0.5</v>
      </c>
      <c r="AR172" s="4">
        <v>0.6</v>
      </c>
      <c r="AS172" s="4">
        <v>0.16</v>
      </c>
      <c r="AT172" s="6">
        <v>976.62823500000002</v>
      </c>
      <c r="AU172" s="4">
        <v>1.7999999999999999E-2</v>
      </c>
      <c r="AW172" s="4" t="s">
        <v>125</v>
      </c>
      <c r="AX172" s="4">
        <v>0.9</v>
      </c>
      <c r="AY172" s="4">
        <v>0.5</v>
      </c>
      <c r="AZ172" s="4">
        <v>0.6</v>
      </c>
      <c r="BA172" s="4">
        <v>0.3</v>
      </c>
      <c r="BB172" s="4">
        <v>1067.5063479999999</v>
      </c>
      <c r="BC172" s="4">
        <v>6.0000000000000001E-3</v>
      </c>
      <c r="BD172" s="5"/>
      <c r="BE172" s="5"/>
      <c r="BF172" s="5"/>
      <c r="BG172" s="5"/>
      <c r="BI172" s="4" t="s">
        <v>125</v>
      </c>
      <c r="BJ172" s="4">
        <v>0.9</v>
      </c>
      <c r="BK172" s="4">
        <v>0.5</v>
      </c>
      <c r="BL172" s="4">
        <v>0.6</v>
      </c>
      <c r="BM172" s="4">
        <v>0.4</v>
      </c>
      <c r="BN172" s="4">
        <v>1105.7799070000001</v>
      </c>
      <c r="BO172" s="4">
        <v>1.4999999999999999E-2</v>
      </c>
      <c r="BQ172" s="4" t="s">
        <v>125</v>
      </c>
      <c r="BR172" s="4">
        <v>0.9</v>
      </c>
      <c r="BS172" s="4">
        <v>0.5</v>
      </c>
      <c r="BT172" s="4">
        <v>0.6</v>
      </c>
      <c r="BU172" s="4">
        <v>0.33</v>
      </c>
      <c r="BV172" s="6">
        <v>1071.3294679999999</v>
      </c>
      <c r="BW172" s="4">
        <v>6.0000000000000001E-3</v>
      </c>
      <c r="BX172" s="5"/>
      <c r="BY172" s="5"/>
      <c r="BZ172" s="5"/>
      <c r="CA172" s="5"/>
    </row>
    <row r="173" spans="1:79" x14ac:dyDescent="0.3">
      <c r="A173" s="4" t="s">
        <v>126</v>
      </c>
      <c r="B173" s="4">
        <v>0.9</v>
      </c>
      <c r="C173" s="4">
        <v>0.5</v>
      </c>
      <c r="D173" s="4">
        <v>0.6</v>
      </c>
      <c r="E173" s="4">
        <v>0.24</v>
      </c>
      <c r="F173" s="6">
        <v>627.89904799999999</v>
      </c>
      <c r="G173" s="4">
        <v>1.7000000000000001E-2</v>
      </c>
      <c r="I173" s="4" t="s">
        <v>126</v>
      </c>
      <c r="J173" s="4">
        <v>0.9</v>
      </c>
      <c r="K173" s="4">
        <v>0.5</v>
      </c>
      <c r="L173" s="4">
        <v>0.6</v>
      </c>
      <c r="M173" s="4">
        <v>0.32</v>
      </c>
      <c r="N173" s="4">
        <v>629.24627699999996</v>
      </c>
      <c r="O173" s="4">
        <v>2E-3</v>
      </c>
      <c r="P173" s="5"/>
      <c r="Q173" s="5"/>
      <c r="R173" s="5"/>
      <c r="S173" s="5"/>
      <c r="U173" s="4" t="s">
        <v>126</v>
      </c>
      <c r="V173" s="4">
        <v>0.9</v>
      </c>
      <c r="W173" s="4">
        <v>0.5</v>
      </c>
      <c r="X173" s="4">
        <v>0.6</v>
      </c>
      <c r="Y173" s="4">
        <v>0.01</v>
      </c>
      <c r="Z173" s="4">
        <v>674.78546100000005</v>
      </c>
      <c r="AA173" s="4">
        <v>2.1000000000000001E-2</v>
      </c>
      <c r="AC173" s="4" t="s">
        <v>126</v>
      </c>
      <c r="AD173" s="4">
        <v>0.9</v>
      </c>
      <c r="AE173" s="4">
        <v>0.5</v>
      </c>
      <c r="AF173" s="4">
        <v>0.6</v>
      </c>
      <c r="AG173" s="4">
        <v>0.3</v>
      </c>
      <c r="AH173" s="6">
        <v>627.94281000000001</v>
      </c>
      <c r="AI173" s="4">
        <v>1E-3</v>
      </c>
      <c r="AJ173" s="5"/>
      <c r="AK173" s="5"/>
      <c r="AL173" s="5"/>
      <c r="AM173" s="5"/>
      <c r="AO173" s="4" t="s">
        <v>127</v>
      </c>
      <c r="AP173" s="4">
        <v>0.9</v>
      </c>
      <c r="AQ173" s="4">
        <v>0.5</v>
      </c>
      <c r="AR173" s="4">
        <v>0.6</v>
      </c>
      <c r="AS173" s="4">
        <v>0.28000000000000003</v>
      </c>
      <c r="AT173" s="6">
        <v>1018.681152</v>
      </c>
      <c r="AU173" s="4">
        <v>1.4E-2</v>
      </c>
      <c r="AW173" s="4" t="s">
        <v>127</v>
      </c>
      <c r="AX173" s="4">
        <v>0.9</v>
      </c>
      <c r="AY173" s="4">
        <v>0.5</v>
      </c>
      <c r="AZ173" s="4">
        <v>0.6</v>
      </c>
      <c r="BA173" s="4">
        <v>0.3</v>
      </c>
      <c r="BB173" s="4">
        <v>1082.9754640000001</v>
      </c>
      <c r="BC173" s="4">
        <v>7.0000000000000001E-3</v>
      </c>
      <c r="BD173" s="5"/>
      <c r="BE173" s="5"/>
      <c r="BF173" s="5"/>
      <c r="BG173" s="5"/>
      <c r="BI173" s="4" t="s">
        <v>127</v>
      </c>
      <c r="BJ173" s="4">
        <v>0.9</v>
      </c>
      <c r="BK173" s="4">
        <v>0.5</v>
      </c>
      <c r="BL173" s="4">
        <v>0.6</v>
      </c>
      <c r="BM173" s="4">
        <v>0.23</v>
      </c>
      <c r="BN173" s="6">
        <v>984.990723</v>
      </c>
      <c r="BO173" s="4">
        <v>2.1000000000000001E-2</v>
      </c>
      <c r="BQ173" s="4" t="s">
        <v>127</v>
      </c>
      <c r="BR173" s="4">
        <v>0.9</v>
      </c>
      <c r="BS173" s="4">
        <v>0.5</v>
      </c>
      <c r="BT173" s="4">
        <v>0.6</v>
      </c>
      <c r="BU173" s="4">
        <v>0.3</v>
      </c>
      <c r="BV173" s="4">
        <v>1042.0086670000001</v>
      </c>
      <c r="BW173" s="4">
        <v>8.9999999999999993E-3</v>
      </c>
      <c r="BX173" s="5"/>
      <c r="BY173" s="5"/>
      <c r="BZ173" s="5"/>
      <c r="CA173" s="5"/>
    </row>
    <row r="174" spans="1:79" x14ac:dyDescent="0.3">
      <c r="A174" s="4" t="s">
        <v>128</v>
      </c>
      <c r="B174" s="4">
        <v>0.9</v>
      </c>
      <c r="C174" s="4">
        <v>0.5</v>
      </c>
      <c r="D174" s="4">
        <v>0.6</v>
      </c>
      <c r="E174" s="4">
        <v>0.06</v>
      </c>
      <c r="F174" s="4">
        <v>638.43267800000001</v>
      </c>
      <c r="G174" s="4">
        <v>7.0000000000000001E-3</v>
      </c>
      <c r="I174" s="4" t="s">
        <v>128</v>
      </c>
      <c r="J174" s="4">
        <v>0.9</v>
      </c>
      <c r="K174" s="4">
        <v>0.5</v>
      </c>
      <c r="L174" s="4">
        <v>0.6</v>
      </c>
      <c r="M174" s="4">
        <v>0.35</v>
      </c>
      <c r="N174" s="6">
        <v>605.24377400000003</v>
      </c>
      <c r="O174" s="4">
        <v>1E-3</v>
      </c>
      <c r="P174" s="5"/>
      <c r="Q174" s="5"/>
      <c r="R174" s="5"/>
      <c r="S174" s="5"/>
      <c r="U174" s="4" t="s">
        <v>128</v>
      </c>
      <c r="V174" s="4">
        <v>0.9</v>
      </c>
      <c r="W174" s="4">
        <v>0.5</v>
      </c>
      <c r="X174" s="4">
        <v>0.6</v>
      </c>
      <c r="Y174" s="4">
        <v>0.24</v>
      </c>
      <c r="Z174" s="6">
        <v>580.56994599999996</v>
      </c>
      <c r="AA174" s="4">
        <v>8.9999999999999993E-3</v>
      </c>
      <c r="AC174" s="4" t="s">
        <v>128</v>
      </c>
      <c r="AD174" s="4">
        <v>0.9</v>
      </c>
      <c r="AE174" s="4">
        <v>0.5</v>
      </c>
      <c r="AF174" s="4">
        <v>0.6</v>
      </c>
      <c r="AG174" s="4">
        <v>0.34</v>
      </c>
      <c r="AH174" s="4">
        <v>601.95727499999998</v>
      </c>
      <c r="AI174" s="4">
        <v>1E-3</v>
      </c>
      <c r="AJ174" s="5"/>
      <c r="AK174" s="5"/>
      <c r="AL174" s="5"/>
      <c r="AM174" s="5"/>
      <c r="AO174" s="4" t="s">
        <v>129</v>
      </c>
      <c r="AP174" s="4">
        <v>0.9</v>
      </c>
      <c r="AQ174" s="4">
        <v>0.5</v>
      </c>
      <c r="AR174" s="4">
        <v>0.6</v>
      </c>
      <c r="AS174" s="4">
        <v>0.3</v>
      </c>
      <c r="AT174" s="6">
        <v>1029.3000489999999</v>
      </c>
      <c r="AU174" s="4">
        <v>1.7999999999999999E-2</v>
      </c>
      <c r="AW174" s="4" t="s">
        <v>129</v>
      </c>
      <c r="AX174" s="4">
        <v>0.9</v>
      </c>
      <c r="AY174" s="4">
        <v>0.5</v>
      </c>
      <c r="AZ174" s="4">
        <v>0.6</v>
      </c>
      <c r="BA174" s="4">
        <v>0.3</v>
      </c>
      <c r="BB174" s="4">
        <v>1031.5447999999999</v>
      </c>
      <c r="BC174" s="4">
        <v>5.0000000000000001E-3</v>
      </c>
      <c r="BD174" s="5"/>
      <c r="BE174" s="5"/>
      <c r="BF174" s="5"/>
      <c r="BG174" s="5"/>
      <c r="BI174" s="4" t="s">
        <v>129</v>
      </c>
      <c r="BJ174" s="4">
        <v>0.9</v>
      </c>
      <c r="BK174" s="4">
        <v>0.5</v>
      </c>
      <c r="BL174" s="4">
        <v>0.6</v>
      </c>
      <c r="BM174" s="4">
        <v>0.52</v>
      </c>
      <c r="BN174" s="4">
        <v>1103.2048339999999</v>
      </c>
      <c r="BO174" s="4">
        <v>1.2E-2</v>
      </c>
      <c r="BQ174" s="4" t="s">
        <v>129</v>
      </c>
      <c r="BR174" s="4">
        <v>0.9</v>
      </c>
      <c r="BS174" s="4">
        <v>0.5</v>
      </c>
      <c r="BT174" s="4">
        <v>0.6</v>
      </c>
      <c r="BU174" s="4">
        <v>0.31</v>
      </c>
      <c r="BV174" s="6">
        <v>1011.360596</v>
      </c>
      <c r="BW174" s="4">
        <v>6.0000000000000001E-3</v>
      </c>
      <c r="BX174" s="5"/>
      <c r="BY174" s="5"/>
      <c r="BZ174" s="5"/>
      <c r="CA174" s="5"/>
    </row>
    <row r="175" spans="1:79" x14ac:dyDescent="0.3">
      <c r="A175" s="4" t="s">
        <v>130</v>
      </c>
      <c r="B175" s="4">
        <v>0.9</v>
      </c>
      <c r="C175" s="4">
        <v>0.5</v>
      </c>
      <c r="D175" s="4">
        <v>0.6</v>
      </c>
      <c r="E175" s="4">
        <v>0.3</v>
      </c>
      <c r="F175" s="4">
        <v>639.26702899999998</v>
      </c>
      <c r="G175" s="4">
        <v>1.0999999999999999E-2</v>
      </c>
      <c r="I175" s="4" t="s">
        <v>130</v>
      </c>
      <c r="J175" s="4">
        <v>0.9</v>
      </c>
      <c r="K175" s="4">
        <v>0.5</v>
      </c>
      <c r="L175" s="4">
        <v>0.6</v>
      </c>
      <c r="M175" s="4">
        <v>0.31</v>
      </c>
      <c r="N175" s="6">
        <v>637.45678699999996</v>
      </c>
      <c r="O175" s="4">
        <v>1E-3</v>
      </c>
      <c r="P175" s="5"/>
      <c r="Q175" s="5"/>
      <c r="R175" s="5"/>
      <c r="S175" s="5"/>
      <c r="U175" s="4" t="s">
        <v>130</v>
      </c>
      <c r="V175" s="4">
        <v>0.9</v>
      </c>
      <c r="W175" s="4">
        <v>0.5</v>
      </c>
      <c r="X175" s="4">
        <v>0.6</v>
      </c>
      <c r="Y175" s="4">
        <v>0.89</v>
      </c>
      <c r="Z175" s="4">
        <v>744.23644999999999</v>
      </c>
      <c r="AA175" s="4">
        <v>7.0000000000000001E-3</v>
      </c>
      <c r="AC175" s="4" t="s">
        <v>130</v>
      </c>
      <c r="AD175" s="4">
        <v>0.9</v>
      </c>
      <c r="AE175" s="4">
        <v>0.5</v>
      </c>
      <c r="AF175" s="4">
        <v>0.6</v>
      </c>
      <c r="AG175" s="4">
        <v>0.32</v>
      </c>
      <c r="AH175" s="6">
        <v>633.169128</v>
      </c>
      <c r="AI175" s="4">
        <v>2E-3</v>
      </c>
      <c r="AJ175" s="5"/>
      <c r="AK175" s="5"/>
      <c r="AL175" s="5"/>
      <c r="AM175" s="5"/>
      <c r="AO175" s="4" t="s">
        <v>131</v>
      </c>
      <c r="AP175" s="4">
        <v>0.9</v>
      </c>
      <c r="AQ175" s="4">
        <v>0.5</v>
      </c>
      <c r="AR175" s="4">
        <v>0.6</v>
      </c>
      <c r="AS175" s="4">
        <v>0.67</v>
      </c>
      <c r="AT175" s="4">
        <v>1229.788086</v>
      </c>
      <c r="AU175" s="4">
        <v>1.7999999999999999E-2</v>
      </c>
      <c r="AW175" s="4" t="s">
        <v>131</v>
      </c>
      <c r="AX175" s="4">
        <v>0.9</v>
      </c>
      <c r="AY175" s="4">
        <v>0.5</v>
      </c>
      <c r="AZ175" s="4">
        <v>0.6</v>
      </c>
      <c r="BA175" s="4">
        <v>0.3</v>
      </c>
      <c r="BB175" s="6">
        <v>1058.80188</v>
      </c>
      <c r="BC175" s="4">
        <v>6.0000000000000001E-3</v>
      </c>
      <c r="BD175" s="5"/>
      <c r="BE175" s="5"/>
      <c r="BF175" s="5"/>
      <c r="BG175" s="5"/>
      <c r="BI175" s="4" t="s">
        <v>131</v>
      </c>
      <c r="BJ175" s="4">
        <v>0.9</v>
      </c>
      <c r="BK175" s="4">
        <v>0.5</v>
      </c>
      <c r="BL175" s="4">
        <v>0.6</v>
      </c>
      <c r="BM175" s="4">
        <v>0.3</v>
      </c>
      <c r="BN175" s="6">
        <v>1030.006226</v>
      </c>
      <c r="BO175" s="4">
        <v>1.7999999999999999E-2</v>
      </c>
      <c r="BQ175" s="4" t="s">
        <v>131</v>
      </c>
      <c r="BR175" s="4">
        <v>0.9</v>
      </c>
      <c r="BS175" s="4">
        <v>0.5</v>
      </c>
      <c r="BT175" s="4">
        <v>0.6</v>
      </c>
      <c r="BU175" s="4">
        <v>0.32</v>
      </c>
      <c r="BV175" s="4">
        <v>1036.397095</v>
      </c>
      <c r="BW175" s="4">
        <v>7.0000000000000001E-3</v>
      </c>
      <c r="BX175" s="5"/>
      <c r="BY175" s="5"/>
      <c r="BZ175" s="5"/>
      <c r="CA175" s="5"/>
    </row>
    <row r="176" spans="1:79" x14ac:dyDescent="0.3">
      <c r="A176" s="4" t="s">
        <v>132</v>
      </c>
      <c r="B176" s="4">
        <v>0.9</v>
      </c>
      <c r="C176" s="4">
        <v>0.5</v>
      </c>
      <c r="D176" s="4">
        <v>0.6</v>
      </c>
      <c r="E176" s="4">
        <v>0.02</v>
      </c>
      <c r="F176" s="4">
        <v>580.79064900000003</v>
      </c>
      <c r="G176" s="4">
        <v>1.7000000000000001E-2</v>
      </c>
      <c r="I176" s="4" t="s">
        <v>132</v>
      </c>
      <c r="J176" s="4">
        <v>0.9</v>
      </c>
      <c r="K176" s="4">
        <v>0.5</v>
      </c>
      <c r="L176" s="4">
        <v>0.6</v>
      </c>
      <c r="M176" s="4">
        <v>0.32</v>
      </c>
      <c r="N176" s="6">
        <v>574.47839399999998</v>
      </c>
      <c r="O176" s="4">
        <v>1E-3</v>
      </c>
      <c r="P176" s="5"/>
      <c r="Q176" s="5"/>
      <c r="R176" s="5"/>
      <c r="S176" s="5"/>
      <c r="U176" s="4" t="s">
        <v>132</v>
      </c>
      <c r="V176" s="4">
        <v>0.9</v>
      </c>
      <c r="W176" s="4">
        <v>0.5</v>
      </c>
      <c r="X176" s="4">
        <v>0.6</v>
      </c>
      <c r="Y176" s="4">
        <v>0.01</v>
      </c>
      <c r="Z176" s="4">
        <v>578.21087599999998</v>
      </c>
      <c r="AA176" s="4">
        <v>1.4E-2</v>
      </c>
      <c r="AC176" s="4" t="s">
        <v>132</v>
      </c>
      <c r="AD176" s="4">
        <v>0.9</v>
      </c>
      <c r="AE176" s="4">
        <v>0.5</v>
      </c>
      <c r="AF176" s="4">
        <v>0.6</v>
      </c>
      <c r="AG176" s="4">
        <v>0.31</v>
      </c>
      <c r="AH176" s="6">
        <v>577.66937299999995</v>
      </c>
      <c r="AI176" s="4">
        <v>2E-3</v>
      </c>
      <c r="AJ176" s="5"/>
      <c r="AK176" s="5"/>
      <c r="AL176" s="5"/>
      <c r="AM176" s="5"/>
      <c r="AO176" s="4" t="s">
        <v>133</v>
      </c>
      <c r="AP176" s="4">
        <v>0.9</v>
      </c>
      <c r="AQ176" s="4">
        <v>0.5</v>
      </c>
      <c r="AR176" s="4">
        <v>0.6</v>
      </c>
      <c r="AS176" s="4">
        <v>0.08</v>
      </c>
      <c r="AT176" s="6">
        <v>891.06256099999996</v>
      </c>
      <c r="AU176" s="4">
        <v>0.02</v>
      </c>
      <c r="AW176" s="4" t="s">
        <v>133</v>
      </c>
      <c r="AX176" s="4">
        <v>0.9</v>
      </c>
      <c r="AY176" s="4">
        <v>0.5</v>
      </c>
      <c r="AZ176" s="4">
        <v>0.6</v>
      </c>
      <c r="BA176" s="4">
        <v>0.3</v>
      </c>
      <c r="BB176" s="4">
        <v>1066.7554929999999</v>
      </c>
      <c r="BC176" s="4">
        <v>6.0000000000000001E-3</v>
      </c>
      <c r="BD176" s="5"/>
      <c r="BE176" s="5"/>
      <c r="BF176" s="5"/>
      <c r="BG176" s="5"/>
      <c r="BI176" s="4" t="s">
        <v>133</v>
      </c>
      <c r="BJ176" s="4">
        <v>0.9</v>
      </c>
      <c r="BK176" s="4">
        <v>0.5</v>
      </c>
      <c r="BL176" s="4">
        <v>0.6</v>
      </c>
      <c r="BM176" s="4">
        <v>0.26</v>
      </c>
      <c r="BN176" s="6">
        <v>1037.244263</v>
      </c>
      <c r="BO176" s="4">
        <v>1.7000000000000001E-2</v>
      </c>
      <c r="BQ176" s="4" t="s">
        <v>133</v>
      </c>
      <c r="BR176" s="4">
        <v>0.9</v>
      </c>
      <c r="BS176" s="4">
        <v>0.5</v>
      </c>
      <c r="BT176" s="4">
        <v>0.6</v>
      </c>
      <c r="BU176" s="4">
        <v>0.35</v>
      </c>
      <c r="BV176" s="4">
        <v>1063.3481449999999</v>
      </c>
      <c r="BW176" s="4">
        <v>6.0000000000000001E-3</v>
      </c>
      <c r="BX176" s="5"/>
      <c r="BY176" s="5"/>
      <c r="BZ176" s="5"/>
      <c r="CA176" s="5"/>
    </row>
    <row r="177" spans="1:79" x14ac:dyDescent="0.3">
      <c r="A177" s="14" t="s">
        <v>316</v>
      </c>
      <c r="E177" s="14">
        <f>AVERAGE(E147:E176)</f>
        <v>0.29766666666666663</v>
      </c>
      <c r="I177" s="14" t="s">
        <v>316</v>
      </c>
      <c r="M177" s="14">
        <f>AVERAGE(M147:M176)</f>
        <v>0.32966666666666661</v>
      </c>
      <c r="P177" s="5"/>
      <c r="Q177" s="5"/>
      <c r="R177" s="5"/>
      <c r="S177" s="5"/>
      <c r="U177" s="14" t="s">
        <v>316</v>
      </c>
      <c r="Y177" s="14">
        <f>AVERAGE(Y147:Y176)</f>
        <v>0.49433333333333329</v>
      </c>
      <c r="AC177" s="14" t="s">
        <v>316</v>
      </c>
      <c r="AG177" s="14">
        <f>AVERAGE(AG147:AG176)</f>
        <v>0.33300000000000002</v>
      </c>
      <c r="AJ177" s="5"/>
      <c r="AK177" s="5"/>
      <c r="AL177" s="5"/>
      <c r="AM177" s="5"/>
      <c r="AO177" s="14" t="s">
        <v>316</v>
      </c>
      <c r="AS177" s="14">
        <f>AVERAGE(AS147:AS176)</f>
        <v>0.55266666666666664</v>
      </c>
      <c r="AW177" s="14" t="s">
        <v>316</v>
      </c>
      <c r="BA177" s="14">
        <f>AVERAGE(BA147:BA176)</f>
        <v>0.3153333333333333</v>
      </c>
      <c r="BD177" s="5"/>
      <c r="BE177" s="5"/>
      <c r="BF177" s="5"/>
      <c r="BG177" s="5"/>
      <c r="BI177" s="14" t="s">
        <v>316</v>
      </c>
      <c r="BM177" s="14">
        <f>AVERAGE(BM147:BM176)</f>
        <v>0.37600000000000006</v>
      </c>
      <c r="BQ177" s="14" t="s">
        <v>316</v>
      </c>
      <c r="BU177" s="14">
        <f>AVERAGE(BU147:BU176)</f>
        <v>0.31566666666666665</v>
      </c>
      <c r="BX177" s="5"/>
      <c r="BY177" s="5"/>
      <c r="BZ177" s="5"/>
      <c r="CA177" s="5"/>
    </row>
    <row r="178" spans="1:79" x14ac:dyDescent="0.3">
      <c r="I178" s="12"/>
      <c r="M178" s="12"/>
      <c r="P178" s="5"/>
      <c r="Q178" s="5"/>
      <c r="R178" s="5"/>
      <c r="S178" s="5"/>
      <c r="AC178" s="12"/>
      <c r="AG178" s="12"/>
      <c r="AJ178" s="5"/>
      <c r="AK178" s="5"/>
      <c r="AL178" s="5"/>
      <c r="AM178" s="5"/>
      <c r="BD178" s="5"/>
      <c r="BE178" s="5"/>
      <c r="BF178" s="5"/>
      <c r="BG178" s="5"/>
      <c r="BX178" s="5"/>
      <c r="BY178" s="5"/>
      <c r="BZ178" s="5"/>
      <c r="CA178" s="5"/>
    </row>
    <row r="179" spans="1:79" x14ac:dyDescent="0.3">
      <c r="I179" s="12"/>
      <c r="M179" s="12"/>
      <c r="P179" s="5"/>
      <c r="Q179" s="5"/>
      <c r="R179" s="5"/>
      <c r="S179" s="5"/>
      <c r="AC179" s="12"/>
      <c r="AG179" s="12"/>
      <c r="AJ179" s="5"/>
      <c r="AK179" s="5"/>
      <c r="AL179" s="5"/>
      <c r="AM179" s="5"/>
      <c r="BD179" s="5"/>
      <c r="BE179" s="5"/>
      <c r="BF179" s="5"/>
      <c r="BG179" s="5"/>
      <c r="BX179" s="5"/>
      <c r="BY179" s="5"/>
      <c r="BZ179" s="5"/>
      <c r="CA179" s="5"/>
    </row>
    <row r="180" spans="1:79" x14ac:dyDescent="0.3">
      <c r="A180" s="24" t="s">
        <v>314</v>
      </c>
      <c r="B180" s="25"/>
      <c r="C180" s="25"/>
      <c r="D180" s="25"/>
      <c r="E180" s="25"/>
      <c r="F180" s="25"/>
      <c r="G180" s="26"/>
      <c r="I180" s="23" t="s">
        <v>314</v>
      </c>
      <c r="J180" s="23"/>
      <c r="K180" s="23"/>
      <c r="L180" s="23"/>
      <c r="M180" s="23"/>
      <c r="N180" s="23"/>
      <c r="O180" s="23"/>
      <c r="P180" s="11"/>
      <c r="Q180" s="11"/>
      <c r="R180" s="11"/>
      <c r="S180" s="11"/>
      <c r="U180" s="24" t="s">
        <v>314</v>
      </c>
      <c r="V180" s="25"/>
      <c r="W180" s="25"/>
      <c r="X180" s="25"/>
      <c r="Y180" s="25"/>
      <c r="Z180" s="25"/>
      <c r="AA180" s="26"/>
      <c r="AC180" s="23" t="s">
        <v>314</v>
      </c>
      <c r="AD180" s="23"/>
      <c r="AE180" s="23"/>
      <c r="AF180" s="23"/>
      <c r="AG180" s="23"/>
      <c r="AH180" s="23"/>
      <c r="AI180" s="23"/>
      <c r="AJ180" s="11"/>
      <c r="AK180" s="11"/>
      <c r="AL180" s="11"/>
      <c r="AM180" s="11"/>
      <c r="AO180" s="24" t="s">
        <v>314</v>
      </c>
      <c r="AP180" s="25"/>
      <c r="AQ180" s="25"/>
      <c r="AR180" s="25"/>
      <c r="AS180" s="25"/>
      <c r="AT180" s="25"/>
      <c r="AU180" s="26"/>
      <c r="AW180" s="23" t="s">
        <v>314</v>
      </c>
      <c r="AX180" s="23"/>
      <c r="AY180" s="23"/>
      <c r="AZ180" s="23"/>
      <c r="BA180" s="23"/>
      <c r="BB180" s="23"/>
      <c r="BC180" s="23"/>
      <c r="BD180" s="11"/>
      <c r="BE180" s="11"/>
      <c r="BF180" s="11"/>
      <c r="BG180" s="11"/>
      <c r="BI180" s="24" t="s">
        <v>314</v>
      </c>
      <c r="BJ180" s="25"/>
      <c r="BK180" s="25"/>
      <c r="BL180" s="25"/>
      <c r="BM180" s="25"/>
      <c r="BN180" s="25"/>
      <c r="BO180" s="26"/>
      <c r="BQ180" s="23" t="s">
        <v>314</v>
      </c>
      <c r="BR180" s="23"/>
      <c r="BS180" s="23"/>
      <c r="BT180" s="23"/>
      <c r="BU180" s="23"/>
      <c r="BV180" s="23"/>
      <c r="BW180" s="23"/>
      <c r="BX180" s="11"/>
      <c r="BY180" s="11"/>
      <c r="BZ180" s="11"/>
      <c r="CA180" s="11"/>
    </row>
    <row r="181" spans="1:79" x14ac:dyDescent="0.3">
      <c r="A181" s="4" t="s">
        <v>72</v>
      </c>
      <c r="B181" s="4"/>
      <c r="C181" s="4"/>
      <c r="D181" s="4"/>
      <c r="E181" s="4"/>
      <c r="F181" s="4"/>
      <c r="G181" s="4"/>
      <c r="I181" s="23" t="s">
        <v>72</v>
      </c>
      <c r="J181" s="23"/>
      <c r="K181" s="23"/>
      <c r="L181" s="23"/>
      <c r="M181" s="23"/>
      <c r="N181" s="23"/>
      <c r="O181" s="23"/>
      <c r="P181" s="11"/>
      <c r="Q181" s="11"/>
      <c r="R181" s="11"/>
      <c r="S181" s="11"/>
      <c r="U181" s="4" t="s">
        <v>73</v>
      </c>
      <c r="V181" s="4"/>
      <c r="W181" s="4"/>
      <c r="X181" s="4"/>
      <c r="Y181" s="4"/>
      <c r="Z181" s="4"/>
      <c r="AA181" s="4"/>
      <c r="AC181" s="23" t="s">
        <v>73</v>
      </c>
      <c r="AD181" s="23"/>
      <c r="AE181" s="23"/>
      <c r="AF181" s="23"/>
      <c r="AG181" s="23"/>
      <c r="AH181" s="23"/>
      <c r="AI181" s="23"/>
      <c r="AJ181" s="11"/>
      <c r="AK181" s="11"/>
      <c r="AL181" s="11"/>
      <c r="AM181" s="11"/>
      <c r="AO181" s="4" t="s">
        <v>72</v>
      </c>
      <c r="AP181" s="4"/>
      <c r="AQ181" s="4"/>
      <c r="AR181" s="4"/>
      <c r="AS181" s="4"/>
      <c r="AT181" s="4"/>
      <c r="AU181" s="4"/>
      <c r="AW181" s="23" t="s">
        <v>72</v>
      </c>
      <c r="AX181" s="23"/>
      <c r="AY181" s="23"/>
      <c r="AZ181" s="23"/>
      <c r="BA181" s="23"/>
      <c r="BB181" s="23"/>
      <c r="BC181" s="23"/>
      <c r="BD181" s="11"/>
      <c r="BE181" s="11"/>
      <c r="BF181" s="11"/>
      <c r="BG181" s="11"/>
      <c r="BI181" s="4" t="s">
        <v>73</v>
      </c>
      <c r="BJ181" s="4"/>
      <c r="BK181" s="4"/>
      <c r="BL181" s="4"/>
      <c r="BM181" s="4"/>
      <c r="BN181" s="4"/>
      <c r="BO181" s="4"/>
      <c r="BQ181" s="23" t="s">
        <v>73</v>
      </c>
      <c r="BR181" s="23"/>
      <c r="BS181" s="23"/>
      <c r="BT181" s="23"/>
      <c r="BU181" s="23"/>
      <c r="BV181" s="23"/>
      <c r="BW181" s="23"/>
      <c r="BX181" s="11"/>
      <c r="BY181" s="11"/>
      <c r="BZ181" s="11"/>
      <c r="CA181" s="11"/>
    </row>
    <row r="182" spans="1:79" x14ac:dyDescent="0.3">
      <c r="A182" s="4" t="s">
        <v>2</v>
      </c>
      <c r="B182" s="4" t="s">
        <v>3</v>
      </c>
      <c r="C182" s="4" t="s">
        <v>4</v>
      </c>
      <c r="D182" s="4" t="s">
        <v>5</v>
      </c>
      <c r="E182" s="4" t="s">
        <v>6</v>
      </c>
      <c r="F182" s="4" t="s">
        <v>7</v>
      </c>
      <c r="G182" s="4" t="s">
        <v>8</v>
      </c>
      <c r="I182" s="4" t="s">
        <v>2</v>
      </c>
      <c r="J182" s="4" t="s">
        <v>3</v>
      </c>
      <c r="K182" s="4" t="s">
        <v>4</v>
      </c>
      <c r="L182" s="4" t="s">
        <v>5</v>
      </c>
      <c r="M182" s="4" t="s">
        <v>6</v>
      </c>
      <c r="N182" s="4" t="s">
        <v>7</v>
      </c>
      <c r="O182" s="4" t="s">
        <v>8</v>
      </c>
      <c r="P182" s="3" t="s">
        <v>322</v>
      </c>
      <c r="Q182" s="3" t="s">
        <v>323</v>
      </c>
      <c r="R182" s="3" t="s">
        <v>322</v>
      </c>
      <c r="S182" s="3" t="s">
        <v>323</v>
      </c>
      <c r="U182" s="4" t="s">
        <v>2</v>
      </c>
      <c r="V182" s="4" t="s">
        <v>3</v>
      </c>
      <c r="W182" s="4" t="s">
        <v>4</v>
      </c>
      <c r="X182" s="4" t="s">
        <v>5</v>
      </c>
      <c r="Y182" s="4" t="s">
        <v>6</v>
      </c>
      <c r="Z182" s="4" t="s">
        <v>7</v>
      </c>
      <c r="AA182" s="4" t="s">
        <v>8</v>
      </c>
      <c r="AC182" s="4" t="s">
        <v>2</v>
      </c>
      <c r="AD182" s="4" t="s">
        <v>3</v>
      </c>
      <c r="AE182" s="4" t="s">
        <v>4</v>
      </c>
      <c r="AF182" s="4" t="s">
        <v>5</v>
      </c>
      <c r="AG182" s="4" t="s">
        <v>6</v>
      </c>
      <c r="AH182" s="4" t="s">
        <v>7</v>
      </c>
      <c r="AI182" s="4" t="s">
        <v>8</v>
      </c>
      <c r="AJ182" s="3" t="s">
        <v>322</v>
      </c>
      <c r="AK182" s="3" t="s">
        <v>323</v>
      </c>
      <c r="AL182" s="3" t="s">
        <v>322</v>
      </c>
      <c r="AM182" s="3" t="s">
        <v>323</v>
      </c>
      <c r="AO182" s="4" t="s">
        <v>2</v>
      </c>
      <c r="AP182" s="4" t="s">
        <v>3</v>
      </c>
      <c r="AQ182" s="4" t="s">
        <v>4</v>
      </c>
      <c r="AR182" s="4" t="s">
        <v>5</v>
      </c>
      <c r="AS182" s="4" t="s">
        <v>6</v>
      </c>
      <c r="AT182" s="4" t="s">
        <v>7</v>
      </c>
      <c r="AU182" s="4" t="s">
        <v>8</v>
      </c>
      <c r="AW182" s="4" t="s">
        <v>2</v>
      </c>
      <c r="AX182" s="4" t="s">
        <v>3</v>
      </c>
      <c r="AY182" s="4" t="s">
        <v>4</v>
      </c>
      <c r="AZ182" s="4" t="s">
        <v>5</v>
      </c>
      <c r="BA182" s="4" t="s">
        <v>6</v>
      </c>
      <c r="BB182" s="4" t="s">
        <v>7</v>
      </c>
      <c r="BC182" s="4" t="s">
        <v>8</v>
      </c>
      <c r="BD182" s="3" t="s">
        <v>322</v>
      </c>
      <c r="BE182" s="3" t="s">
        <v>323</v>
      </c>
      <c r="BF182" s="3" t="s">
        <v>322</v>
      </c>
      <c r="BG182" s="3" t="s">
        <v>323</v>
      </c>
      <c r="BI182" s="4" t="s">
        <v>2</v>
      </c>
      <c r="BJ182" s="4" t="s">
        <v>3</v>
      </c>
      <c r="BK182" s="4" t="s">
        <v>4</v>
      </c>
      <c r="BL182" s="4" t="s">
        <v>5</v>
      </c>
      <c r="BM182" s="4" t="s">
        <v>6</v>
      </c>
      <c r="BN182" s="4" t="s">
        <v>7</v>
      </c>
      <c r="BO182" s="4" t="s">
        <v>8</v>
      </c>
      <c r="BQ182" s="4" t="s">
        <v>2</v>
      </c>
      <c r="BR182" s="4" t="s">
        <v>3</v>
      </c>
      <c r="BS182" s="4" t="s">
        <v>4</v>
      </c>
      <c r="BT182" s="4" t="s">
        <v>5</v>
      </c>
      <c r="BU182" s="4" t="s">
        <v>6</v>
      </c>
      <c r="BV182" s="4" t="s">
        <v>7</v>
      </c>
      <c r="BW182" s="4" t="s">
        <v>8</v>
      </c>
      <c r="BX182" s="3" t="s">
        <v>322</v>
      </c>
      <c r="BY182" s="3" t="s">
        <v>323</v>
      </c>
      <c r="BZ182" s="3" t="s">
        <v>322</v>
      </c>
      <c r="CA182" s="3" t="s">
        <v>323</v>
      </c>
    </row>
    <row r="183" spans="1:79" x14ac:dyDescent="0.3">
      <c r="A183" s="4" t="s">
        <v>74</v>
      </c>
      <c r="B183" s="4">
        <v>0.9</v>
      </c>
      <c r="C183" s="4">
        <v>0.5</v>
      </c>
      <c r="D183" s="4">
        <v>0.6</v>
      </c>
      <c r="E183" s="4">
        <v>0.01</v>
      </c>
      <c r="F183" s="4">
        <v>429.75</v>
      </c>
      <c r="G183" s="4">
        <v>2.8000000000000001E-2</v>
      </c>
      <c r="I183" s="4" t="s">
        <v>74</v>
      </c>
      <c r="J183" s="4">
        <v>0.9</v>
      </c>
      <c r="K183" s="4">
        <v>0.5</v>
      </c>
      <c r="L183" s="4">
        <v>0.6</v>
      </c>
      <c r="M183" s="4">
        <v>0.3</v>
      </c>
      <c r="N183" s="6">
        <v>404.11584499999998</v>
      </c>
      <c r="O183" s="4">
        <v>0</v>
      </c>
      <c r="P183" s="4" t="s">
        <v>327</v>
      </c>
      <c r="Q183" s="4" t="s">
        <v>327</v>
      </c>
      <c r="R183" s="4" t="s">
        <v>326</v>
      </c>
      <c r="S183" s="4" t="s">
        <v>326</v>
      </c>
      <c r="U183" s="4" t="s">
        <v>74</v>
      </c>
      <c r="V183" s="4">
        <v>0.9</v>
      </c>
      <c r="W183" s="4">
        <v>0.5</v>
      </c>
      <c r="X183" s="4">
        <v>0.6</v>
      </c>
      <c r="Y183" s="4">
        <v>0.01</v>
      </c>
      <c r="Z183" s="4">
        <v>414.27294899999998</v>
      </c>
      <c r="AA183" s="4">
        <v>1.7000000000000001E-2</v>
      </c>
      <c r="AC183" s="4" t="s">
        <v>74</v>
      </c>
      <c r="AD183" s="4">
        <v>0.9</v>
      </c>
      <c r="AE183" s="4">
        <v>0.5</v>
      </c>
      <c r="AF183" s="4">
        <v>0.6</v>
      </c>
      <c r="AG183" s="4">
        <v>0.35</v>
      </c>
      <c r="AH183" s="6">
        <v>393.37597699999998</v>
      </c>
      <c r="AI183" s="4">
        <v>1E-3</v>
      </c>
      <c r="AJ183" s="4" t="s">
        <v>327</v>
      </c>
      <c r="AK183" s="4" t="s">
        <v>327</v>
      </c>
      <c r="AL183" s="4" t="s">
        <v>326</v>
      </c>
      <c r="AM183" s="4" t="s">
        <v>326</v>
      </c>
      <c r="AO183" s="4" t="s">
        <v>75</v>
      </c>
      <c r="AP183" s="4">
        <v>0.9</v>
      </c>
      <c r="AQ183" s="4">
        <v>0.5</v>
      </c>
      <c r="AR183" s="4">
        <v>0.6</v>
      </c>
      <c r="AS183" s="4">
        <v>0.01</v>
      </c>
      <c r="AT183" s="6">
        <v>686.70733600000005</v>
      </c>
      <c r="AU183" s="4">
        <v>2.4E-2</v>
      </c>
      <c r="AW183" s="4" t="s">
        <v>75</v>
      </c>
      <c r="AX183" s="4">
        <v>0.9</v>
      </c>
      <c r="AY183" s="4">
        <v>0.5</v>
      </c>
      <c r="AZ183" s="4">
        <v>0.6</v>
      </c>
      <c r="BA183" s="4">
        <v>0.31</v>
      </c>
      <c r="BB183" s="4">
        <v>752.83947799999999</v>
      </c>
      <c r="BC183" s="4">
        <v>4.0000000000000001E-3</v>
      </c>
      <c r="BD183" s="4" t="s">
        <v>327</v>
      </c>
      <c r="BE183" s="4" t="s">
        <v>327</v>
      </c>
      <c r="BF183" s="4" t="s">
        <v>326</v>
      </c>
      <c r="BG183" s="4" t="s">
        <v>326</v>
      </c>
      <c r="BI183" s="4" t="s">
        <v>75</v>
      </c>
      <c r="BJ183" s="4">
        <v>0.9</v>
      </c>
      <c r="BK183" s="4">
        <v>0.5</v>
      </c>
      <c r="BL183" s="4">
        <v>0.6</v>
      </c>
      <c r="BM183" s="4">
        <v>0.01</v>
      </c>
      <c r="BN183" s="6">
        <v>672.91625999999997</v>
      </c>
      <c r="BO183" s="4">
        <v>2.1000000000000001E-2</v>
      </c>
      <c r="BQ183" s="4" t="s">
        <v>75</v>
      </c>
      <c r="BR183" s="4">
        <v>0.9</v>
      </c>
      <c r="BS183" s="4">
        <v>0.5</v>
      </c>
      <c r="BT183" s="4">
        <v>0.6</v>
      </c>
      <c r="BU183" s="4">
        <v>0.3</v>
      </c>
      <c r="BV183" s="4">
        <v>728.62469499999997</v>
      </c>
      <c r="BW183" s="4">
        <v>5.0000000000000001E-3</v>
      </c>
      <c r="BX183" s="4" t="s">
        <v>327</v>
      </c>
      <c r="BY183" s="4" t="s">
        <v>327</v>
      </c>
      <c r="BZ183" s="4" t="s">
        <v>326</v>
      </c>
      <c r="CA183" s="4" t="s">
        <v>326</v>
      </c>
    </row>
    <row r="184" spans="1:79" x14ac:dyDescent="0.3">
      <c r="A184" s="4" t="s">
        <v>76</v>
      </c>
      <c r="B184" s="4">
        <v>0.9</v>
      </c>
      <c r="C184" s="4">
        <v>0.5</v>
      </c>
      <c r="D184" s="4">
        <v>0.6</v>
      </c>
      <c r="E184" s="4">
        <v>0.63</v>
      </c>
      <c r="F184" s="4">
        <v>470.53653000000003</v>
      </c>
      <c r="G184" s="4">
        <v>1.2999999999999999E-2</v>
      </c>
      <c r="I184" s="4" t="s">
        <v>76</v>
      </c>
      <c r="J184" s="4">
        <v>0.9</v>
      </c>
      <c r="K184" s="4">
        <v>0.5</v>
      </c>
      <c r="L184" s="4">
        <v>0.6</v>
      </c>
      <c r="M184" s="4">
        <v>0.34</v>
      </c>
      <c r="N184" s="6">
        <v>442.65103099999999</v>
      </c>
      <c r="O184" s="4">
        <v>1E-3</v>
      </c>
      <c r="P184" s="3">
        <f>COUNT(F186,F188,F193:F194,F196)</f>
        <v>5</v>
      </c>
      <c r="Q184" s="3">
        <f>30-P184</f>
        <v>25</v>
      </c>
      <c r="R184" s="3">
        <f>COUNT(N183:N187,N189:N192,N195,N197:N212)</f>
        <v>26</v>
      </c>
      <c r="S184" s="3">
        <f>30-R184</f>
        <v>4</v>
      </c>
      <c r="U184" s="4" t="s">
        <v>76</v>
      </c>
      <c r="V184" s="4">
        <v>0.9</v>
      </c>
      <c r="W184" s="4">
        <v>0.5</v>
      </c>
      <c r="X184" s="4">
        <v>0.6</v>
      </c>
      <c r="Y184" s="4">
        <v>0.26</v>
      </c>
      <c r="Z184" s="6">
        <v>416.206299</v>
      </c>
      <c r="AA184" s="4">
        <v>0.01</v>
      </c>
      <c r="AC184" s="4" t="s">
        <v>76</v>
      </c>
      <c r="AD184" s="4">
        <v>0.9</v>
      </c>
      <c r="AE184" s="4">
        <v>0.5</v>
      </c>
      <c r="AF184" s="4">
        <v>0.6</v>
      </c>
      <c r="AG184" s="4">
        <v>0.32</v>
      </c>
      <c r="AH184" s="4">
        <v>428.43444799999997</v>
      </c>
      <c r="AI184" s="4">
        <v>1E-3</v>
      </c>
      <c r="AJ184" s="3">
        <f>COUNT(Z184,Z190:Z191,Z210:Z211)</f>
        <v>5</v>
      </c>
      <c r="AK184" s="3">
        <f>30-AJ184</f>
        <v>25</v>
      </c>
      <c r="AL184" s="3">
        <f>COUNT(AH183,AH185:AH189,AH192:AH209,AH212)</f>
        <v>25</v>
      </c>
      <c r="AM184" s="3">
        <f>30-AL184</f>
        <v>5</v>
      </c>
      <c r="AO184" s="4" t="s">
        <v>77</v>
      </c>
      <c r="AP184" s="4">
        <v>0.9</v>
      </c>
      <c r="AQ184" s="4">
        <v>0.5</v>
      </c>
      <c r="AR184" s="4">
        <v>0.6</v>
      </c>
      <c r="AS184" s="4">
        <v>0.84</v>
      </c>
      <c r="AT184" s="4">
        <v>978.21490500000004</v>
      </c>
      <c r="AU184" s="4">
        <v>1.6E-2</v>
      </c>
      <c r="AW184" s="4" t="s">
        <v>77</v>
      </c>
      <c r="AX184" s="4">
        <v>0.9</v>
      </c>
      <c r="AY184" s="4">
        <v>0.5</v>
      </c>
      <c r="AZ184" s="4">
        <v>0.6</v>
      </c>
      <c r="BA184" s="4">
        <v>0.32</v>
      </c>
      <c r="BB184" s="6">
        <v>852.20782499999996</v>
      </c>
      <c r="BC184" s="4">
        <v>4.0000000000000001E-3</v>
      </c>
      <c r="BD184" s="3">
        <f>COUNT(AT183,AT187,AT189:AT190,AT192,AT199,AT202,AT204,AT206,AT210,AT212)</f>
        <v>11</v>
      </c>
      <c r="BE184" s="3">
        <f>30-BD184</f>
        <v>19</v>
      </c>
      <c r="BF184" s="3">
        <f>COUNT(BB184:BB186,BB188,BB191,BB193:BB198,BB200:BB201,BB203,BB205,BB207:BB211)</f>
        <v>20</v>
      </c>
      <c r="BG184" s="3">
        <f>30-BF184</f>
        <v>10</v>
      </c>
      <c r="BI184" s="4" t="s">
        <v>77</v>
      </c>
      <c r="BJ184" s="4">
        <v>0.9</v>
      </c>
      <c r="BK184" s="4">
        <v>0.5</v>
      </c>
      <c r="BL184" s="4">
        <v>0.6</v>
      </c>
      <c r="BM184" s="4">
        <v>0.01</v>
      </c>
      <c r="BN184" s="6">
        <v>689.17364499999996</v>
      </c>
      <c r="BO184" s="4">
        <v>1.2E-2</v>
      </c>
      <c r="BQ184" s="4" t="s">
        <v>77</v>
      </c>
      <c r="BR184" s="4">
        <v>0.9</v>
      </c>
      <c r="BS184" s="4">
        <v>0.5</v>
      </c>
      <c r="BT184" s="4">
        <v>0.6</v>
      </c>
      <c r="BU184" s="4">
        <v>0.31</v>
      </c>
      <c r="BV184" s="4">
        <v>819.70898399999999</v>
      </c>
      <c r="BW184" s="4">
        <v>8.9999999999999993E-3</v>
      </c>
      <c r="BX184" s="3">
        <f>COUNT(BN183:BN184,BN188,BN193:BN194,BN201:BN203,BN205:BN206,BN212)</f>
        <v>11</v>
      </c>
      <c r="BY184" s="3">
        <f>30-BX184</f>
        <v>19</v>
      </c>
      <c r="BZ184" s="3">
        <f>COUNT(BV185:BV187,BV189:BV192,BV195:BV200,BV204,BV207:BV211)</f>
        <v>19</v>
      </c>
      <c r="CA184" s="3">
        <f>30-BZ184</f>
        <v>11</v>
      </c>
    </row>
    <row r="185" spans="1:79" x14ac:dyDescent="0.3">
      <c r="A185" s="4" t="s">
        <v>78</v>
      </c>
      <c r="B185" s="4">
        <v>0.9</v>
      </c>
      <c r="C185" s="4">
        <v>0.5</v>
      </c>
      <c r="D185" s="4">
        <v>0.6</v>
      </c>
      <c r="E185" s="4">
        <v>0.01</v>
      </c>
      <c r="F185" s="4">
        <v>438.01757800000001</v>
      </c>
      <c r="G185" s="4">
        <v>1.7000000000000001E-2</v>
      </c>
      <c r="I185" s="4" t="s">
        <v>78</v>
      </c>
      <c r="J185" s="4">
        <v>0.9</v>
      </c>
      <c r="K185" s="4">
        <v>0.5</v>
      </c>
      <c r="L185" s="4">
        <v>0.6</v>
      </c>
      <c r="M185" s="4">
        <v>0.31</v>
      </c>
      <c r="N185" s="6">
        <v>430.96078499999999</v>
      </c>
      <c r="O185" s="4">
        <v>1E-3</v>
      </c>
      <c r="P185" s="5"/>
      <c r="Q185" s="5"/>
      <c r="R185" s="5"/>
      <c r="S185" s="5"/>
      <c r="U185" s="4" t="s">
        <v>78</v>
      </c>
      <c r="V185" s="4">
        <v>0.9</v>
      </c>
      <c r="W185" s="4">
        <v>0.5</v>
      </c>
      <c r="X185" s="4">
        <v>0.6</v>
      </c>
      <c r="Y185" s="4">
        <v>0.48</v>
      </c>
      <c r="Z185" s="4">
        <v>428.80215500000003</v>
      </c>
      <c r="AA185" s="4">
        <v>1.7000000000000001E-2</v>
      </c>
      <c r="AC185" s="4" t="s">
        <v>78</v>
      </c>
      <c r="AD185" s="4">
        <v>0.9</v>
      </c>
      <c r="AE185" s="4">
        <v>0.5</v>
      </c>
      <c r="AF185" s="4">
        <v>0.6</v>
      </c>
      <c r="AG185" s="4">
        <v>0.34</v>
      </c>
      <c r="AH185" s="6">
        <v>416.37710600000003</v>
      </c>
      <c r="AI185" s="4">
        <v>1E-3</v>
      </c>
      <c r="AJ185" s="5"/>
      <c r="AK185" s="5"/>
      <c r="AL185" s="5"/>
      <c r="AM185" s="5"/>
      <c r="AO185" s="4" t="s">
        <v>79</v>
      </c>
      <c r="AP185" s="4">
        <v>0.9</v>
      </c>
      <c r="AQ185" s="4">
        <v>0.5</v>
      </c>
      <c r="AR185" s="4">
        <v>0.6</v>
      </c>
      <c r="AS185" s="4">
        <v>0.88</v>
      </c>
      <c r="AT185" s="4">
        <v>967.25854500000003</v>
      </c>
      <c r="AU185" s="4">
        <v>2.1999999999999999E-2</v>
      </c>
      <c r="AW185" s="4" t="s">
        <v>79</v>
      </c>
      <c r="AX185" s="4">
        <v>0.9</v>
      </c>
      <c r="AY185" s="4">
        <v>0.5</v>
      </c>
      <c r="AZ185" s="4">
        <v>0.6</v>
      </c>
      <c r="BA185" s="4">
        <v>0.31</v>
      </c>
      <c r="BB185" s="6">
        <v>798.03832999999997</v>
      </c>
      <c r="BC185" s="4">
        <v>6.0000000000000001E-3</v>
      </c>
      <c r="BD185" s="5"/>
      <c r="BE185" s="5"/>
      <c r="BF185" s="5"/>
      <c r="BG185" s="5"/>
      <c r="BI185" s="4" t="s">
        <v>79</v>
      </c>
      <c r="BJ185" s="4">
        <v>0.9</v>
      </c>
      <c r="BK185" s="4">
        <v>0.5</v>
      </c>
      <c r="BL185" s="4">
        <v>0.6</v>
      </c>
      <c r="BM185" s="4">
        <v>0.75</v>
      </c>
      <c r="BN185" s="4">
        <v>941.78845200000001</v>
      </c>
      <c r="BO185" s="4">
        <v>0.02</v>
      </c>
      <c r="BQ185" s="4" t="s">
        <v>79</v>
      </c>
      <c r="BR185" s="4">
        <v>0.9</v>
      </c>
      <c r="BS185" s="4">
        <v>0.5</v>
      </c>
      <c r="BT185" s="4">
        <v>0.6</v>
      </c>
      <c r="BU185" s="4">
        <v>0.32</v>
      </c>
      <c r="BV185" s="6">
        <v>784.17297399999995</v>
      </c>
      <c r="BW185" s="4">
        <v>8.9999999999999993E-3</v>
      </c>
      <c r="BX185" s="5"/>
      <c r="BY185" s="5"/>
      <c r="BZ185" s="5"/>
      <c r="CA185" s="5"/>
    </row>
    <row r="186" spans="1:79" x14ac:dyDescent="0.3">
      <c r="A186" s="4" t="s">
        <v>80</v>
      </c>
      <c r="B186" s="4">
        <v>0.9</v>
      </c>
      <c r="C186" s="4">
        <v>0.5</v>
      </c>
      <c r="D186" s="4">
        <v>0.6</v>
      </c>
      <c r="E186" s="4">
        <v>0.19</v>
      </c>
      <c r="F186" s="6">
        <v>462.10366800000003</v>
      </c>
      <c r="G186" s="4">
        <v>0.01</v>
      </c>
      <c r="I186" s="4" t="s">
        <v>80</v>
      </c>
      <c r="J186" s="4">
        <v>0.9</v>
      </c>
      <c r="K186" s="4">
        <v>0.5</v>
      </c>
      <c r="L186" s="4">
        <v>0.6</v>
      </c>
      <c r="M186" s="4">
        <v>0.31</v>
      </c>
      <c r="N186" s="8">
        <v>462.183289</v>
      </c>
      <c r="O186" s="4">
        <v>1E-3</v>
      </c>
      <c r="P186" s="5"/>
      <c r="Q186" s="5"/>
      <c r="R186" s="5"/>
      <c r="S186" s="5"/>
      <c r="U186" s="4" t="s">
        <v>80</v>
      </c>
      <c r="V186" s="4">
        <v>0.9</v>
      </c>
      <c r="W186" s="4">
        <v>0.5</v>
      </c>
      <c r="X186" s="4">
        <v>0.6</v>
      </c>
      <c r="Y186" s="4">
        <v>0.22</v>
      </c>
      <c r="Z186" s="4">
        <v>450.51831099999998</v>
      </c>
      <c r="AA186" s="4">
        <v>1.4999999999999999E-2</v>
      </c>
      <c r="AC186" s="4" t="s">
        <v>80</v>
      </c>
      <c r="AD186" s="4">
        <v>0.9</v>
      </c>
      <c r="AE186" s="4">
        <v>0.5</v>
      </c>
      <c r="AF186" s="4">
        <v>0.6</v>
      </c>
      <c r="AG186" s="4">
        <v>0.32</v>
      </c>
      <c r="AH186" s="6">
        <v>448.30267300000003</v>
      </c>
      <c r="AI186" s="4">
        <v>0</v>
      </c>
      <c r="AJ186" s="5"/>
      <c r="AK186" s="5"/>
      <c r="AL186" s="5"/>
      <c r="AM186" s="5"/>
      <c r="AO186" s="4" t="s">
        <v>81</v>
      </c>
      <c r="AP186" s="4">
        <v>0.9</v>
      </c>
      <c r="AQ186" s="4">
        <v>0.5</v>
      </c>
      <c r="AR186" s="4">
        <v>0.6</v>
      </c>
      <c r="AS186" s="4">
        <v>0.63</v>
      </c>
      <c r="AT186" s="4">
        <v>855.00518799999998</v>
      </c>
      <c r="AU186" s="4">
        <v>0.03</v>
      </c>
      <c r="AW186" s="4" t="s">
        <v>81</v>
      </c>
      <c r="AX186" s="4">
        <v>0.9</v>
      </c>
      <c r="AY186" s="4">
        <v>0.5</v>
      </c>
      <c r="AZ186" s="4">
        <v>0.6</v>
      </c>
      <c r="BA186" s="4">
        <v>0.3</v>
      </c>
      <c r="BB186" s="6">
        <v>752.66625999999997</v>
      </c>
      <c r="BC186" s="4">
        <v>4.0000000000000001E-3</v>
      </c>
      <c r="BD186" s="5"/>
      <c r="BE186" s="5"/>
      <c r="BF186" s="5"/>
      <c r="BG186" s="5"/>
      <c r="BI186" s="4" t="s">
        <v>81</v>
      </c>
      <c r="BJ186" s="4">
        <v>0.9</v>
      </c>
      <c r="BK186" s="4">
        <v>0.5</v>
      </c>
      <c r="BL186" s="4">
        <v>0.6</v>
      </c>
      <c r="BM186" s="4">
        <v>0.79</v>
      </c>
      <c r="BN186" s="4">
        <v>882.042419</v>
      </c>
      <c r="BO186" s="4">
        <v>1.7999999999999999E-2</v>
      </c>
      <c r="BQ186" s="4" t="s">
        <v>81</v>
      </c>
      <c r="BR186" s="4">
        <v>0.9</v>
      </c>
      <c r="BS186" s="4">
        <v>0.5</v>
      </c>
      <c r="BT186" s="4">
        <v>0.6</v>
      </c>
      <c r="BU186" s="4">
        <v>0.31</v>
      </c>
      <c r="BV186" s="6">
        <v>739.42877199999998</v>
      </c>
      <c r="BW186" s="4">
        <v>0.01</v>
      </c>
      <c r="BX186" s="5"/>
      <c r="BY186" s="5"/>
      <c r="BZ186" s="5"/>
      <c r="CA186" s="5"/>
    </row>
    <row r="187" spans="1:79" x14ac:dyDescent="0.3">
      <c r="A187" s="4" t="s">
        <v>82</v>
      </c>
      <c r="B187" s="4">
        <v>0.9</v>
      </c>
      <c r="C187" s="4">
        <v>0.5</v>
      </c>
      <c r="D187" s="4">
        <v>0.6</v>
      </c>
      <c r="E187" s="4">
        <v>0.6</v>
      </c>
      <c r="F187" s="4">
        <v>455.003265</v>
      </c>
      <c r="G187" s="4">
        <v>2.8000000000000001E-2</v>
      </c>
      <c r="I187" s="4" t="s">
        <v>82</v>
      </c>
      <c r="J187" s="4">
        <v>0.9</v>
      </c>
      <c r="K187" s="4">
        <v>0.5</v>
      </c>
      <c r="L187" s="4">
        <v>0.6</v>
      </c>
      <c r="M187" s="4">
        <v>0.39</v>
      </c>
      <c r="N187" s="6">
        <v>431.33407599999998</v>
      </c>
      <c r="O187" s="4">
        <v>1E-3</v>
      </c>
      <c r="P187" s="5"/>
      <c r="Q187" s="5"/>
      <c r="R187" s="5"/>
      <c r="S187" s="5"/>
      <c r="U187" s="4" t="s">
        <v>82</v>
      </c>
      <c r="V187" s="4">
        <v>0.9</v>
      </c>
      <c r="W187" s="4">
        <v>0.5</v>
      </c>
      <c r="X187" s="4">
        <v>0.6</v>
      </c>
      <c r="Y187" s="4">
        <v>0.38</v>
      </c>
      <c r="Z187" s="4">
        <v>425.96887199999998</v>
      </c>
      <c r="AA187" s="4">
        <v>4.7E-2</v>
      </c>
      <c r="AC187" s="4" t="s">
        <v>82</v>
      </c>
      <c r="AD187" s="4">
        <v>0.9</v>
      </c>
      <c r="AE187" s="4">
        <v>0.5</v>
      </c>
      <c r="AF187" s="4">
        <v>0.6</v>
      </c>
      <c r="AG187" s="4">
        <v>0.33</v>
      </c>
      <c r="AH187" s="6">
        <v>416.52825899999999</v>
      </c>
      <c r="AI187" s="4">
        <v>1E-3</v>
      </c>
      <c r="AJ187" s="5"/>
      <c r="AK187" s="5"/>
      <c r="AL187" s="5"/>
      <c r="AM187" s="5"/>
      <c r="AO187" s="4" t="s">
        <v>83</v>
      </c>
      <c r="AP187" s="4">
        <v>0.9</v>
      </c>
      <c r="AQ187" s="4">
        <v>0.5</v>
      </c>
      <c r="AR187" s="4">
        <v>0.6</v>
      </c>
      <c r="AS187" s="4">
        <v>0.33</v>
      </c>
      <c r="AT187" s="6">
        <v>767.600281</v>
      </c>
      <c r="AU187" s="4">
        <v>0.01</v>
      </c>
      <c r="AW187" s="4" t="s">
        <v>83</v>
      </c>
      <c r="AX187" s="4">
        <v>0.9</v>
      </c>
      <c r="AY187" s="4">
        <v>0.5</v>
      </c>
      <c r="AZ187" s="4">
        <v>0.6</v>
      </c>
      <c r="BA187" s="4">
        <v>0.37</v>
      </c>
      <c r="BB187" s="4">
        <v>771.85949700000003</v>
      </c>
      <c r="BC187" s="4">
        <v>4.0000000000000001E-3</v>
      </c>
      <c r="BD187" s="5"/>
      <c r="BE187" s="5"/>
      <c r="BF187" s="5"/>
      <c r="BG187" s="5"/>
      <c r="BI187" s="4" t="s">
        <v>83</v>
      </c>
      <c r="BJ187" s="4">
        <v>0.9</v>
      </c>
      <c r="BK187" s="4">
        <v>0.5</v>
      </c>
      <c r="BL187" s="4">
        <v>0.6</v>
      </c>
      <c r="BM187" s="4">
        <v>0.39</v>
      </c>
      <c r="BN187" s="4">
        <v>778.83612100000005</v>
      </c>
      <c r="BO187" s="4">
        <v>3.5000000000000003E-2</v>
      </c>
      <c r="BQ187" s="4" t="s">
        <v>83</v>
      </c>
      <c r="BR187" s="4">
        <v>0.9</v>
      </c>
      <c r="BS187" s="4">
        <v>0.5</v>
      </c>
      <c r="BT187" s="4">
        <v>0.6</v>
      </c>
      <c r="BU187" s="4">
        <v>0.3</v>
      </c>
      <c r="BV187" s="6">
        <v>759.23754899999994</v>
      </c>
      <c r="BW187" s="4">
        <v>5.0000000000000001E-3</v>
      </c>
      <c r="BX187" s="5"/>
      <c r="BY187" s="5"/>
      <c r="BZ187" s="5"/>
      <c r="CA187" s="5"/>
    </row>
    <row r="188" spans="1:79" x14ac:dyDescent="0.3">
      <c r="A188" s="4" t="s">
        <v>84</v>
      </c>
      <c r="B188" s="4">
        <v>0.9</v>
      </c>
      <c r="C188" s="4">
        <v>0.5</v>
      </c>
      <c r="D188" s="4">
        <v>0.6</v>
      </c>
      <c r="E188" s="4">
        <v>0.27</v>
      </c>
      <c r="F188" s="6">
        <v>541.36706500000003</v>
      </c>
      <c r="G188" s="4">
        <v>1.9E-2</v>
      </c>
      <c r="I188" s="4" t="s">
        <v>84</v>
      </c>
      <c r="J188" s="4">
        <v>0.9</v>
      </c>
      <c r="K188" s="4">
        <v>0.5</v>
      </c>
      <c r="L188" s="4">
        <v>0.6</v>
      </c>
      <c r="M188" s="4">
        <v>0.35</v>
      </c>
      <c r="N188" s="4">
        <v>542.32739300000003</v>
      </c>
      <c r="O188" s="4">
        <v>1E-3</v>
      </c>
      <c r="P188" s="5"/>
      <c r="Q188" s="5"/>
      <c r="R188" s="5"/>
      <c r="S188" s="5"/>
      <c r="U188" s="4" t="s">
        <v>84</v>
      </c>
      <c r="V188" s="4">
        <v>0.9</v>
      </c>
      <c r="W188" s="4">
        <v>0.5</v>
      </c>
      <c r="X188" s="4">
        <v>0.6</v>
      </c>
      <c r="Y188" s="4">
        <v>0.59</v>
      </c>
      <c r="Z188" s="4">
        <v>582.364014</v>
      </c>
      <c r="AA188" s="4">
        <v>2.1000000000000001E-2</v>
      </c>
      <c r="AC188" s="4" t="s">
        <v>84</v>
      </c>
      <c r="AD188" s="4">
        <v>0.9</v>
      </c>
      <c r="AE188" s="4">
        <v>0.5</v>
      </c>
      <c r="AF188" s="4">
        <v>0.6</v>
      </c>
      <c r="AG188" s="4">
        <v>0.32</v>
      </c>
      <c r="AH188" s="6">
        <v>533.54058799999996</v>
      </c>
      <c r="AI188" s="4">
        <v>1E-3</v>
      </c>
      <c r="AJ188" s="5"/>
      <c r="AK188" s="5"/>
      <c r="AL188" s="5"/>
      <c r="AM188" s="5"/>
      <c r="AO188" s="4" t="s">
        <v>85</v>
      </c>
      <c r="AP188" s="4">
        <v>0.9</v>
      </c>
      <c r="AQ188" s="4">
        <v>0.5</v>
      </c>
      <c r="AR188" s="4">
        <v>0.6</v>
      </c>
      <c r="AS188" s="4">
        <v>0.44</v>
      </c>
      <c r="AT188" s="4">
        <v>959.70709199999999</v>
      </c>
      <c r="AU188" s="4">
        <v>0.01</v>
      </c>
      <c r="AW188" s="4" t="s">
        <v>85</v>
      </c>
      <c r="AX188" s="4">
        <v>0.9</v>
      </c>
      <c r="AY188" s="4">
        <v>0.5</v>
      </c>
      <c r="AZ188" s="4">
        <v>0.6</v>
      </c>
      <c r="BA188" s="4">
        <v>0.44</v>
      </c>
      <c r="BB188" s="6">
        <v>904.44348100000002</v>
      </c>
      <c r="BC188" s="4">
        <v>5.0000000000000001E-3</v>
      </c>
      <c r="BD188" s="5"/>
      <c r="BE188" s="5"/>
      <c r="BF188" s="5"/>
      <c r="BG188" s="5"/>
      <c r="BI188" s="4" t="s">
        <v>85</v>
      </c>
      <c r="BJ188" s="4">
        <v>0.9</v>
      </c>
      <c r="BK188" s="4">
        <v>0.5</v>
      </c>
      <c r="BL188" s="4">
        <v>0.6</v>
      </c>
      <c r="BM188" s="4">
        <v>0.25</v>
      </c>
      <c r="BN188" s="6">
        <v>819.45739700000001</v>
      </c>
      <c r="BO188" s="4">
        <v>2.3E-2</v>
      </c>
      <c r="BQ188" s="4" t="s">
        <v>85</v>
      </c>
      <c r="BR188" s="4">
        <v>0.9</v>
      </c>
      <c r="BS188" s="4">
        <v>0.5</v>
      </c>
      <c r="BT188" s="4">
        <v>0.6</v>
      </c>
      <c r="BU188" s="4">
        <v>0.3</v>
      </c>
      <c r="BV188" s="4">
        <v>884.730591</v>
      </c>
      <c r="BW188" s="4">
        <v>5.0000000000000001E-3</v>
      </c>
      <c r="BX188" s="5"/>
      <c r="BY188" s="5"/>
      <c r="BZ188" s="5"/>
      <c r="CA188" s="5"/>
    </row>
    <row r="189" spans="1:79" x14ac:dyDescent="0.3">
      <c r="A189" s="4" t="s">
        <v>86</v>
      </c>
      <c r="B189" s="4">
        <v>0.9</v>
      </c>
      <c r="C189" s="4">
        <v>0.5</v>
      </c>
      <c r="D189" s="4">
        <v>0.6</v>
      </c>
      <c r="E189" s="4">
        <v>0.46</v>
      </c>
      <c r="F189" s="4">
        <v>600.716003</v>
      </c>
      <c r="G189" s="4">
        <v>2.7E-2</v>
      </c>
      <c r="I189" s="4" t="s">
        <v>86</v>
      </c>
      <c r="J189" s="4">
        <v>0.9</v>
      </c>
      <c r="K189" s="4">
        <v>0.5</v>
      </c>
      <c r="L189" s="4">
        <v>0.6</v>
      </c>
      <c r="M189" s="4">
        <v>0.32</v>
      </c>
      <c r="N189" s="6">
        <v>578.99816899999996</v>
      </c>
      <c r="O189" s="4">
        <v>1E-3</v>
      </c>
      <c r="P189" s="5"/>
      <c r="Q189" s="5"/>
      <c r="R189" s="5"/>
      <c r="S189" s="5"/>
      <c r="U189" s="4" t="s">
        <v>86</v>
      </c>
      <c r="V189" s="4">
        <v>0.9</v>
      </c>
      <c r="W189" s="4">
        <v>0.5</v>
      </c>
      <c r="X189" s="4">
        <v>0.6</v>
      </c>
      <c r="Y189" s="4">
        <v>0.3</v>
      </c>
      <c r="Z189" s="4">
        <v>575.57525599999997</v>
      </c>
      <c r="AA189" s="4">
        <v>1.7999999999999999E-2</v>
      </c>
      <c r="AC189" s="4" t="s">
        <v>86</v>
      </c>
      <c r="AD189" s="4">
        <v>0.9</v>
      </c>
      <c r="AE189" s="4">
        <v>0.5</v>
      </c>
      <c r="AF189" s="4">
        <v>0.6</v>
      </c>
      <c r="AG189" s="4">
        <v>0.32</v>
      </c>
      <c r="AH189" s="6">
        <v>564.99883999999997</v>
      </c>
      <c r="AI189" s="4">
        <v>1E-3</v>
      </c>
      <c r="AJ189" s="5"/>
      <c r="AK189" s="5"/>
      <c r="AL189" s="5"/>
      <c r="AM189" s="5"/>
      <c r="AO189" s="4" t="s">
        <v>87</v>
      </c>
      <c r="AP189" s="4">
        <v>0.9</v>
      </c>
      <c r="AQ189" s="4">
        <v>0.5</v>
      </c>
      <c r="AR189" s="4">
        <v>0.6</v>
      </c>
      <c r="AS189" s="4">
        <v>0.04</v>
      </c>
      <c r="AT189" s="6">
        <v>712.129456</v>
      </c>
      <c r="AU189" s="4">
        <v>3.2000000000000001E-2</v>
      </c>
      <c r="AW189" s="4" t="s">
        <v>87</v>
      </c>
      <c r="AX189" s="4">
        <v>0.9</v>
      </c>
      <c r="AY189" s="4">
        <v>0.5</v>
      </c>
      <c r="AZ189" s="4">
        <v>0.6</v>
      </c>
      <c r="BA189" s="4">
        <v>0.32</v>
      </c>
      <c r="BB189" s="4">
        <v>822.16558799999996</v>
      </c>
      <c r="BC189" s="4">
        <v>5.0000000000000001E-3</v>
      </c>
      <c r="BD189" s="5"/>
      <c r="BE189" s="5"/>
      <c r="BF189" s="5"/>
      <c r="BG189" s="5"/>
      <c r="BI189" s="4" t="s">
        <v>87</v>
      </c>
      <c r="BJ189" s="4">
        <v>0.9</v>
      </c>
      <c r="BK189" s="4">
        <v>0.5</v>
      </c>
      <c r="BL189" s="4">
        <v>0.6</v>
      </c>
      <c r="BM189" s="4">
        <v>0.85</v>
      </c>
      <c r="BN189" s="4">
        <v>959.06396500000005</v>
      </c>
      <c r="BO189" s="4">
        <v>2.4E-2</v>
      </c>
      <c r="BQ189" s="4" t="s">
        <v>87</v>
      </c>
      <c r="BR189" s="4">
        <v>0.9</v>
      </c>
      <c r="BS189" s="4">
        <v>0.5</v>
      </c>
      <c r="BT189" s="4">
        <v>0.6</v>
      </c>
      <c r="BU189" s="4">
        <v>0.3</v>
      </c>
      <c r="BV189" s="6">
        <v>796.83819600000004</v>
      </c>
      <c r="BW189" s="4">
        <v>8.9999999999999993E-3</v>
      </c>
      <c r="BX189" s="5"/>
      <c r="BY189" s="5"/>
      <c r="BZ189" s="5"/>
      <c r="CA189" s="5"/>
    </row>
    <row r="190" spans="1:79" x14ac:dyDescent="0.3">
      <c r="A190" s="4" t="s">
        <v>88</v>
      </c>
      <c r="B190" s="4">
        <v>0.9</v>
      </c>
      <c r="C190" s="4">
        <v>0.5</v>
      </c>
      <c r="D190" s="4">
        <v>0.6</v>
      </c>
      <c r="E190" s="4">
        <v>0.55000000000000004</v>
      </c>
      <c r="F190" s="4">
        <v>544.96624799999995</v>
      </c>
      <c r="G190" s="4">
        <v>4.2000000000000003E-2</v>
      </c>
      <c r="I190" s="4" t="s">
        <v>88</v>
      </c>
      <c r="J190" s="4">
        <v>0.9</v>
      </c>
      <c r="K190" s="4">
        <v>0.5</v>
      </c>
      <c r="L190" s="4">
        <v>0.6</v>
      </c>
      <c r="M190" s="4">
        <v>0.38</v>
      </c>
      <c r="N190" s="6">
        <v>505.50060999999999</v>
      </c>
      <c r="O190" s="4">
        <v>1E-3</v>
      </c>
      <c r="P190" s="5"/>
      <c r="Q190" s="5"/>
      <c r="R190" s="5"/>
      <c r="S190" s="5"/>
      <c r="U190" s="4" t="s">
        <v>88</v>
      </c>
      <c r="V190" s="4">
        <v>0.9</v>
      </c>
      <c r="W190" s="4">
        <v>0.5</v>
      </c>
      <c r="X190" s="4">
        <v>0.6</v>
      </c>
      <c r="Y190" s="4">
        <v>0.14000000000000001</v>
      </c>
      <c r="Z190" s="6">
        <v>473.02667200000002</v>
      </c>
      <c r="AA190" s="4">
        <v>1.0999999999999999E-2</v>
      </c>
      <c r="AC190" s="4" t="s">
        <v>88</v>
      </c>
      <c r="AD190" s="4">
        <v>0.9</v>
      </c>
      <c r="AE190" s="4">
        <v>0.5</v>
      </c>
      <c r="AF190" s="4">
        <v>0.6</v>
      </c>
      <c r="AG190" s="4">
        <v>0.31</v>
      </c>
      <c r="AH190" s="4">
        <v>491.07955900000002</v>
      </c>
      <c r="AI190" s="4">
        <v>1E-3</v>
      </c>
      <c r="AJ190" s="5"/>
      <c r="AK190" s="5"/>
      <c r="AL190" s="5"/>
      <c r="AM190" s="5"/>
      <c r="AO190" s="4" t="s">
        <v>89</v>
      </c>
      <c r="AP190" s="4">
        <v>0.9</v>
      </c>
      <c r="AQ190" s="4">
        <v>0.5</v>
      </c>
      <c r="AR190" s="4">
        <v>0.6</v>
      </c>
      <c r="AS190" s="4">
        <v>0.1</v>
      </c>
      <c r="AT190" s="6">
        <v>709.81506300000001</v>
      </c>
      <c r="AU190" s="4">
        <v>1.7999999999999999E-2</v>
      </c>
      <c r="AW190" s="4" t="s">
        <v>89</v>
      </c>
      <c r="AX190" s="4">
        <v>0.9</v>
      </c>
      <c r="AY190" s="4">
        <v>0.5</v>
      </c>
      <c r="AZ190" s="4">
        <v>0.6</v>
      </c>
      <c r="BA190" s="4">
        <v>0.3</v>
      </c>
      <c r="BB190" s="4">
        <v>823.79486099999997</v>
      </c>
      <c r="BC190" s="4">
        <v>5.0000000000000001E-3</v>
      </c>
      <c r="BD190" s="5"/>
      <c r="BE190" s="5"/>
      <c r="BF190" s="5"/>
      <c r="BG190" s="5"/>
      <c r="BI190" s="4" t="s">
        <v>89</v>
      </c>
      <c r="BJ190" s="4">
        <v>0.9</v>
      </c>
      <c r="BK190" s="4">
        <v>0.5</v>
      </c>
      <c r="BL190" s="4">
        <v>0.6</v>
      </c>
      <c r="BM190" s="4">
        <v>0.53</v>
      </c>
      <c r="BN190" s="4">
        <v>903.07891800000004</v>
      </c>
      <c r="BO190" s="4">
        <v>1.0999999999999999E-2</v>
      </c>
      <c r="BQ190" s="4" t="s">
        <v>89</v>
      </c>
      <c r="BR190" s="4">
        <v>0.9</v>
      </c>
      <c r="BS190" s="4">
        <v>0.5</v>
      </c>
      <c r="BT190" s="4">
        <v>0.6</v>
      </c>
      <c r="BU190" s="4">
        <v>0.31</v>
      </c>
      <c r="BV190" s="6">
        <v>816.67156999999997</v>
      </c>
      <c r="BW190" s="4">
        <v>6.0000000000000001E-3</v>
      </c>
      <c r="BX190" s="5"/>
      <c r="BY190" s="5"/>
      <c r="BZ190" s="5"/>
      <c r="CA190" s="5"/>
    </row>
    <row r="191" spans="1:79" x14ac:dyDescent="0.3">
      <c r="A191" s="4" t="s">
        <v>90</v>
      </c>
      <c r="B191" s="4">
        <v>0.9</v>
      </c>
      <c r="C191" s="4">
        <v>0.5</v>
      </c>
      <c r="D191" s="4">
        <v>0.6</v>
      </c>
      <c r="E191" s="4">
        <v>0.52</v>
      </c>
      <c r="F191" s="4">
        <v>523.96813999999995</v>
      </c>
      <c r="G191" s="4">
        <v>1.2E-2</v>
      </c>
      <c r="I191" s="4" t="s">
        <v>90</v>
      </c>
      <c r="J191" s="4">
        <v>0.9</v>
      </c>
      <c r="K191" s="4">
        <v>0.5</v>
      </c>
      <c r="L191" s="4">
        <v>0.6</v>
      </c>
      <c r="M191" s="4">
        <v>0.35</v>
      </c>
      <c r="N191" s="6">
        <v>449.83169600000002</v>
      </c>
      <c r="O191" s="4">
        <v>1E-3</v>
      </c>
      <c r="P191" s="5"/>
      <c r="Q191" s="5"/>
      <c r="R191" s="5"/>
      <c r="S191" s="5"/>
      <c r="U191" s="4" t="s">
        <v>90</v>
      </c>
      <c r="V191" s="4">
        <v>0.9</v>
      </c>
      <c r="W191" s="4">
        <v>0.5</v>
      </c>
      <c r="X191" s="4">
        <v>0.6</v>
      </c>
      <c r="Y191" s="4">
        <v>0.13</v>
      </c>
      <c r="Z191" s="6">
        <v>413.76531999999997</v>
      </c>
      <c r="AA191" s="4">
        <v>3.6999999999999998E-2</v>
      </c>
      <c r="AC191" s="4" t="s">
        <v>90</v>
      </c>
      <c r="AD191" s="4">
        <v>0.9</v>
      </c>
      <c r="AE191" s="4">
        <v>0.5</v>
      </c>
      <c r="AF191" s="4">
        <v>0.6</v>
      </c>
      <c r="AG191" s="4">
        <v>0.31</v>
      </c>
      <c r="AH191" s="4">
        <v>430.15756199999998</v>
      </c>
      <c r="AI191" s="4">
        <v>0</v>
      </c>
      <c r="AJ191" s="5"/>
      <c r="AK191" s="5"/>
      <c r="AL191" s="5"/>
      <c r="AM191" s="5"/>
      <c r="AO191" s="4" t="s">
        <v>91</v>
      </c>
      <c r="AP191" s="4">
        <v>0.9</v>
      </c>
      <c r="AQ191" s="4">
        <v>0.5</v>
      </c>
      <c r="AR191" s="4">
        <v>0.6</v>
      </c>
      <c r="AS191" s="4">
        <v>0.5</v>
      </c>
      <c r="AT191" s="4">
        <v>867.86193800000001</v>
      </c>
      <c r="AU191" s="4">
        <v>3.5999999999999997E-2</v>
      </c>
      <c r="AW191" s="4" t="s">
        <v>91</v>
      </c>
      <c r="AX191" s="4">
        <v>0.9</v>
      </c>
      <c r="AY191" s="4">
        <v>0.5</v>
      </c>
      <c r="AZ191" s="4">
        <v>0.6</v>
      </c>
      <c r="BA191" s="4">
        <v>0.32</v>
      </c>
      <c r="BB191" s="6">
        <v>805.19232199999999</v>
      </c>
      <c r="BC191" s="4">
        <v>8.0000000000000002E-3</v>
      </c>
      <c r="BD191" s="5"/>
      <c r="BE191" s="5"/>
      <c r="BF191" s="5"/>
      <c r="BG191" s="5"/>
      <c r="BI191" s="4" t="s">
        <v>91</v>
      </c>
      <c r="BJ191" s="4">
        <v>0.9</v>
      </c>
      <c r="BK191" s="4">
        <v>0.5</v>
      </c>
      <c r="BL191" s="4">
        <v>0.6</v>
      </c>
      <c r="BM191" s="4">
        <v>0.86</v>
      </c>
      <c r="BN191" s="4">
        <v>907.62152100000003</v>
      </c>
      <c r="BO191" s="4">
        <v>1.7999999999999999E-2</v>
      </c>
      <c r="BQ191" s="4" t="s">
        <v>91</v>
      </c>
      <c r="BR191" s="4">
        <v>0.9</v>
      </c>
      <c r="BS191" s="4">
        <v>0.5</v>
      </c>
      <c r="BT191" s="4">
        <v>0.6</v>
      </c>
      <c r="BU191" s="4">
        <v>0.3</v>
      </c>
      <c r="BV191" s="6">
        <v>815.38928199999998</v>
      </c>
      <c r="BW191" s="4">
        <v>5.0000000000000001E-3</v>
      </c>
      <c r="BX191" s="5"/>
      <c r="BY191" s="5"/>
      <c r="BZ191" s="5"/>
      <c r="CA191" s="5"/>
    </row>
    <row r="192" spans="1:79" x14ac:dyDescent="0.3">
      <c r="A192" s="4" t="s">
        <v>92</v>
      </c>
      <c r="B192" s="4">
        <v>0.9</v>
      </c>
      <c r="C192" s="4">
        <v>0.5</v>
      </c>
      <c r="D192" s="4">
        <v>0.6</v>
      </c>
      <c r="E192" s="4">
        <v>0.64</v>
      </c>
      <c r="F192" s="4">
        <v>593.558716</v>
      </c>
      <c r="G192" s="4">
        <v>2.5999999999999999E-2</v>
      </c>
      <c r="I192" s="4" t="s">
        <v>92</v>
      </c>
      <c r="J192" s="4">
        <v>0.9</v>
      </c>
      <c r="K192" s="4">
        <v>0.5</v>
      </c>
      <c r="L192" s="4">
        <v>0.6</v>
      </c>
      <c r="M192" s="4">
        <v>0.32</v>
      </c>
      <c r="N192" s="6">
        <v>570.75750700000003</v>
      </c>
      <c r="O192" s="4">
        <v>1E-3</v>
      </c>
      <c r="P192" s="5"/>
      <c r="Q192" s="5"/>
      <c r="R192" s="5"/>
      <c r="S192" s="5"/>
      <c r="U192" s="4" t="s">
        <v>92</v>
      </c>
      <c r="V192" s="4">
        <v>0.9</v>
      </c>
      <c r="W192" s="4">
        <v>0.5</v>
      </c>
      <c r="X192" s="4">
        <v>0.6</v>
      </c>
      <c r="Y192" s="4">
        <v>0.96</v>
      </c>
      <c r="Z192" s="4">
        <v>609.01867700000003</v>
      </c>
      <c r="AA192" s="4">
        <v>1.4E-2</v>
      </c>
      <c r="AC192" s="4" t="s">
        <v>92</v>
      </c>
      <c r="AD192" s="4">
        <v>0.9</v>
      </c>
      <c r="AE192" s="4">
        <v>0.5</v>
      </c>
      <c r="AF192" s="4">
        <v>0.6</v>
      </c>
      <c r="AG192" s="4">
        <v>0.42</v>
      </c>
      <c r="AH192" s="6">
        <v>557.35961899999995</v>
      </c>
      <c r="AI192" s="4">
        <v>1E-3</v>
      </c>
      <c r="AJ192" s="5"/>
      <c r="AK192" s="5"/>
      <c r="AL192" s="5"/>
      <c r="AM192" s="5"/>
      <c r="AO192" s="4" t="s">
        <v>93</v>
      </c>
      <c r="AP192" s="4">
        <v>0.9</v>
      </c>
      <c r="AQ192" s="4">
        <v>0.5</v>
      </c>
      <c r="AR192" s="4">
        <v>0.6</v>
      </c>
      <c r="AS192" s="4">
        <v>0.2</v>
      </c>
      <c r="AT192" s="6">
        <v>712.68139599999995</v>
      </c>
      <c r="AU192" s="4">
        <v>2.5000000000000001E-2</v>
      </c>
      <c r="AW192" s="4" t="s">
        <v>93</v>
      </c>
      <c r="AX192" s="4">
        <v>0.9</v>
      </c>
      <c r="AY192" s="4">
        <v>0.5</v>
      </c>
      <c r="AZ192" s="4">
        <v>0.6</v>
      </c>
      <c r="BA192" s="4">
        <v>0.32</v>
      </c>
      <c r="BB192" s="4">
        <v>753.79382299999997</v>
      </c>
      <c r="BC192" s="4">
        <v>4.0000000000000001E-3</v>
      </c>
      <c r="BD192" s="5"/>
      <c r="BE192" s="5"/>
      <c r="BF192" s="5"/>
      <c r="BG192" s="5"/>
      <c r="BI192" s="4" t="s">
        <v>93</v>
      </c>
      <c r="BJ192" s="4">
        <v>0.9</v>
      </c>
      <c r="BK192" s="4">
        <v>0.5</v>
      </c>
      <c r="BL192" s="4">
        <v>0.6</v>
      </c>
      <c r="BM192" s="4">
        <v>0.56999999999999995</v>
      </c>
      <c r="BN192" s="4">
        <v>844.94104000000004</v>
      </c>
      <c r="BO192" s="4">
        <v>1.0999999999999999E-2</v>
      </c>
      <c r="BQ192" s="4" t="s">
        <v>93</v>
      </c>
      <c r="BR192" s="4">
        <v>0.9</v>
      </c>
      <c r="BS192" s="4">
        <v>0.5</v>
      </c>
      <c r="BT192" s="4">
        <v>0.6</v>
      </c>
      <c r="BU192" s="4">
        <v>0.3</v>
      </c>
      <c r="BV192" s="6">
        <v>753.69787599999995</v>
      </c>
      <c r="BW192" s="4">
        <v>4.0000000000000001E-3</v>
      </c>
      <c r="BX192" s="5"/>
      <c r="BY192" s="5"/>
      <c r="BZ192" s="5"/>
      <c r="CA192" s="5"/>
    </row>
    <row r="193" spans="1:79" x14ac:dyDescent="0.3">
      <c r="A193" s="4" t="s">
        <v>94</v>
      </c>
      <c r="B193" s="4">
        <v>0.9</v>
      </c>
      <c r="C193" s="4">
        <v>0.5</v>
      </c>
      <c r="D193" s="4">
        <v>0.6</v>
      </c>
      <c r="E193" s="4">
        <v>7.0000000000000007E-2</v>
      </c>
      <c r="F193" s="6">
        <v>443.46627799999999</v>
      </c>
      <c r="G193" s="4">
        <v>1.0999999999999999E-2</v>
      </c>
      <c r="I193" s="4" t="s">
        <v>94</v>
      </c>
      <c r="J193" s="4">
        <v>0.9</v>
      </c>
      <c r="K193" s="4">
        <v>0.5</v>
      </c>
      <c r="L193" s="4">
        <v>0.6</v>
      </c>
      <c r="M193" s="4">
        <v>0.32</v>
      </c>
      <c r="N193" s="4">
        <v>492.85751299999998</v>
      </c>
      <c r="O193" s="4">
        <v>1E-3</v>
      </c>
      <c r="P193" s="5"/>
      <c r="Q193" s="5"/>
      <c r="R193" s="5"/>
      <c r="S193" s="5"/>
      <c r="U193" s="4" t="s">
        <v>94</v>
      </c>
      <c r="V193" s="4">
        <v>0.9</v>
      </c>
      <c r="W193" s="4">
        <v>0.5</v>
      </c>
      <c r="X193" s="4">
        <v>0.6</v>
      </c>
      <c r="Y193" s="4">
        <v>0.78</v>
      </c>
      <c r="Z193" s="4">
        <v>619.13433799999996</v>
      </c>
      <c r="AA193" s="4">
        <v>8.0000000000000002E-3</v>
      </c>
      <c r="AC193" s="4" t="s">
        <v>94</v>
      </c>
      <c r="AD193" s="4">
        <v>0.9</v>
      </c>
      <c r="AE193" s="4">
        <v>0.5</v>
      </c>
      <c r="AF193" s="4">
        <v>0.6</v>
      </c>
      <c r="AG193" s="4">
        <v>0.39</v>
      </c>
      <c r="AH193" s="6">
        <v>461.24389600000001</v>
      </c>
      <c r="AI193" s="4">
        <v>1E-3</v>
      </c>
      <c r="AJ193" s="5"/>
      <c r="AK193" s="5"/>
      <c r="AL193" s="5"/>
      <c r="AM193" s="5"/>
      <c r="AO193" s="4" t="s">
        <v>95</v>
      </c>
      <c r="AP193" s="4">
        <v>0.9</v>
      </c>
      <c r="AQ193" s="4">
        <v>0.5</v>
      </c>
      <c r="AR193" s="4">
        <v>0.6</v>
      </c>
      <c r="AS193" s="4">
        <v>0.67</v>
      </c>
      <c r="AT193" s="4">
        <v>971.44256600000006</v>
      </c>
      <c r="AU193" s="4">
        <v>0.02</v>
      </c>
      <c r="AW193" s="4" t="s">
        <v>95</v>
      </c>
      <c r="AX193" s="4">
        <v>0.9</v>
      </c>
      <c r="AY193" s="4">
        <v>0.5</v>
      </c>
      <c r="AZ193" s="4">
        <v>0.6</v>
      </c>
      <c r="BA193" s="4">
        <v>0.31</v>
      </c>
      <c r="BB193" s="6">
        <v>858.38269000000003</v>
      </c>
      <c r="BC193" s="4">
        <v>5.0000000000000001E-3</v>
      </c>
      <c r="BD193" s="5"/>
      <c r="BE193" s="5"/>
      <c r="BF193" s="5"/>
      <c r="BG193" s="5"/>
      <c r="BI193" s="4" t="s">
        <v>95</v>
      </c>
      <c r="BJ193" s="4">
        <v>0.9</v>
      </c>
      <c r="BK193" s="4">
        <v>0.5</v>
      </c>
      <c r="BL193" s="4">
        <v>0.6</v>
      </c>
      <c r="BM193" s="4">
        <v>0.04</v>
      </c>
      <c r="BN193" s="6">
        <v>689.28527799999995</v>
      </c>
      <c r="BO193" s="4">
        <v>3.5999999999999997E-2</v>
      </c>
      <c r="BQ193" s="4" t="s">
        <v>95</v>
      </c>
      <c r="BR193" s="4">
        <v>0.9</v>
      </c>
      <c r="BS193" s="4">
        <v>0.5</v>
      </c>
      <c r="BT193" s="4">
        <v>0.6</v>
      </c>
      <c r="BU193" s="4">
        <v>0.32</v>
      </c>
      <c r="BV193" s="4">
        <v>846.85339399999998</v>
      </c>
      <c r="BW193" s="4">
        <v>8.0000000000000002E-3</v>
      </c>
      <c r="BX193" s="5"/>
      <c r="BY193" s="5"/>
      <c r="BZ193" s="5"/>
      <c r="CA193" s="5"/>
    </row>
    <row r="194" spans="1:79" x14ac:dyDescent="0.3">
      <c r="A194" s="4" t="s">
        <v>96</v>
      </c>
      <c r="B194" s="4">
        <v>0.9</v>
      </c>
      <c r="C194" s="4">
        <v>0.5</v>
      </c>
      <c r="D194" s="4">
        <v>0.6</v>
      </c>
      <c r="E194" s="4">
        <v>0.03</v>
      </c>
      <c r="F194" s="6">
        <v>582.59161400000005</v>
      </c>
      <c r="G194" s="4">
        <v>3.4000000000000002E-2</v>
      </c>
      <c r="I194" s="4" t="s">
        <v>96</v>
      </c>
      <c r="J194" s="4">
        <v>0.9</v>
      </c>
      <c r="K194" s="4">
        <v>0.5</v>
      </c>
      <c r="L194" s="4">
        <v>0.6</v>
      </c>
      <c r="M194" s="4">
        <v>0.33</v>
      </c>
      <c r="N194" s="4">
        <v>612.248108</v>
      </c>
      <c r="O194" s="4">
        <v>1E-3</v>
      </c>
      <c r="P194" s="5"/>
      <c r="Q194" s="5"/>
      <c r="R194" s="5"/>
      <c r="S194" s="5"/>
      <c r="U194" s="4" t="s">
        <v>96</v>
      </c>
      <c r="V194" s="4">
        <v>0.9</v>
      </c>
      <c r="W194" s="4">
        <v>0.5</v>
      </c>
      <c r="X194" s="4">
        <v>0.6</v>
      </c>
      <c r="Y194" s="4">
        <v>0.61</v>
      </c>
      <c r="Z194" s="4">
        <v>658.49133300000005</v>
      </c>
      <c r="AA194" s="4">
        <v>2.1999999999999999E-2</v>
      </c>
      <c r="AC194" s="4" t="s">
        <v>96</v>
      </c>
      <c r="AD194" s="4">
        <v>0.9</v>
      </c>
      <c r="AE194" s="4">
        <v>0.5</v>
      </c>
      <c r="AF194" s="4">
        <v>0.6</v>
      </c>
      <c r="AG194" s="4">
        <v>0.3</v>
      </c>
      <c r="AH194" s="6">
        <v>597.36407499999996</v>
      </c>
      <c r="AI194" s="4">
        <v>1E-3</v>
      </c>
      <c r="AJ194" s="5"/>
      <c r="AK194" s="5"/>
      <c r="AL194" s="5"/>
      <c r="AM194" s="5"/>
      <c r="AO194" s="4" t="s">
        <v>97</v>
      </c>
      <c r="AP194" s="4">
        <v>0.9</v>
      </c>
      <c r="AQ194" s="4">
        <v>0.5</v>
      </c>
      <c r="AR194" s="4">
        <v>0.6</v>
      </c>
      <c r="AS194" s="4">
        <v>0.85</v>
      </c>
      <c r="AT194" s="4">
        <v>1105.315918</v>
      </c>
      <c r="AU194" s="4">
        <v>3.6999999999999998E-2</v>
      </c>
      <c r="AW194" s="4" t="s">
        <v>97</v>
      </c>
      <c r="AX194" s="4">
        <v>0.9</v>
      </c>
      <c r="AY194" s="4">
        <v>0.5</v>
      </c>
      <c r="AZ194" s="4">
        <v>0.6</v>
      </c>
      <c r="BA194" s="4">
        <v>0.31</v>
      </c>
      <c r="BB194" s="6">
        <v>995.67285200000003</v>
      </c>
      <c r="BC194" s="4">
        <v>5.0000000000000001E-3</v>
      </c>
      <c r="BD194" s="5"/>
      <c r="BE194" s="5"/>
      <c r="BF194" s="5"/>
      <c r="BG194" s="5"/>
      <c r="BI194" s="4" t="s">
        <v>97</v>
      </c>
      <c r="BJ194" s="4">
        <v>0.9</v>
      </c>
      <c r="BK194" s="4">
        <v>0.5</v>
      </c>
      <c r="BL194" s="4">
        <v>0.6</v>
      </c>
      <c r="BM194" s="4">
        <v>0.32</v>
      </c>
      <c r="BN194" s="6">
        <v>978.58758499999999</v>
      </c>
      <c r="BO194" s="4">
        <v>1.9E-2</v>
      </c>
      <c r="BQ194" s="4" t="s">
        <v>97</v>
      </c>
      <c r="BR194" s="4">
        <v>0.9</v>
      </c>
      <c r="BS194" s="4">
        <v>0.5</v>
      </c>
      <c r="BT194" s="4">
        <v>0.6</v>
      </c>
      <c r="BU194" s="4">
        <v>0.32</v>
      </c>
      <c r="BV194" s="4">
        <v>990.84936500000003</v>
      </c>
      <c r="BW194" s="4">
        <v>8.0000000000000002E-3</v>
      </c>
      <c r="BX194" s="5"/>
      <c r="BY194" s="5"/>
      <c r="BZ194" s="5"/>
      <c r="CA194" s="5"/>
    </row>
    <row r="195" spans="1:79" x14ac:dyDescent="0.3">
      <c r="A195" s="4" t="s">
        <v>98</v>
      </c>
      <c r="B195" s="4">
        <v>0.9</v>
      </c>
      <c r="C195" s="4">
        <v>0.5</v>
      </c>
      <c r="D195" s="4">
        <v>0.6</v>
      </c>
      <c r="E195" s="4">
        <v>0.88</v>
      </c>
      <c r="F195" s="4">
        <v>614.433716</v>
      </c>
      <c r="G195" s="4">
        <v>1.9E-2</v>
      </c>
      <c r="I195" s="4" t="s">
        <v>98</v>
      </c>
      <c r="J195" s="4">
        <v>0.9</v>
      </c>
      <c r="K195" s="4">
        <v>0.5</v>
      </c>
      <c r="L195" s="4">
        <v>0.6</v>
      </c>
      <c r="M195" s="4">
        <v>0.32</v>
      </c>
      <c r="N195" s="6">
        <v>501.096588</v>
      </c>
      <c r="O195" s="4">
        <v>1E-3</v>
      </c>
      <c r="P195" s="5"/>
      <c r="Q195" s="5"/>
      <c r="R195" s="5"/>
      <c r="S195" s="5"/>
      <c r="U195" s="4" t="s">
        <v>98</v>
      </c>
      <c r="V195" s="4">
        <v>0.9</v>
      </c>
      <c r="W195" s="4">
        <v>0.5</v>
      </c>
      <c r="X195" s="4">
        <v>0.6</v>
      </c>
      <c r="Y195" s="4">
        <v>0.91</v>
      </c>
      <c r="Z195" s="4">
        <v>595.70581100000004</v>
      </c>
      <c r="AA195" s="4">
        <v>1.9E-2</v>
      </c>
      <c r="AC195" s="4" t="s">
        <v>98</v>
      </c>
      <c r="AD195" s="4">
        <v>0.9</v>
      </c>
      <c r="AE195" s="4">
        <v>0.5</v>
      </c>
      <c r="AF195" s="4">
        <v>0.6</v>
      </c>
      <c r="AG195" s="4">
        <v>0.36</v>
      </c>
      <c r="AH195" s="6">
        <v>490.02441399999998</v>
      </c>
      <c r="AI195" s="4">
        <v>1E-3</v>
      </c>
      <c r="AJ195" s="5"/>
      <c r="AK195" s="5"/>
      <c r="AL195" s="5"/>
      <c r="AM195" s="5"/>
      <c r="AO195" s="4" t="s">
        <v>99</v>
      </c>
      <c r="AP195" s="4">
        <v>0.9</v>
      </c>
      <c r="AQ195" s="4">
        <v>0.5</v>
      </c>
      <c r="AR195" s="4">
        <v>0.6</v>
      </c>
      <c r="AS195" s="4">
        <v>0.66</v>
      </c>
      <c r="AT195" s="4">
        <v>1087.4227289999999</v>
      </c>
      <c r="AU195" s="4">
        <v>1.0999999999999999E-2</v>
      </c>
      <c r="AW195" s="4" t="s">
        <v>99</v>
      </c>
      <c r="AX195" s="4">
        <v>0.9</v>
      </c>
      <c r="AY195" s="4">
        <v>0.5</v>
      </c>
      <c r="AZ195" s="4">
        <v>0.6</v>
      </c>
      <c r="BA195" s="4">
        <v>0.31</v>
      </c>
      <c r="BB195" s="6">
        <v>948.37786900000003</v>
      </c>
      <c r="BC195" s="4">
        <v>7.0000000000000001E-3</v>
      </c>
      <c r="BD195" s="5"/>
      <c r="BE195" s="5"/>
      <c r="BF195" s="5"/>
      <c r="BG195" s="5"/>
      <c r="BI195" s="4" t="s">
        <v>99</v>
      </c>
      <c r="BJ195" s="4">
        <v>0.9</v>
      </c>
      <c r="BK195" s="4">
        <v>0.5</v>
      </c>
      <c r="BL195" s="4">
        <v>0.6</v>
      </c>
      <c r="BM195" s="4">
        <v>0.7</v>
      </c>
      <c r="BN195" s="4">
        <v>1086.284302</v>
      </c>
      <c r="BO195" s="4">
        <v>2.5999999999999999E-2</v>
      </c>
      <c r="BQ195" s="4" t="s">
        <v>99</v>
      </c>
      <c r="BR195" s="4">
        <v>0.9</v>
      </c>
      <c r="BS195" s="4">
        <v>0.5</v>
      </c>
      <c r="BT195" s="4">
        <v>0.6</v>
      </c>
      <c r="BU195" s="4">
        <v>0.3</v>
      </c>
      <c r="BV195" s="6">
        <v>944.84509300000002</v>
      </c>
      <c r="BW195" s="4">
        <v>8.9999999999999993E-3</v>
      </c>
      <c r="BX195" s="5"/>
      <c r="BY195" s="5"/>
      <c r="BZ195" s="5"/>
      <c r="CA195" s="5"/>
    </row>
    <row r="196" spans="1:79" x14ac:dyDescent="0.3">
      <c r="A196" s="4" t="s">
        <v>100</v>
      </c>
      <c r="B196" s="4">
        <v>0.9</v>
      </c>
      <c r="C196" s="4">
        <v>0.5</v>
      </c>
      <c r="D196" s="4">
        <v>0.6</v>
      </c>
      <c r="E196" s="4">
        <v>0.23</v>
      </c>
      <c r="F196" s="6">
        <v>615.59436000000005</v>
      </c>
      <c r="G196" s="4">
        <v>1.9E-2</v>
      </c>
      <c r="I196" s="4" t="s">
        <v>100</v>
      </c>
      <c r="J196" s="4">
        <v>0.9</v>
      </c>
      <c r="K196" s="4">
        <v>0.5</v>
      </c>
      <c r="L196" s="4">
        <v>0.6</v>
      </c>
      <c r="M196" s="4">
        <v>0.3</v>
      </c>
      <c r="N196" s="4">
        <v>621.19030799999996</v>
      </c>
      <c r="O196" s="4">
        <v>1E-3</v>
      </c>
      <c r="P196" s="5"/>
      <c r="Q196" s="5"/>
      <c r="R196" s="5"/>
      <c r="S196" s="5"/>
      <c r="U196" s="4" t="s">
        <v>100</v>
      </c>
      <c r="V196" s="4">
        <v>0.9</v>
      </c>
      <c r="W196" s="4">
        <v>0.5</v>
      </c>
      <c r="X196" s="4">
        <v>0.6</v>
      </c>
      <c r="Y196" s="4">
        <v>0.84</v>
      </c>
      <c r="Z196" s="4">
        <v>704.34625200000005</v>
      </c>
      <c r="AA196" s="4">
        <v>1.4999999999999999E-2</v>
      </c>
      <c r="AC196" s="4" t="s">
        <v>100</v>
      </c>
      <c r="AD196" s="4">
        <v>0.9</v>
      </c>
      <c r="AE196" s="4">
        <v>0.5</v>
      </c>
      <c r="AF196" s="4">
        <v>0.6</v>
      </c>
      <c r="AG196" s="4">
        <v>0.3</v>
      </c>
      <c r="AH196" s="6">
        <v>624.34954800000003</v>
      </c>
      <c r="AI196" s="4">
        <v>1E-3</v>
      </c>
      <c r="AJ196" s="5"/>
      <c r="AK196" s="5"/>
      <c r="AL196" s="5"/>
      <c r="AM196" s="5"/>
      <c r="AO196" s="4" t="s">
        <v>101</v>
      </c>
      <c r="AP196" s="4">
        <v>0.9</v>
      </c>
      <c r="AQ196" s="4">
        <v>0.5</v>
      </c>
      <c r="AR196" s="4">
        <v>0.6</v>
      </c>
      <c r="AS196" s="4">
        <v>0.93</v>
      </c>
      <c r="AT196" s="4">
        <v>1077.5306399999999</v>
      </c>
      <c r="AU196" s="4">
        <v>0.03</v>
      </c>
      <c r="AW196" s="4" t="s">
        <v>101</v>
      </c>
      <c r="AX196" s="4">
        <v>0.9</v>
      </c>
      <c r="AY196" s="4">
        <v>0.5</v>
      </c>
      <c r="AZ196" s="4">
        <v>0.6</v>
      </c>
      <c r="BA196" s="4">
        <v>0.32</v>
      </c>
      <c r="BB196" s="6">
        <v>865.01776099999995</v>
      </c>
      <c r="BC196" s="4">
        <v>4.0000000000000001E-3</v>
      </c>
      <c r="BD196" s="5"/>
      <c r="BE196" s="5"/>
      <c r="BF196" s="5"/>
      <c r="BG196" s="5"/>
      <c r="BI196" s="4" t="s">
        <v>101</v>
      </c>
      <c r="BJ196" s="4">
        <v>0.9</v>
      </c>
      <c r="BK196" s="4">
        <v>0.5</v>
      </c>
      <c r="BL196" s="4">
        <v>0.6</v>
      </c>
      <c r="BM196" s="4">
        <v>0.66</v>
      </c>
      <c r="BN196" s="4">
        <v>994.84930399999996</v>
      </c>
      <c r="BO196" s="4">
        <v>3.5000000000000003E-2</v>
      </c>
      <c r="BQ196" s="4" t="s">
        <v>101</v>
      </c>
      <c r="BR196" s="4">
        <v>0.9</v>
      </c>
      <c r="BS196" s="4">
        <v>0.5</v>
      </c>
      <c r="BT196" s="4">
        <v>0.6</v>
      </c>
      <c r="BU196" s="4">
        <v>0.3</v>
      </c>
      <c r="BV196" s="6">
        <v>857.73065199999996</v>
      </c>
      <c r="BW196" s="4">
        <v>8.9999999999999993E-3</v>
      </c>
      <c r="BX196" s="5"/>
      <c r="BY196" s="5"/>
      <c r="BZ196" s="5"/>
      <c r="CA196" s="5"/>
    </row>
    <row r="197" spans="1:79" x14ac:dyDescent="0.3">
      <c r="A197" s="4" t="s">
        <v>102</v>
      </c>
      <c r="B197" s="4">
        <v>0.9</v>
      </c>
      <c r="C197" s="4">
        <v>0.5</v>
      </c>
      <c r="D197" s="4">
        <v>0.6</v>
      </c>
      <c r="E197" s="4">
        <v>0.69</v>
      </c>
      <c r="F197" s="4">
        <v>679.76141399999995</v>
      </c>
      <c r="G197" s="4">
        <v>7.0000000000000001E-3</v>
      </c>
      <c r="I197" s="4" t="s">
        <v>102</v>
      </c>
      <c r="J197" s="4">
        <v>0.9</v>
      </c>
      <c r="K197" s="4">
        <v>0.5</v>
      </c>
      <c r="L197" s="4">
        <v>0.6</v>
      </c>
      <c r="M197" s="4">
        <v>0.42</v>
      </c>
      <c r="N197" s="6">
        <v>621.00225799999998</v>
      </c>
      <c r="O197" s="4">
        <v>1E-3</v>
      </c>
      <c r="P197" s="5"/>
      <c r="Q197" s="5"/>
      <c r="R197" s="5"/>
      <c r="S197" s="5"/>
      <c r="U197" s="4" t="s">
        <v>102</v>
      </c>
      <c r="V197" s="4">
        <v>0.9</v>
      </c>
      <c r="W197" s="4">
        <v>0.5</v>
      </c>
      <c r="X197" s="4">
        <v>0.6</v>
      </c>
      <c r="Y197" s="4">
        <v>0.16</v>
      </c>
      <c r="Z197" s="4">
        <v>610.466003</v>
      </c>
      <c r="AA197" s="4">
        <v>1.4999999999999999E-2</v>
      </c>
      <c r="AC197" s="4" t="s">
        <v>102</v>
      </c>
      <c r="AD197" s="4">
        <v>0.9</v>
      </c>
      <c r="AE197" s="4">
        <v>0.5</v>
      </c>
      <c r="AF197" s="4">
        <v>0.6</v>
      </c>
      <c r="AG197" s="4">
        <v>0.35</v>
      </c>
      <c r="AH197" s="6">
        <v>625.17913799999997</v>
      </c>
      <c r="AI197" s="4">
        <v>1E-3</v>
      </c>
      <c r="AJ197" s="5"/>
      <c r="AK197" s="5"/>
      <c r="AL197" s="5"/>
      <c r="AM197" s="5"/>
      <c r="AO197" s="4" t="s">
        <v>103</v>
      </c>
      <c r="AP197" s="4">
        <v>0.9</v>
      </c>
      <c r="AQ197" s="4">
        <v>0.5</v>
      </c>
      <c r="AR197" s="4">
        <v>0.6</v>
      </c>
      <c r="AS197" s="4">
        <v>0.62</v>
      </c>
      <c r="AT197" s="4">
        <v>1013.74176</v>
      </c>
      <c r="AU197" s="4">
        <v>1.4E-2</v>
      </c>
      <c r="AW197" s="4" t="s">
        <v>103</v>
      </c>
      <c r="AX197" s="4">
        <v>0.9</v>
      </c>
      <c r="AY197" s="4">
        <v>0.5</v>
      </c>
      <c r="AZ197" s="4">
        <v>0.6</v>
      </c>
      <c r="BA197" s="4">
        <v>0.3</v>
      </c>
      <c r="BB197" s="6">
        <v>890.98584000000005</v>
      </c>
      <c r="BC197" s="4">
        <v>5.0000000000000001E-3</v>
      </c>
      <c r="BD197" s="5"/>
      <c r="BE197" s="5"/>
      <c r="BF197" s="5"/>
      <c r="BG197" s="5"/>
      <c r="BI197" s="4" t="s">
        <v>103</v>
      </c>
      <c r="BJ197" s="4">
        <v>0.9</v>
      </c>
      <c r="BK197" s="4">
        <v>0.5</v>
      </c>
      <c r="BL197" s="4">
        <v>0.6</v>
      </c>
      <c r="BM197" s="4">
        <v>0.54</v>
      </c>
      <c r="BN197" s="4">
        <v>978.80773899999997</v>
      </c>
      <c r="BO197" s="4">
        <v>1.7999999999999999E-2</v>
      </c>
      <c r="BQ197" s="4" t="s">
        <v>103</v>
      </c>
      <c r="BR197" s="4">
        <v>0.9</v>
      </c>
      <c r="BS197" s="4">
        <v>0.5</v>
      </c>
      <c r="BT197" s="4">
        <v>0.6</v>
      </c>
      <c r="BU197" s="4">
        <v>0.33</v>
      </c>
      <c r="BV197" s="6">
        <v>878.36749299999997</v>
      </c>
      <c r="BW197" s="4">
        <v>7.0000000000000001E-3</v>
      </c>
      <c r="BX197" s="5"/>
      <c r="BY197" s="5"/>
      <c r="BZ197" s="5"/>
      <c r="CA197" s="5"/>
    </row>
    <row r="198" spans="1:79" x14ac:dyDescent="0.3">
      <c r="A198" s="4" t="s">
        <v>104</v>
      </c>
      <c r="B198" s="4">
        <v>0.9</v>
      </c>
      <c r="C198" s="4">
        <v>0.5</v>
      </c>
      <c r="D198" s="4">
        <v>0.6</v>
      </c>
      <c r="E198" s="4">
        <v>0.96</v>
      </c>
      <c r="F198" s="4">
        <v>710.950378</v>
      </c>
      <c r="G198" s="4">
        <v>1.2999999999999999E-2</v>
      </c>
      <c r="I198" s="4" t="s">
        <v>104</v>
      </c>
      <c r="J198" s="4">
        <v>0.9</v>
      </c>
      <c r="K198" s="4">
        <v>0.5</v>
      </c>
      <c r="L198" s="4">
        <v>0.6</v>
      </c>
      <c r="M198" s="4">
        <v>0.36</v>
      </c>
      <c r="N198" s="6">
        <v>611.07507299999997</v>
      </c>
      <c r="O198" s="4">
        <v>1E-3</v>
      </c>
      <c r="P198" s="5"/>
      <c r="Q198" s="5"/>
      <c r="R198" s="5"/>
      <c r="S198" s="5"/>
      <c r="U198" s="4" t="s">
        <v>104</v>
      </c>
      <c r="V198" s="4">
        <v>0.9</v>
      </c>
      <c r="W198" s="4">
        <v>0.5</v>
      </c>
      <c r="X198" s="4">
        <v>0.6</v>
      </c>
      <c r="Y198" s="4">
        <v>0.91</v>
      </c>
      <c r="Z198" s="4">
        <v>711.36596699999996</v>
      </c>
      <c r="AA198" s="4">
        <v>1.9E-2</v>
      </c>
      <c r="AC198" s="4" t="s">
        <v>104</v>
      </c>
      <c r="AD198" s="4">
        <v>0.9</v>
      </c>
      <c r="AE198" s="4">
        <v>0.5</v>
      </c>
      <c r="AF198" s="4">
        <v>0.6</v>
      </c>
      <c r="AG198" s="4">
        <v>0.32</v>
      </c>
      <c r="AH198" s="6">
        <v>618.05316200000004</v>
      </c>
      <c r="AI198" s="4">
        <v>1E-3</v>
      </c>
      <c r="AJ198" s="5"/>
      <c r="AK198" s="5"/>
      <c r="AL198" s="5"/>
      <c r="AM198" s="5"/>
      <c r="AO198" s="4" t="s">
        <v>105</v>
      </c>
      <c r="AP198" s="4">
        <v>0.9</v>
      </c>
      <c r="AQ198" s="4">
        <v>0.5</v>
      </c>
      <c r="AR198" s="4">
        <v>0.6</v>
      </c>
      <c r="AS198" s="4">
        <v>0.56999999999999995</v>
      </c>
      <c r="AT198" s="4">
        <v>1106.1168210000001</v>
      </c>
      <c r="AU198" s="4">
        <v>0.02</v>
      </c>
      <c r="AW198" s="4" t="s">
        <v>105</v>
      </c>
      <c r="AX198" s="4">
        <v>0.9</v>
      </c>
      <c r="AY198" s="4">
        <v>0.5</v>
      </c>
      <c r="AZ198" s="4">
        <v>0.6</v>
      </c>
      <c r="BA198" s="4">
        <v>0.33</v>
      </c>
      <c r="BB198" s="6">
        <v>1001.615112</v>
      </c>
      <c r="BC198" s="4">
        <v>5.0000000000000001E-3</v>
      </c>
      <c r="BD198" s="5"/>
      <c r="BE198" s="5"/>
      <c r="BF198" s="5"/>
      <c r="BG198" s="5"/>
      <c r="BI198" s="4" t="s">
        <v>105</v>
      </c>
      <c r="BJ198" s="4">
        <v>0.9</v>
      </c>
      <c r="BK198" s="4">
        <v>0.5</v>
      </c>
      <c r="BL198" s="4">
        <v>0.6</v>
      </c>
      <c r="BM198" s="4">
        <v>0.75</v>
      </c>
      <c r="BN198" s="4">
        <v>1120.5943600000001</v>
      </c>
      <c r="BO198" s="4">
        <v>4.4999999999999998E-2</v>
      </c>
      <c r="BQ198" s="4" t="s">
        <v>105</v>
      </c>
      <c r="BR198" s="4">
        <v>0.9</v>
      </c>
      <c r="BS198" s="4">
        <v>0.5</v>
      </c>
      <c r="BT198" s="4">
        <v>0.6</v>
      </c>
      <c r="BU198" s="4">
        <v>0.32</v>
      </c>
      <c r="BV198" s="6">
        <v>1013.7323</v>
      </c>
      <c r="BW198" s="4">
        <v>8.0000000000000002E-3</v>
      </c>
      <c r="BX198" s="5"/>
      <c r="BY198" s="5"/>
      <c r="BZ198" s="5"/>
      <c r="CA198" s="5"/>
    </row>
    <row r="199" spans="1:79" x14ac:dyDescent="0.3">
      <c r="A199" s="4" t="s">
        <v>106</v>
      </c>
      <c r="B199" s="4">
        <v>0.9</v>
      </c>
      <c r="C199" s="4">
        <v>0.5</v>
      </c>
      <c r="D199" s="4">
        <v>0.6</v>
      </c>
      <c r="E199" s="4">
        <v>0.94</v>
      </c>
      <c r="F199" s="4">
        <v>657.91296399999999</v>
      </c>
      <c r="G199" s="4">
        <v>2.1000000000000001E-2</v>
      </c>
      <c r="I199" s="4" t="s">
        <v>106</v>
      </c>
      <c r="J199" s="4">
        <v>0.9</v>
      </c>
      <c r="K199" s="4">
        <v>0.5</v>
      </c>
      <c r="L199" s="4">
        <v>0.6</v>
      </c>
      <c r="M199" s="4">
        <v>0.36</v>
      </c>
      <c r="N199" s="6">
        <v>569.10693400000002</v>
      </c>
      <c r="O199" s="4">
        <v>1E-3</v>
      </c>
      <c r="P199" s="5"/>
      <c r="Q199" s="5"/>
      <c r="R199" s="5"/>
      <c r="S199" s="5"/>
      <c r="U199" s="4" t="s">
        <v>106</v>
      </c>
      <c r="V199" s="4">
        <v>0.9</v>
      </c>
      <c r="W199" s="4">
        <v>0.5</v>
      </c>
      <c r="X199" s="4">
        <v>0.6</v>
      </c>
      <c r="Y199" s="4">
        <v>0.38</v>
      </c>
      <c r="Z199" s="4">
        <v>587.53161599999999</v>
      </c>
      <c r="AA199" s="4">
        <v>8.9999999999999993E-3</v>
      </c>
      <c r="AC199" s="4" t="s">
        <v>106</v>
      </c>
      <c r="AD199" s="4">
        <v>0.9</v>
      </c>
      <c r="AE199" s="4">
        <v>0.5</v>
      </c>
      <c r="AF199" s="4">
        <v>0.6</v>
      </c>
      <c r="AG199" s="4">
        <v>0.31</v>
      </c>
      <c r="AH199" s="6">
        <v>565.73449700000003</v>
      </c>
      <c r="AI199" s="4">
        <v>1E-3</v>
      </c>
      <c r="AJ199" s="5"/>
      <c r="AK199" s="5"/>
      <c r="AL199" s="5"/>
      <c r="AM199" s="5"/>
      <c r="AO199" s="4" t="s">
        <v>107</v>
      </c>
      <c r="AP199" s="4">
        <v>0.9</v>
      </c>
      <c r="AQ199" s="4">
        <v>0.5</v>
      </c>
      <c r="AR199" s="4">
        <v>0.6</v>
      </c>
      <c r="AS199" s="4">
        <v>0.04</v>
      </c>
      <c r="AT199" s="6">
        <v>889.76611300000002</v>
      </c>
      <c r="AU199" s="4">
        <v>2.3E-2</v>
      </c>
      <c r="AW199" s="4" t="s">
        <v>107</v>
      </c>
      <c r="AX199" s="4">
        <v>0.9</v>
      </c>
      <c r="AY199" s="4">
        <v>0.5</v>
      </c>
      <c r="AZ199" s="4">
        <v>0.6</v>
      </c>
      <c r="BA199" s="4">
        <v>0.31</v>
      </c>
      <c r="BB199" s="4">
        <v>1055.0595699999999</v>
      </c>
      <c r="BC199" s="4">
        <v>7.0000000000000001E-3</v>
      </c>
      <c r="BD199" s="5"/>
      <c r="BE199" s="5"/>
      <c r="BF199" s="5"/>
      <c r="BG199" s="5"/>
      <c r="BI199" s="4" t="s">
        <v>107</v>
      </c>
      <c r="BJ199" s="4">
        <v>0.9</v>
      </c>
      <c r="BK199" s="4">
        <v>0.5</v>
      </c>
      <c r="BL199" s="4">
        <v>0.6</v>
      </c>
      <c r="BM199" s="4">
        <v>0.93</v>
      </c>
      <c r="BN199" s="4">
        <v>1195.296875</v>
      </c>
      <c r="BO199" s="4">
        <v>1.4E-2</v>
      </c>
      <c r="BQ199" s="4" t="s">
        <v>107</v>
      </c>
      <c r="BR199" s="4">
        <v>0.9</v>
      </c>
      <c r="BS199" s="4">
        <v>0.5</v>
      </c>
      <c r="BT199" s="4">
        <v>0.6</v>
      </c>
      <c r="BU199" s="4">
        <v>0.31</v>
      </c>
      <c r="BV199" s="6">
        <v>1069.0131839999999</v>
      </c>
      <c r="BW199" s="4">
        <v>7.0000000000000001E-3</v>
      </c>
      <c r="BX199" s="5"/>
      <c r="BY199" s="5"/>
      <c r="BZ199" s="5"/>
      <c r="CA199" s="5"/>
    </row>
    <row r="200" spans="1:79" x14ac:dyDescent="0.3">
      <c r="A200" s="4" t="s">
        <v>108</v>
      </c>
      <c r="B200" s="4">
        <v>0.9</v>
      </c>
      <c r="C200" s="4">
        <v>0.5</v>
      </c>
      <c r="D200" s="4">
        <v>0.6</v>
      </c>
      <c r="E200" s="4">
        <v>0.17</v>
      </c>
      <c r="F200" s="4">
        <v>628.95452899999998</v>
      </c>
      <c r="G200" s="4">
        <v>0.03</v>
      </c>
      <c r="I200" s="4" t="s">
        <v>108</v>
      </c>
      <c r="J200" s="4">
        <v>0.9</v>
      </c>
      <c r="K200" s="4">
        <v>0.5</v>
      </c>
      <c r="L200" s="4">
        <v>0.6</v>
      </c>
      <c r="M200" s="4">
        <v>0.45</v>
      </c>
      <c r="N200" s="6">
        <v>616.53454599999998</v>
      </c>
      <c r="O200" s="4">
        <v>1E-3</v>
      </c>
      <c r="P200" s="5"/>
      <c r="Q200" s="5"/>
      <c r="R200" s="5"/>
      <c r="S200" s="5"/>
      <c r="U200" s="4" t="s">
        <v>108</v>
      </c>
      <c r="V200" s="4">
        <v>0.9</v>
      </c>
      <c r="W200" s="4">
        <v>0.5</v>
      </c>
      <c r="X200" s="4">
        <v>0.6</v>
      </c>
      <c r="Y200" s="4">
        <v>0.56000000000000005</v>
      </c>
      <c r="Z200" s="4">
        <v>630.956909</v>
      </c>
      <c r="AA200" s="4">
        <v>8.9999999999999993E-3</v>
      </c>
      <c r="AC200" s="4" t="s">
        <v>108</v>
      </c>
      <c r="AD200" s="4">
        <v>0.9</v>
      </c>
      <c r="AE200" s="4">
        <v>0.5</v>
      </c>
      <c r="AF200" s="4">
        <v>0.6</v>
      </c>
      <c r="AG200" s="4">
        <v>0.44</v>
      </c>
      <c r="AH200" s="6">
        <v>590.64221199999997</v>
      </c>
      <c r="AI200" s="4">
        <v>1E-3</v>
      </c>
      <c r="AJ200" s="5"/>
      <c r="AK200" s="5"/>
      <c r="AL200" s="5"/>
      <c r="AM200" s="5"/>
      <c r="AO200" s="4" t="s">
        <v>109</v>
      </c>
      <c r="AP200" s="4">
        <v>0.9</v>
      </c>
      <c r="AQ200" s="4">
        <v>0.5</v>
      </c>
      <c r="AR200" s="4">
        <v>0.6</v>
      </c>
      <c r="AS200" s="4">
        <v>0.71</v>
      </c>
      <c r="AT200" s="4">
        <v>1093.1717530000001</v>
      </c>
      <c r="AU200" s="4">
        <v>2.8000000000000001E-2</v>
      </c>
      <c r="AW200" s="4" t="s">
        <v>109</v>
      </c>
      <c r="AX200" s="4">
        <v>0.9</v>
      </c>
      <c r="AY200" s="4">
        <v>0.5</v>
      </c>
      <c r="AZ200" s="4">
        <v>0.6</v>
      </c>
      <c r="BA200" s="4">
        <v>0.3</v>
      </c>
      <c r="BB200" s="6">
        <v>899.44390899999996</v>
      </c>
      <c r="BC200" s="4">
        <v>6.7000000000000004E-2</v>
      </c>
      <c r="BD200" s="5"/>
      <c r="BE200" s="5"/>
      <c r="BF200" s="5"/>
      <c r="BG200" s="5"/>
      <c r="BI200" s="4" t="s">
        <v>109</v>
      </c>
      <c r="BJ200" s="4">
        <v>0.9</v>
      </c>
      <c r="BK200" s="4">
        <v>0.5</v>
      </c>
      <c r="BL200" s="4">
        <v>0.6</v>
      </c>
      <c r="BM200" s="4">
        <v>0.97</v>
      </c>
      <c r="BN200" s="4">
        <v>1146.091919</v>
      </c>
      <c r="BO200" s="4">
        <v>3.1E-2</v>
      </c>
      <c r="BQ200" s="4" t="s">
        <v>109</v>
      </c>
      <c r="BR200" s="4">
        <v>0.9</v>
      </c>
      <c r="BS200" s="4">
        <v>0.5</v>
      </c>
      <c r="BT200" s="4">
        <v>0.6</v>
      </c>
      <c r="BU200" s="4">
        <v>0.32</v>
      </c>
      <c r="BV200" s="6">
        <v>932.87847899999997</v>
      </c>
      <c r="BW200" s="4">
        <v>7.0000000000000001E-3</v>
      </c>
      <c r="BX200" s="5"/>
      <c r="BY200" s="5"/>
      <c r="BZ200" s="5"/>
      <c r="CA200" s="5"/>
    </row>
    <row r="201" spans="1:79" x14ac:dyDescent="0.3">
      <c r="A201" s="4" t="s">
        <v>110</v>
      </c>
      <c r="B201" s="4">
        <v>0.9</v>
      </c>
      <c r="C201" s="4">
        <v>0.5</v>
      </c>
      <c r="D201" s="4">
        <v>0.6</v>
      </c>
      <c r="E201" s="4">
        <v>0.56000000000000005</v>
      </c>
      <c r="F201" s="4">
        <v>660.99969499999997</v>
      </c>
      <c r="G201" s="4">
        <v>2.8000000000000001E-2</v>
      </c>
      <c r="I201" s="4" t="s">
        <v>110</v>
      </c>
      <c r="J201" s="4">
        <v>0.9</v>
      </c>
      <c r="K201" s="4">
        <v>0.5</v>
      </c>
      <c r="L201" s="4">
        <v>0.6</v>
      </c>
      <c r="M201" s="4">
        <v>0.39</v>
      </c>
      <c r="N201" s="6">
        <v>608.02533000000005</v>
      </c>
      <c r="O201" s="4">
        <v>1E-3</v>
      </c>
      <c r="P201" s="5"/>
      <c r="Q201" s="5"/>
      <c r="R201" s="5"/>
      <c r="S201" s="5"/>
      <c r="U201" s="4" t="s">
        <v>110</v>
      </c>
      <c r="V201" s="4">
        <v>0.9</v>
      </c>
      <c r="W201" s="4">
        <v>0.5</v>
      </c>
      <c r="X201" s="4">
        <v>0.6</v>
      </c>
      <c r="Y201" s="4">
        <v>0.72</v>
      </c>
      <c r="Z201" s="4">
        <v>650.39660600000002</v>
      </c>
      <c r="AA201" s="4">
        <v>2.5999999999999999E-2</v>
      </c>
      <c r="AC201" s="4" t="s">
        <v>110</v>
      </c>
      <c r="AD201" s="4">
        <v>0.9</v>
      </c>
      <c r="AE201" s="4">
        <v>0.5</v>
      </c>
      <c r="AF201" s="4">
        <v>0.6</v>
      </c>
      <c r="AG201" s="4">
        <v>0.3</v>
      </c>
      <c r="AH201" s="6">
        <v>608.77398700000003</v>
      </c>
      <c r="AI201" s="4">
        <v>1E-3</v>
      </c>
      <c r="AJ201" s="5"/>
      <c r="AK201" s="5"/>
      <c r="AL201" s="5"/>
      <c r="AM201" s="5"/>
      <c r="AO201" s="4" t="s">
        <v>111</v>
      </c>
      <c r="AP201" s="4">
        <v>0.9</v>
      </c>
      <c r="AQ201" s="4">
        <v>0.5</v>
      </c>
      <c r="AR201" s="4">
        <v>0.6</v>
      </c>
      <c r="AS201" s="4">
        <v>0.94</v>
      </c>
      <c r="AT201" s="4">
        <v>1234.536255</v>
      </c>
      <c r="AU201" s="4">
        <v>0.02</v>
      </c>
      <c r="AW201" s="4" t="s">
        <v>111</v>
      </c>
      <c r="AX201" s="4">
        <v>0.9</v>
      </c>
      <c r="AY201" s="4">
        <v>0.5</v>
      </c>
      <c r="AZ201" s="4">
        <v>0.6</v>
      </c>
      <c r="BA201" s="4">
        <v>0.32</v>
      </c>
      <c r="BB201" s="6">
        <v>1034.003418</v>
      </c>
      <c r="BC201" s="4">
        <v>5.0000000000000001E-3</v>
      </c>
      <c r="BD201" s="5"/>
      <c r="BE201" s="5"/>
      <c r="BF201" s="5"/>
      <c r="BG201" s="5"/>
      <c r="BI201" s="4" t="s">
        <v>111</v>
      </c>
      <c r="BJ201" s="4">
        <v>0.9</v>
      </c>
      <c r="BK201" s="4">
        <v>0.5</v>
      </c>
      <c r="BL201" s="4">
        <v>0.6</v>
      </c>
      <c r="BM201" s="4">
        <v>0.19</v>
      </c>
      <c r="BN201" s="6">
        <v>945.81933600000002</v>
      </c>
      <c r="BO201" s="4">
        <v>3.1E-2</v>
      </c>
      <c r="BQ201" s="4" t="s">
        <v>111</v>
      </c>
      <c r="BR201" s="4">
        <v>0.9</v>
      </c>
      <c r="BS201" s="4">
        <v>0.5</v>
      </c>
      <c r="BT201" s="4">
        <v>0.6</v>
      </c>
      <c r="BU201" s="4">
        <v>0.31</v>
      </c>
      <c r="BV201" s="4">
        <v>1025.9023440000001</v>
      </c>
      <c r="BW201" s="4">
        <v>8.0000000000000002E-3</v>
      </c>
      <c r="BX201" s="5"/>
      <c r="BY201" s="5"/>
      <c r="BZ201" s="5"/>
      <c r="CA201" s="5"/>
    </row>
    <row r="202" spans="1:79" x14ac:dyDescent="0.3">
      <c r="A202" s="4" t="s">
        <v>112</v>
      </c>
      <c r="B202" s="4">
        <v>0.9</v>
      </c>
      <c r="C202" s="4">
        <v>0.5</v>
      </c>
      <c r="D202" s="4">
        <v>0.6</v>
      </c>
      <c r="E202" s="4">
        <v>0.85</v>
      </c>
      <c r="F202" s="4">
        <v>581.31005900000002</v>
      </c>
      <c r="G202" s="4">
        <v>1.4999999999999999E-2</v>
      </c>
      <c r="I202" s="4" t="s">
        <v>112</v>
      </c>
      <c r="J202" s="4">
        <v>0.9</v>
      </c>
      <c r="K202" s="4">
        <v>0.5</v>
      </c>
      <c r="L202" s="4">
        <v>0.6</v>
      </c>
      <c r="M202" s="4">
        <v>0.33</v>
      </c>
      <c r="N202" s="6">
        <v>485.53790300000003</v>
      </c>
      <c r="O202" s="4">
        <v>1E-3</v>
      </c>
      <c r="P202" s="5"/>
      <c r="Q202" s="5"/>
      <c r="R202" s="5"/>
      <c r="S202" s="5"/>
      <c r="U202" s="4" t="s">
        <v>112</v>
      </c>
      <c r="V202" s="4">
        <v>0.9</v>
      </c>
      <c r="W202" s="4">
        <v>0.5</v>
      </c>
      <c r="X202" s="4">
        <v>0.6</v>
      </c>
      <c r="Y202" s="4">
        <v>0.59</v>
      </c>
      <c r="Z202" s="4">
        <v>529.66339100000005</v>
      </c>
      <c r="AA202" s="4">
        <v>1.7000000000000001E-2</v>
      </c>
      <c r="AC202" s="4" t="s">
        <v>112</v>
      </c>
      <c r="AD202" s="4">
        <v>0.9</v>
      </c>
      <c r="AE202" s="4">
        <v>0.5</v>
      </c>
      <c r="AF202" s="4">
        <v>0.6</v>
      </c>
      <c r="AG202" s="4">
        <v>0.46</v>
      </c>
      <c r="AH202" s="6">
        <v>465.01599099999999</v>
      </c>
      <c r="AI202" s="4">
        <v>0</v>
      </c>
      <c r="AJ202" s="5"/>
      <c r="AK202" s="5"/>
      <c r="AL202" s="5"/>
      <c r="AM202" s="5"/>
      <c r="AO202" s="4" t="s">
        <v>113</v>
      </c>
      <c r="AP202" s="4">
        <v>0.9</v>
      </c>
      <c r="AQ202" s="4">
        <v>0.5</v>
      </c>
      <c r="AR202" s="4">
        <v>0.6</v>
      </c>
      <c r="AS202" s="4">
        <v>0.19</v>
      </c>
      <c r="AT202" s="6">
        <v>876.32372999999995</v>
      </c>
      <c r="AU202" s="4">
        <v>1.7999999999999999E-2</v>
      </c>
      <c r="AW202" s="4" t="s">
        <v>113</v>
      </c>
      <c r="AX202" s="4">
        <v>0.9</v>
      </c>
      <c r="AY202" s="4">
        <v>0.5</v>
      </c>
      <c r="AZ202" s="4">
        <v>0.6</v>
      </c>
      <c r="BA202" s="4">
        <v>0.3</v>
      </c>
      <c r="BB202" s="4">
        <v>935.31433100000004</v>
      </c>
      <c r="BC202" s="4">
        <v>8.0000000000000002E-3</v>
      </c>
      <c r="BD202" s="5"/>
      <c r="BE202" s="5"/>
      <c r="BF202" s="5"/>
      <c r="BG202" s="5"/>
      <c r="BI202" s="4" t="s">
        <v>113</v>
      </c>
      <c r="BJ202" s="4">
        <v>0.9</v>
      </c>
      <c r="BK202" s="4">
        <v>0.5</v>
      </c>
      <c r="BL202" s="4">
        <v>0.6</v>
      </c>
      <c r="BM202" s="4">
        <v>0.19</v>
      </c>
      <c r="BN202" s="6">
        <v>868.96447799999999</v>
      </c>
      <c r="BO202" s="4">
        <v>2.8000000000000001E-2</v>
      </c>
      <c r="BQ202" s="4" t="s">
        <v>113</v>
      </c>
      <c r="BR202" s="4">
        <v>0.9</v>
      </c>
      <c r="BS202" s="4">
        <v>0.5</v>
      </c>
      <c r="BT202" s="4">
        <v>0.6</v>
      </c>
      <c r="BU202" s="4">
        <v>0.31</v>
      </c>
      <c r="BV202" s="4">
        <v>936.152649</v>
      </c>
      <c r="BW202" s="4">
        <v>8.0000000000000002E-3</v>
      </c>
      <c r="BX202" s="5"/>
      <c r="BY202" s="5"/>
      <c r="BZ202" s="5"/>
      <c r="CA202" s="5"/>
    </row>
    <row r="203" spans="1:79" x14ac:dyDescent="0.3">
      <c r="A203" s="4" t="s">
        <v>114</v>
      </c>
      <c r="B203" s="4">
        <v>0.9</v>
      </c>
      <c r="C203" s="4">
        <v>0.5</v>
      </c>
      <c r="D203" s="4">
        <v>0.6</v>
      </c>
      <c r="E203" s="4">
        <v>0.66</v>
      </c>
      <c r="F203" s="4">
        <v>683.668091</v>
      </c>
      <c r="G203" s="4">
        <v>1.7000000000000001E-2</v>
      </c>
      <c r="I203" s="4" t="s">
        <v>114</v>
      </c>
      <c r="J203" s="4">
        <v>0.9</v>
      </c>
      <c r="K203" s="4">
        <v>0.5</v>
      </c>
      <c r="L203" s="4">
        <v>0.6</v>
      </c>
      <c r="M203" s="4">
        <v>0.31</v>
      </c>
      <c r="N203" s="6">
        <v>604.51617399999998</v>
      </c>
      <c r="O203" s="4">
        <v>1E-3</v>
      </c>
      <c r="P203" s="5"/>
      <c r="Q203" s="5"/>
      <c r="R203" s="5"/>
      <c r="S203" s="5"/>
      <c r="U203" s="4" t="s">
        <v>114</v>
      </c>
      <c r="V203" s="4">
        <v>0.9</v>
      </c>
      <c r="W203" s="4">
        <v>0.5</v>
      </c>
      <c r="X203" s="4">
        <v>0.6</v>
      </c>
      <c r="Y203" s="4">
        <v>0.83</v>
      </c>
      <c r="Z203" s="4">
        <v>711.56848100000002</v>
      </c>
      <c r="AA203" s="4">
        <v>3.1E-2</v>
      </c>
      <c r="AC203" s="4" t="s">
        <v>114</v>
      </c>
      <c r="AD203" s="4">
        <v>0.9</v>
      </c>
      <c r="AE203" s="4">
        <v>0.5</v>
      </c>
      <c r="AF203" s="4">
        <v>0.6</v>
      </c>
      <c r="AG203" s="4">
        <v>0.3</v>
      </c>
      <c r="AH203" s="6">
        <v>603.61676</v>
      </c>
      <c r="AI203" s="4">
        <v>1E-3</v>
      </c>
      <c r="AJ203" s="5"/>
      <c r="AK203" s="5"/>
      <c r="AL203" s="5"/>
      <c r="AM203" s="5"/>
      <c r="AO203" s="4" t="s">
        <v>115</v>
      </c>
      <c r="AP203" s="4">
        <v>0.9</v>
      </c>
      <c r="AQ203" s="4">
        <v>0.5</v>
      </c>
      <c r="AR203" s="4">
        <v>0.6</v>
      </c>
      <c r="AS203" s="4">
        <v>0.98</v>
      </c>
      <c r="AT203" s="4">
        <v>1352.8625489999999</v>
      </c>
      <c r="AU203" s="4">
        <v>1.7999999999999999E-2</v>
      </c>
      <c r="AW203" s="4" t="s">
        <v>115</v>
      </c>
      <c r="AX203" s="4">
        <v>0.9</v>
      </c>
      <c r="AY203" s="4">
        <v>0.5</v>
      </c>
      <c r="AZ203" s="4">
        <v>0.6</v>
      </c>
      <c r="BA203" s="4">
        <v>0.31</v>
      </c>
      <c r="BB203" s="6">
        <v>1055.8446039999999</v>
      </c>
      <c r="BC203" s="4">
        <v>8.0000000000000002E-3</v>
      </c>
      <c r="BD203" s="5"/>
      <c r="BE203" s="5"/>
      <c r="BF203" s="5"/>
      <c r="BG203" s="5"/>
      <c r="BI203" s="4" t="s">
        <v>115</v>
      </c>
      <c r="BJ203" s="4">
        <v>0.9</v>
      </c>
      <c r="BK203" s="4">
        <v>0.5</v>
      </c>
      <c r="BL203" s="4">
        <v>0.6</v>
      </c>
      <c r="BM203" s="4">
        <v>0.25</v>
      </c>
      <c r="BN203" s="6">
        <v>996.17864999999995</v>
      </c>
      <c r="BO203" s="4">
        <v>2.1999999999999999E-2</v>
      </c>
      <c r="BQ203" s="4" t="s">
        <v>115</v>
      </c>
      <c r="BR203" s="4">
        <v>0.9</v>
      </c>
      <c r="BS203" s="4">
        <v>0.5</v>
      </c>
      <c r="BT203" s="4">
        <v>0.6</v>
      </c>
      <c r="BU203" s="4">
        <v>0.33</v>
      </c>
      <c r="BV203" s="4">
        <v>1064.889038</v>
      </c>
      <c r="BW203" s="4">
        <v>8.0000000000000002E-3</v>
      </c>
      <c r="BX203" s="5"/>
      <c r="BY203" s="5"/>
      <c r="BZ203" s="5"/>
      <c r="CA203" s="5"/>
    </row>
    <row r="204" spans="1:79" x14ac:dyDescent="0.3">
      <c r="A204" s="4" t="s">
        <v>116</v>
      </c>
      <c r="B204" s="4">
        <v>0.9</v>
      </c>
      <c r="C204" s="4">
        <v>0.5</v>
      </c>
      <c r="D204" s="4">
        <v>0.6</v>
      </c>
      <c r="E204" s="4">
        <v>0.87</v>
      </c>
      <c r="F204" s="4">
        <v>718.93841599999996</v>
      </c>
      <c r="G204" s="4">
        <v>0.03</v>
      </c>
      <c r="I204" s="4" t="s">
        <v>116</v>
      </c>
      <c r="J204" s="4">
        <v>0.9</v>
      </c>
      <c r="K204" s="4">
        <v>0.5</v>
      </c>
      <c r="L204" s="4">
        <v>0.6</v>
      </c>
      <c r="M204" s="4">
        <v>0.3</v>
      </c>
      <c r="N204" s="6">
        <v>649.48010299999999</v>
      </c>
      <c r="O204" s="4">
        <v>1E-3</v>
      </c>
      <c r="P204" s="5"/>
      <c r="Q204" s="5"/>
      <c r="R204" s="5"/>
      <c r="S204" s="5"/>
      <c r="U204" s="4" t="s">
        <v>116</v>
      </c>
      <c r="V204" s="4">
        <v>0.9</v>
      </c>
      <c r="W204" s="4">
        <v>0.5</v>
      </c>
      <c r="X204" s="4">
        <v>0.6</v>
      </c>
      <c r="Y204" s="4">
        <v>0.61</v>
      </c>
      <c r="Z204" s="4">
        <v>693.97894299999996</v>
      </c>
      <c r="AA204" s="4">
        <v>1.7999999999999999E-2</v>
      </c>
      <c r="AC204" s="4" t="s">
        <v>116</v>
      </c>
      <c r="AD204" s="4">
        <v>0.9</v>
      </c>
      <c r="AE204" s="4">
        <v>0.5</v>
      </c>
      <c r="AF204" s="4">
        <v>0.6</v>
      </c>
      <c r="AG204" s="4">
        <v>0.3</v>
      </c>
      <c r="AH204" s="6">
        <v>650.02648899999997</v>
      </c>
      <c r="AI204" s="4">
        <v>1E-3</v>
      </c>
      <c r="AJ204" s="5"/>
      <c r="AK204" s="5"/>
      <c r="AL204" s="5"/>
      <c r="AM204" s="5"/>
      <c r="AO204" s="4" t="s">
        <v>117</v>
      </c>
      <c r="AP204" s="4">
        <v>0.9</v>
      </c>
      <c r="AQ204" s="4">
        <v>0.5</v>
      </c>
      <c r="AR204" s="4">
        <v>0.6</v>
      </c>
      <c r="AS204" s="4">
        <v>0.3</v>
      </c>
      <c r="AT204" s="6">
        <v>968.43627900000001</v>
      </c>
      <c r="AU204" s="4">
        <v>2.4E-2</v>
      </c>
      <c r="AW204" s="4" t="s">
        <v>117</v>
      </c>
      <c r="AX204" s="4">
        <v>0.9</v>
      </c>
      <c r="AY204" s="4">
        <v>0.5</v>
      </c>
      <c r="AZ204" s="4">
        <v>0.6</v>
      </c>
      <c r="BA204" s="4">
        <v>0.3</v>
      </c>
      <c r="BB204" s="4">
        <v>1008.569885</v>
      </c>
      <c r="BC204" s="4">
        <v>8.9999999999999993E-3</v>
      </c>
      <c r="BD204" s="5"/>
      <c r="BE204" s="5"/>
      <c r="BF204" s="5"/>
      <c r="BG204" s="5"/>
      <c r="BI204" s="4" t="s">
        <v>117</v>
      </c>
      <c r="BJ204" s="4">
        <v>0.9</v>
      </c>
      <c r="BK204" s="4">
        <v>0.5</v>
      </c>
      <c r="BL204" s="4">
        <v>0.6</v>
      </c>
      <c r="BM204" s="4">
        <v>0.72</v>
      </c>
      <c r="BN204" s="4">
        <v>1128.2479249999999</v>
      </c>
      <c r="BO204" s="4">
        <v>2.1999999999999999E-2</v>
      </c>
      <c r="BQ204" s="4" t="s">
        <v>117</v>
      </c>
      <c r="BR204" s="4">
        <v>0.9</v>
      </c>
      <c r="BS204" s="4">
        <v>0.5</v>
      </c>
      <c r="BT204" s="4">
        <v>0.6</v>
      </c>
      <c r="BU204" s="4">
        <v>0.31</v>
      </c>
      <c r="BV204" s="6">
        <v>1010.422791</v>
      </c>
      <c r="BW204" s="4">
        <v>8.0000000000000002E-3</v>
      </c>
      <c r="BX204" s="5"/>
      <c r="BY204" s="5"/>
      <c r="BZ204" s="5"/>
      <c r="CA204" s="5"/>
    </row>
    <row r="205" spans="1:79" x14ac:dyDescent="0.3">
      <c r="A205" s="4" t="s">
        <v>118</v>
      </c>
      <c r="B205" s="4">
        <v>0.9</v>
      </c>
      <c r="C205" s="4">
        <v>0.5</v>
      </c>
      <c r="D205" s="4">
        <v>0.6</v>
      </c>
      <c r="E205" s="4">
        <v>0.42</v>
      </c>
      <c r="F205" s="4">
        <v>621.70080600000006</v>
      </c>
      <c r="G205" s="4">
        <v>2.3E-2</v>
      </c>
      <c r="I205" s="4" t="s">
        <v>118</v>
      </c>
      <c r="J205" s="4">
        <v>0.9</v>
      </c>
      <c r="K205" s="4">
        <v>0.5</v>
      </c>
      <c r="L205" s="4">
        <v>0.6</v>
      </c>
      <c r="M205" s="4">
        <v>0.32</v>
      </c>
      <c r="N205" s="6">
        <v>590.42388900000003</v>
      </c>
      <c r="O205" s="4">
        <v>1E-3</v>
      </c>
      <c r="P205" s="5"/>
      <c r="Q205" s="5"/>
      <c r="R205" s="5"/>
      <c r="S205" s="5"/>
      <c r="U205" s="4" t="s">
        <v>118</v>
      </c>
      <c r="V205" s="4">
        <v>0.9</v>
      </c>
      <c r="W205" s="4">
        <v>0.5</v>
      </c>
      <c r="X205" s="4">
        <v>0.6</v>
      </c>
      <c r="Y205" s="4">
        <v>0.87</v>
      </c>
      <c r="Z205" s="4">
        <v>656.17175299999997</v>
      </c>
      <c r="AA205" s="4">
        <v>8.0000000000000002E-3</v>
      </c>
      <c r="AC205" s="4" t="s">
        <v>118</v>
      </c>
      <c r="AD205" s="4">
        <v>0.9</v>
      </c>
      <c r="AE205" s="4">
        <v>0.5</v>
      </c>
      <c r="AF205" s="4">
        <v>0.6</v>
      </c>
      <c r="AG205" s="4">
        <v>0.34</v>
      </c>
      <c r="AH205" s="6">
        <v>583.39367700000003</v>
      </c>
      <c r="AI205" s="4">
        <v>1E-3</v>
      </c>
      <c r="AJ205" s="5"/>
      <c r="AK205" s="5"/>
      <c r="AL205" s="5"/>
      <c r="AM205" s="5"/>
      <c r="AO205" s="4" t="s">
        <v>119</v>
      </c>
      <c r="AP205" s="4">
        <v>0.9</v>
      </c>
      <c r="AQ205" s="4">
        <v>0.5</v>
      </c>
      <c r="AR205" s="4">
        <v>0.6</v>
      </c>
      <c r="AS205" s="4">
        <v>0.75</v>
      </c>
      <c r="AT205" s="4">
        <v>1235.8394780000001</v>
      </c>
      <c r="AU205" s="4">
        <v>2.3E-2</v>
      </c>
      <c r="AW205" s="4" t="s">
        <v>119</v>
      </c>
      <c r="AX205" s="4">
        <v>0.9</v>
      </c>
      <c r="AY205" s="4">
        <v>0.5</v>
      </c>
      <c r="AZ205" s="4">
        <v>0.6</v>
      </c>
      <c r="BA205" s="4">
        <v>0.32</v>
      </c>
      <c r="BB205" s="6">
        <v>1037.4406739999999</v>
      </c>
      <c r="BC205" s="4">
        <v>7.0000000000000001E-3</v>
      </c>
      <c r="BD205" s="5"/>
      <c r="BE205" s="5"/>
      <c r="BF205" s="5"/>
      <c r="BG205" s="5"/>
      <c r="BI205" s="4" t="s">
        <v>119</v>
      </c>
      <c r="BJ205" s="4">
        <v>0.9</v>
      </c>
      <c r="BK205" s="4">
        <v>0.5</v>
      </c>
      <c r="BL205" s="4">
        <v>0.6</v>
      </c>
      <c r="BM205" s="4">
        <v>7.0000000000000007E-2</v>
      </c>
      <c r="BN205" s="6">
        <v>850.84613000000002</v>
      </c>
      <c r="BO205" s="4">
        <v>1.7999999999999999E-2</v>
      </c>
      <c r="BQ205" s="4" t="s">
        <v>119</v>
      </c>
      <c r="BR205" s="4">
        <v>0.9</v>
      </c>
      <c r="BS205" s="4">
        <v>0.5</v>
      </c>
      <c r="BT205" s="4">
        <v>0.6</v>
      </c>
      <c r="BU205" s="4">
        <v>0.33</v>
      </c>
      <c r="BV205" s="4">
        <v>1045.7803960000001</v>
      </c>
      <c r="BW205" s="4">
        <v>7.0000000000000001E-3</v>
      </c>
      <c r="BX205" s="5"/>
      <c r="BY205" s="5"/>
      <c r="BZ205" s="5"/>
      <c r="CA205" s="5"/>
    </row>
    <row r="206" spans="1:79" x14ac:dyDescent="0.3">
      <c r="A206" s="4" t="s">
        <v>120</v>
      </c>
      <c r="B206" s="4">
        <v>0.9</v>
      </c>
      <c r="C206" s="4">
        <v>0.5</v>
      </c>
      <c r="D206" s="4">
        <v>0.6</v>
      </c>
      <c r="E206" s="4">
        <v>0.33</v>
      </c>
      <c r="F206" s="4">
        <v>730.23693800000001</v>
      </c>
      <c r="G206" s="4">
        <v>2.8000000000000001E-2</v>
      </c>
      <c r="I206" s="4" t="s">
        <v>120</v>
      </c>
      <c r="J206" s="4">
        <v>0.9</v>
      </c>
      <c r="K206" s="4">
        <v>0.5</v>
      </c>
      <c r="L206" s="4">
        <v>0.6</v>
      </c>
      <c r="M206" s="4">
        <v>0.34</v>
      </c>
      <c r="N206" s="6">
        <v>716.17553699999996</v>
      </c>
      <c r="O206" s="4">
        <v>2E-3</v>
      </c>
      <c r="P206" s="5"/>
      <c r="Q206" s="5"/>
      <c r="R206" s="5"/>
      <c r="S206" s="5"/>
      <c r="U206" s="4" t="s">
        <v>120</v>
      </c>
      <c r="V206" s="4">
        <v>0.9</v>
      </c>
      <c r="W206" s="4">
        <v>0.5</v>
      </c>
      <c r="X206" s="4">
        <v>0.6</v>
      </c>
      <c r="Y206" s="4">
        <v>0.79</v>
      </c>
      <c r="Z206" s="4">
        <v>839.307007</v>
      </c>
      <c r="AA206" s="4">
        <v>1.7999999999999999E-2</v>
      </c>
      <c r="AC206" s="4" t="s">
        <v>120</v>
      </c>
      <c r="AD206" s="4">
        <v>0.9</v>
      </c>
      <c r="AE206" s="4">
        <v>0.5</v>
      </c>
      <c r="AF206" s="4">
        <v>0.6</v>
      </c>
      <c r="AG206" s="4">
        <v>0.35</v>
      </c>
      <c r="AH206" s="6">
        <v>723.703125</v>
      </c>
      <c r="AI206" s="4">
        <v>2E-3</v>
      </c>
      <c r="AJ206" s="5"/>
      <c r="AK206" s="5"/>
      <c r="AL206" s="5"/>
      <c r="AM206" s="5"/>
      <c r="AO206" s="4" t="s">
        <v>121</v>
      </c>
      <c r="AP206" s="4">
        <v>0.9</v>
      </c>
      <c r="AQ206" s="4">
        <v>0.5</v>
      </c>
      <c r="AR206" s="4">
        <v>0.6</v>
      </c>
      <c r="AS206" s="4">
        <v>0.33</v>
      </c>
      <c r="AT206" s="6">
        <v>1041.7969969999999</v>
      </c>
      <c r="AU206" s="4">
        <v>2.5999999999999999E-2</v>
      </c>
      <c r="AW206" s="4" t="s">
        <v>121</v>
      </c>
      <c r="AX206" s="4">
        <v>0.9</v>
      </c>
      <c r="AY206" s="4">
        <v>0.5</v>
      </c>
      <c r="AZ206" s="4">
        <v>0.6</v>
      </c>
      <c r="BA206" s="4">
        <v>0.3</v>
      </c>
      <c r="BB206" s="4">
        <v>1062.094116</v>
      </c>
      <c r="BC206" s="4">
        <v>8.0000000000000002E-3</v>
      </c>
      <c r="BD206" s="5"/>
      <c r="BE206" s="5"/>
      <c r="BF206" s="5"/>
      <c r="BG206" s="5"/>
      <c r="BI206" s="4" t="s">
        <v>121</v>
      </c>
      <c r="BJ206" s="4">
        <v>0.9</v>
      </c>
      <c r="BK206" s="4">
        <v>0.5</v>
      </c>
      <c r="BL206" s="4">
        <v>0.6</v>
      </c>
      <c r="BM206" s="4">
        <v>0.25</v>
      </c>
      <c r="BN206" s="6">
        <v>993.715149</v>
      </c>
      <c r="BO206" s="4">
        <v>1.6E-2</v>
      </c>
      <c r="BQ206" s="4" t="s">
        <v>121</v>
      </c>
      <c r="BR206" s="4">
        <v>0.9</v>
      </c>
      <c r="BS206" s="4">
        <v>0.5</v>
      </c>
      <c r="BT206" s="4">
        <v>0.6</v>
      </c>
      <c r="BU206" s="4">
        <v>0.31</v>
      </c>
      <c r="BV206" s="4">
        <v>1024.606567</v>
      </c>
      <c r="BW206" s="4">
        <v>0.01</v>
      </c>
      <c r="BX206" s="5"/>
      <c r="BY206" s="5"/>
      <c r="BZ206" s="5"/>
      <c r="CA206" s="5"/>
    </row>
    <row r="207" spans="1:79" x14ac:dyDescent="0.3">
      <c r="A207" s="4" t="s">
        <v>122</v>
      </c>
      <c r="B207" s="4">
        <v>0.9</v>
      </c>
      <c r="C207" s="4">
        <v>0.5</v>
      </c>
      <c r="D207" s="4">
        <v>0.6</v>
      </c>
      <c r="E207" s="4">
        <v>0.88</v>
      </c>
      <c r="F207" s="4">
        <v>745.49078399999996</v>
      </c>
      <c r="G207" s="4">
        <v>3.3000000000000002E-2</v>
      </c>
      <c r="I207" s="4" t="s">
        <v>122</v>
      </c>
      <c r="J207" s="4">
        <v>0.9</v>
      </c>
      <c r="K207" s="4">
        <v>0.5</v>
      </c>
      <c r="L207" s="4">
        <v>0.6</v>
      </c>
      <c r="M207" s="4">
        <v>0.3</v>
      </c>
      <c r="N207" s="6">
        <v>663.31213400000001</v>
      </c>
      <c r="O207" s="4">
        <v>1E-3</v>
      </c>
      <c r="P207" s="5"/>
      <c r="Q207" s="5"/>
      <c r="R207" s="5"/>
      <c r="S207" s="5"/>
      <c r="U207" s="4" t="s">
        <v>122</v>
      </c>
      <c r="V207" s="4">
        <v>0.9</v>
      </c>
      <c r="W207" s="4">
        <v>0.5</v>
      </c>
      <c r="X207" s="4">
        <v>0.6</v>
      </c>
      <c r="Y207" s="4">
        <v>0.79</v>
      </c>
      <c r="Z207" s="4">
        <v>719.41992200000004</v>
      </c>
      <c r="AA207" s="4">
        <v>0.03</v>
      </c>
      <c r="AC207" s="4" t="s">
        <v>122</v>
      </c>
      <c r="AD207" s="4">
        <v>0.9</v>
      </c>
      <c r="AE207" s="4">
        <v>0.5</v>
      </c>
      <c r="AF207" s="4">
        <v>0.6</v>
      </c>
      <c r="AG207" s="4">
        <v>0.3</v>
      </c>
      <c r="AH207" s="6">
        <v>659.36822500000005</v>
      </c>
      <c r="AI207" s="4">
        <v>1E-3</v>
      </c>
      <c r="AJ207" s="5"/>
      <c r="AK207" s="5"/>
      <c r="AL207" s="5"/>
      <c r="AM207" s="5"/>
      <c r="AO207" s="4" t="s">
        <v>123</v>
      </c>
      <c r="AP207" s="4">
        <v>0.9</v>
      </c>
      <c r="AQ207" s="4">
        <v>0.5</v>
      </c>
      <c r="AR207" s="4">
        <v>0.6</v>
      </c>
      <c r="AS207" s="4">
        <v>0.74</v>
      </c>
      <c r="AT207" s="4">
        <v>1182.166504</v>
      </c>
      <c r="AU207" s="4">
        <v>1.6E-2</v>
      </c>
      <c r="AW207" s="4" t="s">
        <v>123</v>
      </c>
      <c r="AX207" s="4">
        <v>0.9</v>
      </c>
      <c r="AY207" s="4">
        <v>0.5</v>
      </c>
      <c r="AZ207" s="4">
        <v>0.6</v>
      </c>
      <c r="BA207" s="4">
        <v>0.3</v>
      </c>
      <c r="BB207" s="6">
        <v>1041.674927</v>
      </c>
      <c r="BC207" s="4">
        <v>6.0000000000000001E-3</v>
      </c>
      <c r="BD207" s="5"/>
      <c r="BE207" s="5"/>
      <c r="BF207" s="5"/>
      <c r="BG207" s="5"/>
      <c r="BI207" s="4" t="s">
        <v>123</v>
      </c>
      <c r="BJ207" s="4">
        <v>0.9</v>
      </c>
      <c r="BK207" s="4">
        <v>0.5</v>
      </c>
      <c r="BL207" s="4">
        <v>0.6</v>
      </c>
      <c r="BM207" s="4">
        <v>0.83</v>
      </c>
      <c r="BN207" s="4">
        <v>1240.899048</v>
      </c>
      <c r="BO207" s="4">
        <v>1.4999999999999999E-2</v>
      </c>
      <c r="BQ207" s="4" t="s">
        <v>123</v>
      </c>
      <c r="BR207" s="4">
        <v>0.9</v>
      </c>
      <c r="BS207" s="4">
        <v>0.5</v>
      </c>
      <c r="BT207" s="4">
        <v>0.6</v>
      </c>
      <c r="BU207" s="4">
        <v>0.3</v>
      </c>
      <c r="BV207" s="6">
        <v>1043.7647710000001</v>
      </c>
      <c r="BW207" s="4">
        <v>0.01</v>
      </c>
      <c r="BX207" s="5"/>
      <c r="BY207" s="5"/>
      <c r="BZ207" s="5"/>
      <c r="CA207" s="5"/>
    </row>
    <row r="208" spans="1:79" x14ac:dyDescent="0.3">
      <c r="A208" s="4" t="s">
        <v>124</v>
      </c>
      <c r="B208" s="4">
        <v>0.9</v>
      </c>
      <c r="C208" s="4">
        <v>0.5</v>
      </c>
      <c r="D208" s="4">
        <v>0.6</v>
      </c>
      <c r="E208" s="4">
        <v>0.98</v>
      </c>
      <c r="F208" s="4">
        <v>694.43621800000005</v>
      </c>
      <c r="G208" s="4">
        <v>2.9000000000000001E-2</v>
      </c>
      <c r="I208" s="4" t="s">
        <v>124</v>
      </c>
      <c r="J208" s="4">
        <v>0.9</v>
      </c>
      <c r="K208" s="4">
        <v>0.5</v>
      </c>
      <c r="L208" s="4">
        <v>0.6</v>
      </c>
      <c r="M208" s="4">
        <v>0.37</v>
      </c>
      <c r="N208" s="6">
        <v>570.58508300000005</v>
      </c>
      <c r="O208" s="4">
        <v>1E-3</v>
      </c>
      <c r="P208" s="5"/>
      <c r="Q208" s="5"/>
      <c r="R208" s="5"/>
      <c r="S208" s="5"/>
      <c r="U208" s="4" t="s">
        <v>124</v>
      </c>
      <c r="V208" s="4">
        <v>0.9</v>
      </c>
      <c r="W208" s="4">
        <v>0.5</v>
      </c>
      <c r="X208" s="4">
        <v>0.6</v>
      </c>
      <c r="Y208" s="4">
        <v>0.46</v>
      </c>
      <c r="Z208" s="4">
        <v>607.58355700000004</v>
      </c>
      <c r="AA208" s="4">
        <v>1.4E-2</v>
      </c>
      <c r="AC208" s="4" t="s">
        <v>124</v>
      </c>
      <c r="AD208" s="4">
        <v>0.9</v>
      </c>
      <c r="AE208" s="4">
        <v>0.5</v>
      </c>
      <c r="AF208" s="4">
        <v>0.6</v>
      </c>
      <c r="AG208" s="4">
        <v>0.31</v>
      </c>
      <c r="AH208" s="6">
        <v>579.44378700000004</v>
      </c>
      <c r="AI208" s="4">
        <v>1E-3</v>
      </c>
      <c r="AJ208" s="5"/>
      <c r="AK208" s="5"/>
      <c r="AL208" s="5"/>
      <c r="AM208" s="5"/>
      <c r="AO208" s="4" t="s">
        <v>125</v>
      </c>
      <c r="AP208" s="4">
        <v>0.9</v>
      </c>
      <c r="AQ208" s="4">
        <v>0.5</v>
      </c>
      <c r="AR208" s="4">
        <v>0.6</v>
      </c>
      <c r="AS208" s="4">
        <v>0.96</v>
      </c>
      <c r="AT208" s="4">
        <v>1258.6831050000001</v>
      </c>
      <c r="AU208" s="4">
        <v>2.4E-2</v>
      </c>
      <c r="AW208" s="4" t="s">
        <v>125</v>
      </c>
      <c r="AX208" s="4">
        <v>0.9</v>
      </c>
      <c r="AY208" s="4">
        <v>0.5</v>
      </c>
      <c r="AZ208" s="4">
        <v>0.6</v>
      </c>
      <c r="BA208" s="4">
        <v>0.3</v>
      </c>
      <c r="BB208" s="6">
        <v>1079.1647949999999</v>
      </c>
      <c r="BC208" s="4">
        <v>7.0000000000000001E-3</v>
      </c>
      <c r="BD208" s="5"/>
      <c r="BE208" s="5"/>
      <c r="BF208" s="5"/>
      <c r="BG208" s="5"/>
      <c r="BI208" s="4" t="s">
        <v>125</v>
      </c>
      <c r="BJ208" s="4">
        <v>0.9</v>
      </c>
      <c r="BK208" s="4">
        <v>0.5</v>
      </c>
      <c r="BL208" s="4">
        <v>0.6</v>
      </c>
      <c r="BM208" s="4">
        <v>0.98</v>
      </c>
      <c r="BN208" s="4">
        <v>1305.975342</v>
      </c>
      <c r="BO208" s="4">
        <v>1.9E-2</v>
      </c>
      <c r="BQ208" s="4" t="s">
        <v>125</v>
      </c>
      <c r="BR208" s="4">
        <v>0.9</v>
      </c>
      <c r="BS208" s="4">
        <v>0.5</v>
      </c>
      <c r="BT208" s="4">
        <v>0.6</v>
      </c>
      <c r="BU208" s="4">
        <v>0.3</v>
      </c>
      <c r="BV208" s="6">
        <v>1086.602783</v>
      </c>
      <c r="BW208" s="4">
        <v>7.0000000000000001E-3</v>
      </c>
      <c r="BX208" s="5"/>
      <c r="BY208" s="5"/>
      <c r="BZ208" s="5"/>
      <c r="CA208" s="5"/>
    </row>
    <row r="209" spans="1:79" x14ac:dyDescent="0.3">
      <c r="A209" s="4" t="s">
        <v>126</v>
      </c>
      <c r="B209" s="4">
        <v>0.9</v>
      </c>
      <c r="C209" s="4">
        <v>0.5</v>
      </c>
      <c r="D209" s="4">
        <v>0.6</v>
      </c>
      <c r="E209" s="4">
        <v>0.99</v>
      </c>
      <c r="F209" s="4">
        <v>746.49670400000002</v>
      </c>
      <c r="G209" s="4">
        <v>2.3E-2</v>
      </c>
      <c r="I209" s="4" t="s">
        <v>126</v>
      </c>
      <c r="J209" s="4">
        <v>0.9</v>
      </c>
      <c r="K209" s="4">
        <v>0.5</v>
      </c>
      <c r="L209" s="4">
        <v>0.6</v>
      </c>
      <c r="M209" s="4">
        <v>0.32</v>
      </c>
      <c r="N209" s="6">
        <v>628.33019999999999</v>
      </c>
      <c r="O209" s="4">
        <v>1E-3</v>
      </c>
      <c r="P209" s="5"/>
      <c r="Q209" s="5"/>
      <c r="R209" s="5"/>
      <c r="S209" s="5"/>
      <c r="U209" s="4" t="s">
        <v>126</v>
      </c>
      <c r="V209" s="4">
        <v>0.9</v>
      </c>
      <c r="W209" s="4">
        <v>0.5</v>
      </c>
      <c r="X209" s="4">
        <v>0.6</v>
      </c>
      <c r="Y209" s="4">
        <v>0.01</v>
      </c>
      <c r="Z209" s="4">
        <v>680.08306900000002</v>
      </c>
      <c r="AA209" s="4">
        <v>1.2E-2</v>
      </c>
      <c r="AC209" s="4" t="s">
        <v>126</v>
      </c>
      <c r="AD209" s="4">
        <v>0.9</v>
      </c>
      <c r="AE209" s="4">
        <v>0.5</v>
      </c>
      <c r="AF209" s="4">
        <v>0.6</v>
      </c>
      <c r="AG209" s="4">
        <v>0.31</v>
      </c>
      <c r="AH209" s="6">
        <v>631.71112100000005</v>
      </c>
      <c r="AI209" s="4">
        <v>1E-3</v>
      </c>
      <c r="AJ209" s="5"/>
      <c r="AK209" s="5"/>
      <c r="AL209" s="5"/>
      <c r="AM209" s="5"/>
      <c r="AO209" s="4" t="s">
        <v>127</v>
      </c>
      <c r="AP209" s="4">
        <v>0.9</v>
      </c>
      <c r="AQ209" s="4">
        <v>0.5</v>
      </c>
      <c r="AR209" s="4">
        <v>0.6</v>
      </c>
      <c r="AS209" s="4">
        <v>0.74</v>
      </c>
      <c r="AT209" s="4">
        <v>1287.7700199999999</v>
      </c>
      <c r="AU209" s="4">
        <v>0.02</v>
      </c>
      <c r="AW209" s="4" t="s">
        <v>127</v>
      </c>
      <c r="AX209" s="4">
        <v>0.9</v>
      </c>
      <c r="AY209" s="4">
        <v>0.5</v>
      </c>
      <c r="AZ209" s="4">
        <v>0.6</v>
      </c>
      <c r="BA209" s="4">
        <v>0.3</v>
      </c>
      <c r="BB209" s="6">
        <v>1062.2045900000001</v>
      </c>
      <c r="BC209" s="4">
        <v>6.0000000000000001E-3</v>
      </c>
      <c r="BD209" s="5"/>
      <c r="BE209" s="5"/>
      <c r="BF209" s="5"/>
      <c r="BG209" s="5"/>
      <c r="BI209" s="4" t="s">
        <v>127</v>
      </c>
      <c r="BJ209" s="4">
        <v>0.9</v>
      </c>
      <c r="BK209" s="4">
        <v>0.5</v>
      </c>
      <c r="BL209" s="4">
        <v>0.6</v>
      </c>
      <c r="BM209" s="4">
        <v>0.36</v>
      </c>
      <c r="BN209" s="4">
        <v>1082.0451660000001</v>
      </c>
      <c r="BO209" s="4">
        <v>4.2999999999999997E-2</v>
      </c>
      <c r="BQ209" s="4" t="s">
        <v>127</v>
      </c>
      <c r="BR209" s="4">
        <v>0.9</v>
      </c>
      <c r="BS209" s="4">
        <v>0.5</v>
      </c>
      <c r="BT209" s="4">
        <v>0.6</v>
      </c>
      <c r="BU209" s="4">
        <v>0.3</v>
      </c>
      <c r="BV209" s="6">
        <v>1070.4510499999999</v>
      </c>
      <c r="BW209" s="4">
        <v>6.0000000000000001E-3</v>
      </c>
      <c r="BX209" s="5"/>
      <c r="BY209" s="5"/>
      <c r="BZ209" s="5"/>
      <c r="CA209" s="5"/>
    </row>
    <row r="210" spans="1:79" x14ac:dyDescent="0.3">
      <c r="A210" s="4" t="s">
        <v>128</v>
      </c>
      <c r="B210" s="4">
        <v>0.9</v>
      </c>
      <c r="C210" s="4">
        <v>0.5</v>
      </c>
      <c r="D210" s="4">
        <v>0.6</v>
      </c>
      <c r="E210" s="4">
        <v>0.35</v>
      </c>
      <c r="F210" s="4">
        <v>623.16760299999999</v>
      </c>
      <c r="G210" s="4">
        <v>1.7000000000000001E-2</v>
      </c>
      <c r="I210" s="4" t="s">
        <v>128</v>
      </c>
      <c r="J210" s="4">
        <v>0.9</v>
      </c>
      <c r="K210" s="4">
        <v>0.5</v>
      </c>
      <c r="L210" s="4">
        <v>0.6</v>
      </c>
      <c r="M210" s="4">
        <v>0.3</v>
      </c>
      <c r="N210" s="6">
        <v>610.79852300000005</v>
      </c>
      <c r="O210" s="4">
        <v>1E-3</v>
      </c>
      <c r="P210" s="5"/>
      <c r="Q210" s="5"/>
      <c r="R210" s="5"/>
      <c r="S210" s="5"/>
      <c r="U210" s="4" t="s">
        <v>128</v>
      </c>
      <c r="V210" s="4">
        <v>0.9</v>
      </c>
      <c r="W210" s="4">
        <v>0.5</v>
      </c>
      <c r="X210" s="4">
        <v>0.6</v>
      </c>
      <c r="Y210" s="4">
        <v>0.34</v>
      </c>
      <c r="Z210" s="6">
        <v>602.24462900000003</v>
      </c>
      <c r="AA210" s="4">
        <v>1.4E-2</v>
      </c>
      <c r="AC210" s="4" t="s">
        <v>128</v>
      </c>
      <c r="AD210" s="4">
        <v>0.9</v>
      </c>
      <c r="AE210" s="4">
        <v>0.5</v>
      </c>
      <c r="AF210" s="4">
        <v>0.6</v>
      </c>
      <c r="AG210" s="4">
        <v>0.38</v>
      </c>
      <c r="AH210" s="4">
        <v>603.79528800000003</v>
      </c>
      <c r="AI210" s="4">
        <v>1E-3</v>
      </c>
      <c r="AJ210" s="5"/>
      <c r="AK210" s="5"/>
      <c r="AL210" s="5"/>
      <c r="AM210" s="5"/>
      <c r="AO210" s="4" t="s">
        <v>129</v>
      </c>
      <c r="AP210" s="4">
        <v>0.9</v>
      </c>
      <c r="AQ210" s="4">
        <v>0.5</v>
      </c>
      <c r="AR210" s="4">
        <v>0.6</v>
      </c>
      <c r="AS210" s="4">
        <v>0.38</v>
      </c>
      <c r="AT210" s="8">
        <v>1061.7202150000001</v>
      </c>
      <c r="AU210" s="4">
        <v>2.7E-2</v>
      </c>
      <c r="AW210" s="4" t="s">
        <v>129</v>
      </c>
      <c r="AX210" s="4">
        <v>0.9</v>
      </c>
      <c r="AY210" s="4">
        <v>0.5</v>
      </c>
      <c r="AZ210" s="4">
        <v>0.6</v>
      </c>
      <c r="BA210" s="4">
        <v>0.32</v>
      </c>
      <c r="BB210" s="6">
        <v>1061.0407709999999</v>
      </c>
      <c r="BC210" s="4">
        <v>0.01</v>
      </c>
      <c r="BD210" s="5"/>
      <c r="BE210" s="5"/>
      <c r="BF210" s="5"/>
      <c r="BG210" s="5"/>
      <c r="BI210" s="4" t="s">
        <v>129</v>
      </c>
      <c r="BJ210" s="4">
        <v>0.9</v>
      </c>
      <c r="BK210" s="4">
        <v>0.5</v>
      </c>
      <c r="BL210" s="4">
        <v>0.6</v>
      </c>
      <c r="BM210" s="4">
        <v>0.94</v>
      </c>
      <c r="BN210" s="4">
        <v>1206.11853</v>
      </c>
      <c r="BO210" s="4">
        <v>2.8000000000000001E-2</v>
      </c>
      <c r="BQ210" s="4" t="s">
        <v>129</v>
      </c>
      <c r="BR210" s="4">
        <v>0.9</v>
      </c>
      <c r="BS210" s="4">
        <v>0.5</v>
      </c>
      <c r="BT210" s="4">
        <v>0.6</v>
      </c>
      <c r="BU210" s="4">
        <v>0.32</v>
      </c>
      <c r="BV210" s="6">
        <v>1022.855713</v>
      </c>
      <c r="BW210" s="4">
        <v>8.9999999999999993E-3</v>
      </c>
      <c r="BX210" s="5"/>
      <c r="BY210" s="5"/>
      <c r="BZ210" s="5"/>
      <c r="CA210" s="5"/>
    </row>
    <row r="211" spans="1:79" x14ac:dyDescent="0.3">
      <c r="A211" s="4" t="s">
        <v>130</v>
      </c>
      <c r="B211" s="4">
        <v>0.9</v>
      </c>
      <c r="C211" s="4">
        <v>0.5</v>
      </c>
      <c r="D211" s="4">
        <v>0.6</v>
      </c>
      <c r="E211" s="4">
        <v>0.41</v>
      </c>
      <c r="F211" s="4">
        <v>672.72699</v>
      </c>
      <c r="G211" s="4">
        <v>5.0000000000000001E-3</v>
      </c>
      <c r="I211" s="4" t="s">
        <v>130</v>
      </c>
      <c r="J211" s="4">
        <v>0.9</v>
      </c>
      <c r="K211" s="4">
        <v>0.5</v>
      </c>
      <c r="L211" s="4">
        <v>0.6</v>
      </c>
      <c r="M211" s="4">
        <v>0.37</v>
      </c>
      <c r="N211" s="6">
        <v>653.62506099999996</v>
      </c>
      <c r="O211" s="4">
        <v>1E-3</v>
      </c>
      <c r="P211" s="5"/>
      <c r="Q211" s="5"/>
      <c r="R211" s="5"/>
      <c r="S211" s="5"/>
      <c r="U211" s="4" t="s">
        <v>130</v>
      </c>
      <c r="V211" s="4">
        <v>0.9</v>
      </c>
      <c r="W211" s="4">
        <v>0.5</v>
      </c>
      <c r="X211" s="4">
        <v>0.6</v>
      </c>
      <c r="Y211" s="4">
        <v>0.2</v>
      </c>
      <c r="Z211" s="6">
        <v>636.29827899999998</v>
      </c>
      <c r="AA211" s="4">
        <v>0.01</v>
      </c>
      <c r="AC211" s="4" t="s">
        <v>130</v>
      </c>
      <c r="AD211" s="4">
        <v>0.9</v>
      </c>
      <c r="AE211" s="4">
        <v>0.5</v>
      </c>
      <c r="AF211" s="4">
        <v>0.6</v>
      </c>
      <c r="AG211" s="4">
        <v>0.32</v>
      </c>
      <c r="AH211" s="4">
        <v>649.43957499999999</v>
      </c>
      <c r="AI211" s="4">
        <v>1E-3</v>
      </c>
      <c r="AJ211" s="5"/>
      <c r="AK211" s="5"/>
      <c r="AL211" s="5"/>
      <c r="AM211" s="5"/>
      <c r="AO211" s="4" t="s">
        <v>131</v>
      </c>
      <c r="AP211" s="4">
        <v>0.9</v>
      </c>
      <c r="AQ211" s="4">
        <v>0.5</v>
      </c>
      <c r="AR211" s="4">
        <v>0.6</v>
      </c>
      <c r="AS211" s="4">
        <v>0.62</v>
      </c>
      <c r="AT211" s="4">
        <v>1221.155884</v>
      </c>
      <c r="AU211" s="4">
        <v>0.02</v>
      </c>
      <c r="AW211" s="4" t="s">
        <v>131</v>
      </c>
      <c r="AX211" s="4">
        <v>0.9</v>
      </c>
      <c r="AY211" s="4">
        <v>0.5</v>
      </c>
      <c r="AZ211" s="4">
        <v>0.6</v>
      </c>
      <c r="BA211" s="4">
        <v>0.3</v>
      </c>
      <c r="BB211" s="6">
        <v>1059.180664</v>
      </c>
      <c r="BC211" s="4">
        <v>1.0999999999999999E-2</v>
      </c>
      <c r="BD211" s="5"/>
      <c r="BE211" s="5"/>
      <c r="BF211" s="5"/>
      <c r="BG211" s="5"/>
      <c r="BI211" s="4" t="s">
        <v>131</v>
      </c>
      <c r="BJ211" s="4">
        <v>0.9</v>
      </c>
      <c r="BK211" s="4">
        <v>0.5</v>
      </c>
      <c r="BL211" s="4">
        <v>0.6</v>
      </c>
      <c r="BM211" s="4">
        <v>0.56999999999999995</v>
      </c>
      <c r="BN211" s="4">
        <v>1215.0679929999999</v>
      </c>
      <c r="BO211" s="4">
        <v>1.9E-2</v>
      </c>
      <c r="BQ211" s="4" t="s">
        <v>131</v>
      </c>
      <c r="BR211" s="4">
        <v>0.9</v>
      </c>
      <c r="BS211" s="4">
        <v>0.5</v>
      </c>
      <c r="BT211" s="4">
        <v>0.6</v>
      </c>
      <c r="BU211" s="4">
        <v>0.31</v>
      </c>
      <c r="BV211" s="6">
        <v>1060.7937010000001</v>
      </c>
      <c r="BW211" s="4">
        <v>0.01</v>
      </c>
      <c r="BX211" s="5"/>
      <c r="BY211" s="5"/>
      <c r="BZ211" s="5"/>
      <c r="CA211" s="5"/>
    </row>
    <row r="212" spans="1:79" x14ac:dyDescent="0.3">
      <c r="A212" s="4" t="s">
        <v>132</v>
      </c>
      <c r="B212" s="4">
        <v>0.9</v>
      </c>
      <c r="C212" s="4">
        <v>0.5</v>
      </c>
      <c r="D212" s="4">
        <v>0.6</v>
      </c>
      <c r="E212" s="4">
        <v>0.49</v>
      </c>
      <c r="F212" s="4">
        <v>625.62005599999998</v>
      </c>
      <c r="G212" s="4">
        <v>1.6E-2</v>
      </c>
      <c r="I212" s="4" t="s">
        <v>132</v>
      </c>
      <c r="J212" s="4">
        <v>0.9</v>
      </c>
      <c r="K212" s="4">
        <v>0.5</v>
      </c>
      <c r="L212" s="4">
        <v>0.6</v>
      </c>
      <c r="M212" s="4">
        <v>0.3</v>
      </c>
      <c r="N212" s="6">
        <v>566.98541299999999</v>
      </c>
      <c r="O212" s="4">
        <v>2E-3</v>
      </c>
      <c r="P212" s="5"/>
      <c r="Q212" s="5"/>
      <c r="R212" s="5"/>
      <c r="S212" s="5"/>
      <c r="U212" s="4" t="s">
        <v>132</v>
      </c>
      <c r="V212" s="4">
        <v>0.9</v>
      </c>
      <c r="W212" s="4">
        <v>0.5</v>
      </c>
      <c r="X212" s="4">
        <v>0.6</v>
      </c>
      <c r="Y212" s="4">
        <v>0.37</v>
      </c>
      <c r="Z212" s="4">
        <v>609.071777</v>
      </c>
      <c r="AA212" s="4">
        <v>0.01</v>
      </c>
      <c r="AC212" s="4" t="s">
        <v>132</v>
      </c>
      <c r="AD212" s="4">
        <v>0.9</v>
      </c>
      <c r="AE212" s="4">
        <v>0.5</v>
      </c>
      <c r="AF212" s="4">
        <v>0.6</v>
      </c>
      <c r="AG212" s="4">
        <v>0.33</v>
      </c>
      <c r="AH212" s="6">
        <v>573.10961899999995</v>
      </c>
      <c r="AI212" s="4">
        <v>1E-3</v>
      </c>
      <c r="AJ212" s="5"/>
      <c r="AK212" s="5"/>
      <c r="AL212" s="5"/>
      <c r="AM212" s="5"/>
      <c r="AO212" s="4" t="s">
        <v>133</v>
      </c>
      <c r="AP212" s="4">
        <v>0.9</v>
      </c>
      <c r="AQ212" s="4">
        <v>0.5</v>
      </c>
      <c r="AR212" s="4">
        <v>0.6</v>
      </c>
      <c r="AS212" s="4">
        <v>0.13</v>
      </c>
      <c r="AT212" s="6">
        <v>961.17779499999995</v>
      </c>
      <c r="AU212" s="4">
        <v>0.01</v>
      </c>
      <c r="AW212" s="4" t="s">
        <v>133</v>
      </c>
      <c r="AX212" s="4">
        <v>0.9</v>
      </c>
      <c r="AY212" s="4">
        <v>0.5</v>
      </c>
      <c r="AZ212" s="4">
        <v>0.6</v>
      </c>
      <c r="BA212" s="4">
        <v>0.37</v>
      </c>
      <c r="BB212" s="4">
        <v>1087.109741</v>
      </c>
      <c r="BC212" s="4">
        <v>1.2E-2</v>
      </c>
      <c r="BD212" s="5"/>
      <c r="BE212" s="5"/>
      <c r="BF212" s="5"/>
      <c r="BG212" s="5"/>
      <c r="BI212" s="4" t="s">
        <v>133</v>
      </c>
      <c r="BJ212" s="4">
        <v>0.9</v>
      </c>
      <c r="BK212" s="4">
        <v>0.5</v>
      </c>
      <c r="BL212" s="4">
        <v>0.6</v>
      </c>
      <c r="BM212" s="4">
        <v>0.35</v>
      </c>
      <c r="BN212" s="6">
        <v>1082.63562</v>
      </c>
      <c r="BO212" s="4">
        <v>1.7000000000000001E-2</v>
      </c>
      <c r="BQ212" s="4" t="s">
        <v>133</v>
      </c>
      <c r="BR212" s="4">
        <v>0.9</v>
      </c>
      <c r="BS212" s="4">
        <v>0.5</v>
      </c>
      <c r="BT212" s="4">
        <v>0.6</v>
      </c>
      <c r="BU212" s="4">
        <v>0.3</v>
      </c>
      <c r="BV212" s="4">
        <v>1089.430908</v>
      </c>
      <c r="BW212" s="4">
        <v>8.9999999999999993E-3</v>
      </c>
      <c r="BX212" s="5"/>
      <c r="BY212" s="5"/>
      <c r="BZ212" s="5"/>
      <c r="CA212" s="5"/>
    </row>
    <row r="213" spans="1:79" x14ac:dyDescent="0.3">
      <c r="A213" s="14" t="s">
        <v>316</v>
      </c>
      <c r="E213" s="14">
        <f>AVERAGE(E183:E212)</f>
        <v>0.52133333333333332</v>
      </c>
      <c r="I213" s="14" t="s">
        <v>316</v>
      </c>
      <c r="M213" s="14">
        <f>AVERAGE(M183:M212)</f>
        <v>0.33933333333333338</v>
      </c>
      <c r="U213" s="14" t="s">
        <v>316</v>
      </c>
      <c r="Y213" s="14">
        <f>AVERAGE(Y183:Y212)</f>
        <v>0.5066666666666666</v>
      </c>
      <c r="AC213" s="14" t="s">
        <v>316</v>
      </c>
      <c r="AG213" s="14">
        <f>AVERAGE(AG183:AG212)</f>
        <v>0.33700000000000008</v>
      </c>
      <c r="AO213" s="14" t="s">
        <v>316</v>
      </c>
      <c r="AS213" s="14">
        <f>AVERAGE(AS183:AS212)</f>
        <v>0.53600000000000003</v>
      </c>
      <c r="AW213" s="14" t="s">
        <v>316</v>
      </c>
      <c r="BA213" s="14">
        <f>AVERAGE(BA183:BA212)</f>
        <v>0.31799999999999995</v>
      </c>
      <c r="BI213" s="14" t="s">
        <v>316</v>
      </c>
      <c r="BM213" s="14">
        <f>AVERAGE(BM183:BM212)</f>
        <v>0.52066666666666672</v>
      </c>
      <c r="BQ213" s="14" t="s">
        <v>316</v>
      </c>
      <c r="BU213" s="14">
        <f>AVERAGE(BU183:BU212)</f>
        <v>0.31</v>
      </c>
    </row>
    <row r="214" spans="1:79" s="1" customFormat="1" x14ac:dyDescent="0.3"/>
    <row r="215" spans="1:79" x14ac:dyDescent="0.3">
      <c r="A215" s="24" t="s">
        <v>314</v>
      </c>
      <c r="B215" s="25"/>
      <c r="C215" s="25"/>
      <c r="D215" s="25"/>
      <c r="E215" s="25"/>
      <c r="F215" s="25"/>
      <c r="G215" s="26"/>
      <c r="I215" s="23" t="s">
        <v>314</v>
      </c>
      <c r="J215" s="23"/>
      <c r="K215" s="23"/>
      <c r="L215" s="23"/>
      <c r="M215" s="23"/>
      <c r="N215" s="23"/>
      <c r="O215" s="23"/>
      <c r="P215" s="11"/>
      <c r="Q215" s="11"/>
      <c r="R215" s="11"/>
      <c r="S215" s="11"/>
      <c r="U215" s="24" t="s">
        <v>314</v>
      </c>
      <c r="V215" s="25"/>
      <c r="W215" s="25"/>
      <c r="X215" s="25"/>
      <c r="Y215" s="25"/>
      <c r="Z215" s="25"/>
      <c r="AA215" s="26"/>
      <c r="AC215" s="23" t="s">
        <v>314</v>
      </c>
      <c r="AD215" s="23"/>
      <c r="AE215" s="23"/>
      <c r="AF215" s="23"/>
      <c r="AG215" s="23"/>
      <c r="AH215" s="23"/>
      <c r="AI215" s="23"/>
      <c r="AJ215" s="11"/>
      <c r="AK215" s="11"/>
      <c r="AL215" s="11"/>
      <c r="AM215" s="11"/>
      <c r="AO215" s="24" t="s">
        <v>314</v>
      </c>
      <c r="AP215" s="25"/>
      <c r="AQ215" s="25"/>
      <c r="AR215" s="25"/>
      <c r="AS215" s="25"/>
      <c r="AT215" s="25"/>
      <c r="AU215" s="26"/>
      <c r="AW215" s="23" t="s">
        <v>314</v>
      </c>
      <c r="AX215" s="23"/>
      <c r="AY215" s="23"/>
      <c r="AZ215" s="23"/>
      <c r="BA215" s="23"/>
      <c r="BB215" s="23"/>
      <c r="BC215" s="23"/>
      <c r="BD215" s="11"/>
      <c r="BE215" s="11"/>
      <c r="BF215" s="11"/>
      <c r="BG215" s="11"/>
      <c r="BI215" s="24" t="s">
        <v>314</v>
      </c>
      <c r="BJ215" s="25"/>
      <c r="BK215" s="25"/>
      <c r="BL215" s="25"/>
      <c r="BM215" s="25"/>
      <c r="BN215" s="25"/>
      <c r="BO215" s="26"/>
      <c r="BQ215" s="23" t="s">
        <v>314</v>
      </c>
      <c r="BR215" s="23"/>
      <c r="BS215" s="23"/>
      <c r="BT215" s="23"/>
      <c r="BU215" s="23"/>
      <c r="BV215" s="23"/>
      <c r="BW215" s="23"/>
      <c r="BX215" s="11"/>
      <c r="BY215" s="11"/>
      <c r="BZ215" s="11"/>
      <c r="CA215" s="11"/>
    </row>
    <row r="216" spans="1:79" x14ac:dyDescent="0.3">
      <c r="A216" s="4" t="s">
        <v>0</v>
      </c>
      <c r="B216" s="4"/>
      <c r="C216" s="4"/>
      <c r="D216" s="4"/>
      <c r="E216" s="4"/>
      <c r="F216" s="4"/>
      <c r="G216" s="4"/>
      <c r="I216" s="23" t="s">
        <v>0</v>
      </c>
      <c r="J216" s="23"/>
      <c r="K216" s="23"/>
      <c r="L216" s="23"/>
      <c r="M216" s="23"/>
      <c r="N216" s="23"/>
      <c r="O216" s="23"/>
      <c r="P216" s="11"/>
      <c r="Q216" s="11"/>
      <c r="R216" s="11"/>
      <c r="S216" s="11"/>
      <c r="U216" s="4" t="s">
        <v>1</v>
      </c>
      <c r="V216" s="4"/>
      <c r="W216" s="4"/>
      <c r="X216" s="4"/>
      <c r="Y216" s="4"/>
      <c r="Z216" s="4"/>
      <c r="AA216" s="4"/>
      <c r="AC216" s="23" t="s">
        <v>1</v>
      </c>
      <c r="AD216" s="23"/>
      <c r="AE216" s="23"/>
      <c r="AF216" s="23"/>
      <c r="AG216" s="23"/>
      <c r="AH216" s="23"/>
      <c r="AI216" s="23"/>
      <c r="AJ216" s="11"/>
      <c r="AK216" s="11"/>
      <c r="AL216" s="11"/>
      <c r="AM216" s="11"/>
      <c r="AO216" s="4" t="s">
        <v>0</v>
      </c>
      <c r="AP216" s="4"/>
      <c r="AQ216" s="4"/>
      <c r="AR216" s="4"/>
      <c r="AS216" s="4"/>
      <c r="AT216" s="4"/>
      <c r="AU216" s="4"/>
      <c r="AW216" s="23" t="s">
        <v>0</v>
      </c>
      <c r="AX216" s="23"/>
      <c r="AY216" s="23"/>
      <c r="AZ216" s="23"/>
      <c r="BA216" s="23"/>
      <c r="BB216" s="23"/>
      <c r="BC216" s="23"/>
      <c r="BD216" s="11"/>
      <c r="BE216" s="11"/>
      <c r="BF216" s="11"/>
      <c r="BG216" s="11"/>
      <c r="BI216" s="4" t="s">
        <v>1</v>
      </c>
      <c r="BJ216" s="4"/>
      <c r="BK216" s="4"/>
      <c r="BL216" s="4"/>
      <c r="BM216" s="4"/>
      <c r="BN216" s="4"/>
      <c r="BO216" s="4"/>
      <c r="BQ216" s="23" t="s">
        <v>1</v>
      </c>
      <c r="BR216" s="23"/>
      <c r="BS216" s="23"/>
      <c r="BT216" s="23"/>
      <c r="BU216" s="23"/>
      <c r="BV216" s="23"/>
      <c r="BW216" s="23"/>
      <c r="BX216" s="11"/>
      <c r="BY216" s="11"/>
      <c r="BZ216" s="11"/>
      <c r="CA216" s="11"/>
    </row>
    <row r="217" spans="1:79" x14ac:dyDescent="0.3">
      <c r="A217" s="4" t="s">
        <v>2</v>
      </c>
      <c r="B217" s="4" t="s">
        <v>3</v>
      </c>
      <c r="C217" s="4" t="s">
        <v>4</v>
      </c>
      <c r="D217" s="4" t="s">
        <v>5</v>
      </c>
      <c r="E217" s="4" t="s">
        <v>6</v>
      </c>
      <c r="F217" s="4" t="s">
        <v>7</v>
      </c>
      <c r="G217" s="4" t="s">
        <v>8</v>
      </c>
      <c r="I217" s="4" t="s">
        <v>2</v>
      </c>
      <c r="J217" s="4" t="s">
        <v>3</v>
      </c>
      <c r="K217" s="4" t="s">
        <v>4</v>
      </c>
      <c r="L217" s="4" t="s">
        <v>5</v>
      </c>
      <c r="M217" s="4" t="s">
        <v>6</v>
      </c>
      <c r="N217" s="4" t="s">
        <v>7</v>
      </c>
      <c r="O217" s="4" t="s">
        <v>8</v>
      </c>
      <c r="P217" s="3" t="s">
        <v>322</v>
      </c>
      <c r="Q217" s="3" t="s">
        <v>323</v>
      </c>
      <c r="R217" s="3" t="s">
        <v>322</v>
      </c>
      <c r="S217" s="3" t="s">
        <v>323</v>
      </c>
      <c r="U217" s="4" t="s">
        <v>2</v>
      </c>
      <c r="V217" s="4" t="s">
        <v>3</v>
      </c>
      <c r="W217" s="4" t="s">
        <v>4</v>
      </c>
      <c r="X217" s="4" t="s">
        <v>5</v>
      </c>
      <c r="Y217" s="4" t="s">
        <v>6</v>
      </c>
      <c r="Z217" s="4" t="s">
        <v>7</v>
      </c>
      <c r="AA217" s="4" t="s">
        <v>8</v>
      </c>
      <c r="AC217" s="4" t="s">
        <v>2</v>
      </c>
      <c r="AD217" s="4" t="s">
        <v>3</v>
      </c>
      <c r="AE217" s="4" t="s">
        <v>4</v>
      </c>
      <c r="AF217" s="4" t="s">
        <v>5</v>
      </c>
      <c r="AG217" s="4" t="s">
        <v>6</v>
      </c>
      <c r="AH217" s="4" t="s">
        <v>7</v>
      </c>
      <c r="AI217" s="4" t="s">
        <v>8</v>
      </c>
      <c r="AJ217" s="3" t="s">
        <v>322</v>
      </c>
      <c r="AK217" s="3" t="s">
        <v>323</v>
      </c>
      <c r="AL217" s="3" t="s">
        <v>322</v>
      </c>
      <c r="AM217" s="3" t="s">
        <v>323</v>
      </c>
      <c r="AO217" s="4" t="s">
        <v>2</v>
      </c>
      <c r="AP217" s="4" t="s">
        <v>3</v>
      </c>
      <c r="AQ217" s="4" t="s">
        <v>4</v>
      </c>
      <c r="AR217" s="4" t="s">
        <v>5</v>
      </c>
      <c r="AS217" s="4" t="s">
        <v>6</v>
      </c>
      <c r="AT217" s="4" t="s">
        <v>7</v>
      </c>
      <c r="AU217" s="4" t="s">
        <v>8</v>
      </c>
      <c r="AW217" s="4" t="s">
        <v>2</v>
      </c>
      <c r="AX217" s="4" t="s">
        <v>3</v>
      </c>
      <c r="AY217" s="4" t="s">
        <v>4</v>
      </c>
      <c r="AZ217" s="4" t="s">
        <v>5</v>
      </c>
      <c r="BA217" s="4" t="s">
        <v>6</v>
      </c>
      <c r="BB217" s="4" t="s">
        <v>7</v>
      </c>
      <c r="BC217" s="4" t="s">
        <v>8</v>
      </c>
      <c r="BD217" s="3" t="s">
        <v>322</v>
      </c>
      <c r="BE217" s="3" t="s">
        <v>323</v>
      </c>
      <c r="BF217" s="3" t="s">
        <v>322</v>
      </c>
      <c r="BG217" s="3" t="s">
        <v>323</v>
      </c>
      <c r="BI217" s="4" t="s">
        <v>2</v>
      </c>
      <c r="BJ217" s="4" t="s">
        <v>3</v>
      </c>
      <c r="BK217" s="4" t="s">
        <v>4</v>
      </c>
      <c r="BL217" s="4" t="s">
        <v>5</v>
      </c>
      <c r="BM217" s="4" t="s">
        <v>6</v>
      </c>
      <c r="BN217" s="4" t="s">
        <v>7</v>
      </c>
      <c r="BO217" s="4" t="s">
        <v>8</v>
      </c>
      <c r="BQ217" s="4" t="s">
        <v>2</v>
      </c>
      <c r="BR217" s="4" t="s">
        <v>3</v>
      </c>
      <c r="BS217" s="4" t="s">
        <v>4</v>
      </c>
      <c r="BT217" s="4" t="s">
        <v>5</v>
      </c>
      <c r="BU217" s="4" t="s">
        <v>6</v>
      </c>
      <c r="BV217" s="4" t="s">
        <v>7</v>
      </c>
      <c r="BW217" s="4" t="s">
        <v>8</v>
      </c>
      <c r="BX217" s="3" t="s">
        <v>322</v>
      </c>
      <c r="BY217" s="3" t="s">
        <v>323</v>
      </c>
      <c r="BZ217" s="3" t="s">
        <v>322</v>
      </c>
      <c r="CA217" s="3" t="s">
        <v>323</v>
      </c>
    </row>
    <row r="218" spans="1:79" x14ac:dyDescent="0.3">
      <c r="A218" s="4" t="s">
        <v>134</v>
      </c>
      <c r="B218" s="4">
        <v>0.9</v>
      </c>
      <c r="C218" s="4">
        <v>0.5</v>
      </c>
      <c r="D218" s="4">
        <v>0.6</v>
      </c>
      <c r="E218" s="4">
        <v>0.01</v>
      </c>
      <c r="F218" s="6">
        <v>588.62658699999997</v>
      </c>
      <c r="G218" s="4">
        <v>0.01</v>
      </c>
      <c r="I218" s="4" t="s">
        <v>134</v>
      </c>
      <c r="J218" s="4">
        <v>0.9</v>
      </c>
      <c r="K218" s="4">
        <v>0.5</v>
      </c>
      <c r="L218" s="4">
        <v>0.6</v>
      </c>
      <c r="M218" s="4">
        <v>0.34</v>
      </c>
      <c r="N218" s="4">
        <v>612.113159</v>
      </c>
      <c r="O218" s="4">
        <v>1E-3</v>
      </c>
      <c r="P218" s="4" t="s">
        <v>327</v>
      </c>
      <c r="Q218" s="4" t="s">
        <v>327</v>
      </c>
      <c r="R218" s="4" t="s">
        <v>326</v>
      </c>
      <c r="S218" s="4" t="s">
        <v>326</v>
      </c>
      <c r="U218" s="4" t="s">
        <v>134</v>
      </c>
      <c r="V218" s="4">
        <v>0.9</v>
      </c>
      <c r="W218" s="4">
        <v>0.5</v>
      </c>
      <c r="X218" s="4">
        <v>0.6</v>
      </c>
      <c r="Y218" s="4">
        <v>0.01</v>
      </c>
      <c r="Z218" s="6">
        <v>549.27002000000005</v>
      </c>
      <c r="AA218" s="4">
        <v>1.4E-2</v>
      </c>
      <c r="AC218" s="4" t="s">
        <v>134</v>
      </c>
      <c r="AD218" s="4">
        <v>0.9</v>
      </c>
      <c r="AE218" s="4">
        <v>0.5</v>
      </c>
      <c r="AF218" s="4">
        <v>0.6</v>
      </c>
      <c r="AG218" s="4">
        <v>0.32</v>
      </c>
      <c r="AH218" s="4">
        <v>554.870544</v>
      </c>
      <c r="AI218" s="4">
        <v>2E-3</v>
      </c>
      <c r="AJ218" s="4" t="s">
        <v>327</v>
      </c>
      <c r="AK218" s="4" t="s">
        <v>327</v>
      </c>
      <c r="AL218" s="4" t="s">
        <v>326</v>
      </c>
      <c r="AM218" s="4" t="s">
        <v>326</v>
      </c>
      <c r="AO218" s="4" t="s">
        <v>135</v>
      </c>
      <c r="AP218" s="4">
        <v>0.9</v>
      </c>
      <c r="AQ218" s="4">
        <v>0.5</v>
      </c>
      <c r="AR218" s="4">
        <v>0.6</v>
      </c>
      <c r="AS218" s="4">
        <v>0.01</v>
      </c>
      <c r="AT218" s="6">
        <v>714.575378</v>
      </c>
      <c r="AU218" s="4">
        <v>8.0000000000000002E-3</v>
      </c>
      <c r="AW218" s="4" t="s">
        <v>135</v>
      </c>
      <c r="AX218" s="4">
        <v>0.9</v>
      </c>
      <c r="AY218" s="4">
        <v>0.5</v>
      </c>
      <c r="AZ218" s="4">
        <v>0.6</v>
      </c>
      <c r="BA218" s="4">
        <v>0.3</v>
      </c>
      <c r="BB218" s="4">
        <v>819.18054199999995</v>
      </c>
      <c r="BC218" s="4">
        <v>6.0000000000000001E-3</v>
      </c>
      <c r="BD218" s="4" t="s">
        <v>327</v>
      </c>
      <c r="BE218" s="4" t="s">
        <v>327</v>
      </c>
      <c r="BF218" s="4" t="s">
        <v>326</v>
      </c>
      <c r="BG218" s="4" t="s">
        <v>326</v>
      </c>
      <c r="BI218" s="4" t="s">
        <v>135</v>
      </c>
      <c r="BJ218" s="4">
        <v>0.9</v>
      </c>
      <c r="BK218" s="4">
        <v>0.5</v>
      </c>
      <c r="BL218" s="4">
        <v>0.6</v>
      </c>
      <c r="BM218" s="4">
        <v>0.01</v>
      </c>
      <c r="BN218" s="6">
        <v>661.21929899999998</v>
      </c>
      <c r="BO218" s="4">
        <v>3.5999999999999997E-2</v>
      </c>
      <c r="BQ218" s="4" t="s">
        <v>135</v>
      </c>
      <c r="BR218" s="4">
        <v>0.9</v>
      </c>
      <c r="BS218" s="4">
        <v>0.5</v>
      </c>
      <c r="BT218" s="4">
        <v>0.6</v>
      </c>
      <c r="BU218" s="4">
        <v>0.3</v>
      </c>
      <c r="BV218" s="4">
        <v>745.13568099999998</v>
      </c>
      <c r="BW218" s="4">
        <v>5.0000000000000001E-3</v>
      </c>
      <c r="BX218" s="4" t="s">
        <v>327</v>
      </c>
      <c r="BY218" s="4" t="s">
        <v>327</v>
      </c>
      <c r="BZ218" s="4" t="s">
        <v>326</v>
      </c>
      <c r="CA218" s="4" t="s">
        <v>326</v>
      </c>
    </row>
    <row r="219" spans="1:79" x14ac:dyDescent="0.3">
      <c r="A219" s="4" t="s">
        <v>136</v>
      </c>
      <c r="B219" s="4">
        <v>0.9</v>
      </c>
      <c r="C219" s="4">
        <v>0.5</v>
      </c>
      <c r="D219" s="4">
        <v>0.6</v>
      </c>
      <c r="E219" s="4">
        <v>0.84</v>
      </c>
      <c r="F219" s="4">
        <v>587.77807600000006</v>
      </c>
      <c r="G219" s="4">
        <v>1.9E-2</v>
      </c>
      <c r="I219" s="4" t="s">
        <v>136</v>
      </c>
      <c r="J219" s="4">
        <v>0.9</v>
      </c>
      <c r="K219" s="4">
        <v>0.5</v>
      </c>
      <c r="L219" s="4">
        <v>0.6</v>
      </c>
      <c r="M219" s="4">
        <v>0.35</v>
      </c>
      <c r="N219" s="6">
        <v>538.90173300000004</v>
      </c>
      <c r="O219" s="4">
        <v>1E-3</v>
      </c>
      <c r="P219" s="3">
        <f>COUNT(F218,F220,F227,F229,F232,F238:F239)</f>
        <v>7</v>
      </c>
      <c r="Q219" s="3">
        <f>30-P219</f>
        <v>23</v>
      </c>
      <c r="R219" s="3">
        <f>COUNT(N219:N225,N227:N228,N230:N231,N233:N237,N240:N247)</f>
        <v>24</v>
      </c>
      <c r="S219" s="3">
        <f>30-R219</f>
        <v>6</v>
      </c>
      <c r="U219" s="4" t="s">
        <v>136</v>
      </c>
      <c r="V219" s="4">
        <v>0.9</v>
      </c>
      <c r="W219" s="4">
        <v>0.5</v>
      </c>
      <c r="X219" s="4">
        <v>0.6</v>
      </c>
      <c r="Y219" s="4">
        <v>0.08</v>
      </c>
      <c r="Z219" s="6">
        <v>447.411743</v>
      </c>
      <c r="AA219" s="4">
        <v>1.4E-2</v>
      </c>
      <c r="AC219" s="4" t="s">
        <v>136</v>
      </c>
      <c r="AD219" s="4">
        <v>0.9</v>
      </c>
      <c r="AE219" s="4">
        <v>0.5</v>
      </c>
      <c r="AF219" s="4">
        <v>0.6</v>
      </c>
      <c r="AG219" s="4">
        <v>0.35</v>
      </c>
      <c r="AH219" s="4">
        <v>458.216431</v>
      </c>
      <c r="AI219" s="4">
        <v>1E-3</v>
      </c>
      <c r="AJ219" s="3">
        <f>COUNT(Z218:Z219,Z223:Z225,Z231:Z234,Z236,Z242:Z244)</f>
        <v>13</v>
      </c>
      <c r="AK219" s="3">
        <f>30-AJ219</f>
        <v>17</v>
      </c>
      <c r="AL219" s="3">
        <f>COUNT(AH220:AH222,AH226:AH230,AH235,AH237:AH241,AH245:AH247)</f>
        <v>17</v>
      </c>
      <c r="AM219" s="3">
        <f>30-AL219</f>
        <v>13</v>
      </c>
      <c r="AO219" s="4" t="s">
        <v>137</v>
      </c>
      <c r="AP219" s="4">
        <v>0.9</v>
      </c>
      <c r="AQ219" s="4">
        <v>0.5</v>
      </c>
      <c r="AR219" s="4">
        <v>0.6</v>
      </c>
      <c r="AS219" s="4">
        <v>0.1</v>
      </c>
      <c r="AT219" s="6">
        <v>760.69329800000003</v>
      </c>
      <c r="AU219" s="4">
        <v>3.7999999999999999E-2</v>
      </c>
      <c r="AW219" s="4" t="s">
        <v>137</v>
      </c>
      <c r="AX219" s="4">
        <v>0.9</v>
      </c>
      <c r="AY219" s="4">
        <v>0.5</v>
      </c>
      <c r="AZ219" s="4">
        <v>0.6</v>
      </c>
      <c r="BA219" s="4">
        <v>0.35</v>
      </c>
      <c r="BB219" s="4">
        <v>898.25585899999999</v>
      </c>
      <c r="BC219" s="4">
        <v>7.0000000000000001E-3</v>
      </c>
      <c r="BD219" s="3">
        <f>COUNT(AT218:AT219,AT226,AT228,AT237,AT245)</f>
        <v>6</v>
      </c>
      <c r="BE219" s="3">
        <f>30-BD219</f>
        <v>24</v>
      </c>
      <c r="BF219" s="3">
        <f>COUNT(BB220:BB225,BB227,BB229:BB236,BB238:BB244,BB246:BB247)</f>
        <v>24</v>
      </c>
      <c r="BG219" s="3">
        <f>30-BF219</f>
        <v>6</v>
      </c>
      <c r="BI219" s="4" t="s">
        <v>137</v>
      </c>
      <c r="BJ219" s="4">
        <v>0.9</v>
      </c>
      <c r="BK219" s="4">
        <v>0.5</v>
      </c>
      <c r="BL219" s="4">
        <v>0.6</v>
      </c>
      <c r="BM219" s="4">
        <v>0.43</v>
      </c>
      <c r="BN219" s="4">
        <v>884.405396</v>
      </c>
      <c r="BO219" s="4">
        <v>2.5999999999999999E-2</v>
      </c>
      <c r="BQ219" s="4" t="s">
        <v>137</v>
      </c>
      <c r="BR219" s="4">
        <v>0.9</v>
      </c>
      <c r="BS219" s="4">
        <v>0.5</v>
      </c>
      <c r="BT219" s="4">
        <v>0.6</v>
      </c>
      <c r="BU219" s="4">
        <v>0.31</v>
      </c>
      <c r="BV219" s="6">
        <v>848.069031</v>
      </c>
      <c r="BW219" s="4">
        <v>6.0000000000000001E-3</v>
      </c>
      <c r="BX219" s="3">
        <f>COUNT(BN218,BN227:BN228,BN231:BN232,BN237,BN239,BN244:BN245)</f>
        <v>9</v>
      </c>
      <c r="BY219" s="3">
        <f>30-BX219</f>
        <v>21</v>
      </c>
      <c r="BZ219" s="3">
        <f>COUNT(BV219:BV226,BV229:BV230,BV233:BV236,BV238,BV240:BV243,BV246:BV247)</f>
        <v>21</v>
      </c>
      <c r="CA219" s="3">
        <f>30-BZ219</f>
        <v>9</v>
      </c>
    </row>
    <row r="220" spans="1:79" x14ac:dyDescent="0.3">
      <c r="A220" s="4" t="s">
        <v>138</v>
      </c>
      <c r="B220" s="4">
        <v>0.9</v>
      </c>
      <c r="C220" s="4">
        <v>0.5</v>
      </c>
      <c r="D220" s="4">
        <v>0.6</v>
      </c>
      <c r="E220" s="4">
        <v>0.34</v>
      </c>
      <c r="F220" s="6">
        <v>610.18273899999997</v>
      </c>
      <c r="G220" s="4">
        <v>2.1999999999999999E-2</v>
      </c>
      <c r="I220" s="4" t="s">
        <v>138</v>
      </c>
      <c r="J220" s="4">
        <v>0.9</v>
      </c>
      <c r="K220" s="4">
        <v>0.5</v>
      </c>
      <c r="L220" s="4">
        <v>0.6</v>
      </c>
      <c r="M220" s="4">
        <v>0.34</v>
      </c>
      <c r="N220" s="8">
        <v>610.80566399999998</v>
      </c>
      <c r="O220" s="4">
        <v>2E-3</v>
      </c>
      <c r="P220" s="5"/>
      <c r="Q220" s="5"/>
      <c r="R220" s="5"/>
      <c r="S220" s="5"/>
      <c r="U220" s="4" t="s">
        <v>138</v>
      </c>
      <c r="V220" s="4">
        <v>0.9</v>
      </c>
      <c r="W220" s="4">
        <v>0.5</v>
      </c>
      <c r="X220" s="4">
        <v>0.6</v>
      </c>
      <c r="Y220" s="4">
        <v>0.98</v>
      </c>
      <c r="Z220" s="4">
        <v>626.22241199999996</v>
      </c>
      <c r="AA220" s="4">
        <v>0.01</v>
      </c>
      <c r="AC220" s="4" t="s">
        <v>138</v>
      </c>
      <c r="AD220" s="4">
        <v>0.9</v>
      </c>
      <c r="AE220" s="4">
        <v>0.5</v>
      </c>
      <c r="AF220" s="4">
        <v>0.6</v>
      </c>
      <c r="AG220" s="4">
        <v>0.36</v>
      </c>
      <c r="AH220" s="6">
        <v>574.13793899999996</v>
      </c>
      <c r="AI220" s="4">
        <v>1E-3</v>
      </c>
      <c r="AJ220" s="5"/>
      <c r="AK220" s="5"/>
      <c r="AL220" s="5"/>
      <c r="AM220" s="5"/>
      <c r="AO220" s="4" t="s">
        <v>139</v>
      </c>
      <c r="AP220" s="4">
        <v>0.9</v>
      </c>
      <c r="AQ220" s="4">
        <v>0.5</v>
      </c>
      <c r="AR220" s="4">
        <v>0.6</v>
      </c>
      <c r="AS220" s="4">
        <v>0.73</v>
      </c>
      <c r="AT220" s="4">
        <v>1019.806213</v>
      </c>
      <c r="AU220" s="4">
        <v>3.2000000000000001E-2</v>
      </c>
      <c r="AW220" s="4" t="s">
        <v>139</v>
      </c>
      <c r="AX220" s="4">
        <v>0.9</v>
      </c>
      <c r="AY220" s="4">
        <v>0.5</v>
      </c>
      <c r="AZ220" s="4">
        <v>0.6</v>
      </c>
      <c r="BA220" s="4">
        <v>0.35</v>
      </c>
      <c r="BB220" s="6">
        <v>909.79162599999995</v>
      </c>
      <c r="BC220" s="4">
        <v>8.0000000000000002E-3</v>
      </c>
      <c r="BD220" s="5"/>
      <c r="BE220" s="5"/>
      <c r="BF220" s="5"/>
      <c r="BG220" s="5"/>
      <c r="BI220" s="4" t="s">
        <v>139</v>
      </c>
      <c r="BJ220" s="4">
        <v>0.9</v>
      </c>
      <c r="BK220" s="4">
        <v>0.5</v>
      </c>
      <c r="BL220" s="4">
        <v>0.6</v>
      </c>
      <c r="BM220" s="4">
        <v>0.52</v>
      </c>
      <c r="BN220" s="4">
        <v>944.72619599999996</v>
      </c>
      <c r="BO220" s="4">
        <v>3.5000000000000003E-2</v>
      </c>
      <c r="BQ220" s="4" t="s">
        <v>139</v>
      </c>
      <c r="BR220" s="4">
        <v>0.9</v>
      </c>
      <c r="BS220" s="4">
        <v>0.5</v>
      </c>
      <c r="BT220" s="4">
        <v>0.6</v>
      </c>
      <c r="BU220" s="4">
        <v>0.31</v>
      </c>
      <c r="BV220" s="6">
        <v>852.17553699999996</v>
      </c>
      <c r="BW220" s="4">
        <v>6.0000000000000001E-3</v>
      </c>
      <c r="BX220" s="5"/>
      <c r="BY220" s="5"/>
      <c r="BZ220" s="5"/>
      <c r="CA220" s="5"/>
    </row>
    <row r="221" spans="1:79" x14ac:dyDescent="0.3">
      <c r="A221" s="4" t="s">
        <v>140</v>
      </c>
      <c r="B221" s="4">
        <v>0.9</v>
      </c>
      <c r="C221" s="4">
        <v>0.5</v>
      </c>
      <c r="D221" s="4">
        <v>0.6</v>
      </c>
      <c r="E221" s="4">
        <v>0.41</v>
      </c>
      <c r="F221" s="4">
        <v>635.02893100000006</v>
      </c>
      <c r="G221" s="4">
        <v>1.0999999999999999E-2</v>
      </c>
      <c r="I221" s="4" t="s">
        <v>140</v>
      </c>
      <c r="J221" s="4">
        <v>0.9</v>
      </c>
      <c r="K221" s="4">
        <v>0.5</v>
      </c>
      <c r="L221" s="4">
        <v>0.6</v>
      </c>
      <c r="M221" s="4">
        <v>0.32</v>
      </c>
      <c r="N221" s="6">
        <v>597.69976799999995</v>
      </c>
      <c r="O221" s="4">
        <v>2E-3</v>
      </c>
      <c r="P221" s="5"/>
      <c r="Q221" s="5"/>
      <c r="R221" s="5"/>
      <c r="S221" s="5"/>
      <c r="U221" s="4" t="s">
        <v>140</v>
      </c>
      <c r="V221" s="4">
        <v>0.9</v>
      </c>
      <c r="W221" s="4">
        <v>0.5</v>
      </c>
      <c r="X221" s="4">
        <v>0.6</v>
      </c>
      <c r="Y221" s="4">
        <v>0.64</v>
      </c>
      <c r="Z221" s="4">
        <v>645.60797100000002</v>
      </c>
      <c r="AA221" s="4">
        <v>1.9E-2</v>
      </c>
      <c r="AC221" s="4" t="s">
        <v>140</v>
      </c>
      <c r="AD221" s="4">
        <v>0.9</v>
      </c>
      <c r="AE221" s="4">
        <v>0.5</v>
      </c>
      <c r="AF221" s="4">
        <v>0.6</v>
      </c>
      <c r="AG221" s="4">
        <v>0.39</v>
      </c>
      <c r="AH221" s="6">
        <v>580.28814699999998</v>
      </c>
      <c r="AI221" s="4">
        <v>2E-3</v>
      </c>
      <c r="AJ221" s="5"/>
      <c r="AK221" s="5"/>
      <c r="AL221" s="5"/>
      <c r="AM221" s="5"/>
      <c r="AO221" s="4" t="s">
        <v>141</v>
      </c>
      <c r="AP221" s="4">
        <v>0.9</v>
      </c>
      <c r="AQ221" s="4">
        <v>0.5</v>
      </c>
      <c r="AR221" s="4">
        <v>0.6</v>
      </c>
      <c r="AS221" s="4">
        <v>0.47</v>
      </c>
      <c r="AT221" s="4">
        <v>1007.917786</v>
      </c>
      <c r="AU221" s="4">
        <v>2.5000000000000001E-2</v>
      </c>
      <c r="AW221" s="4" t="s">
        <v>141</v>
      </c>
      <c r="AX221" s="4">
        <v>0.9</v>
      </c>
      <c r="AY221" s="4">
        <v>0.5</v>
      </c>
      <c r="AZ221" s="4">
        <v>0.6</v>
      </c>
      <c r="BA221" s="4">
        <v>0.32</v>
      </c>
      <c r="BB221" s="6">
        <v>955.86755400000004</v>
      </c>
      <c r="BC221" s="4">
        <v>7.0000000000000001E-3</v>
      </c>
      <c r="BD221" s="5"/>
      <c r="BE221" s="5"/>
      <c r="BF221" s="5"/>
      <c r="BG221" s="5"/>
      <c r="BI221" s="4" t="s">
        <v>141</v>
      </c>
      <c r="BJ221" s="4">
        <v>0.9</v>
      </c>
      <c r="BK221" s="4">
        <v>0.5</v>
      </c>
      <c r="BL221" s="4">
        <v>0.6</v>
      </c>
      <c r="BM221" s="4">
        <v>0.36</v>
      </c>
      <c r="BN221" s="4">
        <v>934.14276099999995</v>
      </c>
      <c r="BO221" s="4">
        <v>2.5000000000000001E-2</v>
      </c>
      <c r="BQ221" s="4" t="s">
        <v>141</v>
      </c>
      <c r="BR221" s="4">
        <v>0.9</v>
      </c>
      <c r="BS221" s="4">
        <v>0.5</v>
      </c>
      <c r="BT221" s="4">
        <v>0.6</v>
      </c>
      <c r="BU221" s="4">
        <v>0.3</v>
      </c>
      <c r="BV221" s="6">
        <v>922.22393799999998</v>
      </c>
      <c r="BW221" s="4">
        <v>5.0000000000000001E-3</v>
      </c>
      <c r="BX221" s="5"/>
      <c r="BY221" s="5"/>
      <c r="BZ221" s="5"/>
      <c r="CA221" s="5"/>
    </row>
    <row r="222" spans="1:79" x14ac:dyDescent="0.3">
      <c r="A222" s="4" t="s">
        <v>142</v>
      </c>
      <c r="B222" s="4">
        <v>0.9</v>
      </c>
      <c r="C222" s="4">
        <v>0.5</v>
      </c>
      <c r="D222" s="4">
        <v>0.6</v>
      </c>
      <c r="E222" s="4">
        <v>0.57999999999999996</v>
      </c>
      <c r="F222" s="4">
        <v>570.22283900000002</v>
      </c>
      <c r="G222" s="4">
        <v>1.0999999999999999E-2</v>
      </c>
      <c r="I222" s="4" t="s">
        <v>142</v>
      </c>
      <c r="J222" s="4">
        <v>0.9</v>
      </c>
      <c r="K222" s="4">
        <v>0.5</v>
      </c>
      <c r="L222" s="4">
        <v>0.6</v>
      </c>
      <c r="M222" s="4">
        <v>0.33</v>
      </c>
      <c r="N222" s="6">
        <v>542.69671600000004</v>
      </c>
      <c r="O222" s="4">
        <v>2E-3</v>
      </c>
      <c r="P222" s="5"/>
      <c r="Q222" s="5"/>
      <c r="R222" s="5"/>
      <c r="S222" s="5"/>
      <c r="U222" s="4" t="s">
        <v>142</v>
      </c>
      <c r="V222" s="4">
        <v>0.9</v>
      </c>
      <c r="W222" s="4">
        <v>0.5</v>
      </c>
      <c r="X222" s="4">
        <v>0.6</v>
      </c>
      <c r="Y222" s="4">
        <v>0.52</v>
      </c>
      <c r="Z222" s="4">
        <v>491.19515999999999</v>
      </c>
      <c r="AA222" s="4">
        <v>7.0000000000000001E-3</v>
      </c>
      <c r="AC222" s="4" t="s">
        <v>142</v>
      </c>
      <c r="AD222" s="4">
        <v>0.9</v>
      </c>
      <c r="AE222" s="4">
        <v>0.5</v>
      </c>
      <c r="AF222" s="4">
        <v>0.6</v>
      </c>
      <c r="AG222" s="4">
        <v>0.31</v>
      </c>
      <c r="AH222" s="6">
        <v>452.684845</v>
      </c>
      <c r="AI222" s="4">
        <v>3.0000000000000001E-3</v>
      </c>
      <c r="AJ222" s="5"/>
      <c r="AK222" s="5"/>
      <c r="AL222" s="5"/>
      <c r="AM222" s="5"/>
      <c r="AO222" s="4" t="s">
        <v>143</v>
      </c>
      <c r="AP222" s="4">
        <v>0.9</v>
      </c>
      <c r="AQ222" s="4">
        <v>0.5</v>
      </c>
      <c r="AR222" s="4">
        <v>0.6</v>
      </c>
      <c r="AS222" s="4">
        <v>0.44</v>
      </c>
      <c r="AT222" s="4">
        <v>956.38189699999998</v>
      </c>
      <c r="AU222" s="4">
        <v>1.4999999999999999E-2</v>
      </c>
      <c r="AW222" s="4" t="s">
        <v>143</v>
      </c>
      <c r="AX222" s="4">
        <v>0.9</v>
      </c>
      <c r="AY222" s="4">
        <v>0.5</v>
      </c>
      <c r="AZ222" s="4">
        <v>0.6</v>
      </c>
      <c r="BA222" s="4">
        <v>0.3</v>
      </c>
      <c r="BB222" s="6">
        <v>923.76434300000005</v>
      </c>
      <c r="BC222" s="4">
        <v>6.0000000000000001E-3</v>
      </c>
      <c r="BD222" s="5"/>
      <c r="BE222" s="5"/>
      <c r="BF222" s="5"/>
      <c r="BG222" s="5"/>
      <c r="BI222" s="4" t="s">
        <v>143</v>
      </c>
      <c r="BJ222" s="4">
        <v>0.9</v>
      </c>
      <c r="BK222" s="4">
        <v>0.5</v>
      </c>
      <c r="BL222" s="4">
        <v>0.6</v>
      </c>
      <c r="BM222" s="4">
        <v>0.68</v>
      </c>
      <c r="BN222" s="4">
        <v>968.29315199999996</v>
      </c>
      <c r="BO222" s="4">
        <v>3.3000000000000002E-2</v>
      </c>
      <c r="BQ222" s="4" t="s">
        <v>143</v>
      </c>
      <c r="BR222" s="4">
        <v>0.9</v>
      </c>
      <c r="BS222" s="4">
        <v>0.5</v>
      </c>
      <c r="BT222" s="4">
        <v>0.6</v>
      </c>
      <c r="BU222" s="4">
        <v>0.3</v>
      </c>
      <c r="BV222" s="6">
        <v>851.886841</v>
      </c>
      <c r="BW222" s="4">
        <v>8.0000000000000002E-3</v>
      </c>
      <c r="BX222" s="5"/>
      <c r="BY222" s="5"/>
      <c r="BZ222" s="5"/>
      <c r="CA222" s="5"/>
    </row>
    <row r="223" spans="1:79" x14ac:dyDescent="0.3">
      <c r="A223" s="4" t="s">
        <v>144</v>
      </c>
      <c r="B223" s="4">
        <v>0.9</v>
      </c>
      <c r="C223" s="4">
        <v>0.5</v>
      </c>
      <c r="D223" s="4">
        <v>0.6</v>
      </c>
      <c r="E223" s="4">
        <v>0.56999999999999995</v>
      </c>
      <c r="F223" s="4">
        <v>655.37719700000002</v>
      </c>
      <c r="G223" s="4">
        <v>0.01</v>
      </c>
      <c r="I223" s="4" t="s">
        <v>144</v>
      </c>
      <c r="J223" s="4">
        <v>0.9</v>
      </c>
      <c r="K223" s="4">
        <v>0.5</v>
      </c>
      <c r="L223" s="4">
        <v>0.6</v>
      </c>
      <c r="M223" s="4">
        <v>0.34</v>
      </c>
      <c r="N223" s="6">
        <v>630.65838599999995</v>
      </c>
      <c r="O223" s="4">
        <v>2E-3</v>
      </c>
      <c r="P223" s="5"/>
      <c r="Q223" s="5"/>
      <c r="R223" s="5"/>
      <c r="S223" s="5"/>
      <c r="U223" s="4" t="s">
        <v>144</v>
      </c>
      <c r="V223" s="4">
        <v>0.9</v>
      </c>
      <c r="W223" s="4">
        <v>0.5</v>
      </c>
      <c r="X223" s="4">
        <v>0.6</v>
      </c>
      <c r="Y223" s="4">
        <v>0.54</v>
      </c>
      <c r="Z223" s="6">
        <v>623.79595900000004</v>
      </c>
      <c r="AA223" s="4">
        <v>1.4999999999999999E-2</v>
      </c>
      <c r="AC223" s="4" t="s">
        <v>144</v>
      </c>
      <c r="AD223" s="4">
        <v>0.9</v>
      </c>
      <c r="AE223" s="4">
        <v>0.5</v>
      </c>
      <c r="AF223" s="4">
        <v>0.6</v>
      </c>
      <c r="AG223" s="4">
        <v>0.3</v>
      </c>
      <c r="AH223" s="4">
        <v>580.29516599999999</v>
      </c>
      <c r="AI223" s="4">
        <v>1E-3</v>
      </c>
      <c r="AJ223" s="5"/>
      <c r="AK223" s="5"/>
      <c r="AL223" s="5"/>
      <c r="AM223" s="5"/>
      <c r="AO223" s="4" t="s">
        <v>145</v>
      </c>
      <c r="AP223" s="4">
        <v>0.9</v>
      </c>
      <c r="AQ223" s="4">
        <v>0.5</v>
      </c>
      <c r="AR223" s="4">
        <v>0.6</v>
      </c>
      <c r="AS223" s="4">
        <v>0.5</v>
      </c>
      <c r="AT223" s="4">
        <v>984.19201699999996</v>
      </c>
      <c r="AU223" s="4">
        <v>1.7999999999999999E-2</v>
      </c>
      <c r="AW223" s="4" t="s">
        <v>145</v>
      </c>
      <c r="AX223" s="4">
        <v>0.9</v>
      </c>
      <c r="AY223" s="4">
        <v>0.5</v>
      </c>
      <c r="AZ223" s="4">
        <v>0.6</v>
      </c>
      <c r="BA223" s="4">
        <v>0.34</v>
      </c>
      <c r="BB223" s="6">
        <v>912.169128</v>
      </c>
      <c r="BC223" s="4">
        <v>8.9999999999999993E-3</v>
      </c>
      <c r="BD223" s="5"/>
      <c r="BE223" s="5"/>
      <c r="BF223" s="5"/>
      <c r="BG223" s="5"/>
      <c r="BI223" s="4" t="s">
        <v>145</v>
      </c>
      <c r="BJ223" s="4">
        <v>0.9</v>
      </c>
      <c r="BK223" s="4">
        <v>0.5</v>
      </c>
      <c r="BL223" s="4">
        <v>0.6</v>
      </c>
      <c r="BM223" s="4">
        <v>0.75</v>
      </c>
      <c r="BN223" s="4">
        <v>1004.633545</v>
      </c>
      <c r="BO223" s="4">
        <v>2.5999999999999999E-2</v>
      </c>
      <c r="BQ223" s="4" t="s">
        <v>145</v>
      </c>
      <c r="BR223" s="4">
        <v>0.9</v>
      </c>
      <c r="BS223" s="4">
        <v>0.5</v>
      </c>
      <c r="BT223" s="4">
        <v>0.6</v>
      </c>
      <c r="BU223" s="4">
        <v>0.33</v>
      </c>
      <c r="BV223" s="6">
        <v>874.55828899999995</v>
      </c>
      <c r="BW223" s="4">
        <v>5.0000000000000001E-3</v>
      </c>
      <c r="BX223" s="5"/>
      <c r="BY223" s="5"/>
      <c r="BZ223" s="5"/>
      <c r="CA223" s="5"/>
    </row>
    <row r="224" spans="1:79" x14ac:dyDescent="0.3">
      <c r="A224" s="4" t="s">
        <v>146</v>
      </c>
      <c r="B224" s="4">
        <v>0.9</v>
      </c>
      <c r="C224" s="4">
        <v>0.5</v>
      </c>
      <c r="D224" s="4">
        <v>0.6</v>
      </c>
      <c r="E224" s="4">
        <v>0.83</v>
      </c>
      <c r="F224" s="4">
        <v>623.07153300000004</v>
      </c>
      <c r="G224" s="4">
        <v>1.2E-2</v>
      </c>
      <c r="I224" s="4" t="s">
        <v>146</v>
      </c>
      <c r="J224" s="4">
        <v>0.9</v>
      </c>
      <c r="K224" s="4">
        <v>0.5</v>
      </c>
      <c r="L224" s="4">
        <v>0.6</v>
      </c>
      <c r="M224" s="4">
        <v>0.35</v>
      </c>
      <c r="N224" s="6">
        <v>560.43963599999995</v>
      </c>
      <c r="O224" s="4">
        <v>1E-3</v>
      </c>
      <c r="P224" s="5"/>
      <c r="Q224" s="5"/>
      <c r="R224" s="5"/>
      <c r="S224" s="5"/>
      <c r="U224" s="4" t="s">
        <v>146</v>
      </c>
      <c r="V224" s="4">
        <v>0.9</v>
      </c>
      <c r="W224" s="4">
        <v>0.5</v>
      </c>
      <c r="X224" s="4">
        <v>0.6</v>
      </c>
      <c r="Y224" s="4">
        <v>0.32</v>
      </c>
      <c r="Z224" s="6">
        <v>486.22427399999998</v>
      </c>
      <c r="AA224" s="4">
        <v>1.2E-2</v>
      </c>
      <c r="AC224" s="4" t="s">
        <v>146</v>
      </c>
      <c r="AD224" s="4">
        <v>0.9</v>
      </c>
      <c r="AE224" s="4">
        <v>0.5</v>
      </c>
      <c r="AF224" s="4">
        <v>0.6</v>
      </c>
      <c r="AG224" s="4">
        <v>0.3</v>
      </c>
      <c r="AH224" s="4">
        <v>500.38897700000001</v>
      </c>
      <c r="AI224" s="4">
        <v>2E-3</v>
      </c>
      <c r="AJ224" s="5"/>
      <c r="AK224" s="5"/>
      <c r="AL224" s="5"/>
      <c r="AM224" s="5"/>
      <c r="AO224" s="4" t="s">
        <v>147</v>
      </c>
      <c r="AP224" s="4">
        <v>0.9</v>
      </c>
      <c r="AQ224" s="4">
        <v>0.5</v>
      </c>
      <c r="AR224" s="4">
        <v>0.6</v>
      </c>
      <c r="AS224" s="4">
        <v>0.98</v>
      </c>
      <c r="AT224" s="4">
        <v>1036.6354980000001</v>
      </c>
      <c r="AU224" s="4">
        <v>1.4E-2</v>
      </c>
      <c r="AW224" s="4" t="s">
        <v>147</v>
      </c>
      <c r="AX224" s="4">
        <v>0.9</v>
      </c>
      <c r="AY224" s="4">
        <v>0.5</v>
      </c>
      <c r="AZ224" s="4">
        <v>0.6</v>
      </c>
      <c r="BA224" s="4">
        <v>0.3</v>
      </c>
      <c r="BB224" s="6">
        <v>885.20202600000005</v>
      </c>
      <c r="BC224" s="4">
        <v>6.0000000000000001E-3</v>
      </c>
      <c r="BD224" s="5"/>
      <c r="BE224" s="5"/>
      <c r="BF224" s="5"/>
      <c r="BG224" s="5"/>
      <c r="BI224" s="4" t="s">
        <v>147</v>
      </c>
      <c r="BJ224" s="4">
        <v>0.9</v>
      </c>
      <c r="BK224" s="4">
        <v>0.5</v>
      </c>
      <c r="BL224" s="4">
        <v>0.6</v>
      </c>
      <c r="BM224" s="4">
        <v>0.99</v>
      </c>
      <c r="BN224" s="4">
        <v>989.96929899999998</v>
      </c>
      <c r="BO224" s="4">
        <v>3.3000000000000002E-2</v>
      </c>
      <c r="BQ224" s="4" t="s">
        <v>147</v>
      </c>
      <c r="BR224" s="4">
        <v>0.9</v>
      </c>
      <c r="BS224" s="4">
        <v>0.5</v>
      </c>
      <c r="BT224" s="4">
        <v>0.6</v>
      </c>
      <c r="BU224" s="4">
        <v>0.3</v>
      </c>
      <c r="BV224" s="6">
        <v>815.22760000000005</v>
      </c>
      <c r="BW224" s="4">
        <v>0.01</v>
      </c>
      <c r="BX224" s="5"/>
      <c r="BY224" s="5"/>
      <c r="BZ224" s="5"/>
      <c r="CA224" s="5"/>
    </row>
    <row r="225" spans="1:79" x14ac:dyDescent="0.3">
      <c r="A225" s="4" t="s">
        <v>148</v>
      </c>
      <c r="B225" s="4">
        <v>0.9</v>
      </c>
      <c r="C225" s="4">
        <v>0.5</v>
      </c>
      <c r="D225" s="4">
        <v>0.6</v>
      </c>
      <c r="E225" s="4">
        <v>0.55000000000000004</v>
      </c>
      <c r="F225" s="4">
        <v>650.90686000000005</v>
      </c>
      <c r="G225" s="4">
        <v>1.4E-2</v>
      </c>
      <c r="I225" s="4" t="s">
        <v>148</v>
      </c>
      <c r="J225" s="4">
        <v>0.9</v>
      </c>
      <c r="K225" s="4">
        <v>0.5</v>
      </c>
      <c r="L225" s="4">
        <v>0.6</v>
      </c>
      <c r="M225" s="4">
        <v>0.32</v>
      </c>
      <c r="N225" s="6">
        <v>604.33557099999996</v>
      </c>
      <c r="O225" s="4">
        <v>2E-3</v>
      </c>
      <c r="P225" s="5"/>
      <c r="Q225" s="5"/>
      <c r="R225" s="5"/>
      <c r="S225" s="5"/>
      <c r="U225" s="4" t="s">
        <v>148</v>
      </c>
      <c r="V225" s="4">
        <v>0.9</v>
      </c>
      <c r="W225" s="4">
        <v>0.5</v>
      </c>
      <c r="X225" s="4">
        <v>0.6</v>
      </c>
      <c r="Y225" s="4">
        <v>0.13</v>
      </c>
      <c r="Z225" s="6">
        <v>500.84716800000001</v>
      </c>
      <c r="AA225" s="4">
        <v>8.9999999999999993E-3</v>
      </c>
      <c r="AC225" s="4" t="s">
        <v>148</v>
      </c>
      <c r="AD225" s="4">
        <v>0.9</v>
      </c>
      <c r="AE225" s="4">
        <v>0.5</v>
      </c>
      <c r="AF225" s="4">
        <v>0.6</v>
      </c>
      <c r="AG225" s="4">
        <v>0.31</v>
      </c>
      <c r="AH225" s="4">
        <v>572.03344700000002</v>
      </c>
      <c r="AI225" s="4">
        <v>2E-3</v>
      </c>
      <c r="AJ225" s="5"/>
      <c r="AK225" s="5"/>
      <c r="AL225" s="5"/>
      <c r="AM225" s="5"/>
      <c r="AO225" s="4" t="s">
        <v>149</v>
      </c>
      <c r="AP225" s="4">
        <v>0.9</v>
      </c>
      <c r="AQ225" s="4">
        <v>0.5</v>
      </c>
      <c r="AR225" s="4">
        <v>0.6</v>
      </c>
      <c r="AS225" s="4">
        <v>0.83</v>
      </c>
      <c r="AT225" s="4">
        <v>985.15521200000001</v>
      </c>
      <c r="AU225" s="4">
        <v>2.4E-2</v>
      </c>
      <c r="AW225" s="4" t="s">
        <v>149</v>
      </c>
      <c r="AX225" s="4">
        <v>0.9</v>
      </c>
      <c r="AY225" s="4">
        <v>0.5</v>
      </c>
      <c r="AZ225" s="4">
        <v>0.6</v>
      </c>
      <c r="BA225" s="4">
        <v>0.33</v>
      </c>
      <c r="BB225" s="6">
        <v>895.31732199999999</v>
      </c>
      <c r="BC225" s="4">
        <v>7.0000000000000001E-3</v>
      </c>
      <c r="BD225" s="5"/>
      <c r="BE225" s="5"/>
      <c r="BF225" s="5"/>
      <c r="BG225" s="5"/>
      <c r="BI225" s="4" t="s">
        <v>149</v>
      </c>
      <c r="BJ225" s="4">
        <v>0.9</v>
      </c>
      <c r="BK225" s="4">
        <v>0.5</v>
      </c>
      <c r="BL225" s="4">
        <v>0.6</v>
      </c>
      <c r="BM225" s="4">
        <v>0.32</v>
      </c>
      <c r="BN225" s="4">
        <v>844.99890100000005</v>
      </c>
      <c r="BO225" s="4">
        <v>1.7999999999999999E-2</v>
      </c>
      <c r="BQ225" s="4" t="s">
        <v>149</v>
      </c>
      <c r="BR225" s="4">
        <v>0.9</v>
      </c>
      <c r="BS225" s="4">
        <v>0.5</v>
      </c>
      <c r="BT225" s="4">
        <v>0.6</v>
      </c>
      <c r="BU225" s="4">
        <v>0.3</v>
      </c>
      <c r="BV225" s="6">
        <v>816.277466</v>
      </c>
      <c r="BW225" s="4">
        <v>6.0000000000000001E-3</v>
      </c>
      <c r="BX225" s="5"/>
      <c r="BY225" s="5"/>
      <c r="BZ225" s="5"/>
      <c r="CA225" s="5"/>
    </row>
    <row r="226" spans="1:79" x14ac:dyDescent="0.3">
      <c r="A226" s="4" t="s">
        <v>150</v>
      </c>
      <c r="B226" s="4">
        <v>0.9</v>
      </c>
      <c r="C226" s="4">
        <v>0.5</v>
      </c>
      <c r="D226" s="4">
        <v>0.6</v>
      </c>
      <c r="E226" s="4">
        <v>0.26</v>
      </c>
      <c r="F226" s="4">
        <v>539.45971699999996</v>
      </c>
      <c r="G226" s="4">
        <v>2.4E-2</v>
      </c>
      <c r="I226" s="4" t="s">
        <v>150</v>
      </c>
      <c r="J226" s="4">
        <v>0.9</v>
      </c>
      <c r="K226" s="4">
        <v>0.5</v>
      </c>
      <c r="L226" s="4">
        <v>0.6</v>
      </c>
      <c r="M226" s="4">
        <v>0.34</v>
      </c>
      <c r="N226" s="4">
        <v>549.73461899999995</v>
      </c>
      <c r="O226" s="4">
        <v>3.0000000000000001E-3</v>
      </c>
      <c r="P226" s="5"/>
      <c r="Q226" s="5"/>
      <c r="R226" s="5"/>
      <c r="S226" s="5"/>
      <c r="U226" s="4" t="s">
        <v>150</v>
      </c>
      <c r="V226" s="4">
        <v>0.9</v>
      </c>
      <c r="W226" s="4">
        <v>0.5</v>
      </c>
      <c r="X226" s="4">
        <v>0.6</v>
      </c>
      <c r="Y226" s="4">
        <v>0.74</v>
      </c>
      <c r="Z226" s="4">
        <v>596.15325900000005</v>
      </c>
      <c r="AA226" s="4">
        <v>1.2E-2</v>
      </c>
      <c r="AC226" s="4" t="s">
        <v>150</v>
      </c>
      <c r="AD226" s="4">
        <v>0.9</v>
      </c>
      <c r="AE226" s="4">
        <v>0.5</v>
      </c>
      <c r="AF226" s="4">
        <v>0.6</v>
      </c>
      <c r="AG226" s="4">
        <v>0.3</v>
      </c>
      <c r="AH226" s="6">
        <v>473.03066999999999</v>
      </c>
      <c r="AI226" s="4">
        <v>2E-3</v>
      </c>
      <c r="AJ226" s="5"/>
      <c r="AK226" s="5"/>
      <c r="AL226" s="5"/>
      <c r="AM226" s="5"/>
      <c r="AO226" s="4" t="s">
        <v>151</v>
      </c>
      <c r="AP226" s="4">
        <v>0.9</v>
      </c>
      <c r="AQ226" s="4">
        <v>0.5</v>
      </c>
      <c r="AR226" s="4">
        <v>0.6</v>
      </c>
      <c r="AS226" s="4">
        <v>0.02</v>
      </c>
      <c r="AT226" s="6">
        <v>691.52972399999999</v>
      </c>
      <c r="AU226" s="4">
        <v>2.1999999999999999E-2</v>
      </c>
      <c r="AW226" s="4" t="s">
        <v>151</v>
      </c>
      <c r="AX226" s="4">
        <v>0.9</v>
      </c>
      <c r="AY226" s="4">
        <v>0.5</v>
      </c>
      <c r="AZ226" s="4">
        <v>0.6</v>
      </c>
      <c r="BA226" s="4">
        <v>0.3</v>
      </c>
      <c r="BB226" s="4">
        <v>826.88195800000005</v>
      </c>
      <c r="BC226" s="4">
        <v>8.0000000000000002E-3</v>
      </c>
      <c r="BD226" s="5"/>
      <c r="BE226" s="5"/>
      <c r="BF226" s="5"/>
      <c r="BG226" s="5"/>
      <c r="BI226" s="4" t="s">
        <v>151</v>
      </c>
      <c r="BJ226" s="4">
        <v>0.9</v>
      </c>
      <c r="BK226" s="4">
        <v>0.5</v>
      </c>
      <c r="BL226" s="4">
        <v>0.6</v>
      </c>
      <c r="BM226" s="4">
        <v>0.82</v>
      </c>
      <c r="BN226" s="4">
        <v>896.35540800000001</v>
      </c>
      <c r="BO226" s="4">
        <v>2.8000000000000001E-2</v>
      </c>
      <c r="BQ226" s="4" t="s">
        <v>151</v>
      </c>
      <c r="BR226" s="4">
        <v>0.9</v>
      </c>
      <c r="BS226" s="4">
        <v>0.5</v>
      </c>
      <c r="BT226" s="4">
        <v>0.6</v>
      </c>
      <c r="BU226" s="4">
        <v>0.3</v>
      </c>
      <c r="BV226" s="6">
        <v>746.89660600000002</v>
      </c>
      <c r="BW226" s="4">
        <v>5.0000000000000001E-3</v>
      </c>
      <c r="BX226" s="5"/>
      <c r="BY226" s="5"/>
      <c r="BZ226" s="5"/>
      <c r="CA226" s="5"/>
    </row>
    <row r="227" spans="1:79" x14ac:dyDescent="0.3">
      <c r="A227" s="4" t="s">
        <v>152</v>
      </c>
      <c r="B227" s="4">
        <v>0.9</v>
      </c>
      <c r="C227" s="4">
        <v>0.5</v>
      </c>
      <c r="D227" s="4">
        <v>0.6</v>
      </c>
      <c r="E227" s="4">
        <v>0.7</v>
      </c>
      <c r="F227" s="6">
        <v>633.68743900000004</v>
      </c>
      <c r="G227" s="4">
        <v>1.6E-2</v>
      </c>
      <c r="I227" s="4" t="s">
        <v>152</v>
      </c>
      <c r="J227" s="4">
        <v>0.9</v>
      </c>
      <c r="K227" s="4">
        <v>0.5</v>
      </c>
      <c r="L227" s="4">
        <v>0.6</v>
      </c>
      <c r="M227" s="4">
        <v>0.3</v>
      </c>
      <c r="N227" s="6">
        <v>590.42382799999996</v>
      </c>
      <c r="O227" s="4">
        <v>2E-3</v>
      </c>
      <c r="P227" s="5"/>
      <c r="Q227" s="5"/>
      <c r="R227" s="5"/>
      <c r="S227" s="5"/>
      <c r="U227" s="4" t="s">
        <v>152</v>
      </c>
      <c r="V227" s="4">
        <v>0.9</v>
      </c>
      <c r="W227" s="4">
        <v>0.5</v>
      </c>
      <c r="X227" s="4">
        <v>0.6</v>
      </c>
      <c r="Y227" s="4">
        <v>0.67</v>
      </c>
      <c r="Z227" s="4">
        <v>615.50964399999998</v>
      </c>
      <c r="AA227" s="4">
        <v>2.5000000000000001E-2</v>
      </c>
      <c r="AC227" s="4" t="s">
        <v>152</v>
      </c>
      <c r="AD227" s="4">
        <v>0.9</v>
      </c>
      <c r="AE227" s="4">
        <v>0.5</v>
      </c>
      <c r="AF227" s="4">
        <v>0.6</v>
      </c>
      <c r="AG227" s="4">
        <v>0.36</v>
      </c>
      <c r="AH227" s="6">
        <v>553.47735599999999</v>
      </c>
      <c r="AI227" s="4">
        <v>1E-3</v>
      </c>
      <c r="AJ227" s="5"/>
      <c r="AK227" s="5"/>
      <c r="AL227" s="5"/>
      <c r="AM227" s="5"/>
      <c r="AO227" s="4" t="s">
        <v>153</v>
      </c>
      <c r="AP227" s="4">
        <v>0.9</v>
      </c>
      <c r="AQ227" s="4">
        <v>0.5</v>
      </c>
      <c r="AR227" s="4">
        <v>0.6</v>
      </c>
      <c r="AS227" s="4">
        <v>0.84</v>
      </c>
      <c r="AT227" s="4">
        <v>1042.763062</v>
      </c>
      <c r="AU227" s="4">
        <v>1.7000000000000001E-2</v>
      </c>
      <c r="AW227" s="4" t="s">
        <v>153</v>
      </c>
      <c r="AX227" s="4">
        <v>0.9</v>
      </c>
      <c r="AY227" s="4">
        <v>0.5</v>
      </c>
      <c r="AZ227" s="4">
        <v>0.6</v>
      </c>
      <c r="BA227" s="4">
        <v>0.31</v>
      </c>
      <c r="BB227" s="6">
        <v>887.00897199999997</v>
      </c>
      <c r="BC227" s="4">
        <v>6.0000000000000001E-3</v>
      </c>
      <c r="BD227" s="5"/>
      <c r="BE227" s="5"/>
      <c r="BF227" s="5"/>
      <c r="BG227" s="5"/>
      <c r="BI227" s="4" t="s">
        <v>153</v>
      </c>
      <c r="BJ227" s="4">
        <v>0.9</v>
      </c>
      <c r="BK227" s="4">
        <v>0.5</v>
      </c>
      <c r="BL227" s="4">
        <v>0.6</v>
      </c>
      <c r="BM227" s="4">
        <v>0.05</v>
      </c>
      <c r="BN227" s="6">
        <v>703.79400599999997</v>
      </c>
      <c r="BO227" s="4">
        <v>3.5000000000000003E-2</v>
      </c>
      <c r="BQ227" s="4" t="s">
        <v>153</v>
      </c>
      <c r="BR227" s="4">
        <v>0.9</v>
      </c>
      <c r="BS227" s="4">
        <v>0.5</v>
      </c>
      <c r="BT227" s="4">
        <v>0.6</v>
      </c>
      <c r="BU227" s="4">
        <v>0.36</v>
      </c>
      <c r="BV227" s="4">
        <v>830.96936000000005</v>
      </c>
      <c r="BW227" s="4">
        <v>6.0000000000000001E-3</v>
      </c>
      <c r="BX227" s="5"/>
      <c r="BY227" s="5"/>
      <c r="BZ227" s="5"/>
      <c r="CA227" s="5"/>
    </row>
    <row r="228" spans="1:79" x14ac:dyDescent="0.3">
      <c r="A228" s="4" t="s">
        <v>154</v>
      </c>
      <c r="B228" s="4">
        <v>0.9</v>
      </c>
      <c r="C228" s="4">
        <v>0.5</v>
      </c>
      <c r="D228" s="4">
        <v>0.6</v>
      </c>
      <c r="E228" s="4">
        <v>0.34</v>
      </c>
      <c r="F228" s="4">
        <v>625.53698699999995</v>
      </c>
      <c r="G228" s="4">
        <v>1.6E-2</v>
      </c>
      <c r="I228" s="4" t="s">
        <v>154</v>
      </c>
      <c r="J228" s="4">
        <v>0.9</v>
      </c>
      <c r="K228" s="4">
        <v>0.5</v>
      </c>
      <c r="L228" s="4">
        <v>0.6</v>
      </c>
      <c r="M228" s="4">
        <v>0.3</v>
      </c>
      <c r="N228" s="6">
        <v>605.48040800000001</v>
      </c>
      <c r="O228" s="4">
        <v>2E-3</v>
      </c>
      <c r="P228" s="5"/>
      <c r="Q228" s="5"/>
      <c r="R228" s="5"/>
      <c r="S228" s="5"/>
      <c r="U228" s="4" t="s">
        <v>154</v>
      </c>
      <c r="V228" s="4">
        <v>0.9</v>
      </c>
      <c r="W228" s="4">
        <v>0.5</v>
      </c>
      <c r="X228" s="4">
        <v>0.6</v>
      </c>
      <c r="Y228" s="4">
        <v>0.86</v>
      </c>
      <c r="Z228" s="4">
        <v>670.85522500000002</v>
      </c>
      <c r="AA228" s="4">
        <v>2.4E-2</v>
      </c>
      <c r="AC228" s="4" t="s">
        <v>154</v>
      </c>
      <c r="AD228" s="4">
        <v>0.9</v>
      </c>
      <c r="AE228" s="4">
        <v>0.5</v>
      </c>
      <c r="AF228" s="4">
        <v>0.6</v>
      </c>
      <c r="AG228" s="4">
        <v>0.32</v>
      </c>
      <c r="AH228" s="6">
        <v>579.47393799999998</v>
      </c>
      <c r="AI228" s="4">
        <v>1E-3</v>
      </c>
      <c r="AJ228" s="5"/>
      <c r="AK228" s="5"/>
      <c r="AL228" s="5"/>
      <c r="AM228" s="5"/>
      <c r="AO228" s="4" t="s">
        <v>155</v>
      </c>
      <c r="AP228" s="4">
        <v>0.9</v>
      </c>
      <c r="AQ228" s="4">
        <v>0.5</v>
      </c>
      <c r="AR228" s="4">
        <v>0.6</v>
      </c>
      <c r="AS228" s="4">
        <v>0.2</v>
      </c>
      <c r="AT228" s="6">
        <v>1047.9879149999999</v>
      </c>
      <c r="AU228" s="4">
        <v>2.1999999999999999E-2</v>
      </c>
      <c r="AW228" s="4" t="s">
        <v>155</v>
      </c>
      <c r="AX228" s="4">
        <v>0.9</v>
      </c>
      <c r="AY228" s="4">
        <v>0.5</v>
      </c>
      <c r="AZ228" s="4">
        <v>0.6</v>
      </c>
      <c r="BA228" s="4">
        <v>0.31</v>
      </c>
      <c r="BB228" s="4">
        <v>1122.306885</v>
      </c>
      <c r="BC228" s="4">
        <v>6.0000000000000001E-3</v>
      </c>
      <c r="BD228" s="5"/>
      <c r="BE228" s="5"/>
      <c r="BF228" s="5"/>
      <c r="BG228" s="5"/>
      <c r="BI228" s="4" t="s">
        <v>155</v>
      </c>
      <c r="BJ228" s="4">
        <v>0.9</v>
      </c>
      <c r="BK228" s="4">
        <v>0.5</v>
      </c>
      <c r="BL228" s="4">
        <v>0.6</v>
      </c>
      <c r="BM228" s="4">
        <v>0.05</v>
      </c>
      <c r="BN228" s="6">
        <v>936.830872</v>
      </c>
      <c r="BO228" s="4">
        <v>0.02</v>
      </c>
      <c r="BQ228" s="4" t="s">
        <v>155</v>
      </c>
      <c r="BR228" s="4">
        <v>0.9</v>
      </c>
      <c r="BS228" s="4">
        <v>0.5</v>
      </c>
      <c r="BT228" s="4">
        <v>0.6</v>
      </c>
      <c r="BU228" s="4">
        <v>0.31</v>
      </c>
      <c r="BV228" s="4">
        <v>1096.5539550000001</v>
      </c>
      <c r="BW228" s="4">
        <v>8.9999999999999993E-3</v>
      </c>
      <c r="BX228" s="5"/>
      <c r="BY228" s="5"/>
      <c r="BZ228" s="5"/>
      <c r="CA228" s="5"/>
    </row>
    <row r="229" spans="1:79" x14ac:dyDescent="0.3">
      <c r="A229" s="4" t="s">
        <v>156</v>
      </c>
      <c r="B229" s="4">
        <v>0.9</v>
      </c>
      <c r="C229" s="4">
        <v>0.5</v>
      </c>
      <c r="D229" s="4">
        <v>0.6</v>
      </c>
      <c r="E229" s="4">
        <v>0.28000000000000003</v>
      </c>
      <c r="F229" s="6">
        <v>663.03710899999999</v>
      </c>
      <c r="G229" s="4">
        <v>6.0000000000000001E-3</v>
      </c>
      <c r="I229" s="4" t="s">
        <v>156</v>
      </c>
      <c r="J229" s="4">
        <v>0.9</v>
      </c>
      <c r="K229" s="4">
        <v>0.5</v>
      </c>
      <c r="L229" s="4">
        <v>0.6</v>
      </c>
      <c r="M229" s="4">
        <v>0.3</v>
      </c>
      <c r="N229" s="4">
        <v>670.37805200000003</v>
      </c>
      <c r="O229" s="4">
        <v>3.0000000000000001E-3</v>
      </c>
      <c r="P229" s="5"/>
      <c r="Q229" s="5"/>
      <c r="R229" s="5"/>
      <c r="S229" s="5"/>
      <c r="U229" s="4" t="s">
        <v>156</v>
      </c>
      <c r="V229" s="4">
        <v>0.9</v>
      </c>
      <c r="W229" s="4">
        <v>0.5</v>
      </c>
      <c r="X229" s="4">
        <v>0.6</v>
      </c>
      <c r="Y229" s="4">
        <v>0.99</v>
      </c>
      <c r="Z229" s="4">
        <v>738.89019800000005</v>
      </c>
      <c r="AA229" s="4">
        <v>0.02</v>
      </c>
      <c r="AC229" s="4" t="s">
        <v>156</v>
      </c>
      <c r="AD229" s="4">
        <v>0.9</v>
      </c>
      <c r="AE229" s="4">
        <v>0.5</v>
      </c>
      <c r="AF229" s="4">
        <v>0.6</v>
      </c>
      <c r="AG229" s="4">
        <v>0.34</v>
      </c>
      <c r="AH229" s="6">
        <v>633.01062000000002</v>
      </c>
      <c r="AI229" s="4">
        <v>2E-3</v>
      </c>
      <c r="AJ229" s="5"/>
      <c r="AK229" s="5"/>
      <c r="AL229" s="5"/>
      <c r="AM229" s="5"/>
      <c r="AO229" s="4" t="s">
        <v>157</v>
      </c>
      <c r="AP229" s="4">
        <v>0.9</v>
      </c>
      <c r="AQ229" s="4">
        <v>0.5</v>
      </c>
      <c r="AR229" s="4">
        <v>0.6</v>
      </c>
      <c r="AS229" s="4">
        <v>0.49</v>
      </c>
      <c r="AT229" s="4">
        <v>1124.1176760000001</v>
      </c>
      <c r="AU229" s="4">
        <v>0.02</v>
      </c>
      <c r="AW229" s="4" t="s">
        <v>157</v>
      </c>
      <c r="AX229" s="4">
        <v>0.9</v>
      </c>
      <c r="AY229" s="4">
        <v>0.5</v>
      </c>
      <c r="AZ229" s="4">
        <v>0.6</v>
      </c>
      <c r="BA229" s="4">
        <v>0.35</v>
      </c>
      <c r="BB229" s="6">
        <v>1047.655029</v>
      </c>
      <c r="BC229" s="4">
        <v>7.0000000000000001E-3</v>
      </c>
      <c r="BD229" s="5"/>
      <c r="BE229" s="5"/>
      <c r="BF229" s="5"/>
      <c r="BG229" s="5"/>
      <c r="BI229" s="4" t="s">
        <v>157</v>
      </c>
      <c r="BJ229" s="4">
        <v>0.9</v>
      </c>
      <c r="BK229" s="4">
        <v>0.5</v>
      </c>
      <c r="BL229" s="4">
        <v>0.6</v>
      </c>
      <c r="BM229" s="4">
        <v>0.42</v>
      </c>
      <c r="BN229" s="4">
        <v>1056.4490969999999</v>
      </c>
      <c r="BO229" s="4">
        <v>3.5000000000000003E-2</v>
      </c>
      <c r="BQ229" s="4" t="s">
        <v>157</v>
      </c>
      <c r="BR229" s="4">
        <v>0.9</v>
      </c>
      <c r="BS229" s="4">
        <v>0.5</v>
      </c>
      <c r="BT229" s="4">
        <v>0.6</v>
      </c>
      <c r="BU229" s="4">
        <v>0.32</v>
      </c>
      <c r="BV229" s="6">
        <v>1017.451904</v>
      </c>
      <c r="BW229" s="4">
        <v>7.0000000000000001E-3</v>
      </c>
      <c r="BX229" s="5"/>
      <c r="BY229" s="5"/>
      <c r="BZ229" s="5"/>
      <c r="CA229" s="5"/>
    </row>
    <row r="230" spans="1:79" x14ac:dyDescent="0.3">
      <c r="A230" s="4" t="s">
        <v>158</v>
      </c>
      <c r="B230" s="4">
        <v>0.9</v>
      </c>
      <c r="C230" s="4">
        <v>0.5</v>
      </c>
      <c r="D230" s="4">
        <v>0.6</v>
      </c>
      <c r="E230" s="4">
        <v>0.7</v>
      </c>
      <c r="F230" s="4">
        <v>743.25122099999999</v>
      </c>
      <c r="G230" s="4">
        <v>1.4999999999999999E-2</v>
      </c>
      <c r="I230" s="4" t="s">
        <v>158</v>
      </c>
      <c r="J230" s="4">
        <v>0.9</v>
      </c>
      <c r="K230" s="4">
        <v>0.5</v>
      </c>
      <c r="L230" s="4">
        <v>0.6</v>
      </c>
      <c r="M230" s="4">
        <v>0.32</v>
      </c>
      <c r="N230" s="6">
        <v>671.40429700000004</v>
      </c>
      <c r="O230" s="4">
        <v>3.0000000000000001E-3</v>
      </c>
      <c r="P230" s="5"/>
      <c r="Q230" s="5"/>
      <c r="R230" s="5"/>
      <c r="S230" s="5"/>
      <c r="U230" s="4" t="s">
        <v>158</v>
      </c>
      <c r="V230" s="4">
        <v>0.9</v>
      </c>
      <c r="W230" s="4">
        <v>0.5</v>
      </c>
      <c r="X230" s="4">
        <v>0.6</v>
      </c>
      <c r="Y230" s="4">
        <v>0.41</v>
      </c>
      <c r="Z230" s="4">
        <v>654.149902</v>
      </c>
      <c r="AA230" s="4">
        <v>8.9999999999999993E-3</v>
      </c>
      <c r="AC230" s="4" t="s">
        <v>158</v>
      </c>
      <c r="AD230" s="4">
        <v>0.9</v>
      </c>
      <c r="AE230" s="4">
        <v>0.5</v>
      </c>
      <c r="AF230" s="4">
        <v>0.6</v>
      </c>
      <c r="AG230" s="4">
        <v>0.33</v>
      </c>
      <c r="AH230" s="6">
        <v>651.52154499999995</v>
      </c>
      <c r="AI230" s="4">
        <v>2E-3</v>
      </c>
      <c r="AJ230" s="5"/>
      <c r="AK230" s="5"/>
      <c r="AL230" s="5"/>
      <c r="AM230" s="5"/>
      <c r="AO230" s="4" t="s">
        <v>159</v>
      </c>
      <c r="AP230" s="4">
        <v>0.9</v>
      </c>
      <c r="AQ230" s="4">
        <v>0.5</v>
      </c>
      <c r="AR230" s="4">
        <v>0.6</v>
      </c>
      <c r="AS230" s="4">
        <v>0.72</v>
      </c>
      <c r="AT230" s="4">
        <v>1144.2230219999999</v>
      </c>
      <c r="AU230" s="4">
        <v>2.5000000000000001E-2</v>
      </c>
      <c r="AW230" s="4" t="s">
        <v>159</v>
      </c>
      <c r="AX230" s="4">
        <v>0.9</v>
      </c>
      <c r="AY230" s="4">
        <v>0.5</v>
      </c>
      <c r="AZ230" s="4">
        <v>0.6</v>
      </c>
      <c r="BA230" s="4">
        <v>0.3</v>
      </c>
      <c r="BB230" s="6">
        <v>950.34789999999998</v>
      </c>
      <c r="BC230" s="4">
        <v>7.0000000000000001E-3</v>
      </c>
      <c r="BD230" s="5"/>
      <c r="BE230" s="5"/>
      <c r="BF230" s="5"/>
      <c r="BG230" s="5"/>
      <c r="BI230" s="4" t="s">
        <v>159</v>
      </c>
      <c r="BJ230" s="4">
        <v>0.9</v>
      </c>
      <c r="BK230" s="4">
        <v>0.5</v>
      </c>
      <c r="BL230" s="4">
        <v>0.6</v>
      </c>
      <c r="BM230" s="4">
        <v>0.65</v>
      </c>
      <c r="BN230" s="4">
        <v>1121.5742190000001</v>
      </c>
      <c r="BO230" s="4">
        <v>3.2000000000000001E-2</v>
      </c>
      <c r="BQ230" s="4" t="s">
        <v>159</v>
      </c>
      <c r="BR230" s="4">
        <v>0.9</v>
      </c>
      <c r="BS230" s="4">
        <v>0.5</v>
      </c>
      <c r="BT230" s="4">
        <v>0.6</v>
      </c>
      <c r="BU230" s="4">
        <v>0.34</v>
      </c>
      <c r="BV230" s="6">
        <v>951.02032499999996</v>
      </c>
      <c r="BW230" s="4">
        <v>8.0000000000000002E-3</v>
      </c>
      <c r="BX230" s="5"/>
      <c r="BY230" s="5"/>
      <c r="BZ230" s="5"/>
      <c r="CA230" s="5"/>
    </row>
    <row r="231" spans="1:79" x14ac:dyDescent="0.3">
      <c r="A231" s="4" t="s">
        <v>160</v>
      </c>
      <c r="B231" s="4">
        <v>0.9</v>
      </c>
      <c r="C231" s="4">
        <v>0.5</v>
      </c>
      <c r="D231" s="4">
        <v>0.6</v>
      </c>
      <c r="E231" s="4">
        <v>0.42</v>
      </c>
      <c r="F231" s="4">
        <v>618.08953899999995</v>
      </c>
      <c r="G231" s="4">
        <v>1.2999999999999999E-2</v>
      </c>
      <c r="I231" s="4" t="s">
        <v>160</v>
      </c>
      <c r="J231" s="4">
        <v>0.9</v>
      </c>
      <c r="K231" s="4">
        <v>0.5</v>
      </c>
      <c r="L231" s="4">
        <v>0.6</v>
      </c>
      <c r="M231" s="4">
        <v>0.31</v>
      </c>
      <c r="N231" s="6">
        <v>606.30432099999996</v>
      </c>
      <c r="O231" s="4">
        <v>2E-3</v>
      </c>
      <c r="P231" s="5"/>
      <c r="Q231" s="5"/>
      <c r="R231" s="5"/>
      <c r="S231" s="5"/>
      <c r="U231" s="4" t="s">
        <v>160</v>
      </c>
      <c r="V231" s="4">
        <v>0.9</v>
      </c>
      <c r="W231" s="4">
        <v>0.5</v>
      </c>
      <c r="X231" s="4">
        <v>0.6</v>
      </c>
      <c r="Y231" s="4">
        <v>0.01</v>
      </c>
      <c r="Z231" s="6">
        <v>525.25579800000003</v>
      </c>
      <c r="AA231" s="4">
        <v>1.0999999999999999E-2</v>
      </c>
      <c r="AC231" s="4" t="s">
        <v>160</v>
      </c>
      <c r="AD231" s="4">
        <v>0.9</v>
      </c>
      <c r="AE231" s="4">
        <v>0.5</v>
      </c>
      <c r="AF231" s="4">
        <v>0.6</v>
      </c>
      <c r="AG231" s="4">
        <v>0.45</v>
      </c>
      <c r="AH231" s="4">
        <v>560.692139</v>
      </c>
      <c r="AI231" s="4">
        <v>2E-3</v>
      </c>
      <c r="AJ231" s="5"/>
      <c r="AK231" s="5"/>
      <c r="AL231" s="5"/>
      <c r="AM231" s="5"/>
      <c r="AO231" s="4" t="s">
        <v>161</v>
      </c>
      <c r="AP231" s="4">
        <v>0.9</v>
      </c>
      <c r="AQ231" s="4">
        <v>0.5</v>
      </c>
      <c r="AR231" s="4">
        <v>0.6</v>
      </c>
      <c r="AS231" s="4">
        <v>0.35</v>
      </c>
      <c r="AT231" s="4">
        <v>1041.4854740000001</v>
      </c>
      <c r="AU231" s="4">
        <v>2.1999999999999999E-2</v>
      </c>
      <c r="AW231" s="4" t="s">
        <v>161</v>
      </c>
      <c r="AX231" s="4">
        <v>0.9</v>
      </c>
      <c r="AY231" s="4">
        <v>0.5</v>
      </c>
      <c r="AZ231" s="4">
        <v>0.6</v>
      </c>
      <c r="BA231" s="4">
        <v>0.3</v>
      </c>
      <c r="BB231" s="6">
        <v>1040.8348390000001</v>
      </c>
      <c r="BC231" s="4">
        <v>7.0000000000000001E-3</v>
      </c>
      <c r="BD231" s="5"/>
      <c r="BE231" s="5"/>
      <c r="BF231" s="5"/>
      <c r="BG231" s="5"/>
      <c r="BI231" s="4" t="s">
        <v>161</v>
      </c>
      <c r="BJ231" s="4">
        <v>0.9</v>
      </c>
      <c r="BK231" s="4">
        <v>0.5</v>
      </c>
      <c r="BL231" s="4">
        <v>0.6</v>
      </c>
      <c r="BM231" s="4">
        <v>7.0000000000000007E-2</v>
      </c>
      <c r="BN231" s="6">
        <v>833.66992200000004</v>
      </c>
      <c r="BO231" s="4">
        <v>2.8000000000000001E-2</v>
      </c>
      <c r="BQ231" s="4" t="s">
        <v>161</v>
      </c>
      <c r="BR231" s="4">
        <v>0.9</v>
      </c>
      <c r="BS231" s="4">
        <v>0.5</v>
      </c>
      <c r="BT231" s="4">
        <v>0.6</v>
      </c>
      <c r="BU231" s="4">
        <v>0.31</v>
      </c>
      <c r="BV231" s="4">
        <v>1023.967346</v>
      </c>
      <c r="BW231" s="4">
        <v>7.0000000000000001E-3</v>
      </c>
      <c r="BX231" s="5"/>
      <c r="BY231" s="5"/>
      <c r="BZ231" s="5"/>
      <c r="CA231" s="5"/>
    </row>
    <row r="232" spans="1:79" x14ac:dyDescent="0.3">
      <c r="A232" s="4" t="s">
        <v>162</v>
      </c>
      <c r="B232" s="4">
        <v>0.9</v>
      </c>
      <c r="C232" s="4">
        <v>0.5</v>
      </c>
      <c r="D232" s="4">
        <v>0.6</v>
      </c>
      <c r="E232" s="4">
        <v>0.05</v>
      </c>
      <c r="F232" s="6">
        <v>550.11425799999995</v>
      </c>
      <c r="G232" s="4">
        <v>1.7999999999999999E-2</v>
      </c>
      <c r="I232" s="4" t="s">
        <v>162</v>
      </c>
      <c r="J232" s="4">
        <v>0.9</v>
      </c>
      <c r="K232" s="4">
        <v>0.5</v>
      </c>
      <c r="L232" s="4">
        <v>0.6</v>
      </c>
      <c r="M232" s="4">
        <v>0.3</v>
      </c>
      <c r="N232" s="4">
        <v>624.60339399999998</v>
      </c>
      <c r="O232" s="4">
        <v>2E-3</v>
      </c>
      <c r="P232" s="5"/>
      <c r="Q232" s="5"/>
      <c r="R232" s="5"/>
      <c r="S232" s="5"/>
      <c r="U232" s="4" t="s">
        <v>162</v>
      </c>
      <c r="V232" s="4">
        <v>0.9</v>
      </c>
      <c r="W232" s="4">
        <v>0.5</v>
      </c>
      <c r="X232" s="4">
        <v>0.6</v>
      </c>
      <c r="Y232" s="4">
        <v>0.15</v>
      </c>
      <c r="Z232" s="6">
        <v>561.28344700000002</v>
      </c>
      <c r="AA232" s="4">
        <v>6.0000000000000001E-3</v>
      </c>
      <c r="AC232" s="4" t="s">
        <v>162</v>
      </c>
      <c r="AD232" s="4">
        <v>0.9</v>
      </c>
      <c r="AE232" s="4">
        <v>0.5</v>
      </c>
      <c r="AF232" s="4">
        <v>0.6</v>
      </c>
      <c r="AG232" s="4">
        <v>0.3</v>
      </c>
      <c r="AH232" s="4">
        <v>589.535706</v>
      </c>
      <c r="AI232" s="4">
        <v>1E-3</v>
      </c>
      <c r="AJ232" s="5"/>
      <c r="AK232" s="5"/>
      <c r="AL232" s="5"/>
      <c r="AM232" s="5"/>
      <c r="AO232" s="4" t="s">
        <v>163</v>
      </c>
      <c r="AP232" s="4">
        <v>0.9</v>
      </c>
      <c r="AQ232" s="4">
        <v>0.5</v>
      </c>
      <c r="AR232" s="4">
        <v>0.6</v>
      </c>
      <c r="AS232" s="4">
        <v>0.39</v>
      </c>
      <c r="AT232" s="4">
        <v>1074.0466309999999</v>
      </c>
      <c r="AU232" s="4">
        <v>1.7999999999999999E-2</v>
      </c>
      <c r="AW232" s="4" t="s">
        <v>163</v>
      </c>
      <c r="AX232" s="4">
        <v>0.9</v>
      </c>
      <c r="AY232" s="4">
        <v>0.5</v>
      </c>
      <c r="AZ232" s="4">
        <v>0.6</v>
      </c>
      <c r="BA232" s="4">
        <v>0.3</v>
      </c>
      <c r="BB232" s="6">
        <v>1051.9219969999999</v>
      </c>
      <c r="BC232" s="4">
        <v>7.0000000000000001E-3</v>
      </c>
      <c r="BD232" s="5"/>
      <c r="BE232" s="5"/>
      <c r="BF232" s="5"/>
      <c r="BG232" s="5"/>
      <c r="BI232" s="4" t="s">
        <v>163</v>
      </c>
      <c r="BJ232" s="4">
        <v>0.9</v>
      </c>
      <c r="BK232" s="4">
        <v>0.5</v>
      </c>
      <c r="BL232" s="4">
        <v>0.6</v>
      </c>
      <c r="BM232" s="4">
        <v>0.16</v>
      </c>
      <c r="BN232" s="6">
        <v>887.59179700000004</v>
      </c>
      <c r="BO232" s="4">
        <v>2.1000000000000001E-2</v>
      </c>
      <c r="BQ232" s="4" t="s">
        <v>163</v>
      </c>
      <c r="BR232" s="4">
        <v>0.9</v>
      </c>
      <c r="BS232" s="4">
        <v>0.5</v>
      </c>
      <c r="BT232" s="4">
        <v>0.6</v>
      </c>
      <c r="BU232" s="4">
        <v>0.31</v>
      </c>
      <c r="BV232" s="4">
        <v>1026.50647</v>
      </c>
      <c r="BW232" s="4">
        <v>7.0000000000000001E-3</v>
      </c>
      <c r="BX232" s="5"/>
      <c r="BY232" s="5"/>
      <c r="BZ232" s="5"/>
      <c r="CA232" s="5"/>
    </row>
    <row r="233" spans="1:79" x14ac:dyDescent="0.3">
      <c r="A233" s="4" t="s">
        <v>164</v>
      </c>
      <c r="B233" s="4">
        <v>0.9</v>
      </c>
      <c r="C233" s="4">
        <v>0.5</v>
      </c>
      <c r="D233" s="4">
        <v>0.6</v>
      </c>
      <c r="E233" s="4">
        <v>0.46</v>
      </c>
      <c r="F233" s="4">
        <v>592.52801499999998</v>
      </c>
      <c r="G233" s="4">
        <v>1.4999999999999999E-2</v>
      </c>
      <c r="I233" s="4" t="s">
        <v>164</v>
      </c>
      <c r="J233" s="4">
        <v>0.9</v>
      </c>
      <c r="K233" s="4">
        <v>0.5</v>
      </c>
      <c r="L233" s="4">
        <v>0.6</v>
      </c>
      <c r="M233" s="4">
        <v>0.33</v>
      </c>
      <c r="N233" s="6">
        <v>556.20477300000005</v>
      </c>
      <c r="O233" s="4">
        <v>3.0000000000000001E-3</v>
      </c>
      <c r="P233" s="5"/>
      <c r="Q233" s="5"/>
      <c r="R233" s="5"/>
      <c r="S233" s="5"/>
      <c r="U233" s="4" t="s">
        <v>164</v>
      </c>
      <c r="V233" s="4">
        <v>0.9</v>
      </c>
      <c r="W233" s="4">
        <v>0.5</v>
      </c>
      <c r="X233" s="4">
        <v>0.6</v>
      </c>
      <c r="Y233" s="4">
        <v>0.23</v>
      </c>
      <c r="Z233" s="6">
        <v>464.07223499999998</v>
      </c>
      <c r="AA233" s="4">
        <v>1.7999999999999999E-2</v>
      </c>
      <c r="AC233" s="4" t="s">
        <v>164</v>
      </c>
      <c r="AD233" s="4">
        <v>0.9</v>
      </c>
      <c r="AE233" s="4">
        <v>0.5</v>
      </c>
      <c r="AF233" s="4">
        <v>0.6</v>
      </c>
      <c r="AG233" s="4">
        <v>0.33</v>
      </c>
      <c r="AH233" s="4">
        <v>496.98263500000002</v>
      </c>
      <c r="AI233" s="4">
        <v>1E-3</v>
      </c>
      <c r="AJ233" s="5"/>
      <c r="AK233" s="5"/>
      <c r="AL233" s="5"/>
      <c r="AM233" s="5"/>
      <c r="AO233" s="4" t="s">
        <v>165</v>
      </c>
      <c r="AP233" s="4">
        <v>0.9</v>
      </c>
      <c r="AQ233" s="4">
        <v>0.5</v>
      </c>
      <c r="AR233" s="4">
        <v>0.6</v>
      </c>
      <c r="AS233" s="4">
        <v>0.96</v>
      </c>
      <c r="AT233" s="4">
        <v>1108.940063</v>
      </c>
      <c r="AU233" s="4">
        <v>1.4999999999999999E-2</v>
      </c>
      <c r="AW233" s="4" t="s">
        <v>165</v>
      </c>
      <c r="AX233" s="4">
        <v>0.9</v>
      </c>
      <c r="AY233" s="4">
        <v>0.5</v>
      </c>
      <c r="AZ233" s="4">
        <v>0.6</v>
      </c>
      <c r="BA233" s="4">
        <v>0.31</v>
      </c>
      <c r="BB233" s="6">
        <v>967.75616500000001</v>
      </c>
      <c r="BC233" s="4">
        <v>6.0000000000000001E-3</v>
      </c>
      <c r="BD233" s="5"/>
      <c r="BE233" s="5"/>
      <c r="BF233" s="5"/>
      <c r="BG233" s="5"/>
      <c r="BI233" s="4" t="s">
        <v>165</v>
      </c>
      <c r="BJ233" s="4">
        <v>0.9</v>
      </c>
      <c r="BK233" s="4">
        <v>0.5</v>
      </c>
      <c r="BL233" s="4">
        <v>0.6</v>
      </c>
      <c r="BM233" s="4">
        <v>0.87</v>
      </c>
      <c r="BN233" s="4">
        <v>1090.925293</v>
      </c>
      <c r="BO233" s="4">
        <v>2.9000000000000001E-2</v>
      </c>
      <c r="BQ233" s="4" t="s">
        <v>165</v>
      </c>
      <c r="BR233" s="4">
        <v>0.9</v>
      </c>
      <c r="BS233" s="4">
        <v>0.5</v>
      </c>
      <c r="BT233" s="4">
        <v>0.6</v>
      </c>
      <c r="BU233" s="4">
        <v>0.3</v>
      </c>
      <c r="BV233" s="6">
        <v>949.02227800000003</v>
      </c>
      <c r="BW233" s="4">
        <v>6.0000000000000001E-3</v>
      </c>
      <c r="BX233" s="5"/>
      <c r="BY233" s="5"/>
      <c r="BZ233" s="5"/>
      <c r="CA233" s="5"/>
    </row>
    <row r="234" spans="1:79" x14ac:dyDescent="0.3">
      <c r="A234" s="4" t="s">
        <v>166</v>
      </c>
      <c r="B234" s="4">
        <v>0.9</v>
      </c>
      <c r="C234" s="4">
        <v>0.5</v>
      </c>
      <c r="D234" s="4">
        <v>0.6</v>
      </c>
      <c r="E234" s="4">
        <v>0.97</v>
      </c>
      <c r="F234" s="4">
        <v>845.95385699999997</v>
      </c>
      <c r="G234" s="4">
        <v>1.2E-2</v>
      </c>
      <c r="I234" s="4" t="s">
        <v>166</v>
      </c>
      <c r="J234" s="4">
        <v>0.9</v>
      </c>
      <c r="K234" s="4">
        <v>0.5</v>
      </c>
      <c r="L234" s="4">
        <v>0.6</v>
      </c>
      <c r="M234" s="4">
        <v>0.32</v>
      </c>
      <c r="N234" s="6">
        <v>742.38793899999996</v>
      </c>
      <c r="O234" s="4">
        <v>2E-3</v>
      </c>
      <c r="P234" s="5"/>
      <c r="Q234" s="5"/>
      <c r="R234" s="5"/>
      <c r="S234" s="5"/>
      <c r="U234" s="4" t="s">
        <v>166</v>
      </c>
      <c r="V234" s="4">
        <v>0.9</v>
      </c>
      <c r="W234" s="4">
        <v>0.5</v>
      </c>
      <c r="X234" s="4">
        <v>0.6</v>
      </c>
      <c r="Y234" s="4">
        <v>0.15</v>
      </c>
      <c r="Z234" s="6">
        <v>689.65863000000002</v>
      </c>
      <c r="AA234" s="4">
        <v>1.2E-2</v>
      </c>
      <c r="AC234" s="4" t="s">
        <v>166</v>
      </c>
      <c r="AD234" s="4">
        <v>0.9</v>
      </c>
      <c r="AE234" s="4">
        <v>0.5</v>
      </c>
      <c r="AF234" s="4">
        <v>0.6</v>
      </c>
      <c r="AG234" s="4">
        <v>0.31</v>
      </c>
      <c r="AH234" s="4">
        <v>737.93859899999995</v>
      </c>
      <c r="AI234" s="4">
        <v>2E-3</v>
      </c>
      <c r="AJ234" s="5"/>
      <c r="AK234" s="5"/>
      <c r="AL234" s="5"/>
      <c r="AM234" s="5"/>
      <c r="AO234" s="4" t="s">
        <v>167</v>
      </c>
      <c r="AP234" s="4">
        <v>0.9</v>
      </c>
      <c r="AQ234" s="4">
        <v>0.5</v>
      </c>
      <c r="AR234" s="4">
        <v>0.6</v>
      </c>
      <c r="AS234" s="4">
        <v>0.25</v>
      </c>
      <c r="AT234" s="4">
        <v>941.80304000000001</v>
      </c>
      <c r="AU234" s="4">
        <v>2.1000000000000001E-2</v>
      </c>
      <c r="AW234" s="4" t="s">
        <v>167</v>
      </c>
      <c r="AX234" s="4">
        <v>0.9</v>
      </c>
      <c r="AY234" s="4">
        <v>0.5</v>
      </c>
      <c r="AZ234" s="4">
        <v>0.6</v>
      </c>
      <c r="BA234" s="4">
        <v>0.31</v>
      </c>
      <c r="BB234" s="6">
        <v>958.03558299999997</v>
      </c>
      <c r="BC234" s="4">
        <v>7.0000000000000001E-3</v>
      </c>
      <c r="BD234" s="5"/>
      <c r="BE234" s="5"/>
      <c r="BF234" s="5"/>
      <c r="BG234" s="5"/>
      <c r="BI234" s="4" t="s">
        <v>167</v>
      </c>
      <c r="BJ234" s="4">
        <v>0.9</v>
      </c>
      <c r="BK234" s="4">
        <v>0.5</v>
      </c>
      <c r="BL234" s="4">
        <v>0.6</v>
      </c>
      <c r="BM234" s="4">
        <v>0.69</v>
      </c>
      <c r="BN234" s="4">
        <v>1127.267578</v>
      </c>
      <c r="BO234" s="4">
        <v>0.03</v>
      </c>
      <c r="BQ234" s="4" t="s">
        <v>167</v>
      </c>
      <c r="BR234" s="4">
        <v>0.9</v>
      </c>
      <c r="BS234" s="4">
        <v>0.5</v>
      </c>
      <c r="BT234" s="4">
        <v>0.6</v>
      </c>
      <c r="BU234" s="4">
        <v>0.3</v>
      </c>
      <c r="BV234" s="6">
        <v>974.27734399999997</v>
      </c>
      <c r="BW234" s="4">
        <v>7.0000000000000001E-3</v>
      </c>
      <c r="BX234" s="5"/>
      <c r="BY234" s="5"/>
      <c r="BZ234" s="5"/>
      <c r="CA234" s="5"/>
    </row>
    <row r="235" spans="1:79" x14ac:dyDescent="0.3">
      <c r="A235" s="4" t="s">
        <v>168</v>
      </c>
      <c r="B235" s="4">
        <v>0.9</v>
      </c>
      <c r="C235" s="4">
        <v>0.5</v>
      </c>
      <c r="D235" s="4">
        <v>0.6</v>
      </c>
      <c r="E235" s="4">
        <v>0.77</v>
      </c>
      <c r="F235" s="4">
        <v>741.78832999999997</v>
      </c>
      <c r="G235" s="4">
        <v>2.4E-2</v>
      </c>
      <c r="I235" s="4" t="s">
        <v>168</v>
      </c>
      <c r="J235" s="4">
        <v>0.9</v>
      </c>
      <c r="K235" s="4">
        <v>0.5</v>
      </c>
      <c r="L235" s="4">
        <v>0.6</v>
      </c>
      <c r="M235" s="4">
        <v>0.31</v>
      </c>
      <c r="N235" s="6">
        <v>668.19482400000004</v>
      </c>
      <c r="O235" s="4">
        <v>2E-3</v>
      </c>
      <c r="P235" s="5"/>
      <c r="Q235" s="5"/>
      <c r="R235" s="5"/>
      <c r="S235" s="5"/>
      <c r="U235" s="4" t="s">
        <v>168</v>
      </c>
      <c r="V235" s="4">
        <v>0.9</v>
      </c>
      <c r="W235" s="4">
        <v>0.5</v>
      </c>
      <c r="X235" s="4">
        <v>0.6</v>
      </c>
      <c r="Y235" s="4">
        <v>0.52</v>
      </c>
      <c r="Z235" s="4">
        <v>680.68121299999996</v>
      </c>
      <c r="AA235" s="4">
        <v>0.01</v>
      </c>
      <c r="AC235" s="4" t="s">
        <v>168</v>
      </c>
      <c r="AD235" s="4">
        <v>0.9</v>
      </c>
      <c r="AE235" s="4">
        <v>0.5</v>
      </c>
      <c r="AF235" s="4">
        <v>0.6</v>
      </c>
      <c r="AG235" s="4">
        <v>0.36</v>
      </c>
      <c r="AH235" s="6">
        <v>657.41082800000004</v>
      </c>
      <c r="AI235" s="4">
        <v>2E-3</v>
      </c>
      <c r="AJ235" s="5"/>
      <c r="AK235" s="5"/>
      <c r="AL235" s="5"/>
      <c r="AM235" s="5"/>
      <c r="AO235" s="4" t="s">
        <v>169</v>
      </c>
      <c r="AP235" s="4">
        <v>0.9</v>
      </c>
      <c r="AQ235" s="4">
        <v>0.5</v>
      </c>
      <c r="AR235" s="4">
        <v>0.6</v>
      </c>
      <c r="AS235" s="4">
        <v>0.89</v>
      </c>
      <c r="AT235" s="4">
        <v>1158.7375489999999</v>
      </c>
      <c r="AU235" s="4">
        <v>2.5000000000000001E-2</v>
      </c>
      <c r="AW235" s="4" t="s">
        <v>169</v>
      </c>
      <c r="AX235" s="4">
        <v>0.9</v>
      </c>
      <c r="AY235" s="4">
        <v>0.5</v>
      </c>
      <c r="AZ235" s="4">
        <v>0.6</v>
      </c>
      <c r="BA235" s="4">
        <v>0.33</v>
      </c>
      <c r="BB235" s="6">
        <v>1029.346436</v>
      </c>
      <c r="BC235" s="4">
        <v>0.01</v>
      </c>
      <c r="BD235" s="5"/>
      <c r="BE235" s="5"/>
      <c r="BF235" s="5"/>
      <c r="BG235" s="5"/>
      <c r="BI235" s="4" t="s">
        <v>169</v>
      </c>
      <c r="BJ235" s="4">
        <v>0.9</v>
      </c>
      <c r="BK235" s="4">
        <v>0.5</v>
      </c>
      <c r="BL235" s="4">
        <v>0.6</v>
      </c>
      <c r="BM235" s="4">
        <v>0.86</v>
      </c>
      <c r="BN235" s="4">
        <v>1112.0158690000001</v>
      </c>
      <c r="BO235" s="4">
        <v>1.2999999999999999E-2</v>
      </c>
      <c r="BQ235" s="4" t="s">
        <v>169</v>
      </c>
      <c r="BR235" s="4">
        <v>0.9</v>
      </c>
      <c r="BS235" s="4">
        <v>0.5</v>
      </c>
      <c r="BT235" s="4">
        <v>0.6</v>
      </c>
      <c r="BU235" s="4">
        <v>0.3</v>
      </c>
      <c r="BV235" s="6">
        <v>989.01275599999997</v>
      </c>
      <c r="BW235" s="4">
        <v>6.0000000000000001E-3</v>
      </c>
      <c r="BX235" s="5"/>
      <c r="BY235" s="5"/>
      <c r="BZ235" s="5"/>
      <c r="CA235" s="5"/>
    </row>
    <row r="236" spans="1:79" x14ac:dyDescent="0.3">
      <c r="A236" s="4" t="s">
        <v>170</v>
      </c>
      <c r="B236" s="4">
        <v>0.9</v>
      </c>
      <c r="C236" s="4">
        <v>0.5</v>
      </c>
      <c r="D236" s="4">
        <v>0.6</v>
      </c>
      <c r="E236" s="4">
        <v>0.8</v>
      </c>
      <c r="F236" s="4">
        <v>749.87304700000004</v>
      </c>
      <c r="G236" s="4">
        <v>1.9E-2</v>
      </c>
      <c r="I236" s="4" t="s">
        <v>170</v>
      </c>
      <c r="J236" s="4">
        <v>0.9</v>
      </c>
      <c r="K236" s="4">
        <v>0.5</v>
      </c>
      <c r="L236" s="4">
        <v>0.6</v>
      </c>
      <c r="M236" s="4">
        <v>0.37</v>
      </c>
      <c r="N236" s="6">
        <v>706.88122599999997</v>
      </c>
      <c r="O236" s="4">
        <v>3.0000000000000001E-3</v>
      </c>
      <c r="P236" s="5"/>
      <c r="Q236" s="5"/>
      <c r="R236" s="5"/>
      <c r="S236" s="5"/>
      <c r="U236" s="4" t="s">
        <v>170</v>
      </c>
      <c r="V236" s="4">
        <v>0.9</v>
      </c>
      <c r="W236" s="4">
        <v>0.5</v>
      </c>
      <c r="X236" s="4">
        <v>0.6</v>
      </c>
      <c r="Y236" s="4">
        <v>0.36</v>
      </c>
      <c r="Z236" s="6">
        <v>670.20989999999995</v>
      </c>
      <c r="AA236" s="4">
        <v>0.02</v>
      </c>
      <c r="AC236" s="4" t="s">
        <v>170</v>
      </c>
      <c r="AD236" s="4">
        <v>0.9</v>
      </c>
      <c r="AE236" s="4">
        <v>0.5</v>
      </c>
      <c r="AF236" s="4">
        <v>0.6</v>
      </c>
      <c r="AG236" s="4">
        <v>0.31</v>
      </c>
      <c r="AH236" s="4">
        <v>672.21191399999998</v>
      </c>
      <c r="AI236" s="4">
        <v>2E-3</v>
      </c>
      <c r="AJ236" s="5"/>
      <c r="AK236" s="5"/>
      <c r="AL236" s="5"/>
      <c r="AM236" s="5"/>
      <c r="AO236" s="4" t="s">
        <v>171</v>
      </c>
      <c r="AP236" s="4">
        <v>0.9</v>
      </c>
      <c r="AQ236" s="4">
        <v>0.5</v>
      </c>
      <c r="AR236" s="4">
        <v>0.6</v>
      </c>
      <c r="AS236" s="4">
        <v>0.99</v>
      </c>
      <c r="AT236" s="4">
        <v>1121.197144</v>
      </c>
      <c r="AU236" s="4">
        <v>2.5000000000000001E-2</v>
      </c>
      <c r="AW236" s="4" t="s">
        <v>171</v>
      </c>
      <c r="AX236" s="4">
        <v>0.9</v>
      </c>
      <c r="AY236" s="4">
        <v>0.5</v>
      </c>
      <c r="AZ236" s="4">
        <v>0.6</v>
      </c>
      <c r="BA236" s="4">
        <v>0.33</v>
      </c>
      <c r="BB236" s="6">
        <v>956.63922100000002</v>
      </c>
      <c r="BC236" s="4">
        <v>7.0000000000000001E-3</v>
      </c>
      <c r="BD236" s="5"/>
      <c r="BE236" s="5"/>
      <c r="BF236" s="5"/>
      <c r="BG236" s="5"/>
      <c r="BI236" s="4" t="s">
        <v>171</v>
      </c>
      <c r="BJ236" s="4">
        <v>0.9</v>
      </c>
      <c r="BK236" s="4">
        <v>0.5</v>
      </c>
      <c r="BL236" s="4">
        <v>0.6</v>
      </c>
      <c r="BM236" s="4">
        <v>0.69</v>
      </c>
      <c r="BN236" s="4">
        <v>1032.0810550000001</v>
      </c>
      <c r="BO236" s="4">
        <v>1.9E-2</v>
      </c>
      <c r="BQ236" s="4" t="s">
        <v>171</v>
      </c>
      <c r="BR236" s="4">
        <v>0.9</v>
      </c>
      <c r="BS236" s="4">
        <v>0.5</v>
      </c>
      <c r="BT236" s="4">
        <v>0.6</v>
      </c>
      <c r="BU236" s="4">
        <v>0.31</v>
      </c>
      <c r="BV236" s="6">
        <v>936.03363000000002</v>
      </c>
      <c r="BW236" s="4">
        <v>6.0000000000000001E-3</v>
      </c>
      <c r="BX236" s="5"/>
      <c r="BY236" s="5"/>
      <c r="BZ236" s="5"/>
      <c r="CA236" s="5"/>
    </row>
    <row r="237" spans="1:79" x14ac:dyDescent="0.3">
      <c r="A237" s="4" t="s">
        <v>172</v>
      </c>
      <c r="B237" s="4">
        <v>0.9</v>
      </c>
      <c r="C237" s="4">
        <v>0.5</v>
      </c>
      <c r="D237" s="4">
        <v>0.6</v>
      </c>
      <c r="E237" s="4">
        <v>0.56999999999999995</v>
      </c>
      <c r="F237" s="4">
        <v>728.47631799999999</v>
      </c>
      <c r="G237" s="4">
        <v>1.2E-2</v>
      </c>
      <c r="I237" s="4" t="s">
        <v>172</v>
      </c>
      <c r="J237" s="4">
        <v>0.9</v>
      </c>
      <c r="K237" s="4">
        <v>0.5</v>
      </c>
      <c r="L237" s="4">
        <v>0.6</v>
      </c>
      <c r="M237" s="4">
        <v>0.32</v>
      </c>
      <c r="N237" s="6">
        <v>682.96215800000004</v>
      </c>
      <c r="O237" s="4">
        <v>2E-3</v>
      </c>
      <c r="P237" s="5"/>
      <c r="Q237" s="5"/>
      <c r="R237" s="5"/>
      <c r="S237" s="5"/>
      <c r="U237" s="4" t="s">
        <v>172</v>
      </c>
      <c r="V237" s="4">
        <v>0.9</v>
      </c>
      <c r="W237" s="4">
        <v>0.5</v>
      </c>
      <c r="X237" s="4">
        <v>0.6</v>
      </c>
      <c r="Y237" s="4">
        <v>0.42</v>
      </c>
      <c r="Z237" s="4">
        <v>705.44311500000003</v>
      </c>
      <c r="AA237" s="4">
        <v>1.4E-2</v>
      </c>
      <c r="AC237" s="4" t="s">
        <v>172</v>
      </c>
      <c r="AD237" s="4">
        <v>0.9</v>
      </c>
      <c r="AE237" s="4">
        <v>0.5</v>
      </c>
      <c r="AF237" s="4">
        <v>0.6</v>
      </c>
      <c r="AG237" s="4">
        <v>0.37</v>
      </c>
      <c r="AH237" s="6">
        <v>657.97699</v>
      </c>
      <c r="AI237" s="4">
        <v>2E-3</v>
      </c>
      <c r="AJ237" s="5"/>
      <c r="AK237" s="5"/>
      <c r="AL237" s="5"/>
      <c r="AM237" s="5"/>
      <c r="AO237" s="4" t="s">
        <v>173</v>
      </c>
      <c r="AP237" s="4">
        <v>0.9</v>
      </c>
      <c r="AQ237" s="4">
        <v>0.5</v>
      </c>
      <c r="AR237" s="4">
        <v>0.6</v>
      </c>
      <c r="AS237" s="4">
        <v>0.1</v>
      </c>
      <c r="AT237" s="6">
        <v>999.65570100000002</v>
      </c>
      <c r="AU237" s="4">
        <v>2.3E-2</v>
      </c>
      <c r="AW237" s="4" t="s">
        <v>173</v>
      </c>
      <c r="AX237" s="4">
        <v>0.9</v>
      </c>
      <c r="AY237" s="4">
        <v>0.5</v>
      </c>
      <c r="AZ237" s="4">
        <v>0.6</v>
      </c>
      <c r="BA237" s="4">
        <v>0.31</v>
      </c>
      <c r="BB237" s="4">
        <v>1006.865845</v>
      </c>
      <c r="BC237" s="4">
        <v>8.0000000000000002E-3</v>
      </c>
      <c r="BD237" s="5"/>
      <c r="BE237" s="5"/>
      <c r="BF237" s="5"/>
      <c r="BG237" s="5"/>
      <c r="BI237" s="4" t="s">
        <v>173</v>
      </c>
      <c r="BJ237" s="4">
        <v>0.9</v>
      </c>
      <c r="BK237" s="4">
        <v>0.5</v>
      </c>
      <c r="BL237" s="4">
        <v>0.6</v>
      </c>
      <c r="BM237" s="4">
        <v>0.11</v>
      </c>
      <c r="BN237" s="6">
        <v>836.39996299999996</v>
      </c>
      <c r="BO237" s="4">
        <v>1.6E-2</v>
      </c>
      <c r="BQ237" s="4" t="s">
        <v>173</v>
      </c>
      <c r="BR237" s="4">
        <v>0.9</v>
      </c>
      <c r="BS237" s="4">
        <v>0.5</v>
      </c>
      <c r="BT237" s="4">
        <v>0.6</v>
      </c>
      <c r="BU237" s="4">
        <v>0.3</v>
      </c>
      <c r="BV237" s="4">
        <v>987.189392</v>
      </c>
      <c r="BW237" s="4">
        <v>7.0000000000000001E-3</v>
      </c>
      <c r="BX237" s="5"/>
      <c r="BY237" s="5"/>
      <c r="BZ237" s="5"/>
      <c r="CA237" s="5"/>
    </row>
    <row r="238" spans="1:79" x14ac:dyDescent="0.3">
      <c r="A238" s="4" t="s">
        <v>174</v>
      </c>
      <c r="B238" s="4">
        <v>0.9</v>
      </c>
      <c r="C238" s="4">
        <v>0.5</v>
      </c>
      <c r="D238" s="4">
        <v>0.6</v>
      </c>
      <c r="E238" s="4">
        <v>0.33</v>
      </c>
      <c r="F238" s="6">
        <v>695.87512200000003</v>
      </c>
      <c r="G238" s="4">
        <v>1.2999999999999999E-2</v>
      </c>
      <c r="I238" s="4" t="s">
        <v>174</v>
      </c>
      <c r="J238" s="4">
        <v>0.9</v>
      </c>
      <c r="K238" s="4">
        <v>0.5</v>
      </c>
      <c r="L238" s="4">
        <v>0.6</v>
      </c>
      <c r="M238" s="4">
        <v>0.36</v>
      </c>
      <c r="N238" s="4">
        <v>696.17199700000003</v>
      </c>
      <c r="O238" s="4">
        <v>6.0000000000000001E-3</v>
      </c>
      <c r="P238" s="5"/>
      <c r="Q238" s="5"/>
      <c r="R238" s="5"/>
      <c r="S238" s="5"/>
      <c r="U238" s="4" t="s">
        <v>174</v>
      </c>
      <c r="V238" s="4">
        <v>0.9</v>
      </c>
      <c r="W238" s="4">
        <v>0.5</v>
      </c>
      <c r="X238" s="4">
        <v>0.6</v>
      </c>
      <c r="Y238" s="4">
        <v>0.99</v>
      </c>
      <c r="Z238" s="4">
        <v>798.53973399999995</v>
      </c>
      <c r="AA238" s="4">
        <v>1.2E-2</v>
      </c>
      <c r="AC238" s="4" t="s">
        <v>174</v>
      </c>
      <c r="AD238" s="4">
        <v>0.9</v>
      </c>
      <c r="AE238" s="4">
        <v>0.5</v>
      </c>
      <c r="AF238" s="4">
        <v>0.6</v>
      </c>
      <c r="AG238" s="4">
        <v>0.37</v>
      </c>
      <c r="AH238" s="6">
        <v>677.462219</v>
      </c>
      <c r="AI238" s="4">
        <v>1E-3</v>
      </c>
      <c r="AJ238" s="5"/>
      <c r="AK238" s="5"/>
      <c r="AL238" s="5"/>
      <c r="AM238" s="5"/>
      <c r="AO238" s="4" t="s">
        <v>175</v>
      </c>
      <c r="AP238" s="4">
        <v>0.9</v>
      </c>
      <c r="AQ238" s="4">
        <v>0.5</v>
      </c>
      <c r="AR238" s="4">
        <v>0.6</v>
      </c>
      <c r="AS238" s="4">
        <v>0.92</v>
      </c>
      <c r="AT238" s="4">
        <v>1220.4769289999999</v>
      </c>
      <c r="AU238" s="4">
        <v>0.02</v>
      </c>
      <c r="AW238" s="4" t="s">
        <v>175</v>
      </c>
      <c r="AX238" s="4">
        <v>0.9</v>
      </c>
      <c r="AY238" s="4">
        <v>0.5</v>
      </c>
      <c r="AZ238" s="4">
        <v>0.6</v>
      </c>
      <c r="BA238" s="4">
        <v>0.32</v>
      </c>
      <c r="BB238" s="6">
        <v>1001.236145</v>
      </c>
      <c r="BC238" s="4">
        <v>6.0000000000000001E-3</v>
      </c>
      <c r="BD238" s="5"/>
      <c r="BE238" s="5"/>
      <c r="BF238" s="5"/>
      <c r="BG238" s="5"/>
      <c r="BI238" s="4" t="s">
        <v>175</v>
      </c>
      <c r="BJ238" s="4">
        <v>0.9</v>
      </c>
      <c r="BK238" s="4">
        <v>0.5</v>
      </c>
      <c r="BL238" s="4">
        <v>0.6</v>
      </c>
      <c r="BM238" s="4">
        <v>0.52</v>
      </c>
      <c r="BN238" s="4">
        <v>1097.775879</v>
      </c>
      <c r="BO238" s="4">
        <v>1.9E-2</v>
      </c>
      <c r="BQ238" s="4" t="s">
        <v>175</v>
      </c>
      <c r="BR238" s="4">
        <v>0.9</v>
      </c>
      <c r="BS238" s="4">
        <v>0.5</v>
      </c>
      <c r="BT238" s="4">
        <v>0.6</v>
      </c>
      <c r="BU238" s="4">
        <v>0.3</v>
      </c>
      <c r="BV238" s="6">
        <v>984.30633499999999</v>
      </c>
      <c r="BW238" s="4">
        <v>6.0000000000000001E-3</v>
      </c>
      <c r="BX238" s="5"/>
      <c r="BY238" s="5"/>
      <c r="BZ238" s="5"/>
      <c r="CA238" s="5"/>
    </row>
    <row r="239" spans="1:79" x14ac:dyDescent="0.3">
      <c r="A239" s="4" t="s">
        <v>176</v>
      </c>
      <c r="B239" s="4">
        <v>0.9</v>
      </c>
      <c r="C239" s="4">
        <v>0.5</v>
      </c>
      <c r="D239" s="4">
        <v>0.6</v>
      </c>
      <c r="E239" s="4">
        <v>0.17</v>
      </c>
      <c r="F239" s="6">
        <v>683.19976799999995</v>
      </c>
      <c r="G239" s="4">
        <v>2.5000000000000001E-2</v>
      </c>
      <c r="I239" s="4" t="s">
        <v>176</v>
      </c>
      <c r="J239" s="4">
        <v>0.9</v>
      </c>
      <c r="K239" s="4">
        <v>0.5</v>
      </c>
      <c r="L239" s="4">
        <v>0.6</v>
      </c>
      <c r="M239" s="4">
        <v>0.42</v>
      </c>
      <c r="N239" s="4">
        <v>716.91778599999998</v>
      </c>
      <c r="O239" s="4">
        <v>2E-3</v>
      </c>
      <c r="P239" s="5"/>
      <c r="Q239" s="5"/>
      <c r="R239" s="5"/>
      <c r="S239" s="5"/>
      <c r="U239" s="4" t="s">
        <v>176</v>
      </c>
      <c r="V239" s="4">
        <v>0.9</v>
      </c>
      <c r="W239" s="4">
        <v>0.5</v>
      </c>
      <c r="X239" s="4">
        <v>0.6</v>
      </c>
      <c r="Y239" s="4">
        <v>0.56999999999999995</v>
      </c>
      <c r="Z239" s="4">
        <v>741.64373799999998</v>
      </c>
      <c r="AA239" s="4">
        <v>0.01</v>
      </c>
      <c r="AC239" s="4" t="s">
        <v>176</v>
      </c>
      <c r="AD239" s="4">
        <v>0.9</v>
      </c>
      <c r="AE239" s="4">
        <v>0.5</v>
      </c>
      <c r="AF239" s="4">
        <v>0.6</v>
      </c>
      <c r="AG239" s="4">
        <v>0.33</v>
      </c>
      <c r="AH239" s="6">
        <v>715.91223100000002</v>
      </c>
      <c r="AI239" s="4">
        <v>2E-3</v>
      </c>
      <c r="AJ239" s="5"/>
      <c r="AK239" s="5"/>
      <c r="AL239" s="5"/>
      <c r="AM239" s="5"/>
      <c r="AO239" s="4" t="s">
        <v>177</v>
      </c>
      <c r="AP239" s="4">
        <v>0.9</v>
      </c>
      <c r="AQ239" s="4">
        <v>0.5</v>
      </c>
      <c r="AR239" s="4">
        <v>0.6</v>
      </c>
      <c r="AS239" s="4">
        <v>0.31</v>
      </c>
      <c r="AT239" s="4">
        <v>1112.650269</v>
      </c>
      <c r="AU239" s="4">
        <v>1.4999999999999999E-2</v>
      </c>
      <c r="AW239" s="4" t="s">
        <v>177</v>
      </c>
      <c r="AX239" s="4">
        <v>0.9</v>
      </c>
      <c r="AY239" s="4">
        <v>0.5</v>
      </c>
      <c r="AZ239" s="4">
        <v>0.6</v>
      </c>
      <c r="BA239" s="4">
        <v>0.31</v>
      </c>
      <c r="BB239" s="6">
        <v>1103.0185550000001</v>
      </c>
      <c r="BC239" s="4">
        <v>7.0000000000000001E-3</v>
      </c>
      <c r="BD239" s="5"/>
      <c r="BE239" s="5"/>
      <c r="BF239" s="5"/>
      <c r="BG239" s="5"/>
      <c r="BI239" s="4" t="s">
        <v>177</v>
      </c>
      <c r="BJ239" s="4">
        <v>0.9</v>
      </c>
      <c r="BK239" s="4">
        <v>0.5</v>
      </c>
      <c r="BL239" s="4">
        <v>0.6</v>
      </c>
      <c r="BM239" s="4">
        <v>0.16</v>
      </c>
      <c r="BN239" s="6">
        <v>976.27545199999997</v>
      </c>
      <c r="BO239" s="4">
        <v>0.03</v>
      </c>
      <c r="BQ239" s="4" t="s">
        <v>177</v>
      </c>
      <c r="BR239" s="4">
        <v>0.9</v>
      </c>
      <c r="BS239" s="4">
        <v>0.5</v>
      </c>
      <c r="BT239" s="4">
        <v>0.6</v>
      </c>
      <c r="BU239" s="4">
        <v>0.32</v>
      </c>
      <c r="BV239" s="4">
        <v>1060.020264</v>
      </c>
      <c r="BW239" s="4">
        <v>8.0000000000000002E-3</v>
      </c>
      <c r="BX239" s="5"/>
      <c r="BY239" s="5"/>
      <c r="BZ239" s="5"/>
      <c r="CA239" s="5"/>
    </row>
    <row r="240" spans="1:79" x14ac:dyDescent="0.3">
      <c r="A240" s="4" t="s">
        <v>178</v>
      </c>
      <c r="B240" s="4">
        <v>0.9</v>
      </c>
      <c r="C240" s="4">
        <v>0.5</v>
      </c>
      <c r="D240" s="4">
        <v>0.6</v>
      </c>
      <c r="E240" s="4">
        <v>0.71</v>
      </c>
      <c r="F240" s="4">
        <v>817.85626200000002</v>
      </c>
      <c r="G240" s="4">
        <v>1.2E-2</v>
      </c>
      <c r="I240" s="4" t="s">
        <v>178</v>
      </c>
      <c r="J240" s="4">
        <v>0.9</v>
      </c>
      <c r="K240" s="4">
        <v>0.5</v>
      </c>
      <c r="L240" s="4">
        <v>0.6</v>
      </c>
      <c r="M240" s="4">
        <v>0.31</v>
      </c>
      <c r="N240" s="6">
        <v>671.08325200000002</v>
      </c>
      <c r="O240" s="4">
        <v>2E-3</v>
      </c>
      <c r="P240" s="5"/>
      <c r="Q240" s="5"/>
      <c r="R240" s="5"/>
      <c r="S240" s="5"/>
      <c r="U240" s="4" t="s">
        <v>178</v>
      </c>
      <c r="V240" s="4">
        <v>0.9</v>
      </c>
      <c r="W240" s="4">
        <v>0.5</v>
      </c>
      <c r="X240" s="4">
        <v>0.6</v>
      </c>
      <c r="Y240" s="4">
        <v>0.35</v>
      </c>
      <c r="Z240" s="4">
        <v>682.97564699999998</v>
      </c>
      <c r="AA240" s="4">
        <v>1.9E-2</v>
      </c>
      <c r="AC240" s="4" t="s">
        <v>178</v>
      </c>
      <c r="AD240" s="4">
        <v>0.9</v>
      </c>
      <c r="AE240" s="4">
        <v>0.5</v>
      </c>
      <c r="AF240" s="4">
        <v>0.6</v>
      </c>
      <c r="AG240" s="4">
        <v>0.39</v>
      </c>
      <c r="AH240" s="6">
        <v>670.89703399999996</v>
      </c>
      <c r="AI240" s="4">
        <v>2E-3</v>
      </c>
      <c r="AJ240" s="5"/>
      <c r="AK240" s="5"/>
      <c r="AL240" s="5"/>
      <c r="AM240" s="5"/>
      <c r="AO240" s="4" t="s">
        <v>179</v>
      </c>
      <c r="AP240" s="4">
        <v>0.9</v>
      </c>
      <c r="AQ240" s="4">
        <v>0.5</v>
      </c>
      <c r="AR240" s="4">
        <v>0.6</v>
      </c>
      <c r="AS240" s="4">
        <v>0.92</v>
      </c>
      <c r="AT240" s="4">
        <v>1294.7094729999999</v>
      </c>
      <c r="AU240" s="4">
        <v>3.9E-2</v>
      </c>
      <c r="AW240" s="4" t="s">
        <v>179</v>
      </c>
      <c r="AX240" s="4">
        <v>0.9</v>
      </c>
      <c r="AY240" s="4">
        <v>0.5</v>
      </c>
      <c r="AZ240" s="4">
        <v>0.6</v>
      </c>
      <c r="BA240" s="4">
        <v>0.3</v>
      </c>
      <c r="BB240" s="6">
        <v>1085.345581</v>
      </c>
      <c r="BC240" s="4">
        <v>8.0000000000000002E-3</v>
      </c>
      <c r="BD240" s="5"/>
      <c r="BE240" s="5"/>
      <c r="BF240" s="5"/>
      <c r="BG240" s="5"/>
      <c r="BI240" s="4" t="s">
        <v>179</v>
      </c>
      <c r="BJ240" s="4">
        <v>0.9</v>
      </c>
      <c r="BK240" s="4">
        <v>0.5</v>
      </c>
      <c r="BL240" s="4">
        <v>0.6</v>
      </c>
      <c r="BM240" s="4">
        <v>0.91</v>
      </c>
      <c r="BN240" s="4">
        <v>1267.4104</v>
      </c>
      <c r="BO240" s="4">
        <v>2.7E-2</v>
      </c>
      <c r="BQ240" s="4" t="s">
        <v>179</v>
      </c>
      <c r="BR240" s="4">
        <v>0.9</v>
      </c>
      <c r="BS240" s="4">
        <v>0.5</v>
      </c>
      <c r="BT240" s="4">
        <v>0.6</v>
      </c>
      <c r="BU240" s="4">
        <v>0.32</v>
      </c>
      <c r="BV240" s="6">
        <v>1076.2319339999999</v>
      </c>
      <c r="BW240" s="4">
        <v>7.0000000000000001E-3</v>
      </c>
      <c r="BX240" s="5"/>
      <c r="BY240" s="5"/>
      <c r="BZ240" s="5"/>
      <c r="CA240" s="5"/>
    </row>
    <row r="241" spans="1:79" x14ac:dyDescent="0.3">
      <c r="A241" s="4" t="s">
        <v>180</v>
      </c>
      <c r="B241" s="4">
        <v>0.9</v>
      </c>
      <c r="C241" s="4">
        <v>0.5</v>
      </c>
      <c r="D241" s="4">
        <v>0.6</v>
      </c>
      <c r="E241" s="4">
        <v>0.17</v>
      </c>
      <c r="F241" s="4">
        <v>655.01293899999996</v>
      </c>
      <c r="G241" s="4">
        <v>1.4999999999999999E-2</v>
      </c>
      <c r="I241" s="4" t="s">
        <v>180</v>
      </c>
      <c r="J241" s="4">
        <v>0.9</v>
      </c>
      <c r="K241" s="4">
        <v>0.5</v>
      </c>
      <c r="L241" s="4">
        <v>0.6</v>
      </c>
      <c r="M241" s="4">
        <v>0.34</v>
      </c>
      <c r="N241" s="6">
        <v>699.52410899999995</v>
      </c>
      <c r="O241" s="4">
        <v>3.0000000000000001E-3</v>
      </c>
      <c r="P241" s="5"/>
      <c r="Q241" s="5"/>
      <c r="R241" s="5"/>
      <c r="S241" s="5"/>
      <c r="U241" s="4" t="s">
        <v>180</v>
      </c>
      <c r="V241" s="4">
        <v>0.9</v>
      </c>
      <c r="W241" s="4">
        <v>0.5</v>
      </c>
      <c r="X241" s="4">
        <v>0.6</v>
      </c>
      <c r="Y241" s="4">
        <v>0.98</v>
      </c>
      <c r="Z241" s="4">
        <v>817.58148200000005</v>
      </c>
      <c r="AA241" s="4">
        <v>8.9999999999999993E-3</v>
      </c>
      <c r="AC241" s="4" t="s">
        <v>180</v>
      </c>
      <c r="AD241" s="4">
        <v>0.9</v>
      </c>
      <c r="AE241" s="4">
        <v>0.5</v>
      </c>
      <c r="AF241" s="4">
        <v>0.6</v>
      </c>
      <c r="AG241" s="4">
        <v>0.33</v>
      </c>
      <c r="AH241" s="6">
        <v>663.16900599999997</v>
      </c>
      <c r="AI241" s="4">
        <v>1E-3</v>
      </c>
      <c r="AJ241" s="5"/>
      <c r="AK241" s="5"/>
      <c r="AL241" s="5"/>
      <c r="AM241" s="5"/>
      <c r="AO241" s="4" t="s">
        <v>181</v>
      </c>
      <c r="AP241" s="4">
        <v>0.9</v>
      </c>
      <c r="AQ241" s="4">
        <v>0.5</v>
      </c>
      <c r="AR241" s="4">
        <v>0.6</v>
      </c>
      <c r="AS241" s="4">
        <v>0.77</v>
      </c>
      <c r="AT241" s="4">
        <v>1268.0900879999999</v>
      </c>
      <c r="AU241" s="4">
        <v>0.02</v>
      </c>
      <c r="AW241" s="4" t="s">
        <v>181</v>
      </c>
      <c r="AX241" s="4">
        <v>0.9</v>
      </c>
      <c r="AY241" s="4">
        <v>0.5</v>
      </c>
      <c r="AZ241" s="4">
        <v>0.6</v>
      </c>
      <c r="BA241" s="4">
        <v>0.33</v>
      </c>
      <c r="BB241" s="6">
        <v>1080.086914</v>
      </c>
      <c r="BC241" s="4">
        <v>7.0000000000000001E-3</v>
      </c>
      <c r="BD241" s="5"/>
      <c r="BE241" s="5"/>
      <c r="BF241" s="5"/>
      <c r="BG241" s="5"/>
      <c r="BI241" s="4" t="s">
        <v>181</v>
      </c>
      <c r="BJ241" s="4">
        <v>0.9</v>
      </c>
      <c r="BK241" s="4">
        <v>0.5</v>
      </c>
      <c r="BL241" s="4">
        <v>0.6</v>
      </c>
      <c r="BM241" s="4">
        <v>0.76</v>
      </c>
      <c r="BN241" s="4">
        <v>1223.207764</v>
      </c>
      <c r="BO241" s="4">
        <v>2.4E-2</v>
      </c>
      <c r="BQ241" s="4" t="s">
        <v>181</v>
      </c>
      <c r="BR241" s="4">
        <v>0.9</v>
      </c>
      <c r="BS241" s="4">
        <v>0.5</v>
      </c>
      <c r="BT241" s="4">
        <v>0.6</v>
      </c>
      <c r="BU241" s="4">
        <v>0.3</v>
      </c>
      <c r="BV241" s="6">
        <v>1028.0272219999999</v>
      </c>
      <c r="BW241" s="4">
        <v>8.0000000000000002E-3</v>
      </c>
      <c r="BX241" s="5"/>
      <c r="BY241" s="5"/>
      <c r="BZ241" s="5"/>
      <c r="CA241" s="5"/>
    </row>
    <row r="242" spans="1:79" x14ac:dyDescent="0.3">
      <c r="A242" s="4" t="s">
        <v>182</v>
      </c>
      <c r="B242" s="4">
        <v>0.9</v>
      </c>
      <c r="C242" s="4">
        <v>0.5</v>
      </c>
      <c r="D242" s="4">
        <v>0.6</v>
      </c>
      <c r="E242" s="4">
        <v>0.65</v>
      </c>
      <c r="F242" s="4">
        <v>746.74005099999999</v>
      </c>
      <c r="G242" s="4">
        <v>1.0999999999999999E-2</v>
      </c>
      <c r="I242" s="4" t="s">
        <v>182</v>
      </c>
      <c r="J242" s="4">
        <v>0.9</v>
      </c>
      <c r="K242" s="4">
        <v>0.5</v>
      </c>
      <c r="L242" s="4">
        <v>0.6</v>
      </c>
      <c r="M242" s="4">
        <v>0.32</v>
      </c>
      <c r="N242" s="6">
        <v>633.80480999999997</v>
      </c>
      <c r="O242" s="4">
        <v>1E-3</v>
      </c>
      <c r="P242" s="5"/>
      <c r="Q242" s="5"/>
      <c r="R242" s="5"/>
      <c r="S242" s="5"/>
      <c r="U242" s="4" t="s">
        <v>182</v>
      </c>
      <c r="V242" s="4">
        <v>0.9</v>
      </c>
      <c r="W242" s="4">
        <v>0.5</v>
      </c>
      <c r="X242" s="4">
        <v>0.6</v>
      </c>
      <c r="Y242" s="4">
        <v>0.01</v>
      </c>
      <c r="Z242" s="6">
        <v>585.84985400000005</v>
      </c>
      <c r="AA242" s="4">
        <v>1.2999999999999999E-2</v>
      </c>
      <c r="AC242" s="4" t="s">
        <v>182</v>
      </c>
      <c r="AD242" s="4">
        <v>0.9</v>
      </c>
      <c r="AE242" s="4">
        <v>0.5</v>
      </c>
      <c r="AF242" s="4">
        <v>0.6</v>
      </c>
      <c r="AG242" s="4">
        <v>0.3</v>
      </c>
      <c r="AH242" s="4">
        <v>633.10961899999995</v>
      </c>
      <c r="AI242" s="4">
        <v>1E-3</v>
      </c>
      <c r="AJ242" s="5"/>
      <c r="AK242" s="5"/>
      <c r="AL242" s="5"/>
      <c r="AM242" s="5"/>
      <c r="AO242" s="4" t="s">
        <v>183</v>
      </c>
      <c r="AP242" s="4">
        <v>0.9</v>
      </c>
      <c r="AQ242" s="4">
        <v>0.5</v>
      </c>
      <c r="AR242" s="4">
        <v>0.6</v>
      </c>
      <c r="AS242" s="4">
        <v>0.67</v>
      </c>
      <c r="AT242" s="4">
        <v>1250.8892820000001</v>
      </c>
      <c r="AU242" s="4">
        <v>1.9E-2</v>
      </c>
      <c r="AW242" s="4" t="s">
        <v>183</v>
      </c>
      <c r="AX242" s="4">
        <v>0.9</v>
      </c>
      <c r="AY242" s="4">
        <v>0.5</v>
      </c>
      <c r="AZ242" s="4">
        <v>0.6</v>
      </c>
      <c r="BA242" s="4">
        <v>0.33</v>
      </c>
      <c r="BB242" s="6">
        <v>1107.4366460000001</v>
      </c>
      <c r="BC242" s="4">
        <v>7.0000000000000001E-3</v>
      </c>
      <c r="BD242" s="5"/>
      <c r="BE242" s="5"/>
      <c r="BF242" s="5"/>
      <c r="BG242" s="5"/>
      <c r="BI242" s="4" t="s">
        <v>183</v>
      </c>
      <c r="BJ242" s="4">
        <v>0.9</v>
      </c>
      <c r="BK242" s="4">
        <v>0.5</v>
      </c>
      <c r="BL242" s="4">
        <v>0.6</v>
      </c>
      <c r="BM242" s="4">
        <v>0.28999999999999998</v>
      </c>
      <c r="BN242" s="4">
        <v>1053.456177</v>
      </c>
      <c r="BO242" s="4">
        <v>2.4E-2</v>
      </c>
      <c r="BQ242" s="4" t="s">
        <v>183</v>
      </c>
      <c r="BR242" s="4">
        <v>0.9</v>
      </c>
      <c r="BS242" s="4">
        <v>0.5</v>
      </c>
      <c r="BT242" s="4">
        <v>0.6</v>
      </c>
      <c r="BU242" s="4">
        <v>0.37</v>
      </c>
      <c r="BV242" s="6">
        <v>1052.793823</v>
      </c>
      <c r="BW242" s="4">
        <v>7.0000000000000001E-3</v>
      </c>
      <c r="BX242" s="5"/>
      <c r="BY242" s="5"/>
      <c r="BZ242" s="5"/>
      <c r="CA242" s="5"/>
    </row>
    <row r="243" spans="1:79" x14ac:dyDescent="0.3">
      <c r="A243" s="4" t="s">
        <v>184</v>
      </c>
      <c r="B243" s="4">
        <v>0.9</v>
      </c>
      <c r="C243" s="4">
        <v>0.5</v>
      </c>
      <c r="D243" s="4">
        <v>0.6</v>
      </c>
      <c r="E243" s="4">
        <v>0.79</v>
      </c>
      <c r="F243" s="4">
        <v>758.22143600000004</v>
      </c>
      <c r="G243" s="4">
        <v>8.0000000000000002E-3</v>
      </c>
      <c r="I243" s="4" t="s">
        <v>184</v>
      </c>
      <c r="J243" s="4">
        <v>0.9</v>
      </c>
      <c r="K243" s="4">
        <v>0.5</v>
      </c>
      <c r="L243" s="4">
        <v>0.6</v>
      </c>
      <c r="M243" s="4">
        <v>0.3</v>
      </c>
      <c r="N243" s="6">
        <v>665.057007</v>
      </c>
      <c r="O243" s="4">
        <v>2E-3</v>
      </c>
      <c r="P243" s="5"/>
      <c r="Q243" s="5"/>
      <c r="R243" s="5"/>
      <c r="S243" s="5"/>
      <c r="U243" s="4" t="s">
        <v>184</v>
      </c>
      <c r="V243" s="4">
        <v>0.9</v>
      </c>
      <c r="W243" s="4">
        <v>0.5</v>
      </c>
      <c r="X243" s="4">
        <v>0.6</v>
      </c>
      <c r="Y243" s="4">
        <v>0.06</v>
      </c>
      <c r="Z243" s="6">
        <v>590.64672900000005</v>
      </c>
      <c r="AA243" s="4">
        <v>1.7000000000000001E-2</v>
      </c>
      <c r="AC243" s="4" t="s">
        <v>184</v>
      </c>
      <c r="AD243" s="4">
        <v>0.9</v>
      </c>
      <c r="AE243" s="4">
        <v>0.5</v>
      </c>
      <c r="AF243" s="4">
        <v>0.6</v>
      </c>
      <c r="AG243" s="4">
        <v>0.35</v>
      </c>
      <c r="AH243" s="4">
        <v>646.14105199999995</v>
      </c>
      <c r="AI243" s="4">
        <v>1E-3</v>
      </c>
      <c r="AJ243" s="5"/>
      <c r="AK243" s="5"/>
      <c r="AL243" s="5"/>
      <c r="AM243" s="5"/>
      <c r="AO243" s="4" t="s">
        <v>185</v>
      </c>
      <c r="AP243" s="4">
        <v>0.9</v>
      </c>
      <c r="AQ243" s="4">
        <v>0.5</v>
      </c>
      <c r="AR243" s="4">
        <v>0.6</v>
      </c>
      <c r="AS243" s="4">
        <v>0.39</v>
      </c>
      <c r="AT243" s="4">
        <v>1091.75647</v>
      </c>
      <c r="AU243" s="4">
        <v>1.7999999999999999E-2</v>
      </c>
      <c r="AW243" s="4" t="s">
        <v>185</v>
      </c>
      <c r="AX243" s="4">
        <v>0.9</v>
      </c>
      <c r="AY243" s="4">
        <v>0.5</v>
      </c>
      <c r="AZ243" s="4">
        <v>0.6</v>
      </c>
      <c r="BA243" s="4">
        <v>0.32</v>
      </c>
      <c r="BB243" s="6">
        <v>1037.9038089999999</v>
      </c>
      <c r="BC243" s="4">
        <v>7.0000000000000001E-3</v>
      </c>
      <c r="BD243" s="5"/>
      <c r="BE243" s="5"/>
      <c r="BF243" s="5"/>
      <c r="BG243" s="5"/>
      <c r="BI243" s="4" t="s">
        <v>185</v>
      </c>
      <c r="BJ243" s="4">
        <v>0.9</v>
      </c>
      <c r="BK243" s="4">
        <v>0.5</v>
      </c>
      <c r="BL243" s="4">
        <v>0.6</v>
      </c>
      <c r="BM243" s="4">
        <v>0.37</v>
      </c>
      <c r="BN243" s="4">
        <v>1049.9232179999999</v>
      </c>
      <c r="BO243" s="4">
        <v>2.4E-2</v>
      </c>
      <c r="BQ243" s="4" t="s">
        <v>185</v>
      </c>
      <c r="BR243" s="4">
        <v>0.9</v>
      </c>
      <c r="BS243" s="4">
        <v>0.5</v>
      </c>
      <c r="BT243" s="4">
        <v>0.6</v>
      </c>
      <c r="BU243" s="4">
        <v>0.3</v>
      </c>
      <c r="BV243" s="6">
        <v>1048.267578</v>
      </c>
      <c r="BW243" s="4">
        <v>7.0000000000000001E-3</v>
      </c>
      <c r="BX243" s="5"/>
      <c r="BY243" s="5"/>
      <c r="BZ243" s="5"/>
      <c r="CA243" s="5"/>
    </row>
    <row r="244" spans="1:79" x14ac:dyDescent="0.3">
      <c r="A244" s="4" t="s">
        <v>186</v>
      </c>
      <c r="B244" s="4">
        <v>0.9</v>
      </c>
      <c r="C244" s="4">
        <v>0.5</v>
      </c>
      <c r="D244" s="4">
        <v>0.6</v>
      </c>
      <c r="E244" s="4">
        <v>0.56000000000000005</v>
      </c>
      <c r="F244" s="4">
        <v>904.96563700000002</v>
      </c>
      <c r="G244" s="4">
        <v>8.0000000000000002E-3</v>
      </c>
      <c r="I244" s="4" t="s">
        <v>186</v>
      </c>
      <c r="J244" s="4">
        <v>0.9</v>
      </c>
      <c r="K244" s="4">
        <v>0.5</v>
      </c>
      <c r="L244" s="4">
        <v>0.6</v>
      </c>
      <c r="M244" s="4">
        <v>0.3</v>
      </c>
      <c r="N244" s="6">
        <v>779.13262899999995</v>
      </c>
      <c r="O244" s="4">
        <v>2E-3</v>
      </c>
      <c r="P244" s="5"/>
      <c r="Q244" s="5"/>
      <c r="R244" s="5"/>
      <c r="S244" s="5"/>
      <c r="U244" s="4" t="s">
        <v>186</v>
      </c>
      <c r="V244" s="4">
        <v>0.9</v>
      </c>
      <c r="W244" s="4">
        <v>0.5</v>
      </c>
      <c r="X244" s="4">
        <v>0.6</v>
      </c>
      <c r="Y244" s="4">
        <v>0.09</v>
      </c>
      <c r="Z244" s="6">
        <v>713.88592500000004</v>
      </c>
      <c r="AA244" s="4">
        <v>0.01</v>
      </c>
      <c r="AC244" s="4" t="s">
        <v>186</v>
      </c>
      <c r="AD244" s="4">
        <v>0.9</v>
      </c>
      <c r="AE244" s="4">
        <v>0.5</v>
      </c>
      <c r="AF244" s="4">
        <v>0.6</v>
      </c>
      <c r="AG244" s="4">
        <v>0.3</v>
      </c>
      <c r="AH244" s="4">
        <v>770.07708700000001</v>
      </c>
      <c r="AI244" s="4">
        <v>1E-3</v>
      </c>
      <c r="AJ244" s="5"/>
      <c r="AK244" s="5"/>
      <c r="AL244" s="5"/>
      <c r="AM244" s="5"/>
      <c r="AO244" s="4" t="s">
        <v>187</v>
      </c>
      <c r="AP244" s="4">
        <v>0.9</v>
      </c>
      <c r="AQ244" s="4">
        <v>0.5</v>
      </c>
      <c r="AR244" s="4">
        <v>0.6</v>
      </c>
      <c r="AS244" s="4">
        <v>0.45</v>
      </c>
      <c r="AT244" s="4">
        <v>1245.3618160000001</v>
      </c>
      <c r="AU244" s="4">
        <v>2.3E-2</v>
      </c>
      <c r="AW244" s="4" t="s">
        <v>187</v>
      </c>
      <c r="AX244" s="4">
        <v>0.9</v>
      </c>
      <c r="AY244" s="4">
        <v>0.5</v>
      </c>
      <c r="AZ244" s="4">
        <v>0.6</v>
      </c>
      <c r="BA244" s="4">
        <v>0.32</v>
      </c>
      <c r="BB244" s="6">
        <v>1134.196899</v>
      </c>
      <c r="BC244" s="4">
        <v>7.0000000000000001E-3</v>
      </c>
      <c r="BD244" s="5"/>
      <c r="BE244" s="5"/>
      <c r="BF244" s="5"/>
      <c r="BG244" s="5"/>
      <c r="BI244" s="4" t="s">
        <v>187</v>
      </c>
      <c r="BJ244" s="4">
        <v>0.9</v>
      </c>
      <c r="BK244" s="4">
        <v>0.5</v>
      </c>
      <c r="BL244" s="4">
        <v>0.6</v>
      </c>
      <c r="BM244" s="4">
        <v>0.01</v>
      </c>
      <c r="BN244" s="6">
        <v>1067.453125</v>
      </c>
      <c r="BO244" s="4">
        <v>4.2999999999999997E-2</v>
      </c>
      <c r="BQ244" s="4" t="s">
        <v>187</v>
      </c>
      <c r="BR244" s="4">
        <v>0.9</v>
      </c>
      <c r="BS244" s="4">
        <v>0.5</v>
      </c>
      <c r="BT244" s="4">
        <v>0.6</v>
      </c>
      <c r="BU244" s="4">
        <v>0.36</v>
      </c>
      <c r="BV244" s="4">
        <v>1163.8870850000001</v>
      </c>
      <c r="BW244" s="4">
        <v>7.0000000000000001E-3</v>
      </c>
      <c r="BX244" s="5"/>
      <c r="BY244" s="5"/>
      <c r="BZ244" s="5"/>
      <c r="CA244" s="5"/>
    </row>
    <row r="245" spans="1:79" x14ac:dyDescent="0.3">
      <c r="A245" s="4" t="s">
        <v>188</v>
      </c>
      <c r="B245" s="4">
        <v>0.9</v>
      </c>
      <c r="C245" s="4">
        <v>0.5</v>
      </c>
      <c r="D245" s="4">
        <v>0.6</v>
      </c>
      <c r="E245" s="4">
        <v>0.61</v>
      </c>
      <c r="F245" s="4">
        <v>764.84405500000003</v>
      </c>
      <c r="G245" s="4">
        <v>1.7000000000000001E-2</v>
      </c>
      <c r="I245" s="4" t="s">
        <v>188</v>
      </c>
      <c r="J245" s="4">
        <v>0.9</v>
      </c>
      <c r="K245" s="4">
        <v>0.5</v>
      </c>
      <c r="L245" s="4">
        <v>0.6</v>
      </c>
      <c r="M245" s="4">
        <v>0.33</v>
      </c>
      <c r="N245" s="6">
        <v>709.83599900000002</v>
      </c>
      <c r="O245" s="4">
        <v>2E-3</v>
      </c>
      <c r="P245" s="5"/>
      <c r="Q245" s="5"/>
      <c r="R245" s="5"/>
      <c r="S245" s="5"/>
      <c r="U245" s="4" t="s">
        <v>188</v>
      </c>
      <c r="V245" s="4">
        <v>0.9</v>
      </c>
      <c r="W245" s="4">
        <v>0.5</v>
      </c>
      <c r="X245" s="4">
        <v>0.6</v>
      </c>
      <c r="Y245" s="4">
        <v>0.6</v>
      </c>
      <c r="Z245" s="4">
        <v>765.93878199999995</v>
      </c>
      <c r="AA245" s="4">
        <v>1.0999999999999999E-2</v>
      </c>
      <c r="AC245" s="4" t="s">
        <v>188</v>
      </c>
      <c r="AD245" s="4">
        <v>0.9</v>
      </c>
      <c r="AE245" s="4">
        <v>0.5</v>
      </c>
      <c r="AF245" s="4">
        <v>0.6</v>
      </c>
      <c r="AG245" s="4">
        <v>0.33</v>
      </c>
      <c r="AH245" s="6">
        <v>697.40405299999998</v>
      </c>
      <c r="AI245" s="4">
        <v>2E-3</v>
      </c>
      <c r="AJ245" s="5"/>
      <c r="AK245" s="5"/>
      <c r="AL245" s="5"/>
      <c r="AM245" s="5"/>
      <c r="AO245" s="4" t="s">
        <v>189</v>
      </c>
      <c r="AP245" s="4">
        <v>0.9</v>
      </c>
      <c r="AQ245" s="4">
        <v>0.5</v>
      </c>
      <c r="AR245" s="4">
        <v>0.6</v>
      </c>
      <c r="AS245" s="4">
        <v>0.05</v>
      </c>
      <c r="AT245" s="6">
        <v>826.89904799999999</v>
      </c>
      <c r="AU245" s="4">
        <v>1.6E-2</v>
      </c>
      <c r="AW245" s="4" t="s">
        <v>189</v>
      </c>
      <c r="AX245" s="4">
        <v>0.9</v>
      </c>
      <c r="AY245" s="4">
        <v>0.5</v>
      </c>
      <c r="AZ245" s="4">
        <v>0.6</v>
      </c>
      <c r="BA245" s="4">
        <v>0.3</v>
      </c>
      <c r="BB245" s="4">
        <v>993.68890399999998</v>
      </c>
      <c r="BC245" s="4">
        <v>8.0000000000000002E-3</v>
      </c>
      <c r="BD245" s="5"/>
      <c r="BE245" s="5"/>
      <c r="BF245" s="5"/>
      <c r="BG245" s="5"/>
      <c r="BI245" s="4" t="s">
        <v>189</v>
      </c>
      <c r="BJ245" s="4">
        <v>0.9</v>
      </c>
      <c r="BK245" s="4">
        <v>0.5</v>
      </c>
      <c r="BL245" s="4">
        <v>0.6</v>
      </c>
      <c r="BM245" s="4">
        <v>0.09</v>
      </c>
      <c r="BN245" s="6">
        <v>836.98474099999999</v>
      </c>
      <c r="BO245" s="4">
        <v>2.5000000000000001E-2</v>
      </c>
      <c r="BQ245" s="4" t="s">
        <v>189</v>
      </c>
      <c r="BR245" s="4">
        <v>0.9</v>
      </c>
      <c r="BS245" s="4">
        <v>0.5</v>
      </c>
      <c r="BT245" s="4">
        <v>0.6</v>
      </c>
      <c r="BU245" s="4">
        <v>0.34</v>
      </c>
      <c r="BV245" s="4">
        <v>985.20214799999997</v>
      </c>
      <c r="BW245" s="4">
        <v>7.0000000000000001E-3</v>
      </c>
      <c r="BX245" s="5"/>
      <c r="BY245" s="5"/>
      <c r="BZ245" s="5"/>
      <c r="CA245" s="5"/>
    </row>
    <row r="246" spans="1:79" x14ac:dyDescent="0.3">
      <c r="A246" s="4" t="s">
        <v>190</v>
      </c>
      <c r="B246" s="4">
        <v>0.9</v>
      </c>
      <c r="C246" s="4">
        <v>0.5</v>
      </c>
      <c r="D246" s="4">
        <v>0.6</v>
      </c>
      <c r="E246" s="4">
        <v>0.93</v>
      </c>
      <c r="F246" s="4">
        <v>794.73345900000004</v>
      </c>
      <c r="G246" s="4">
        <v>1.9E-2</v>
      </c>
      <c r="I246" s="4" t="s">
        <v>190</v>
      </c>
      <c r="J246" s="4">
        <v>0.9</v>
      </c>
      <c r="K246" s="4">
        <v>0.5</v>
      </c>
      <c r="L246" s="4">
        <v>0.6</v>
      </c>
      <c r="M246" s="4">
        <v>0.3</v>
      </c>
      <c r="N246" s="6">
        <v>667.86743200000001</v>
      </c>
      <c r="O246" s="4">
        <v>3.0000000000000001E-3</v>
      </c>
      <c r="P246" s="5"/>
      <c r="Q246" s="5"/>
      <c r="R246" s="5"/>
      <c r="S246" s="5"/>
      <c r="U246" s="4" t="s">
        <v>190</v>
      </c>
      <c r="V246" s="4">
        <v>0.9</v>
      </c>
      <c r="W246" s="4">
        <v>0.5</v>
      </c>
      <c r="X246" s="4">
        <v>0.6</v>
      </c>
      <c r="Y246" s="4">
        <v>0.87</v>
      </c>
      <c r="Z246" s="4">
        <v>816.99408000000005</v>
      </c>
      <c r="AA246" s="4">
        <v>1.4999999999999999E-2</v>
      </c>
      <c r="AC246" s="4" t="s">
        <v>190</v>
      </c>
      <c r="AD246" s="4">
        <v>0.9</v>
      </c>
      <c r="AE246" s="4">
        <v>0.5</v>
      </c>
      <c r="AF246" s="4">
        <v>0.6</v>
      </c>
      <c r="AG246" s="4">
        <v>0.3</v>
      </c>
      <c r="AH246" s="6">
        <v>664.13928199999998</v>
      </c>
      <c r="AI246" s="4">
        <v>2E-3</v>
      </c>
      <c r="AJ246" s="5"/>
      <c r="AK246" s="5"/>
      <c r="AL246" s="5"/>
      <c r="AM246" s="5"/>
      <c r="AO246" s="4" t="s">
        <v>191</v>
      </c>
      <c r="AP246" s="4">
        <v>0.9</v>
      </c>
      <c r="AQ246" s="4">
        <v>0.5</v>
      </c>
      <c r="AR246" s="4">
        <v>0.6</v>
      </c>
      <c r="AS246" s="4">
        <v>0.51</v>
      </c>
      <c r="AT246" s="4">
        <v>1108.715942</v>
      </c>
      <c r="AU246" s="4">
        <v>2.9000000000000001E-2</v>
      </c>
      <c r="AW246" s="4" t="s">
        <v>191</v>
      </c>
      <c r="AX246" s="4">
        <v>0.9</v>
      </c>
      <c r="AY246" s="4">
        <v>0.5</v>
      </c>
      <c r="AZ246" s="4">
        <v>0.6</v>
      </c>
      <c r="BA246" s="4">
        <v>0.3</v>
      </c>
      <c r="BB246" s="6">
        <v>1014.093811</v>
      </c>
      <c r="BC246" s="4">
        <v>7.0000000000000001E-3</v>
      </c>
      <c r="BD246" s="5"/>
      <c r="BE246" s="5"/>
      <c r="BF246" s="5"/>
      <c r="BG246" s="5"/>
      <c r="BI246" s="4" t="s">
        <v>191</v>
      </c>
      <c r="BJ246" s="4">
        <v>0.9</v>
      </c>
      <c r="BK246" s="4">
        <v>0.5</v>
      </c>
      <c r="BL246" s="4">
        <v>0.6</v>
      </c>
      <c r="BM246" s="4">
        <v>0.79</v>
      </c>
      <c r="BN246" s="4">
        <v>1201.391846</v>
      </c>
      <c r="BO246" s="4">
        <v>2.3E-2</v>
      </c>
      <c r="BQ246" s="4" t="s">
        <v>191</v>
      </c>
      <c r="BR246" s="4">
        <v>0.9</v>
      </c>
      <c r="BS246" s="4">
        <v>0.5</v>
      </c>
      <c r="BT246" s="4">
        <v>0.6</v>
      </c>
      <c r="BU246" s="4">
        <v>0.32</v>
      </c>
      <c r="BV246" s="6">
        <v>955.46978799999999</v>
      </c>
      <c r="BW246" s="4">
        <v>8.9999999999999993E-3</v>
      </c>
      <c r="BX246" s="5"/>
      <c r="BY246" s="5"/>
      <c r="BZ246" s="5"/>
      <c r="CA246" s="5"/>
    </row>
    <row r="247" spans="1:79" x14ac:dyDescent="0.3">
      <c r="A247" s="4" t="s">
        <v>192</v>
      </c>
      <c r="B247" s="4">
        <v>0.9</v>
      </c>
      <c r="C247" s="4">
        <v>0.5</v>
      </c>
      <c r="D247" s="4">
        <v>0.6</v>
      </c>
      <c r="E247" s="4">
        <v>0.83</v>
      </c>
      <c r="F247" s="4">
        <v>995.26727300000005</v>
      </c>
      <c r="G247" s="4">
        <v>1.0999999999999999E-2</v>
      </c>
      <c r="I247" s="4" t="s">
        <v>192</v>
      </c>
      <c r="J247" s="4">
        <v>0.9</v>
      </c>
      <c r="K247" s="4">
        <v>0.5</v>
      </c>
      <c r="L247" s="4">
        <v>0.6</v>
      </c>
      <c r="M247" s="4">
        <v>0.33</v>
      </c>
      <c r="N247" s="6">
        <v>811.65795900000001</v>
      </c>
      <c r="O247" s="4">
        <v>3.0000000000000001E-3</v>
      </c>
      <c r="P247" s="5"/>
      <c r="Q247" s="5"/>
      <c r="R247" s="5"/>
      <c r="S247" s="5"/>
      <c r="U247" s="4" t="s">
        <v>192</v>
      </c>
      <c r="V247" s="4">
        <v>0.9</v>
      </c>
      <c r="W247" s="4">
        <v>0.5</v>
      </c>
      <c r="X247" s="4">
        <v>0.6</v>
      </c>
      <c r="Y247" s="4">
        <v>0.83</v>
      </c>
      <c r="Z247" s="4">
        <v>988.34179700000004</v>
      </c>
      <c r="AA247" s="4">
        <v>8.0000000000000002E-3</v>
      </c>
      <c r="AC247" s="4" t="s">
        <v>192</v>
      </c>
      <c r="AD247" s="4">
        <v>0.9</v>
      </c>
      <c r="AE247" s="4">
        <v>0.5</v>
      </c>
      <c r="AF247" s="4">
        <v>0.6</v>
      </c>
      <c r="AG247" s="4">
        <v>0.3</v>
      </c>
      <c r="AH247" s="6">
        <v>788.60095200000001</v>
      </c>
      <c r="AI247" s="4">
        <v>2E-3</v>
      </c>
      <c r="AJ247" s="5"/>
      <c r="AK247" s="5"/>
      <c r="AL247" s="5"/>
      <c r="AM247" s="5"/>
      <c r="AO247" s="4" t="s">
        <v>193</v>
      </c>
      <c r="AP247" s="4">
        <v>0.9</v>
      </c>
      <c r="AQ247" s="4">
        <v>0.5</v>
      </c>
      <c r="AR247" s="4">
        <v>0.6</v>
      </c>
      <c r="AS247" s="4">
        <v>0.35</v>
      </c>
      <c r="AT247" s="4">
        <v>1120.6256100000001</v>
      </c>
      <c r="AU247" s="4">
        <v>0.02</v>
      </c>
      <c r="AW247" s="4" t="s">
        <v>193</v>
      </c>
      <c r="AX247" s="4">
        <v>0.9</v>
      </c>
      <c r="AY247" s="4">
        <v>0.5</v>
      </c>
      <c r="AZ247" s="4">
        <v>0.6</v>
      </c>
      <c r="BA247" s="4">
        <v>0.31</v>
      </c>
      <c r="BB247" s="6">
        <v>1113.7677000000001</v>
      </c>
      <c r="BC247" s="4">
        <v>8.9999999999999993E-3</v>
      </c>
      <c r="BD247" s="5"/>
      <c r="BE247" s="5"/>
      <c r="BF247" s="5"/>
      <c r="BG247" s="5"/>
      <c r="BI247" s="4" t="s">
        <v>193</v>
      </c>
      <c r="BJ247" s="4">
        <v>0.9</v>
      </c>
      <c r="BK247" s="4">
        <v>0.5</v>
      </c>
      <c r="BL247" s="4">
        <v>0.6</v>
      </c>
      <c r="BM247" s="4">
        <v>0.56999999999999995</v>
      </c>
      <c r="BN247" s="4">
        <v>1203.6517329999999</v>
      </c>
      <c r="BO247" s="4">
        <v>2.1999999999999999E-2</v>
      </c>
      <c r="BQ247" s="4" t="s">
        <v>193</v>
      </c>
      <c r="BR247" s="4">
        <v>0.9</v>
      </c>
      <c r="BS247" s="4">
        <v>0.5</v>
      </c>
      <c r="BT247" s="4">
        <v>0.6</v>
      </c>
      <c r="BU247" s="4">
        <v>0.32</v>
      </c>
      <c r="BV247" s="6">
        <v>1077.149048</v>
      </c>
      <c r="BW247" s="4">
        <v>6.0000000000000001E-3</v>
      </c>
      <c r="BX247" s="5"/>
      <c r="BY247" s="5"/>
      <c r="BZ247" s="5"/>
      <c r="CA247" s="5"/>
    </row>
    <row r="248" spans="1:79" x14ac:dyDescent="0.3">
      <c r="A248" s="14" t="s">
        <v>316</v>
      </c>
      <c r="E248" s="14">
        <f>AVERAGE(E218:E247)</f>
        <v>0.53999999999999992</v>
      </c>
      <c r="I248" s="14" t="s">
        <v>316</v>
      </c>
      <c r="M248" s="14">
        <f>AVERAGE(M218:M247)</f>
        <v>0.32733333333333337</v>
      </c>
      <c r="P248" s="5"/>
      <c r="Q248" s="5"/>
      <c r="R248" s="5"/>
      <c r="S248" s="5"/>
      <c r="U248" s="14" t="s">
        <v>316</v>
      </c>
      <c r="Y248" s="14">
        <f>AVERAGE(Y218:Y247)</f>
        <v>0.46933333333333332</v>
      </c>
      <c r="AC248" s="14" t="s">
        <v>316</v>
      </c>
      <c r="AG248" s="14">
        <f>AVERAGE(AG218:AG247)</f>
        <v>0.33400000000000002</v>
      </c>
      <c r="AJ248" s="5"/>
      <c r="AK248" s="5"/>
      <c r="AL248" s="5"/>
      <c r="AM248" s="5"/>
      <c r="AO248" s="14" t="s">
        <v>316</v>
      </c>
      <c r="AS248" s="14">
        <f>AVERAGE(AS218:AS247)</f>
        <v>0.51999999999999991</v>
      </c>
      <c r="AW248" s="14" t="s">
        <v>316</v>
      </c>
      <c r="BA248" s="14">
        <f>AVERAGE(BA218:BA247)</f>
        <v>0.31633333333333336</v>
      </c>
      <c r="BD248" s="5"/>
      <c r="BE248" s="5"/>
      <c r="BF248" s="5"/>
      <c r="BG248" s="5"/>
      <c r="BI248" s="14" t="s">
        <v>316</v>
      </c>
      <c r="BM248" s="14">
        <f>AVERAGE(BM218:BM247)</f>
        <v>0.46566666666666662</v>
      </c>
      <c r="BQ248" s="14" t="s">
        <v>316</v>
      </c>
      <c r="BU248" s="14">
        <f>AVERAGE(BU218:BU247)</f>
        <v>0.31533333333333324</v>
      </c>
      <c r="BX248" s="5"/>
      <c r="BY248" s="5"/>
      <c r="BZ248" s="5"/>
      <c r="CA248" s="5"/>
    </row>
    <row r="249" spans="1:79" x14ac:dyDescent="0.3">
      <c r="P249" s="5"/>
      <c r="Q249" s="5"/>
      <c r="R249" s="5"/>
      <c r="S249" s="5"/>
      <c r="AJ249" s="5"/>
      <c r="AK249" s="5"/>
      <c r="AL249" s="5"/>
      <c r="AM249" s="5"/>
      <c r="BD249" s="5"/>
      <c r="BE249" s="5"/>
      <c r="BF249" s="5"/>
      <c r="BG249" s="5"/>
      <c r="BX249" s="5"/>
      <c r="BY249" s="5"/>
      <c r="BZ249" s="5"/>
      <c r="CA249" s="5"/>
    </row>
    <row r="250" spans="1:79" x14ac:dyDescent="0.3">
      <c r="P250" s="5"/>
      <c r="Q250" s="5"/>
      <c r="R250" s="5"/>
      <c r="S250" s="5"/>
      <c r="AJ250" s="5"/>
      <c r="AK250" s="5"/>
      <c r="AL250" s="5"/>
      <c r="AM250" s="5"/>
      <c r="BD250" s="5"/>
      <c r="BE250" s="5"/>
      <c r="BF250" s="5"/>
      <c r="BG250" s="5"/>
      <c r="BX250" s="5"/>
      <c r="BY250" s="5"/>
      <c r="BZ250" s="5"/>
      <c r="CA250" s="5"/>
    </row>
    <row r="251" spans="1:79" x14ac:dyDescent="0.3">
      <c r="A251" s="24" t="s">
        <v>314</v>
      </c>
      <c r="B251" s="25"/>
      <c r="C251" s="25"/>
      <c r="D251" s="25"/>
      <c r="E251" s="25"/>
      <c r="F251" s="25"/>
      <c r="G251" s="26"/>
      <c r="I251" s="23" t="s">
        <v>314</v>
      </c>
      <c r="J251" s="23"/>
      <c r="K251" s="23"/>
      <c r="L251" s="23"/>
      <c r="M251" s="23"/>
      <c r="N251" s="23"/>
      <c r="O251" s="23"/>
      <c r="P251" s="11"/>
      <c r="Q251" s="11"/>
      <c r="R251" s="11"/>
      <c r="S251" s="11"/>
      <c r="U251" s="24" t="s">
        <v>314</v>
      </c>
      <c r="V251" s="25"/>
      <c r="W251" s="25"/>
      <c r="X251" s="25"/>
      <c r="Y251" s="25"/>
      <c r="Z251" s="25"/>
      <c r="AA251" s="26"/>
      <c r="AC251" s="23" t="s">
        <v>314</v>
      </c>
      <c r="AD251" s="23"/>
      <c r="AE251" s="23"/>
      <c r="AF251" s="23"/>
      <c r="AG251" s="23"/>
      <c r="AH251" s="23"/>
      <c r="AI251" s="23"/>
      <c r="AJ251" s="11"/>
      <c r="AK251" s="11"/>
      <c r="AL251" s="11"/>
      <c r="AM251" s="11"/>
      <c r="AO251" s="24" t="s">
        <v>314</v>
      </c>
      <c r="AP251" s="25"/>
      <c r="AQ251" s="25"/>
      <c r="AR251" s="25"/>
      <c r="AS251" s="25"/>
      <c r="AT251" s="25"/>
      <c r="AU251" s="26"/>
      <c r="AW251" s="23" t="s">
        <v>314</v>
      </c>
      <c r="AX251" s="23"/>
      <c r="AY251" s="23"/>
      <c r="AZ251" s="23"/>
      <c r="BA251" s="23"/>
      <c r="BB251" s="23"/>
      <c r="BC251" s="23"/>
      <c r="BD251" s="11"/>
      <c r="BE251" s="11"/>
      <c r="BF251" s="11"/>
      <c r="BG251" s="11"/>
      <c r="BI251" s="24" t="s">
        <v>314</v>
      </c>
      <c r="BJ251" s="25"/>
      <c r="BK251" s="25"/>
      <c r="BL251" s="25"/>
      <c r="BM251" s="25"/>
      <c r="BN251" s="25"/>
      <c r="BO251" s="26"/>
      <c r="BQ251" s="23" t="s">
        <v>314</v>
      </c>
      <c r="BR251" s="23"/>
      <c r="BS251" s="23"/>
      <c r="BT251" s="23"/>
      <c r="BU251" s="23"/>
      <c r="BV251" s="23"/>
      <c r="BW251" s="23"/>
      <c r="BX251" s="11"/>
      <c r="BY251" s="11"/>
      <c r="BZ251" s="11"/>
      <c r="CA251" s="11"/>
    </row>
    <row r="252" spans="1:79" x14ac:dyDescent="0.3">
      <c r="A252" s="4" t="s">
        <v>70</v>
      </c>
      <c r="B252" s="4"/>
      <c r="C252" s="4"/>
      <c r="D252" s="4"/>
      <c r="E252" s="4"/>
      <c r="F252" s="4"/>
      <c r="G252" s="4"/>
      <c r="I252" s="23" t="s">
        <v>70</v>
      </c>
      <c r="J252" s="23"/>
      <c r="K252" s="23"/>
      <c r="L252" s="23"/>
      <c r="M252" s="23"/>
      <c r="N252" s="23"/>
      <c r="O252" s="23"/>
      <c r="P252" s="11"/>
      <c r="Q252" s="11"/>
      <c r="R252" s="11"/>
      <c r="S252" s="11"/>
      <c r="U252" s="4" t="s">
        <v>71</v>
      </c>
      <c r="V252" s="4"/>
      <c r="W252" s="4"/>
      <c r="X252" s="4"/>
      <c r="Y252" s="4"/>
      <c r="Z252" s="4"/>
      <c r="AA252" s="4"/>
      <c r="AC252" s="23" t="s">
        <v>71</v>
      </c>
      <c r="AD252" s="23"/>
      <c r="AE252" s="23"/>
      <c r="AF252" s="23"/>
      <c r="AG252" s="23"/>
      <c r="AH252" s="23"/>
      <c r="AI252" s="23"/>
      <c r="AJ252" s="11"/>
      <c r="AK252" s="11"/>
      <c r="AL252" s="11"/>
      <c r="AM252" s="11"/>
      <c r="AO252" s="4" t="s">
        <v>70</v>
      </c>
      <c r="AP252" s="4"/>
      <c r="AQ252" s="4"/>
      <c r="AR252" s="4"/>
      <c r="AS252" s="4"/>
      <c r="AT252" s="4"/>
      <c r="AU252" s="4"/>
      <c r="AW252" s="23" t="s">
        <v>70</v>
      </c>
      <c r="AX252" s="23"/>
      <c r="AY252" s="23"/>
      <c r="AZ252" s="23"/>
      <c r="BA252" s="23"/>
      <c r="BB252" s="23"/>
      <c r="BC252" s="23"/>
      <c r="BD252" s="11"/>
      <c r="BE252" s="11"/>
      <c r="BF252" s="11"/>
      <c r="BG252" s="11"/>
      <c r="BI252" s="4" t="s">
        <v>71</v>
      </c>
      <c r="BJ252" s="4"/>
      <c r="BK252" s="4"/>
      <c r="BL252" s="4"/>
      <c r="BM252" s="4"/>
      <c r="BN252" s="4"/>
      <c r="BO252" s="4"/>
      <c r="BQ252" s="23" t="s">
        <v>71</v>
      </c>
      <c r="BR252" s="23"/>
      <c r="BS252" s="23"/>
      <c r="BT252" s="23"/>
      <c r="BU252" s="23"/>
      <c r="BV252" s="23"/>
      <c r="BW252" s="23"/>
      <c r="BX252" s="11"/>
      <c r="BY252" s="11"/>
      <c r="BZ252" s="11"/>
      <c r="CA252" s="11"/>
    </row>
    <row r="253" spans="1:79" x14ac:dyDescent="0.3">
      <c r="A253" s="4" t="s">
        <v>2</v>
      </c>
      <c r="B253" s="4" t="s">
        <v>3</v>
      </c>
      <c r="C253" s="4" t="s">
        <v>4</v>
      </c>
      <c r="D253" s="4" t="s">
        <v>5</v>
      </c>
      <c r="E253" s="4" t="s">
        <v>6</v>
      </c>
      <c r="F253" s="4" t="s">
        <v>7</v>
      </c>
      <c r="G253" s="4" t="s">
        <v>8</v>
      </c>
      <c r="I253" s="4" t="s">
        <v>2</v>
      </c>
      <c r="J253" s="4" t="s">
        <v>3</v>
      </c>
      <c r="K253" s="4" t="s">
        <v>4</v>
      </c>
      <c r="L253" s="4" t="s">
        <v>5</v>
      </c>
      <c r="M253" s="4" t="s">
        <v>6</v>
      </c>
      <c r="N253" s="4" t="s">
        <v>7</v>
      </c>
      <c r="O253" s="4" t="s">
        <v>8</v>
      </c>
      <c r="P253" s="3" t="s">
        <v>322</v>
      </c>
      <c r="Q253" s="3" t="s">
        <v>323</v>
      </c>
      <c r="R253" s="3" t="s">
        <v>322</v>
      </c>
      <c r="S253" s="3" t="s">
        <v>323</v>
      </c>
      <c r="U253" s="4" t="s">
        <v>2</v>
      </c>
      <c r="V253" s="4" t="s">
        <v>3</v>
      </c>
      <c r="W253" s="4" t="s">
        <v>4</v>
      </c>
      <c r="X253" s="4" t="s">
        <v>5</v>
      </c>
      <c r="Y253" s="4" t="s">
        <v>6</v>
      </c>
      <c r="Z253" s="4" t="s">
        <v>7</v>
      </c>
      <c r="AA253" s="4" t="s">
        <v>8</v>
      </c>
      <c r="AC253" s="4" t="s">
        <v>2</v>
      </c>
      <c r="AD253" s="4" t="s">
        <v>3</v>
      </c>
      <c r="AE253" s="4" t="s">
        <v>4</v>
      </c>
      <c r="AF253" s="4" t="s">
        <v>5</v>
      </c>
      <c r="AG253" s="4" t="s">
        <v>6</v>
      </c>
      <c r="AH253" s="4" t="s">
        <v>7</v>
      </c>
      <c r="AI253" s="4" t="s">
        <v>8</v>
      </c>
      <c r="AJ253" s="3" t="s">
        <v>322</v>
      </c>
      <c r="AK253" s="3" t="s">
        <v>323</v>
      </c>
      <c r="AL253" s="3" t="s">
        <v>322</v>
      </c>
      <c r="AM253" s="3" t="s">
        <v>323</v>
      </c>
      <c r="AO253" s="4" t="s">
        <v>2</v>
      </c>
      <c r="AP253" s="4" t="s">
        <v>3</v>
      </c>
      <c r="AQ253" s="4" t="s">
        <v>4</v>
      </c>
      <c r="AR253" s="4" t="s">
        <v>5</v>
      </c>
      <c r="AS253" s="4" t="s">
        <v>6</v>
      </c>
      <c r="AT253" s="4" t="s">
        <v>7</v>
      </c>
      <c r="AU253" s="4" t="s">
        <v>8</v>
      </c>
      <c r="AW253" s="4" t="s">
        <v>2</v>
      </c>
      <c r="AX253" s="4" t="s">
        <v>3</v>
      </c>
      <c r="AY253" s="4" t="s">
        <v>4</v>
      </c>
      <c r="AZ253" s="4" t="s">
        <v>5</v>
      </c>
      <c r="BA253" s="4" t="s">
        <v>6</v>
      </c>
      <c r="BB253" s="4" t="s">
        <v>7</v>
      </c>
      <c r="BC253" s="4" t="s">
        <v>8</v>
      </c>
      <c r="BD253" s="3" t="s">
        <v>322</v>
      </c>
      <c r="BE253" s="3" t="s">
        <v>323</v>
      </c>
      <c r="BF253" s="3" t="s">
        <v>322</v>
      </c>
      <c r="BG253" s="3" t="s">
        <v>323</v>
      </c>
      <c r="BI253" s="4" t="s">
        <v>2</v>
      </c>
      <c r="BJ253" s="4" t="s">
        <v>3</v>
      </c>
      <c r="BK253" s="4" t="s">
        <v>4</v>
      </c>
      <c r="BL253" s="4" t="s">
        <v>5</v>
      </c>
      <c r="BM253" s="4" t="s">
        <v>6</v>
      </c>
      <c r="BN253" s="4" t="s">
        <v>7</v>
      </c>
      <c r="BO253" s="4" t="s">
        <v>8</v>
      </c>
      <c r="BQ253" s="4" t="s">
        <v>2</v>
      </c>
      <c r="BR253" s="4" t="s">
        <v>3</v>
      </c>
      <c r="BS253" s="4" t="s">
        <v>4</v>
      </c>
      <c r="BT253" s="4" t="s">
        <v>5</v>
      </c>
      <c r="BU253" s="4" t="s">
        <v>6</v>
      </c>
      <c r="BV253" s="4" t="s">
        <v>7</v>
      </c>
      <c r="BW253" s="4" t="s">
        <v>8</v>
      </c>
      <c r="BX253" s="3" t="s">
        <v>322</v>
      </c>
      <c r="BY253" s="3" t="s">
        <v>323</v>
      </c>
      <c r="BZ253" s="3" t="s">
        <v>322</v>
      </c>
      <c r="CA253" s="3" t="s">
        <v>323</v>
      </c>
    </row>
    <row r="254" spans="1:79" x14ac:dyDescent="0.3">
      <c r="A254" s="4" t="s">
        <v>134</v>
      </c>
      <c r="B254" s="4">
        <v>0.9</v>
      </c>
      <c r="C254" s="4">
        <v>0.5</v>
      </c>
      <c r="D254" s="4">
        <v>0.6</v>
      </c>
      <c r="E254" s="4">
        <v>0.01</v>
      </c>
      <c r="F254" s="6">
        <v>595.509277</v>
      </c>
      <c r="G254" s="4">
        <v>0.02</v>
      </c>
      <c r="I254" s="4" t="s">
        <v>134</v>
      </c>
      <c r="J254" s="4">
        <v>0.9</v>
      </c>
      <c r="K254" s="4">
        <v>0.5</v>
      </c>
      <c r="L254" s="4">
        <v>0.6</v>
      </c>
      <c r="M254" s="4">
        <v>0.31</v>
      </c>
      <c r="N254" s="4">
        <v>616.35650599999997</v>
      </c>
      <c r="O254" s="4">
        <v>1E-3</v>
      </c>
      <c r="P254" s="4" t="s">
        <v>327</v>
      </c>
      <c r="Q254" s="4" t="s">
        <v>327</v>
      </c>
      <c r="R254" s="4" t="s">
        <v>326</v>
      </c>
      <c r="S254" s="4" t="s">
        <v>326</v>
      </c>
      <c r="U254" s="4" t="s">
        <v>134</v>
      </c>
      <c r="V254" s="4">
        <v>0.9</v>
      </c>
      <c r="W254" s="4">
        <v>0.5</v>
      </c>
      <c r="X254" s="4">
        <v>0.6</v>
      </c>
      <c r="Y254" s="4">
        <v>0.01</v>
      </c>
      <c r="Z254" s="6">
        <v>573.09020999999996</v>
      </c>
      <c r="AA254" s="4">
        <v>1.2999999999999999E-2</v>
      </c>
      <c r="AC254" s="4" t="s">
        <v>134</v>
      </c>
      <c r="AD254" s="4">
        <v>0.9</v>
      </c>
      <c r="AE254" s="4">
        <v>0.5</v>
      </c>
      <c r="AF254" s="4">
        <v>0.6</v>
      </c>
      <c r="AG254" s="4">
        <v>0.32</v>
      </c>
      <c r="AH254" s="4">
        <v>579.36090100000001</v>
      </c>
      <c r="AI254" s="4">
        <v>2E-3</v>
      </c>
      <c r="AJ254" s="4" t="s">
        <v>327</v>
      </c>
      <c r="AK254" s="4" t="s">
        <v>327</v>
      </c>
      <c r="AL254" s="4" t="s">
        <v>326</v>
      </c>
      <c r="AM254" s="4" t="s">
        <v>326</v>
      </c>
      <c r="AO254" s="4" t="s">
        <v>135</v>
      </c>
      <c r="AP254" s="4">
        <v>0.9</v>
      </c>
      <c r="AQ254" s="4">
        <v>0.5</v>
      </c>
      <c r="AR254" s="4">
        <v>0.6</v>
      </c>
      <c r="AS254" s="4">
        <v>0.01</v>
      </c>
      <c r="AT254" s="6">
        <v>715.47619599999996</v>
      </c>
      <c r="AU254" s="4">
        <v>8.9999999999999993E-3</v>
      </c>
      <c r="AW254" s="4" t="s">
        <v>135</v>
      </c>
      <c r="AX254" s="4">
        <v>0.9</v>
      </c>
      <c r="AY254" s="4">
        <v>0.5</v>
      </c>
      <c r="AZ254" s="4">
        <v>0.6</v>
      </c>
      <c r="BA254" s="4">
        <v>0.31</v>
      </c>
      <c r="BB254" s="4">
        <v>820.71569799999997</v>
      </c>
      <c r="BC254" s="4">
        <v>6.0000000000000001E-3</v>
      </c>
      <c r="BD254" s="4" t="s">
        <v>327</v>
      </c>
      <c r="BE254" s="4" t="s">
        <v>327</v>
      </c>
      <c r="BF254" s="4" t="s">
        <v>326</v>
      </c>
      <c r="BG254" s="4" t="s">
        <v>326</v>
      </c>
      <c r="BI254" s="4" t="s">
        <v>135</v>
      </c>
      <c r="BJ254" s="4">
        <v>0.9</v>
      </c>
      <c r="BK254" s="4">
        <v>0.5</v>
      </c>
      <c r="BL254" s="4">
        <v>0.6</v>
      </c>
      <c r="BM254" s="4">
        <v>0.01</v>
      </c>
      <c r="BN254" s="6">
        <v>675.18188499999997</v>
      </c>
      <c r="BO254" s="4">
        <v>1.2E-2</v>
      </c>
      <c r="BQ254" s="4" t="s">
        <v>135</v>
      </c>
      <c r="BR254" s="4">
        <v>0.9</v>
      </c>
      <c r="BS254" s="4">
        <v>0.5</v>
      </c>
      <c r="BT254" s="4">
        <v>0.6</v>
      </c>
      <c r="BU254" s="4">
        <v>0.32</v>
      </c>
      <c r="BV254" s="4">
        <v>777.97167999999999</v>
      </c>
      <c r="BW254" s="4">
        <v>5.0000000000000001E-3</v>
      </c>
      <c r="BX254" s="4" t="s">
        <v>327</v>
      </c>
      <c r="BY254" s="4" t="s">
        <v>327</v>
      </c>
      <c r="BZ254" s="4" t="s">
        <v>326</v>
      </c>
      <c r="CA254" s="4" t="s">
        <v>326</v>
      </c>
    </row>
    <row r="255" spans="1:79" x14ac:dyDescent="0.3">
      <c r="A255" s="4" t="s">
        <v>136</v>
      </c>
      <c r="B255" s="4">
        <v>0.9</v>
      </c>
      <c r="C255" s="4">
        <v>0.5</v>
      </c>
      <c r="D255" s="4">
        <v>0.6</v>
      </c>
      <c r="E255" s="4">
        <v>0.26</v>
      </c>
      <c r="F255" s="6">
        <v>547.31719999999996</v>
      </c>
      <c r="G255" s="4">
        <v>2.5000000000000001E-2</v>
      </c>
      <c r="I255" s="4" t="s">
        <v>136</v>
      </c>
      <c r="J255" s="4">
        <v>0.9</v>
      </c>
      <c r="K255" s="4">
        <v>0.5</v>
      </c>
      <c r="L255" s="4">
        <v>0.6</v>
      </c>
      <c r="M255" s="4">
        <v>0.32</v>
      </c>
      <c r="N255" s="4">
        <v>551.70526099999995</v>
      </c>
      <c r="O255" s="4">
        <v>2E-3</v>
      </c>
      <c r="P255" s="3">
        <f>COUNT(F254:F255,F257,F260,F265,F280)</f>
        <v>6</v>
      </c>
      <c r="Q255" s="3">
        <f>30-P255</f>
        <v>24</v>
      </c>
      <c r="R255" s="3">
        <f>COUNT(N256,N258:N259,N261:N264,N266:N279,N281:N283)</f>
        <v>24</v>
      </c>
      <c r="S255" s="3">
        <f>30-R255</f>
        <v>6</v>
      </c>
      <c r="U255" s="4" t="s">
        <v>136</v>
      </c>
      <c r="V255" s="4">
        <v>0.9</v>
      </c>
      <c r="W255" s="4">
        <v>0.5</v>
      </c>
      <c r="X255" s="4">
        <v>0.6</v>
      </c>
      <c r="Y255" s="4">
        <v>0.54</v>
      </c>
      <c r="Z255" s="4">
        <v>545.06207300000005</v>
      </c>
      <c r="AA255" s="4">
        <v>2.1999999999999999E-2</v>
      </c>
      <c r="AC255" s="4" t="s">
        <v>136</v>
      </c>
      <c r="AD255" s="4">
        <v>0.9</v>
      </c>
      <c r="AE255" s="4">
        <v>0.5</v>
      </c>
      <c r="AF255" s="4">
        <v>0.6</v>
      </c>
      <c r="AG255" s="4">
        <v>0.33</v>
      </c>
      <c r="AH255" s="6">
        <v>500.28424100000001</v>
      </c>
      <c r="AI255" s="4">
        <v>3.0000000000000001E-3</v>
      </c>
      <c r="AJ255" s="3">
        <f>COUNT(Z254,Z256,Z259:Z262,Z274:Z275,Z281:Z282)</f>
        <v>10</v>
      </c>
      <c r="AK255" s="3">
        <f>30-AJ255</f>
        <v>20</v>
      </c>
      <c r="AL255" s="3">
        <f>COUNT(AH255,AH257:AH258,AH263:AH273,AH276:AH280,AH283)</f>
        <v>20</v>
      </c>
      <c r="AM255" s="3">
        <f>30-AL255</f>
        <v>10</v>
      </c>
      <c r="AO255" s="4" t="s">
        <v>137</v>
      </c>
      <c r="AP255" s="4">
        <v>0.9</v>
      </c>
      <c r="AQ255" s="4">
        <v>0.5</v>
      </c>
      <c r="AR255" s="4">
        <v>0.6</v>
      </c>
      <c r="AS255" s="4">
        <v>0.85</v>
      </c>
      <c r="AT255" s="4">
        <v>1027.5391850000001</v>
      </c>
      <c r="AU255" s="4">
        <v>2.5000000000000001E-2</v>
      </c>
      <c r="AW255" s="4" t="s">
        <v>137</v>
      </c>
      <c r="AX255" s="4">
        <v>0.9</v>
      </c>
      <c r="AY255" s="4">
        <v>0.5</v>
      </c>
      <c r="AZ255" s="4">
        <v>0.6</v>
      </c>
      <c r="BA255" s="4">
        <v>0.3</v>
      </c>
      <c r="BB255" s="6">
        <v>892.30895999999996</v>
      </c>
      <c r="BC255" s="4">
        <v>6.0000000000000001E-3</v>
      </c>
      <c r="BD255" s="3">
        <f>COUNT(AT254,AT257,AT260:AT262,AT271:AT273,AT275,AT278,AT280)</f>
        <v>11</v>
      </c>
      <c r="BE255" s="3">
        <f>30-BD255</f>
        <v>19</v>
      </c>
      <c r="BF255" s="3">
        <f>COUNT(BB255:BB256,BB258:BB259,BB263:BB270,BB274,BB276:BB277,BB279,BB281:BB283)</f>
        <v>19</v>
      </c>
      <c r="BG255" s="3">
        <f>30-BF255</f>
        <v>11</v>
      </c>
      <c r="BI255" s="4" t="s">
        <v>137</v>
      </c>
      <c r="BJ255" s="4">
        <v>0.9</v>
      </c>
      <c r="BK255" s="4">
        <v>0.5</v>
      </c>
      <c r="BL255" s="4">
        <v>0.6</v>
      </c>
      <c r="BM255" s="4">
        <v>0.73</v>
      </c>
      <c r="BN255" s="4">
        <v>996.850281</v>
      </c>
      <c r="BO255" s="4">
        <v>0.01</v>
      </c>
      <c r="BQ255" s="4" t="s">
        <v>137</v>
      </c>
      <c r="BR255" s="4">
        <v>0.9</v>
      </c>
      <c r="BS255" s="4">
        <v>0.5</v>
      </c>
      <c r="BT255" s="4">
        <v>0.6</v>
      </c>
      <c r="BU255" s="4">
        <v>0.3</v>
      </c>
      <c r="BV255" s="6">
        <v>873.48095699999999</v>
      </c>
      <c r="BW255" s="4">
        <v>6.0000000000000001E-3</v>
      </c>
      <c r="BX255" s="3">
        <f>COUNT(BN254,BN259,BN269:BN270,BN273,BN275,BN278:BN279,BN281,BN283)</f>
        <v>10</v>
      </c>
      <c r="BY255" s="3">
        <f>30-BX255</f>
        <v>20</v>
      </c>
      <c r="BZ255" s="3">
        <f>COUNT(BV255:BV258,BV260:BV269,BV271:BV272,BV274,BV276:BV277,BV280,BV282)</f>
        <v>21</v>
      </c>
      <c r="CA255" s="3">
        <f>30-BZ255</f>
        <v>9</v>
      </c>
    </row>
    <row r="256" spans="1:79" x14ac:dyDescent="0.3">
      <c r="A256" s="4" t="s">
        <v>138</v>
      </c>
      <c r="B256" s="4">
        <v>0.9</v>
      </c>
      <c r="C256" s="4">
        <v>0.5</v>
      </c>
      <c r="D256" s="4">
        <v>0.6</v>
      </c>
      <c r="E256" s="4">
        <v>0.62</v>
      </c>
      <c r="F256" s="4">
        <v>662.53161599999999</v>
      </c>
      <c r="G256" s="4">
        <v>0.03</v>
      </c>
      <c r="I256" s="4" t="s">
        <v>138</v>
      </c>
      <c r="J256" s="4">
        <v>0.9</v>
      </c>
      <c r="K256" s="4">
        <v>0.5</v>
      </c>
      <c r="L256" s="4">
        <v>0.6</v>
      </c>
      <c r="M256" s="4">
        <v>0.31</v>
      </c>
      <c r="N256" s="6">
        <v>610.86511199999995</v>
      </c>
      <c r="O256" s="4">
        <v>2E-3</v>
      </c>
      <c r="P256" s="5"/>
      <c r="Q256" s="5"/>
      <c r="R256" s="5"/>
      <c r="S256" s="5"/>
      <c r="U256" s="4" t="s">
        <v>138</v>
      </c>
      <c r="V256" s="4">
        <v>0.9</v>
      </c>
      <c r="W256" s="4">
        <v>0.5</v>
      </c>
      <c r="X256" s="4">
        <v>0.6</v>
      </c>
      <c r="Y256" s="4">
        <v>0.25</v>
      </c>
      <c r="Z256" s="6">
        <v>589.03533900000002</v>
      </c>
      <c r="AA256" s="4">
        <v>0.02</v>
      </c>
      <c r="AC256" s="4" t="s">
        <v>138</v>
      </c>
      <c r="AD256" s="4">
        <v>0.9</v>
      </c>
      <c r="AE256" s="4">
        <v>0.5</v>
      </c>
      <c r="AF256" s="4">
        <v>0.6</v>
      </c>
      <c r="AG256" s="4">
        <v>0.41</v>
      </c>
      <c r="AH256" s="4">
        <v>591.38305700000001</v>
      </c>
      <c r="AI256" s="4">
        <v>2E-3</v>
      </c>
      <c r="AJ256" s="5"/>
      <c r="AK256" s="5"/>
      <c r="AL256" s="5"/>
      <c r="AM256" s="5"/>
      <c r="AO256" s="4" t="s">
        <v>139</v>
      </c>
      <c r="AP256" s="4">
        <v>0.9</v>
      </c>
      <c r="AQ256" s="4">
        <v>0.5</v>
      </c>
      <c r="AR256" s="4">
        <v>0.6</v>
      </c>
      <c r="AS256" s="4">
        <v>0.97</v>
      </c>
      <c r="AT256" s="4">
        <v>1074.665405</v>
      </c>
      <c r="AU256" s="4">
        <v>2.3E-2</v>
      </c>
      <c r="AW256" s="4" t="s">
        <v>139</v>
      </c>
      <c r="AX256" s="4">
        <v>0.9</v>
      </c>
      <c r="AY256" s="4">
        <v>0.5</v>
      </c>
      <c r="AZ256" s="4">
        <v>0.6</v>
      </c>
      <c r="BA256" s="4">
        <v>0.3</v>
      </c>
      <c r="BB256" s="6">
        <v>926.60736099999997</v>
      </c>
      <c r="BC256" s="4">
        <v>5.0000000000000001E-3</v>
      </c>
      <c r="BD256" s="5"/>
      <c r="BE256" s="5"/>
      <c r="BF256" s="5"/>
      <c r="BG256" s="5"/>
      <c r="BI256" s="4" t="s">
        <v>139</v>
      </c>
      <c r="BJ256" s="4">
        <v>0.9</v>
      </c>
      <c r="BK256" s="4">
        <v>0.5</v>
      </c>
      <c r="BL256" s="4">
        <v>0.6</v>
      </c>
      <c r="BM256" s="4">
        <v>0.42</v>
      </c>
      <c r="BN256" s="4">
        <v>941.198669</v>
      </c>
      <c r="BO256" s="4">
        <v>2.5999999999999999E-2</v>
      </c>
      <c r="BQ256" s="4" t="s">
        <v>139</v>
      </c>
      <c r="BR256" s="4">
        <v>0.9</v>
      </c>
      <c r="BS256" s="4">
        <v>0.5</v>
      </c>
      <c r="BT256" s="4">
        <v>0.6</v>
      </c>
      <c r="BU256" s="4">
        <v>0.31</v>
      </c>
      <c r="BV256" s="6">
        <v>882.702271</v>
      </c>
      <c r="BW256" s="4">
        <v>5.0000000000000001E-3</v>
      </c>
      <c r="BX256" s="5"/>
      <c r="BY256" s="5"/>
      <c r="BZ256" s="5"/>
      <c r="CA256" s="5"/>
    </row>
    <row r="257" spans="1:79" x14ac:dyDescent="0.3">
      <c r="A257" s="4" t="s">
        <v>140</v>
      </c>
      <c r="B257" s="4">
        <v>0.9</v>
      </c>
      <c r="C257" s="4">
        <v>0.5</v>
      </c>
      <c r="D257" s="4">
        <v>0.6</v>
      </c>
      <c r="E257" s="4">
        <v>0.18</v>
      </c>
      <c r="F257" s="6">
        <v>579.72753899999998</v>
      </c>
      <c r="G257" s="4">
        <v>6.0000000000000001E-3</v>
      </c>
      <c r="I257" s="4" t="s">
        <v>140</v>
      </c>
      <c r="J257" s="4">
        <v>0.9</v>
      </c>
      <c r="K257" s="4">
        <v>0.5</v>
      </c>
      <c r="L257" s="4">
        <v>0.6</v>
      </c>
      <c r="M257" s="4">
        <v>0.31</v>
      </c>
      <c r="N257" s="4">
        <v>611.978882</v>
      </c>
      <c r="O257" s="4">
        <v>1E-3</v>
      </c>
      <c r="P257" s="5"/>
      <c r="Q257" s="5"/>
      <c r="R257" s="5"/>
      <c r="S257" s="5"/>
      <c r="U257" s="4" t="s">
        <v>140</v>
      </c>
      <c r="V257" s="4">
        <v>0.9</v>
      </c>
      <c r="W257" s="4">
        <v>0.5</v>
      </c>
      <c r="X257" s="4">
        <v>0.6</v>
      </c>
      <c r="Y257" s="4">
        <v>0.83</v>
      </c>
      <c r="Z257" s="4">
        <v>687.24786400000005</v>
      </c>
      <c r="AA257" s="4">
        <v>2.7E-2</v>
      </c>
      <c r="AC257" s="4" t="s">
        <v>140</v>
      </c>
      <c r="AD257" s="4">
        <v>0.9</v>
      </c>
      <c r="AE257" s="4">
        <v>0.5</v>
      </c>
      <c r="AF257" s="4">
        <v>0.6</v>
      </c>
      <c r="AG257" s="4">
        <v>0.55000000000000004</v>
      </c>
      <c r="AH257" s="6">
        <v>584.99371299999996</v>
      </c>
      <c r="AI257" s="4">
        <v>2E-3</v>
      </c>
      <c r="AJ257" s="5"/>
      <c r="AK257" s="5"/>
      <c r="AL257" s="5"/>
      <c r="AM257" s="5"/>
      <c r="AO257" s="4" t="s">
        <v>141</v>
      </c>
      <c r="AP257" s="4">
        <v>0.9</v>
      </c>
      <c r="AQ257" s="4">
        <v>0.5</v>
      </c>
      <c r="AR257" s="4">
        <v>0.6</v>
      </c>
      <c r="AS257" s="4">
        <v>0.3</v>
      </c>
      <c r="AT257" s="6">
        <v>963.56317100000001</v>
      </c>
      <c r="AU257" s="4">
        <v>1.7000000000000001E-2</v>
      </c>
      <c r="AW257" s="4" t="s">
        <v>141</v>
      </c>
      <c r="AX257" s="4">
        <v>0.9</v>
      </c>
      <c r="AY257" s="4">
        <v>0.5</v>
      </c>
      <c r="AZ257" s="4">
        <v>0.6</v>
      </c>
      <c r="BA257" s="4">
        <v>0.3</v>
      </c>
      <c r="BB257" s="4">
        <v>970.87023899999997</v>
      </c>
      <c r="BC257" s="4">
        <v>5.0000000000000001E-3</v>
      </c>
      <c r="BD257" s="5"/>
      <c r="BE257" s="5"/>
      <c r="BF257" s="5"/>
      <c r="BG257" s="5"/>
      <c r="BI257" s="4" t="s">
        <v>141</v>
      </c>
      <c r="BJ257" s="4">
        <v>0.9</v>
      </c>
      <c r="BK257" s="4">
        <v>0.5</v>
      </c>
      <c r="BL257" s="4">
        <v>0.6</v>
      </c>
      <c r="BM257" s="4">
        <v>0.44</v>
      </c>
      <c r="BN257" s="4">
        <v>980.66870100000006</v>
      </c>
      <c r="BO257" s="4">
        <v>2.1999999999999999E-2</v>
      </c>
      <c r="BQ257" s="4" t="s">
        <v>141</v>
      </c>
      <c r="BR257" s="4">
        <v>0.9</v>
      </c>
      <c r="BS257" s="4">
        <v>0.5</v>
      </c>
      <c r="BT257" s="4">
        <v>0.6</v>
      </c>
      <c r="BU257" s="4">
        <v>0.3</v>
      </c>
      <c r="BV257" s="6">
        <v>939.51544200000001</v>
      </c>
      <c r="BW257" s="4">
        <v>6.0000000000000001E-3</v>
      </c>
      <c r="BX257" s="5"/>
      <c r="BY257" s="5"/>
      <c r="BZ257" s="5"/>
      <c r="CA257" s="5"/>
    </row>
    <row r="258" spans="1:79" x14ac:dyDescent="0.3">
      <c r="A258" s="4" t="s">
        <v>142</v>
      </c>
      <c r="B258" s="4">
        <v>0.9</v>
      </c>
      <c r="C258" s="4">
        <v>0.5</v>
      </c>
      <c r="D258" s="4">
        <v>0.6</v>
      </c>
      <c r="E258" s="4">
        <v>0.19</v>
      </c>
      <c r="F258" s="4">
        <v>538.87933299999997</v>
      </c>
      <c r="G258" s="4">
        <v>1.4999999999999999E-2</v>
      </c>
      <c r="I258" s="4" t="s">
        <v>142</v>
      </c>
      <c r="J258" s="4">
        <v>0.9</v>
      </c>
      <c r="K258" s="4">
        <v>0.5</v>
      </c>
      <c r="L258" s="4">
        <v>0.6</v>
      </c>
      <c r="M258" s="4">
        <v>0.4</v>
      </c>
      <c r="N258" s="6">
        <v>534.91583300000002</v>
      </c>
      <c r="O258" s="4">
        <v>1E-3</v>
      </c>
      <c r="P258" s="5"/>
      <c r="Q258" s="5"/>
      <c r="R258" s="5"/>
      <c r="S258" s="5"/>
      <c r="U258" s="4" t="s">
        <v>142</v>
      </c>
      <c r="V258" s="4">
        <v>0.9</v>
      </c>
      <c r="W258" s="4">
        <v>0.5</v>
      </c>
      <c r="X258" s="4">
        <v>0.6</v>
      </c>
      <c r="Y258" s="4">
        <v>0.84</v>
      </c>
      <c r="Z258" s="4">
        <v>562.70910600000002</v>
      </c>
      <c r="AA258" s="4">
        <v>1.7999999999999999E-2</v>
      </c>
      <c r="AC258" s="4" t="s">
        <v>142</v>
      </c>
      <c r="AD258" s="4">
        <v>0.9</v>
      </c>
      <c r="AE258" s="4">
        <v>0.5</v>
      </c>
      <c r="AF258" s="4">
        <v>0.6</v>
      </c>
      <c r="AG258" s="4">
        <v>0.3</v>
      </c>
      <c r="AH258" s="6">
        <v>479.59060699999998</v>
      </c>
      <c r="AI258" s="4">
        <v>2E-3</v>
      </c>
      <c r="AJ258" s="5"/>
      <c r="AK258" s="5"/>
      <c r="AL258" s="5"/>
      <c r="AM258" s="5"/>
      <c r="AO258" s="4" t="s">
        <v>143</v>
      </c>
      <c r="AP258" s="4">
        <v>0.9</v>
      </c>
      <c r="AQ258" s="4">
        <v>0.5</v>
      </c>
      <c r="AR258" s="4">
        <v>0.6</v>
      </c>
      <c r="AS258" s="4">
        <v>0.65</v>
      </c>
      <c r="AT258" s="4">
        <v>986.16876200000002</v>
      </c>
      <c r="AU258" s="4">
        <v>3.4000000000000002E-2</v>
      </c>
      <c r="AW258" s="4" t="s">
        <v>143</v>
      </c>
      <c r="AX258" s="4">
        <v>0.9</v>
      </c>
      <c r="AY258" s="4">
        <v>0.5</v>
      </c>
      <c r="AZ258" s="4">
        <v>0.6</v>
      </c>
      <c r="BA258" s="4">
        <v>0.31</v>
      </c>
      <c r="BB258" s="6">
        <v>897.49298099999999</v>
      </c>
      <c r="BC258" s="4">
        <v>6.0000000000000001E-3</v>
      </c>
      <c r="BD258" s="5"/>
      <c r="BE258" s="5"/>
      <c r="BF258" s="5"/>
      <c r="BG258" s="5"/>
      <c r="BI258" s="4" t="s">
        <v>143</v>
      </c>
      <c r="BJ258" s="4">
        <v>0.9</v>
      </c>
      <c r="BK258" s="4">
        <v>0.5</v>
      </c>
      <c r="BL258" s="4">
        <v>0.6</v>
      </c>
      <c r="BM258" s="4">
        <v>0.47</v>
      </c>
      <c r="BN258" s="4">
        <v>951.29797399999995</v>
      </c>
      <c r="BO258" s="4">
        <v>1.4999999999999999E-2</v>
      </c>
      <c r="BQ258" s="4" t="s">
        <v>143</v>
      </c>
      <c r="BR258" s="4">
        <v>0.9</v>
      </c>
      <c r="BS258" s="4">
        <v>0.5</v>
      </c>
      <c r="BT258" s="4">
        <v>0.6</v>
      </c>
      <c r="BU258" s="4">
        <v>0.31</v>
      </c>
      <c r="BV258" s="6">
        <v>890.564392</v>
      </c>
      <c r="BW258" s="4">
        <v>6.0000000000000001E-3</v>
      </c>
      <c r="BX258" s="5"/>
      <c r="BY258" s="5"/>
      <c r="BZ258" s="5"/>
      <c r="CA258" s="5"/>
    </row>
    <row r="259" spans="1:79" x14ac:dyDescent="0.3">
      <c r="A259" s="4" t="s">
        <v>144</v>
      </c>
      <c r="B259" s="4">
        <v>0.9</v>
      </c>
      <c r="C259" s="4">
        <v>0.5</v>
      </c>
      <c r="D259" s="4">
        <v>0.6</v>
      </c>
      <c r="E259" s="4">
        <v>0.51</v>
      </c>
      <c r="F259" s="4">
        <v>657.34893799999998</v>
      </c>
      <c r="G259" s="4">
        <v>1.7000000000000001E-2</v>
      </c>
      <c r="I259" s="4" t="s">
        <v>144</v>
      </c>
      <c r="J259" s="4">
        <v>0.9</v>
      </c>
      <c r="K259" s="4">
        <v>0.5</v>
      </c>
      <c r="L259" s="4">
        <v>0.6</v>
      </c>
      <c r="M259" s="4">
        <v>0.31</v>
      </c>
      <c r="N259" s="6">
        <v>619.27929700000004</v>
      </c>
      <c r="O259" s="4">
        <v>2E-3</v>
      </c>
      <c r="P259" s="5"/>
      <c r="Q259" s="5"/>
      <c r="R259" s="5"/>
      <c r="S259" s="5"/>
      <c r="U259" s="4" t="s">
        <v>144</v>
      </c>
      <c r="V259" s="4">
        <v>0.9</v>
      </c>
      <c r="W259" s="4">
        <v>0.5</v>
      </c>
      <c r="X259" s="4">
        <v>0.6</v>
      </c>
      <c r="Y259" s="4">
        <v>0.31</v>
      </c>
      <c r="Z259" s="6">
        <v>587.97711200000003</v>
      </c>
      <c r="AA259" s="4">
        <v>2.7E-2</v>
      </c>
      <c r="AC259" s="4" t="s">
        <v>144</v>
      </c>
      <c r="AD259" s="4">
        <v>0.9</v>
      </c>
      <c r="AE259" s="4">
        <v>0.5</v>
      </c>
      <c r="AF259" s="4">
        <v>0.6</v>
      </c>
      <c r="AG259" s="4">
        <v>0.34</v>
      </c>
      <c r="AH259" s="4">
        <v>606.23657200000002</v>
      </c>
      <c r="AI259" s="4">
        <v>1E-3</v>
      </c>
      <c r="AJ259" s="5"/>
      <c r="AK259" s="5"/>
      <c r="AL259" s="5"/>
      <c r="AM259" s="5"/>
      <c r="AO259" s="4" t="s">
        <v>145</v>
      </c>
      <c r="AP259" s="4">
        <v>0.9</v>
      </c>
      <c r="AQ259" s="4">
        <v>0.5</v>
      </c>
      <c r="AR259" s="4">
        <v>0.6</v>
      </c>
      <c r="AS259" s="4">
        <v>0.48</v>
      </c>
      <c r="AT259" s="4">
        <v>977.77844200000004</v>
      </c>
      <c r="AU259" s="4">
        <v>1.4E-2</v>
      </c>
      <c r="AW259" s="4" t="s">
        <v>145</v>
      </c>
      <c r="AX259" s="4">
        <v>0.9</v>
      </c>
      <c r="AY259" s="4">
        <v>0.5</v>
      </c>
      <c r="AZ259" s="4">
        <v>0.6</v>
      </c>
      <c r="BA259" s="4">
        <v>0.31</v>
      </c>
      <c r="BB259" s="6">
        <v>937.00299099999995</v>
      </c>
      <c r="BC259" s="4">
        <v>6.0000000000000001E-3</v>
      </c>
      <c r="BD259" s="5"/>
      <c r="BE259" s="5"/>
      <c r="BF259" s="5"/>
      <c r="BG259" s="5"/>
      <c r="BI259" s="4" t="s">
        <v>145</v>
      </c>
      <c r="BJ259" s="4">
        <v>0.9</v>
      </c>
      <c r="BK259" s="4">
        <v>0.5</v>
      </c>
      <c r="BL259" s="4">
        <v>0.6</v>
      </c>
      <c r="BM259" s="4">
        <v>0.24</v>
      </c>
      <c r="BN259" s="6">
        <v>827.83734100000004</v>
      </c>
      <c r="BO259" s="4">
        <v>0.02</v>
      </c>
      <c r="BQ259" s="4" t="s">
        <v>145</v>
      </c>
      <c r="BR259" s="4">
        <v>0.9</v>
      </c>
      <c r="BS259" s="4">
        <v>0.5</v>
      </c>
      <c r="BT259" s="4">
        <v>0.6</v>
      </c>
      <c r="BU259" s="4">
        <v>0.32</v>
      </c>
      <c r="BV259" s="4">
        <v>884.35754399999996</v>
      </c>
      <c r="BW259" s="4">
        <v>8.9999999999999993E-3</v>
      </c>
      <c r="BX259" s="5"/>
      <c r="BY259" s="5"/>
      <c r="BZ259" s="5"/>
      <c r="CA259" s="5"/>
    </row>
    <row r="260" spans="1:79" x14ac:dyDescent="0.3">
      <c r="A260" s="4" t="s">
        <v>146</v>
      </c>
      <c r="B260" s="4">
        <v>0.9</v>
      </c>
      <c r="C260" s="4">
        <v>0.5</v>
      </c>
      <c r="D260" s="4">
        <v>0.6</v>
      </c>
      <c r="E260" s="4">
        <v>0.22</v>
      </c>
      <c r="F260" s="6">
        <v>548.48046899999997</v>
      </c>
      <c r="G260" s="4">
        <v>1.2999999999999999E-2</v>
      </c>
      <c r="I260" s="4" t="s">
        <v>146</v>
      </c>
      <c r="J260" s="4">
        <v>0.9</v>
      </c>
      <c r="K260" s="4">
        <v>0.5</v>
      </c>
      <c r="L260" s="4">
        <v>0.6</v>
      </c>
      <c r="M260" s="4">
        <v>0.3</v>
      </c>
      <c r="N260" s="4">
        <v>560.00970500000005</v>
      </c>
      <c r="O260" s="4">
        <v>2E-3</v>
      </c>
      <c r="P260" s="5"/>
      <c r="Q260" s="5"/>
      <c r="R260" s="5"/>
      <c r="S260" s="5"/>
      <c r="U260" s="4" t="s">
        <v>146</v>
      </c>
      <c r="V260" s="4">
        <v>0.9</v>
      </c>
      <c r="W260" s="4">
        <v>0.5</v>
      </c>
      <c r="X260" s="4">
        <v>0.6</v>
      </c>
      <c r="Y260" s="4">
        <v>0</v>
      </c>
      <c r="Z260" s="6">
        <v>495.33551</v>
      </c>
      <c r="AA260" s="4">
        <v>3.2000000000000001E-2</v>
      </c>
      <c r="AC260" s="4" t="s">
        <v>146</v>
      </c>
      <c r="AD260" s="4">
        <v>0.9</v>
      </c>
      <c r="AE260" s="4">
        <v>0.5</v>
      </c>
      <c r="AF260" s="4">
        <v>0.6</v>
      </c>
      <c r="AG260" s="4">
        <v>0.31</v>
      </c>
      <c r="AH260" s="4">
        <v>538.82757600000002</v>
      </c>
      <c r="AI260" s="4">
        <v>2E-3</v>
      </c>
      <c r="AJ260" s="5"/>
      <c r="AK260" s="5"/>
      <c r="AL260" s="5"/>
      <c r="AM260" s="5"/>
      <c r="AO260" s="4" t="s">
        <v>147</v>
      </c>
      <c r="AP260" s="4">
        <v>0.9</v>
      </c>
      <c r="AQ260" s="4">
        <v>0.5</v>
      </c>
      <c r="AR260" s="4">
        <v>0.6</v>
      </c>
      <c r="AS260" s="4">
        <v>0.05</v>
      </c>
      <c r="AT260" s="6">
        <v>738.66156000000001</v>
      </c>
      <c r="AU260" s="4">
        <v>1.4E-2</v>
      </c>
      <c r="AW260" s="4" t="s">
        <v>147</v>
      </c>
      <c r="AX260" s="4">
        <v>0.9</v>
      </c>
      <c r="AY260" s="4">
        <v>0.5</v>
      </c>
      <c r="AZ260" s="4">
        <v>0.6</v>
      </c>
      <c r="BA260" s="4">
        <v>0.31</v>
      </c>
      <c r="BB260" s="4">
        <v>886.59399399999995</v>
      </c>
      <c r="BC260" s="4">
        <v>7.0000000000000001E-3</v>
      </c>
      <c r="BD260" s="5"/>
      <c r="BE260" s="5"/>
      <c r="BF260" s="5"/>
      <c r="BG260" s="5"/>
      <c r="BI260" s="4" t="s">
        <v>147</v>
      </c>
      <c r="BJ260" s="4">
        <v>0.9</v>
      </c>
      <c r="BK260" s="4">
        <v>0.5</v>
      </c>
      <c r="BL260" s="4">
        <v>0.6</v>
      </c>
      <c r="BM260" s="4">
        <v>0.88</v>
      </c>
      <c r="BN260" s="4">
        <v>997.613831</v>
      </c>
      <c r="BO260" s="4">
        <v>1.2999999999999999E-2</v>
      </c>
      <c r="BQ260" s="4" t="s">
        <v>147</v>
      </c>
      <c r="BR260" s="4">
        <v>0.9</v>
      </c>
      <c r="BS260" s="4">
        <v>0.5</v>
      </c>
      <c r="BT260" s="4">
        <v>0.6</v>
      </c>
      <c r="BU260" s="4">
        <v>0.3</v>
      </c>
      <c r="BV260" s="6">
        <v>863.00518799999998</v>
      </c>
      <c r="BW260" s="4">
        <v>6.0000000000000001E-3</v>
      </c>
      <c r="BX260" s="5"/>
      <c r="BY260" s="5"/>
      <c r="BZ260" s="5"/>
      <c r="CA260" s="5"/>
    </row>
    <row r="261" spans="1:79" x14ac:dyDescent="0.3">
      <c r="A261" s="4" t="s">
        <v>148</v>
      </c>
      <c r="B261" s="4">
        <v>0.9</v>
      </c>
      <c r="C261" s="4">
        <v>0.5</v>
      </c>
      <c r="D261" s="4">
        <v>0.6</v>
      </c>
      <c r="E261" s="4">
        <v>0.99</v>
      </c>
      <c r="F261" s="4">
        <v>697.87249799999995</v>
      </c>
      <c r="G261" s="4">
        <v>0.02</v>
      </c>
      <c r="I261" s="4" t="s">
        <v>148</v>
      </c>
      <c r="J261" s="4">
        <v>0.9</v>
      </c>
      <c r="K261" s="4">
        <v>0.5</v>
      </c>
      <c r="L261" s="4">
        <v>0.6</v>
      </c>
      <c r="M261" s="4">
        <v>0.3</v>
      </c>
      <c r="N261" s="6">
        <v>616.18511999999998</v>
      </c>
      <c r="O261" s="4">
        <v>1E-3</v>
      </c>
      <c r="P261" s="5"/>
      <c r="Q261" s="5"/>
      <c r="R261" s="5"/>
      <c r="S261" s="5"/>
      <c r="U261" s="4" t="s">
        <v>148</v>
      </c>
      <c r="V261" s="4">
        <v>0.9</v>
      </c>
      <c r="W261" s="4">
        <v>0.5</v>
      </c>
      <c r="X261" s="4">
        <v>0.6</v>
      </c>
      <c r="Y261" s="4">
        <v>0.38</v>
      </c>
      <c r="Z261" s="6">
        <v>591.415527</v>
      </c>
      <c r="AA261" s="4">
        <v>1.4999999999999999E-2</v>
      </c>
      <c r="AC261" s="4" t="s">
        <v>148</v>
      </c>
      <c r="AD261" s="4">
        <v>0.9</v>
      </c>
      <c r="AE261" s="4">
        <v>0.5</v>
      </c>
      <c r="AF261" s="4">
        <v>0.6</v>
      </c>
      <c r="AG261" s="4">
        <v>0.3</v>
      </c>
      <c r="AH261" s="4">
        <v>596.77526899999998</v>
      </c>
      <c r="AI261" s="4">
        <v>1E-3</v>
      </c>
      <c r="AJ261" s="5"/>
      <c r="AK261" s="5"/>
      <c r="AL261" s="5"/>
      <c r="AM261" s="5"/>
      <c r="AO261" s="4" t="s">
        <v>149</v>
      </c>
      <c r="AP261" s="4">
        <v>0.9</v>
      </c>
      <c r="AQ261" s="4">
        <v>0.5</v>
      </c>
      <c r="AR261" s="4">
        <v>0.6</v>
      </c>
      <c r="AS261" s="4">
        <v>0.15</v>
      </c>
      <c r="AT261" s="6">
        <v>779.63732900000002</v>
      </c>
      <c r="AU261" s="4">
        <v>1.6E-2</v>
      </c>
      <c r="AW261" s="4" t="s">
        <v>149</v>
      </c>
      <c r="AX261" s="4">
        <v>0.9</v>
      </c>
      <c r="AY261" s="4">
        <v>0.5</v>
      </c>
      <c r="AZ261" s="4">
        <v>0.6</v>
      </c>
      <c r="BA261" s="4">
        <v>0.3</v>
      </c>
      <c r="BB261" s="4">
        <v>901.73828100000003</v>
      </c>
      <c r="BC261" s="4">
        <v>6.0000000000000001E-3</v>
      </c>
      <c r="BD261" s="5"/>
      <c r="BE261" s="5"/>
      <c r="BF261" s="5"/>
      <c r="BG261" s="5"/>
      <c r="BI261" s="4" t="s">
        <v>149</v>
      </c>
      <c r="BJ261" s="4">
        <v>0.9</v>
      </c>
      <c r="BK261" s="4">
        <v>0.5</v>
      </c>
      <c r="BL261" s="4">
        <v>0.6</v>
      </c>
      <c r="BM261" s="4">
        <v>0.87</v>
      </c>
      <c r="BN261" s="4">
        <v>989.03479000000004</v>
      </c>
      <c r="BO261" s="4">
        <v>1.6E-2</v>
      </c>
      <c r="BQ261" s="4" t="s">
        <v>149</v>
      </c>
      <c r="BR261" s="4">
        <v>0.9</v>
      </c>
      <c r="BS261" s="4">
        <v>0.5</v>
      </c>
      <c r="BT261" s="4">
        <v>0.6</v>
      </c>
      <c r="BU261" s="4">
        <v>0.3</v>
      </c>
      <c r="BV261" s="6">
        <v>853.23016399999995</v>
      </c>
      <c r="BW261" s="4">
        <v>6.0000000000000001E-3</v>
      </c>
      <c r="BX261" s="5"/>
      <c r="BY261" s="5"/>
      <c r="BZ261" s="5"/>
      <c r="CA261" s="5"/>
    </row>
    <row r="262" spans="1:79" x14ac:dyDescent="0.3">
      <c r="A262" s="4" t="s">
        <v>150</v>
      </c>
      <c r="B262" s="4">
        <v>0.9</v>
      </c>
      <c r="C262" s="4">
        <v>0.5</v>
      </c>
      <c r="D262" s="4">
        <v>0.6</v>
      </c>
      <c r="E262" s="4">
        <v>0.64</v>
      </c>
      <c r="F262" s="4">
        <v>615.37280299999998</v>
      </c>
      <c r="G262" s="4">
        <v>1.9E-2</v>
      </c>
      <c r="I262" s="4" t="s">
        <v>150</v>
      </c>
      <c r="J262" s="4">
        <v>0.9</v>
      </c>
      <c r="K262" s="4">
        <v>0.5</v>
      </c>
      <c r="L262" s="4">
        <v>0.6</v>
      </c>
      <c r="M262" s="4">
        <v>0.3</v>
      </c>
      <c r="N262" s="6">
        <v>540.10217299999999</v>
      </c>
      <c r="O262" s="4">
        <v>2E-3</v>
      </c>
      <c r="P262" s="5"/>
      <c r="Q262" s="5"/>
      <c r="R262" s="5"/>
      <c r="S262" s="5"/>
      <c r="U262" s="4" t="s">
        <v>150</v>
      </c>
      <c r="V262" s="4">
        <v>0.9</v>
      </c>
      <c r="W262" s="4">
        <v>0.5</v>
      </c>
      <c r="X262" s="4">
        <v>0.6</v>
      </c>
      <c r="Y262" s="4">
        <v>0.26</v>
      </c>
      <c r="Z262" s="6">
        <v>485.88354500000003</v>
      </c>
      <c r="AA262" s="4">
        <v>0.02</v>
      </c>
      <c r="AC262" s="4" t="s">
        <v>150</v>
      </c>
      <c r="AD262" s="4">
        <v>0.9</v>
      </c>
      <c r="AE262" s="4">
        <v>0.5</v>
      </c>
      <c r="AF262" s="4">
        <v>0.6</v>
      </c>
      <c r="AG262" s="4">
        <v>0.3</v>
      </c>
      <c r="AH262" s="4">
        <v>499.38339200000001</v>
      </c>
      <c r="AI262" s="4">
        <v>1E-3</v>
      </c>
      <c r="AJ262" s="5"/>
      <c r="AK262" s="5"/>
      <c r="AL262" s="5"/>
      <c r="AM262" s="5"/>
      <c r="AO262" s="4" t="s">
        <v>151</v>
      </c>
      <c r="AP262" s="4">
        <v>0.9</v>
      </c>
      <c r="AQ262" s="4">
        <v>0.5</v>
      </c>
      <c r="AR262" s="4">
        <v>0.6</v>
      </c>
      <c r="AS262" s="4">
        <v>0.13</v>
      </c>
      <c r="AT262" s="6">
        <v>727.39782700000001</v>
      </c>
      <c r="AU262" s="4">
        <v>1.7000000000000001E-2</v>
      </c>
      <c r="AW262" s="4" t="s">
        <v>151</v>
      </c>
      <c r="AX262" s="4">
        <v>0.9</v>
      </c>
      <c r="AY262" s="4">
        <v>0.5</v>
      </c>
      <c r="AZ262" s="4">
        <v>0.6</v>
      </c>
      <c r="BA262" s="4">
        <v>0.33</v>
      </c>
      <c r="BB262" s="4">
        <v>826.51342799999998</v>
      </c>
      <c r="BC262" s="4">
        <v>5.0000000000000001E-3</v>
      </c>
      <c r="BD262" s="5"/>
      <c r="BE262" s="5"/>
      <c r="BF262" s="5"/>
      <c r="BG262" s="5"/>
      <c r="BI262" s="4" t="s">
        <v>151</v>
      </c>
      <c r="BJ262" s="4">
        <v>0.9</v>
      </c>
      <c r="BK262" s="4">
        <v>0.5</v>
      </c>
      <c r="BL262" s="4">
        <v>0.6</v>
      </c>
      <c r="BM262" s="4">
        <v>0.9</v>
      </c>
      <c r="BN262" s="4">
        <v>948.23290999999995</v>
      </c>
      <c r="BO262" s="4">
        <v>2.1000000000000001E-2</v>
      </c>
      <c r="BQ262" s="4" t="s">
        <v>151</v>
      </c>
      <c r="BR262" s="4">
        <v>0.9</v>
      </c>
      <c r="BS262" s="4">
        <v>0.5</v>
      </c>
      <c r="BT262" s="4">
        <v>0.6</v>
      </c>
      <c r="BU262" s="4">
        <v>0.3</v>
      </c>
      <c r="BV262" s="6">
        <v>764.23150599999997</v>
      </c>
      <c r="BW262" s="4">
        <v>5.0000000000000001E-3</v>
      </c>
      <c r="BX262" s="5"/>
      <c r="BY262" s="5"/>
      <c r="BZ262" s="5"/>
      <c r="CA262" s="5"/>
    </row>
    <row r="263" spans="1:79" x14ac:dyDescent="0.3">
      <c r="A263" s="4" t="s">
        <v>152</v>
      </c>
      <c r="B263" s="4">
        <v>0.9</v>
      </c>
      <c r="C263" s="4">
        <v>0.5</v>
      </c>
      <c r="D263" s="4">
        <v>0.6</v>
      </c>
      <c r="E263" s="4">
        <v>0.53</v>
      </c>
      <c r="F263" s="4">
        <v>610.65106200000002</v>
      </c>
      <c r="G263" s="4">
        <v>7.0000000000000001E-3</v>
      </c>
      <c r="I263" s="4" t="s">
        <v>152</v>
      </c>
      <c r="J263" s="4">
        <v>0.9</v>
      </c>
      <c r="K263" s="4">
        <v>0.5</v>
      </c>
      <c r="L263" s="4">
        <v>0.6</v>
      </c>
      <c r="M263" s="4">
        <v>0.3</v>
      </c>
      <c r="N263" s="6">
        <v>602.84094200000004</v>
      </c>
      <c r="O263" s="4">
        <v>2E-3</v>
      </c>
      <c r="P263" s="5"/>
      <c r="Q263" s="5"/>
      <c r="R263" s="5"/>
      <c r="S263" s="5"/>
      <c r="U263" s="4" t="s">
        <v>152</v>
      </c>
      <c r="V263" s="4">
        <v>0.9</v>
      </c>
      <c r="W263" s="4">
        <v>0.5</v>
      </c>
      <c r="X263" s="4">
        <v>0.6</v>
      </c>
      <c r="Y263" s="4">
        <v>0.39</v>
      </c>
      <c r="Z263" s="4">
        <v>597.14465299999995</v>
      </c>
      <c r="AA263" s="4">
        <v>3.4000000000000002E-2</v>
      </c>
      <c r="AC263" s="4" t="s">
        <v>152</v>
      </c>
      <c r="AD263" s="4">
        <v>0.9</v>
      </c>
      <c r="AE263" s="4">
        <v>0.5</v>
      </c>
      <c r="AF263" s="4">
        <v>0.6</v>
      </c>
      <c r="AG263" s="4">
        <v>0.32</v>
      </c>
      <c r="AH263" s="6">
        <v>576.31835899999999</v>
      </c>
      <c r="AI263" s="4">
        <v>1E-3</v>
      </c>
      <c r="AJ263" s="5"/>
      <c r="AK263" s="5"/>
      <c r="AL263" s="5"/>
      <c r="AM263" s="5"/>
      <c r="AO263" s="4" t="s">
        <v>153</v>
      </c>
      <c r="AP263" s="4">
        <v>0.9</v>
      </c>
      <c r="AQ263" s="4">
        <v>0.5</v>
      </c>
      <c r="AR263" s="4">
        <v>0.6</v>
      </c>
      <c r="AS263" s="4">
        <v>0.76</v>
      </c>
      <c r="AT263" s="4">
        <v>1032.0631100000001</v>
      </c>
      <c r="AU263" s="4">
        <v>0.03</v>
      </c>
      <c r="AW263" s="4" t="s">
        <v>153</v>
      </c>
      <c r="AX263" s="4">
        <v>0.9</v>
      </c>
      <c r="AY263" s="4">
        <v>0.5</v>
      </c>
      <c r="AZ263" s="4">
        <v>0.6</v>
      </c>
      <c r="BA263" s="4">
        <v>0.33</v>
      </c>
      <c r="BB263" s="6">
        <v>888.65679899999998</v>
      </c>
      <c r="BC263" s="4">
        <v>6.0000000000000001E-3</v>
      </c>
      <c r="BD263" s="5"/>
      <c r="BE263" s="5"/>
      <c r="BF263" s="5"/>
      <c r="BG263" s="5"/>
      <c r="BI263" s="4" t="s">
        <v>153</v>
      </c>
      <c r="BJ263" s="4">
        <v>0.9</v>
      </c>
      <c r="BK263" s="4">
        <v>0.5</v>
      </c>
      <c r="BL263" s="4">
        <v>0.6</v>
      </c>
      <c r="BM263" s="4">
        <v>0.99</v>
      </c>
      <c r="BN263" s="4">
        <v>1029.655884</v>
      </c>
      <c r="BO263" s="4">
        <v>1.6E-2</v>
      </c>
      <c r="BQ263" s="4" t="s">
        <v>153</v>
      </c>
      <c r="BR263" s="4">
        <v>0.9</v>
      </c>
      <c r="BS263" s="4">
        <v>0.5</v>
      </c>
      <c r="BT263" s="4">
        <v>0.6</v>
      </c>
      <c r="BU263" s="4">
        <v>0.31</v>
      </c>
      <c r="BV263" s="6">
        <v>866.60827600000005</v>
      </c>
      <c r="BW263" s="4">
        <v>5.0000000000000001E-3</v>
      </c>
      <c r="BX263" s="5"/>
      <c r="BY263" s="5"/>
      <c r="BZ263" s="5"/>
      <c r="CA263" s="5"/>
    </row>
    <row r="264" spans="1:79" x14ac:dyDescent="0.3">
      <c r="A264" s="4" t="s">
        <v>154</v>
      </c>
      <c r="B264" s="4">
        <v>0.9</v>
      </c>
      <c r="C264" s="4">
        <v>0.5</v>
      </c>
      <c r="D264" s="4">
        <v>0.6</v>
      </c>
      <c r="E264" s="4">
        <v>0.98</v>
      </c>
      <c r="F264" s="4">
        <v>716.84637499999997</v>
      </c>
      <c r="G264" s="4">
        <v>1.7999999999999999E-2</v>
      </c>
      <c r="I264" s="4" t="s">
        <v>154</v>
      </c>
      <c r="J264" s="4">
        <v>0.9</v>
      </c>
      <c r="K264" s="4">
        <v>0.5</v>
      </c>
      <c r="L264" s="4">
        <v>0.6</v>
      </c>
      <c r="M264" s="4">
        <v>0.3</v>
      </c>
      <c r="N264" s="6">
        <v>602.21569799999997</v>
      </c>
      <c r="O264" s="4">
        <v>2E-3</v>
      </c>
      <c r="P264" s="5"/>
      <c r="Q264" s="5"/>
      <c r="R264" s="5"/>
      <c r="S264" s="5"/>
      <c r="U264" s="4" t="s">
        <v>154</v>
      </c>
      <c r="V264" s="4">
        <v>0.9</v>
      </c>
      <c r="W264" s="4">
        <v>0.5</v>
      </c>
      <c r="X264" s="4">
        <v>0.6</v>
      </c>
      <c r="Y264" s="4">
        <v>0.84</v>
      </c>
      <c r="Z264" s="4">
        <v>707.15228300000001</v>
      </c>
      <c r="AA264" s="4">
        <v>2.5000000000000001E-2</v>
      </c>
      <c r="AC264" s="4" t="s">
        <v>154</v>
      </c>
      <c r="AD264" s="4">
        <v>0.9</v>
      </c>
      <c r="AE264" s="4">
        <v>0.5</v>
      </c>
      <c r="AF264" s="4">
        <v>0.6</v>
      </c>
      <c r="AG264" s="4">
        <v>0.32</v>
      </c>
      <c r="AH264" s="6">
        <v>605.22522000000004</v>
      </c>
      <c r="AI264" s="4">
        <v>1E-3</v>
      </c>
      <c r="AJ264" s="5"/>
      <c r="AK264" s="5"/>
      <c r="AL264" s="5"/>
      <c r="AM264" s="5"/>
      <c r="AO264" s="4" t="s">
        <v>155</v>
      </c>
      <c r="AP264" s="4">
        <v>0.9</v>
      </c>
      <c r="AQ264" s="4">
        <v>0.5</v>
      </c>
      <c r="AR264" s="4">
        <v>0.6</v>
      </c>
      <c r="AS264" s="4">
        <v>0.89</v>
      </c>
      <c r="AT264" s="4">
        <v>1347.3508300000001</v>
      </c>
      <c r="AU264" s="4">
        <v>2.7E-2</v>
      </c>
      <c r="AW264" s="4" t="s">
        <v>155</v>
      </c>
      <c r="AX264" s="4">
        <v>0.9</v>
      </c>
      <c r="AY264" s="4">
        <v>0.5</v>
      </c>
      <c r="AZ264" s="4">
        <v>0.6</v>
      </c>
      <c r="BA264" s="4">
        <v>0.3</v>
      </c>
      <c r="BB264" s="6">
        <v>1122.2124020000001</v>
      </c>
      <c r="BC264" s="4">
        <v>7.0000000000000001E-3</v>
      </c>
      <c r="BD264" s="5"/>
      <c r="BE264" s="5"/>
      <c r="BF264" s="5"/>
      <c r="BG264" s="5"/>
      <c r="BI264" s="4" t="s">
        <v>155</v>
      </c>
      <c r="BJ264" s="4">
        <v>0.9</v>
      </c>
      <c r="BK264" s="4">
        <v>0.5</v>
      </c>
      <c r="BL264" s="4">
        <v>0.6</v>
      </c>
      <c r="BM264" s="4">
        <v>0.42</v>
      </c>
      <c r="BN264" s="4">
        <v>1170.9228519999999</v>
      </c>
      <c r="BO264" s="4">
        <v>1.0999999999999999E-2</v>
      </c>
      <c r="BQ264" s="4" t="s">
        <v>155</v>
      </c>
      <c r="BR264" s="4">
        <v>0.9</v>
      </c>
      <c r="BS264" s="4">
        <v>0.5</v>
      </c>
      <c r="BT264" s="4">
        <v>0.6</v>
      </c>
      <c r="BU264" s="4">
        <v>0.3</v>
      </c>
      <c r="BV264" s="6">
        <v>1121.2689210000001</v>
      </c>
      <c r="BW264" s="4">
        <v>8.0000000000000002E-3</v>
      </c>
      <c r="BX264" s="5"/>
      <c r="BY264" s="5"/>
      <c r="BZ264" s="5"/>
      <c r="CA264" s="5"/>
    </row>
    <row r="265" spans="1:79" x14ac:dyDescent="0.3">
      <c r="A265" s="4" t="s">
        <v>156</v>
      </c>
      <c r="B265" s="4">
        <v>0.9</v>
      </c>
      <c r="C265" s="4">
        <v>0.5</v>
      </c>
      <c r="D265" s="4">
        <v>0.6</v>
      </c>
      <c r="E265" s="4">
        <v>0.05</v>
      </c>
      <c r="F265" s="6">
        <v>616.34698500000002</v>
      </c>
      <c r="G265" s="4">
        <v>1.7000000000000001E-2</v>
      </c>
      <c r="I265" s="4" t="s">
        <v>156</v>
      </c>
      <c r="J265" s="4">
        <v>0.9</v>
      </c>
      <c r="K265" s="4">
        <v>0.5</v>
      </c>
      <c r="L265" s="4">
        <v>0.6</v>
      </c>
      <c r="M265" s="4">
        <v>0.32</v>
      </c>
      <c r="N265" s="4">
        <v>672.41357400000004</v>
      </c>
      <c r="O265" s="4">
        <v>3.0000000000000001E-3</v>
      </c>
      <c r="P265" s="5"/>
      <c r="Q265" s="5"/>
      <c r="R265" s="5"/>
      <c r="S265" s="5"/>
      <c r="U265" s="4" t="s">
        <v>156</v>
      </c>
      <c r="V265" s="4">
        <v>0.9</v>
      </c>
      <c r="W265" s="4">
        <v>0.5</v>
      </c>
      <c r="X265" s="4">
        <v>0.6</v>
      </c>
      <c r="Y265" s="4">
        <v>0.98</v>
      </c>
      <c r="Z265" s="4">
        <v>750.31927499999995</v>
      </c>
      <c r="AA265" s="4">
        <v>1.4E-2</v>
      </c>
      <c r="AC265" s="4" t="s">
        <v>156</v>
      </c>
      <c r="AD265" s="4">
        <v>0.9</v>
      </c>
      <c r="AE265" s="4">
        <v>0.5</v>
      </c>
      <c r="AF265" s="4">
        <v>0.6</v>
      </c>
      <c r="AG265" s="4">
        <v>0.32</v>
      </c>
      <c r="AH265" s="6">
        <v>654.82995600000004</v>
      </c>
      <c r="AI265" s="4">
        <v>2E-3</v>
      </c>
      <c r="AJ265" s="5"/>
      <c r="AK265" s="5"/>
      <c r="AL265" s="5"/>
      <c r="AM265" s="5"/>
      <c r="AO265" s="4" t="s">
        <v>157</v>
      </c>
      <c r="AP265" s="4">
        <v>0.9</v>
      </c>
      <c r="AQ265" s="4">
        <v>0.5</v>
      </c>
      <c r="AR265" s="4">
        <v>0.6</v>
      </c>
      <c r="AS265" s="4">
        <v>0.99</v>
      </c>
      <c r="AT265" s="4">
        <v>1314.0170900000001</v>
      </c>
      <c r="AU265" s="4">
        <v>0.01</v>
      </c>
      <c r="AW265" s="4" t="s">
        <v>157</v>
      </c>
      <c r="AX265" s="4">
        <v>0.9</v>
      </c>
      <c r="AY265" s="4">
        <v>0.5</v>
      </c>
      <c r="AZ265" s="4">
        <v>0.6</v>
      </c>
      <c r="BA265" s="4">
        <v>0.3</v>
      </c>
      <c r="BB265" s="6">
        <v>1045.6069339999999</v>
      </c>
      <c r="BC265" s="4">
        <v>8.0000000000000002E-3</v>
      </c>
      <c r="BD265" s="5"/>
      <c r="BE265" s="5"/>
      <c r="BF265" s="5"/>
      <c r="BG265" s="5"/>
      <c r="BI265" s="4" t="s">
        <v>157</v>
      </c>
      <c r="BJ265" s="4">
        <v>0.9</v>
      </c>
      <c r="BK265" s="4">
        <v>0.5</v>
      </c>
      <c r="BL265" s="4">
        <v>0.6</v>
      </c>
      <c r="BM265" s="4">
        <v>0.38</v>
      </c>
      <c r="BN265" s="4">
        <v>1079.489624</v>
      </c>
      <c r="BO265" s="4">
        <v>1.2E-2</v>
      </c>
      <c r="BQ265" s="4" t="s">
        <v>157</v>
      </c>
      <c r="BR265" s="4">
        <v>0.9</v>
      </c>
      <c r="BS265" s="4">
        <v>0.5</v>
      </c>
      <c r="BT265" s="4">
        <v>0.6</v>
      </c>
      <c r="BU265" s="4">
        <v>0.3</v>
      </c>
      <c r="BV265" s="6">
        <v>1052.6015620000001</v>
      </c>
      <c r="BW265" s="4">
        <v>7.0000000000000001E-3</v>
      </c>
      <c r="BX265" s="5"/>
      <c r="BY265" s="5"/>
      <c r="BZ265" s="5"/>
      <c r="CA265" s="5"/>
    </row>
    <row r="266" spans="1:79" x14ac:dyDescent="0.3">
      <c r="A266" s="4" t="s">
        <v>158</v>
      </c>
      <c r="B266" s="4">
        <v>0.9</v>
      </c>
      <c r="C266" s="4">
        <v>0.5</v>
      </c>
      <c r="D266" s="4">
        <v>0.6</v>
      </c>
      <c r="E266" s="4">
        <v>0.7</v>
      </c>
      <c r="F266" s="4">
        <v>746.82183799999996</v>
      </c>
      <c r="G266" s="4">
        <v>2.3E-2</v>
      </c>
      <c r="I266" s="4" t="s">
        <v>158</v>
      </c>
      <c r="J266" s="4">
        <v>0.9</v>
      </c>
      <c r="K266" s="4">
        <v>0.5</v>
      </c>
      <c r="L266" s="4">
        <v>0.6</v>
      </c>
      <c r="M266" s="4">
        <v>0.3</v>
      </c>
      <c r="N266" s="6">
        <v>671.72406000000001</v>
      </c>
      <c r="O266" s="4">
        <v>2E-3</v>
      </c>
      <c r="P266" s="5"/>
      <c r="Q266" s="5"/>
      <c r="R266" s="5"/>
      <c r="S266" s="5"/>
      <c r="U266" s="4" t="s">
        <v>158</v>
      </c>
      <c r="V266" s="4">
        <v>0.9</v>
      </c>
      <c r="W266" s="4">
        <v>0.5</v>
      </c>
      <c r="X266" s="4">
        <v>0.6</v>
      </c>
      <c r="Y266" s="4">
        <v>0.8</v>
      </c>
      <c r="Z266" s="4">
        <v>761.04925500000002</v>
      </c>
      <c r="AA266" s="4">
        <v>2.5000000000000001E-2</v>
      </c>
      <c r="AC266" s="4" t="s">
        <v>158</v>
      </c>
      <c r="AD266" s="4">
        <v>0.9</v>
      </c>
      <c r="AE266" s="4">
        <v>0.5</v>
      </c>
      <c r="AF266" s="4">
        <v>0.6</v>
      </c>
      <c r="AG266" s="4">
        <v>0.31</v>
      </c>
      <c r="AH266" s="6">
        <v>675.25952099999995</v>
      </c>
      <c r="AI266" s="4">
        <v>2E-3</v>
      </c>
      <c r="AJ266" s="5"/>
      <c r="AK266" s="5"/>
      <c r="AL266" s="5"/>
      <c r="AM266" s="5"/>
      <c r="AO266" s="4" t="s">
        <v>159</v>
      </c>
      <c r="AP266" s="4">
        <v>0.9</v>
      </c>
      <c r="AQ266" s="4">
        <v>0.5</v>
      </c>
      <c r="AR266" s="4">
        <v>0.6</v>
      </c>
      <c r="AS266" s="4">
        <v>0.69</v>
      </c>
      <c r="AT266" s="4">
        <v>1130.411255</v>
      </c>
      <c r="AU266" s="4">
        <v>0.02</v>
      </c>
      <c r="AW266" s="4" t="s">
        <v>159</v>
      </c>
      <c r="AX266" s="4">
        <v>0.9</v>
      </c>
      <c r="AY266" s="4">
        <v>0.5</v>
      </c>
      <c r="AZ266" s="4">
        <v>0.6</v>
      </c>
      <c r="BA266" s="4">
        <v>0.3</v>
      </c>
      <c r="BB266" s="6">
        <v>986.98071300000004</v>
      </c>
      <c r="BC266" s="4">
        <v>7.0000000000000001E-3</v>
      </c>
      <c r="BD266" s="5"/>
      <c r="BE266" s="5"/>
      <c r="BF266" s="5"/>
      <c r="BG266" s="5"/>
      <c r="BI266" s="4" t="s">
        <v>159</v>
      </c>
      <c r="BJ266" s="4">
        <v>0.9</v>
      </c>
      <c r="BK266" s="4">
        <v>0.5</v>
      </c>
      <c r="BL266" s="4">
        <v>0.6</v>
      </c>
      <c r="BM266" s="4">
        <v>0.88</v>
      </c>
      <c r="BN266" s="4">
        <v>1165.392822</v>
      </c>
      <c r="BO266" s="4">
        <v>1.7000000000000001E-2</v>
      </c>
      <c r="BQ266" s="4" t="s">
        <v>159</v>
      </c>
      <c r="BR266" s="4">
        <v>0.9</v>
      </c>
      <c r="BS266" s="4">
        <v>0.5</v>
      </c>
      <c r="BT266" s="4">
        <v>0.6</v>
      </c>
      <c r="BU266" s="4">
        <v>0.3</v>
      </c>
      <c r="BV266" s="6">
        <v>977.33203100000003</v>
      </c>
      <c r="BW266" s="4">
        <v>7.0000000000000001E-3</v>
      </c>
      <c r="BX266" s="5"/>
      <c r="BY266" s="5"/>
      <c r="BZ266" s="5"/>
      <c r="CA266" s="5"/>
    </row>
    <row r="267" spans="1:79" x14ac:dyDescent="0.3">
      <c r="A267" s="4" t="s">
        <v>160</v>
      </c>
      <c r="B267" s="4">
        <v>0.9</v>
      </c>
      <c r="C267" s="4">
        <v>0.5</v>
      </c>
      <c r="D267" s="4">
        <v>0.6</v>
      </c>
      <c r="E267" s="4">
        <v>0.83</v>
      </c>
      <c r="F267" s="4">
        <v>689.51580799999999</v>
      </c>
      <c r="G267" s="4">
        <v>1.0999999999999999E-2</v>
      </c>
      <c r="I267" s="4" t="s">
        <v>160</v>
      </c>
      <c r="J267" s="4">
        <v>0.9</v>
      </c>
      <c r="K267" s="4">
        <v>0.5</v>
      </c>
      <c r="L267" s="4">
        <v>0.6</v>
      </c>
      <c r="M267" s="4">
        <v>0.33</v>
      </c>
      <c r="N267" s="6">
        <v>611.96716300000003</v>
      </c>
      <c r="O267" s="4">
        <v>2E-3</v>
      </c>
      <c r="P267" s="5"/>
      <c r="Q267" s="5"/>
      <c r="R267" s="5"/>
      <c r="S267" s="5"/>
      <c r="U267" s="4" t="s">
        <v>160</v>
      </c>
      <c r="V267" s="4">
        <v>0.9</v>
      </c>
      <c r="W267" s="4">
        <v>0.5</v>
      </c>
      <c r="X267" s="4">
        <v>0.6</v>
      </c>
      <c r="Y267" s="4">
        <v>0.59</v>
      </c>
      <c r="Z267" s="4">
        <v>636.59258999999997</v>
      </c>
      <c r="AA267" s="4">
        <v>3.7999999999999999E-2</v>
      </c>
      <c r="AC267" s="4" t="s">
        <v>160</v>
      </c>
      <c r="AD267" s="4">
        <v>0.9</v>
      </c>
      <c r="AE267" s="4">
        <v>0.5</v>
      </c>
      <c r="AF267" s="4">
        <v>0.6</v>
      </c>
      <c r="AG267" s="4">
        <v>0.39</v>
      </c>
      <c r="AH267" s="6">
        <v>579.11798099999999</v>
      </c>
      <c r="AI267" s="4">
        <v>2E-3</v>
      </c>
      <c r="AJ267" s="5"/>
      <c r="AK267" s="5"/>
      <c r="AL267" s="5"/>
      <c r="AM267" s="5"/>
      <c r="AO267" s="4" t="s">
        <v>161</v>
      </c>
      <c r="AP267" s="4">
        <v>0.9</v>
      </c>
      <c r="AQ267" s="4">
        <v>0.5</v>
      </c>
      <c r="AR267" s="4">
        <v>0.6</v>
      </c>
      <c r="AS267" s="4">
        <v>0.57999999999999996</v>
      </c>
      <c r="AT267" s="4">
        <v>1138.960327</v>
      </c>
      <c r="AU267" s="4">
        <v>1.2999999999999999E-2</v>
      </c>
      <c r="AW267" s="4" t="s">
        <v>161</v>
      </c>
      <c r="AX267" s="4">
        <v>0.9</v>
      </c>
      <c r="AY267" s="4">
        <v>0.5</v>
      </c>
      <c r="AZ267" s="4">
        <v>0.6</v>
      </c>
      <c r="BA267" s="4">
        <v>0.36</v>
      </c>
      <c r="BB267" s="6">
        <v>1072.5966800000001</v>
      </c>
      <c r="BC267" s="4">
        <v>7.0000000000000001E-3</v>
      </c>
      <c r="BD267" s="5"/>
      <c r="BE267" s="5"/>
      <c r="BF267" s="5"/>
      <c r="BG267" s="5"/>
      <c r="BI267" s="4" t="s">
        <v>161</v>
      </c>
      <c r="BJ267" s="4">
        <v>0.9</v>
      </c>
      <c r="BK267" s="4">
        <v>0.5</v>
      </c>
      <c r="BL267" s="4">
        <v>0.6</v>
      </c>
      <c r="BM267" s="4">
        <v>0.56999999999999995</v>
      </c>
      <c r="BN267" s="4">
        <v>1114.329712</v>
      </c>
      <c r="BO267" s="4">
        <v>1.4999999999999999E-2</v>
      </c>
      <c r="BQ267" s="4" t="s">
        <v>161</v>
      </c>
      <c r="BR267" s="4">
        <v>0.9</v>
      </c>
      <c r="BS267" s="4">
        <v>0.5</v>
      </c>
      <c r="BT267" s="4">
        <v>0.6</v>
      </c>
      <c r="BU267" s="4">
        <v>0.3</v>
      </c>
      <c r="BV267" s="6">
        <v>1058.561768</v>
      </c>
      <c r="BW267" s="4">
        <v>6.0000000000000001E-3</v>
      </c>
      <c r="BX267" s="5"/>
      <c r="BY267" s="5"/>
      <c r="BZ267" s="5"/>
      <c r="CA267" s="5"/>
    </row>
    <row r="268" spans="1:79" x14ac:dyDescent="0.3">
      <c r="A268" s="4" t="s">
        <v>162</v>
      </c>
      <c r="B268" s="4">
        <v>0.9</v>
      </c>
      <c r="C268" s="4">
        <v>0.5</v>
      </c>
      <c r="D268" s="4">
        <v>0.6</v>
      </c>
      <c r="E268" s="4">
        <v>0.45</v>
      </c>
      <c r="F268" s="4">
        <v>667.95117200000004</v>
      </c>
      <c r="G268" s="4">
        <v>1.4999999999999999E-2</v>
      </c>
      <c r="I268" s="4" t="s">
        <v>162</v>
      </c>
      <c r="J268" s="4">
        <v>0.9</v>
      </c>
      <c r="K268" s="4">
        <v>0.5</v>
      </c>
      <c r="L268" s="4">
        <v>0.6</v>
      </c>
      <c r="M268" s="4">
        <v>0.32</v>
      </c>
      <c r="N268" s="6">
        <v>616.42974900000002</v>
      </c>
      <c r="O268" s="4">
        <v>2E-3</v>
      </c>
      <c r="P268" s="5"/>
      <c r="Q268" s="5"/>
      <c r="R268" s="5"/>
      <c r="S268" s="5"/>
      <c r="U268" s="4" t="s">
        <v>162</v>
      </c>
      <c r="V268" s="4">
        <v>0.9</v>
      </c>
      <c r="W268" s="4">
        <v>0.5</v>
      </c>
      <c r="X268" s="4">
        <v>0.6</v>
      </c>
      <c r="Y268" s="4">
        <v>0.5</v>
      </c>
      <c r="Z268" s="4">
        <v>658.07971199999997</v>
      </c>
      <c r="AA268" s="4">
        <v>8.0000000000000002E-3</v>
      </c>
      <c r="AC268" s="4" t="s">
        <v>162</v>
      </c>
      <c r="AD268" s="4">
        <v>0.9</v>
      </c>
      <c r="AE268" s="4">
        <v>0.5</v>
      </c>
      <c r="AF268" s="4">
        <v>0.6</v>
      </c>
      <c r="AG268" s="4">
        <v>0.31</v>
      </c>
      <c r="AH268" s="6">
        <v>617.08209199999999</v>
      </c>
      <c r="AI268" s="4">
        <v>1E-3</v>
      </c>
      <c r="AJ268" s="5"/>
      <c r="AK268" s="5"/>
      <c r="AL268" s="5"/>
      <c r="AM268" s="5"/>
      <c r="AO268" s="4" t="s">
        <v>163</v>
      </c>
      <c r="AP268" s="4">
        <v>0.9</v>
      </c>
      <c r="AQ268" s="4">
        <v>0.5</v>
      </c>
      <c r="AR268" s="4">
        <v>0.6</v>
      </c>
      <c r="AS268" s="4">
        <v>0.37</v>
      </c>
      <c r="AT268" s="4">
        <v>1061.407837</v>
      </c>
      <c r="AU268" s="4">
        <v>2.1999999999999999E-2</v>
      </c>
      <c r="AW268" s="4" t="s">
        <v>163</v>
      </c>
      <c r="AX268" s="4">
        <v>0.9</v>
      </c>
      <c r="AY268" s="4">
        <v>0.5</v>
      </c>
      <c r="AZ268" s="4">
        <v>0.6</v>
      </c>
      <c r="BA268" s="4">
        <v>0.33</v>
      </c>
      <c r="BB268" s="6">
        <v>1046.091187</v>
      </c>
      <c r="BC268" s="4">
        <v>6.0000000000000001E-3</v>
      </c>
      <c r="BD268" s="5"/>
      <c r="BE268" s="5"/>
      <c r="BF268" s="5"/>
      <c r="BG268" s="5"/>
      <c r="BI268" s="4" t="s">
        <v>163</v>
      </c>
      <c r="BJ268" s="4">
        <v>0.9</v>
      </c>
      <c r="BK268" s="4">
        <v>0.5</v>
      </c>
      <c r="BL268" s="4">
        <v>0.6</v>
      </c>
      <c r="BM268" s="4">
        <v>0.9</v>
      </c>
      <c r="BN268" s="4">
        <v>1256.3546140000001</v>
      </c>
      <c r="BO268" s="4">
        <v>3.5000000000000003E-2</v>
      </c>
      <c r="BQ268" s="4" t="s">
        <v>163</v>
      </c>
      <c r="BR268" s="4">
        <v>0.9</v>
      </c>
      <c r="BS268" s="4">
        <v>0.5</v>
      </c>
      <c r="BT268" s="4">
        <v>0.6</v>
      </c>
      <c r="BU268" s="4">
        <v>0.32</v>
      </c>
      <c r="BV268" s="6">
        <v>1038.4782709999999</v>
      </c>
      <c r="BW268" s="4">
        <v>8.0000000000000002E-3</v>
      </c>
      <c r="BX268" s="5"/>
      <c r="BY268" s="5"/>
      <c r="BZ268" s="5"/>
      <c r="CA268" s="5"/>
    </row>
    <row r="269" spans="1:79" x14ac:dyDescent="0.3">
      <c r="A269" s="4" t="s">
        <v>164</v>
      </c>
      <c r="B269" s="4">
        <v>0.9</v>
      </c>
      <c r="C269" s="4">
        <v>0.5</v>
      </c>
      <c r="D269" s="4">
        <v>0.6</v>
      </c>
      <c r="E269" s="4">
        <v>0.8</v>
      </c>
      <c r="F269" s="4">
        <v>621.11822500000005</v>
      </c>
      <c r="G269" s="4">
        <v>2.5000000000000001E-2</v>
      </c>
      <c r="I269" s="4" t="s">
        <v>164</v>
      </c>
      <c r="J269" s="4">
        <v>0.9</v>
      </c>
      <c r="K269" s="4">
        <v>0.5</v>
      </c>
      <c r="L269" s="4">
        <v>0.6</v>
      </c>
      <c r="M269" s="4">
        <v>0.31</v>
      </c>
      <c r="N269" s="6">
        <v>550.12896699999999</v>
      </c>
      <c r="O269" s="4">
        <v>1E-3</v>
      </c>
      <c r="P269" s="5"/>
      <c r="Q269" s="5"/>
      <c r="R269" s="5"/>
      <c r="S269" s="5"/>
      <c r="U269" s="4" t="s">
        <v>164</v>
      </c>
      <c r="V269" s="4">
        <v>0.9</v>
      </c>
      <c r="W269" s="4">
        <v>0.5</v>
      </c>
      <c r="X269" s="4">
        <v>0.6</v>
      </c>
      <c r="Y269" s="4">
        <v>1</v>
      </c>
      <c r="Z269" s="4">
        <v>667.94909700000005</v>
      </c>
      <c r="AA269" s="4">
        <v>1.9E-2</v>
      </c>
      <c r="AC269" s="4" t="s">
        <v>164</v>
      </c>
      <c r="AD269" s="4">
        <v>0.9</v>
      </c>
      <c r="AE269" s="4">
        <v>0.5</v>
      </c>
      <c r="AF269" s="4">
        <v>0.6</v>
      </c>
      <c r="AG269" s="4">
        <v>0.33</v>
      </c>
      <c r="AH269" s="6">
        <v>510.87124599999999</v>
      </c>
      <c r="AI269" s="4">
        <v>1E-3</v>
      </c>
      <c r="AJ269" s="5"/>
      <c r="AK269" s="5"/>
      <c r="AL269" s="5"/>
      <c r="AM269" s="5"/>
      <c r="AO269" s="4" t="s">
        <v>165</v>
      </c>
      <c r="AP269" s="4">
        <v>0.9</v>
      </c>
      <c r="AQ269" s="4">
        <v>0.5</v>
      </c>
      <c r="AR269" s="4">
        <v>0.6</v>
      </c>
      <c r="AS269" s="4">
        <v>0.41</v>
      </c>
      <c r="AT269" s="4">
        <v>1019.716125</v>
      </c>
      <c r="AU269" s="4">
        <v>2.1999999999999999E-2</v>
      </c>
      <c r="AW269" s="4" t="s">
        <v>165</v>
      </c>
      <c r="AX269" s="4">
        <v>0.9</v>
      </c>
      <c r="AY269" s="4">
        <v>0.5</v>
      </c>
      <c r="AZ269" s="4">
        <v>0.6</v>
      </c>
      <c r="BA269" s="4">
        <v>0.34</v>
      </c>
      <c r="BB269" s="6">
        <v>951.49835199999995</v>
      </c>
      <c r="BC269" s="4">
        <v>6.0000000000000001E-3</v>
      </c>
      <c r="BD269" s="5"/>
      <c r="BE269" s="5"/>
      <c r="BF269" s="5"/>
      <c r="BG269" s="5"/>
      <c r="BI269" s="4" t="s">
        <v>165</v>
      </c>
      <c r="BJ269" s="4">
        <v>0.9</v>
      </c>
      <c r="BK269" s="4">
        <v>0.5</v>
      </c>
      <c r="BL269" s="4">
        <v>0.6</v>
      </c>
      <c r="BM269" s="4">
        <v>0.37</v>
      </c>
      <c r="BN269" s="8">
        <v>984.806152</v>
      </c>
      <c r="BO269" s="4">
        <v>1.6E-2</v>
      </c>
      <c r="BQ269" s="4" t="s">
        <v>165</v>
      </c>
      <c r="BR269" s="4">
        <v>0.9</v>
      </c>
      <c r="BS269" s="4">
        <v>0.5</v>
      </c>
      <c r="BT269" s="4">
        <v>0.6</v>
      </c>
      <c r="BU269" s="4">
        <v>0.31</v>
      </c>
      <c r="BV269" s="6">
        <v>948.41186500000003</v>
      </c>
      <c r="BW269" s="4">
        <v>6.0000000000000001E-3</v>
      </c>
      <c r="BX269" s="5"/>
      <c r="BY269" s="5"/>
      <c r="BZ269" s="5"/>
      <c r="CA269" s="5"/>
    </row>
    <row r="270" spans="1:79" x14ac:dyDescent="0.3">
      <c r="A270" s="4" t="s">
        <v>166</v>
      </c>
      <c r="B270" s="4">
        <v>0.9</v>
      </c>
      <c r="C270" s="4">
        <v>0.5</v>
      </c>
      <c r="D270" s="4">
        <v>0.6</v>
      </c>
      <c r="E270" s="4">
        <v>0.51</v>
      </c>
      <c r="F270" s="4">
        <v>800.00561500000003</v>
      </c>
      <c r="G270" s="4">
        <v>2.5000000000000001E-2</v>
      </c>
      <c r="I270" s="4" t="s">
        <v>166</v>
      </c>
      <c r="J270" s="4">
        <v>0.9</v>
      </c>
      <c r="K270" s="4">
        <v>0.5</v>
      </c>
      <c r="L270" s="4">
        <v>0.6</v>
      </c>
      <c r="M270" s="4">
        <v>0.33</v>
      </c>
      <c r="N270" s="6">
        <v>764.76440400000001</v>
      </c>
      <c r="O270" s="4">
        <v>4.0000000000000001E-3</v>
      </c>
      <c r="P270" s="5"/>
      <c r="Q270" s="5"/>
      <c r="R270" s="5"/>
      <c r="S270" s="5"/>
      <c r="U270" s="4" t="s">
        <v>166</v>
      </c>
      <c r="V270" s="4">
        <v>0.9</v>
      </c>
      <c r="W270" s="4">
        <v>0.5</v>
      </c>
      <c r="X270" s="4">
        <v>0.6</v>
      </c>
      <c r="Y270" s="4">
        <v>0.98</v>
      </c>
      <c r="Z270" s="4">
        <v>817.46569799999997</v>
      </c>
      <c r="AA270" s="4">
        <v>1.0999999999999999E-2</v>
      </c>
      <c r="AC270" s="4" t="s">
        <v>166</v>
      </c>
      <c r="AD270" s="4">
        <v>0.9</v>
      </c>
      <c r="AE270" s="4">
        <v>0.5</v>
      </c>
      <c r="AF270" s="4">
        <v>0.6</v>
      </c>
      <c r="AG270" s="4">
        <v>0.3</v>
      </c>
      <c r="AH270" s="6">
        <v>740.55981399999996</v>
      </c>
      <c r="AI270" s="4">
        <v>2E-3</v>
      </c>
      <c r="AJ270" s="5"/>
      <c r="AK270" s="5"/>
      <c r="AL270" s="5"/>
      <c r="AM270" s="5"/>
      <c r="AO270" s="4" t="s">
        <v>167</v>
      </c>
      <c r="AP270" s="4">
        <v>0.9</v>
      </c>
      <c r="AQ270" s="4">
        <v>0.5</v>
      </c>
      <c r="AR270" s="4">
        <v>0.6</v>
      </c>
      <c r="AS270" s="4">
        <v>0.63</v>
      </c>
      <c r="AT270" s="4">
        <v>1143.900269</v>
      </c>
      <c r="AU270" s="4">
        <v>1.7000000000000001E-2</v>
      </c>
      <c r="AW270" s="4" t="s">
        <v>167</v>
      </c>
      <c r="AX270" s="4">
        <v>0.9</v>
      </c>
      <c r="AY270" s="4">
        <v>0.5</v>
      </c>
      <c r="AZ270" s="4">
        <v>0.6</v>
      </c>
      <c r="BA270" s="4">
        <v>0.3</v>
      </c>
      <c r="BB270" s="6">
        <v>983.75769000000003</v>
      </c>
      <c r="BC270" s="4">
        <v>8.0000000000000002E-3</v>
      </c>
      <c r="BD270" s="5"/>
      <c r="BE270" s="5"/>
      <c r="BF270" s="5"/>
      <c r="BG270" s="5"/>
      <c r="BI270" s="4" t="s">
        <v>167</v>
      </c>
      <c r="BJ270" s="4">
        <v>0.9</v>
      </c>
      <c r="BK270" s="4">
        <v>0.5</v>
      </c>
      <c r="BL270" s="4">
        <v>0.6</v>
      </c>
      <c r="BM270" s="4">
        <v>0.13</v>
      </c>
      <c r="BN270" s="6">
        <v>835.03008999999997</v>
      </c>
      <c r="BO270" s="4">
        <v>1.9E-2</v>
      </c>
      <c r="BQ270" s="4" t="s">
        <v>167</v>
      </c>
      <c r="BR270" s="4">
        <v>0.9</v>
      </c>
      <c r="BS270" s="4">
        <v>0.5</v>
      </c>
      <c r="BT270" s="4">
        <v>0.6</v>
      </c>
      <c r="BU270" s="4">
        <v>0.32</v>
      </c>
      <c r="BV270" s="4">
        <v>988.16980000000001</v>
      </c>
      <c r="BW270" s="4">
        <v>8.9999999999999993E-3</v>
      </c>
      <c r="BX270" s="5"/>
      <c r="BY270" s="5"/>
      <c r="BZ270" s="5"/>
      <c r="CA270" s="5"/>
    </row>
    <row r="271" spans="1:79" x14ac:dyDescent="0.3">
      <c r="A271" s="4" t="s">
        <v>168</v>
      </c>
      <c r="B271" s="4">
        <v>0.9</v>
      </c>
      <c r="C271" s="4">
        <v>0.5</v>
      </c>
      <c r="D271" s="4">
        <v>0.6</v>
      </c>
      <c r="E271" s="4">
        <v>0.61</v>
      </c>
      <c r="F271" s="4">
        <v>713.12823500000002</v>
      </c>
      <c r="G271" s="4">
        <v>1.7999999999999999E-2</v>
      </c>
      <c r="I271" s="4" t="s">
        <v>168</v>
      </c>
      <c r="J271" s="4">
        <v>0.9</v>
      </c>
      <c r="K271" s="4">
        <v>0.5</v>
      </c>
      <c r="L271" s="4">
        <v>0.6</v>
      </c>
      <c r="M271" s="4">
        <v>0.36</v>
      </c>
      <c r="N271" s="6">
        <v>677.91015600000003</v>
      </c>
      <c r="O271" s="4">
        <v>2E-3</v>
      </c>
      <c r="P271" s="5"/>
      <c r="Q271" s="5"/>
      <c r="R271" s="5"/>
      <c r="S271" s="5"/>
      <c r="U271" s="4" t="s">
        <v>168</v>
      </c>
      <c r="V271" s="4">
        <v>0.9</v>
      </c>
      <c r="W271" s="4">
        <v>0.5</v>
      </c>
      <c r="X271" s="4">
        <v>0.6</v>
      </c>
      <c r="Y271" s="4">
        <v>0.79</v>
      </c>
      <c r="Z271" s="4">
        <v>722.12823500000002</v>
      </c>
      <c r="AA271" s="4">
        <v>3.6999999999999998E-2</v>
      </c>
      <c r="AC271" s="4" t="s">
        <v>168</v>
      </c>
      <c r="AD271" s="4">
        <v>0.9</v>
      </c>
      <c r="AE271" s="4">
        <v>0.5</v>
      </c>
      <c r="AF271" s="4">
        <v>0.6</v>
      </c>
      <c r="AG271" s="4">
        <v>0.31</v>
      </c>
      <c r="AH271" s="6">
        <v>668.33013900000003</v>
      </c>
      <c r="AI271" s="4">
        <v>2E-3</v>
      </c>
      <c r="AJ271" s="5"/>
      <c r="AK271" s="5"/>
      <c r="AL271" s="5"/>
      <c r="AM271" s="5"/>
      <c r="AO271" s="4" t="s">
        <v>169</v>
      </c>
      <c r="AP271" s="4">
        <v>0.9</v>
      </c>
      <c r="AQ271" s="4">
        <v>0.5</v>
      </c>
      <c r="AR271" s="4">
        <v>0.6</v>
      </c>
      <c r="AS271" s="4">
        <v>0.33</v>
      </c>
      <c r="AT271" s="6">
        <v>1023.144409</v>
      </c>
      <c r="AU271" s="4">
        <v>1.6E-2</v>
      </c>
      <c r="AW271" s="4" t="s">
        <v>169</v>
      </c>
      <c r="AX271" s="4">
        <v>0.9</v>
      </c>
      <c r="AY271" s="4">
        <v>0.5</v>
      </c>
      <c r="AZ271" s="4">
        <v>0.6</v>
      </c>
      <c r="BA271" s="4">
        <v>0.32</v>
      </c>
      <c r="BB271" s="4">
        <v>1026.5892329999999</v>
      </c>
      <c r="BC271" s="4">
        <v>6.0000000000000001E-3</v>
      </c>
      <c r="BD271" s="5"/>
      <c r="BE271" s="5"/>
      <c r="BF271" s="5"/>
      <c r="BG271" s="5"/>
      <c r="BI271" s="4" t="s">
        <v>169</v>
      </c>
      <c r="BJ271" s="4">
        <v>0.9</v>
      </c>
      <c r="BK271" s="4">
        <v>0.5</v>
      </c>
      <c r="BL271" s="4">
        <v>0.6</v>
      </c>
      <c r="BM271" s="4">
        <v>0.8</v>
      </c>
      <c r="BN271" s="4">
        <v>1117.8420410000001</v>
      </c>
      <c r="BO271" s="4">
        <v>1.4999999999999999E-2</v>
      </c>
      <c r="BQ271" s="4" t="s">
        <v>169</v>
      </c>
      <c r="BR271" s="4">
        <v>0.9</v>
      </c>
      <c r="BS271" s="4">
        <v>0.5</v>
      </c>
      <c r="BT271" s="4">
        <v>0.6</v>
      </c>
      <c r="BU271" s="4">
        <v>0.31</v>
      </c>
      <c r="BV271" s="6">
        <v>1013.8891599999999</v>
      </c>
      <c r="BW271" s="4">
        <v>7.0000000000000001E-3</v>
      </c>
      <c r="BX271" s="5"/>
      <c r="BY271" s="5"/>
      <c r="BZ271" s="5"/>
      <c r="CA271" s="5"/>
    </row>
    <row r="272" spans="1:79" x14ac:dyDescent="0.3">
      <c r="A272" s="4" t="s">
        <v>170</v>
      </c>
      <c r="B272" s="4">
        <v>0.9</v>
      </c>
      <c r="C272" s="4">
        <v>0.5</v>
      </c>
      <c r="D272" s="4">
        <v>0.6</v>
      </c>
      <c r="E272" s="4">
        <v>0.4</v>
      </c>
      <c r="F272" s="4">
        <v>718.37866199999996</v>
      </c>
      <c r="G272" s="4">
        <v>1.0999999999999999E-2</v>
      </c>
      <c r="I272" s="4" t="s">
        <v>170</v>
      </c>
      <c r="J272" s="4">
        <v>0.9</v>
      </c>
      <c r="K272" s="4">
        <v>0.5</v>
      </c>
      <c r="L272" s="4">
        <v>0.6</v>
      </c>
      <c r="M272" s="4">
        <v>0.32</v>
      </c>
      <c r="N272" s="6">
        <v>713.92810099999997</v>
      </c>
      <c r="O272" s="4">
        <v>2E-3</v>
      </c>
      <c r="P272" s="5"/>
      <c r="Q272" s="5"/>
      <c r="R272" s="5"/>
      <c r="S272" s="5"/>
      <c r="U272" s="4" t="s">
        <v>170</v>
      </c>
      <c r="V272" s="4">
        <v>0.9</v>
      </c>
      <c r="W272" s="4">
        <v>0.5</v>
      </c>
      <c r="X272" s="4">
        <v>0.6</v>
      </c>
      <c r="Y272" s="4">
        <v>0.82</v>
      </c>
      <c r="Z272" s="4">
        <v>730.75097700000003</v>
      </c>
      <c r="AA272" s="4">
        <v>2.1999999999999999E-2</v>
      </c>
      <c r="AC272" s="4" t="s">
        <v>170</v>
      </c>
      <c r="AD272" s="4">
        <v>0.9</v>
      </c>
      <c r="AE272" s="4">
        <v>0.5</v>
      </c>
      <c r="AF272" s="4">
        <v>0.6</v>
      </c>
      <c r="AG272" s="4">
        <v>0.35</v>
      </c>
      <c r="AH272" s="6">
        <v>684.78912400000002</v>
      </c>
      <c r="AI272" s="4">
        <v>2E-3</v>
      </c>
      <c r="AJ272" s="5"/>
      <c r="AK272" s="5"/>
      <c r="AL272" s="5"/>
      <c r="AM272" s="5"/>
      <c r="AO272" s="4" t="s">
        <v>171</v>
      </c>
      <c r="AP272" s="4">
        <v>0.9</v>
      </c>
      <c r="AQ272" s="4">
        <v>0.5</v>
      </c>
      <c r="AR272" s="4">
        <v>0.6</v>
      </c>
      <c r="AS272" s="4">
        <v>0.03</v>
      </c>
      <c r="AT272" s="6">
        <v>761.87579300000004</v>
      </c>
      <c r="AU272" s="4">
        <v>2.5999999999999999E-2</v>
      </c>
      <c r="AW272" s="4" t="s">
        <v>171</v>
      </c>
      <c r="AX272" s="4">
        <v>0.9</v>
      </c>
      <c r="AY272" s="4">
        <v>0.5</v>
      </c>
      <c r="AZ272" s="4">
        <v>0.6</v>
      </c>
      <c r="BA272" s="4">
        <v>0.38</v>
      </c>
      <c r="BB272" s="4">
        <v>970.49823000000004</v>
      </c>
      <c r="BC272" s="4">
        <v>7.0000000000000001E-3</v>
      </c>
      <c r="BD272" s="5"/>
      <c r="BE272" s="5"/>
      <c r="BF272" s="5"/>
      <c r="BG272" s="5"/>
      <c r="BI272" s="4" t="s">
        <v>171</v>
      </c>
      <c r="BJ272" s="4">
        <v>0.9</v>
      </c>
      <c r="BK272" s="4">
        <v>0.5</v>
      </c>
      <c r="BL272" s="4">
        <v>0.6</v>
      </c>
      <c r="BM272" s="4">
        <v>0.99</v>
      </c>
      <c r="BN272" s="4">
        <v>1087.86853</v>
      </c>
      <c r="BO272" s="4">
        <v>1.7999999999999999E-2</v>
      </c>
      <c r="BQ272" s="4" t="s">
        <v>171</v>
      </c>
      <c r="BR272" s="4">
        <v>0.9</v>
      </c>
      <c r="BS272" s="4">
        <v>0.5</v>
      </c>
      <c r="BT272" s="4">
        <v>0.6</v>
      </c>
      <c r="BU272" s="4">
        <v>0.32</v>
      </c>
      <c r="BV272" s="6">
        <v>914.11419699999999</v>
      </c>
      <c r="BW272" s="4">
        <v>6.0000000000000001E-3</v>
      </c>
      <c r="BX272" s="5"/>
      <c r="BY272" s="5"/>
      <c r="BZ272" s="5"/>
      <c r="CA272" s="5"/>
    </row>
    <row r="273" spans="1:79" x14ac:dyDescent="0.3">
      <c r="A273" s="4" t="s">
        <v>172</v>
      </c>
      <c r="B273" s="4">
        <v>0.9</v>
      </c>
      <c r="C273" s="4">
        <v>0.5</v>
      </c>
      <c r="D273" s="4">
        <v>0.6</v>
      </c>
      <c r="E273" s="4">
        <v>0.69</v>
      </c>
      <c r="F273" s="4">
        <v>729.42559800000004</v>
      </c>
      <c r="G273" s="4">
        <v>1.9E-2</v>
      </c>
      <c r="I273" s="4" t="s">
        <v>172</v>
      </c>
      <c r="J273" s="4">
        <v>0.9</v>
      </c>
      <c r="K273" s="4">
        <v>0.5</v>
      </c>
      <c r="L273" s="4">
        <v>0.6</v>
      </c>
      <c r="M273" s="4">
        <v>0.3</v>
      </c>
      <c r="N273" s="6">
        <v>667.89819299999999</v>
      </c>
      <c r="O273" s="4">
        <v>2E-3</v>
      </c>
      <c r="P273" s="5"/>
      <c r="Q273" s="5"/>
      <c r="R273" s="5"/>
      <c r="S273" s="5"/>
      <c r="U273" s="4" t="s">
        <v>172</v>
      </c>
      <c r="V273" s="4">
        <v>0.9</v>
      </c>
      <c r="W273" s="4">
        <v>0.5</v>
      </c>
      <c r="X273" s="4">
        <v>0.6</v>
      </c>
      <c r="Y273" s="4">
        <v>0.56999999999999995</v>
      </c>
      <c r="Z273" s="4">
        <v>746.11981200000002</v>
      </c>
      <c r="AA273" s="4">
        <v>3.1E-2</v>
      </c>
      <c r="AC273" s="4" t="s">
        <v>172</v>
      </c>
      <c r="AD273" s="4">
        <v>0.9</v>
      </c>
      <c r="AE273" s="4">
        <v>0.5</v>
      </c>
      <c r="AF273" s="4">
        <v>0.6</v>
      </c>
      <c r="AG273" s="4">
        <v>0.3</v>
      </c>
      <c r="AH273" s="6">
        <v>682.32629399999996</v>
      </c>
      <c r="AI273" s="4">
        <v>1E-3</v>
      </c>
      <c r="AJ273" s="5"/>
      <c r="AK273" s="5"/>
      <c r="AL273" s="5"/>
      <c r="AM273" s="5"/>
      <c r="AO273" s="4" t="s">
        <v>173</v>
      </c>
      <c r="AP273" s="4">
        <v>0.9</v>
      </c>
      <c r="AQ273" s="4">
        <v>0.5</v>
      </c>
      <c r="AR273" s="4">
        <v>0.6</v>
      </c>
      <c r="AS273" s="4">
        <v>0.27</v>
      </c>
      <c r="AT273" s="6">
        <v>982.54553199999998</v>
      </c>
      <c r="AU273" s="4">
        <v>1.9E-2</v>
      </c>
      <c r="AW273" s="4" t="s">
        <v>173</v>
      </c>
      <c r="AX273" s="4">
        <v>0.9</v>
      </c>
      <c r="AY273" s="4">
        <v>0.5</v>
      </c>
      <c r="AZ273" s="4">
        <v>0.6</v>
      </c>
      <c r="BA273" s="4">
        <v>0.3</v>
      </c>
      <c r="BB273" s="4">
        <v>1003.80011</v>
      </c>
      <c r="BC273" s="4">
        <v>7.0000000000000001E-3</v>
      </c>
      <c r="BD273" s="5"/>
      <c r="BE273" s="5"/>
      <c r="BF273" s="5"/>
      <c r="BG273" s="5"/>
      <c r="BI273" s="4" t="s">
        <v>173</v>
      </c>
      <c r="BJ273" s="4">
        <v>0.9</v>
      </c>
      <c r="BK273" s="4">
        <v>0.5</v>
      </c>
      <c r="BL273" s="4">
        <v>0.6</v>
      </c>
      <c r="BM273" s="4">
        <v>0.11</v>
      </c>
      <c r="BN273" s="6">
        <v>844.17114300000003</v>
      </c>
      <c r="BO273" s="4">
        <v>2.5999999999999999E-2</v>
      </c>
      <c r="BQ273" s="4" t="s">
        <v>173</v>
      </c>
      <c r="BR273" s="4">
        <v>0.9</v>
      </c>
      <c r="BS273" s="4">
        <v>0.5</v>
      </c>
      <c r="BT273" s="4">
        <v>0.6</v>
      </c>
      <c r="BU273" s="4">
        <v>0.31</v>
      </c>
      <c r="BV273" s="4">
        <v>1014.795471</v>
      </c>
      <c r="BW273" s="4">
        <v>7.0000000000000001E-3</v>
      </c>
      <c r="BX273" s="5"/>
      <c r="BY273" s="5"/>
      <c r="BZ273" s="5"/>
      <c r="CA273" s="5"/>
    </row>
    <row r="274" spans="1:79" x14ac:dyDescent="0.3">
      <c r="A274" s="4" t="s">
        <v>174</v>
      </c>
      <c r="B274" s="4">
        <v>0.9</v>
      </c>
      <c r="C274" s="4">
        <v>0.5</v>
      </c>
      <c r="D274" s="4">
        <v>0.6</v>
      </c>
      <c r="E274" s="4">
        <v>0.73</v>
      </c>
      <c r="F274" s="4">
        <v>764.25524900000005</v>
      </c>
      <c r="G274" s="4">
        <v>2.3E-2</v>
      </c>
      <c r="I274" s="4" t="s">
        <v>174</v>
      </c>
      <c r="J274" s="4">
        <v>0.9</v>
      </c>
      <c r="K274" s="4">
        <v>0.5</v>
      </c>
      <c r="L274" s="4">
        <v>0.6</v>
      </c>
      <c r="M274" s="4">
        <v>0.43</v>
      </c>
      <c r="N274" s="6">
        <v>697.47790499999996</v>
      </c>
      <c r="O274" s="4">
        <v>2E-3</v>
      </c>
      <c r="P274" s="5"/>
      <c r="Q274" s="5"/>
      <c r="R274" s="5"/>
      <c r="S274" s="5"/>
      <c r="U274" s="4" t="s">
        <v>174</v>
      </c>
      <c r="V274" s="4">
        <v>0.9</v>
      </c>
      <c r="W274" s="4">
        <v>0.5</v>
      </c>
      <c r="X274" s="4">
        <v>0.6</v>
      </c>
      <c r="Y274" s="4">
        <v>0.1</v>
      </c>
      <c r="Z274" s="6">
        <v>647.67932099999996</v>
      </c>
      <c r="AA274" s="4">
        <v>8.9999999999999993E-3</v>
      </c>
      <c r="AC274" s="4" t="s">
        <v>174</v>
      </c>
      <c r="AD274" s="4">
        <v>0.9</v>
      </c>
      <c r="AE274" s="4">
        <v>0.5</v>
      </c>
      <c r="AF274" s="4">
        <v>0.6</v>
      </c>
      <c r="AG274" s="4">
        <v>0.3</v>
      </c>
      <c r="AH274" s="4">
        <v>690.74096699999996</v>
      </c>
      <c r="AI274" s="4">
        <v>2E-3</v>
      </c>
      <c r="AJ274" s="5"/>
      <c r="AK274" s="5"/>
      <c r="AL274" s="5"/>
      <c r="AM274" s="5"/>
      <c r="AO274" s="4" t="s">
        <v>175</v>
      </c>
      <c r="AP274" s="4">
        <v>0.9</v>
      </c>
      <c r="AQ274" s="4">
        <v>0.5</v>
      </c>
      <c r="AR274" s="4">
        <v>0.6</v>
      </c>
      <c r="AS274" s="4">
        <v>0.98</v>
      </c>
      <c r="AT274" s="4">
        <v>1255.1049800000001</v>
      </c>
      <c r="AU274" s="4">
        <v>1.4999999999999999E-2</v>
      </c>
      <c r="AW274" s="4" t="s">
        <v>175</v>
      </c>
      <c r="AX274" s="4">
        <v>0.9</v>
      </c>
      <c r="AY274" s="4">
        <v>0.5</v>
      </c>
      <c r="AZ274" s="4">
        <v>0.6</v>
      </c>
      <c r="BA274" s="4">
        <v>0.3</v>
      </c>
      <c r="BB274" s="6">
        <v>1033.213501</v>
      </c>
      <c r="BC274" s="4">
        <v>6.0000000000000001E-3</v>
      </c>
      <c r="BD274" s="5"/>
      <c r="BE274" s="5"/>
      <c r="BF274" s="5"/>
      <c r="BG274" s="5"/>
      <c r="BI274" s="4" t="s">
        <v>175</v>
      </c>
      <c r="BJ274" s="4">
        <v>0.9</v>
      </c>
      <c r="BK274" s="4">
        <v>0.5</v>
      </c>
      <c r="BL274" s="4">
        <v>0.6</v>
      </c>
      <c r="BM274" s="4">
        <v>0.34</v>
      </c>
      <c r="BN274" s="4">
        <v>999.96881099999996</v>
      </c>
      <c r="BO274" s="4">
        <v>1.4E-2</v>
      </c>
      <c r="BQ274" s="4" t="s">
        <v>175</v>
      </c>
      <c r="BR274" s="4">
        <v>0.9</v>
      </c>
      <c r="BS274" s="4">
        <v>0.5</v>
      </c>
      <c r="BT274" s="4">
        <v>0.6</v>
      </c>
      <c r="BU274" s="4">
        <v>0.3</v>
      </c>
      <c r="BV274" s="6">
        <v>992.41449</v>
      </c>
      <c r="BW274" s="4">
        <v>7.0000000000000001E-3</v>
      </c>
      <c r="BX274" s="5"/>
      <c r="BY274" s="5"/>
      <c r="BZ274" s="5"/>
      <c r="CA274" s="5"/>
    </row>
    <row r="275" spans="1:79" x14ac:dyDescent="0.3">
      <c r="A275" s="4" t="s">
        <v>176</v>
      </c>
      <c r="B275" s="4">
        <v>0.9</v>
      </c>
      <c r="C275" s="4">
        <v>0.5</v>
      </c>
      <c r="D275" s="4">
        <v>0.6</v>
      </c>
      <c r="E275" s="4">
        <v>0.02</v>
      </c>
      <c r="F275" s="4">
        <v>746.35382100000004</v>
      </c>
      <c r="G275" s="4">
        <v>2.1999999999999999E-2</v>
      </c>
      <c r="I275" s="4" t="s">
        <v>176</v>
      </c>
      <c r="J275" s="4">
        <v>0.9</v>
      </c>
      <c r="K275" s="4">
        <v>0.5</v>
      </c>
      <c r="L275" s="4">
        <v>0.6</v>
      </c>
      <c r="M275" s="4">
        <v>0.3</v>
      </c>
      <c r="N275" s="6">
        <v>707.78912400000002</v>
      </c>
      <c r="O275" s="4">
        <v>2E-3</v>
      </c>
      <c r="P275" s="5"/>
      <c r="Q275" s="5"/>
      <c r="R275" s="5"/>
      <c r="S275" s="5"/>
      <c r="U275" s="4" t="s">
        <v>176</v>
      </c>
      <c r="V275" s="4">
        <v>0.9</v>
      </c>
      <c r="W275" s="4">
        <v>0.5</v>
      </c>
      <c r="X275" s="4">
        <v>0.6</v>
      </c>
      <c r="Y275" s="4">
        <v>0.11</v>
      </c>
      <c r="Z275" s="6">
        <v>663.27002000000005</v>
      </c>
      <c r="AA275" s="4">
        <v>5.5E-2</v>
      </c>
      <c r="AC275" s="4" t="s">
        <v>176</v>
      </c>
      <c r="AD275" s="4">
        <v>0.9</v>
      </c>
      <c r="AE275" s="4">
        <v>0.5</v>
      </c>
      <c r="AF275" s="4">
        <v>0.6</v>
      </c>
      <c r="AG275" s="4">
        <v>0.31</v>
      </c>
      <c r="AH275" s="4">
        <v>698.08136000000002</v>
      </c>
      <c r="AI275" s="4">
        <v>2E-3</v>
      </c>
      <c r="AJ275" s="5"/>
      <c r="AK275" s="5"/>
      <c r="AL275" s="5"/>
      <c r="AM275" s="5"/>
      <c r="AO275" s="4" t="s">
        <v>177</v>
      </c>
      <c r="AP275" s="4">
        <v>0.9</v>
      </c>
      <c r="AQ275" s="4">
        <v>0.5</v>
      </c>
      <c r="AR275" s="4">
        <v>0.6</v>
      </c>
      <c r="AS275" s="4">
        <v>0.17</v>
      </c>
      <c r="AT275" s="6">
        <v>1010.104065</v>
      </c>
      <c r="AU275" s="4">
        <v>3.1E-2</v>
      </c>
      <c r="AW275" s="4" t="s">
        <v>177</v>
      </c>
      <c r="AX275" s="4">
        <v>0.9</v>
      </c>
      <c r="AY275" s="4">
        <v>0.5</v>
      </c>
      <c r="AZ275" s="4">
        <v>0.6</v>
      </c>
      <c r="BA275" s="4">
        <v>0.3</v>
      </c>
      <c r="BB275" s="4">
        <v>1115.3969729999999</v>
      </c>
      <c r="BC275" s="4">
        <v>8.9999999999999993E-3</v>
      </c>
      <c r="BD275" s="5"/>
      <c r="BE275" s="5"/>
      <c r="BF275" s="5"/>
      <c r="BG275" s="5"/>
      <c r="BI275" s="4" t="s">
        <v>177</v>
      </c>
      <c r="BJ275" s="4">
        <v>0.9</v>
      </c>
      <c r="BK275" s="4">
        <v>0.5</v>
      </c>
      <c r="BL275" s="4">
        <v>0.6</v>
      </c>
      <c r="BM275" s="4">
        <v>0.19</v>
      </c>
      <c r="BN275" s="6">
        <v>1019.459778</v>
      </c>
      <c r="BO275" s="4">
        <v>1.4999999999999999E-2</v>
      </c>
      <c r="BQ275" s="4" t="s">
        <v>177</v>
      </c>
      <c r="BR275" s="4">
        <v>0.9</v>
      </c>
      <c r="BS275" s="4">
        <v>0.5</v>
      </c>
      <c r="BT275" s="4">
        <v>0.6</v>
      </c>
      <c r="BU275" s="4">
        <v>0.3</v>
      </c>
      <c r="BV275" s="4">
        <v>1101.884888</v>
      </c>
      <c r="BW275" s="4">
        <v>7.0000000000000001E-3</v>
      </c>
      <c r="BX275" s="5"/>
      <c r="BY275" s="5"/>
      <c r="BZ275" s="5"/>
      <c r="CA275" s="5"/>
    </row>
    <row r="276" spans="1:79" x14ac:dyDescent="0.3">
      <c r="A276" s="4" t="s">
        <v>178</v>
      </c>
      <c r="B276" s="4">
        <v>0.9</v>
      </c>
      <c r="C276" s="4">
        <v>0.5</v>
      </c>
      <c r="D276" s="4">
        <v>0.6</v>
      </c>
      <c r="E276" s="4">
        <v>0.94</v>
      </c>
      <c r="F276" s="4">
        <v>854.71545400000002</v>
      </c>
      <c r="G276" s="4">
        <v>1.7999999999999999E-2</v>
      </c>
      <c r="I276" s="4" t="s">
        <v>178</v>
      </c>
      <c r="J276" s="4">
        <v>0.9</v>
      </c>
      <c r="K276" s="4">
        <v>0.5</v>
      </c>
      <c r="L276" s="4">
        <v>0.6</v>
      </c>
      <c r="M276" s="4">
        <v>0.3</v>
      </c>
      <c r="N276" s="6">
        <v>699.896973</v>
      </c>
      <c r="O276" s="4">
        <v>2E-3</v>
      </c>
      <c r="P276" s="5"/>
      <c r="Q276" s="5"/>
      <c r="R276" s="5"/>
      <c r="S276" s="5"/>
      <c r="U276" s="4" t="s">
        <v>178</v>
      </c>
      <c r="V276" s="4">
        <v>0.9</v>
      </c>
      <c r="W276" s="4">
        <v>0.5</v>
      </c>
      <c r="X276" s="4">
        <v>0.6</v>
      </c>
      <c r="Y276" s="4">
        <v>0.55000000000000004</v>
      </c>
      <c r="Z276" s="4">
        <v>747.77398700000003</v>
      </c>
      <c r="AA276" s="4">
        <v>1.6E-2</v>
      </c>
      <c r="AC276" s="4" t="s">
        <v>178</v>
      </c>
      <c r="AD276" s="4">
        <v>0.9</v>
      </c>
      <c r="AE276" s="4">
        <v>0.5</v>
      </c>
      <c r="AF276" s="4">
        <v>0.6</v>
      </c>
      <c r="AG276" s="4">
        <v>0.34</v>
      </c>
      <c r="AH276" s="6">
        <v>681.64624000000003</v>
      </c>
      <c r="AI276" s="4">
        <v>2E-3</v>
      </c>
      <c r="AJ276" s="5"/>
      <c r="AK276" s="5"/>
      <c r="AL276" s="5"/>
      <c r="AM276" s="5"/>
      <c r="AO276" s="4" t="s">
        <v>179</v>
      </c>
      <c r="AP276" s="4">
        <v>0.9</v>
      </c>
      <c r="AQ276" s="4">
        <v>0.5</v>
      </c>
      <c r="AR276" s="4">
        <v>0.6</v>
      </c>
      <c r="AS276" s="4">
        <v>0.59</v>
      </c>
      <c r="AT276" s="4">
        <v>1240.708374</v>
      </c>
      <c r="AU276" s="4">
        <v>1.4999999999999999E-2</v>
      </c>
      <c r="AW276" s="4" t="s">
        <v>179</v>
      </c>
      <c r="AX276" s="4">
        <v>0.9</v>
      </c>
      <c r="AY276" s="4">
        <v>0.5</v>
      </c>
      <c r="AZ276" s="4">
        <v>0.6</v>
      </c>
      <c r="BA276" s="4">
        <v>0.31</v>
      </c>
      <c r="BB276" s="6">
        <v>1056.9799800000001</v>
      </c>
      <c r="BC276" s="4">
        <v>7.0000000000000001E-3</v>
      </c>
      <c r="BD276" s="5"/>
      <c r="BE276" s="5"/>
      <c r="BF276" s="5"/>
      <c r="BG276" s="5"/>
      <c r="BI276" s="4" t="s">
        <v>179</v>
      </c>
      <c r="BJ276" s="4">
        <v>0.9</v>
      </c>
      <c r="BK276" s="4">
        <v>0.5</v>
      </c>
      <c r="BL276" s="4">
        <v>0.6</v>
      </c>
      <c r="BM276" s="4">
        <v>0.5</v>
      </c>
      <c r="BN276" s="4">
        <v>1171.6759030000001</v>
      </c>
      <c r="BO276" s="4">
        <v>2.1000000000000001E-2</v>
      </c>
      <c r="BQ276" s="4" t="s">
        <v>179</v>
      </c>
      <c r="BR276" s="4">
        <v>0.9</v>
      </c>
      <c r="BS276" s="4">
        <v>0.5</v>
      </c>
      <c r="BT276" s="4">
        <v>0.6</v>
      </c>
      <c r="BU276" s="4">
        <v>0.3</v>
      </c>
      <c r="BV276" s="6">
        <v>1077.6171879999999</v>
      </c>
      <c r="BW276" s="4">
        <v>7.0000000000000001E-3</v>
      </c>
      <c r="BX276" s="5"/>
      <c r="BY276" s="5"/>
      <c r="BZ276" s="5"/>
      <c r="CA276" s="5"/>
    </row>
    <row r="277" spans="1:79" x14ac:dyDescent="0.3">
      <c r="A277" s="4" t="s">
        <v>180</v>
      </c>
      <c r="B277" s="4">
        <v>0.9</v>
      </c>
      <c r="C277" s="4">
        <v>0.5</v>
      </c>
      <c r="D277" s="4">
        <v>0.6</v>
      </c>
      <c r="E277" s="4">
        <v>0.95</v>
      </c>
      <c r="F277" s="4">
        <v>854.72540300000003</v>
      </c>
      <c r="G277" s="4">
        <v>0.03</v>
      </c>
      <c r="I277" s="4" t="s">
        <v>180</v>
      </c>
      <c r="J277" s="4">
        <v>0.9</v>
      </c>
      <c r="K277" s="4">
        <v>0.5</v>
      </c>
      <c r="L277" s="4">
        <v>0.6</v>
      </c>
      <c r="M277" s="4">
        <v>0.3</v>
      </c>
      <c r="N277" s="6">
        <v>693.10327099999995</v>
      </c>
      <c r="O277" s="4">
        <v>2E-3</v>
      </c>
      <c r="P277" s="5"/>
      <c r="Q277" s="5"/>
      <c r="R277" s="5"/>
      <c r="S277" s="5"/>
      <c r="U277" s="4" t="s">
        <v>180</v>
      </c>
      <c r="V277" s="4">
        <v>0.9</v>
      </c>
      <c r="W277" s="4">
        <v>0.5</v>
      </c>
      <c r="X277" s="4">
        <v>0.6</v>
      </c>
      <c r="Y277" s="4">
        <v>0.95</v>
      </c>
      <c r="Z277" s="4">
        <v>831.84173599999997</v>
      </c>
      <c r="AA277" s="4">
        <v>2.5000000000000001E-2</v>
      </c>
      <c r="AC277" s="4" t="s">
        <v>180</v>
      </c>
      <c r="AD277" s="4">
        <v>0.9</v>
      </c>
      <c r="AE277" s="4">
        <v>0.5</v>
      </c>
      <c r="AF277" s="4">
        <v>0.6</v>
      </c>
      <c r="AG277" s="4">
        <v>0.41</v>
      </c>
      <c r="AH277" s="6">
        <v>696.45129399999996</v>
      </c>
      <c r="AI277" s="4">
        <v>1E-3</v>
      </c>
      <c r="AJ277" s="5"/>
      <c r="AK277" s="5"/>
      <c r="AL277" s="5"/>
      <c r="AM277" s="5"/>
      <c r="AO277" s="4" t="s">
        <v>181</v>
      </c>
      <c r="AP277" s="4">
        <v>0.9</v>
      </c>
      <c r="AQ277" s="4">
        <v>0.5</v>
      </c>
      <c r="AR277" s="4">
        <v>0.6</v>
      </c>
      <c r="AS277" s="4">
        <v>0.37</v>
      </c>
      <c r="AT277" s="4">
        <v>1106.7807620000001</v>
      </c>
      <c r="AU277" s="4">
        <v>0.02</v>
      </c>
      <c r="AW277" s="4" t="s">
        <v>181</v>
      </c>
      <c r="AX277" s="4">
        <v>0.9</v>
      </c>
      <c r="AY277" s="4">
        <v>0.5</v>
      </c>
      <c r="AZ277" s="4">
        <v>0.6</v>
      </c>
      <c r="BA277" s="4">
        <v>0.32</v>
      </c>
      <c r="BB277" s="6">
        <v>1088.1635739999999</v>
      </c>
      <c r="BC277" s="4">
        <v>7.0000000000000001E-3</v>
      </c>
      <c r="BD277" s="5"/>
      <c r="BE277" s="5"/>
      <c r="BF277" s="5"/>
      <c r="BG277" s="5"/>
      <c r="BI277" s="4" t="s">
        <v>181</v>
      </c>
      <c r="BJ277" s="4">
        <v>0.9</v>
      </c>
      <c r="BK277" s="4">
        <v>0.5</v>
      </c>
      <c r="BL277" s="4">
        <v>0.6</v>
      </c>
      <c r="BM277" s="4">
        <v>0.99</v>
      </c>
      <c r="BN277" s="4">
        <v>1313.6102289999999</v>
      </c>
      <c r="BO277" s="4">
        <v>0.03</v>
      </c>
      <c r="BQ277" s="4" t="s">
        <v>181</v>
      </c>
      <c r="BR277" s="4">
        <v>0.9</v>
      </c>
      <c r="BS277" s="4">
        <v>0.5</v>
      </c>
      <c r="BT277" s="4">
        <v>0.6</v>
      </c>
      <c r="BU277" s="4">
        <v>0.3</v>
      </c>
      <c r="BV277" s="6">
        <v>1069.271362</v>
      </c>
      <c r="BW277" s="4">
        <v>6.0000000000000001E-3</v>
      </c>
      <c r="BX277" s="5"/>
      <c r="BY277" s="5"/>
      <c r="BZ277" s="5"/>
      <c r="CA277" s="5"/>
    </row>
    <row r="278" spans="1:79" x14ac:dyDescent="0.3">
      <c r="A278" s="4" t="s">
        <v>182</v>
      </c>
      <c r="B278" s="4">
        <v>0.9</v>
      </c>
      <c r="C278" s="4">
        <v>0.5</v>
      </c>
      <c r="D278" s="4">
        <v>0.6</v>
      </c>
      <c r="E278" s="4">
        <v>0.91</v>
      </c>
      <c r="F278" s="4">
        <v>758.64227300000005</v>
      </c>
      <c r="G278" s="4">
        <v>1.4999999999999999E-2</v>
      </c>
      <c r="I278" s="4" t="s">
        <v>182</v>
      </c>
      <c r="J278" s="4">
        <v>0.9</v>
      </c>
      <c r="K278" s="4">
        <v>0.5</v>
      </c>
      <c r="L278" s="4">
        <v>0.6</v>
      </c>
      <c r="M278" s="4">
        <v>0.37</v>
      </c>
      <c r="N278" s="6">
        <v>657.39239499999996</v>
      </c>
      <c r="O278" s="4">
        <v>2E-3</v>
      </c>
      <c r="P278" s="5"/>
      <c r="Q278" s="5"/>
      <c r="R278" s="5"/>
      <c r="S278" s="5"/>
      <c r="U278" s="4" t="s">
        <v>182</v>
      </c>
      <c r="V278" s="4">
        <v>0.9</v>
      </c>
      <c r="W278" s="4">
        <v>0.5</v>
      </c>
      <c r="X278" s="4">
        <v>0.6</v>
      </c>
      <c r="Y278" s="4">
        <v>0.99</v>
      </c>
      <c r="Z278" s="4">
        <v>757.51367200000004</v>
      </c>
      <c r="AA278" s="4">
        <v>1.2E-2</v>
      </c>
      <c r="AC278" s="4" t="s">
        <v>182</v>
      </c>
      <c r="AD278" s="4">
        <v>0.9</v>
      </c>
      <c r="AE278" s="4">
        <v>0.5</v>
      </c>
      <c r="AF278" s="4">
        <v>0.6</v>
      </c>
      <c r="AG278" s="4">
        <v>0.3</v>
      </c>
      <c r="AH278" s="6">
        <v>642.09655799999996</v>
      </c>
      <c r="AI278" s="4">
        <v>1E-3</v>
      </c>
      <c r="AJ278" s="5"/>
      <c r="AK278" s="5"/>
      <c r="AL278" s="5"/>
      <c r="AM278" s="5"/>
      <c r="AO278" s="4" t="s">
        <v>183</v>
      </c>
      <c r="AP278" s="4">
        <v>0.9</v>
      </c>
      <c r="AQ278" s="4">
        <v>0.5</v>
      </c>
      <c r="AR278" s="4">
        <v>0.6</v>
      </c>
      <c r="AS278" s="4">
        <v>0.17</v>
      </c>
      <c r="AT278" s="6">
        <v>1017.561279</v>
      </c>
      <c r="AU278" s="4">
        <v>2.7E-2</v>
      </c>
      <c r="AW278" s="4" t="s">
        <v>183</v>
      </c>
      <c r="AX278" s="4">
        <v>0.9</v>
      </c>
      <c r="AY278" s="4">
        <v>0.5</v>
      </c>
      <c r="AZ278" s="4">
        <v>0.6</v>
      </c>
      <c r="BA278" s="4">
        <v>0.3</v>
      </c>
      <c r="BB278" s="4">
        <v>1083.470703</v>
      </c>
      <c r="BC278" s="4">
        <v>7.0000000000000001E-3</v>
      </c>
      <c r="BD278" s="5"/>
      <c r="BE278" s="5"/>
      <c r="BF278" s="5"/>
      <c r="BG278" s="5"/>
      <c r="BI278" s="4" t="s">
        <v>183</v>
      </c>
      <c r="BJ278" s="4">
        <v>0.9</v>
      </c>
      <c r="BK278" s="4">
        <v>0.5</v>
      </c>
      <c r="BL278" s="4">
        <v>0.6</v>
      </c>
      <c r="BM278" s="4">
        <v>0.19</v>
      </c>
      <c r="BN278" s="6">
        <v>1013.749634</v>
      </c>
      <c r="BO278" s="4">
        <v>2.5999999999999999E-2</v>
      </c>
      <c r="BQ278" s="4" t="s">
        <v>183</v>
      </c>
      <c r="BR278" s="4">
        <v>0.9</v>
      </c>
      <c r="BS278" s="4">
        <v>0.5</v>
      </c>
      <c r="BT278" s="4">
        <v>0.6</v>
      </c>
      <c r="BU278" s="4">
        <v>0.31</v>
      </c>
      <c r="BV278" s="4">
        <v>1101.6235349999999</v>
      </c>
      <c r="BW278" s="4">
        <v>7.0000000000000001E-3</v>
      </c>
      <c r="BX278" s="5"/>
      <c r="BY278" s="5"/>
      <c r="BZ278" s="5"/>
      <c r="CA278" s="5"/>
    </row>
    <row r="279" spans="1:79" x14ac:dyDescent="0.3">
      <c r="A279" s="4" t="s">
        <v>184</v>
      </c>
      <c r="B279" s="4">
        <v>0.9</v>
      </c>
      <c r="C279" s="4">
        <v>0.5</v>
      </c>
      <c r="D279" s="4">
        <v>0.6</v>
      </c>
      <c r="E279" s="4">
        <v>0.68</v>
      </c>
      <c r="F279" s="4">
        <v>737.65130599999998</v>
      </c>
      <c r="G279" s="4">
        <v>1.7999999999999999E-2</v>
      </c>
      <c r="I279" s="4" t="s">
        <v>184</v>
      </c>
      <c r="J279" s="4">
        <v>0.9</v>
      </c>
      <c r="K279" s="4">
        <v>0.5</v>
      </c>
      <c r="L279" s="4">
        <v>0.6</v>
      </c>
      <c r="M279" s="4">
        <v>0.37</v>
      </c>
      <c r="N279" s="6">
        <v>673.79949999999997</v>
      </c>
      <c r="O279" s="4">
        <v>2E-3</v>
      </c>
      <c r="P279" s="5"/>
      <c r="Q279" s="5"/>
      <c r="R279" s="5"/>
      <c r="S279" s="5"/>
      <c r="U279" s="4" t="s">
        <v>184</v>
      </c>
      <c r="V279" s="4">
        <v>0.9</v>
      </c>
      <c r="W279" s="4">
        <v>0.5</v>
      </c>
      <c r="X279" s="4">
        <v>0.6</v>
      </c>
      <c r="Y279" s="4">
        <v>0.38</v>
      </c>
      <c r="Z279" s="4">
        <v>679.06036400000005</v>
      </c>
      <c r="AA279" s="4">
        <v>1.2999999999999999E-2</v>
      </c>
      <c r="AC279" s="4" t="s">
        <v>184</v>
      </c>
      <c r="AD279" s="4">
        <v>0.9</v>
      </c>
      <c r="AE279" s="4">
        <v>0.5</v>
      </c>
      <c r="AF279" s="4">
        <v>0.6</v>
      </c>
      <c r="AG279" s="4">
        <v>0.34</v>
      </c>
      <c r="AH279" s="6">
        <v>646.28680399999996</v>
      </c>
      <c r="AI279" s="4">
        <v>1E-3</v>
      </c>
      <c r="AJ279" s="5"/>
      <c r="AK279" s="5"/>
      <c r="AL279" s="5"/>
      <c r="AM279" s="5"/>
      <c r="AO279" s="4" t="s">
        <v>185</v>
      </c>
      <c r="AP279" s="4">
        <v>0.9</v>
      </c>
      <c r="AQ279" s="4">
        <v>0.5</v>
      </c>
      <c r="AR279" s="4">
        <v>0.6</v>
      </c>
      <c r="AS279" s="4">
        <v>0.6</v>
      </c>
      <c r="AT279" s="4">
        <v>1232.194336</v>
      </c>
      <c r="AU279" s="4">
        <v>1.9E-2</v>
      </c>
      <c r="AW279" s="4" t="s">
        <v>185</v>
      </c>
      <c r="AX279" s="4">
        <v>0.9</v>
      </c>
      <c r="AY279" s="4">
        <v>0.5</v>
      </c>
      <c r="AZ279" s="4">
        <v>0.6</v>
      </c>
      <c r="BA279" s="4">
        <v>0.31</v>
      </c>
      <c r="BB279" s="6">
        <v>1069.395264</v>
      </c>
      <c r="BC279" s="4">
        <v>7.0000000000000001E-3</v>
      </c>
      <c r="BD279" s="5"/>
      <c r="BE279" s="5"/>
      <c r="BF279" s="5"/>
      <c r="BG279" s="5"/>
      <c r="BI279" s="4" t="s">
        <v>185</v>
      </c>
      <c r="BJ279" s="4">
        <v>0.9</v>
      </c>
      <c r="BK279" s="4">
        <v>0.5</v>
      </c>
      <c r="BL279" s="4">
        <v>0.6</v>
      </c>
      <c r="BM279" s="4">
        <v>0.08</v>
      </c>
      <c r="BN279" s="6">
        <v>830.90258800000004</v>
      </c>
      <c r="BO279" s="4">
        <v>1.7000000000000001E-2</v>
      </c>
      <c r="BQ279" s="4" t="s">
        <v>185</v>
      </c>
      <c r="BR279" s="4">
        <v>0.9</v>
      </c>
      <c r="BS279" s="4">
        <v>0.5</v>
      </c>
      <c r="BT279" s="4">
        <v>0.6</v>
      </c>
      <c r="BU279" s="4">
        <v>0.31</v>
      </c>
      <c r="BV279" s="4">
        <v>1051.5695800000001</v>
      </c>
      <c r="BW279" s="4">
        <v>8.0000000000000002E-3</v>
      </c>
      <c r="BX279" s="5"/>
      <c r="BY279" s="5"/>
      <c r="BZ279" s="5"/>
      <c r="CA279" s="5"/>
    </row>
    <row r="280" spans="1:79" x14ac:dyDescent="0.3">
      <c r="A280" s="4" t="s">
        <v>186</v>
      </c>
      <c r="B280" s="4">
        <v>0.9</v>
      </c>
      <c r="C280" s="4">
        <v>0.5</v>
      </c>
      <c r="D280" s="4">
        <v>0.6</v>
      </c>
      <c r="E280" s="4">
        <v>0.28999999999999998</v>
      </c>
      <c r="F280" s="6">
        <v>772.33270300000004</v>
      </c>
      <c r="G280" s="4">
        <v>3.5000000000000003E-2</v>
      </c>
      <c r="I280" s="4" t="s">
        <v>186</v>
      </c>
      <c r="J280" s="4">
        <v>0.9</v>
      </c>
      <c r="K280" s="4">
        <v>0.5</v>
      </c>
      <c r="L280" s="4">
        <v>0.6</v>
      </c>
      <c r="M280" s="4">
        <v>0.31</v>
      </c>
      <c r="N280" s="4">
        <v>793.353882</v>
      </c>
      <c r="O280" s="4">
        <v>3.0000000000000001E-3</v>
      </c>
      <c r="P280" s="5"/>
      <c r="Q280" s="5"/>
      <c r="R280" s="5"/>
      <c r="S280" s="5"/>
      <c r="U280" s="4" t="s">
        <v>186</v>
      </c>
      <c r="V280" s="4">
        <v>0.9</v>
      </c>
      <c r="W280" s="4">
        <v>0.5</v>
      </c>
      <c r="X280" s="4">
        <v>0.6</v>
      </c>
      <c r="Y280" s="4">
        <v>0.34</v>
      </c>
      <c r="Z280" s="4">
        <v>787.134277</v>
      </c>
      <c r="AA280" s="4">
        <v>6.0000000000000001E-3</v>
      </c>
      <c r="AC280" s="4" t="s">
        <v>186</v>
      </c>
      <c r="AD280" s="4">
        <v>0.9</v>
      </c>
      <c r="AE280" s="4">
        <v>0.5</v>
      </c>
      <c r="AF280" s="4">
        <v>0.6</v>
      </c>
      <c r="AG280" s="4">
        <v>0.31</v>
      </c>
      <c r="AH280" s="6">
        <v>768.634094</v>
      </c>
      <c r="AI280" s="4">
        <v>3.0000000000000001E-3</v>
      </c>
      <c r="AJ280" s="5"/>
      <c r="AK280" s="5"/>
      <c r="AL280" s="5"/>
      <c r="AM280" s="5"/>
      <c r="AO280" s="4" t="s">
        <v>187</v>
      </c>
      <c r="AP280" s="4">
        <v>0.9</v>
      </c>
      <c r="AQ280" s="4">
        <v>0.5</v>
      </c>
      <c r="AR280" s="4">
        <v>0.6</v>
      </c>
      <c r="AS280" s="4">
        <v>0.22</v>
      </c>
      <c r="AT280" s="6">
        <v>1095.1170649999999</v>
      </c>
      <c r="AU280" s="4">
        <v>1.7999999999999999E-2</v>
      </c>
      <c r="AW280" s="4" t="s">
        <v>187</v>
      </c>
      <c r="AX280" s="4">
        <v>0.9</v>
      </c>
      <c r="AY280" s="4">
        <v>0.5</v>
      </c>
      <c r="AZ280" s="4">
        <v>0.6</v>
      </c>
      <c r="BA280" s="4">
        <v>0.31</v>
      </c>
      <c r="BB280" s="4">
        <v>1178.0585940000001</v>
      </c>
      <c r="BC280" s="4">
        <v>8.0000000000000002E-3</v>
      </c>
      <c r="BD280" s="5"/>
      <c r="BE280" s="5"/>
      <c r="BF280" s="5"/>
      <c r="BG280" s="5"/>
      <c r="BI280" s="4" t="s">
        <v>187</v>
      </c>
      <c r="BJ280" s="4">
        <v>0.9</v>
      </c>
      <c r="BK280" s="4">
        <v>0.5</v>
      </c>
      <c r="BL280" s="4">
        <v>0.6</v>
      </c>
      <c r="BM280" s="4">
        <v>0.51</v>
      </c>
      <c r="BN280" s="4">
        <v>1271.6999510000001</v>
      </c>
      <c r="BO280" s="4">
        <v>2.7E-2</v>
      </c>
      <c r="BQ280" s="4" t="s">
        <v>187</v>
      </c>
      <c r="BR280" s="4">
        <v>0.9</v>
      </c>
      <c r="BS280" s="4">
        <v>0.5</v>
      </c>
      <c r="BT280" s="4">
        <v>0.6</v>
      </c>
      <c r="BU280" s="4">
        <v>0.3</v>
      </c>
      <c r="BV280" s="6">
        <v>1174.101318</v>
      </c>
      <c r="BW280" s="4">
        <v>8.0000000000000002E-3</v>
      </c>
      <c r="BX280" s="5"/>
      <c r="BY280" s="5"/>
      <c r="BZ280" s="5"/>
      <c r="CA280" s="5"/>
    </row>
    <row r="281" spans="1:79" x14ac:dyDescent="0.3">
      <c r="A281" s="4" t="s">
        <v>188</v>
      </c>
      <c r="B281" s="4">
        <v>0.9</v>
      </c>
      <c r="C281" s="4">
        <v>0.5</v>
      </c>
      <c r="D281" s="4">
        <v>0.6</v>
      </c>
      <c r="E281" s="4">
        <v>0.54</v>
      </c>
      <c r="F281" s="4">
        <v>772.46093800000006</v>
      </c>
      <c r="G281" s="4">
        <v>1.7999999999999999E-2</v>
      </c>
      <c r="I281" s="4" t="s">
        <v>188</v>
      </c>
      <c r="J281" s="4">
        <v>0.9</v>
      </c>
      <c r="K281" s="4">
        <v>0.5</v>
      </c>
      <c r="L281" s="4">
        <v>0.6</v>
      </c>
      <c r="M281" s="4">
        <v>0.4</v>
      </c>
      <c r="N281" s="6">
        <v>713.01153599999998</v>
      </c>
      <c r="O281" s="4">
        <v>2E-3</v>
      </c>
      <c r="P281" s="5"/>
      <c r="Q281" s="5"/>
      <c r="R281" s="5"/>
      <c r="S281" s="5"/>
      <c r="U281" s="4" t="s">
        <v>188</v>
      </c>
      <c r="V281" s="4">
        <v>0.9</v>
      </c>
      <c r="W281" s="4">
        <v>0.5</v>
      </c>
      <c r="X281" s="4">
        <v>0.6</v>
      </c>
      <c r="Y281" s="4">
        <v>7.0000000000000007E-2</v>
      </c>
      <c r="Z281" s="6">
        <v>650.521118</v>
      </c>
      <c r="AA281" s="4">
        <v>1.4999999999999999E-2</v>
      </c>
      <c r="AC281" s="4" t="s">
        <v>188</v>
      </c>
      <c r="AD281" s="4">
        <v>0.9</v>
      </c>
      <c r="AE281" s="4">
        <v>0.5</v>
      </c>
      <c r="AF281" s="4">
        <v>0.6</v>
      </c>
      <c r="AG281" s="4">
        <v>0.34</v>
      </c>
      <c r="AH281" s="4">
        <v>693.37176499999998</v>
      </c>
      <c r="AI281" s="4">
        <v>1E-3</v>
      </c>
      <c r="AJ281" s="5"/>
      <c r="AK281" s="5"/>
      <c r="AL281" s="5"/>
      <c r="AM281" s="5"/>
      <c r="AO281" s="4" t="s">
        <v>189</v>
      </c>
      <c r="AP281" s="4">
        <v>0.9</v>
      </c>
      <c r="AQ281" s="4">
        <v>0.5</v>
      </c>
      <c r="AR281" s="4">
        <v>0.6</v>
      </c>
      <c r="AS281" s="4">
        <v>0.84</v>
      </c>
      <c r="AT281" s="4">
        <v>1256.3354489999999</v>
      </c>
      <c r="AU281" s="4">
        <v>0.02</v>
      </c>
      <c r="AW281" s="4" t="s">
        <v>189</v>
      </c>
      <c r="AX281" s="4">
        <v>0.9</v>
      </c>
      <c r="AY281" s="4">
        <v>0.5</v>
      </c>
      <c r="AZ281" s="4">
        <v>0.6</v>
      </c>
      <c r="BA281" s="4">
        <v>0.3</v>
      </c>
      <c r="BB281" s="6">
        <v>1015.8112180000001</v>
      </c>
      <c r="BC281" s="4">
        <v>7.0000000000000001E-3</v>
      </c>
      <c r="BD281" s="5"/>
      <c r="BE281" s="5"/>
      <c r="BF281" s="5"/>
      <c r="BG281" s="5"/>
      <c r="BI281" s="4" t="s">
        <v>189</v>
      </c>
      <c r="BJ281" s="4">
        <v>0.9</v>
      </c>
      <c r="BK281" s="4">
        <v>0.5</v>
      </c>
      <c r="BL281" s="4">
        <v>0.6</v>
      </c>
      <c r="BM281" s="4">
        <v>0.32</v>
      </c>
      <c r="BN281" s="6">
        <v>997.12127699999996</v>
      </c>
      <c r="BO281" s="4">
        <v>1.6E-2</v>
      </c>
      <c r="BQ281" s="4" t="s">
        <v>189</v>
      </c>
      <c r="BR281" s="4">
        <v>0.9</v>
      </c>
      <c r="BS281" s="4">
        <v>0.5</v>
      </c>
      <c r="BT281" s="4">
        <v>0.6</v>
      </c>
      <c r="BU281" s="4">
        <v>0.33</v>
      </c>
      <c r="BV281" s="4">
        <v>1023.57251</v>
      </c>
      <c r="BW281" s="4">
        <v>7.0000000000000001E-3</v>
      </c>
      <c r="BX281" s="5"/>
      <c r="BY281" s="5"/>
      <c r="BZ281" s="5"/>
      <c r="CA281" s="5"/>
    </row>
    <row r="282" spans="1:79" x14ac:dyDescent="0.3">
      <c r="A282" s="4" t="s">
        <v>190</v>
      </c>
      <c r="B282" s="4">
        <v>0.9</v>
      </c>
      <c r="C282" s="4">
        <v>0.5</v>
      </c>
      <c r="D282" s="4">
        <v>0.6</v>
      </c>
      <c r="E282" s="4">
        <v>0.61</v>
      </c>
      <c r="F282" s="4">
        <v>732.98584000000005</v>
      </c>
      <c r="G282" s="4">
        <v>3.5000000000000003E-2</v>
      </c>
      <c r="I282" s="4" t="s">
        <v>190</v>
      </c>
      <c r="J282" s="4">
        <v>0.9</v>
      </c>
      <c r="K282" s="4">
        <v>0.5</v>
      </c>
      <c r="L282" s="4">
        <v>0.6</v>
      </c>
      <c r="M282" s="4">
        <v>0.3</v>
      </c>
      <c r="N282" s="6">
        <v>689.29974400000003</v>
      </c>
      <c r="O282" s="4">
        <v>2E-3</v>
      </c>
      <c r="P282" s="5"/>
      <c r="Q282" s="5"/>
      <c r="R282" s="5"/>
      <c r="S282" s="5"/>
      <c r="U282" s="4" t="s">
        <v>190</v>
      </c>
      <c r="V282" s="4">
        <v>0.9</v>
      </c>
      <c r="W282" s="4">
        <v>0.5</v>
      </c>
      <c r="X282" s="4">
        <v>0.6</v>
      </c>
      <c r="Y282" s="4">
        <v>0.22</v>
      </c>
      <c r="Z282" s="6">
        <v>659.24395800000002</v>
      </c>
      <c r="AA282" s="4">
        <v>2.3E-2</v>
      </c>
      <c r="AC282" s="4" t="s">
        <v>190</v>
      </c>
      <c r="AD282" s="4">
        <v>0.9</v>
      </c>
      <c r="AE282" s="4">
        <v>0.5</v>
      </c>
      <c r="AF282" s="4">
        <v>0.6</v>
      </c>
      <c r="AG282" s="4">
        <v>0.3</v>
      </c>
      <c r="AH282" s="4">
        <v>675.41143799999998</v>
      </c>
      <c r="AI282" s="4">
        <v>1E-3</v>
      </c>
      <c r="AJ282" s="5"/>
      <c r="AK282" s="5"/>
      <c r="AL282" s="5"/>
      <c r="AM282" s="5"/>
      <c r="AO282" s="4" t="s">
        <v>191</v>
      </c>
      <c r="AP282" s="4">
        <v>0.9</v>
      </c>
      <c r="AQ282" s="4">
        <v>0.5</v>
      </c>
      <c r="AR282" s="4">
        <v>0.6</v>
      </c>
      <c r="AS282" s="4">
        <v>0.33</v>
      </c>
      <c r="AT282" s="4">
        <v>1004.008423</v>
      </c>
      <c r="AU282" s="4">
        <v>0.02</v>
      </c>
      <c r="AW282" s="4" t="s">
        <v>191</v>
      </c>
      <c r="AX282" s="4">
        <v>0.9</v>
      </c>
      <c r="AY282" s="4">
        <v>0.5</v>
      </c>
      <c r="AZ282" s="4">
        <v>0.6</v>
      </c>
      <c r="BA282" s="4">
        <v>0.3</v>
      </c>
      <c r="BB282" s="6">
        <v>1002.562134</v>
      </c>
      <c r="BC282" s="4">
        <v>6.0000000000000001E-3</v>
      </c>
      <c r="BD282" s="5"/>
      <c r="BE282" s="5"/>
      <c r="BF282" s="5"/>
      <c r="BG282" s="5"/>
      <c r="BI282" s="4" t="s">
        <v>191</v>
      </c>
      <c r="BJ282" s="4">
        <v>0.9</v>
      </c>
      <c r="BK282" s="4">
        <v>0.5</v>
      </c>
      <c r="BL282" s="4">
        <v>0.6</v>
      </c>
      <c r="BM282" s="4">
        <v>0.48</v>
      </c>
      <c r="BN282" s="4">
        <v>1103.6324460000001</v>
      </c>
      <c r="BO282" s="4">
        <v>2.5000000000000001E-2</v>
      </c>
      <c r="BQ282" s="4" t="s">
        <v>191</v>
      </c>
      <c r="BR282" s="4">
        <v>0.9</v>
      </c>
      <c r="BS282" s="4">
        <v>0.5</v>
      </c>
      <c r="BT282" s="4">
        <v>0.6</v>
      </c>
      <c r="BU282" s="4">
        <v>0.33</v>
      </c>
      <c r="BV282" s="6">
        <v>1012.381226</v>
      </c>
      <c r="BW282" s="4">
        <v>7.0000000000000001E-3</v>
      </c>
      <c r="BX282" s="5"/>
      <c r="BY282" s="5"/>
      <c r="BZ282" s="5"/>
      <c r="CA282" s="5"/>
    </row>
    <row r="283" spans="1:79" x14ac:dyDescent="0.3">
      <c r="A283" s="4" t="s">
        <v>192</v>
      </c>
      <c r="B283" s="4">
        <v>0.9</v>
      </c>
      <c r="C283" s="4">
        <v>0.5</v>
      </c>
      <c r="D283" s="4">
        <v>0.6</v>
      </c>
      <c r="E283" s="4">
        <v>0.59</v>
      </c>
      <c r="F283" s="4">
        <v>918.519409</v>
      </c>
      <c r="G283" s="4">
        <v>1.4E-2</v>
      </c>
      <c r="I283" s="4" t="s">
        <v>192</v>
      </c>
      <c r="J283" s="4">
        <v>0.9</v>
      </c>
      <c r="K283" s="4">
        <v>0.5</v>
      </c>
      <c r="L283" s="4">
        <v>0.6</v>
      </c>
      <c r="M283" s="4">
        <v>0.3</v>
      </c>
      <c r="N283" s="6">
        <v>770.47576900000001</v>
      </c>
      <c r="O283" s="4">
        <v>2E-3</v>
      </c>
      <c r="P283" s="5"/>
      <c r="Q283" s="5"/>
      <c r="R283" s="5"/>
      <c r="S283" s="5"/>
      <c r="U283" s="4" t="s">
        <v>192</v>
      </c>
      <c r="V283" s="4">
        <v>0.9</v>
      </c>
      <c r="W283" s="4">
        <v>0.5</v>
      </c>
      <c r="X283" s="4">
        <v>0.6</v>
      </c>
      <c r="Y283" s="4">
        <v>0.86</v>
      </c>
      <c r="Z283" s="4">
        <v>969.93609600000002</v>
      </c>
      <c r="AA283" s="4">
        <v>2.4E-2</v>
      </c>
      <c r="AC283" s="4" t="s">
        <v>192</v>
      </c>
      <c r="AD283" s="4">
        <v>0.9</v>
      </c>
      <c r="AE283" s="4">
        <v>0.5</v>
      </c>
      <c r="AF283" s="4">
        <v>0.6</v>
      </c>
      <c r="AG283" s="4">
        <v>0.3</v>
      </c>
      <c r="AH283" s="6">
        <v>786.77105700000004</v>
      </c>
      <c r="AI283" s="4">
        <v>2E-3</v>
      </c>
      <c r="AJ283" s="5"/>
      <c r="AK283" s="5"/>
      <c r="AL283" s="5"/>
      <c r="AM283" s="5"/>
      <c r="AO283" s="4" t="s">
        <v>193</v>
      </c>
      <c r="AP283" s="4">
        <v>0.9</v>
      </c>
      <c r="AQ283" s="4">
        <v>0.5</v>
      </c>
      <c r="AR283" s="4">
        <v>0.6</v>
      </c>
      <c r="AS283" s="4">
        <v>0.91</v>
      </c>
      <c r="AT283" s="4">
        <v>1345.402832</v>
      </c>
      <c r="AU283" s="4">
        <v>1.4E-2</v>
      </c>
      <c r="AW283" s="4" t="s">
        <v>193</v>
      </c>
      <c r="AX283" s="4">
        <v>0.9</v>
      </c>
      <c r="AY283" s="4">
        <v>0.5</v>
      </c>
      <c r="AZ283" s="4">
        <v>0.6</v>
      </c>
      <c r="BA283" s="4">
        <v>0.36</v>
      </c>
      <c r="BB283" s="6">
        <v>1123.5529790000001</v>
      </c>
      <c r="BC283" s="4">
        <v>7.0000000000000001E-3</v>
      </c>
      <c r="BD283" s="5"/>
      <c r="BE283" s="5"/>
      <c r="BF283" s="5"/>
      <c r="BG283" s="5"/>
      <c r="BI283" s="4" t="s">
        <v>193</v>
      </c>
      <c r="BJ283" s="4">
        <v>0.9</v>
      </c>
      <c r="BK283" s="4">
        <v>0.5</v>
      </c>
      <c r="BL283" s="4">
        <v>0.6</v>
      </c>
      <c r="BM283" s="4">
        <v>0.22</v>
      </c>
      <c r="BN283" s="6">
        <v>1047.727173</v>
      </c>
      <c r="BO283" s="4">
        <v>1.2999999999999999E-2</v>
      </c>
      <c r="BQ283" s="4" t="s">
        <v>193</v>
      </c>
      <c r="BR283" s="4">
        <v>0.9</v>
      </c>
      <c r="BS283" s="4">
        <v>0.5</v>
      </c>
      <c r="BT283" s="4">
        <v>0.6</v>
      </c>
      <c r="BU283" s="4">
        <v>0.31</v>
      </c>
      <c r="BV283" s="4">
        <v>1078.7775879999999</v>
      </c>
      <c r="BW283" s="4">
        <v>7.0000000000000001E-3</v>
      </c>
      <c r="BX283" s="5"/>
      <c r="BY283" s="5"/>
      <c r="BZ283" s="5"/>
      <c r="CA283" s="5"/>
    </row>
    <row r="284" spans="1:79" x14ac:dyDescent="0.3">
      <c r="A284" s="14" t="s">
        <v>316</v>
      </c>
      <c r="E284" s="14">
        <f>AVERAGE(E254:E283)</f>
        <v>0.54766666666666652</v>
      </c>
      <c r="I284" s="14" t="s">
        <v>316</v>
      </c>
      <c r="M284" s="14">
        <f>AVERAGE(M254:M283)</f>
        <v>0.32433333333333336</v>
      </c>
      <c r="P284" s="5"/>
      <c r="Q284" s="5"/>
      <c r="R284" s="5"/>
      <c r="S284" s="5"/>
      <c r="U284" s="14" t="s">
        <v>316</v>
      </c>
      <c r="Y284" s="14">
        <f>AVERAGE(Y254:Y283)</f>
        <v>0.54166666666666663</v>
      </c>
      <c r="AC284" s="14" t="s">
        <v>316</v>
      </c>
      <c r="AG284" s="14">
        <f>AVERAGE(AG254:AG283)</f>
        <v>0.33233333333333331</v>
      </c>
      <c r="AJ284" s="5"/>
      <c r="AK284" s="5"/>
      <c r="AL284" s="5"/>
      <c r="AM284" s="5"/>
      <c r="AO284" s="14" t="s">
        <v>316</v>
      </c>
      <c r="AS284" s="14">
        <f>AVERAGE(AS254:AS283)</f>
        <v>0.49066666666666664</v>
      </c>
      <c r="AW284" s="14" t="s">
        <v>316</v>
      </c>
      <c r="BA284" s="14">
        <f>AVERAGE(BA254:BA283)</f>
        <v>0.31466666666666665</v>
      </c>
      <c r="BD284" s="5"/>
      <c r="BE284" s="5"/>
      <c r="BF284" s="5"/>
      <c r="BG284" s="5"/>
      <c r="BI284" s="14" t="s">
        <v>316</v>
      </c>
      <c r="BM284" s="14">
        <f>AVERAGE(BM254:BM283)</f>
        <v>0.51066666666666671</v>
      </c>
      <c r="BQ284" s="14" t="s">
        <v>316</v>
      </c>
      <c r="BU284" s="14">
        <f>AVERAGE(BU254:BU283)</f>
        <v>0.30833333333333329</v>
      </c>
      <c r="BX284" s="5"/>
      <c r="BY284" s="5"/>
      <c r="BZ284" s="5"/>
      <c r="CA284" s="5"/>
    </row>
    <row r="285" spans="1:79" x14ac:dyDescent="0.3">
      <c r="P285" s="5"/>
      <c r="Q285" s="5"/>
      <c r="R285" s="5"/>
      <c r="S285" s="5"/>
      <c r="AJ285" s="5"/>
      <c r="AK285" s="5"/>
      <c r="AL285" s="5"/>
      <c r="AM285" s="5"/>
      <c r="BD285" s="5"/>
      <c r="BE285" s="5"/>
      <c r="BF285" s="5"/>
      <c r="BG285" s="5"/>
      <c r="BX285" s="5"/>
      <c r="BY285" s="5"/>
      <c r="BZ285" s="5"/>
      <c r="CA285" s="5"/>
    </row>
    <row r="286" spans="1:79" x14ac:dyDescent="0.3">
      <c r="P286" s="5"/>
      <c r="Q286" s="5"/>
      <c r="R286" s="5"/>
      <c r="S286" s="5"/>
      <c r="AJ286" s="5"/>
      <c r="AK286" s="5"/>
      <c r="AL286" s="5"/>
      <c r="AM286" s="5"/>
      <c r="BD286" s="5"/>
      <c r="BE286" s="5"/>
      <c r="BF286" s="5"/>
      <c r="BG286" s="5"/>
      <c r="BX286" s="5"/>
      <c r="BY286" s="5"/>
      <c r="BZ286" s="5"/>
      <c r="CA286" s="5"/>
    </row>
    <row r="287" spans="1:79" x14ac:dyDescent="0.3">
      <c r="A287" s="24" t="s">
        <v>314</v>
      </c>
      <c r="B287" s="25"/>
      <c r="C287" s="25"/>
      <c r="D287" s="25"/>
      <c r="E287" s="25"/>
      <c r="F287" s="25"/>
      <c r="G287" s="26"/>
      <c r="I287" s="23" t="s">
        <v>314</v>
      </c>
      <c r="J287" s="23"/>
      <c r="K287" s="23"/>
      <c r="L287" s="23"/>
      <c r="M287" s="23"/>
      <c r="N287" s="23"/>
      <c r="O287" s="23"/>
      <c r="P287" s="11"/>
      <c r="Q287" s="11"/>
      <c r="R287" s="11"/>
      <c r="S287" s="11"/>
      <c r="U287" s="24" t="s">
        <v>314</v>
      </c>
      <c r="V287" s="25"/>
      <c r="W287" s="25"/>
      <c r="X287" s="25"/>
      <c r="Y287" s="25"/>
      <c r="Z287" s="25"/>
      <c r="AA287" s="26"/>
      <c r="AC287" s="23" t="s">
        <v>314</v>
      </c>
      <c r="AD287" s="23"/>
      <c r="AE287" s="23"/>
      <c r="AF287" s="23"/>
      <c r="AG287" s="23"/>
      <c r="AH287" s="23"/>
      <c r="AI287" s="23"/>
      <c r="AJ287" s="11"/>
      <c r="AK287" s="11"/>
      <c r="AL287" s="11"/>
      <c r="AM287" s="11"/>
      <c r="AO287" s="23" t="s">
        <v>314</v>
      </c>
      <c r="AP287" s="23"/>
      <c r="AQ287" s="23"/>
      <c r="AR287" s="23"/>
      <c r="AS287" s="23"/>
      <c r="AT287" s="23"/>
      <c r="AU287" s="23"/>
      <c r="AW287" s="23" t="s">
        <v>314</v>
      </c>
      <c r="AX287" s="23"/>
      <c r="AY287" s="23"/>
      <c r="AZ287" s="23"/>
      <c r="BA287" s="23"/>
      <c r="BB287" s="23"/>
      <c r="BC287" s="23"/>
      <c r="BD287" s="11"/>
      <c r="BE287" s="11"/>
      <c r="BF287" s="11"/>
      <c r="BG287" s="11"/>
      <c r="BI287" s="24" t="s">
        <v>314</v>
      </c>
      <c r="BJ287" s="25"/>
      <c r="BK287" s="25"/>
      <c r="BL287" s="25"/>
      <c r="BM287" s="25"/>
      <c r="BN287" s="25"/>
      <c r="BO287" s="26"/>
      <c r="BQ287" s="23" t="s">
        <v>314</v>
      </c>
      <c r="BR287" s="23"/>
      <c r="BS287" s="23"/>
      <c r="BT287" s="23"/>
      <c r="BU287" s="23"/>
      <c r="BV287" s="23"/>
      <c r="BW287" s="23"/>
      <c r="BX287" s="11"/>
      <c r="BY287" s="11"/>
      <c r="BZ287" s="11"/>
      <c r="CA287" s="11"/>
    </row>
    <row r="288" spans="1:79" x14ac:dyDescent="0.3">
      <c r="A288" s="4" t="s">
        <v>72</v>
      </c>
      <c r="B288" s="4"/>
      <c r="C288" s="4"/>
      <c r="D288" s="4"/>
      <c r="E288" s="4"/>
      <c r="F288" s="4"/>
      <c r="G288" s="4"/>
      <c r="I288" s="23" t="s">
        <v>72</v>
      </c>
      <c r="J288" s="23"/>
      <c r="K288" s="23"/>
      <c r="L288" s="23"/>
      <c r="M288" s="23"/>
      <c r="N288" s="23"/>
      <c r="O288" s="23"/>
      <c r="P288" s="11"/>
      <c r="Q288" s="11"/>
      <c r="R288" s="11"/>
      <c r="S288" s="11"/>
      <c r="U288" s="4" t="s">
        <v>73</v>
      </c>
      <c r="V288" s="4"/>
      <c r="W288" s="4"/>
      <c r="X288" s="4"/>
      <c r="Y288" s="4"/>
      <c r="Z288" s="4"/>
      <c r="AA288" s="4"/>
      <c r="AC288" s="23" t="s">
        <v>73</v>
      </c>
      <c r="AD288" s="23"/>
      <c r="AE288" s="23"/>
      <c r="AF288" s="23"/>
      <c r="AG288" s="23"/>
      <c r="AH288" s="23"/>
      <c r="AI288" s="23"/>
      <c r="AJ288" s="11"/>
      <c r="AK288" s="11"/>
      <c r="AL288" s="11"/>
      <c r="AM288" s="11"/>
      <c r="AO288" s="4" t="s">
        <v>72</v>
      </c>
      <c r="AP288" s="4"/>
      <c r="AQ288" s="4"/>
      <c r="AR288" s="4"/>
      <c r="AS288" s="4"/>
      <c r="AT288" s="4"/>
      <c r="AU288" s="4"/>
      <c r="AW288" s="23" t="s">
        <v>72</v>
      </c>
      <c r="AX288" s="23"/>
      <c r="AY288" s="23"/>
      <c r="AZ288" s="23"/>
      <c r="BA288" s="23"/>
      <c r="BB288" s="23"/>
      <c r="BC288" s="23"/>
      <c r="BD288" s="11"/>
      <c r="BE288" s="11"/>
      <c r="BF288" s="11"/>
      <c r="BG288" s="11"/>
      <c r="BI288" s="4" t="s">
        <v>73</v>
      </c>
      <c r="BJ288" s="4"/>
      <c r="BK288" s="4"/>
      <c r="BL288" s="4"/>
      <c r="BM288" s="4"/>
      <c r="BN288" s="4"/>
      <c r="BO288" s="4"/>
      <c r="BQ288" s="23" t="s">
        <v>73</v>
      </c>
      <c r="BR288" s="23"/>
      <c r="BS288" s="23"/>
      <c r="BT288" s="23"/>
      <c r="BU288" s="23"/>
      <c r="BV288" s="23"/>
      <c r="BW288" s="23"/>
      <c r="BX288" s="11"/>
      <c r="BY288" s="11"/>
      <c r="BZ288" s="11"/>
      <c r="CA288" s="11"/>
    </row>
    <row r="289" spans="1:79" x14ac:dyDescent="0.3">
      <c r="A289" s="4" t="s">
        <v>2</v>
      </c>
      <c r="B289" s="4" t="s">
        <v>3</v>
      </c>
      <c r="C289" s="4" t="s">
        <v>4</v>
      </c>
      <c r="D289" s="4" t="s">
        <v>5</v>
      </c>
      <c r="E289" s="4" t="s">
        <v>6</v>
      </c>
      <c r="F289" s="4" t="s">
        <v>7</v>
      </c>
      <c r="G289" s="4" t="s">
        <v>8</v>
      </c>
      <c r="I289" s="4" t="s">
        <v>2</v>
      </c>
      <c r="J289" s="4" t="s">
        <v>3</v>
      </c>
      <c r="K289" s="4" t="s">
        <v>4</v>
      </c>
      <c r="L289" s="4" t="s">
        <v>5</v>
      </c>
      <c r="M289" s="4" t="s">
        <v>6</v>
      </c>
      <c r="N289" s="4" t="s">
        <v>7</v>
      </c>
      <c r="O289" s="4" t="s">
        <v>8</v>
      </c>
      <c r="P289" s="3" t="s">
        <v>322</v>
      </c>
      <c r="Q289" s="3" t="s">
        <v>323</v>
      </c>
      <c r="R289" s="3" t="s">
        <v>322</v>
      </c>
      <c r="S289" s="3" t="s">
        <v>323</v>
      </c>
      <c r="U289" s="4" t="s">
        <v>2</v>
      </c>
      <c r="V289" s="4" t="s">
        <v>3</v>
      </c>
      <c r="W289" s="4" t="s">
        <v>4</v>
      </c>
      <c r="X289" s="4" t="s">
        <v>5</v>
      </c>
      <c r="Y289" s="4" t="s">
        <v>6</v>
      </c>
      <c r="Z289" s="4" t="s">
        <v>7</v>
      </c>
      <c r="AA289" s="4" t="s">
        <v>8</v>
      </c>
      <c r="AC289" s="4" t="s">
        <v>2</v>
      </c>
      <c r="AD289" s="4" t="s">
        <v>3</v>
      </c>
      <c r="AE289" s="4" t="s">
        <v>4</v>
      </c>
      <c r="AF289" s="4" t="s">
        <v>5</v>
      </c>
      <c r="AG289" s="4" t="s">
        <v>6</v>
      </c>
      <c r="AH289" s="4" t="s">
        <v>7</v>
      </c>
      <c r="AI289" s="4" t="s">
        <v>8</v>
      </c>
      <c r="AJ289" s="3" t="s">
        <v>322</v>
      </c>
      <c r="AK289" s="3" t="s">
        <v>323</v>
      </c>
      <c r="AL289" s="3" t="s">
        <v>322</v>
      </c>
      <c r="AM289" s="3" t="s">
        <v>323</v>
      </c>
      <c r="AO289" s="4" t="s">
        <v>2</v>
      </c>
      <c r="AP289" s="4" t="s">
        <v>3</v>
      </c>
      <c r="AQ289" s="4" t="s">
        <v>4</v>
      </c>
      <c r="AR289" s="4" t="s">
        <v>5</v>
      </c>
      <c r="AS289" s="4" t="s">
        <v>6</v>
      </c>
      <c r="AT289" s="4" t="s">
        <v>7</v>
      </c>
      <c r="AU289" s="4" t="s">
        <v>8</v>
      </c>
      <c r="AW289" s="4" t="s">
        <v>2</v>
      </c>
      <c r="AX289" s="4" t="s">
        <v>3</v>
      </c>
      <c r="AY289" s="4" t="s">
        <v>4</v>
      </c>
      <c r="AZ289" s="4" t="s">
        <v>5</v>
      </c>
      <c r="BA289" s="4" t="s">
        <v>6</v>
      </c>
      <c r="BB289" s="4" t="s">
        <v>7</v>
      </c>
      <c r="BC289" s="4" t="s">
        <v>8</v>
      </c>
      <c r="BD289" s="3" t="s">
        <v>322</v>
      </c>
      <c r="BE289" s="3" t="s">
        <v>323</v>
      </c>
      <c r="BF289" s="3" t="s">
        <v>322</v>
      </c>
      <c r="BG289" s="3" t="s">
        <v>323</v>
      </c>
      <c r="BI289" s="4" t="s">
        <v>2</v>
      </c>
      <c r="BJ289" s="4" t="s">
        <v>3</v>
      </c>
      <c r="BK289" s="4" t="s">
        <v>4</v>
      </c>
      <c r="BL289" s="4" t="s">
        <v>5</v>
      </c>
      <c r="BM289" s="4" t="s">
        <v>6</v>
      </c>
      <c r="BN289" s="4" t="s">
        <v>7</v>
      </c>
      <c r="BO289" s="4" t="s">
        <v>8</v>
      </c>
      <c r="BQ289" s="4" t="s">
        <v>2</v>
      </c>
      <c r="BR289" s="4" t="s">
        <v>3</v>
      </c>
      <c r="BS289" s="4" t="s">
        <v>4</v>
      </c>
      <c r="BT289" s="4" t="s">
        <v>5</v>
      </c>
      <c r="BU289" s="4" t="s">
        <v>6</v>
      </c>
      <c r="BV289" s="4" t="s">
        <v>7</v>
      </c>
      <c r="BW289" s="4" t="s">
        <v>8</v>
      </c>
      <c r="BX289" s="3" t="s">
        <v>322</v>
      </c>
      <c r="BY289" s="3" t="s">
        <v>323</v>
      </c>
      <c r="BZ289" s="3" t="s">
        <v>322</v>
      </c>
      <c r="CA289" s="3" t="s">
        <v>323</v>
      </c>
    </row>
    <row r="290" spans="1:79" x14ac:dyDescent="0.3">
      <c r="A290" s="4" t="s">
        <v>134</v>
      </c>
      <c r="B290" s="4">
        <v>0.9</v>
      </c>
      <c r="C290" s="4">
        <v>0.5</v>
      </c>
      <c r="D290" s="4">
        <v>0.6</v>
      </c>
      <c r="E290" s="4">
        <v>0.01</v>
      </c>
      <c r="F290" s="6">
        <v>599.87524399999995</v>
      </c>
      <c r="G290" s="4">
        <v>1.7000000000000001E-2</v>
      </c>
      <c r="I290" s="4" t="s">
        <v>134</v>
      </c>
      <c r="J290" s="4">
        <v>0.9</v>
      </c>
      <c r="K290" s="4">
        <v>0.5</v>
      </c>
      <c r="L290" s="4">
        <v>0.6</v>
      </c>
      <c r="M290" s="4">
        <v>0.32</v>
      </c>
      <c r="N290" s="4">
        <v>618.86218299999996</v>
      </c>
      <c r="O290" s="4">
        <v>2E-3</v>
      </c>
      <c r="P290" s="4" t="s">
        <v>327</v>
      </c>
      <c r="Q290" s="4" t="s">
        <v>327</v>
      </c>
      <c r="R290" s="4" t="s">
        <v>326</v>
      </c>
      <c r="S290" s="4" t="s">
        <v>326</v>
      </c>
      <c r="U290" s="4" t="s">
        <v>134</v>
      </c>
      <c r="V290" s="4">
        <v>0.9</v>
      </c>
      <c r="W290" s="4">
        <v>0.5</v>
      </c>
      <c r="X290" s="4">
        <v>0.6</v>
      </c>
      <c r="Y290" s="4">
        <v>0.01</v>
      </c>
      <c r="Z290" s="6">
        <v>588.34466599999996</v>
      </c>
      <c r="AA290" s="4">
        <v>2.1000000000000001E-2</v>
      </c>
      <c r="AC290" s="4" t="s">
        <v>134</v>
      </c>
      <c r="AD290" s="4">
        <v>0.9</v>
      </c>
      <c r="AE290" s="4">
        <v>0.5</v>
      </c>
      <c r="AF290" s="4">
        <v>0.6</v>
      </c>
      <c r="AG290" s="4">
        <v>0.31</v>
      </c>
      <c r="AH290" s="4">
        <v>606.68914800000005</v>
      </c>
      <c r="AI290" s="4">
        <v>1E-3</v>
      </c>
      <c r="AJ290" s="4" t="s">
        <v>327</v>
      </c>
      <c r="AK290" s="4" t="s">
        <v>327</v>
      </c>
      <c r="AL290" s="4" t="s">
        <v>326</v>
      </c>
      <c r="AM290" s="4" t="s">
        <v>326</v>
      </c>
      <c r="AO290" s="4" t="s">
        <v>135</v>
      </c>
      <c r="AP290" s="4">
        <v>0.9</v>
      </c>
      <c r="AQ290" s="4">
        <v>0.5</v>
      </c>
      <c r="AR290" s="4">
        <v>0.6</v>
      </c>
      <c r="AS290" s="4">
        <v>0.01</v>
      </c>
      <c r="AT290" s="6">
        <v>716.35314900000003</v>
      </c>
      <c r="AU290" s="4">
        <v>0.02</v>
      </c>
      <c r="AW290" s="4" t="s">
        <v>135</v>
      </c>
      <c r="AX290" s="4">
        <v>0.9</v>
      </c>
      <c r="AY290" s="4">
        <v>0.5</v>
      </c>
      <c r="AZ290" s="4">
        <v>0.6</v>
      </c>
      <c r="BA290" s="4">
        <v>0.31</v>
      </c>
      <c r="BB290" s="4">
        <v>820.71569799999997</v>
      </c>
      <c r="BC290" s="4">
        <v>5.0000000000000001E-3</v>
      </c>
      <c r="BD290" s="4" t="s">
        <v>327</v>
      </c>
      <c r="BE290" s="4" t="s">
        <v>327</v>
      </c>
      <c r="BF290" s="4" t="s">
        <v>326</v>
      </c>
      <c r="BG290" s="4" t="s">
        <v>326</v>
      </c>
      <c r="BI290" s="4" t="s">
        <v>135</v>
      </c>
      <c r="BJ290" s="4">
        <v>0.9</v>
      </c>
      <c r="BK290" s="4">
        <v>0.5</v>
      </c>
      <c r="BL290" s="4">
        <v>0.6</v>
      </c>
      <c r="BM290" s="4">
        <v>0.01</v>
      </c>
      <c r="BN290" s="6">
        <v>703.35192900000004</v>
      </c>
      <c r="BO290" s="4">
        <v>0.02</v>
      </c>
      <c r="BQ290" s="4" t="s">
        <v>135</v>
      </c>
      <c r="BR290" s="4">
        <v>0.9</v>
      </c>
      <c r="BS290" s="4">
        <v>0.5</v>
      </c>
      <c r="BT290" s="4">
        <v>0.6</v>
      </c>
      <c r="BU290" s="4">
        <v>0.32</v>
      </c>
      <c r="BV290" s="4">
        <v>793.01953100000003</v>
      </c>
      <c r="BW290" s="4">
        <v>8.0000000000000002E-3</v>
      </c>
      <c r="BX290" s="4" t="s">
        <v>327</v>
      </c>
      <c r="BY290" s="4" t="s">
        <v>327</v>
      </c>
      <c r="BZ290" s="4" t="s">
        <v>326</v>
      </c>
      <c r="CA290" s="4" t="s">
        <v>326</v>
      </c>
    </row>
    <row r="291" spans="1:79" x14ac:dyDescent="0.3">
      <c r="A291" s="4" t="s">
        <v>136</v>
      </c>
      <c r="B291" s="4">
        <v>0.9</v>
      </c>
      <c r="C291" s="4">
        <v>0.5</v>
      </c>
      <c r="D291" s="4">
        <v>0.6</v>
      </c>
      <c r="E291" s="4">
        <v>0.86</v>
      </c>
      <c r="F291" s="4">
        <v>588.854736</v>
      </c>
      <c r="G291" s="4">
        <v>0.02</v>
      </c>
      <c r="I291" s="4" t="s">
        <v>136</v>
      </c>
      <c r="J291" s="4">
        <v>0.9</v>
      </c>
      <c r="K291" s="4">
        <v>0.5</v>
      </c>
      <c r="L291" s="4">
        <v>0.6</v>
      </c>
      <c r="M291" s="4">
        <v>0.3</v>
      </c>
      <c r="N291" s="6">
        <v>555.65643299999999</v>
      </c>
      <c r="O291" s="4">
        <v>1E-3</v>
      </c>
      <c r="P291" s="3">
        <f>COUNT(F290,F292:F293,F297,F299,F302:F304,F307,F311,F315:F317)</f>
        <v>13</v>
      </c>
      <c r="Q291" s="3">
        <f>30-P291</f>
        <v>17</v>
      </c>
      <c r="R291" s="3">
        <f>COUNT(N291,N294:N296,N298,N300:N301,N305:N306,N308:N310,N312:N314,N318:N319)</f>
        <v>17</v>
      </c>
      <c r="S291" s="3">
        <f>30-R291</f>
        <v>13</v>
      </c>
      <c r="U291" s="4" t="s">
        <v>136</v>
      </c>
      <c r="V291" s="4">
        <v>0.9</v>
      </c>
      <c r="W291" s="4">
        <v>0.5</v>
      </c>
      <c r="X291" s="4">
        <v>0.6</v>
      </c>
      <c r="Y291" s="4">
        <v>0.2</v>
      </c>
      <c r="Z291" s="6">
        <v>511.52551299999999</v>
      </c>
      <c r="AA291" s="4">
        <v>1.6E-2</v>
      </c>
      <c r="AC291" s="4" t="s">
        <v>136</v>
      </c>
      <c r="AD291" s="4">
        <v>0.9</v>
      </c>
      <c r="AE291" s="4">
        <v>0.5</v>
      </c>
      <c r="AF291" s="4">
        <v>0.6</v>
      </c>
      <c r="AG291" s="4">
        <v>0.37</v>
      </c>
      <c r="AH291" s="4">
        <v>536.50457800000004</v>
      </c>
      <c r="AI291" s="4">
        <v>1E-3</v>
      </c>
      <c r="AJ291" s="3">
        <f>COUNT(AB291,AB297,AB299:AB308,AB311,AB314,AB317:AB319)</f>
        <v>0</v>
      </c>
      <c r="AK291" s="3">
        <f>30-AJ291</f>
        <v>30</v>
      </c>
      <c r="AL291" s="3">
        <f>COUNT(AH292:AH293,AH295:AH301,AH303,AH306,AH308,AH310:AH319)</f>
        <v>22</v>
      </c>
      <c r="AM291" s="3">
        <f>30-AL291</f>
        <v>8</v>
      </c>
      <c r="AO291" s="4" t="s">
        <v>137</v>
      </c>
      <c r="AP291" s="4">
        <v>0.9</v>
      </c>
      <c r="AQ291" s="4">
        <v>0.5</v>
      </c>
      <c r="AR291" s="4">
        <v>0.6</v>
      </c>
      <c r="AS291" s="4">
        <v>0.94</v>
      </c>
      <c r="AT291" s="4">
        <v>1058.2014160000001</v>
      </c>
      <c r="AU291" s="4">
        <v>1.4999999999999999E-2</v>
      </c>
      <c r="AW291" s="4" t="s">
        <v>137</v>
      </c>
      <c r="AX291" s="4">
        <v>0.9</v>
      </c>
      <c r="AY291" s="4">
        <v>0.5</v>
      </c>
      <c r="AZ291" s="4">
        <v>0.6</v>
      </c>
      <c r="BA291" s="4">
        <v>0.32</v>
      </c>
      <c r="BB291" s="6">
        <v>899.66082800000004</v>
      </c>
      <c r="BC291" s="4">
        <v>6.0000000000000001E-3</v>
      </c>
      <c r="BD291" s="3">
        <f>COUNT(AT290,AT292,AT301,AT304,AT309,AT311,AT313,AT317,AT319)</f>
        <v>9</v>
      </c>
      <c r="BE291" s="3">
        <f>30-BD291</f>
        <v>21</v>
      </c>
      <c r="BF291" s="3">
        <f>COUNT(BB291,BB293:BB300,BB302:BB303,BB305:BB308,BB310,BB312,BB314:BB316,BB318)</f>
        <v>21</v>
      </c>
      <c r="BG291" s="3">
        <f>30-BF291</f>
        <v>9</v>
      </c>
      <c r="BI291" s="4" t="s">
        <v>137</v>
      </c>
      <c r="BJ291" s="4">
        <v>0.9</v>
      </c>
      <c r="BK291" s="4">
        <v>0.5</v>
      </c>
      <c r="BL291" s="4">
        <v>0.6</v>
      </c>
      <c r="BM291" s="4">
        <v>0.03</v>
      </c>
      <c r="BN291" s="6">
        <v>725.99591099999998</v>
      </c>
      <c r="BO291" s="4">
        <v>4.9000000000000002E-2</v>
      </c>
      <c r="BQ291" s="4" t="s">
        <v>137</v>
      </c>
      <c r="BR291" s="4">
        <v>0.9</v>
      </c>
      <c r="BS291" s="4">
        <v>0.5</v>
      </c>
      <c r="BT291" s="4">
        <v>0.6</v>
      </c>
      <c r="BU291" s="4">
        <v>0.31</v>
      </c>
      <c r="BV291" s="4">
        <v>888.563354</v>
      </c>
      <c r="BW291" s="4">
        <v>6.0000000000000001E-3</v>
      </c>
      <c r="BX291" s="3">
        <f>COUNT(BN290:BN291,BN293:BN294,BN297,BN300,BN306,BN308,BN310,BN312:BN313,BN316:BN317,BN319)</f>
        <v>14</v>
      </c>
      <c r="BY291" s="3">
        <f>30-BX291</f>
        <v>16</v>
      </c>
      <c r="BZ291" s="3">
        <f>COUNT(BV292,BV295:BV296,BV298:BV299,BV301:BV305,BV307,BV309,BV314:BV315,BV318,BV311)</f>
        <v>16</v>
      </c>
      <c r="CA291" s="3">
        <f>30-BZ291</f>
        <v>14</v>
      </c>
    </row>
    <row r="292" spans="1:79" x14ac:dyDescent="0.3">
      <c r="A292" s="4" t="s">
        <v>138</v>
      </c>
      <c r="B292" s="4">
        <v>0.9</v>
      </c>
      <c r="C292" s="4">
        <v>0.5</v>
      </c>
      <c r="D292" s="4">
        <v>0.6</v>
      </c>
      <c r="E292" s="4">
        <v>0.15</v>
      </c>
      <c r="F292" s="6">
        <v>590.714294</v>
      </c>
      <c r="G292" s="4">
        <v>2.1000000000000001E-2</v>
      </c>
      <c r="I292" s="4" t="s">
        <v>138</v>
      </c>
      <c r="J292" s="4">
        <v>0.9</v>
      </c>
      <c r="K292" s="4">
        <v>0.5</v>
      </c>
      <c r="L292" s="4">
        <v>0.6</v>
      </c>
      <c r="M292" s="4">
        <v>0.3</v>
      </c>
      <c r="N292" s="4">
        <v>615.25195299999996</v>
      </c>
      <c r="O292" s="4">
        <v>2E-3</v>
      </c>
      <c r="P292" s="5"/>
      <c r="Q292" s="5"/>
      <c r="R292" s="5"/>
      <c r="S292" s="5"/>
      <c r="U292" s="4" t="s">
        <v>138</v>
      </c>
      <c r="V292" s="4">
        <v>0.9</v>
      </c>
      <c r="W292" s="4">
        <v>0.5</v>
      </c>
      <c r="X292" s="4">
        <v>0.6</v>
      </c>
      <c r="Y292" s="4">
        <v>0.34</v>
      </c>
      <c r="Z292" s="4">
        <v>614.344604</v>
      </c>
      <c r="AA292" s="4">
        <v>1.6E-2</v>
      </c>
      <c r="AC292" s="4" t="s">
        <v>138</v>
      </c>
      <c r="AD292" s="4">
        <v>0.9</v>
      </c>
      <c r="AE292" s="4">
        <v>0.5</v>
      </c>
      <c r="AF292" s="4">
        <v>0.6</v>
      </c>
      <c r="AG292" s="4">
        <v>0.3</v>
      </c>
      <c r="AH292" s="6">
        <v>601.32372999999995</v>
      </c>
      <c r="AI292" s="4">
        <v>2E-3</v>
      </c>
      <c r="AJ292" s="5"/>
      <c r="AK292" s="5"/>
      <c r="AL292" s="5"/>
      <c r="AM292" s="5"/>
      <c r="AO292" s="4" t="s">
        <v>139</v>
      </c>
      <c r="AP292" s="4">
        <v>0.9</v>
      </c>
      <c r="AQ292" s="4">
        <v>0.5</v>
      </c>
      <c r="AR292" s="4">
        <v>0.6</v>
      </c>
      <c r="AS292" s="4">
        <v>0.15</v>
      </c>
      <c r="AT292" s="6">
        <v>834.441956</v>
      </c>
      <c r="AU292" s="4">
        <v>2.8000000000000001E-2</v>
      </c>
      <c r="AW292" s="4" t="s">
        <v>139</v>
      </c>
      <c r="AX292" s="4">
        <v>0.9</v>
      </c>
      <c r="AY292" s="4">
        <v>0.5</v>
      </c>
      <c r="AZ292" s="4">
        <v>0.6</v>
      </c>
      <c r="BA292" s="4">
        <v>0.3</v>
      </c>
      <c r="BB292" s="4">
        <v>939.90295400000002</v>
      </c>
      <c r="BC292" s="4">
        <v>5.0000000000000001E-3</v>
      </c>
      <c r="BD292" s="5"/>
      <c r="BE292" s="5"/>
      <c r="BF292" s="5"/>
      <c r="BG292" s="5"/>
      <c r="BI292" s="4" t="s">
        <v>139</v>
      </c>
      <c r="BJ292" s="4">
        <v>0.9</v>
      </c>
      <c r="BK292" s="4">
        <v>0.5</v>
      </c>
      <c r="BL292" s="4">
        <v>0.6</v>
      </c>
      <c r="BM292" s="4">
        <v>0.42</v>
      </c>
      <c r="BN292" s="4">
        <v>946.74774200000002</v>
      </c>
      <c r="BO292" s="4">
        <v>2.1999999999999999E-2</v>
      </c>
      <c r="BQ292" s="4" t="s">
        <v>139</v>
      </c>
      <c r="BR292" s="4">
        <v>0.9</v>
      </c>
      <c r="BS292" s="4">
        <v>0.5</v>
      </c>
      <c r="BT292" s="4">
        <v>0.6</v>
      </c>
      <c r="BU292" s="4">
        <v>0.31</v>
      </c>
      <c r="BV292" s="6">
        <v>910.02710000000002</v>
      </c>
      <c r="BW292" s="4">
        <v>6.0000000000000001E-3</v>
      </c>
      <c r="BX292" s="5"/>
      <c r="BY292" s="5"/>
      <c r="BZ292" s="5"/>
      <c r="CA292" s="5"/>
    </row>
    <row r="293" spans="1:79" x14ac:dyDescent="0.3">
      <c r="A293" s="4" t="s">
        <v>140</v>
      </c>
      <c r="B293" s="4">
        <v>0.9</v>
      </c>
      <c r="C293" s="4">
        <v>0.5</v>
      </c>
      <c r="D293" s="4">
        <v>0.6</v>
      </c>
      <c r="E293" s="4">
        <v>0.15</v>
      </c>
      <c r="F293" s="6">
        <v>584.35754399999996</v>
      </c>
      <c r="G293" s="4">
        <v>1.4999999999999999E-2</v>
      </c>
      <c r="I293" s="4" t="s">
        <v>140</v>
      </c>
      <c r="J293" s="4">
        <v>0.9</v>
      </c>
      <c r="K293" s="4">
        <v>0.5</v>
      </c>
      <c r="L293" s="4">
        <v>0.6</v>
      </c>
      <c r="M293" s="4">
        <v>0.33</v>
      </c>
      <c r="N293" s="4">
        <v>618.29986599999995</v>
      </c>
      <c r="O293" s="4">
        <v>1E-3</v>
      </c>
      <c r="P293" s="5"/>
      <c r="Q293" s="5"/>
      <c r="R293" s="5"/>
      <c r="S293" s="5"/>
      <c r="U293" s="4" t="s">
        <v>140</v>
      </c>
      <c r="V293" s="4">
        <v>0.9</v>
      </c>
      <c r="W293" s="4">
        <v>0.5</v>
      </c>
      <c r="X293" s="4">
        <v>0.6</v>
      </c>
      <c r="Y293" s="4">
        <v>0.79</v>
      </c>
      <c r="Z293" s="4">
        <v>694.71868900000004</v>
      </c>
      <c r="AA293" s="4">
        <v>8.9999999999999993E-3</v>
      </c>
      <c r="AC293" s="4" t="s">
        <v>140</v>
      </c>
      <c r="AD293" s="4">
        <v>0.9</v>
      </c>
      <c r="AE293" s="4">
        <v>0.5</v>
      </c>
      <c r="AF293" s="4">
        <v>0.6</v>
      </c>
      <c r="AG293" s="4">
        <v>0.32</v>
      </c>
      <c r="AH293" s="6">
        <v>603.94732699999997</v>
      </c>
      <c r="AI293" s="4">
        <v>1E-3</v>
      </c>
      <c r="AJ293" s="5"/>
      <c r="AK293" s="5"/>
      <c r="AL293" s="5"/>
      <c r="AM293" s="5"/>
      <c r="AO293" s="4" t="s">
        <v>141</v>
      </c>
      <c r="AP293" s="4">
        <v>0.9</v>
      </c>
      <c r="AQ293" s="4">
        <v>0.5</v>
      </c>
      <c r="AR293" s="4">
        <v>0.6</v>
      </c>
      <c r="AS293" s="4">
        <v>0.5</v>
      </c>
      <c r="AT293" s="4">
        <v>1017.619568</v>
      </c>
      <c r="AU293" s="4">
        <v>2.4E-2</v>
      </c>
      <c r="AW293" s="4" t="s">
        <v>141</v>
      </c>
      <c r="AX293" s="4">
        <v>0.9</v>
      </c>
      <c r="AY293" s="4">
        <v>0.5</v>
      </c>
      <c r="AZ293" s="4">
        <v>0.6</v>
      </c>
      <c r="BA293" s="4">
        <v>0.31</v>
      </c>
      <c r="BB293" s="6">
        <v>973.16320800000005</v>
      </c>
      <c r="BC293" s="4">
        <v>6.0000000000000001E-3</v>
      </c>
      <c r="BD293" s="5"/>
      <c r="BE293" s="5"/>
      <c r="BF293" s="5"/>
      <c r="BG293" s="5"/>
      <c r="BI293" s="4" t="s">
        <v>141</v>
      </c>
      <c r="BJ293" s="4">
        <v>0.9</v>
      </c>
      <c r="BK293" s="4">
        <v>0.5</v>
      </c>
      <c r="BL293" s="4">
        <v>0.6</v>
      </c>
      <c r="BM293" s="4">
        <v>0.14000000000000001</v>
      </c>
      <c r="BN293" s="6">
        <v>862.33111599999995</v>
      </c>
      <c r="BO293" s="4">
        <v>2.5000000000000001E-2</v>
      </c>
      <c r="BQ293" s="4" t="s">
        <v>141</v>
      </c>
      <c r="BR293" s="4">
        <v>0.9</v>
      </c>
      <c r="BS293" s="4">
        <v>0.5</v>
      </c>
      <c r="BT293" s="4">
        <v>0.6</v>
      </c>
      <c r="BU293" s="4">
        <v>0.3</v>
      </c>
      <c r="BV293" s="4">
        <v>977.66772500000002</v>
      </c>
      <c r="BW293" s="4">
        <v>0.01</v>
      </c>
      <c r="BX293" s="5"/>
      <c r="BY293" s="5"/>
      <c r="BZ293" s="5"/>
      <c r="CA293" s="5"/>
    </row>
    <row r="294" spans="1:79" x14ac:dyDescent="0.3">
      <c r="A294" s="4" t="s">
        <v>142</v>
      </c>
      <c r="B294" s="4">
        <v>0.9</v>
      </c>
      <c r="C294" s="4">
        <v>0.5</v>
      </c>
      <c r="D294" s="4">
        <v>0.6</v>
      </c>
      <c r="E294" s="4">
        <v>0.28000000000000003</v>
      </c>
      <c r="F294" s="4">
        <v>545.78381300000001</v>
      </c>
      <c r="G294" s="4">
        <v>1.6E-2</v>
      </c>
      <c r="I294" s="4" t="s">
        <v>142</v>
      </c>
      <c r="J294" s="4">
        <v>0.9</v>
      </c>
      <c r="K294" s="4">
        <v>0.5</v>
      </c>
      <c r="L294" s="4">
        <v>0.6</v>
      </c>
      <c r="M294" s="4">
        <v>0.3</v>
      </c>
      <c r="N294" s="6">
        <v>535.24340800000004</v>
      </c>
      <c r="O294" s="4">
        <v>2E-3</v>
      </c>
      <c r="P294" s="5"/>
      <c r="Q294" s="5"/>
      <c r="R294" s="5"/>
      <c r="S294" s="5"/>
      <c r="U294" s="4" t="s">
        <v>142</v>
      </c>
      <c r="V294" s="4">
        <v>0.9</v>
      </c>
      <c r="W294" s="4">
        <v>0.5</v>
      </c>
      <c r="X294" s="4">
        <v>0.6</v>
      </c>
      <c r="Y294" s="4">
        <v>7.0000000000000007E-2</v>
      </c>
      <c r="Z294" s="6">
        <v>499.19107100000002</v>
      </c>
      <c r="AA294" s="4">
        <v>4.0000000000000001E-3</v>
      </c>
      <c r="AC294" s="4" t="s">
        <v>142</v>
      </c>
      <c r="AD294" s="4">
        <v>0.9</v>
      </c>
      <c r="AE294" s="4">
        <v>0.5</v>
      </c>
      <c r="AF294" s="4">
        <v>0.6</v>
      </c>
      <c r="AG294" s="4">
        <v>0.39</v>
      </c>
      <c r="AH294" s="4">
        <v>517.62255900000002</v>
      </c>
      <c r="AI294" s="4">
        <v>2E-3</v>
      </c>
      <c r="AJ294" s="5"/>
      <c r="AK294" s="5"/>
      <c r="AL294" s="5"/>
      <c r="AM294" s="5"/>
      <c r="AO294" s="4" t="s">
        <v>143</v>
      </c>
      <c r="AP294" s="4">
        <v>0.9</v>
      </c>
      <c r="AQ294" s="4">
        <v>0.5</v>
      </c>
      <c r="AR294" s="4">
        <v>0.6</v>
      </c>
      <c r="AS294" s="4">
        <v>0.87</v>
      </c>
      <c r="AT294" s="4">
        <v>1032.3248289999999</v>
      </c>
      <c r="AU294" s="4">
        <v>1.7999999999999999E-2</v>
      </c>
      <c r="AW294" s="4" t="s">
        <v>143</v>
      </c>
      <c r="AX294" s="4">
        <v>0.9</v>
      </c>
      <c r="AY294" s="4">
        <v>0.5</v>
      </c>
      <c r="AZ294" s="4">
        <v>0.6</v>
      </c>
      <c r="BA294" s="4">
        <v>0.3</v>
      </c>
      <c r="BB294" s="6">
        <v>925.85375999999997</v>
      </c>
      <c r="BC294" s="4">
        <v>6.0000000000000001E-3</v>
      </c>
      <c r="BD294" s="5"/>
      <c r="BE294" s="5"/>
      <c r="BF294" s="5"/>
      <c r="BG294" s="5"/>
      <c r="BI294" s="4" t="s">
        <v>143</v>
      </c>
      <c r="BJ294" s="4">
        <v>0.9</v>
      </c>
      <c r="BK294" s="4">
        <v>0.5</v>
      </c>
      <c r="BL294" s="4">
        <v>0.6</v>
      </c>
      <c r="BM294" s="4">
        <v>0.21</v>
      </c>
      <c r="BN294" s="6">
        <v>820.024719</v>
      </c>
      <c r="BO294" s="4">
        <v>2.5999999999999999E-2</v>
      </c>
      <c r="BQ294" s="4" t="s">
        <v>143</v>
      </c>
      <c r="BR294" s="4">
        <v>0.9</v>
      </c>
      <c r="BS294" s="4">
        <v>0.5</v>
      </c>
      <c r="BT294" s="4">
        <v>0.6</v>
      </c>
      <c r="BU294" s="4">
        <v>0.3</v>
      </c>
      <c r="BV294" s="4">
        <v>906.01513699999998</v>
      </c>
      <c r="BW294" s="4">
        <v>6.0000000000000001E-3</v>
      </c>
      <c r="BX294" s="5"/>
      <c r="BY294" s="5"/>
      <c r="BZ294" s="5"/>
      <c r="CA294" s="5"/>
    </row>
    <row r="295" spans="1:79" x14ac:dyDescent="0.3">
      <c r="A295" s="4" t="s">
        <v>144</v>
      </c>
      <c r="B295" s="4">
        <v>0.9</v>
      </c>
      <c r="C295" s="4">
        <v>0.5</v>
      </c>
      <c r="D295" s="4">
        <v>0.6</v>
      </c>
      <c r="E295" s="4">
        <v>0.8</v>
      </c>
      <c r="F295" s="4">
        <v>694.78851299999997</v>
      </c>
      <c r="G295" s="4">
        <v>1.7000000000000001E-2</v>
      </c>
      <c r="I295" s="4" t="s">
        <v>144</v>
      </c>
      <c r="J295" s="4">
        <v>0.9</v>
      </c>
      <c r="K295" s="4">
        <v>0.5</v>
      </c>
      <c r="L295" s="4">
        <v>0.6</v>
      </c>
      <c r="M295" s="4">
        <v>0.3</v>
      </c>
      <c r="N295" s="6">
        <v>624.47546399999999</v>
      </c>
      <c r="O295" s="4">
        <v>2E-3</v>
      </c>
      <c r="P295" s="5"/>
      <c r="Q295" s="5"/>
      <c r="R295" s="5"/>
      <c r="S295" s="5"/>
      <c r="U295" s="4" t="s">
        <v>144</v>
      </c>
      <c r="V295" s="4">
        <v>0.9</v>
      </c>
      <c r="W295" s="4">
        <v>0.5</v>
      </c>
      <c r="X295" s="4">
        <v>0.6</v>
      </c>
      <c r="Y295" s="4">
        <v>0.44</v>
      </c>
      <c r="Z295" s="4">
        <v>644.75647000000004</v>
      </c>
      <c r="AA295" s="4">
        <v>1.9E-2</v>
      </c>
      <c r="AC295" s="4" t="s">
        <v>144</v>
      </c>
      <c r="AD295" s="4">
        <v>0.9</v>
      </c>
      <c r="AE295" s="4">
        <v>0.5</v>
      </c>
      <c r="AF295" s="4">
        <v>0.6</v>
      </c>
      <c r="AG295" s="4">
        <v>0.3</v>
      </c>
      <c r="AH295" s="6">
        <v>619.64489700000001</v>
      </c>
      <c r="AI295" s="4">
        <v>2E-3</v>
      </c>
      <c r="AJ295" s="5"/>
      <c r="AK295" s="5"/>
      <c r="AL295" s="5"/>
      <c r="AM295" s="5"/>
      <c r="AO295" s="4" t="s">
        <v>145</v>
      </c>
      <c r="AP295" s="4">
        <v>0.9</v>
      </c>
      <c r="AQ295" s="4">
        <v>0.5</v>
      </c>
      <c r="AR295" s="4">
        <v>0.6</v>
      </c>
      <c r="AS295" s="4">
        <v>0.8</v>
      </c>
      <c r="AT295" s="4">
        <v>1064.786499</v>
      </c>
      <c r="AU295" s="4">
        <v>1.6E-2</v>
      </c>
      <c r="AW295" s="4" t="s">
        <v>145</v>
      </c>
      <c r="AX295" s="4">
        <v>0.9</v>
      </c>
      <c r="AY295" s="4">
        <v>0.5</v>
      </c>
      <c r="AZ295" s="4">
        <v>0.6</v>
      </c>
      <c r="BA295" s="4">
        <v>0.3</v>
      </c>
      <c r="BB295" s="6">
        <v>924.42791699999998</v>
      </c>
      <c r="BC295" s="4">
        <v>6.0000000000000001E-3</v>
      </c>
      <c r="BD295" s="5"/>
      <c r="BE295" s="5"/>
      <c r="BF295" s="5"/>
      <c r="BG295" s="5"/>
      <c r="BI295" s="4" t="s">
        <v>145</v>
      </c>
      <c r="BJ295" s="4">
        <v>0.9</v>
      </c>
      <c r="BK295" s="4">
        <v>0.5</v>
      </c>
      <c r="BL295" s="4">
        <v>0.6</v>
      </c>
      <c r="BM295" s="4">
        <v>0.34</v>
      </c>
      <c r="BN295" s="4">
        <v>924.56622300000004</v>
      </c>
      <c r="BO295" s="4">
        <v>1.7999999999999999E-2</v>
      </c>
      <c r="BQ295" s="4" t="s">
        <v>145</v>
      </c>
      <c r="BR295" s="4">
        <v>0.9</v>
      </c>
      <c r="BS295" s="4">
        <v>0.5</v>
      </c>
      <c r="BT295" s="4">
        <v>0.6</v>
      </c>
      <c r="BU295" s="4">
        <v>0.35</v>
      </c>
      <c r="BV295" s="6">
        <v>909.53112799999997</v>
      </c>
      <c r="BW295" s="4">
        <v>1.0999999999999999E-2</v>
      </c>
      <c r="BX295" s="5"/>
      <c r="BY295" s="5"/>
      <c r="BZ295" s="5"/>
      <c r="CA295" s="5"/>
    </row>
    <row r="296" spans="1:79" x14ac:dyDescent="0.3">
      <c r="A296" s="4" t="s">
        <v>146</v>
      </c>
      <c r="B296" s="4">
        <v>0.9</v>
      </c>
      <c r="C296" s="4">
        <v>0.5</v>
      </c>
      <c r="D296" s="4">
        <v>0.6</v>
      </c>
      <c r="E296" s="4">
        <v>0.84</v>
      </c>
      <c r="F296" s="4">
        <v>634.11102300000005</v>
      </c>
      <c r="G296" s="4">
        <v>1.9E-2</v>
      </c>
      <c r="I296" s="4" t="s">
        <v>146</v>
      </c>
      <c r="J296" s="4">
        <v>0.9</v>
      </c>
      <c r="K296" s="4">
        <v>0.5</v>
      </c>
      <c r="L296" s="4">
        <v>0.6</v>
      </c>
      <c r="M296" s="4">
        <v>0.31</v>
      </c>
      <c r="N296" s="6">
        <v>575.52886999999998</v>
      </c>
      <c r="O296" s="4">
        <v>2E-3</v>
      </c>
      <c r="P296" s="5"/>
      <c r="Q296" s="5"/>
      <c r="R296" s="5"/>
      <c r="S296" s="5"/>
      <c r="U296" s="4" t="s">
        <v>146</v>
      </c>
      <c r="V296" s="4">
        <v>0.9</v>
      </c>
      <c r="W296" s="4">
        <v>0.5</v>
      </c>
      <c r="X296" s="4">
        <v>0.6</v>
      </c>
      <c r="Y296" s="4">
        <v>0.39</v>
      </c>
      <c r="Z296" s="4">
        <v>573.92974900000002</v>
      </c>
      <c r="AA296" s="4">
        <v>0.03</v>
      </c>
      <c r="AC296" s="4" t="s">
        <v>146</v>
      </c>
      <c r="AD296" s="4">
        <v>0.9</v>
      </c>
      <c r="AE296" s="4">
        <v>0.5</v>
      </c>
      <c r="AF296" s="4">
        <v>0.6</v>
      </c>
      <c r="AG296" s="4">
        <v>0.31</v>
      </c>
      <c r="AH296" s="6">
        <v>554.22308299999997</v>
      </c>
      <c r="AI296" s="4">
        <v>2E-3</v>
      </c>
      <c r="AJ296" s="5"/>
      <c r="AK296" s="5"/>
      <c r="AL296" s="5"/>
      <c r="AM296" s="5"/>
      <c r="AO296" s="4" t="s">
        <v>147</v>
      </c>
      <c r="AP296" s="4">
        <v>0.9</v>
      </c>
      <c r="AQ296" s="4">
        <v>0.5</v>
      </c>
      <c r="AR296" s="4">
        <v>0.6</v>
      </c>
      <c r="AS296" s="4">
        <v>0.82</v>
      </c>
      <c r="AT296" s="4">
        <v>1025.697754</v>
      </c>
      <c r="AU296" s="4">
        <v>1.4E-2</v>
      </c>
      <c r="AW296" s="4" t="s">
        <v>147</v>
      </c>
      <c r="AX296" s="4">
        <v>0.9</v>
      </c>
      <c r="AY296" s="4">
        <v>0.5</v>
      </c>
      <c r="AZ296" s="4">
        <v>0.6</v>
      </c>
      <c r="BA296" s="4">
        <v>0.31</v>
      </c>
      <c r="BB296" s="6">
        <v>896.30426</v>
      </c>
      <c r="BC296" s="4">
        <v>5.0000000000000001E-3</v>
      </c>
      <c r="BD296" s="5"/>
      <c r="BE296" s="5"/>
      <c r="BF296" s="5"/>
      <c r="BG296" s="5"/>
      <c r="BI296" s="4" t="s">
        <v>147</v>
      </c>
      <c r="BJ296" s="4">
        <v>0.9</v>
      </c>
      <c r="BK296" s="4">
        <v>0.5</v>
      </c>
      <c r="BL296" s="4">
        <v>0.6</v>
      </c>
      <c r="BM296" s="4">
        <v>0.79</v>
      </c>
      <c r="BN296" s="4">
        <v>1006.799622</v>
      </c>
      <c r="BO296" s="4">
        <v>4.2999999999999997E-2</v>
      </c>
      <c r="BQ296" s="4" t="s">
        <v>147</v>
      </c>
      <c r="BR296" s="4">
        <v>0.9</v>
      </c>
      <c r="BS296" s="4">
        <v>0.5</v>
      </c>
      <c r="BT296" s="4">
        <v>0.6</v>
      </c>
      <c r="BU296" s="4">
        <v>0.3</v>
      </c>
      <c r="BV296" s="6">
        <v>876.181152</v>
      </c>
      <c r="BW296" s="4">
        <v>8.0000000000000002E-3</v>
      </c>
      <c r="BX296" s="5"/>
      <c r="BY296" s="5"/>
      <c r="BZ296" s="5"/>
      <c r="CA296" s="5"/>
    </row>
    <row r="297" spans="1:79" x14ac:dyDescent="0.3">
      <c r="A297" s="4" t="s">
        <v>148</v>
      </c>
      <c r="B297" s="4">
        <v>0.9</v>
      </c>
      <c r="C297" s="4">
        <v>0.5</v>
      </c>
      <c r="D297" s="4">
        <v>0.6</v>
      </c>
      <c r="E297" s="4">
        <v>0.24</v>
      </c>
      <c r="F297" s="6">
        <v>605.14807099999996</v>
      </c>
      <c r="G297" s="4">
        <v>1.4999999999999999E-2</v>
      </c>
      <c r="I297" s="4" t="s">
        <v>148</v>
      </c>
      <c r="J297" s="4">
        <v>0.9</v>
      </c>
      <c r="K297" s="4">
        <v>0.5</v>
      </c>
      <c r="L297" s="4">
        <v>0.6</v>
      </c>
      <c r="M297" s="4">
        <v>0.32</v>
      </c>
      <c r="N297" s="4">
        <v>607.64044200000001</v>
      </c>
      <c r="O297" s="4">
        <v>1E-3</v>
      </c>
      <c r="P297" s="5"/>
      <c r="Q297" s="5"/>
      <c r="R297" s="5"/>
      <c r="S297" s="5"/>
      <c r="U297" s="4" t="s">
        <v>148</v>
      </c>
      <c r="V297" s="4">
        <v>0.9</v>
      </c>
      <c r="W297" s="4">
        <v>0.5</v>
      </c>
      <c r="X297" s="4">
        <v>0.6</v>
      </c>
      <c r="Y297" s="4">
        <v>0.88</v>
      </c>
      <c r="Z297" s="4">
        <v>681.82055700000001</v>
      </c>
      <c r="AA297" s="4">
        <v>1.6E-2</v>
      </c>
      <c r="AC297" s="4" t="s">
        <v>148</v>
      </c>
      <c r="AD297" s="4">
        <v>0.9</v>
      </c>
      <c r="AE297" s="4">
        <v>0.5</v>
      </c>
      <c r="AF297" s="4">
        <v>0.6</v>
      </c>
      <c r="AG297" s="4">
        <v>0.32</v>
      </c>
      <c r="AH297" s="6">
        <v>592.40100099999995</v>
      </c>
      <c r="AI297" s="4">
        <v>2E-3</v>
      </c>
      <c r="AJ297" s="5"/>
      <c r="AK297" s="5"/>
      <c r="AL297" s="5"/>
      <c r="AM297" s="5"/>
      <c r="AO297" s="4" t="s">
        <v>149</v>
      </c>
      <c r="AP297" s="4">
        <v>0.9</v>
      </c>
      <c r="AQ297" s="4">
        <v>0.5</v>
      </c>
      <c r="AR297" s="4">
        <v>0.6</v>
      </c>
      <c r="AS297" s="4">
        <v>0.93</v>
      </c>
      <c r="AT297" s="4">
        <v>1015.722534</v>
      </c>
      <c r="AU297" s="4">
        <v>1.7000000000000001E-2</v>
      </c>
      <c r="AW297" s="4" t="s">
        <v>149</v>
      </c>
      <c r="AX297" s="4">
        <v>0.9</v>
      </c>
      <c r="AY297" s="4">
        <v>0.5</v>
      </c>
      <c r="AZ297" s="4">
        <v>0.6</v>
      </c>
      <c r="BA297" s="4">
        <v>0.3</v>
      </c>
      <c r="BB297" s="6">
        <v>897.37554899999998</v>
      </c>
      <c r="BC297" s="4">
        <v>6.0000000000000001E-3</v>
      </c>
      <c r="BD297" s="5"/>
      <c r="BE297" s="5"/>
      <c r="BF297" s="5"/>
      <c r="BG297" s="5"/>
      <c r="BI297" s="4" t="s">
        <v>149</v>
      </c>
      <c r="BJ297" s="4">
        <v>0.9</v>
      </c>
      <c r="BK297" s="4">
        <v>0.5</v>
      </c>
      <c r="BL297" s="4">
        <v>0.6</v>
      </c>
      <c r="BM297" s="4">
        <v>0.27</v>
      </c>
      <c r="BN297" s="6">
        <v>850.76495399999999</v>
      </c>
      <c r="BO297" s="4">
        <v>2.5999999999999999E-2</v>
      </c>
      <c r="BQ297" s="4" t="s">
        <v>149</v>
      </c>
      <c r="BR297" s="4">
        <v>0.9</v>
      </c>
      <c r="BS297" s="4">
        <v>0.5</v>
      </c>
      <c r="BT297" s="4">
        <v>0.6</v>
      </c>
      <c r="BU297" s="4">
        <v>0.34</v>
      </c>
      <c r="BV297" s="4">
        <v>894.38647500000002</v>
      </c>
      <c r="BW297" s="4">
        <v>6.0000000000000001E-3</v>
      </c>
      <c r="BX297" s="5"/>
      <c r="BY297" s="5"/>
      <c r="BZ297" s="5"/>
      <c r="CA297" s="5"/>
    </row>
    <row r="298" spans="1:79" x14ac:dyDescent="0.3">
      <c r="A298" s="4" t="s">
        <v>150</v>
      </c>
      <c r="B298" s="4">
        <v>0.9</v>
      </c>
      <c r="C298" s="4">
        <v>0.5</v>
      </c>
      <c r="D298" s="4">
        <v>0.6</v>
      </c>
      <c r="E298" s="4">
        <v>0.74</v>
      </c>
      <c r="F298" s="4">
        <v>630.19695999999999</v>
      </c>
      <c r="G298" s="4">
        <v>2.7E-2</v>
      </c>
      <c r="I298" s="4" t="s">
        <v>150</v>
      </c>
      <c r="J298" s="4">
        <v>0.9</v>
      </c>
      <c r="K298" s="4">
        <v>0.5</v>
      </c>
      <c r="L298" s="4">
        <v>0.6</v>
      </c>
      <c r="M298" s="4">
        <v>0.31</v>
      </c>
      <c r="N298" s="6">
        <v>544.15313700000002</v>
      </c>
      <c r="O298" s="4">
        <v>1E-3</v>
      </c>
      <c r="P298" s="5"/>
      <c r="Q298" s="5"/>
      <c r="R298" s="5"/>
      <c r="S298" s="5"/>
      <c r="U298" s="4" t="s">
        <v>150</v>
      </c>
      <c r="V298" s="4">
        <v>0.9</v>
      </c>
      <c r="W298" s="4">
        <v>0.5</v>
      </c>
      <c r="X298" s="4">
        <v>0.6</v>
      </c>
      <c r="Y298" s="4">
        <v>0.73</v>
      </c>
      <c r="Z298" s="4">
        <v>631.82049600000005</v>
      </c>
      <c r="AA298" s="4">
        <v>0.02</v>
      </c>
      <c r="AC298" s="4" t="s">
        <v>150</v>
      </c>
      <c r="AD298" s="4">
        <v>0.9</v>
      </c>
      <c r="AE298" s="4">
        <v>0.5</v>
      </c>
      <c r="AF298" s="4">
        <v>0.6</v>
      </c>
      <c r="AG298" s="4">
        <v>0.39</v>
      </c>
      <c r="AH298" s="6">
        <v>527.41577099999995</v>
      </c>
      <c r="AI298" s="4">
        <v>2E-3</v>
      </c>
      <c r="AJ298" s="5"/>
      <c r="AK298" s="5"/>
      <c r="AL298" s="5"/>
      <c r="AM298" s="5"/>
      <c r="AO298" s="4" t="s">
        <v>151</v>
      </c>
      <c r="AP298" s="4">
        <v>0.9</v>
      </c>
      <c r="AQ298" s="4">
        <v>0.5</v>
      </c>
      <c r="AR298" s="4">
        <v>0.6</v>
      </c>
      <c r="AS298" s="4">
        <v>0.34</v>
      </c>
      <c r="AT298" s="4">
        <v>830.20007299999997</v>
      </c>
      <c r="AU298" s="4">
        <v>2.5999999999999999E-2</v>
      </c>
      <c r="AW298" s="4" t="s">
        <v>151</v>
      </c>
      <c r="AX298" s="4">
        <v>0.9</v>
      </c>
      <c r="AY298" s="4">
        <v>0.5</v>
      </c>
      <c r="AZ298" s="4">
        <v>0.6</v>
      </c>
      <c r="BA298" s="4">
        <v>0.31</v>
      </c>
      <c r="BB298" s="6">
        <v>786.57696499999997</v>
      </c>
      <c r="BC298" s="4">
        <v>5.0000000000000001E-3</v>
      </c>
      <c r="BD298" s="5"/>
      <c r="BE298" s="5"/>
      <c r="BF298" s="5"/>
      <c r="BG298" s="5"/>
      <c r="BI298" s="4" t="s">
        <v>151</v>
      </c>
      <c r="BJ298" s="4">
        <v>0.9</v>
      </c>
      <c r="BK298" s="4">
        <v>0.5</v>
      </c>
      <c r="BL298" s="4">
        <v>0.6</v>
      </c>
      <c r="BM298" s="4">
        <v>0.77</v>
      </c>
      <c r="BN298" s="4">
        <v>946.919128</v>
      </c>
      <c r="BO298" s="4">
        <v>1.6E-2</v>
      </c>
      <c r="BQ298" s="4" t="s">
        <v>151</v>
      </c>
      <c r="BR298" s="4">
        <v>0.9</v>
      </c>
      <c r="BS298" s="4">
        <v>0.5</v>
      </c>
      <c r="BT298" s="4">
        <v>0.6</v>
      </c>
      <c r="BU298" s="4">
        <v>0.32</v>
      </c>
      <c r="BV298" s="6">
        <v>793.04016100000001</v>
      </c>
      <c r="BW298" s="4">
        <v>5.0000000000000001E-3</v>
      </c>
      <c r="BX298" s="5"/>
      <c r="BY298" s="5"/>
      <c r="BZ298" s="5"/>
      <c r="CA298" s="5"/>
    </row>
    <row r="299" spans="1:79" x14ac:dyDescent="0.3">
      <c r="A299" s="4" t="s">
        <v>152</v>
      </c>
      <c r="B299" s="4">
        <v>0.9</v>
      </c>
      <c r="C299" s="4">
        <v>0.5</v>
      </c>
      <c r="D299" s="4">
        <v>0.6</v>
      </c>
      <c r="E299" s="4">
        <v>0.09</v>
      </c>
      <c r="F299" s="6">
        <v>574.66540499999996</v>
      </c>
      <c r="G299" s="4">
        <v>2.8000000000000001E-2</v>
      </c>
      <c r="I299" s="4" t="s">
        <v>152</v>
      </c>
      <c r="J299" s="4">
        <v>0.9</v>
      </c>
      <c r="K299" s="4">
        <v>0.5</v>
      </c>
      <c r="L299" s="4">
        <v>0.6</v>
      </c>
      <c r="M299" s="4">
        <v>0.3</v>
      </c>
      <c r="N299" s="4">
        <v>603.92804000000001</v>
      </c>
      <c r="O299" s="4">
        <v>2E-3</v>
      </c>
      <c r="P299" s="5"/>
      <c r="Q299" s="5"/>
      <c r="R299" s="5"/>
      <c r="S299" s="5"/>
      <c r="U299" s="4" t="s">
        <v>152</v>
      </c>
      <c r="V299" s="4">
        <v>0.9</v>
      </c>
      <c r="W299" s="4">
        <v>0.5</v>
      </c>
      <c r="X299" s="4">
        <v>0.6</v>
      </c>
      <c r="Y299" s="4">
        <v>0.4</v>
      </c>
      <c r="Z299" s="4">
        <v>609.22344999999996</v>
      </c>
      <c r="AA299" s="4">
        <v>2.5999999999999999E-2</v>
      </c>
      <c r="AC299" s="4" t="s">
        <v>152</v>
      </c>
      <c r="AD299" s="4">
        <v>0.9</v>
      </c>
      <c r="AE299" s="4">
        <v>0.5</v>
      </c>
      <c r="AF299" s="4">
        <v>0.6</v>
      </c>
      <c r="AG299" s="4">
        <v>0.3</v>
      </c>
      <c r="AH299" s="6">
        <v>594.527649</v>
      </c>
      <c r="AI299" s="4">
        <v>2E-3</v>
      </c>
      <c r="AJ299" s="5"/>
      <c r="AK299" s="5"/>
      <c r="AL299" s="5"/>
      <c r="AM299" s="5"/>
      <c r="AO299" s="4" t="s">
        <v>153</v>
      </c>
      <c r="AP299" s="4">
        <v>0.9</v>
      </c>
      <c r="AQ299" s="4">
        <v>0.5</v>
      </c>
      <c r="AR299" s="4">
        <v>0.6</v>
      </c>
      <c r="AS299" s="4">
        <v>0.37</v>
      </c>
      <c r="AT299" s="4">
        <v>921.94726600000001</v>
      </c>
      <c r="AU299" s="4">
        <v>1.2E-2</v>
      </c>
      <c r="AW299" s="4" t="s">
        <v>153</v>
      </c>
      <c r="AX299" s="4">
        <v>0.9</v>
      </c>
      <c r="AY299" s="4">
        <v>0.5</v>
      </c>
      <c r="AZ299" s="4">
        <v>0.6</v>
      </c>
      <c r="BA299" s="4">
        <v>0.31</v>
      </c>
      <c r="BB299" s="6">
        <v>862.30883800000004</v>
      </c>
      <c r="BC299" s="4">
        <v>6.0000000000000001E-3</v>
      </c>
      <c r="BD299" s="5"/>
      <c r="BE299" s="5"/>
      <c r="BF299" s="5"/>
      <c r="BG299" s="5"/>
      <c r="BI299" s="4" t="s">
        <v>153</v>
      </c>
      <c r="BJ299" s="4">
        <v>0.9</v>
      </c>
      <c r="BK299" s="4">
        <v>0.5</v>
      </c>
      <c r="BL299" s="4">
        <v>0.6</v>
      </c>
      <c r="BM299" s="4">
        <v>0.59</v>
      </c>
      <c r="BN299" s="4">
        <v>957.81329300000004</v>
      </c>
      <c r="BO299" s="4">
        <v>1.7999999999999999E-2</v>
      </c>
      <c r="BQ299" s="4" t="s">
        <v>153</v>
      </c>
      <c r="BR299" s="4">
        <v>0.9</v>
      </c>
      <c r="BS299" s="4">
        <v>0.5</v>
      </c>
      <c r="BT299" s="4">
        <v>0.6</v>
      </c>
      <c r="BU299" s="4">
        <v>0.31</v>
      </c>
      <c r="BV299" s="6">
        <v>883.34667999999999</v>
      </c>
      <c r="BW299" s="4">
        <v>8.9999999999999993E-3</v>
      </c>
      <c r="BX299" s="5"/>
      <c r="BY299" s="5"/>
      <c r="BZ299" s="5"/>
      <c r="CA299" s="5"/>
    </row>
    <row r="300" spans="1:79" x14ac:dyDescent="0.3">
      <c r="A300" s="4" t="s">
        <v>154</v>
      </c>
      <c r="B300" s="4">
        <v>0.9</v>
      </c>
      <c r="C300" s="4">
        <v>0.5</v>
      </c>
      <c r="D300" s="4">
        <v>0.6</v>
      </c>
      <c r="E300" s="4">
        <v>0.46</v>
      </c>
      <c r="F300" s="4">
        <v>668.62097200000005</v>
      </c>
      <c r="G300" s="4">
        <v>1.4E-2</v>
      </c>
      <c r="I300" s="4" t="s">
        <v>154</v>
      </c>
      <c r="J300" s="4">
        <v>0.9</v>
      </c>
      <c r="K300" s="4">
        <v>0.5</v>
      </c>
      <c r="L300" s="4">
        <v>0.6</v>
      </c>
      <c r="M300" s="4">
        <v>0.3</v>
      </c>
      <c r="N300" s="6">
        <v>624.33819600000004</v>
      </c>
      <c r="O300" s="4">
        <v>1E-3</v>
      </c>
      <c r="P300" s="5"/>
      <c r="Q300" s="5"/>
      <c r="R300" s="5"/>
      <c r="S300" s="5"/>
      <c r="U300" s="4" t="s">
        <v>154</v>
      </c>
      <c r="V300" s="4">
        <v>0.9</v>
      </c>
      <c r="W300" s="4">
        <v>0.5</v>
      </c>
      <c r="X300" s="4">
        <v>0.6</v>
      </c>
      <c r="Y300" s="4">
        <v>0.27</v>
      </c>
      <c r="Z300" s="4">
        <v>617.07855199999995</v>
      </c>
      <c r="AA300" s="4">
        <v>5.0000000000000001E-3</v>
      </c>
      <c r="AC300" s="4" t="s">
        <v>154</v>
      </c>
      <c r="AD300" s="4">
        <v>0.9</v>
      </c>
      <c r="AE300" s="4">
        <v>0.5</v>
      </c>
      <c r="AF300" s="4">
        <v>0.6</v>
      </c>
      <c r="AG300" s="4">
        <v>0.3</v>
      </c>
      <c r="AH300" s="6">
        <v>605.00427200000001</v>
      </c>
      <c r="AI300" s="4">
        <v>2E-3</v>
      </c>
      <c r="AJ300" s="5"/>
      <c r="AK300" s="5"/>
      <c r="AL300" s="5"/>
      <c r="AM300" s="5"/>
      <c r="AO300" s="4" t="s">
        <v>155</v>
      </c>
      <c r="AP300" s="4">
        <v>0.9</v>
      </c>
      <c r="AQ300" s="4">
        <v>0.5</v>
      </c>
      <c r="AR300" s="4">
        <v>0.6</v>
      </c>
      <c r="AS300" s="4">
        <v>0.51</v>
      </c>
      <c r="AT300" s="4">
        <v>1213.6604</v>
      </c>
      <c r="AU300" s="4">
        <v>1.2E-2</v>
      </c>
      <c r="AW300" s="4" t="s">
        <v>155</v>
      </c>
      <c r="AX300" s="4">
        <v>0.9</v>
      </c>
      <c r="AY300" s="4">
        <v>0.5</v>
      </c>
      <c r="AZ300" s="4">
        <v>0.6</v>
      </c>
      <c r="BA300" s="4">
        <v>0.34</v>
      </c>
      <c r="BB300" s="6">
        <v>1137.1046140000001</v>
      </c>
      <c r="BC300" s="4">
        <v>7.0000000000000001E-3</v>
      </c>
      <c r="BD300" s="5"/>
      <c r="BE300" s="5"/>
      <c r="BF300" s="5"/>
      <c r="BG300" s="5"/>
      <c r="BI300" s="4" t="s">
        <v>155</v>
      </c>
      <c r="BJ300" s="4">
        <v>0.9</v>
      </c>
      <c r="BK300" s="4">
        <v>0.5</v>
      </c>
      <c r="BL300" s="4">
        <v>0.6</v>
      </c>
      <c r="BM300" s="4">
        <v>0.14000000000000001</v>
      </c>
      <c r="BN300" s="6">
        <v>1023.253906</v>
      </c>
      <c r="BO300" s="4">
        <v>2.1000000000000001E-2</v>
      </c>
      <c r="BQ300" s="4" t="s">
        <v>155</v>
      </c>
      <c r="BR300" s="4">
        <v>0.9</v>
      </c>
      <c r="BS300" s="4">
        <v>0.5</v>
      </c>
      <c r="BT300" s="4">
        <v>0.6</v>
      </c>
      <c r="BU300" s="4">
        <v>0.3</v>
      </c>
      <c r="BV300" s="4">
        <v>1137.727539</v>
      </c>
      <c r="BW300" s="4">
        <v>8.0000000000000002E-3</v>
      </c>
      <c r="BX300" s="5"/>
      <c r="BY300" s="5"/>
      <c r="BZ300" s="5"/>
      <c r="CA300" s="5"/>
    </row>
    <row r="301" spans="1:79" x14ac:dyDescent="0.3">
      <c r="A301" s="4" t="s">
        <v>156</v>
      </c>
      <c r="B301" s="4">
        <v>0.9</v>
      </c>
      <c r="C301" s="4">
        <v>0.5</v>
      </c>
      <c r="D301" s="4">
        <v>0.6</v>
      </c>
      <c r="E301" s="4">
        <v>0.01</v>
      </c>
      <c r="F301" s="4">
        <v>719.83660899999995</v>
      </c>
      <c r="G301" s="4">
        <v>1.4999999999999999E-2</v>
      </c>
      <c r="I301" s="4" t="s">
        <v>156</v>
      </c>
      <c r="J301" s="4">
        <v>0.9</v>
      </c>
      <c r="K301" s="4">
        <v>0.5</v>
      </c>
      <c r="L301" s="4">
        <v>0.6</v>
      </c>
      <c r="M301" s="4">
        <v>0.37</v>
      </c>
      <c r="N301" s="6">
        <v>665.50781199999994</v>
      </c>
      <c r="O301" s="4">
        <v>2E-3</v>
      </c>
      <c r="P301" s="5"/>
      <c r="Q301" s="5"/>
      <c r="R301" s="5"/>
      <c r="S301" s="5"/>
      <c r="U301" s="4" t="s">
        <v>156</v>
      </c>
      <c r="V301" s="4">
        <v>0.9</v>
      </c>
      <c r="W301" s="4">
        <v>0.5</v>
      </c>
      <c r="X301" s="4">
        <v>0.6</v>
      </c>
      <c r="Y301" s="4">
        <v>0.8</v>
      </c>
      <c r="Z301" s="4">
        <v>726.00561500000003</v>
      </c>
      <c r="AA301" s="4">
        <v>8.9999999999999993E-3</v>
      </c>
      <c r="AC301" s="4" t="s">
        <v>156</v>
      </c>
      <c r="AD301" s="4">
        <v>0.9</v>
      </c>
      <c r="AE301" s="4">
        <v>0.5</v>
      </c>
      <c r="AF301" s="4">
        <v>0.6</v>
      </c>
      <c r="AG301" s="4">
        <v>0.31</v>
      </c>
      <c r="AH301" s="6">
        <v>662.57421899999997</v>
      </c>
      <c r="AI301" s="4">
        <v>2E-3</v>
      </c>
      <c r="AJ301" s="5"/>
      <c r="AK301" s="5"/>
      <c r="AL301" s="5"/>
      <c r="AM301" s="5"/>
      <c r="AO301" s="4" t="s">
        <v>157</v>
      </c>
      <c r="AP301" s="4">
        <v>0.9</v>
      </c>
      <c r="AQ301" s="4">
        <v>0.5</v>
      </c>
      <c r="AR301" s="4">
        <v>0.6</v>
      </c>
      <c r="AS301" s="4">
        <v>0.28999999999999998</v>
      </c>
      <c r="AT301" s="6">
        <v>1042.4837649999999</v>
      </c>
      <c r="AU301" s="4">
        <v>2.5999999999999999E-2</v>
      </c>
      <c r="AW301" s="4" t="s">
        <v>157</v>
      </c>
      <c r="AX301" s="4">
        <v>0.9</v>
      </c>
      <c r="AY301" s="4">
        <v>0.5</v>
      </c>
      <c r="AZ301" s="4">
        <v>0.6</v>
      </c>
      <c r="BA301" s="4">
        <v>0.3</v>
      </c>
      <c r="BB301" s="4">
        <v>1057.699341</v>
      </c>
      <c r="BC301" s="4">
        <v>6.0000000000000001E-3</v>
      </c>
      <c r="BD301" s="5"/>
      <c r="BE301" s="5"/>
      <c r="BF301" s="5"/>
      <c r="BG301" s="5"/>
      <c r="BI301" s="4" t="s">
        <v>157</v>
      </c>
      <c r="BJ301" s="4">
        <v>0.9</v>
      </c>
      <c r="BK301" s="4">
        <v>0.5</v>
      </c>
      <c r="BL301" s="4">
        <v>0.6</v>
      </c>
      <c r="BM301" s="4">
        <v>0.32</v>
      </c>
      <c r="BN301" s="4">
        <v>1051.9157709999999</v>
      </c>
      <c r="BO301" s="4">
        <v>1.7000000000000001E-2</v>
      </c>
      <c r="BQ301" s="4" t="s">
        <v>157</v>
      </c>
      <c r="BR301" s="4">
        <v>0.9</v>
      </c>
      <c r="BS301" s="4">
        <v>0.5</v>
      </c>
      <c r="BT301" s="4">
        <v>0.6</v>
      </c>
      <c r="BU301" s="4">
        <v>0.3</v>
      </c>
      <c r="BV301" s="6">
        <v>1048.522461</v>
      </c>
      <c r="BW301" s="4">
        <v>1.0999999999999999E-2</v>
      </c>
      <c r="BX301" s="5"/>
      <c r="BY301" s="5"/>
      <c r="BZ301" s="5"/>
      <c r="CA301" s="5"/>
    </row>
    <row r="302" spans="1:79" x14ac:dyDescent="0.3">
      <c r="A302" s="4" t="s">
        <v>158</v>
      </c>
      <c r="B302" s="4">
        <v>0.9</v>
      </c>
      <c r="C302" s="4">
        <v>0.5</v>
      </c>
      <c r="D302" s="4">
        <v>0.6</v>
      </c>
      <c r="E302" s="4">
        <v>0.06</v>
      </c>
      <c r="F302" s="6">
        <v>645.24377400000003</v>
      </c>
      <c r="G302" s="4">
        <v>0.01</v>
      </c>
      <c r="I302" s="4" t="s">
        <v>158</v>
      </c>
      <c r="J302" s="4">
        <v>0.9</v>
      </c>
      <c r="K302" s="4">
        <v>0.5</v>
      </c>
      <c r="L302" s="4">
        <v>0.6</v>
      </c>
      <c r="M302" s="4">
        <v>0.3</v>
      </c>
      <c r="N302" s="4">
        <v>659.23333700000001</v>
      </c>
      <c r="O302" s="4">
        <v>2E-3</v>
      </c>
      <c r="P302" s="5"/>
      <c r="Q302" s="5"/>
      <c r="R302" s="5"/>
      <c r="S302" s="5"/>
      <c r="U302" s="4" t="s">
        <v>158</v>
      </c>
      <c r="V302" s="4">
        <v>0.9</v>
      </c>
      <c r="W302" s="4">
        <v>0.5</v>
      </c>
      <c r="X302" s="4">
        <v>0.6</v>
      </c>
      <c r="Y302" s="4">
        <v>0.01</v>
      </c>
      <c r="Z302" s="6">
        <v>661.64031999999997</v>
      </c>
      <c r="AA302" s="4">
        <v>2.1000000000000001E-2</v>
      </c>
      <c r="AC302" s="4" t="s">
        <v>158</v>
      </c>
      <c r="AD302" s="4">
        <v>0.9</v>
      </c>
      <c r="AE302" s="4">
        <v>0.5</v>
      </c>
      <c r="AF302" s="4">
        <v>0.6</v>
      </c>
      <c r="AG302" s="4">
        <v>0.31</v>
      </c>
      <c r="AH302" s="4">
        <v>674.02233899999999</v>
      </c>
      <c r="AI302" s="4">
        <v>2E-3</v>
      </c>
      <c r="AJ302" s="5"/>
      <c r="AK302" s="5"/>
      <c r="AL302" s="5"/>
      <c r="AM302" s="5"/>
      <c r="AO302" s="4" t="s">
        <v>159</v>
      </c>
      <c r="AP302" s="4">
        <v>0.9</v>
      </c>
      <c r="AQ302" s="4">
        <v>0.5</v>
      </c>
      <c r="AR302" s="4">
        <v>0.6</v>
      </c>
      <c r="AS302" s="4">
        <v>0.95</v>
      </c>
      <c r="AT302" s="4">
        <v>1246.2745359999999</v>
      </c>
      <c r="AU302" s="4">
        <v>5.0999999999999997E-2</v>
      </c>
      <c r="AW302" s="4" t="s">
        <v>159</v>
      </c>
      <c r="AX302" s="4">
        <v>0.9</v>
      </c>
      <c r="AY302" s="4">
        <v>0.5</v>
      </c>
      <c r="AZ302" s="4">
        <v>0.6</v>
      </c>
      <c r="BA302" s="4">
        <v>0.33</v>
      </c>
      <c r="BB302" s="6">
        <v>984.46423300000004</v>
      </c>
      <c r="BC302" s="4">
        <v>6.0000000000000001E-3</v>
      </c>
      <c r="BD302" s="5"/>
      <c r="BE302" s="5"/>
      <c r="BF302" s="5"/>
      <c r="BG302" s="5"/>
      <c r="BI302" s="4" t="s">
        <v>159</v>
      </c>
      <c r="BJ302" s="4">
        <v>0.9</v>
      </c>
      <c r="BK302" s="4">
        <v>0.5</v>
      </c>
      <c r="BL302" s="4">
        <v>0.6</v>
      </c>
      <c r="BM302" s="4">
        <v>0.73</v>
      </c>
      <c r="BN302" s="4">
        <v>1182.1861570000001</v>
      </c>
      <c r="BO302" s="4">
        <v>0.03</v>
      </c>
      <c r="BQ302" s="4" t="s">
        <v>159</v>
      </c>
      <c r="BR302" s="4">
        <v>0.9</v>
      </c>
      <c r="BS302" s="4">
        <v>0.5</v>
      </c>
      <c r="BT302" s="4">
        <v>0.6</v>
      </c>
      <c r="BU302" s="4">
        <v>0.31</v>
      </c>
      <c r="BV302" s="6">
        <v>1016.740784</v>
      </c>
      <c r="BW302" s="4">
        <v>8.0000000000000002E-3</v>
      </c>
      <c r="BX302" s="5"/>
      <c r="BY302" s="5"/>
      <c r="BZ302" s="5"/>
      <c r="CA302" s="5"/>
    </row>
    <row r="303" spans="1:79" x14ac:dyDescent="0.3">
      <c r="A303" s="4" t="s">
        <v>160</v>
      </c>
      <c r="B303" s="4">
        <v>0.9</v>
      </c>
      <c r="C303" s="4">
        <v>0.5</v>
      </c>
      <c r="D303" s="4">
        <v>0.6</v>
      </c>
      <c r="E303" s="4">
        <v>0.09</v>
      </c>
      <c r="F303" s="6">
        <v>579.69250499999998</v>
      </c>
      <c r="G303" s="4">
        <v>1.2E-2</v>
      </c>
      <c r="I303" s="4" t="s">
        <v>160</v>
      </c>
      <c r="J303" s="4">
        <v>0.9</v>
      </c>
      <c r="K303" s="4">
        <v>0.5</v>
      </c>
      <c r="L303" s="4">
        <v>0.6</v>
      </c>
      <c r="M303" s="4">
        <v>0.33</v>
      </c>
      <c r="N303" s="4">
        <v>612.20648200000005</v>
      </c>
      <c r="O303" s="4">
        <v>1E-3</v>
      </c>
      <c r="P303" s="5"/>
      <c r="Q303" s="5"/>
      <c r="R303" s="5"/>
      <c r="S303" s="5"/>
      <c r="U303" s="4" t="s">
        <v>160</v>
      </c>
      <c r="V303" s="4">
        <v>0.9</v>
      </c>
      <c r="W303" s="4">
        <v>0.5</v>
      </c>
      <c r="X303" s="4">
        <v>0.6</v>
      </c>
      <c r="Y303" s="4">
        <v>0.64</v>
      </c>
      <c r="Z303" s="4">
        <v>655.29785200000003</v>
      </c>
      <c r="AA303" s="4">
        <v>1.0999999999999999E-2</v>
      </c>
      <c r="AC303" s="4" t="s">
        <v>160</v>
      </c>
      <c r="AD303" s="4">
        <v>0.9</v>
      </c>
      <c r="AE303" s="4">
        <v>0.5</v>
      </c>
      <c r="AF303" s="4">
        <v>0.6</v>
      </c>
      <c r="AG303" s="4">
        <v>0.33</v>
      </c>
      <c r="AH303" s="6">
        <v>606.03173800000002</v>
      </c>
      <c r="AI303" s="4">
        <v>6.0000000000000001E-3</v>
      </c>
      <c r="AJ303" s="5"/>
      <c r="AK303" s="5"/>
      <c r="AL303" s="5"/>
      <c r="AM303" s="5"/>
      <c r="AO303" s="4" t="s">
        <v>161</v>
      </c>
      <c r="AP303" s="4">
        <v>0.9</v>
      </c>
      <c r="AQ303" s="4">
        <v>0.5</v>
      </c>
      <c r="AR303" s="4">
        <v>0.6</v>
      </c>
      <c r="AS303" s="4">
        <v>0.71</v>
      </c>
      <c r="AT303" s="4">
        <v>1170.354736</v>
      </c>
      <c r="AU303" s="4">
        <v>0.03</v>
      </c>
      <c r="AW303" s="4" t="s">
        <v>161</v>
      </c>
      <c r="AX303" s="4">
        <v>0.9</v>
      </c>
      <c r="AY303" s="4">
        <v>0.5</v>
      </c>
      <c r="AZ303" s="4">
        <v>0.6</v>
      </c>
      <c r="BA303" s="4">
        <v>0.3</v>
      </c>
      <c r="BB303" s="6">
        <v>1070.4528809999999</v>
      </c>
      <c r="BC303" s="4">
        <v>6.0000000000000001E-3</v>
      </c>
      <c r="BD303" s="5"/>
      <c r="BE303" s="5"/>
      <c r="BF303" s="5"/>
      <c r="BG303" s="5"/>
      <c r="BI303" s="4" t="s">
        <v>161</v>
      </c>
      <c r="BJ303" s="4">
        <v>0.9</v>
      </c>
      <c r="BK303" s="4">
        <v>0.5</v>
      </c>
      <c r="BL303" s="4">
        <v>0.6</v>
      </c>
      <c r="BM303" s="4">
        <v>0.48</v>
      </c>
      <c r="BN303" s="4">
        <v>1109.1870120000001</v>
      </c>
      <c r="BO303" s="4">
        <v>4.4999999999999998E-2</v>
      </c>
      <c r="BQ303" s="4" t="s">
        <v>161</v>
      </c>
      <c r="BR303" s="4">
        <v>0.9</v>
      </c>
      <c r="BS303" s="4">
        <v>0.5</v>
      </c>
      <c r="BT303" s="4">
        <v>0.6</v>
      </c>
      <c r="BU303" s="4">
        <v>0.31</v>
      </c>
      <c r="BV303" s="6">
        <v>1031.513794</v>
      </c>
      <c r="BW303" s="4">
        <v>7.0000000000000001E-3</v>
      </c>
      <c r="BX303" s="5"/>
      <c r="BY303" s="5"/>
      <c r="BZ303" s="5"/>
      <c r="CA303" s="5"/>
    </row>
    <row r="304" spans="1:79" x14ac:dyDescent="0.3">
      <c r="A304" s="4" t="s">
        <v>162</v>
      </c>
      <c r="B304" s="4">
        <v>0.9</v>
      </c>
      <c r="C304" s="4">
        <v>0.5</v>
      </c>
      <c r="D304" s="4">
        <v>0.6</v>
      </c>
      <c r="E304" s="4">
        <v>0.05</v>
      </c>
      <c r="F304" s="6">
        <v>574.16528300000004</v>
      </c>
      <c r="G304" s="4">
        <v>1.7999999999999999E-2</v>
      </c>
      <c r="I304" s="4" t="s">
        <v>162</v>
      </c>
      <c r="J304" s="4">
        <v>0.9</v>
      </c>
      <c r="K304" s="4">
        <v>0.5</v>
      </c>
      <c r="L304" s="4">
        <v>0.6</v>
      </c>
      <c r="M304" s="4">
        <v>0.34</v>
      </c>
      <c r="N304" s="4">
        <v>627.98272699999995</v>
      </c>
      <c r="O304" s="4">
        <v>2E-3</v>
      </c>
      <c r="P304" s="5"/>
      <c r="Q304" s="5"/>
      <c r="R304" s="5"/>
      <c r="S304" s="5"/>
      <c r="U304" s="4" t="s">
        <v>162</v>
      </c>
      <c r="V304" s="4">
        <v>0.9</v>
      </c>
      <c r="W304" s="4">
        <v>0.5</v>
      </c>
      <c r="X304" s="4">
        <v>0.6</v>
      </c>
      <c r="Y304" s="4">
        <v>0.04</v>
      </c>
      <c r="Z304" s="6">
        <v>610.21466099999998</v>
      </c>
      <c r="AA304" s="4">
        <v>2.3E-2</v>
      </c>
      <c r="AC304" s="4" t="s">
        <v>162</v>
      </c>
      <c r="AD304" s="4">
        <v>0.9</v>
      </c>
      <c r="AE304" s="4">
        <v>0.5</v>
      </c>
      <c r="AF304" s="4">
        <v>0.6</v>
      </c>
      <c r="AG304" s="4">
        <v>0.33</v>
      </c>
      <c r="AH304" s="4">
        <v>629.09613000000002</v>
      </c>
      <c r="AI304" s="4">
        <v>5.0000000000000001E-3</v>
      </c>
      <c r="AJ304" s="5"/>
      <c r="AK304" s="5"/>
      <c r="AL304" s="5"/>
      <c r="AM304" s="5"/>
      <c r="AO304" s="4" t="s">
        <v>163</v>
      </c>
      <c r="AP304" s="4">
        <v>0.9</v>
      </c>
      <c r="AQ304" s="4">
        <v>0.5</v>
      </c>
      <c r="AR304" s="4">
        <v>0.6</v>
      </c>
      <c r="AS304" s="4">
        <v>0.16</v>
      </c>
      <c r="AT304" s="6">
        <v>936.61993399999994</v>
      </c>
      <c r="AU304" s="4">
        <v>3.6999999999999998E-2</v>
      </c>
      <c r="AW304" s="4" t="s">
        <v>163</v>
      </c>
      <c r="AX304" s="4">
        <v>0.9</v>
      </c>
      <c r="AY304" s="4">
        <v>0.5</v>
      </c>
      <c r="AZ304" s="4">
        <v>0.6</v>
      </c>
      <c r="BA304" s="4">
        <v>0.3</v>
      </c>
      <c r="BB304" s="4">
        <v>1034.730957</v>
      </c>
      <c r="BC304" s="4">
        <v>8.0000000000000002E-3</v>
      </c>
      <c r="BD304" s="5"/>
      <c r="BE304" s="5"/>
      <c r="BF304" s="5"/>
      <c r="BG304" s="5"/>
      <c r="BI304" s="4" t="s">
        <v>163</v>
      </c>
      <c r="BJ304" s="4">
        <v>0.9</v>
      </c>
      <c r="BK304" s="4">
        <v>0.5</v>
      </c>
      <c r="BL304" s="4">
        <v>0.6</v>
      </c>
      <c r="BM304" s="4">
        <v>0.99</v>
      </c>
      <c r="BN304" s="4">
        <v>1284.2353519999999</v>
      </c>
      <c r="BO304" s="4">
        <v>1.4999999999999999E-2</v>
      </c>
      <c r="BQ304" s="4" t="s">
        <v>163</v>
      </c>
      <c r="BR304" s="4">
        <v>0.9</v>
      </c>
      <c r="BS304" s="4">
        <v>0.5</v>
      </c>
      <c r="BT304" s="4">
        <v>0.6</v>
      </c>
      <c r="BU304" s="4">
        <v>0.35</v>
      </c>
      <c r="BV304" s="6">
        <v>1044.086182</v>
      </c>
      <c r="BW304" s="4">
        <v>8.0000000000000002E-3</v>
      </c>
      <c r="BX304" s="5"/>
      <c r="BY304" s="5"/>
      <c r="BZ304" s="5"/>
      <c r="CA304" s="5"/>
    </row>
    <row r="305" spans="1:79" x14ac:dyDescent="0.3">
      <c r="A305" s="4" t="s">
        <v>164</v>
      </c>
      <c r="B305" s="4">
        <v>0.9</v>
      </c>
      <c r="C305" s="4">
        <v>0.5</v>
      </c>
      <c r="D305" s="4">
        <v>0.6</v>
      </c>
      <c r="E305" s="4">
        <v>0.83</v>
      </c>
      <c r="F305" s="4">
        <v>632.242615</v>
      </c>
      <c r="G305" s="4">
        <v>2.5000000000000001E-2</v>
      </c>
      <c r="I305" s="4" t="s">
        <v>164</v>
      </c>
      <c r="J305" s="4">
        <v>0.9</v>
      </c>
      <c r="K305" s="4">
        <v>0.5</v>
      </c>
      <c r="L305" s="4">
        <v>0.6</v>
      </c>
      <c r="M305" s="4">
        <v>0.3</v>
      </c>
      <c r="N305" s="6">
        <v>574.02374299999997</v>
      </c>
      <c r="O305" s="4">
        <v>2E-3</v>
      </c>
      <c r="P305" s="5"/>
      <c r="Q305" s="5"/>
      <c r="R305" s="5"/>
      <c r="S305" s="5"/>
      <c r="U305" s="4" t="s">
        <v>164</v>
      </c>
      <c r="V305" s="4">
        <v>0.9</v>
      </c>
      <c r="W305" s="4">
        <v>0.5</v>
      </c>
      <c r="X305" s="4">
        <v>0.6</v>
      </c>
      <c r="Y305" s="4">
        <v>0.02</v>
      </c>
      <c r="Z305" s="6">
        <v>531.58221400000002</v>
      </c>
      <c r="AA305" s="4">
        <v>1.6E-2</v>
      </c>
      <c r="AC305" s="4" t="s">
        <v>164</v>
      </c>
      <c r="AD305" s="4">
        <v>0.9</v>
      </c>
      <c r="AE305" s="4">
        <v>0.5</v>
      </c>
      <c r="AF305" s="4">
        <v>0.6</v>
      </c>
      <c r="AG305" s="4">
        <v>0.4</v>
      </c>
      <c r="AH305" s="4">
        <v>555.74310300000002</v>
      </c>
      <c r="AI305" s="4">
        <v>2E-3</v>
      </c>
      <c r="AJ305" s="5"/>
      <c r="AK305" s="5"/>
      <c r="AL305" s="5"/>
      <c r="AM305" s="5"/>
      <c r="AO305" s="4" t="s">
        <v>165</v>
      </c>
      <c r="AP305" s="4">
        <v>0.9</v>
      </c>
      <c r="AQ305" s="4">
        <v>0.5</v>
      </c>
      <c r="AR305" s="4">
        <v>0.6</v>
      </c>
      <c r="AS305" s="4">
        <v>0.73</v>
      </c>
      <c r="AT305" s="4">
        <v>1112.8323969999999</v>
      </c>
      <c r="AU305" s="4">
        <v>3.5000000000000003E-2</v>
      </c>
      <c r="AW305" s="4" t="s">
        <v>165</v>
      </c>
      <c r="AX305" s="4">
        <v>0.9</v>
      </c>
      <c r="AY305" s="4">
        <v>0.5</v>
      </c>
      <c r="AZ305" s="4">
        <v>0.6</v>
      </c>
      <c r="BA305" s="4">
        <v>0.33</v>
      </c>
      <c r="BB305" s="6">
        <v>986.54943800000001</v>
      </c>
      <c r="BC305" s="4">
        <v>6.0000000000000001E-3</v>
      </c>
      <c r="BD305" s="5"/>
      <c r="BE305" s="5"/>
      <c r="BF305" s="5"/>
      <c r="BG305" s="5"/>
      <c r="BI305" s="4" t="s">
        <v>165</v>
      </c>
      <c r="BJ305" s="4">
        <v>0.9</v>
      </c>
      <c r="BK305" s="4">
        <v>0.5</v>
      </c>
      <c r="BL305" s="4">
        <v>0.6</v>
      </c>
      <c r="BM305" s="4">
        <v>0.48</v>
      </c>
      <c r="BN305" s="4">
        <v>1049.3604740000001</v>
      </c>
      <c r="BO305" s="4">
        <v>1.7999999999999999E-2</v>
      </c>
      <c r="BQ305" s="4" t="s">
        <v>165</v>
      </c>
      <c r="BR305" s="4">
        <v>0.9</v>
      </c>
      <c r="BS305" s="4">
        <v>0.5</v>
      </c>
      <c r="BT305" s="4">
        <v>0.6</v>
      </c>
      <c r="BU305" s="4">
        <v>0.32</v>
      </c>
      <c r="BV305" s="6">
        <v>977.15210000000002</v>
      </c>
      <c r="BW305" s="4">
        <v>8.9999999999999993E-3</v>
      </c>
      <c r="BX305" s="5"/>
      <c r="BY305" s="5"/>
      <c r="BZ305" s="5"/>
      <c r="CA305" s="5"/>
    </row>
    <row r="306" spans="1:79" x14ac:dyDescent="0.3">
      <c r="A306" s="4" t="s">
        <v>166</v>
      </c>
      <c r="B306" s="4">
        <v>0.9</v>
      </c>
      <c r="C306" s="4">
        <v>0.5</v>
      </c>
      <c r="D306" s="4">
        <v>0.6</v>
      </c>
      <c r="E306" s="4">
        <v>0.36</v>
      </c>
      <c r="F306" s="4">
        <v>759.84991500000001</v>
      </c>
      <c r="G306" s="4">
        <v>1.7000000000000001E-2</v>
      </c>
      <c r="I306" s="4" t="s">
        <v>166</v>
      </c>
      <c r="J306" s="4">
        <v>0.9</v>
      </c>
      <c r="K306" s="4">
        <v>0.5</v>
      </c>
      <c r="L306" s="4">
        <v>0.6</v>
      </c>
      <c r="M306" s="4">
        <v>0.33</v>
      </c>
      <c r="N306" s="6">
        <v>744.48632799999996</v>
      </c>
      <c r="O306" s="4">
        <v>2E-3</v>
      </c>
      <c r="P306" s="5"/>
      <c r="Q306" s="5"/>
      <c r="R306" s="5"/>
      <c r="S306" s="5"/>
      <c r="U306" s="4" t="s">
        <v>166</v>
      </c>
      <c r="V306" s="4">
        <v>0.9</v>
      </c>
      <c r="W306" s="4">
        <v>0.5</v>
      </c>
      <c r="X306" s="4">
        <v>0.6</v>
      </c>
      <c r="Y306" s="4">
        <v>0.71</v>
      </c>
      <c r="Z306" s="4">
        <v>875.10974099999999</v>
      </c>
      <c r="AA306" s="4">
        <v>1.0999999999999999E-2</v>
      </c>
      <c r="AC306" s="4" t="s">
        <v>166</v>
      </c>
      <c r="AD306" s="4">
        <v>0.9</v>
      </c>
      <c r="AE306" s="4">
        <v>0.5</v>
      </c>
      <c r="AF306" s="4">
        <v>0.6</v>
      </c>
      <c r="AG306" s="4">
        <v>0.32</v>
      </c>
      <c r="AH306" s="6">
        <v>765.04540999999995</v>
      </c>
      <c r="AI306" s="4">
        <v>2E-3</v>
      </c>
      <c r="AJ306" s="5"/>
      <c r="AK306" s="5"/>
      <c r="AL306" s="5"/>
      <c r="AM306" s="5"/>
      <c r="AO306" s="4" t="s">
        <v>167</v>
      </c>
      <c r="AP306" s="4">
        <v>0.9</v>
      </c>
      <c r="AQ306" s="4">
        <v>0.5</v>
      </c>
      <c r="AR306" s="4">
        <v>0.6</v>
      </c>
      <c r="AS306" s="4">
        <v>0.47</v>
      </c>
      <c r="AT306" s="4">
        <v>1095.2414550000001</v>
      </c>
      <c r="AU306" s="4">
        <v>2.1000000000000001E-2</v>
      </c>
      <c r="AW306" s="4" t="s">
        <v>167</v>
      </c>
      <c r="AX306" s="4">
        <v>0.9</v>
      </c>
      <c r="AY306" s="4">
        <v>0.5</v>
      </c>
      <c r="AZ306" s="4">
        <v>0.6</v>
      </c>
      <c r="BA306" s="4">
        <v>0.31</v>
      </c>
      <c r="BB306" s="6">
        <v>1001.8038330000001</v>
      </c>
      <c r="BC306" s="4">
        <v>7.0000000000000001E-3</v>
      </c>
      <c r="BD306" s="5"/>
      <c r="BE306" s="5"/>
      <c r="BF306" s="5"/>
      <c r="BG306" s="5"/>
      <c r="BI306" s="4" t="s">
        <v>167</v>
      </c>
      <c r="BJ306" s="4">
        <v>0.9</v>
      </c>
      <c r="BK306" s="4">
        <v>0.5</v>
      </c>
      <c r="BL306" s="4">
        <v>0.6</v>
      </c>
      <c r="BM306" s="4">
        <v>0.2</v>
      </c>
      <c r="BN306" s="6">
        <v>905.81445299999996</v>
      </c>
      <c r="BO306" s="4">
        <v>3.2000000000000001E-2</v>
      </c>
      <c r="BQ306" s="4" t="s">
        <v>167</v>
      </c>
      <c r="BR306" s="4">
        <v>0.9</v>
      </c>
      <c r="BS306" s="4">
        <v>0.5</v>
      </c>
      <c r="BT306" s="4">
        <v>0.6</v>
      </c>
      <c r="BU306" s="4">
        <v>0.3</v>
      </c>
      <c r="BV306" s="4">
        <v>991.55316200000004</v>
      </c>
      <c r="BW306" s="4">
        <v>1.2E-2</v>
      </c>
      <c r="BX306" s="5"/>
      <c r="BY306" s="5"/>
      <c r="BZ306" s="5"/>
      <c r="CA306" s="5"/>
    </row>
    <row r="307" spans="1:79" x14ac:dyDescent="0.3">
      <c r="A307" s="4" t="s">
        <v>168</v>
      </c>
      <c r="B307" s="4">
        <v>0.9</v>
      </c>
      <c r="C307" s="4">
        <v>0.5</v>
      </c>
      <c r="D307" s="4">
        <v>0.6</v>
      </c>
      <c r="E307" s="4">
        <v>0.3</v>
      </c>
      <c r="F307" s="6">
        <v>665.54132100000004</v>
      </c>
      <c r="G307" s="4">
        <v>1.9E-2</v>
      </c>
      <c r="I307" s="4" t="s">
        <v>168</v>
      </c>
      <c r="J307" s="4">
        <v>0.9</v>
      </c>
      <c r="K307" s="4">
        <v>0.5</v>
      </c>
      <c r="L307" s="4">
        <v>0.6</v>
      </c>
      <c r="M307" s="4">
        <v>0.3</v>
      </c>
      <c r="N307" s="4">
        <v>678.77984600000002</v>
      </c>
      <c r="O307" s="4">
        <v>2E-3</v>
      </c>
      <c r="P307" s="5"/>
      <c r="Q307" s="5"/>
      <c r="R307" s="5"/>
      <c r="S307" s="5"/>
      <c r="U307" s="4" t="s">
        <v>168</v>
      </c>
      <c r="V307" s="4">
        <v>0.9</v>
      </c>
      <c r="W307" s="4">
        <v>0.5</v>
      </c>
      <c r="X307" s="4">
        <v>0.6</v>
      </c>
      <c r="Y307" s="4">
        <v>0.2</v>
      </c>
      <c r="Z307" s="6">
        <v>665.57824700000003</v>
      </c>
      <c r="AA307" s="4">
        <v>1.7000000000000001E-2</v>
      </c>
      <c r="AC307" s="4" t="s">
        <v>168</v>
      </c>
      <c r="AD307" s="4">
        <v>0.9</v>
      </c>
      <c r="AE307" s="4">
        <v>0.5</v>
      </c>
      <c r="AF307" s="4">
        <v>0.6</v>
      </c>
      <c r="AG307" s="4">
        <v>0.43</v>
      </c>
      <c r="AH307" s="4">
        <v>674.73559599999999</v>
      </c>
      <c r="AI307" s="4">
        <v>2E-3</v>
      </c>
      <c r="AJ307" s="5"/>
      <c r="AK307" s="5"/>
      <c r="AL307" s="5"/>
      <c r="AM307" s="5"/>
      <c r="AO307" s="4" t="s">
        <v>169</v>
      </c>
      <c r="AP307" s="4">
        <v>0.9</v>
      </c>
      <c r="AQ307" s="4">
        <v>0.5</v>
      </c>
      <c r="AR307" s="4">
        <v>0.6</v>
      </c>
      <c r="AS307" s="4">
        <v>0.82</v>
      </c>
      <c r="AT307" s="4">
        <v>1135.83374</v>
      </c>
      <c r="AU307" s="4">
        <v>1.9E-2</v>
      </c>
      <c r="AW307" s="4" t="s">
        <v>169</v>
      </c>
      <c r="AX307" s="4">
        <v>0.9</v>
      </c>
      <c r="AY307" s="4">
        <v>0.5</v>
      </c>
      <c r="AZ307" s="4">
        <v>0.6</v>
      </c>
      <c r="BA307" s="4">
        <v>0.33</v>
      </c>
      <c r="BB307" s="6">
        <v>1039.9860839999999</v>
      </c>
      <c r="BC307" s="4">
        <v>6.0000000000000001E-3</v>
      </c>
      <c r="BD307" s="5"/>
      <c r="BE307" s="5"/>
      <c r="BF307" s="5"/>
      <c r="BG307" s="5"/>
      <c r="BI307" s="4" t="s">
        <v>169</v>
      </c>
      <c r="BJ307" s="4">
        <v>0.9</v>
      </c>
      <c r="BK307" s="4">
        <v>0.5</v>
      </c>
      <c r="BL307" s="4">
        <v>0.6</v>
      </c>
      <c r="BM307" s="4">
        <v>0.78</v>
      </c>
      <c r="BN307" s="4">
        <v>1137.5142820000001</v>
      </c>
      <c r="BO307" s="4">
        <v>2.9000000000000001E-2</v>
      </c>
      <c r="BQ307" s="4" t="s">
        <v>169</v>
      </c>
      <c r="BR307" s="4">
        <v>0.9</v>
      </c>
      <c r="BS307" s="4">
        <v>0.5</v>
      </c>
      <c r="BT307" s="4">
        <v>0.6</v>
      </c>
      <c r="BU307" s="4">
        <v>0.3</v>
      </c>
      <c r="BV307" s="6">
        <v>1037.3011469999999</v>
      </c>
      <c r="BW307" s="4">
        <v>8.0000000000000002E-3</v>
      </c>
      <c r="BX307" s="5"/>
      <c r="BY307" s="5"/>
      <c r="BZ307" s="5"/>
      <c r="CA307" s="5"/>
    </row>
    <row r="308" spans="1:79" x14ac:dyDescent="0.3">
      <c r="A308" s="4" t="s">
        <v>170</v>
      </c>
      <c r="B308" s="4">
        <v>0.9</v>
      </c>
      <c r="C308" s="4">
        <v>0.5</v>
      </c>
      <c r="D308" s="4">
        <v>0.6</v>
      </c>
      <c r="E308" s="4">
        <v>0.89</v>
      </c>
      <c r="F308" s="4">
        <v>769.44274900000005</v>
      </c>
      <c r="G308" s="4">
        <v>1.4E-2</v>
      </c>
      <c r="I308" s="4" t="s">
        <v>170</v>
      </c>
      <c r="J308" s="4">
        <v>0.9</v>
      </c>
      <c r="K308" s="4">
        <v>0.5</v>
      </c>
      <c r="L308" s="4">
        <v>0.6</v>
      </c>
      <c r="M308" s="4">
        <v>0.3</v>
      </c>
      <c r="N308" s="6">
        <v>710.35632299999997</v>
      </c>
      <c r="O308" s="4">
        <v>2E-3</v>
      </c>
      <c r="P308" s="5"/>
      <c r="Q308" s="5"/>
      <c r="R308" s="5"/>
      <c r="S308" s="5"/>
      <c r="U308" s="4" t="s">
        <v>170</v>
      </c>
      <c r="V308" s="4">
        <v>0.9</v>
      </c>
      <c r="W308" s="4">
        <v>0.5</v>
      </c>
      <c r="X308" s="4">
        <v>0.6</v>
      </c>
      <c r="Y308" s="4">
        <v>0.27</v>
      </c>
      <c r="Z308" s="4">
        <v>699.65917999999999</v>
      </c>
      <c r="AA308" s="4">
        <v>1.2E-2</v>
      </c>
      <c r="AC308" s="4" t="s">
        <v>170</v>
      </c>
      <c r="AD308" s="4">
        <v>0.9</v>
      </c>
      <c r="AE308" s="4">
        <v>0.5</v>
      </c>
      <c r="AF308" s="4">
        <v>0.6</v>
      </c>
      <c r="AG308" s="4">
        <v>0.31</v>
      </c>
      <c r="AH308" s="6">
        <v>702.78228799999999</v>
      </c>
      <c r="AI308" s="4">
        <v>2E-3</v>
      </c>
      <c r="AJ308" s="5"/>
      <c r="AK308" s="5"/>
      <c r="AL308" s="5"/>
      <c r="AM308" s="5"/>
      <c r="AO308" s="4" t="s">
        <v>171</v>
      </c>
      <c r="AP308" s="4">
        <v>0.9</v>
      </c>
      <c r="AQ308" s="4">
        <v>0.5</v>
      </c>
      <c r="AR308" s="4">
        <v>0.6</v>
      </c>
      <c r="AS308" s="4">
        <v>0.49</v>
      </c>
      <c r="AT308" s="4">
        <v>1027.060669</v>
      </c>
      <c r="AU308" s="4">
        <v>2.5999999999999999E-2</v>
      </c>
      <c r="AW308" s="4" t="s">
        <v>171</v>
      </c>
      <c r="AX308" s="4">
        <v>0.9</v>
      </c>
      <c r="AY308" s="4">
        <v>0.5</v>
      </c>
      <c r="AZ308" s="4">
        <v>0.6</v>
      </c>
      <c r="BA308" s="4">
        <v>0.3</v>
      </c>
      <c r="BB308" s="6">
        <v>972.44512899999995</v>
      </c>
      <c r="BC308" s="4">
        <v>6.0000000000000001E-3</v>
      </c>
      <c r="BD308" s="5"/>
      <c r="BE308" s="5"/>
      <c r="BF308" s="5"/>
      <c r="BG308" s="5"/>
      <c r="BI308" s="4" t="s">
        <v>171</v>
      </c>
      <c r="BJ308" s="4">
        <v>0.9</v>
      </c>
      <c r="BK308" s="4">
        <v>0.5</v>
      </c>
      <c r="BL308" s="4">
        <v>0.6</v>
      </c>
      <c r="BM308" s="4">
        <v>0.14000000000000001</v>
      </c>
      <c r="BN308" s="6">
        <v>790.066284</v>
      </c>
      <c r="BO308" s="4">
        <v>1.2999999999999999E-2</v>
      </c>
      <c r="BQ308" s="4" t="s">
        <v>171</v>
      </c>
      <c r="BR308" s="4">
        <v>0.9</v>
      </c>
      <c r="BS308" s="4">
        <v>0.5</v>
      </c>
      <c r="BT308" s="4">
        <v>0.6</v>
      </c>
      <c r="BU308" s="4">
        <v>0.3</v>
      </c>
      <c r="BV308" s="4">
        <v>941.82855199999995</v>
      </c>
      <c r="BW308" s="4">
        <v>6.0000000000000001E-3</v>
      </c>
      <c r="BX308" s="5"/>
      <c r="BY308" s="5"/>
      <c r="BZ308" s="5"/>
      <c r="CA308" s="5"/>
    </row>
    <row r="309" spans="1:79" x14ac:dyDescent="0.3">
      <c r="A309" s="4" t="s">
        <v>172</v>
      </c>
      <c r="B309" s="4">
        <v>0.9</v>
      </c>
      <c r="C309" s="4">
        <v>0.5</v>
      </c>
      <c r="D309" s="4">
        <v>0.6</v>
      </c>
      <c r="E309" s="4">
        <v>0.93</v>
      </c>
      <c r="F309" s="4">
        <v>802.20709199999999</v>
      </c>
      <c r="G309" s="4">
        <v>1.2E-2</v>
      </c>
      <c r="I309" s="4" t="s">
        <v>172</v>
      </c>
      <c r="J309" s="4">
        <v>0.9</v>
      </c>
      <c r="K309" s="4">
        <v>0.5</v>
      </c>
      <c r="L309" s="4">
        <v>0.6</v>
      </c>
      <c r="M309" s="4">
        <v>0.32</v>
      </c>
      <c r="N309" s="6">
        <v>684.47906499999999</v>
      </c>
      <c r="O309" s="4">
        <v>2E-3</v>
      </c>
      <c r="P309" s="5"/>
      <c r="Q309" s="5"/>
      <c r="R309" s="5"/>
      <c r="S309" s="5"/>
      <c r="U309" s="4" t="s">
        <v>172</v>
      </c>
      <c r="V309" s="4">
        <v>0.9</v>
      </c>
      <c r="W309" s="4">
        <v>0.5</v>
      </c>
      <c r="X309" s="4">
        <v>0.6</v>
      </c>
      <c r="Y309" s="4">
        <v>0.12</v>
      </c>
      <c r="Z309" s="6">
        <v>646.26379399999996</v>
      </c>
      <c r="AA309" s="4">
        <v>1.6E-2</v>
      </c>
      <c r="AC309" s="4" t="s">
        <v>172</v>
      </c>
      <c r="AD309" s="4">
        <v>0.9</v>
      </c>
      <c r="AE309" s="4">
        <v>0.5</v>
      </c>
      <c r="AF309" s="4">
        <v>0.6</v>
      </c>
      <c r="AG309" s="4">
        <v>0.31</v>
      </c>
      <c r="AH309" s="4">
        <v>681.660034</v>
      </c>
      <c r="AI309" s="4">
        <v>2E-3</v>
      </c>
      <c r="AJ309" s="5"/>
      <c r="AK309" s="5"/>
      <c r="AL309" s="5"/>
      <c r="AM309" s="5"/>
      <c r="AO309" s="4" t="s">
        <v>173</v>
      </c>
      <c r="AP309" s="4">
        <v>0.9</v>
      </c>
      <c r="AQ309" s="4">
        <v>0.5</v>
      </c>
      <c r="AR309" s="4">
        <v>0.6</v>
      </c>
      <c r="AS309" s="4">
        <v>0.01</v>
      </c>
      <c r="AT309" s="6">
        <v>1008.614014</v>
      </c>
      <c r="AU309" s="4">
        <v>0.02</v>
      </c>
      <c r="AW309" s="4" t="s">
        <v>173</v>
      </c>
      <c r="AX309" s="4">
        <v>0.9</v>
      </c>
      <c r="AY309" s="4">
        <v>0.5</v>
      </c>
      <c r="AZ309" s="4">
        <v>0.6</v>
      </c>
      <c r="BA309" s="4">
        <v>0.34</v>
      </c>
      <c r="BB309" s="4">
        <v>1023.833496</v>
      </c>
      <c r="BC309" s="4">
        <v>8.0000000000000002E-3</v>
      </c>
      <c r="BD309" s="5"/>
      <c r="BE309" s="5"/>
      <c r="BF309" s="5"/>
      <c r="BG309" s="5"/>
      <c r="BI309" s="4" t="s">
        <v>173</v>
      </c>
      <c r="BJ309" s="4">
        <v>0.9</v>
      </c>
      <c r="BK309" s="4">
        <v>0.5</v>
      </c>
      <c r="BL309" s="4">
        <v>0.6</v>
      </c>
      <c r="BM309" s="4">
        <v>0.98</v>
      </c>
      <c r="BN309" s="4">
        <v>1246.2270510000001</v>
      </c>
      <c r="BO309" s="4">
        <v>3.6999999999999998E-2</v>
      </c>
      <c r="BQ309" s="4" t="s">
        <v>173</v>
      </c>
      <c r="BR309" s="4">
        <v>0.9</v>
      </c>
      <c r="BS309" s="4">
        <v>0.5</v>
      </c>
      <c r="BT309" s="4">
        <v>0.6</v>
      </c>
      <c r="BU309" s="4">
        <v>0.3</v>
      </c>
      <c r="BV309" s="6">
        <v>1026.7523189999999</v>
      </c>
      <c r="BW309" s="4">
        <v>0.01</v>
      </c>
      <c r="BX309" s="5"/>
      <c r="BY309" s="5"/>
      <c r="BZ309" s="5"/>
      <c r="CA309" s="5"/>
    </row>
    <row r="310" spans="1:79" x14ac:dyDescent="0.3">
      <c r="A310" s="4" t="s">
        <v>174</v>
      </c>
      <c r="B310" s="4">
        <v>0.9</v>
      </c>
      <c r="C310" s="4">
        <v>0.5</v>
      </c>
      <c r="D310" s="4">
        <v>0.6</v>
      </c>
      <c r="E310" s="4">
        <v>0.73</v>
      </c>
      <c r="F310" s="4">
        <v>769.83270300000004</v>
      </c>
      <c r="G310" s="4">
        <v>1.2999999999999999E-2</v>
      </c>
      <c r="I310" s="4" t="s">
        <v>174</v>
      </c>
      <c r="J310" s="4">
        <v>0.9</v>
      </c>
      <c r="K310" s="4">
        <v>0.5</v>
      </c>
      <c r="L310" s="4">
        <v>0.6</v>
      </c>
      <c r="M310" s="4">
        <v>0.32</v>
      </c>
      <c r="N310" s="6">
        <v>688.75256300000001</v>
      </c>
      <c r="O310" s="4">
        <v>1E-3</v>
      </c>
      <c r="P310" s="5"/>
      <c r="Q310" s="5"/>
      <c r="R310" s="5"/>
      <c r="S310" s="5"/>
      <c r="U310" s="4" t="s">
        <v>174</v>
      </c>
      <c r="V310" s="4">
        <v>0.9</v>
      </c>
      <c r="W310" s="4">
        <v>0.5</v>
      </c>
      <c r="X310" s="4">
        <v>0.6</v>
      </c>
      <c r="Y310" s="4">
        <v>0.44</v>
      </c>
      <c r="Z310" s="4">
        <v>722.65069600000004</v>
      </c>
      <c r="AA310" s="4">
        <v>1.7000000000000001E-2</v>
      </c>
      <c r="AC310" s="4" t="s">
        <v>174</v>
      </c>
      <c r="AD310" s="4">
        <v>0.9</v>
      </c>
      <c r="AE310" s="4">
        <v>0.5</v>
      </c>
      <c r="AF310" s="4">
        <v>0.6</v>
      </c>
      <c r="AG310" s="4">
        <v>0.3</v>
      </c>
      <c r="AH310" s="6">
        <v>685.48791500000004</v>
      </c>
      <c r="AI310" s="4">
        <v>2E-3</v>
      </c>
      <c r="AJ310" s="5"/>
      <c r="AK310" s="5"/>
      <c r="AL310" s="5"/>
      <c r="AM310" s="5"/>
      <c r="AO310" s="4" t="s">
        <v>175</v>
      </c>
      <c r="AP310" s="4">
        <v>0.9</v>
      </c>
      <c r="AQ310" s="4">
        <v>0.5</v>
      </c>
      <c r="AR310" s="4">
        <v>0.6</v>
      </c>
      <c r="AS310" s="4">
        <v>0.34</v>
      </c>
      <c r="AT310" s="4">
        <v>1017.729004</v>
      </c>
      <c r="AU310" s="4">
        <v>1.7999999999999999E-2</v>
      </c>
      <c r="AW310" s="4" t="s">
        <v>175</v>
      </c>
      <c r="AX310" s="4">
        <v>0.9</v>
      </c>
      <c r="AY310" s="4">
        <v>0.5</v>
      </c>
      <c r="AZ310" s="4">
        <v>0.6</v>
      </c>
      <c r="BA310" s="4">
        <v>0.31</v>
      </c>
      <c r="BB310" s="6">
        <v>1009.00238</v>
      </c>
      <c r="BC310" s="4">
        <v>7.0000000000000001E-3</v>
      </c>
      <c r="BD310" s="5"/>
      <c r="BE310" s="5"/>
      <c r="BF310" s="5"/>
      <c r="BG310" s="5"/>
      <c r="BI310" s="4" t="s">
        <v>175</v>
      </c>
      <c r="BJ310" s="4">
        <v>0.9</v>
      </c>
      <c r="BK310" s="4">
        <v>0.5</v>
      </c>
      <c r="BL310" s="4">
        <v>0.6</v>
      </c>
      <c r="BM310" s="4">
        <v>7.0000000000000007E-2</v>
      </c>
      <c r="BN310" s="6">
        <v>821.44604500000003</v>
      </c>
      <c r="BO310" s="4">
        <v>3.1E-2</v>
      </c>
      <c r="BQ310" s="4" t="s">
        <v>175</v>
      </c>
      <c r="BR310" s="4">
        <v>0.9</v>
      </c>
      <c r="BS310" s="4">
        <v>0.5</v>
      </c>
      <c r="BT310" s="4">
        <v>0.6</v>
      </c>
      <c r="BU310" s="4">
        <v>0.3</v>
      </c>
      <c r="BV310" s="4">
        <v>1012.946594</v>
      </c>
      <c r="BW310" s="4">
        <v>8.9999999999999993E-3</v>
      </c>
      <c r="BX310" s="5"/>
      <c r="BY310" s="5"/>
      <c r="BZ310" s="5"/>
      <c r="CA310" s="5"/>
    </row>
    <row r="311" spans="1:79" x14ac:dyDescent="0.3">
      <c r="A311" s="4" t="s">
        <v>176</v>
      </c>
      <c r="B311" s="4">
        <v>0.9</v>
      </c>
      <c r="C311" s="4">
        <v>0.5</v>
      </c>
      <c r="D311" s="4">
        <v>0.6</v>
      </c>
      <c r="E311" s="4">
        <v>0.31</v>
      </c>
      <c r="F311" s="6">
        <v>713.35375999999997</v>
      </c>
      <c r="G311" s="4">
        <v>1.4E-2</v>
      </c>
      <c r="I311" s="4" t="s">
        <v>176</v>
      </c>
      <c r="J311" s="4">
        <v>0.9</v>
      </c>
      <c r="K311" s="4">
        <v>0.5</v>
      </c>
      <c r="L311" s="4">
        <v>0.6</v>
      </c>
      <c r="M311" s="4">
        <v>0.3</v>
      </c>
      <c r="N311" s="4">
        <v>723.84710700000005</v>
      </c>
      <c r="O311" s="4">
        <v>2E-3</v>
      </c>
      <c r="P311" s="5"/>
      <c r="Q311" s="5"/>
      <c r="R311" s="5"/>
      <c r="S311" s="5"/>
      <c r="U311" s="4" t="s">
        <v>176</v>
      </c>
      <c r="V311" s="4">
        <v>0.9</v>
      </c>
      <c r="W311" s="4">
        <v>0.5</v>
      </c>
      <c r="X311" s="4">
        <v>0.6</v>
      </c>
      <c r="Y311" s="4">
        <v>0.5</v>
      </c>
      <c r="Z311" s="4">
        <v>757.23138400000005</v>
      </c>
      <c r="AA311" s="4">
        <v>1.4E-2</v>
      </c>
      <c r="AC311" s="4" t="s">
        <v>176</v>
      </c>
      <c r="AD311" s="4">
        <v>0.9</v>
      </c>
      <c r="AE311" s="4">
        <v>0.5</v>
      </c>
      <c r="AF311" s="4">
        <v>0.6</v>
      </c>
      <c r="AG311" s="4">
        <v>0.39</v>
      </c>
      <c r="AH311" s="6">
        <v>712.26959199999999</v>
      </c>
      <c r="AI311" s="4">
        <v>2E-3</v>
      </c>
      <c r="AJ311" s="5"/>
      <c r="AK311" s="5"/>
      <c r="AL311" s="5"/>
      <c r="AM311" s="5"/>
      <c r="AO311" s="4" t="s">
        <v>177</v>
      </c>
      <c r="AP311" s="4">
        <v>0.9</v>
      </c>
      <c r="AQ311" s="4">
        <v>0.5</v>
      </c>
      <c r="AR311" s="4">
        <v>0.6</v>
      </c>
      <c r="AS311" s="4">
        <v>0.13</v>
      </c>
      <c r="AT311" s="6">
        <v>1003.579895</v>
      </c>
      <c r="AU311" s="4">
        <v>0.01</v>
      </c>
      <c r="AW311" s="4" t="s">
        <v>177</v>
      </c>
      <c r="AX311" s="4">
        <v>0.9</v>
      </c>
      <c r="AY311" s="4">
        <v>0.5</v>
      </c>
      <c r="AZ311" s="4">
        <v>0.6</v>
      </c>
      <c r="BA311" s="4">
        <v>0.3</v>
      </c>
      <c r="BB311" s="4">
        <v>1106.824341</v>
      </c>
      <c r="BC311" s="4">
        <v>7.0000000000000001E-3</v>
      </c>
      <c r="BD311" s="5"/>
      <c r="BE311" s="5"/>
      <c r="BF311" s="5"/>
      <c r="BG311" s="5"/>
      <c r="BI311" s="4" t="s">
        <v>177</v>
      </c>
      <c r="BJ311" s="4">
        <v>0.9</v>
      </c>
      <c r="BK311" s="4">
        <v>0.5</v>
      </c>
      <c r="BL311" s="4">
        <v>0.6</v>
      </c>
      <c r="BM311" s="4">
        <v>0.36</v>
      </c>
      <c r="BN311" s="4">
        <v>1145.895264</v>
      </c>
      <c r="BO311" s="4">
        <v>0.04</v>
      </c>
      <c r="BQ311" s="4" t="s">
        <v>177</v>
      </c>
      <c r="BR311" s="4">
        <v>0.9</v>
      </c>
      <c r="BS311" s="4">
        <v>0.5</v>
      </c>
      <c r="BT311" s="4">
        <v>0.6</v>
      </c>
      <c r="BU311" s="4">
        <v>0.3</v>
      </c>
      <c r="BV311" s="6">
        <v>1118.7813719999999</v>
      </c>
      <c r="BW311" s="4">
        <v>0.01</v>
      </c>
      <c r="BX311" s="5"/>
      <c r="BY311" s="5"/>
      <c r="BZ311" s="5"/>
      <c r="CA311" s="5"/>
    </row>
    <row r="312" spans="1:79" x14ac:dyDescent="0.3">
      <c r="A312" s="4" t="s">
        <v>178</v>
      </c>
      <c r="B312" s="4">
        <v>0.9</v>
      </c>
      <c r="C312" s="4">
        <v>0.5</v>
      </c>
      <c r="D312" s="4">
        <v>0.6</v>
      </c>
      <c r="E312" s="4">
        <v>0.53</v>
      </c>
      <c r="F312" s="4">
        <v>785.84918200000004</v>
      </c>
      <c r="G312" s="4">
        <v>2.3E-2</v>
      </c>
      <c r="I312" s="4" t="s">
        <v>178</v>
      </c>
      <c r="J312" s="4">
        <v>0.9</v>
      </c>
      <c r="K312" s="4">
        <v>0.5</v>
      </c>
      <c r="L312" s="4">
        <v>0.6</v>
      </c>
      <c r="M312" s="4">
        <v>0.3</v>
      </c>
      <c r="N312" s="6">
        <v>699.78344700000002</v>
      </c>
      <c r="O312" s="4">
        <v>2E-3</v>
      </c>
      <c r="P312" s="5"/>
      <c r="Q312" s="5"/>
      <c r="R312" s="5"/>
      <c r="S312" s="5"/>
      <c r="U312" s="4" t="s">
        <v>178</v>
      </c>
      <c r="V312" s="4">
        <v>0.9</v>
      </c>
      <c r="W312" s="4">
        <v>0.5</v>
      </c>
      <c r="X312" s="4">
        <v>0.6</v>
      </c>
      <c r="Y312" s="4">
        <v>0.6</v>
      </c>
      <c r="Z312" s="4">
        <v>835.92645300000004</v>
      </c>
      <c r="AA312" s="4">
        <v>3.4000000000000002E-2</v>
      </c>
      <c r="AC312" s="4" t="s">
        <v>178</v>
      </c>
      <c r="AD312" s="4">
        <v>0.9</v>
      </c>
      <c r="AE312" s="4">
        <v>0.5</v>
      </c>
      <c r="AF312" s="4">
        <v>0.6</v>
      </c>
      <c r="AG312" s="4">
        <v>0.31</v>
      </c>
      <c r="AH312" s="6">
        <v>702.60369900000001</v>
      </c>
      <c r="AI312" s="4">
        <v>4.0000000000000001E-3</v>
      </c>
      <c r="AJ312" s="5"/>
      <c r="AK312" s="5"/>
      <c r="AL312" s="5"/>
      <c r="AM312" s="5"/>
      <c r="AO312" s="4" t="s">
        <v>179</v>
      </c>
      <c r="AP312" s="4">
        <v>0.9</v>
      </c>
      <c r="AQ312" s="4">
        <v>0.5</v>
      </c>
      <c r="AR312" s="4">
        <v>0.6</v>
      </c>
      <c r="AS312" s="4">
        <v>0.74</v>
      </c>
      <c r="AT312" s="4">
        <v>1234.939697</v>
      </c>
      <c r="AU312" s="4">
        <v>1.6E-2</v>
      </c>
      <c r="AW312" s="4" t="s">
        <v>179</v>
      </c>
      <c r="AX312" s="4">
        <v>0.9</v>
      </c>
      <c r="AY312" s="4">
        <v>0.5</v>
      </c>
      <c r="AZ312" s="4">
        <v>0.6</v>
      </c>
      <c r="BA312" s="4">
        <v>0.32</v>
      </c>
      <c r="BB312" s="6">
        <v>1098.623779</v>
      </c>
      <c r="BC312" s="4">
        <v>7.0000000000000001E-3</v>
      </c>
      <c r="BD312" s="5"/>
      <c r="BE312" s="5"/>
      <c r="BF312" s="5"/>
      <c r="BG312" s="5"/>
      <c r="BI312" s="4" t="s">
        <v>179</v>
      </c>
      <c r="BJ312" s="4">
        <v>0.9</v>
      </c>
      <c r="BK312" s="4">
        <v>0.5</v>
      </c>
      <c r="BL312" s="4">
        <v>0.6</v>
      </c>
      <c r="BM312" s="4">
        <v>0.12</v>
      </c>
      <c r="BN312" s="6">
        <v>920.82781999999997</v>
      </c>
      <c r="BO312" s="4">
        <v>1.4E-2</v>
      </c>
      <c r="BQ312" s="4" t="s">
        <v>179</v>
      </c>
      <c r="BR312" s="4">
        <v>0.9</v>
      </c>
      <c r="BS312" s="4">
        <v>0.5</v>
      </c>
      <c r="BT312" s="4">
        <v>0.6</v>
      </c>
      <c r="BU312" s="4">
        <v>0.3</v>
      </c>
      <c r="BV312" s="4">
        <v>1084.6279300000001</v>
      </c>
      <c r="BW312" s="4">
        <v>0.01</v>
      </c>
      <c r="BX312" s="5"/>
      <c r="BY312" s="5"/>
      <c r="BZ312" s="5"/>
      <c r="CA312" s="5"/>
    </row>
    <row r="313" spans="1:79" x14ac:dyDescent="0.3">
      <c r="A313" s="4" t="s">
        <v>180</v>
      </c>
      <c r="B313" s="4">
        <v>0.9</v>
      </c>
      <c r="C313" s="4">
        <v>0.5</v>
      </c>
      <c r="D313" s="4">
        <v>0.6</v>
      </c>
      <c r="E313" s="4">
        <v>0.63</v>
      </c>
      <c r="F313" s="4">
        <v>788.38195800000005</v>
      </c>
      <c r="G313" s="4">
        <v>2.4E-2</v>
      </c>
      <c r="I313" s="4" t="s">
        <v>180</v>
      </c>
      <c r="J313" s="4">
        <v>0.9</v>
      </c>
      <c r="K313" s="4">
        <v>0.5</v>
      </c>
      <c r="L313" s="4">
        <v>0.6</v>
      </c>
      <c r="M313" s="4">
        <v>0.34</v>
      </c>
      <c r="N313" s="6">
        <v>706.850098</v>
      </c>
      <c r="O313" s="4">
        <v>2E-3</v>
      </c>
      <c r="P313" s="5"/>
      <c r="Q313" s="5"/>
      <c r="R313" s="5"/>
      <c r="S313" s="5"/>
      <c r="U313" s="4" t="s">
        <v>180</v>
      </c>
      <c r="V313" s="4">
        <v>0.9</v>
      </c>
      <c r="W313" s="4">
        <v>0.5</v>
      </c>
      <c r="X313" s="4">
        <v>0.6</v>
      </c>
      <c r="Y313" s="4">
        <v>0.8</v>
      </c>
      <c r="Z313" s="4">
        <v>819.02954099999999</v>
      </c>
      <c r="AA313" s="4">
        <v>8.0000000000000002E-3</v>
      </c>
      <c r="AC313" s="4" t="s">
        <v>180</v>
      </c>
      <c r="AD313" s="4">
        <v>0.9</v>
      </c>
      <c r="AE313" s="4">
        <v>0.5</v>
      </c>
      <c r="AF313" s="4">
        <v>0.6</v>
      </c>
      <c r="AG313" s="4">
        <v>0.36</v>
      </c>
      <c r="AH313" s="6">
        <v>709.88250700000003</v>
      </c>
      <c r="AI313" s="4">
        <v>1E-3</v>
      </c>
      <c r="AJ313" s="5"/>
      <c r="AK313" s="5"/>
      <c r="AL313" s="5"/>
      <c r="AM313" s="5"/>
      <c r="AO313" s="4" t="s">
        <v>181</v>
      </c>
      <c r="AP313" s="4">
        <v>0.9</v>
      </c>
      <c r="AQ313" s="4">
        <v>0.5</v>
      </c>
      <c r="AR313" s="4">
        <v>0.6</v>
      </c>
      <c r="AS313" s="4">
        <v>0.23</v>
      </c>
      <c r="AT313" s="6">
        <v>994.587219</v>
      </c>
      <c r="AU313" s="4">
        <v>1.7000000000000001E-2</v>
      </c>
      <c r="AW313" s="4" t="s">
        <v>181</v>
      </c>
      <c r="AX313" s="4">
        <v>0.9</v>
      </c>
      <c r="AY313" s="4">
        <v>0.5</v>
      </c>
      <c r="AZ313" s="4">
        <v>0.6</v>
      </c>
      <c r="BA313" s="4">
        <v>0.4</v>
      </c>
      <c r="BB313" s="4">
        <v>1089.276245</v>
      </c>
      <c r="BC313" s="4">
        <v>8.9999999999999993E-3</v>
      </c>
      <c r="BD313" s="5"/>
      <c r="BE313" s="5"/>
      <c r="BF313" s="5"/>
      <c r="BG313" s="5"/>
      <c r="BI313" s="4" t="s">
        <v>181</v>
      </c>
      <c r="BJ313" s="4">
        <v>0.9</v>
      </c>
      <c r="BK313" s="4">
        <v>0.5</v>
      </c>
      <c r="BL313" s="4">
        <v>0.6</v>
      </c>
      <c r="BM313" s="4">
        <v>0.19</v>
      </c>
      <c r="BN313" s="6">
        <v>976.29638699999998</v>
      </c>
      <c r="BO313" s="4">
        <v>0.02</v>
      </c>
      <c r="BQ313" s="4" t="s">
        <v>181</v>
      </c>
      <c r="BR313" s="4">
        <v>0.9</v>
      </c>
      <c r="BS313" s="4">
        <v>0.5</v>
      </c>
      <c r="BT313" s="4">
        <v>0.6</v>
      </c>
      <c r="BU313" s="4">
        <v>0.35</v>
      </c>
      <c r="BV313" s="4">
        <v>1076.137573</v>
      </c>
      <c r="BW313" s="4">
        <v>1.0999999999999999E-2</v>
      </c>
      <c r="BX313" s="5"/>
      <c r="BY313" s="5"/>
      <c r="BZ313" s="5"/>
      <c r="CA313" s="5"/>
    </row>
    <row r="314" spans="1:79" x14ac:dyDescent="0.3">
      <c r="A314" s="4" t="s">
        <v>182</v>
      </c>
      <c r="B314" s="4">
        <v>0.9</v>
      </c>
      <c r="C314" s="4">
        <v>0.5</v>
      </c>
      <c r="D314" s="4">
        <v>0.6</v>
      </c>
      <c r="E314" s="4">
        <v>0.66</v>
      </c>
      <c r="F314" s="4">
        <v>744.70556599999998</v>
      </c>
      <c r="G314" s="4">
        <v>8.9999999999999993E-3</v>
      </c>
      <c r="I314" s="4" t="s">
        <v>182</v>
      </c>
      <c r="J314" s="4">
        <v>0.9</v>
      </c>
      <c r="K314" s="4">
        <v>0.5</v>
      </c>
      <c r="L314" s="4">
        <v>0.6</v>
      </c>
      <c r="M314" s="4">
        <v>0.31</v>
      </c>
      <c r="N314" s="6">
        <v>656.73657200000002</v>
      </c>
      <c r="O314" s="4">
        <v>1E-3</v>
      </c>
      <c r="P314" s="5"/>
      <c r="Q314" s="5"/>
      <c r="R314" s="5"/>
      <c r="S314" s="5"/>
      <c r="U314" s="4" t="s">
        <v>182</v>
      </c>
      <c r="V314" s="4">
        <v>0.9</v>
      </c>
      <c r="W314" s="4">
        <v>0.5</v>
      </c>
      <c r="X314" s="4">
        <v>0.6</v>
      </c>
      <c r="Y314" s="4">
        <v>0.48</v>
      </c>
      <c r="Z314" s="4">
        <v>683.54858400000001</v>
      </c>
      <c r="AA314" s="4">
        <v>1.4999999999999999E-2</v>
      </c>
      <c r="AC314" s="4" t="s">
        <v>182</v>
      </c>
      <c r="AD314" s="4">
        <v>0.9</v>
      </c>
      <c r="AE314" s="4">
        <v>0.5</v>
      </c>
      <c r="AF314" s="4">
        <v>0.6</v>
      </c>
      <c r="AG314" s="4">
        <v>0.3</v>
      </c>
      <c r="AH314" s="6">
        <v>659.00079300000004</v>
      </c>
      <c r="AI314" s="4">
        <v>2E-3</v>
      </c>
      <c r="AJ314" s="5"/>
      <c r="AK314" s="5"/>
      <c r="AL314" s="5"/>
      <c r="AM314" s="5"/>
      <c r="AO314" s="4" t="s">
        <v>183</v>
      </c>
      <c r="AP314" s="4">
        <v>0.9</v>
      </c>
      <c r="AQ314" s="4">
        <v>0.5</v>
      </c>
      <c r="AR314" s="4">
        <v>0.6</v>
      </c>
      <c r="AS314" s="4">
        <v>0.68</v>
      </c>
      <c r="AT314" s="4">
        <v>1277.256226</v>
      </c>
      <c r="AU314" s="4">
        <v>0.02</v>
      </c>
      <c r="AW314" s="4" t="s">
        <v>183</v>
      </c>
      <c r="AX314" s="4">
        <v>0.9</v>
      </c>
      <c r="AY314" s="4">
        <v>0.5</v>
      </c>
      <c r="AZ314" s="4">
        <v>0.6</v>
      </c>
      <c r="BA314" s="4">
        <v>0.35</v>
      </c>
      <c r="BB314" s="6">
        <v>1089.9746090000001</v>
      </c>
      <c r="BC314" s="4">
        <v>1.0999999999999999E-2</v>
      </c>
      <c r="BD314" s="5"/>
      <c r="BE314" s="5"/>
      <c r="BF314" s="5"/>
      <c r="BG314" s="5"/>
      <c r="BI314" s="4" t="s">
        <v>183</v>
      </c>
      <c r="BJ314" s="4">
        <v>0.9</v>
      </c>
      <c r="BK314" s="4">
        <v>0.5</v>
      </c>
      <c r="BL314" s="4">
        <v>0.6</v>
      </c>
      <c r="BM314" s="4">
        <v>0.78</v>
      </c>
      <c r="BN314" s="4">
        <v>1265.6301269999999</v>
      </c>
      <c r="BO314" s="4">
        <v>2.9000000000000001E-2</v>
      </c>
      <c r="BQ314" s="4" t="s">
        <v>183</v>
      </c>
      <c r="BR314" s="4">
        <v>0.9</v>
      </c>
      <c r="BS314" s="4">
        <v>0.5</v>
      </c>
      <c r="BT314" s="4">
        <v>0.6</v>
      </c>
      <c r="BU314" s="4">
        <v>0.3</v>
      </c>
      <c r="BV314" s="6">
        <v>1096.3280030000001</v>
      </c>
      <c r="BW314" s="4">
        <v>1.0999999999999999E-2</v>
      </c>
      <c r="BX314" s="5"/>
      <c r="BY314" s="5"/>
      <c r="BZ314" s="5"/>
      <c r="CA314" s="5"/>
    </row>
    <row r="315" spans="1:79" x14ac:dyDescent="0.3">
      <c r="A315" s="4" t="s">
        <v>184</v>
      </c>
      <c r="B315" s="4">
        <v>0.9</v>
      </c>
      <c r="C315" s="4">
        <v>0.5</v>
      </c>
      <c r="D315" s="4">
        <v>0.6</v>
      </c>
      <c r="E315" s="4">
        <v>0.2</v>
      </c>
      <c r="F315" s="6">
        <v>640.79394500000001</v>
      </c>
      <c r="G315" s="4">
        <v>1.9E-2</v>
      </c>
      <c r="I315" s="4" t="s">
        <v>184</v>
      </c>
      <c r="J315" s="4">
        <v>0.9</v>
      </c>
      <c r="K315" s="4">
        <v>0.5</v>
      </c>
      <c r="L315" s="4">
        <v>0.6</v>
      </c>
      <c r="M315" s="4">
        <v>0.32</v>
      </c>
      <c r="N315" s="4">
        <v>658.20495600000004</v>
      </c>
      <c r="O315" s="4">
        <v>2E-3</v>
      </c>
      <c r="P315" s="5"/>
      <c r="Q315" s="5"/>
      <c r="R315" s="5"/>
      <c r="S315" s="5"/>
      <c r="U315" s="4" t="s">
        <v>184</v>
      </c>
      <c r="V315" s="4">
        <v>0.9</v>
      </c>
      <c r="W315" s="4">
        <v>0.5</v>
      </c>
      <c r="X315" s="4">
        <v>0.6</v>
      </c>
      <c r="Y315" s="4">
        <v>0.54</v>
      </c>
      <c r="Z315" s="4">
        <v>705.02465800000004</v>
      </c>
      <c r="AA315" s="4">
        <v>2.3E-2</v>
      </c>
      <c r="AC315" s="4" t="s">
        <v>184</v>
      </c>
      <c r="AD315" s="4">
        <v>0.9</v>
      </c>
      <c r="AE315" s="4">
        <v>0.5</v>
      </c>
      <c r="AF315" s="4">
        <v>0.6</v>
      </c>
      <c r="AG315" s="4">
        <v>0.31</v>
      </c>
      <c r="AH315" s="6">
        <v>646.71533199999999</v>
      </c>
      <c r="AI315" s="4">
        <v>2E-3</v>
      </c>
      <c r="AJ315" s="5"/>
      <c r="AK315" s="5"/>
      <c r="AL315" s="5"/>
      <c r="AM315" s="5"/>
      <c r="AO315" s="4" t="s">
        <v>185</v>
      </c>
      <c r="AP315" s="4">
        <v>0.9</v>
      </c>
      <c r="AQ315" s="4">
        <v>0.5</v>
      </c>
      <c r="AR315" s="4">
        <v>0.6</v>
      </c>
      <c r="AS315" s="4">
        <v>0.48</v>
      </c>
      <c r="AT315" s="4">
        <v>1176.3264160000001</v>
      </c>
      <c r="AU315" s="4">
        <v>1.7000000000000001E-2</v>
      </c>
      <c r="AW315" s="4" t="s">
        <v>185</v>
      </c>
      <c r="AX315" s="4">
        <v>0.9</v>
      </c>
      <c r="AY315" s="4">
        <v>0.5</v>
      </c>
      <c r="AZ315" s="4">
        <v>0.6</v>
      </c>
      <c r="BA315" s="4">
        <v>0.3</v>
      </c>
      <c r="BB315" s="6">
        <v>1035.6657709999999</v>
      </c>
      <c r="BC315" s="4">
        <v>8.0000000000000002E-3</v>
      </c>
      <c r="BD315" s="5"/>
      <c r="BE315" s="5"/>
      <c r="BF315" s="5"/>
      <c r="BG315" s="5"/>
      <c r="BI315" s="4" t="s">
        <v>185</v>
      </c>
      <c r="BJ315" s="4">
        <v>0.9</v>
      </c>
      <c r="BK315" s="4">
        <v>0.5</v>
      </c>
      <c r="BL315" s="4">
        <v>0.6</v>
      </c>
      <c r="BM315" s="4">
        <v>0.94</v>
      </c>
      <c r="BN315" s="4">
        <v>1374.533447</v>
      </c>
      <c r="BO315" s="4">
        <v>2.4E-2</v>
      </c>
      <c r="BQ315" s="4" t="s">
        <v>185</v>
      </c>
      <c r="BR315" s="4">
        <v>0.9</v>
      </c>
      <c r="BS315" s="4">
        <v>0.5</v>
      </c>
      <c r="BT315" s="4">
        <v>0.6</v>
      </c>
      <c r="BU315" s="4">
        <v>0.32</v>
      </c>
      <c r="BV315" s="6">
        <v>1080.9438479999999</v>
      </c>
      <c r="BW315" s="4">
        <v>8.9999999999999993E-3</v>
      </c>
      <c r="BX315" s="5"/>
      <c r="BY315" s="5"/>
      <c r="BZ315" s="5"/>
      <c r="CA315" s="5"/>
    </row>
    <row r="316" spans="1:79" x14ac:dyDescent="0.3">
      <c r="A316" s="4" t="s">
        <v>186</v>
      </c>
      <c r="B316" s="4">
        <v>0.9</v>
      </c>
      <c r="C316" s="4">
        <v>0.5</v>
      </c>
      <c r="D316" s="4">
        <v>0.6</v>
      </c>
      <c r="E316" s="4">
        <v>0.15</v>
      </c>
      <c r="F316" s="6">
        <v>729.073486</v>
      </c>
      <c r="G316" s="4">
        <v>0.01</v>
      </c>
      <c r="I316" s="4" t="s">
        <v>186</v>
      </c>
      <c r="J316" s="4">
        <v>0.9</v>
      </c>
      <c r="K316" s="4">
        <v>0.5</v>
      </c>
      <c r="L316" s="4">
        <v>0.6</v>
      </c>
      <c r="M316" s="4">
        <v>0.35</v>
      </c>
      <c r="N316" s="4">
        <v>759.59405500000003</v>
      </c>
      <c r="O316" s="4">
        <v>2E-3</v>
      </c>
      <c r="P316" s="5"/>
      <c r="Q316" s="5"/>
      <c r="R316" s="5"/>
      <c r="S316" s="5"/>
      <c r="U316" s="4" t="s">
        <v>186</v>
      </c>
      <c r="V316" s="4">
        <v>0.9</v>
      </c>
      <c r="W316" s="4">
        <v>0.5</v>
      </c>
      <c r="X316" s="4">
        <v>0.6</v>
      </c>
      <c r="Y316" s="4">
        <v>0.37</v>
      </c>
      <c r="Z316" s="4">
        <v>819.81555200000003</v>
      </c>
      <c r="AA316" s="4">
        <v>1.9E-2</v>
      </c>
      <c r="AC316" s="4" t="s">
        <v>186</v>
      </c>
      <c r="AD316" s="4">
        <v>0.9</v>
      </c>
      <c r="AE316" s="4">
        <v>0.5</v>
      </c>
      <c r="AF316" s="4">
        <v>0.6</v>
      </c>
      <c r="AG316" s="4">
        <v>0.3</v>
      </c>
      <c r="AH316" s="6">
        <v>804.51208499999996</v>
      </c>
      <c r="AI316" s="4">
        <v>3.0000000000000001E-3</v>
      </c>
      <c r="AJ316" s="5"/>
      <c r="AK316" s="5"/>
      <c r="AL316" s="5"/>
      <c r="AM316" s="5"/>
      <c r="AO316" s="4" t="s">
        <v>187</v>
      </c>
      <c r="AP316" s="4">
        <v>0.9</v>
      </c>
      <c r="AQ316" s="4">
        <v>0.5</v>
      </c>
      <c r="AR316" s="4">
        <v>0.6</v>
      </c>
      <c r="AS316" s="4">
        <v>0.52</v>
      </c>
      <c r="AT316" s="4">
        <v>1328.8201899999999</v>
      </c>
      <c r="AU316" s="4">
        <v>1.7000000000000001E-2</v>
      </c>
      <c r="AW316" s="4" t="s">
        <v>187</v>
      </c>
      <c r="AX316" s="4">
        <v>0.9</v>
      </c>
      <c r="AY316" s="4">
        <v>0.5</v>
      </c>
      <c r="AZ316" s="4">
        <v>0.6</v>
      </c>
      <c r="BA316" s="4">
        <v>0.33</v>
      </c>
      <c r="BB316" s="6">
        <v>1187.200073</v>
      </c>
      <c r="BC316" s="4">
        <v>8.9999999999999993E-3</v>
      </c>
      <c r="BD316" s="5"/>
      <c r="BE316" s="5"/>
      <c r="BF316" s="5"/>
      <c r="BG316" s="5"/>
      <c r="BI316" s="4" t="s">
        <v>187</v>
      </c>
      <c r="BJ316" s="4">
        <v>0.9</v>
      </c>
      <c r="BK316" s="4">
        <v>0.5</v>
      </c>
      <c r="BL316" s="4">
        <v>0.6</v>
      </c>
      <c r="BM316" s="4">
        <v>0.01</v>
      </c>
      <c r="BN316" s="6">
        <v>1020.625</v>
      </c>
      <c r="BO316" s="4">
        <v>1.9E-2</v>
      </c>
      <c r="BQ316" s="4" t="s">
        <v>187</v>
      </c>
      <c r="BR316" s="4">
        <v>0.9</v>
      </c>
      <c r="BS316" s="4">
        <v>0.5</v>
      </c>
      <c r="BT316" s="4">
        <v>0.6</v>
      </c>
      <c r="BU316" s="4">
        <v>0.3</v>
      </c>
      <c r="BV316" s="4">
        <v>1176.2733149999999</v>
      </c>
      <c r="BW316" s="4">
        <v>1.0999999999999999E-2</v>
      </c>
      <c r="BX316" s="5"/>
      <c r="BY316" s="5"/>
      <c r="BZ316" s="5"/>
      <c r="CA316" s="5"/>
    </row>
    <row r="317" spans="1:79" x14ac:dyDescent="0.3">
      <c r="A317" s="4" t="s">
        <v>188</v>
      </c>
      <c r="B317" s="4">
        <v>0.9</v>
      </c>
      <c r="C317" s="4">
        <v>0.5</v>
      </c>
      <c r="D317" s="4">
        <v>0.6</v>
      </c>
      <c r="E317" s="4">
        <v>0.21</v>
      </c>
      <c r="F317" s="6">
        <v>681.14215100000001</v>
      </c>
      <c r="G317" s="4">
        <v>2.9000000000000001E-2</v>
      </c>
      <c r="I317" s="4" t="s">
        <v>188</v>
      </c>
      <c r="J317" s="4">
        <v>0.9</v>
      </c>
      <c r="K317" s="4">
        <v>0.5</v>
      </c>
      <c r="L317" s="4">
        <v>0.6</v>
      </c>
      <c r="M317" s="4">
        <v>0.34</v>
      </c>
      <c r="N317" s="4">
        <v>713.67791699999998</v>
      </c>
      <c r="O317" s="4">
        <v>2E-3</v>
      </c>
      <c r="P317" s="5"/>
      <c r="Q317" s="5"/>
      <c r="R317" s="5"/>
      <c r="S317" s="5"/>
      <c r="U317" s="4" t="s">
        <v>188</v>
      </c>
      <c r="V317" s="4">
        <v>0.9</v>
      </c>
      <c r="W317" s="4">
        <v>0.5</v>
      </c>
      <c r="X317" s="4">
        <v>0.6</v>
      </c>
      <c r="Y317" s="4">
        <v>0.71</v>
      </c>
      <c r="Z317" s="4">
        <v>755.63415499999996</v>
      </c>
      <c r="AA317" s="4">
        <v>1.4E-2</v>
      </c>
      <c r="AC317" s="4" t="s">
        <v>188</v>
      </c>
      <c r="AD317" s="4">
        <v>0.9</v>
      </c>
      <c r="AE317" s="4">
        <v>0.5</v>
      </c>
      <c r="AF317" s="4">
        <v>0.6</v>
      </c>
      <c r="AG317" s="4">
        <v>0.32</v>
      </c>
      <c r="AH317" s="6">
        <v>710.22668499999997</v>
      </c>
      <c r="AI317" s="4">
        <v>3.0000000000000001E-3</v>
      </c>
      <c r="AJ317" s="5"/>
      <c r="AK317" s="5"/>
      <c r="AL317" s="5"/>
      <c r="AM317" s="5"/>
      <c r="AO317" s="4" t="s">
        <v>189</v>
      </c>
      <c r="AP317" s="4">
        <v>0.9</v>
      </c>
      <c r="AQ317" s="4">
        <v>0.5</v>
      </c>
      <c r="AR317" s="4">
        <v>0.6</v>
      </c>
      <c r="AS317" s="4">
        <v>0.02</v>
      </c>
      <c r="AT317" s="6">
        <v>814.90594499999997</v>
      </c>
      <c r="AU317" s="4">
        <v>3.3000000000000002E-2</v>
      </c>
      <c r="AW317" s="4" t="s">
        <v>189</v>
      </c>
      <c r="AX317" s="4">
        <v>0.9</v>
      </c>
      <c r="AY317" s="4">
        <v>0.5</v>
      </c>
      <c r="AZ317" s="4">
        <v>0.6</v>
      </c>
      <c r="BA317" s="4">
        <v>0.3</v>
      </c>
      <c r="BB317" s="4">
        <v>1036.4398189999999</v>
      </c>
      <c r="BC317" s="4">
        <v>8.0000000000000002E-3</v>
      </c>
      <c r="BD317" s="5"/>
      <c r="BE317" s="5"/>
      <c r="BF317" s="5"/>
      <c r="BG317" s="5"/>
      <c r="BI317" s="4" t="s">
        <v>189</v>
      </c>
      <c r="BJ317" s="4">
        <v>0.9</v>
      </c>
      <c r="BK317" s="4">
        <v>0.5</v>
      </c>
      <c r="BL317" s="4">
        <v>0.6</v>
      </c>
      <c r="BM317" s="4">
        <v>0.13</v>
      </c>
      <c r="BN317" s="6">
        <v>904.98327600000005</v>
      </c>
      <c r="BO317" s="4">
        <v>1.7999999999999999E-2</v>
      </c>
      <c r="BQ317" s="4" t="s">
        <v>189</v>
      </c>
      <c r="BR317" s="4">
        <v>0.9</v>
      </c>
      <c r="BS317" s="4">
        <v>0.5</v>
      </c>
      <c r="BT317" s="4">
        <v>0.6</v>
      </c>
      <c r="BU317" s="4">
        <v>0.33</v>
      </c>
      <c r="BV317" s="4">
        <v>1036.2261960000001</v>
      </c>
      <c r="BW317" s="4">
        <v>1.2999999999999999E-2</v>
      </c>
      <c r="BX317" s="5"/>
      <c r="BY317" s="5"/>
      <c r="BZ317" s="5"/>
      <c r="CA317" s="5"/>
    </row>
    <row r="318" spans="1:79" x14ac:dyDescent="0.3">
      <c r="A318" s="4" t="s">
        <v>190</v>
      </c>
      <c r="B318" s="4">
        <v>0.9</v>
      </c>
      <c r="C318" s="4">
        <v>0.5</v>
      </c>
      <c r="D318" s="4">
        <v>0.6</v>
      </c>
      <c r="E318" s="4">
        <v>0.7</v>
      </c>
      <c r="F318" s="4">
        <v>769.34985400000005</v>
      </c>
      <c r="G318" s="4">
        <v>1.2999999999999999E-2</v>
      </c>
      <c r="I318" s="4" t="s">
        <v>190</v>
      </c>
      <c r="J318" s="4">
        <v>0.9</v>
      </c>
      <c r="K318" s="4">
        <v>0.5</v>
      </c>
      <c r="L318" s="4">
        <v>0.6</v>
      </c>
      <c r="M318" s="4">
        <v>0.31</v>
      </c>
      <c r="N318" s="6">
        <v>680.29229699999996</v>
      </c>
      <c r="O318" s="4">
        <v>2E-3</v>
      </c>
      <c r="P318" s="5"/>
      <c r="Q318" s="5"/>
      <c r="R318" s="5"/>
      <c r="S318" s="5"/>
      <c r="U318" s="4" t="s">
        <v>190</v>
      </c>
      <c r="V318" s="4">
        <v>0.9</v>
      </c>
      <c r="W318" s="4">
        <v>0.5</v>
      </c>
      <c r="X318" s="4">
        <v>0.6</v>
      </c>
      <c r="Y318" s="4">
        <v>0.94</v>
      </c>
      <c r="Z318" s="4">
        <v>872.66375700000003</v>
      </c>
      <c r="AA318" s="4">
        <v>2.4E-2</v>
      </c>
      <c r="AC318" s="4" t="s">
        <v>190</v>
      </c>
      <c r="AD318" s="4">
        <v>0.9</v>
      </c>
      <c r="AE318" s="4">
        <v>0.5</v>
      </c>
      <c r="AF318" s="4">
        <v>0.6</v>
      </c>
      <c r="AG318" s="4">
        <v>0.35</v>
      </c>
      <c r="AH318" s="6">
        <v>683.91345200000001</v>
      </c>
      <c r="AI318" s="4">
        <v>3.0000000000000001E-3</v>
      </c>
      <c r="AJ318" s="5"/>
      <c r="AK318" s="5"/>
      <c r="AL318" s="5"/>
      <c r="AM318" s="5"/>
      <c r="AO318" s="4" t="s">
        <v>191</v>
      </c>
      <c r="AP318" s="4">
        <v>0.9</v>
      </c>
      <c r="AQ318" s="4">
        <v>0.5</v>
      </c>
      <c r="AR318" s="4">
        <v>0.6</v>
      </c>
      <c r="AS318" s="4">
        <v>0.85</v>
      </c>
      <c r="AT318" s="4">
        <v>1233.317505</v>
      </c>
      <c r="AU318" s="4">
        <v>0.01</v>
      </c>
      <c r="AW318" s="4" t="s">
        <v>191</v>
      </c>
      <c r="AX318" s="4">
        <v>0.9</v>
      </c>
      <c r="AY318" s="4">
        <v>0.5</v>
      </c>
      <c r="AZ318" s="4">
        <v>0.6</v>
      </c>
      <c r="BA318" s="4">
        <v>0.3</v>
      </c>
      <c r="BB318" s="6">
        <v>1014.069824</v>
      </c>
      <c r="BC318" s="4">
        <v>8.9999999999999993E-3</v>
      </c>
      <c r="BD318" s="5"/>
      <c r="BE318" s="5"/>
      <c r="BF318" s="5"/>
      <c r="BG318" s="5"/>
      <c r="BI318" s="4" t="s">
        <v>191</v>
      </c>
      <c r="BJ318" s="4">
        <v>0.9</v>
      </c>
      <c r="BK318" s="4">
        <v>0.5</v>
      </c>
      <c r="BL318" s="4">
        <v>0.6</v>
      </c>
      <c r="BM318" s="4">
        <v>0.9</v>
      </c>
      <c r="BN318" s="4">
        <v>1246.0886230000001</v>
      </c>
      <c r="BO318" s="4">
        <v>2.5999999999999999E-2</v>
      </c>
      <c r="BQ318" s="4" t="s">
        <v>191</v>
      </c>
      <c r="BR318" s="4">
        <v>0.9</v>
      </c>
      <c r="BS318" s="4">
        <v>0.5</v>
      </c>
      <c r="BT318" s="4">
        <v>0.6</v>
      </c>
      <c r="BU318" s="4">
        <v>0.3</v>
      </c>
      <c r="BV318" s="6">
        <v>1027.7303469999999</v>
      </c>
      <c r="BW318" s="4">
        <v>8.9999999999999993E-3</v>
      </c>
      <c r="BX318" s="5"/>
      <c r="BY318" s="5"/>
      <c r="BZ318" s="5"/>
      <c r="CA318" s="5"/>
    </row>
    <row r="319" spans="1:79" x14ac:dyDescent="0.3">
      <c r="A319" s="4" t="s">
        <v>192</v>
      </c>
      <c r="B319" s="4">
        <v>0.9</v>
      </c>
      <c r="C319" s="4">
        <v>0.5</v>
      </c>
      <c r="D319" s="4">
        <v>0.6</v>
      </c>
      <c r="E319" s="4">
        <v>0.45</v>
      </c>
      <c r="F319" s="4">
        <v>873.11462400000005</v>
      </c>
      <c r="G319" s="4">
        <v>1.6E-2</v>
      </c>
      <c r="I319" s="4" t="s">
        <v>192</v>
      </c>
      <c r="J319" s="4">
        <v>0.9</v>
      </c>
      <c r="K319" s="4">
        <v>0.5</v>
      </c>
      <c r="L319" s="4">
        <v>0.6</v>
      </c>
      <c r="M319" s="4">
        <v>0.31</v>
      </c>
      <c r="N319" s="6">
        <v>828.58483899999999</v>
      </c>
      <c r="O319" s="4">
        <v>2E-3</v>
      </c>
      <c r="P319" s="5"/>
      <c r="Q319" s="5"/>
      <c r="R319" s="5"/>
      <c r="S319" s="5"/>
      <c r="U319" s="4" t="s">
        <v>192</v>
      </c>
      <c r="V319" s="4">
        <v>0.9</v>
      </c>
      <c r="W319" s="4">
        <v>0.5</v>
      </c>
      <c r="X319" s="4">
        <v>0.6</v>
      </c>
      <c r="Y319" s="4">
        <v>0.28000000000000003</v>
      </c>
      <c r="Z319" s="4">
        <v>769.28204300000004</v>
      </c>
      <c r="AA319" s="4">
        <v>3.5999999999999997E-2</v>
      </c>
      <c r="AC319" s="4" t="s">
        <v>192</v>
      </c>
      <c r="AD319" s="4">
        <v>0.9</v>
      </c>
      <c r="AE319" s="4">
        <v>0.5</v>
      </c>
      <c r="AF319" s="4">
        <v>0.6</v>
      </c>
      <c r="AG319" s="4">
        <v>0.32</v>
      </c>
      <c r="AH319" s="6">
        <v>768.26385500000004</v>
      </c>
      <c r="AI319" s="4">
        <v>6.0000000000000001E-3</v>
      </c>
      <c r="AJ319" s="5"/>
      <c r="AK319" s="5"/>
      <c r="AL319" s="5"/>
      <c r="AM319" s="5"/>
      <c r="AO319" s="4" t="s">
        <v>193</v>
      </c>
      <c r="AP319" s="4">
        <v>0.9</v>
      </c>
      <c r="AQ319" s="4">
        <v>0.5</v>
      </c>
      <c r="AR319" s="4">
        <v>0.6</v>
      </c>
      <c r="AS319" s="4">
        <v>0.1</v>
      </c>
      <c r="AT319" s="6">
        <v>985.97027600000001</v>
      </c>
      <c r="AU319" s="4">
        <v>0.02</v>
      </c>
      <c r="AW319" s="4" t="s">
        <v>193</v>
      </c>
      <c r="AX319" s="4">
        <v>0.9</v>
      </c>
      <c r="AY319" s="4">
        <v>0.5</v>
      </c>
      <c r="AZ319" s="4">
        <v>0.6</v>
      </c>
      <c r="BA319" s="4">
        <v>0.32</v>
      </c>
      <c r="BB319" s="4">
        <v>1114.960693</v>
      </c>
      <c r="BC319" s="4">
        <v>1.0999999999999999E-2</v>
      </c>
      <c r="BD319" s="5"/>
      <c r="BE319" s="5"/>
      <c r="BF319" s="5"/>
      <c r="BG319" s="5"/>
      <c r="BI319" s="4" t="s">
        <v>193</v>
      </c>
      <c r="BJ319" s="4">
        <v>0.9</v>
      </c>
      <c r="BK319" s="4">
        <v>0.5</v>
      </c>
      <c r="BL319" s="4">
        <v>0.6</v>
      </c>
      <c r="BM319" s="4">
        <v>0.39</v>
      </c>
      <c r="BN319" s="6">
        <v>1129.2817379999999</v>
      </c>
      <c r="BO319" s="4">
        <v>2.5000000000000001E-2</v>
      </c>
      <c r="BQ319" s="4" t="s">
        <v>193</v>
      </c>
      <c r="BR319" s="4">
        <v>0.9</v>
      </c>
      <c r="BS319" s="4">
        <v>0.5</v>
      </c>
      <c r="BT319" s="4">
        <v>0.6</v>
      </c>
      <c r="BU319" s="4">
        <v>0.3</v>
      </c>
      <c r="BV319" s="4">
        <v>1136.14563</v>
      </c>
      <c r="BW319" s="4">
        <v>8.0000000000000002E-3</v>
      </c>
      <c r="BX319" s="5"/>
      <c r="BY319" s="5"/>
      <c r="BZ319" s="5"/>
      <c r="CA319" s="5"/>
    </row>
    <row r="320" spans="1:79" x14ac:dyDescent="0.3">
      <c r="A320" s="14" t="s">
        <v>316</v>
      </c>
      <c r="E320" s="14">
        <f>AVERAGE(E290:E319)</f>
        <v>0.42366666666666664</v>
      </c>
      <c r="I320" s="14" t="s">
        <v>316</v>
      </c>
      <c r="M320" s="14">
        <f>AVERAGE(M290:M319)</f>
        <v>0.31599999999999995</v>
      </c>
      <c r="U320" s="14" t="s">
        <v>316</v>
      </c>
      <c r="Y320" s="14">
        <f>AVERAGE(Y290:Y319)</f>
        <v>0.43299999999999994</v>
      </c>
      <c r="AC320" s="14" t="s">
        <v>316</v>
      </c>
      <c r="AG320" s="14">
        <f>AVERAGE(AG290:AG319)</f>
        <v>0.33066666666666666</v>
      </c>
      <c r="AO320" s="14" t="s">
        <v>316</v>
      </c>
      <c r="AS320" s="14">
        <f>AVERAGE(AS290:AS319)</f>
        <v>0.4986666666666667</v>
      </c>
      <c r="AW320" s="14" t="s">
        <v>316</v>
      </c>
      <c r="BA320" s="14">
        <f>AVERAGE(BA290:BA319)</f>
        <v>0.316</v>
      </c>
      <c r="BI320" s="14" t="s">
        <v>316</v>
      </c>
      <c r="BM320" s="14">
        <f>AVERAGE(BM290:BM319)</f>
        <v>0.42333333333333328</v>
      </c>
      <c r="BQ320" s="14" t="s">
        <v>316</v>
      </c>
      <c r="BU320" s="14">
        <f>AVERAGE(BU290:BU319)</f>
        <v>0.31166666666666665</v>
      </c>
    </row>
    <row r="321" spans="1:79" s="1" customFormat="1" x14ac:dyDescent="0.3"/>
    <row r="322" spans="1:79" x14ac:dyDescent="0.3">
      <c r="A322" s="24" t="s">
        <v>314</v>
      </c>
      <c r="B322" s="25"/>
      <c r="C322" s="25"/>
      <c r="D322" s="25"/>
      <c r="E322" s="25"/>
      <c r="F322" s="25"/>
      <c r="G322" s="26"/>
      <c r="I322" s="23" t="s">
        <v>314</v>
      </c>
      <c r="J322" s="23"/>
      <c r="K322" s="23"/>
      <c r="L322" s="23"/>
      <c r="M322" s="23"/>
      <c r="N322" s="23"/>
      <c r="O322" s="23"/>
      <c r="P322" s="11"/>
      <c r="Q322" s="11"/>
      <c r="R322" s="11"/>
      <c r="S322" s="11"/>
      <c r="U322" s="24" t="s">
        <v>314</v>
      </c>
      <c r="V322" s="25"/>
      <c r="W322" s="25"/>
      <c r="X322" s="25"/>
      <c r="Y322" s="25"/>
      <c r="Z322" s="25"/>
      <c r="AA322" s="26"/>
      <c r="AC322" s="23" t="s">
        <v>314</v>
      </c>
      <c r="AD322" s="23"/>
      <c r="AE322" s="23"/>
      <c r="AF322" s="23"/>
      <c r="AG322" s="23"/>
      <c r="AH322" s="23"/>
      <c r="AI322" s="23"/>
      <c r="AJ322" s="11"/>
      <c r="AK322" s="11"/>
      <c r="AL322" s="11"/>
      <c r="AM322" s="11"/>
      <c r="AO322" s="24" t="s">
        <v>314</v>
      </c>
      <c r="AP322" s="25"/>
      <c r="AQ322" s="25"/>
      <c r="AR322" s="25"/>
      <c r="AS322" s="25"/>
      <c r="AT322" s="25"/>
      <c r="AU322" s="26"/>
      <c r="AW322" s="23" t="s">
        <v>314</v>
      </c>
      <c r="AX322" s="23"/>
      <c r="AY322" s="23"/>
      <c r="AZ322" s="23"/>
      <c r="BA322" s="23"/>
      <c r="BB322" s="23"/>
      <c r="BC322" s="23"/>
      <c r="BD322" s="11"/>
      <c r="BE322" s="11"/>
      <c r="BF322" s="11"/>
      <c r="BG322" s="11"/>
      <c r="BI322" s="24" t="s">
        <v>314</v>
      </c>
      <c r="BJ322" s="25"/>
      <c r="BK322" s="25"/>
      <c r="BL322" s="25"/>
      <c r="BM322" s="25"/>
      <c r="BN322" s="25"/>
      <c r="BO322" s="26"/>
      <c r="BQ322" s="23" t="s">
        <v>314</v>
      </c>
      <c r="BR322" s="23"/>
      <c r="BS322" s="23"/>
      <c r="BT322" s="23"/>
      <c r="BU322" s="23"/>
      <c r="BV322" s="23"/>
      <c r="BW322" s="23"/>
      <c r="BX322" s="11"/>
      <c r="BY322" s="11"/>
      <c r="BZ322" s="11"/>
      <c r="CA322" s="11"/>
    </row>
    <row r="323" spans="1:79" x14ac:dyDescent="0.3">
      <c r="A323" s="4" t="s">
        <v>0</v>
      </c>
      <c r="B323" s="4"/>
      <c r="C323" s="4"/>
      <c r="D323" s="4"/>
      <c r="E323" s="4"/>
      <c r="F323" s="4"/>
      <c r="G323" s="4"/>
      <c r="I323" s="23" t="s">
        <v>0</v>
      </c>
      <c r="J323" s="23"/>
      <c r="K323" s="23"/>
      <c r="L323" s="23"/>
      <c r="M323" s="23"/>
      <c r="N323" s="23"/>
      <c r="O323" s="23"/>
      <c r="P323" s="5"/>
      <c r="Q323" s="5"/>
      <c r="R323" s="5"/>
      <c r="S323" s="5"/>
      <c r="U323" s="4" t="s">
        <v>1</v>
      </c>
      <c r="V323" s="4"/>
      <c r="W323" s="4"/>
      <c r="X323" s="4"/>
      <c r="Y323" s="4"/>
      <c r="Z323" s="4"/>
      <c r="AA323" s="4"/>
      <c r="AC323" s="23" t="s">
        <v>1</v>
      </c>
      <c r="AD323" s="23"/>
      <c r="AE323" s="23"/>
      <c r="AF323" s="23"/>
      <c r="AG323" s="23"/>
      <c r="AH323" s="23"/>
      <c r="AI323" s="23"/>
      <c r="AJ323" s="5"/>
      <c r="AK323" s="5"/>
      <c r="AL323" s="5"/>
      <c r="AM323" s="5"/>
      <c r="AO323" s="4" t="s">
        <v>0</v>
      </c>
      <c r="AP323" s="4"/>
      <c r="AQ323" s="4"/>
      <c r="AR323" s="4"/>
      <c r="AS323" s="4"/>
      <c r="AT323" s="4"/>
      <c r="AU323" s="4"/>
      <c r="AW323" s="23" t="s">
        <v>0</v>
      </c>
      <c r="AX323" s="23"/>
      <c r="AY323" s="23"/>
      <c r="AZ323" s="23"/>
      <c r="BA323" s="23"/>
      <c r="BB323" s="23"/>
      <c r="BC323" s="23"/>
      <c r="BD323" s="5"/>
      <c r="BE323" s="5"/>
      <c r="BF323" s="5"/>
      <c r="BG323" s="5"/>
      <c r="BI323" s="4" t="s">
        <v>1</v>
      </c>
      <c r="BJ323" s="4"/>
      <c r="BK323" s="4"/>
      <c r="BL323" s="4"/>
      <c r="BM323" s="4"/>
      <c r="BN323" s="4"/>
      <c r="BO323" s="4"/>
      <c r="BQ323" s="23" t="s">
        <v>1</v>
      </c>
      <c r="BR323" s="23"/>
      <c r="BS323" s="23"/>
      <c r="BT323" s="23"/>
      <c r="BU323" s="23"/>
      <c r="BV323" s="23"/>
      <c r="BW323" s="23"/>
      <c r="BX323" s="5"/>
      <c r="BY323" s="5"/>
      <c r="BZ323" s="5"/>
      <c r="CA323" s="5"/>
    </row>
    <row r="324" spans="1:79" x14ac:dyDescent="0.3">
      <c r="A324" s="4" t="s">
        <v>2</v>
      </c>
      <c r="B324" s="4" t="s">
        <v>3</v>
      </c>
      <c r="C324" s="4" t="s">
        <v>4</v>
      </c>
      <c r="D324" s="4" t="s">
        <v>5</v>
      </c>
      <c r="E324" s="4" t="s">
        <v>6</v>
      </c>
      <c r="F324" s="4" t="s">
        <v>7</v>
      </c>
      <c r="G324" s="4" t="s">
        <v>8</v>
      </c>
      <c r="I324" s="4" t="s">
        <v>2</v>
      </c>
      <c r="J324" s="4" t="s">
        <v>3</v>
      </c>
      <c r="K324" s="4" t="s">
        <v>4</v>
      </c>
      <c r="L324" s="4" t="s">
        <v>5</v>
      </c>
      <c r="M324" s="4" t="s">
        <v>6</v>
      </c>
      <c r="N324" s="4" t="s">
        <v>7</v>
      </c>
      <c r="O324" s="4" t="s">
        <v>8</v>
      </c>
      <c r="P324" s="3" t="s">
        <v>322</v>
      </c>
      <c r="Q324" s="3" t="s">
        <v>323</v>
      </c>
      <c r="R324" s="3" t="s">
        <v>322</v>
      </c>
      <c r="S324" s="3" t="s">
        <v>323</v>
      </c>
      <c r="U324" s="4" t="s">
        <v>2</v>
      </c>
      <c r="V324" s="4" t="s">
        <v>3</v>
      </c>
      <c r="W324" s="4" t="s">
        <v>4</v>
      </c>
      <c r="X324" s="4" t="s">
        <v>5</v>
      </c>
      <c r="Y324" s="4" t="s">
        <v>6</v>
      </c>
      <c r="Z324" s="4" t="s">
        <v>7</v>
      </c>
      <c r="AA324" s="4" t="s">
        <v>8</v>
      </c>
      <c r="AC324" s="4" t="s">
        <v>2</v>
      </c>
      <c r="AD324" s="4" t="s">
        <v>3</v>
      </c>
      <c r="AE324" s="4" t="s">
        <v>4</v>
      </c>
      <c r="AF324" s="4" t="s">
        <v>5</v>
      </c>
      <c r="AG324" s="4" t="s">
        <v>6</v>
      </c>
      <c r="AH324" s="4" t="s">
        <v>7</v>
      </c>
      <c r="AI324" s="4" t="s">
        <v>8</v>
      </c>
      <c r="AJ324" s="3" t="s">
        <v>322</v>
      </c>
      <c r="AK324" s="3" t="s">
        <v>323</v>
      </c>
      <c r="AL324" s="3" t="s">
        <v>322</v>
      </c>
      <c r="AM324" s="3" t="s">
        <v>323</v>
      </c>
      <c r="AO324" s="4" t="s">
        <v>2</v>
      </c>
      <c r="AP324" s="4" t="s">
        <v>3</v>
      </c>
      <c r="AQ324" s="4" t="s">
        <v>4</v>
      </c>
      <c r="AR324" s="4" t="s">
        <v>5</v>
      </c>
      <c r="AS324" s="4" t="s">
        <v>6</v>
      </c>
      <c r="AT324" s="4" t="s">
        <v>7</v>
      </c>
      <c r="AU324" s="4" t="s">
        <v>8</v>
      </c>
      <c r="AW324" s="4" t="s">
        <v>2</v>
      </c>
      <c r="AX324" s="4" t="s">
        <v>3</v>
      </c>
      <c r="AY324" s="4" t="s">
        <v>4</v>
      </c>
      <c r="AZ324" s="4" t="s">
        <v>5</v>
      </c>
      <c r="BA324" s="4" t="s">
        <v>6</v>
      </c>
      <c r="BB324" s="4" t="s">
        <v>7</v>
      </c>
      <c r="BC324" s="4" t="s">
        <v>8</v>
      </c>
      <c r="BD324" s="3" t="s">
        <v>322</v>
      </c>
      <c r="BE324" s="3" t="s">
        <v>323</v>
      </c>
      <c r="BF324" s="3" t="s">
        <v>322</v>
      </c>
      <c r="BG324" s="3" t="s">
        <v>323</v>
      </c>
      <c r="BI324" s="4" t="s">
        <v>2</v>
      </c>
      <c r="BJ324" s="4" t="s">
        <v>3</v>
      </c>
      <c r="BK324" s="4" t="s">
        <v>4</v>
      </c>
      <c r="BL324" s="4" t="s">
        <v>5</v>
      </c>
      <c r="BM324" s="4" t="s">
        <v>6</v>
      </c>
      <c r="BN324" s="4" t="s">
        <v>7</v>
      </c>
      <c r="BO324" s="4" t="s">
        <v>8</v>
      </c>
      <c r="BQ324" s="4" t="s">
        <v>2</v>
      </c>
      <c r="BR324" s="4" t="s">
        <v>3</v>
      </c>
      <c r="BS324" s="4" t="s">
        <v>4</v>
      </c>
      <c r="BT324" s="4" t="s">
        <v>5</v>
      </c>
      <c r="BU324" s="4" t="s">
        <v>6</v>
      </c>
      <c r="BV324" s="4" t="s">
        <v>7</v>
      </c>
      <c r="BW324" s="4" t="s">
        <v>8</v>
      </c>
      <c r="BX324" s="3" t="s">
        <v>322</v>
      </c>
      <c r="BY324" s="3" t="s">
        <v>323</v>
      </c>
      <c r="BZ324" s="3" t="s">
        <v>322</v>
      </c>
      <c r="CA324" s="3" t="s">
        <v>323</v>
      </c>
    </row>
    <row r="325" spans="1:79" x14ac:dyDescent="0.3">
      <c r="A325" s="4" t="s">
        <v>194</v>
      </c>
      <c r="B325" s="4">
        <v>0.9</v>
      </c>
      <c r="C325" s="4">
        <v>0.5</v>
      </c>
      <c r="D325" s="4">
        <v>0.6</v>
      </c>
      <c r="E325" s="4">
        <v>0.01</v>
      </c>
      <c r="F325" s="6">
        <v>660.891479</v>
      </c>
      <c r="G325" s="4">
        <v>1.4E-2</v>
      </c>
      <c r="I325" s="4" t="s">
        <v>194</v>
      </c>
      <c r="J325" s="4">
        <v>0.9</v>
      </c>
      <c r="K325" s="4">
        <v>0.5</v>
      </c>
      <c r="L325" s="4">
        <v>0.6</v>
      </c>
      <c r="M325" s="4">
        <v>0.3</v>
      </c>
      <c r="N325" s="4">
        <v>668.95550500000002</v>
      </c>
      <c r="O325" s="4">
        <v>2E-3</v>
      </c>
      <c r="P325" s="4" t="s">
        <v>327</v>
      </c>
      <c r="Q325" s="4" t="s">
        <v>327</v>
      </c>
      <c r="R325" s="4" t="s">
        <v>326</v>
      </c>
      <c r="S325" s="4" t="s">
        <v>326</v>
      </c>
      <c r="U325" s="4" t="s">
        <v>194</v>
      </c>
      <c r="V325" s="4">
        <v>0.9</v>
      </c>
      <c r="W325" s="4">
        <v>0.5</v>
      </c>
      <c r="X325" s="4">
        <v>0.6</v>
      </c>
      <c r="Y325" s="4">
        <v>0.01</v>
      </c>
      <c r="Z325" s="6">
        <v>641.78924600000005</v>
      </c>
      <c r="AA325" s="4">
        <v>1.7000000000000001E-2</v>
      </c>
      <c r="AC325" s="4" t="s">
        <v>194</v>
      </c>
      <c r="AD325" s="4">
        <v>0.9</v>
      </c>
      <c r="AE325" s="4">
        <v>0.5</v>
      </c>
      <c r="AF325" s="4">
        <v>0.6</v>
      </c>
      <c r="AG325" s="4">
        <v>0.32</v>
      </c>
      <c r="AH325" s="4">
        <v>652.45251499999995</v>
      </c>
      <c r="AI325" s="4">
        <v>2E-3</v>
      </c>
      <c r="AJ325" s="4" t="s">
        <v>327</v>
      </c>
      <c r="AK325" s="4" t="s">
        <v>327</v>
      </c>
      <c r="AL325" s="4" t="s">
        <v>326</v>
      </c>
      <c r="AM325" s="4" t="s">
        <v>326</v>
      </c>
      <c r="AO325" s="4" t="s">
        <v>195</v>
      </c>
      <c r="AP325" s="4">
        <v>0.9</v>
      </c>
      <c r="AQ325" s="4">
        <v>0.5</v>
      </c>
      <c r="AR325" s="4">
        <v>0.6</v>
      </c>
      <c r="AS325" s="4">
        <v>0.01</v>
      </c>
      <c r="AT325" s="6">
        <v>830.61834699999997</v>
      </c>
      <c r="AU325" s="4">
        <v>3.2000000000000001E-2</v>
      </c>
      <c r="AW325" s="4" t="s">
        <v>195</v>
      </c>
      <c r="AX325" s="4">
        <v>0.9</v>
      </c>
      <c r="AY325" s="4">
        <v>0.5</v>
      </c>
      <c r="AZ325" s="4">
        <v>0.6</v>
      </c>
      <c r="BA325" s="4">
        <v>0.33</v>
      </c>
      <c r="BB325" s="4">
        <v>1004.574036</v>
      </c>
      <c r="BC325" s="4">
        <v>8.9999999999999993E-3</v>
      </c>
      <c r="BD325" s="4" t="s">
        <v>327</v>
      </c>
      <c r="BE325" s="4" t="s">
        <v>327</v>
      </c>
      <c r="BF325" s="4" t="s">
        <v>326</v>
      </c>
      <c r="BG325" s="4" t="s">
        <v>326</v>
      </c>
      <c r="BI325" s="4" t="s">
        <v>195</v>
      </c>
      <c r="BJ325" s="4">
        <v>0.9</v>
      </c>
      <c r="BK325" s="4">
        <v>0.5</v>
      </c>
      <c r="BL325" s="4">
        <v>0.6</v>
      </c>
      <c r="BM325" s="4">
        <v>0.01</v>
      </c>
      <c r="BN325" s="6">
        <v>760.58209199999999</v>
      </c>
      <c r="BO325" s="4">
        <v>1.4999999999999999E-2</v>
      </c>
      <c r="BQ325" s="4" t="s">
        <v>195</v>
      </c>
      <c r="BR325" s="4">
        <v>0.9</v>
      </c>
      <c r="BS325" s="4">
        <v>0.5</v>
      </c>
      <c r="BT325" s="4">
        <v>0.6</v>
      </c>
      <c r="BU325" s="4">
        <v>0.32</v>
      </c>
      <c r="BV325" s="4">
        <v>967.21191399999998</v>
      </c>
      <c r="BW325" s="4">
        <v>7.0000000000000001E-3</v>
      </c>
      <c r="BX325" s="4" t="s">
        <v>327</v>
      </c>
      <c r="BY325" s="4" t="s">
        <v>327</v>
      </c>
      <c r="BZ325" s="4" t="s">
        <v>326</v>
      </c>
      <c r="CA325" s="4" t="s">
        <v>326</v>
      </c>
    </row>
    <row r="326" spans="1:79" x14ac:dyDescent="0.3">
      <c r="A326" s="4" t="s">
        <v>196</v>
      </c>
      <c r="B326" s="4">
        <v>0.9</v>
      </c>
      <c r="C326" s="4">
        <v>0.5</v>
      </c>
      <c r="D326" s="4">
        <v>0.6</v>
      </c>
      <c r="E326" s="4">
        <v>0.26</v>
      </c>
      <c r="F326" s="6">
        <v>628.17627000000005</v>
      </c>
      <c r="G326" s="4">
        <v>0.02</v>
      </c>
      <c r="I326" s="4" t="s">
        <v>196</v>
      </c>
      <c r="J326" s="4">
        <v>0.9</v>
      </c>
      <c r="K326" s="4">
        <v>0.5</v>
      </c>
      <c r="L326" s="4">
        <v>0.6</v>
      </c>
      <c r="M326" s="4">
        <v>0.3</v>
      </c>
      <c r="N326" s="4">
        <v>650.28527799999995</v>
      </c>
      <c r="O326" s="4">
        <v>2E-3</v>
      </c>
      <c r="P326" s="3">
        <f>COUNT(F325:F328,F330,F332,F334:F335,F339:F342,F344:F346,F351,F354)</f>
        <v>17</v>
      </c>
      <c r="Q326" s="3">
        <f>30-P326</f>
        <v>13</v>
      </c>
      <c r="R326" s="3">
        <f>COUNT(N329,N331,N333,N336:N338,N343,N347:N350,N352:N353)</f>
        <v>13</v>
      </c>
      <c r="S326" s="3">
        <f>30-R326</f>
        <v>17</v>
      </c>
      <c r="U326" s="4" t="s">
        <v>196</v>
      </c>
      <c r="V326" s="4">
        <v>0.9</v>
      </c>
      <c r="W326" s="4">
        <v>0.5</v>
      </c>
      <c r="X326" s="4">
        <v>0.6</v>
      </c>
      <c r="Y326" s="4">
        <v>0.04</v>
      </c>
      <c r="Z326" s="6">
        <v>556.16241500000001</v>
      </c>
      <c r="AA326" s="4">
        <v>7.0000000000000001E-3</v>
      </c>
      <c r="AC326" s="4" t="s">
        <v>196</v>
      </c>
      <c r="AD326" s="4">
        <v>0.9</v>
      </c>
      <c r="AE326" s="4">
        <v>0.5</v>
      </c>
      <c r="AF326" s="4">
        <v>0.6</v>
      </c>
      <c r="AG326" s="4">
        <v>0.3</v>
      </c>
      <c r="AH326" s="4">
        <v>627.453979</v>
      </c>
      <c r="AI326" s="4">
        <v>2E-3</v>
      </c>
      <c r="AJ326" s="3">
        <f>COUNT(Z325:Z326,Z335,Z340:Z341,Z344,Z350,Z352)</f>
        <v>8</v>
      </c>
      <c r="AK326" s="3">
        <f>30-AJ326</f>
        <v>22</v>
      </c>
      <c r="AL326" s="3">
        <f>COUNT(AH327:AH334,AH336:AH339,AH342:AH343,AH345:AH349,AH351,AH353:AH354)</f>
        <v>22</v>
      </c>
      <c r="AM326" s="3">
        <f>30-AL326</f>
        <v>8</v>
      </c>
      <c r="AO326" s="4" t="s">
        <v>197</v>
      </c>
      <c r="AP326" s="4">
        <v>0.9</v>
      </c>
      <c r="AQ326" s="4">
        <v>0.5</v>
      </c>
      <c r="AR326" s="4">
        <v>0.6</v>
      </c>
      <c r="AS326" s="4">
        <v>0.32</v>
      </c>
      <c r="AT326" s="4">
        <v>950.97778300000004</v>
      </c>
      <c r="AU326" s="4">
        <v>1.7999999999999999E-2</v>
      </c>
      <c r="AW326" s="4" t="s">
        <v>197</v>
      </c>
      <c r="AX326" s="4">
        <v>0.9</v>
      </c>
      <c r="AY326" s="4">
        <v>0.5</v>
      </c>
      <c r="AZ326" s="4">
        <v>0.6</v>
      </c>
      <c r="BA326" s="4">
        <v>0.36</v>
      </c>
      <c r="BB326" s="6">
        <v>947.61779799999999</v>
      </c>
      <c r="BC326" s="4">
        <v>0.01</v>
      </c>
      <c r="BD326" s="3">
        <f>COUNT(AT325,AT329,AT334:AT335,AT338,AT343,AT350:AT354)</f>
        <v>11</v>
      </c>
      <c r="BE326" s="3">
        <f>30-BD326</f>
        <v>19</v>
      </c>
      <c r="BF326" s="3">
        <f>COUNT(BB326:BB328,BB330:BB333,BB336:BB337,BB339:BB342,BB344:BB349)</f>
        <v>19</v>
      </c>
      <c r="BG326" s="3">
        <f>30-BF326</f>
        <v>11</v>
      </c>
      <c r="BI326" s="4" t="s">
        <v>197</v>
      </c>
      <c r="BJ326" s="4">
        <v>0.9</v>
      </c>
      <c r="BK326" s="4">
        <v>0.5</v>
      </c>
      <c r="BL326" s="4">
        <v>0.6</v>
      </c>
      <c r="BM326" s="4">
        <v>0.55000000000000004</v>
      </c>
      <c r="BN326" s="4">
        <v>965.54949999999997</v>
      </c>
      <c r="BO326" s="4">
        <v>0.03</v>
      </c>
      <c r="BQ326" s="4" t="s">
        <v>197</v>
      </c>
      <c r="BR326" s="4">
        <v>0.9</v>
      </c>
      <c r="BS326" s="4">
        <v>0.5</v>
      </c>
      <c r="BT326" s="4">
        <v>0.6</v>
      </c>
      <c r="BU326" s="4">
        <v>0.3</v>
      </c>
      <c r="BV326" s="6">
        <v>891.104736</v>
      </c>
      <c r="BW326" s="4">
        <v>6.0000000000000001E-3</v>
      </c>
      <c r="BX326" s="3">
        <f>COUNT(BN325,BN328:BN329,BN334,BN336,BN339,BN342:BN343,BN347:BN348)</f>
        <v>10</v>
      </c>
      <c r="BY326" s="3">
        <f>30-BX326</f>
        <v>20</v>
      </c>
      <c r="BZ326" s="3">
        <f>COUNT(BV326:BV327,BV330:BV333,BV335,BV337:BV338,BV340:BV341,BV344:BV346,BV349:BV354)</f>
        <v>20</v>
      </c>
      <c r="CA326" s="3">
        <f>30-BZ326</f>
        <v>10</v>
      </c>
    </row>
    <row r="327" spans="1:79" x14ac:dyDescent="0.3">
      <c r="A327" s="4" t="s">
        <v>198</v>
      </c>
      <c r="B327" s="4">
        <v>0.9</v>
      </c>
      <c r="C327" s="4">
        <v>0.5</v>
      </c>
      <c r="D327" s="4">
        <v>0.6</v>
      </c>
      <c r="E327" s="4">
        <v>0.27</v>
      </c>
      <c r="F327" s="6">
        <v>625.83960000000002</v>
      </c>
      <c r="G327" s="4">
        <v>1.2999999999999999E-2</v>
      </c>
      <c r="I327" s="4" t="s">
        <v>198</v>
      </c>
      <c r="J327" s="4">
        <v>0.9</v>
      </c>
      <c r="K327" s="4">
        <v>0.5</v>
      </c>
      <c r="L327" s="4">
        <v>0.6</v>
      </c>
      <c r="M327" s="4">
        <v>0.32</v>
      </c>
      <c r="N327" s="4">
        <v>631.75915499999996</v>
      </c>
      <c r="O327" s="4">
        <v>2E-3</v>
      </c>
      <c r="P327" s="5"/>
      <c r="Q327" s="5"/>
      <c r="R327" s="5"/>
      <c r="S327" s="5"/>
      <c r="U327" s="4" t="s">
        <v>198</v>
      </c>
      <c r="V327" s="4">
        <v>0.9</v>
      </c>
      <c r="W327" s="4">
        <v>0.5</v>
      </c>
      <c r="X327" s="4">
        <v>0.6</v>
      </c>
      <c r="Y327" s="4">
        <v>0.94</v>
      </c>
      <c r="Z327" s="4">
        <v>679.36816399999998</v>
      </c>
      <c r="AA327" s="4">
        <v>1.0999999999999999E-2</v>
      </c>
      <c r="AC327" s="4" t="s">
        <v>198</v>
      </c>
      <c r="AD327" s="4">
        <v>0.9</v>
      </c>
      <c r="AE327" s="4">
        <v>0.5</v>
      </c>
      <c r="AF327" s="4">
        <v>0.6</v>
      </c>
      <c r="AG327" s="4">
        <v>0.31</v>
      </c>
      <c r="AH327" s="6">
        <v>580.98089600000003</v>
      </c>
      <c r="AI327" s="4">
        <v>2E-3</v>
      </c>
      <c r="AJ327" s="5"/>
      <c r="AK327" s="5"/>
      <c r="AL327" s="5"/>
      <c r="AM327" s="5"/>
      <c r="AO327" s="4" t="s">
        <v>199</v>
      </c>
      <c r="AP327" s="4">
        <v>0.9</v>
      </c>
      <c r="AQ327" s="4">
        <v>0.5</v>
      </c>
      <c r="AR327" s="4">
        <v>0.6</v>
      </c>
      <c r="AS327" s="4">
        <v>0.89</v>
      </c>
      <c r="AT327" s="4">
        <v>1123.2719729999999</v>
      </c>
      <c r="AU327" s="4">
        <v>3.5999999999999997E-2</v>
      </c>
      <c r="AW327" s="4" t="s">
        <v>199</v>
      </c>
      <c r="AX327" s="4">
        <v>0.9</v>
      </c>
      <c r="AY327" s="4">
        <v>0.5</v>
      </c>
      <c r="AZ327" s="4">
        <v>0.6</v>
      </c>
      <c r="BA327" s="4">
        <v>0.32</v>
      </c>
      <c r="BB327" s="6">
        <v>964.45263699999998</v>
      </c>
      <c r="BC327" s="4">
        <v>0.01</v>
      </c>
      <c r="BD327" s="5"/>
      <c r="BE327" s="5"/>
      <c r="BF327" s="5"/>
      <c r="BG327" s="5"/>
      <c r="BI327" s="4" t="s">
        <v>199</v>
      </c>
      <c r="BJ327" s="4">
        <v>0.9</v>
      </c>
      <c r="BK327" s="4">
        <v>0.5</v>
      </c>
      <c r="BL327" s="4">
        <v>0.6</v>
      </c>
      <c r="BM327" s="4">
        <v>0.97</v>
      </c>
      <c r="BN327" s="4">
        <v>1109.735107</v>
      </c>
      <c r="BO327" s="4">
        <v>1.7000000000000001E-2</v>
      </c>
      <c r="BQ327" s="4" t="s">
        <v>199</v>
      </c>
      <c r="BR327" s="4">
        <v>0.9</v>
      </c>
      <c r="BS327" s="4">
        <v>0.5</v>
      </c>
      <c r="BT327" s="4">
        <v>0.6</v>
      </c>
      <c r="BU327" s="4">
        <v>0.31</v>
      </c>
      <c r="BV327" s="6">
        <v>935.35540800000001</v>
      </c>
      <c r="BW327" s="4">
        <v>7.0000000000000001E-3</v>
      </c>
      <c r="BX327" s="5"/>
      <c r="BY327" s="5"/>
      <c r="BZ327" s="5"/>
      <c r="CA327" s="5"/>
    </row>
    <row r="328" spans="1:79" x14ac:dyDescent="0.3">
      <c r="A328" s="4" t="s">
        <v>200</v>
      </c>
      <c r="B328" s="4">
        <v>0.9</v>
      </c>
      <c r="C328" s="4">
        <v>0.5</v>
      </c>
      <c r="D328" s="4">
        <v>0.6</v>
      </c>
      <c r="E328" s="4">
        <v>0.28000000000000003</v>
      </c>
      <c r="F328" s="6">
        <v>592.60784899999999</v>
      </c>
      <c r="G328" s="4">
        <v>1.4E-2</v>
      </c>
      <c r="I328" s="4" t="s">
        <v>200</v>
      </c>
      <c r="J328" s="4">
        <v>0.9</v>
      </c>
      <c r="K328" s="4">
        <v>0.5</v>
      </c>
      <c r="L328" s="4">
        <v>0.6</v>
      </c>
      <c r="M328" s="4">
        <v>0.31</v>
      </c>
      <c r="N328" s="4">
        <v>598.37329099999999</v>
      </c>
      <c r="O328" s="4">
        <v>2E-3</v>
      </c>
      <c r="P328" s="5"/>
      <c r="Q328" s="5"/>
      <c r="R328" s="5"/>
      <c r="S328" s="5"/>
      <c r="U328" s="4" t="s">
        <v>200</v>
      </c>
      <c r="V328" s="4">
        <v>0.9</v>
      </c>
      <c r="W328" s="4">
        <v>0.5</v>
      </c>
      <c r="X328" s="4">
        <v>0.6</v>
      </c>
      <c r="Y328" s="4">
        <v>0.35</v>
      </c>
      <c r="Z328" s="4">
        <v>545.64605700000004</v>
      </c>
      <c r="AA328" s="4">
        <v>1.0999999999999999E-2</v>
      </c>
      <c r="AC328" s="4" t="s">
        <v>200</v>
      </c>
      <c r="AD328" s="4">
        <v>0.9</v>
      </c>
      <c r="AE328" s="4">
        <v>0.5</v>
      </c>
      <c r="AF328" s="4">
        <v>0.6</v>
      </c>
      <c r="AG328" s="4">
        <v>0.3</v>
      </c>
      <c r="AH328" s="6">
        <v>524.94604500000003</v>
      </c>
      <c r="AI328" s="4">
        <v>2E-3</v>
      </c>
      <c r="AJ328" s="5"/>
      <c r="AK328" s="5"/>
      <c r="AL328" s="5"/>
      <c r="AM328" s="5"/>
      <c r="AO328" s="4" t="s">
        <v>201</v>
      </c>
      <c r="AP328" s="4">
        <v>0.9</v>
      </c>
      <c r="AQ328" s="4">
        <v>0.5</v>
      </c>
      <c r="AR328" s="4">
        <v>0.6</v>
      </c>
      <c r="AS328" s="4">
        <v>0.61</v>
      </c>
      <c r="AT328" s="4">
        <v>1111.361938</v>
      </c>
      <c r="AU328" s="4">
        <v>1.6E-2</v>
      </c>
      <c r="AW328" s="4" t="s">
        <v>201</v>
      </c>
      <c r="AX328" s="4">
        <v>0.9</v>
      </c>
      <c r="AY328" s="4">
        <v>0.5</v>
      </c>
      <c r="AZ328" s="4">
        <v>0.6</v>
      </c>
      <c r="BA328" s="4">
        <v>0.32</v>
      </c>
      <c r="BB328" s="6">
        <v>1008.464783</v>
      </c>
      <c r="BC328" s="4">
        <v>8.9999999999999993E-3</v>
      </c>
      <c r="BD328" s="5"/>
      <c r="BE328" s="5"/>
      <c r="BF328" s="5"/>
      <c r="BG328" s="5"/>
      <c r="BI328" s="4" t="s">
        <v>201</v>
      </c>
      <c r="BJ328" s="4">
        <v>0.9</v>
      </c>
      <c r="BK328" s="4">
        <v>0.5</v>
      </c>
      <c r="BL328" s="4">
        <v>0.6</v>
      </c>
      <c r="BM328" s="4">
        <v>0.14000000000000001</v>
      </c>
      <c r="BN328" s="6">
        <v>860.91711399999997</v>
      </c>
      <c r="BO328" s="4">
        <v>2.1999999999999999E-2</v>
      </c>
      <c r="BQ328" s="4" t="s">
        <v>201</v>
      </c>
      <c r="BR328" s="4">
        <v>0.9</v>
      </c>
      <c r="BS328" s="4">
        <v>0.5</v>
      </c>
      <c r="BT328" s="4">
        <v>0.6</v>
      </c>
      <c r="BU328" s="4">
        <v>0.3</v>
      </c>
      <c r="BV328" s="4">
        <v>963.473389</v>
      </c>
      <c r="BW328" s="4">
        <v>7.0000000000000001E-3</v>
      </c>
      <c r="BX328" s="5"/>
      <c r="BY328" s="5"/>
      <c r="BZ328" s="5"/>
      <c r="CA328" s="5"/>
    </row>
    <row r="329" spans="1:79" x14ac:dyDescent="0.3">
      <c r="A329" s="4" t="s">
        <v>202</v>
      </c>
      <c r="B329" s="4">
        <v>0.9</v>
      </c>
      <c r="C329" s="4">
        <v>0.5</v>
      </c>
      <c r="D329" s="4">
        <v>0.6</v>
      </c>
      <c r="E329" s="4">
        <v>0.9</v>
      </c>
      <c r="F329" s="4">
        <v>713.09594700000002</v>
      </c>
      <c r="G329" s="4">
        <v>0.02</v>
      </c>
      <c r="I329" s="4" t="s">
        <v>202</v>
      </c>
      <c r="J329" s="4">
        <v>0.9</v>
      </c>
      <c r="K329" s="4">
        <v>0.5</v>
      </c>
      <c r="L329" s="4">
        <v>0.6</v>
      </c>
      <c r="M329" s="4">
        <v>0.33</v>
      </c>
      <c r="N329" s="6">
        <v>605.262878</v>
      </c>
      <c r="O329" s="4">
        <v>2E-3</v>
      </c>
      <c r="P329" s="5"/>
      <c r="Q329" s="5"/>
      <c r="R329" s="5"/>
      <c r="S329" s="5"/>
      <c r="U329" s="4" t="s">
        <v>202</v>
      </c>
      <c r="V329" s="4">
        <v>0.9</v>
      </c>
      <c r="W329" s="4">
        <v>0.5</v>
      </c>
      <c r="X329" s="4">
        <v>0.6</v>
      </c>
      <c r="Y329" s="4">
        <v>0.78</v>
      </c>
      <c r="Z329" s="4">
        <v>640.15783699999997</v>
      </c>
      <c r="AA329" s="4">
        <v>1.4E-2</v>
      </c>
      <c r="AC329" s="4" t="s">
        <v>202</v>
      </c>
      <c r="AD329" s="4">
        <v>0.9</v>
      </c>
      <c r="AE329" s="4">
        <v>0.5</v>
      </c>
      <c r="AF329" s="4">
        <v>0.6</v>
      </c>
      <c r="AG329" s="4">
        <v>0.32</v>
      </c>
      <c r="AH329" s="6">
        <v>544.00091599999996</v>
      </c>
      <c r="AI329" s="4">
        <v>2E-3</v>
      </c>
      <c r="AJ329" s="5"/>
      <c r="AK329" s="5"/>
      <c r="AL329" s="5"/>
      <c r="AM329" s="5"/>
      <c r="AO329" s="4" t="s">
        <v>203</v>
      </c>
      <c r="AP329" s="4">
        <v>0.9</v>
      </c>
      <c r="AQ329" s="4">
        <v>0.5</v>
      </c>
      <c r="AR329" s="4">
        <v>0.6</v>
      </c>
      <c r="AS329" s="4">
        <v>0.1</v>
      </c>
      <c r="AT329" s="6">
        <v>831.826233</v>
      </c>
      <c r="AU329" s="4">
        <v>1.7999999999999999E-2</v>
      </c>
      <c r="AW329" s="4" t="s">
        <v>203</v>
      </c>
      <c r="AX329" s="4">
        <v>0.9</v>
      </c>
      <c r="AY329" s="4">
        <v>0.5</v>
      </c>
      <c r="AZ329" s="4">
        <v>0.6</v>
      </c>
      <c r="BA329" s="4">
        <v>0.3</v>
      </c>
      <c r="BB329" s="4">
        <v>969.08709699999997</v>
      </c>
      <c r="BC329" s="4">
        <v>8.9999999999999993E-3</v>
      </c>
      <c r="BD329" s="5"/>
      <c r="BE329" s="5"/>
      <c r="BF329" s="5"/>
      <c r="BG329" s="5"/>
      <c r="BI329" s="4" t="s">
        <v>203</v>
      </c>
      <c r="BJ329" s="4">
        <v>0.9</v>
      </c>
      <c r="BK329" s="4">
        <v>0.5</v>
      </c>
      <c r="BL329" s="4">
        <v>0.6</v>
      </c>
      <c r="BM329" s="4">
        <v>0.09</v>
      </c>
      <c r="BN329" s="6">
        <v>768.32519500000001</v>
      </c>
      <c r="BO329" s="4">
        <v>2.4E-2</v>
      </c>
      <c r="BQ329" s="4" t="s">
        <v>203</v>
      </c>
      <c r="BR329" s="4">
        <v>0.9</v>
      </c>
      <c r="BS329" s="4">
        <v>0.5</v>
      </c>
      <c r="BT329" s="4">
        <v>0.6</v>
      </c>
      <c r="BU329" s="4">
        <v>0.3</v>
      </c>
      <c r="BV329" s="4">
        <v>918.18670699999996</v>
      </c>
      <c r="BW329" s="4">
        <v>6.0000000000000001E-3</v>
      </c>
      <c r="BX329" s="5"/>
      <c r="BY329" s="5"/>
      <c r="BZ329" s="5"/>
      <c r="CA329" s="5"/>
    </row>
    <row r="330" spans="1:79" x14ac:dyDescent="0.3">
      <c r="A330" s="4" t="s">
        <v>204</v>
      </c>
      <c r="B330" s="4">
        <v>0.9</v>
      </c>
      <c r="C330" s="4">
        <v>0.5</v>
      </c>
      <c r="D330" s="4">
        <v>0.6</v>
      </c>
      <c r="E330" s="4">
        <v>0.2</v>
      </c>
      <c r="F330" s="6">
        <v>616.376892</v>
      </c>
      <c r="G330" s="4">
        <v>3.1E-2</v>
      </c>
      <c r="I330" s="4" t="s">
        <v>204</v>
      </c>
      <c r="J330" s="4">
        <v>0.9</v>
      </c>
      <c r="K330" s="4">
        <v>0.5</v>
      </c>
      <c r="L330" s="4">
        <v>0.6</v>
      </c>
      <c r="M330" s="4">
        <v>0.32</v>
      </c>
      <c r="N330" s="4">
        <v>638.58227499999998</v>
      </c>
      <c r="O330" s="4">
        <v>2E-3</v>
      </c>
      <c r="P330" s="5"/>
      <c r="Q330" s="5"/>
      <c r="R330" s="5"/>
      <c r="S330" s="5"/>
      <c r="U330" s="4" t="s">
        <v>204</v>
      </c>
      <c r="V330" s="4">
        <v>0.9</v>
      </c>
      <c r="W330" s="4">
        <v>0.5</v>
      </c>
      <c r="X330" s="4">
        <v>0.6</v>
      </c>
      <c r="Y330" s="4">
        <v>0.52</v>
      </c>
      <c r="Z330" s="4">
        <v>659.82250999999997</v>
      </c>
      <c r="AA330" s="4">
        <v>1.6E-2</v>
      </c>
      <c r="AC330" s="4" t="s">
        <v>204</v>
      </c>
      <c r="AD330" s="4">
        <v>0.9</v>
      </c>
      <c r="AE330" s="4">
        <v>0.5</v>
      </c>
      <c r="AF330" s="4">
        <v>0.6</v>
      </c>
      <c r="AG330" s="4">
        <v>0.3</v>
      </c>
      <c r="AH330" s="6">
        <v>604.97094700000002</v>
      </c>
      <c r="AI330" s="4">
        <v>2E-3</v>
      </c>
      <c r="AJ330" s="5"/>
      <c r="AK330" s="5"/>
      <c r="AL330" s="5"/>
      <c r="AM330" s="5"/>
      <c r="AO330" s="4" t="s">
        <v>205</v>
      </c>
      <c r="AP330" s="4">
        <v>0.9</v>
      </c>
      <c r="AQ330" s="4">
        <v>0.5</v>
      </c>
      <c r="AR330" s="4">
        <v>0.6</v>
      </c>
      <c r="AS330" s="4">
        <v>0.39</v>
      </c>
      <c r="AT330" s="4">
        <v>1018.575134</v>
      </c>
      <c r="AU330" s="4">
        <v>2.7E-2</v>
      </c>
      <c r="AW330" s="4" t="s">
        <v>205</v>
      </c>
      <c r="AX330" s="4">
        <v>0.9</v>
      </c>
      <c r="AY330" s="4">
        <v>0.5</v>
      </c>
      <c r="AZ330" s="4">
        <v>0.6</v>
      </c>
      <c r="BA330" s="4">
        <v>0.3</v>
      </c>
      <c r="BB330" s="6">
        <v>986.62512200000003</v>
      </c>
      <c r="BC330" s="4">
        <v>1.0999999999999999E-2</v>
      </c>
      <c r="BD330" s="5"/>
      <c r="BE330" s="5"/>
      <c r="BF330" s="5"/>
      <c r="BG330" s="5"/>
      <c r="BI330" s="4" t="s">
        <v>205</v>
      </c>
      <c r="BJ330" s="4">
        <v>0.9</v>
      </c>
      <c r="BK330" s="4">
        <v>0.5</v>
      </c>
      <c r="BL330" s="4">
        <v>0.6</v>
      </c>
      <c r="BM330" s="4">
        <v>0.68</v>
      </c>
      <c r="BN330" s="4">
        <v>1023.1779790000001</v>
      </c>
      <c r="BO330" s="4">
        <v>1.7000000000000001E-2</v>
      </c>
      <c r="BQ330" s="4" t="s">
        <v>205</v>
      </c>
      <c r="BR330" s="4">
        <v>0.9</v>
      </c>
      <c r="BS330" s="4">
        <v>0.5</v>
      </c>
      <c r="BT330" s="4">
        <v>0.6</v>
      </c>
      <c r="BU330" s="4">
        <v>0.33</v>
      </c>
      <c r="BV330" s="6">
        <v>939.23089600000003</v>
      </c>
      <c r="BW330" s="4">
        <v>6.0000000000000001E-3</v>
      </c>
      <c r="BX330" s="5"/>
      <c r="BY330" s="5"/>
      <c r="BZ330" s="5"/>
      <c r="CA330" s="5"/>
    </row>
    <row r="331" spans="1:79" x14ac:dyDescent="0.3">
      <c r="A331" s="4" t="s">
        <v>206</v>
      </c>
      <c r="B331" s="4">
        <v>0.9</v>
      </c>
      <c r="C331" s="4">
        <v>0.5</v>
      </c>
      <c r="D331" s="4">
        <v>0.6</v>
      </c>
      <c r="E331" s="4">
        <v>0.81</v>
      </c>
      <c r="F331" s="4">
        <v>701.19378700000004</v>
      </c>
      <c r="G331" s="4">
        <v>2.4E-2</v>
      </c>
      <c r="I331" s="4" t="s">
        <v>206</v>
      </c>
      <c r="J331" s="4">
        <v>0.9</v>
      </c>
      <c r="K331" s="4">
        <v>0.5</v>
      </c>
      <c r="L331" s="4">
        <v>0.6</v>
      </c>
      <c r="M331" s="4">
        <v>0.33</v>
      </c>
      <c r="N331" s="6">
        <v>646.61596699999996</v>
      </c>
      <c r="O331" s="4">
        <v>2E-3</v>
      </c>
      <c r="P331" s="5"/>
      <c r="Q331" s="5"/>
      <c r="R331" s="5"/>
      <c r="S331" s="5"/>
      <c r="U331" s="4" t="s">
        <v>206</v>
      </c>
      <c r="V331" s="4">
        <v>0.9</v>
      </c>
      <c r="W331" s="4">
        <v>0.5</v>
      </c>
      <c r="X331" s="4">
        <v>0.6</v>
      </c>
      <c r="Y331" s="4">
        <v>0.68</v>
      </c>
      <c r="Z331" s="4">
        <v>665.25054899999998</v>
      </c>
      <c r="AA331" s="4">
        <v>6.0000000000000001E-3</v>
      </c>
      <c r="AC331" s="4" t="s">
        <v>206</v>
      </c>
      <c r="AD331" s="4">
        <v>0.9</v>
      </c>
      <c r="AE331" s="4">
        <v>0.5</v>
      </c>
      <c r="AF331" s="4">
        <v>0.6</v>
      </c>
      <c r="AG331" s="4">
        <v>0.3</v>
      </c>
      <c r="AH331" s="6">
        <v>618.34918200000004</v>
      </c>
      <c r="AI331" s="4">
        <v>2E-3</v>
      </c>
      <c r="AJ331" s="5"/>
      <c r="AK331" s="5"/>
      <c r="AL331" s="5"/>
      <c r="AM331" s="5"/>
      <c r="AO331" s="4" t="s">
        <v>207</v>
      </c>
      <c r="AP331" s="4">
        <v>0.9</v>
      </c>
      <c r="AQ331" s="4">
        <v>0.5</v>
      </c>
      <c r="AR331" s="4">
        <v>0.6</v>
      </c>
      <c r="AS331" s="4">
        <v>0.91</v>
      </c>
      <c r="AT331" s="4">
        <v>1019.6345209999999</v>
      </c>
      <c r="AU331" s="4">
        <v>2.5000000000000001E-2</v>
      </c>
      <c r="AW331" s="4" t="s">
        <v>207</v>
      </c>
      <c r="AX331" s="4">
        <v>0.9</v>
      </c>
      <c r="AY331" s="4">
        <v>0.5</v>
      </c>
      <c r="AZ331" s="4">
        <v>0.6</v>
      </c>
      <c r="BA331" s="4">
        <v>0.31</v>
      </c>
      <c r="BB331" s="6">
        <v>902.66839600000003</v>
      </c>
      <c r="BC331" s="4">
        <v>1.0999999999999999E-2</v>
      </c>
      <c r="BD331" s="5"/>
      <c r="BE331" s="5"/>
      <c r="BF331" s="5"/>
      <c r="BG331" s="5"/>
      <c r="BI331" s="4" t="s">
        <v>207</v>
      </c>
      <c r="BJ331" s="4">
        <v>0.9</v>
      </c>
      <c r="BK331" s="4">
        <v>0.5</v>
      </c>
      <c r="BL331" s="4">
        <v>0.6</v>
      </c>
      <c r="BM331" s="4">
        <v>0.57999999999999996</v>
      </c>
      <c r="BN331" s="4">
        <v>926.701233</v>
      </c>
      <c r="BO331" s="4">
        <v>1.7999999999999999E-2</v>
      </c>
      <c r="BQ331" s="4" t="s">
        <v>207</v>
      </c>
      <c r="BR331" s="4">
        <v>0.9</v>
      </c>
      <c r="BS331" s="4">
        <v>0.5</v>
      </c>
      <c r="BT331" s="4">
        <v>0.6</v>
      </c>
      <c r="BU331" s="4">
        <v>0.3</v>
      </c>
      <c r="BV331" s="6">
        <v>838.493469</v>
      </c>
      <c r="BW331" s="4">
        <v>8.9999999999999993E-3</v>
      </c>
      <c r="BX331" s="5"/>
      <c r="BY331" s="5"/>
      <c r="BZ331" s="5"/>
      <c r="CA331" s="5"/>
    </row>
    <row r="332" spans="1:79" x14ac:dyDescent="0.3">
      <c r="A332" s="4" t="s">
        <v>208</v>
      </c>
      <c r="B332" s="4">
        <v>0.9</v>
      </c>
      <c r="C332" s="4">
        <v>0.5</v>
      </c>
      <c r="D332" s="4">
        <v>0.6</v>
      </c>
      <c r="E332" s="4">
        <v>0.25</v>
      </c>
      <c r="F332" s="6">
        <v>607.71612500000003</v>
      </c>
      <c r="G332" s="4">
        <v>1.6E-2</v>
      </c>
      <c r="I332" s="4" t="s">
        <v>208</v>
      </c>
      <c r="J332" s="4">
        <v>0.9</v>
      </c>
      <c r="K332" s="4">
        <v>0.5</v>
      </c>
      <c r="L332" s="4">
        <v>0.6</v>
      </c>
      <c r="M332" s="4">
        <v>0.36</v>
      </c>
      <c r="N332" s="4">
        <v>619.73907499999996</v>
      </c>
      <c r="O332" s="4">
        <v>2E-3</v>
      </c>
      <c r="P332" s="5"/>
      <c r="Q332" s="5"/>
      <c r="R332" s="5"/>
      <c r="S332" s="5"/>
      <c r="U332" s="4" t="s">
        <v>208</v>
      </c>
      <c r="V332" s="4">
        <v>0.9</v>
      </c>
      <c r="W332" s="4">
        <v>0.5</v>
      </c>
      <c r="X332" s="4">
        <v>0.6</v>
      </c>
      <c r="Y332" s="4">
        <v>0.48</v>
      </c>
      <c r="Z332" s="4">
        <v>611.70251499999995</v>
      </c>
      <c r="AA332" s="4">
        <v>0.02</v>
      </c>
      <c r="AC332" s="4" t="s">
        <v>208</v>
      </c>
      <c r="AD332" s="4">
        <v>0.9</v>
      </c>
      <c r="AE332" s="4">
        <v>0.5</v>
      </c>
      <c r="AF332" s="4">
        <v>0.6</v>
      </c>
      <c r="AG332" s="4">
        <v>0.32</v>
      </c>
      <c r="AH332" s="6">
        <v>573.48840299999995</v>
      </c>
      <c r="AI332" s="4">
        <v>1E-3</v>
      </c>
      <c r="AJ332" s="5"/>
      <c r="AK332" s="5"/>
      <c r="AL332" s="5"/>
      <c r="AM332" s="5"/>
      <c r="AO332" s="4" t="s">
        <v>209</v>
      </c>
      <c r="AP332" s="4">
        <v>0.9</v>
      </c>
      <c r="AQ332" s="4">
        <v>0.5</v>
      </c>
      <c r="AR332" s="4">
        <v>0.6</v>
      </c>
      <c r="AS332" s="4">
        <v>0.86</v>
      </c>
      <c r="AT332" s="4">
        <v>1045.1875</v>
      </c>
      <c r="AU332" s="4">
        <v>2.1000000000000001E-2</v>
      </c>
      <c r="AW332" s="4" t="s">
        <v>209</v>
      </c>
      <c r="AX332" s="4">
        <v>0.9</v>
      </c>
      <c r="AY332" s="4">
        <v>0.5</v>
      </c>
      <c r="AZ332" s="4">
        <v>0.6</v>
      </c>
      <c r="BA332" s="4">
        <v>0.3</v>
      </c>
      <c r="BB332" s="6">
        <v>873.21307400000001</v>
      </c>
      <c r="BC332" s="4">
        <v>1.2E-2</v>
      </c>
      <c r="BD332" s="5"/>
      <c r="BE332" s="5"/>
      <c r="BF332" s="5"/>
      <c r="BG332" s="5"/>
      <c r="BI332" s="4" t="s">
        <v>209</v>
      </c>
      <c r="BJ332" s="4">
        <v>0.9</v>
      </c>
      <c r="BK332" s="4">
        <v>0.5</v>
      </c>
      <c r="BL332" s="4">
        <v>0.6</v>
      </c>
      <c r="BM332" s="4">
        <v>0.75</v>
      </c>
      <c r="BN332" s="4">
        <v>971.104919</v>
      </c>
      <c r="BO332" s="4">
        <v>1.4999999999999999E-2</v>
      </c>
      <c r="BQ332" s="4" t="s">
        <v>209</v>
      </c>
      <c r="BR332" s="4">
        <v>0.9</v>
      </c>
      <c r="BS332" s="4">
        <v>0.5</v>
      </c>
      <c r="BT332" s="4">
        <v>0.6</v>
      </c>
      <c r="BU332" s="4">
        <v>0.31</v>
      </c>
      <c r="BV332" s="6">
        <v>849.70825200000002</v>
      </c>
      <c r="BW332" s="4">
        <v>6.0000000000000001E-3</v>
      </c>
      <c r="BX332" s="5"/>
      <c r="BY332" s="5"/>
      <c r="BZ332" s="5"/>
      <c r="CA332" s="5"/>
    </row>
    <row r="333" spans="1:79" x14ac:dyDescent="0.3">
      <c r="A333" s="4" t="s">
        <v>210</v>
      </c>
      <c r="B333" s="4">
        <v>0.9</v>
      </c>
      <c r="C333" s="4">
        <v>0.5</v>
      </c>
      <c r="D333" s="4">
        <v>0.6</v>
      </c>
      <c r="E333" s="4">
        <v>0.9</v>
      </c>
      <c r="F333" s="4">
        <v>691.98242200000004</v>
      </c>
      <c r="G333" s="4">
        <v>0.01</v>
      </c>
      <c r="I333" s="4" t="s">
        <v>210</v>
      </c>
      <c r="J333" s="4">
        <v>0.9</v>
      </c>
      <c r="K333" s="4">
        <v>0.5</v>
      </c>
      <c r="L333" s="4">
        <v>0.6</v>
      </c>
      <c r="M333" s="4">
        <v>0.3</v>
      </c>
      <c r="N333" s="6">
        <v>618.76879899999994</v>
      </c>
      <c r="O333" s="4">
        <v>2E-3</v>
      </c>
      <c r="P333" s="5"/>
      <c r="Q333" s="5"/>
      <c r="R333" s="5"/>
      <c r="S333" s="5"/>
      <c r="U333" s="4" t="s">
        <v>210</v>
      </c>
      <c r="V333" s="4">
        <v>0.9</v>
      </c>
      <c r="W333" s="4">
        <v>0.5</v>
      </c>
      <c r="X333" s="4">
        <v>0.6</v>
      </c>
      <c r="Y333" s="4">
        <v>0.89</v>
      </c>
      <c r="Z333" s="4">
        <v>673.95770300000004</v>
      </c>
      <c r="AA333" s="4">
        <v>1.4E-2</v>
      </c>
      <c r="AC333" s="4" t="s">
        <v>210</v>
      </c>
      <c r="AD333" s="4">
        <v>0.9</v>
      </c>
      <c r="AE333" s="4">
        <v>0.5</v>
      </c>
      <c r="AF333" s="4">
        <v>0.6</v>
      </c>
      <c r="AG333" s="4">
        <v>0.31</v>
      </c>
      <c r="AH333" s="6">
        <v>592.04644800000005</v>
      </c>
      <c r="AI333" s="4">
        <v>2E-3</v>
      </c>
      <c r="AJ333" s="5"/>
      <c r="AK333" s="5"/>
      <c r="AL333" s="5"/>
      <c r="AM333" s="5"/>
      <c r="AO333" s="4" t="s">
        <v>211</v>
      </c>
      <c r="AP333" s="4">
        <v>0.9</v>
      </c>
      <c r="AQ333" s="4">
        <v>0.5</v>
      </c>
      <c r="AR333" s="4">
        <v>0.6</v>
      </c>
      <c r="AS333" s="4">
        <v>0.96</v>
      </c>
      <c r="AT333" s="4">
        <v>1050.771606</v>
      </c>
      <c r="AU333" s="4">
        <v>2.1999999999999999E-2</v>
      </c>
      <c r="AW333" s="4" t="s">
        <v>211</v>
      </c>
      <c r="AX333" s="4">
        <v>0.9</v>
      </c>
      <c r="AY333" s="4">
        <v>0.5</v>
      </c>
      <c r="AZ333" s="4">
        <v>0.6</v>
      </c>
      <c r="BA333" s="4">
        <v>0.3</v>
      </c>
      <c r="BB333" s="6">
        <v>939.828979</v>
      </c>
      <c r="BC333" s="4">
        <v>8.9999999999999993E-3</v>
      </c>
      <c r="BD333" s="5"/>
      <c r="BE333" s="5"/>
      <c r="BF333" s="5"/>
      <c r="BG333" s="5"/>
      <c r="BI333" s="4" t="s">
        <v>211</v>
      </c>
      <c r="BJ333" s="4">
        <v>0.9</v>
      </c>
      <c r="BK333" s="4">
        <v>0.5</v>
      </c>
      <c r="BL333" s="4">
        <v>0.6</v>
      </c>
      <c r="BM333" s="4">
        <v>0.5</v>
      </c>
      <c r="BN333" s="4">
        <v>939.24823000000004</v>
      </c>
      <c r="BO333" s="4">
        <v>2.1999999999999999E-2</v>
      </c>
      <c r="BQ333" s="4" t="s">
        <v>211</v>
      </c>
      <c r="BR333" s="4">
        <v>0.9</v>
      </c>
      <c r="BS333" s="4">
        <v>0.5</v>
      </c>
      <c r="BT333" s="4">
        <v>0.6</v>
      </c>
      <c r="BU333" s="4">
        <v>0.3</v>
      </c>
      <c r="BV333" s="6">
        <v>889.57141100000001</v>
      </c>
      <c r="BW333" s="4">
        <v>6.0000000000000001E-3</v>
      </c>
      <c r="BX333" s="5"/>
      <c r="BY333" s="5"/>
      <c r="BZ333" s="5"/>
      <c r="CA333" s="5"/>
    </row>
    <row r="334" spans="1:79" x14ac:dyDescent="0.3">
      <c r="A334" s="4" t="s">
        <v>212</v>
      </c>
      <c r="B334" s="4">
        <v>0.9</v>
      </c>
      <c r="C334" s="4">
        <v>0.5</v>
      </c>
      <c r="D334" s="4">
        <v>0.6</v>
      </c>
      <c r="E334" s="4">
        <v>0.42</v>
      </c>
      <c r="F334" s="6">
        <v>648.47302200000001</v>
      </c>
      <c r="G334" s="4">
        <v>0.03</v>
      </c>
      <c r="I334" s="4" t="s">
        <v>212</v>
      </c>
      <c r="J334" s="4">
        <v>0.9</v>
      </c>
      <c r="K334" s="4">
        <v>0.5</v>
      </c>
      <c r="L334" s="4">
        <v>0.6</v>
      </c>
      <c r="M334" s="4">
        <v>0.3</v>
      </c>
      <c r="N334" s="4">
        <v>652.70678699999996</v>
      </c>
      <c r="O334" s="4">
        <v>3.0000000000000001E-3</v>
      </c>
      <c r="P334" s="5"/>
      <c r="Q334" s="5"/>
      <c r="R334" s="5"/>
      <c r="S334" s="5"/>
      <c r="U334" s="4" t="s">
        <v>212</v>
      </c>
      <c r="V334" s="4">
        <v>0.9</v>
      </c>
      <c r="W334" s="4">
        <v>0.5</v>
      </c>
      <c r="X334" s="4">
        <v>0.6</v>
      </c>
      <c r="Y334" s="4">
        <v>0.46</v>
      </c>
      <c r="Z334" s="4">
        <v>644.86517300000003</v>
      </c>
      <c r="AA334" s="4">
        <v>8.0000000000000002E-3</v>
      </c>
      <c r="AC334" s="4" t="s">
        <v>212</v>
      </c>
      <c r="AD334" s="4">
        <v>0.9</v>
      </c>
      <c r="AE334" s="4">
        <v>0.5</v>
      </c>
      <c r="AF334" s="4">
        <v>0.6</v>
      </c>
      <c r="AG334" s="4">
        <v>0.3</v>
      </c>
      <c r="AH334" s="6">
        <v>613.18969700000002</v>
      </c>
      <c r="AI334" s="4">
        <v>2E-3</v>
      </c>
      <c r="AJ334" s="5"/>
      <c r="AK334" s="5"/>
      <c r="AL334" s="5"/>
      <c r="AM334" s="5"/>
      <c r="AO334" s="4" t="s">
        <v>213</v>
      </c>
      <c r="AP334" s="4">
        <v>0.9</v>
      </c>
      <c r="AQ334" s="4">
        <v>0.5</v>
      </c>
      <c r="AR334" s="4">
        <v>0.6</v>
      </c>
      <c r="AS334" s="4">
        <v>0.01</v>
      </c>
      <c r="AT334" s="6">
        <v>797.57910200000003</v>
      </c>
      <c r="AU334" s="4">
        <v>0.02</v>
      </c>
      <c r="AW334" s="4" t="s">
        <v>213</v>
      </c>
      <c r="AX334" s="4">
        <v>0.9</v>
      </c>
      <c r="AY334" s="4">
        <v>0.5</v>
      </c>
      <c r="AZ334" s="4">
        <v>0.6</v>
      </c>
      <c r="BA334" s="4">
        <v>0.31</v>
      </c>
      <c r="BB334" s="4">
        <v>946.70416299999999</v>
      </c>
      <c r="BC334" s="4">
        <v>0.01</v>
      </c>
      <c r="BD334" s="5"/>
      <c r="BE334" s="5"/>
      <c r="BF334" s="5"/>
      <c r="BG334" s="5"/>
      <c r="BI334" s="4" t="s">
        <v>213</v>
      </c>
      <c r="BJ334" s="4">
        <v>0.9</v>
      </c>
      <c r="BK334" s="4">
        <v>0.5</v>
      </c>
      <c r="BL334" s="4">
        <v>0.6</v>
      </c>
      <c r="BM334" s="4">
        <v>0.02</v>
      </c>
      <c r="BN334" s="6">
        <v>735.37683100000004</v>
      </c>
      <c r="BO334" s="4">
        <v>1.4999999999999999E-2</v>
      </c>
      <c r="BQ334" s="4" t="s">
        <v>213</v>
      </c>
      <c r="BR334" s="4">
        <v>0.9</v>
      </c>
      <c r="BS334" s="4">
        <v>0.5</v>
      </c>
      <c r="BT334" s="4">
        <v>0.6</v>
      </c>
      <c r="BU334" s="4">
        <v>0.3</v>
      </c>
      <c r="BV334" s="4">
        <v>913.08496100000002</v>
      </c>
      <c r="BW334" s="4">
        <v>7.0000000000000001E-3</v>
      </c>
      <c r="BX334" s="5"/>
      <c r="BY334" s="5"/>
      <c r="BZ334" s="5"/>
      <c r="CA334" s="5"/>
    </row>
    <row r="335" spans="1:79" x14ac:dyDescent="0.3">
      <c r="A335" s="4" t="s">
        <v>214</v>
      </c>
      <c r="B335" s="4">
        <v>0.9</v>
      </c>
      <c r="C335" s="4">
        <v>0.5</v>
      </c>
      <c r="D335" s="4">
        <v>0.6</v>
      </c>
      <c r="E335" s="4">
        <v>0.01</v>
      </c>
      <c r="F335" s="6">
        <v>640.33776899999998</v>
      </c>
      <c r="G335" s="4">
        <v>0.02</v>
      </c>
      <c r="I335" s="4" t="s">
        <v>214</v>
      </c>
      <c r="J335" s="4">
        <v>0.9</v>
      </c>
      <c r="K335" s="4">
        <v>0.5</v>
      </c>
      <c r="L335" s="4">
        <v>0.6</v>
      </c>
      <c r="M335" s="4">
        <v>0.31</v>
      </c>
      <c r="N335" s="4">
        <v>646.94250499999998</v>
      </c>
      <c r="O335" s="4">
        <v>2E-3</v>
      </c>
      <c r="P335" s="5"/>
      <c r="Q335" s="5"/>
      <c r="R335" s="5"/>
      <c r="S335" s="5"/>
      <c r="U335" s="4" t="s">
        <v>214</v>
      </c>
      <c r="V335" s="4">
        <v>0.9</v>
      </c>
      <c r="W335" s="4">
        <v>0.5</v>
      </c>
      <c r="X335" s="4">
        <v>0.6</v>
      </c>
      <c r="Y335" s="4">
        <v>0.01</v>
      </c>
      <c r="Z335" s="6">
        <v>588.11926300000005</v>
      </c>
      <c r="AA335" s="4">
        <v>1.7999999999999999E-2</v>
      </c>
      <c r="AC335" s="4" t="s">
        <v>214</v>
      </c>
      <c r="AD335" s="4">
        <v>0.9</v>
      </c>
      <c r="AE335" s="4">
        <v>0.5</v>
      </c>
      <c r="AF335" s="4">
        <v>0.6</v>
      </c>
      <c r="AG335" s="4">
        <v>0.32</v>
      </c>
      <c r="AH335" s="4">
        <v>610.86773700000003</v>
      </c>
      <c r="AI335" s="4">
        <v>2E-3</v>
      </c>
      <c r="AJ335" s="5"/>
      <c r="AK335" s="5"/>
      <c r="AL335" s="5"/>
      <c r="AM335" s="5"/>
      <c r="AO335" s="4" t="s">
        <v>215</v>
      </c>
      <c r="AP335" s="4">
        <v>0.9</v>
      </c>
      <c r="AQ335" s="4">
        <v>0.5</v>
      </c>
      <c r="AR335" s="4">
        <v>0.6</v>
      </c>
      <c r="AS335" s="4">
        <v>0.23</v>
      </c>
      <c r="AT335" s="6">
        <v>977.084473</v>
      </c>
      <c r="AU335" s="4">
        <v>1.4E-2</v>
      </c>
      <c r="AW335" s="4" t="s">
        <v>215</v>
      </c>
      <c r="AX335" s="4">
        <v>0.9</v>
      </c>
      <c r="AY335" s="4">
        <v>0.5</v>
      </c>
      <c r="AZ335" s="4">
        <v>0.6</v>
      </c>
      <c r="BA335" s="4">
        <v>0.3</v>
      </c>
      <c r="BB335" s="4">
        <v>1043.5002440000001</v>
      </c>
      <c r="BC335" s="4">
        <v>0.01</v>
      </c>
      <c r="BD335" s="5"/>
      <c r="BE335" s="5"/>
      <c r="BF335" s="5"/>
      <c r="BG335" s="5"/>
      <c r="BI335" s="4" t="s">
        <v>215</v>
      </c>
      <c r="BJ335" s="4">
        <v>0.9</v>
      </c>
      <c r="BK335" s="4">
        <v>0.5</v>
      </c>
      <c r="BL335" s="4">
        <v>0.6</v>
      </c>
      <c r="BM335" s="4">
        <v>0.68</v>
      </c>
      <c r="BN335" s="4">
        <v>1176.1429439999999</v>
      </c>
      <c r="BO335" s="4">
        <v>1.7000000000000001E-2</v>
      </c>
      <c r="BQ335" s="4" t="s">
        <v>215</v>
      </c>
      <c r="BR335" s="4">
        <v>0.9</v>
      </c>
      <c r="BS335" s="4">
        <v>0.5</v>
      </c>
      <c r="BT335" s="4">
        <v>0.6</v>
      </c>
      <c r="BU335" s="4">
        <v>0.3</v>
      </c>
      <c r="BV335" s="6">
        <v>1002.036011</v>
      </c>
      <c r="BW335" s="4">
        <v>8.0000000000000002E-3</v>
      </c>
      <c r="BX335" s="5"/>
      <c r="BY335" s="5"/>
      <c r="BZ335" s="5"/>
      <c r="CA335" s="5"/>
    </row>
    <row r="336" spans="1:79" x14ac:dyDescent="0.3">
      <c r="A336" s="4" t="s">
        <v>216</v>
      </c>
      <c r="B336" s="4">
        <v>0.9</v>
      </c>
      <c r="C336" s="4">
        <v>0.5</v>
      </c>
      <c r="D336" s="4">
        <v>0.6</v>
      </c>
      <c r="E336" s="4">
        <v>0.61</v>
      </c>
      <c r="F336" s="4">
        <v>690.06494099999998</v>
      </c>
      <c r="G336" s="4">
        <v>4.2000000000000003E-2</v>
      </c>
      <c r="I336" s="4" t="s">
        <v>216</v>
      </c>
      <c r="J336" s="4">
        <v>0.9</v>
      </c>
      <c r="K336" s="4">
        <v>0.5</v>
      </c>
      <c r="L336" s="4">
        <v>0.6</v>
      </c>
      <c r="M336" s="4">
        <v>0.33</v>
      </c>
      <c r="N336" s="6">
        <v>612.98419200000001</v>
      </c>
      <c r="O336" s="4">
        <v>2E-3</v>
      </c>
      <c r="P336" s="5"/>
      <c r="Q336" s="5"/>
      <c r="R336" s="5"/>
      <c r="S336" s="5"/>
      <c r="U336" s="4" t="s">
        <v>216</v>
      </c>
      <c r="V336" s="4">
        <v>0.9</v>
      </c>
      <c r="W336" s="4">
        <v>0.5</v>
      </c>
      <c r="X336" s="4">
        <v>0.6</v>
      </c>
      <c r="Y336" s="4">
        <v>0.37</v>
      </c>
      <c r="Z336" s="4">
        <v>565.176514</v>
      </c>
      <c r="AA336" s="4">
        <v>8.9999999999999993E-3</v>
      </c>
      <c r="AC336" s="4" t="s">
        <v>216</v>
      </c>
      <c r="AD336" s="4">
        <v>0.9</v>
      </c>
      <c r="AE336" s="4">
        <v>0.5</v>
      </c>
      <c r="AF336" s="4">
        <v>0.6</v>
      </c>
      <c r="AG336" s="4">
        <v>0.3</v>
      </c>
      <c r="AH336" s="6">
        <v>557.23156700000004</v>
      </c>
      <c r="AI336" s="4">
        <v>2E-3</v>
      </c>
      <c r="AJ336" s="5"/>
      <c r="AK336" s="5"/>
      <c r="AL336" s="5"/>
      <c r="AM336" s="5"/>
      <c r="AO336" s="4" t="s">
        <v>217</v>
      </c>
      <c r="AP336" s="4">
        <v>0.9</v>
      </c>
      <c r="AQ336" s="4">
        <v>0.5</v>
      </c>
      <c r="AR336" s="4">
        <v>0.6</v>
      </c>
      <c r="AS336" s="4">
        <v>0.54</v>
      </c>
      <c r="AT336" s="4">
        <v>1170.4914550000001</v>
      </c>
      <c r="AU336" s="4">
        <v>3.1E-2</v>
      </c>
      <c r="AW336" s="4" t="s">
        <v>217</v>
      </c>
      <c r="AX336" s="4">
        <v>0.9</v>
      </c>
      <c r="AY336" s="4">
        <v>0.5</v>
      </c>
      <c r="AZ336" s="4">
        <v>0.6</v>
      </c>
      <c r="BA336" s="4">
        <v>0.33</v>
      </c>
      <c r="BB336" s="6">
        <v>1075.3713379999999</v>
      </c>
      <c r="BC336" s="4">
        <v>1.2E-2</v>
      </c>
      <c r="BD336" s="5"/>
      <c r="BE336" s="5"/>
      <c r="BF336" s="5"/>
      <c r="BG336" s="5"/>
      <c r="BI336" s="4" t="s">
        <v>217</v>
      </c>
      <c r="BJ336" s="4">
        <v>0.9</v>
      </c>
      <c r="BK336" s="4">
        <v>0.5</v>
      </c>
      <c r="BL336" s="4">
        <v>0.6</v>
      </c>
      <c r="BM336" s="4">
        <v>0.05</v>
      </c>
      <c r="BN336" s="6">
        <v>863.42749000000003</v>
      </c>
      <c r="BO336" s="4">
        <v>2.5999999999999999E-2</v>
      </c>
      <c r="BQ336" s="4" t="s">
        <v>217</v>
      </c>
      <c r="BR336" s="4">
        <v>0.9</v>
      </c>
      <c r="BS336" s="4">
        <v>0.5</v>
      </c>
      <c r="BT336" s="4">
        <v>0.6</v>
      </c>
      <c r="BU336" s="4">
        <v>0.31</v>
      </c>
      <c r="BV336" s="4">
        <v>1042.5321039999999</v>
      </c>
      <c r="BW336" s="4">
        <v>8.0000000000000002E-3</v>
      </c>
      <c r="BX336" s="5"/>
      <c r="BY336" s="5"/>
      <c r="BZ336" s="5"/>
      <c r="CA336" s="5"/>
    </row>
    <row r="337" spans="1:79" x14ac:dyDescent="0.3">
      <c r="A337" s="4" t="s">
        <v>218</v>
      </c>
      <c r="B337" s="4">
        <v>0.9</v>
      </c>
      <c r="C337" s="4">
        <v>0.5</v>
      </c>
      <c r="D337" s="4">
        <v>0.6</v>
      </c>
      <c r="E337" s="4">
        <v>0.67</v>
      </c>
      <c r="F337" s="4">
        <v>746.21191399999998</v>
      </c>
      <c r="G337" s="4">
        <v>1.4E-2</v>
      </c>
      <c r="I337" s="4" t="s">
        <v>218</v>
      </c>
      <c r="J337" s="4">
        <v>0.9</v>
      </c>
      <c r="K337" s="4">
        <v>0.5</v>
      </c>
      <c r="L337" s="4">
        <v>0.6</v>
      </c>
      <c r="M337" s="4">
        <v>0.33</v>
      </c>
      <c r="N337" s="6">
        <v>680.66015600000003</v>
      </c>
      <c r="O337" s="4">
        <v>2E-3</v>
      </c>
      <c r="P337" s="5"/>
      <c r="Q337" s="5"/>
      <c r="R337" s="5"/>
      <c r="S337" s="5"/>
      <c r="U337" s="4" t="s">
        <v>218</v>
      </c>
      <c r="V337" s="4">
        <v>0.9</v>
      </c>
      <c r="W337" s="4">
        <v>0.5</v>
      </c>
      <c r="X337" s="4">
        <v>0.6</v>
      </c>
      <c r="Y337" s="4">
        <v>0.34</v>
      </c>
      <c r="Z337" s="4">
        <v>654.50439500000005</v>
      </c>
      <c r="AA337" s="4">
        <v>1.2E-2</v>
      </c>
      <c r="AC337" s="4" t="s">
        <v>218</v>
      </c>
      <c r="AD337" s="4">
        <v>0.9</v>
      </c>
      <c r="AE337" s="4">
        <v>0.5</v>
      </c>
      <c r="AF337" s="4">
        <v>0.6</v>
      </c>
      <c r="AG337" s="4">
        <v>0.3</v>
      </c>
      <c r="AH337" s="6">
        <v>653.78204300000004</v>
      </c>
      <c r="AI337" s="4">
        <v>2E-3</v>
      </c>
      <c r="AJ337" s="5"/>
      <c r="AK337" s="5"/>
      <c r="AL337" s="5"/>
      <c r="AM337" s="5"/>
      <c r="AO337" s="4" t="s">
        <v>219</v>
      </c>
      <c r="AP337" s="4">
        <v>0.9</v>
      </c>
      <c r="AQ337" s="4">
        <v>0.5</v>
      </c>
      <c r="AR337" s="4">
        <v>0.6</v>
      </c>
      <c r="AS337" s="4">
        <v>0.42</v>
      </c>
      <c r="AT337" s="4">
        <v>1127.346313</v>
      </c>
      <c r="AU337" s="4">
        <v>0.03</v>
      </c>
      <c r="AW337" s="4" t="s">
        <v>219</v>
      </c>
      <c r="AX337" s="4">
        <v>0.9</v>
      </c>
      <c r="AY337" s="4">
        <v>0.5</v>
      </c>
      <c r="AZ337" s="4">
        <v>0.6</v>
      </c>
      <c r="BA337" s="4">
        <v>0.32</v>
      </c>
      <c r="BB337" s="6">
        <v>1062.2257079999999</v>
      </c>
      <c r="BC337" s="4">
        <v>1.2E-2</v>
      </c>
      <c r="BD337" s="5"/>
      <c r="BE337" s="5"/>
      <c r="BF337" s="5"/>
      <c r="BG337" s="5"/>
      <c r="BI337" s="4" t="s">
        <v>219</v>
      </c>
      <c r="BJ337" s="4">
        <v>0.9</v>
      </c>
      <c r="BK337" s="4">
        <v>0.5</v>
      </c>
      <c r="BL337" s="4">
        <v>0.6</v>
      </c>
      <c r="BM337" s="4">
        <v>0.8</v>
      </c>
      <c r="BN337" s="4">
        <v>1232.7028809999999</v>
      </c>
      <c r="BO337" s="4">
        <v>2.3E-2</v>
      </c>
      <c r="BQ337" s="4" t="s">
        <v>219</v>
      </c>
      <c r="BR337" s="4">
        <v>0.9</v>
      </c>
      <c r="BS337" s="4">
        <v>0.5</v>
      </c>
      <c r="BT337" s="4">
        <v>0.6</v>
      </c>
      <c r="BU337" s="4">
        <v>0.32</v>
      </c>
      <c r="BV337" s="6">
        <v>1055.246216</v>
      </c>
      <c r="BW337" s="4">
        <v>8.9999999999999993E-3</v>
      </c>
      <c r="BX337" s="5"/>
      <c r="BY337" s="5"/>
      <c r="BZ337" s="5"/>
      <c r="CA337" s="5"/>
    </row>
    <row r="338" spans="1:79" x14ac:dyDescent="0.3">
      <c r="A338" s="4" t="s">
        <v>220</v>
      </c>
      <c r="B338" s="4">
        <v>0.9</v>
      </c>
      <c r="C338" s="4">
        <v>0.5</v>
      </c>
      <c r="D338" s="4">
        <v>0.6</v>
      </c>
      <c r="E338" s="4">
        <v>0.35</v>
      </c>
      <c r="F338" s="4">
        <v>699.54205300000001</v>
      </c>
      <c r="G338" s="4">
        <v>1.4999999999999999E-2</v>
      </c>
      <c r="I338" s="4" t="s">
        <v>220</v>
      </c>
      <c r="J338" s="4">
        <v>0.9</v>
      </c>
      <c r="K338" s="4">
        <v>0.5</v>
      </c>
      <c r="L338" s="4">
        <v>0.6</v>
      </c>
      <c r="M338" s="4">
        <v>0.3</v>
      </c>
      <c r="N338" s="6">
        <v>692.65423599999997</v>
      </c>
      <c r="O338" s="4">
        <v>2E-3</v>
      </c>
      <c r="P338" s="5"/>
      <c r="Q338" s="5"/>
      <c r="R338" s="5"/>
      <c r="S338" s="5"/>
      <c r="U338" s="4" t="s">
        <v>220</v>
      </c>
      <c r="V338" s="4">
        <v>0.9</v>
      </c>
      <c r="W338" s="4">
        <v>0.5</v>
      </c>
      <c r="X338" s="4">
        <v>0.6</v>
      </c>
      <c r="Y338" s="4">
        <v>0.42</v>
      </c>
      <c r="Z338" s="4">
        <v>710.35778800000003</v>
      </c>
      <c r="AA338" s="4">
        <v>1.2E-2</v>
      </c>
      <c r="AC338" s="4" t="s">
        <v>220</v>
      </c>
      <c r="AD338" s="4">
        <v>0.9</v>
      </c>
      <c r="AE338" s="4">
        <v>0.5</v>
      </c>
      <c r="AF338" s="4">
        <v>0.6</v>
      </c>
      <c r="AG338" s="4">
        <v>0.3</v>
      </c>
      <c r="AH338" s="6">
        <v>676.77276600000005</v>
      </c>
      <c r="AI338" s="4">
        <v>3.0000000000000001E-3</v>
      </c>
      <c r="AJ338" s="5"/>
      <c r="AK338" s="5"/>
      <c r="AL338" s="5"/>
      <c r="AM338" s="5"/>
      <c r="AO338" s="4" t="s">
        <v>221</v>
      </c>
      <c r="AP338" s="4">
        <v>0.9</v>
      </c>
      <c r="AQ338" s="4">
        <v>0.5</v>
      </c>
      <c r="AR338" s="4">
        <v>0.6</v>
      </c>
      <c r="AS338" s="4">
        <v>0.22</v>
      </c>
      <c r="AT338" s="6">
        <v>938.475281</v>
      </c>
      <c r="AU338" s="4">
        <v>1.6E-2</v>
      </c>
      <c r="AW338" s="4" t="s">
        <v>221</v>
      </c>
      <c r="AX338" s="4">
        <v>0.9</v>
      </c>
      <c r="AY338" s="4">
        <v>0.5</v>
      </c>
      <c r="AZ338" s="4">
        <v>0.6</v>
      </c>
      <c r="BA338" s="4">
        <v>0.31</v>
      </c>
      <c r="BB338" s="4">
        <v>1019.408997</v>
      </c>
      <c r="BC338" s="4">
        <v>1.0999999999999999E-2</v>
      </c>
      <c r="BD338" s="5"/>
      <c r="BE338" s="5"/>
      <c r="BF338" s="5"/>
      <c r="BG338" s="5"/>
      <c r="BI338" s="4" t="s">
        <v>221</v>
      </c>
      <c r="BJ338" s="4">
        <v>0.9</v>
      </c>
      <c r="BK338" s="4">
        <v>0.5</v>
      </c>
      <c r="BL338" s="4">
        <v>0.6</v>
      </c>
      <c r="BM338" s="4">
        <v>0.96</v>
      </c>
      <c r="BN338" s="4">
        <v>1112.8675539999999</v>
      </c>
      <c r="BO338" s="4">
        <v>1.7999999999999999E-2</v>
      </c>
      <c r="BQ338" s="4" t="s">
        <v>221</v>
      </c>
      <c r="BR338" s="4">
        <v>0.9</v>
      </c>
      <c r="BS338" s="4">
        <v>0.5</v>
      </c>
      <c r="BT338" s="4">
        <v>0.6</v>
      </c>
      <c r="BU338" s="4">
        <v>0.3</v>
      </c>
      <c r="BV338" s="6">
        <v>950.504639</v>
      </c>
      <c r="BW338" s="4">
        <v>8.0000000000000002E-3</v>
      </c>
      <c r="BX338" s="5"/>
      <c r="BY338" s="5"/>
      <c r="BZ338" s="5"/>
      <c r="CA338" s="5"/>
    </row>
    <row r="339" spans="1:79" x14ac:dyDescent="0.3">
      <c r="A339" s="4" t="s">
        <v>222</v>
      </c>
      <c r="B339" s="4">
        <v>0.9</v>
      </c>
      <c r="C339" s="4">
        <v>0.5</v>
      </c>
      <c r="D339" s="4">
        <v>0.6</v>
      </c>
      <c r="E339" s="4">
        <v>0.11</v>
      </c>
      <c r="F339" s="6">
        <v>638.43292199999996</v>
      </c>
      <c r="G339" s="4">
        <v>0.01</v>
      </c>
      <c r="I339" s="4" t="s">
        <v>222</v>
      </c>
      <c r="J339" s="4">
        <v>0.9</v>
      </c>
      <c r="K339" s="4">
        <v>0.5</v>
      </c>
      <c r="L339" s="4">
        <v>0.6</v>
      </c>
      <c r="M339" s="4">
        <v>0.31</v>
      </c>
      <c r="N339" s="4">
        <v>705.07971199999997</v>
      </c>
      <c r="O339" s="4">
        <v>3.0000000000000001E-3</v>
      </c>
      <c r="P339" s="5"/>
      <c r="Q339" s="5"/>
      <c r="R339" s="5"/>
      <c r="S339" s="5"/>
      <c r="U339" s="4" t="s">
        <v>222</v>
      </c>
      <c r="V339" s="4">
        <v>0.9</v>
      </c>
      <c r="W339" s="4">
        <v>0.5</v>
      </c>
      <c r="X339" s="4">
        <v>0.6</v>
      </c>
      <c r="Y339" s="4">
        <v>0.55000000000000004</v>
      </c>
      <c r="Z339" s="4">
        <v>715.707764</v>
      </c>
      <c r="AA339" s="4">
        <v>1.2999999999999999E-2</v>
      </c>
      <c r="AC339" s="4" t="s">
        <v>222</v>
      </c>
      <c r="AD339" s="4">
        <v>0.9</v>
      </c>
      <c r="AE339" s="4">
        <v>0.5</v>
      </c>
      <c r="AF339" s="4">
        <v>0.6</v>
      </c>
      <c r="AG339" s="4">
        <v>0.32</v>
      </c>
      <c r="AH339" s="6">
        <v>674.76000999999997</v>
      </c>
      <c r="AI339" s="4">
        <v>2E-3</v>
      </c>
      <c r="AJ339" s="5"/>
      <c r="AK339" s="5"/>
      <c r="AL339" s="5"/>
      <c r="AM339" s="5"/>
      <c r="AO339" s="4" t="s">
        <v>223</v>
      </c>
      <c r="AP339" s="4">
        <v>0.9</v>
      </c>
      <c r="AQ339" s="4">
        <v>0.5</v>
      </c>
      <c r="AR339" s="4">
        <v>0.6</v>
      </c>
      <c r="AS339" s="4">
        <v>0.77</v>
      </c>
      <c r="AT339" s="4">
        <v>1236.334595</v>
      </c>
      <c r="AU339" s="4">
        <v>2.4E-2</v>
      </c>
      <c r="AW339" s="4" t="s">
        <v>223</v>
      </c>
      <c r="AX339" s="4">
        <v>0.9</v>
      </c>
      <c r="AY339" s="4">
        <v>0.5</v>
      </c>
      <c r="AZ339" s="4">
        <v>0.6</v>
      </c>
      <c r="BA339" s="4">
        <v>0.31</v>
      </c>
      <c r="BB339" s="6">
        <v>1117.836548</v>
      </c>
      <c r="BC339" s="4">
        <v>1.7000000000000001E-2</v>
      </c>
      <c r="BD339" s="5"/>
      <c r="BE339" s="5"/>
      <c r="BF339" s="5"/>
      <c r="BG339" s="5"/>
      <c r="BI339" s="4" t="s">
        <v>223</v>
      </c>
      <c r="BJ339" s="4">
        <v>0.9</v>
      </c>
      <c r="BK339" s="4">
        <v>0.5</v>
      </c>
      <c r="BL339" s="4">
        <v>0.6</v>
      </c>
      <c r="BM339" s="4">
        <v>0.19</v>
      </c>
      <c r="BN339" s="6">
        <v>983.903503</v>
      </c>
      <c r="BO339" s="4">
        <v>0.03</v>
      </c>
      <c r="BQ339" s="4" t="s">
        <v>223</v>
      </c>
      <c r="BR339" s="4">
        <v>0.9</v>
      </c>
      <c r="BS339" s="4">
        <v>0.5</v>
      </c>
      <c r="BT339" s="4">
        <v>0.6</v>
      </c>
      <c r="BU339" s="4">
        <v>0.3</v>
      </c>
      <c r="BV339" s="4">
        <v>1077.8717039999999</v>
      </c>
      <c r="BW339" s="4">
        <v>8.9999999999999993E-3</v>
      </c>
      <c r="BX339" s="5"/>
      <c r="BY339" s="5"/>
      <c r="BZ339" s="5"/>
      <c r="CA339" s="5"/>
    </row>
    <row r="340" spans="1:79" x14ac:dyDescent="0.3">
      <c r="A340" s="4" t="s">
        <v>224</v>
      </c>
      <c r="B340" s="4">
        <v>0.9</v>
      </c>
      <c r="C340" s="4">
        <v>0.5</v>
      </c>
      <c r="D340" s="4">
        <v>0.6</v>
      </c>
      <c r="E340" s="4">
        <v>0.21</v>
      </c>
      <c r="F340" s="6">
        <v>723.50036599999999</v>
      </c>
      <c r="G340" s="4">
        <v>6.0000000000000001E-3</v>
      </c>
      <c r="I340" s="4" t="s">
        <v>224</v>
      </c>
      <c r="J340" s="4">
        <v>0.9</v>
      </c>
      <c r="K340" s="4">
        <v>0.5</v>
      </c>
      <c r="L340" s="4">
        <v>0.6</v>
      </c>
      <c r="M340" s="4">
        <v>0.31</v>
      </c>
      <c r="N340" s="4">
        <v>759.43969700000002</v>
      </c>
      <c r="O340" s="4">
        <v>3.0000000000000001E-3</v>
      </c>
      <c r="P340" s="5"/>
      <c r="Q340" s="5"/>
      <c r="R340" s="5"/>
      <c r="S340" s="5"/>
      <c r="U340" s="4" t="s">
        <v>224</v>
      </c>
      <c r="V340" s="4">
        <v>0.9</v>
      </c>
      <c r="W340" s="4">
        <v>0.5</v>
      </c>
      <c r="X340" s="4">
        <v>0.6</v>
      </c>
      <c r="Y340" s="4">
        <v>0.04</v>
      </c>
      <c r="Z340" s="6">
        <v>670.303223</v>
      </c>
      <c r="AA340" s="4">
        <v>1.2999999999999999E-2</v>
      </c>
      <c r="AC340" s="4" t="s">
        <v>224</v>
      </c>
      <c r="AD340" s="4">
        <v>0.9</v>
      </c>
      <c r="AE340" s="4">
        <v>0.5</v>
      </c>
      <c r="AF340" s="4">
        <v>0.6</v>
      </c>
      <c r="AG340" s="4">
        <v>0.3</v>
      </c>
      <c r="AH340" s="4">
        <v>744.38397199999997</v>
      </c>
      <c r="AI340" s="4">
        <v>3.0000000000000001E-3</v>
      </c>
      <c r="AJ340" s="5"/>
      <c r="AK340" s="5"/>
      <c r="AL340" s="5"/>
      <c r="AM340" s="5"/>
      <c r="AO340" s="4" t="s">
        <v>225</v>
      </c>
      <c r="AP340" s="4">
        <v>0.9</v>
      </c>
      <c r="AQ340" s="4">
        <v>0.5</v>
      </c>
      <c r="AR340" s="4">
        <v>0.6</v>
      </c>
      <c r="AS340" s="4">
        <v>0.65</v>
      </c>
      <c r="AT340" s="4">
        <v>1160.613159</v>
      </c>
      <c r="AU340" s="4">
        <v>1.6E-2</v>
      </c>
      <c r="AW340" s="4" t="s">
        <v>225</v>
      </c>
      <c r="AX340" s="4">
        <v>0.9</v>
      </c>
      <c r="AY340" s="4">
        <v>0.5</v>
      </c>
      <c r="AZ340" s="4">
        <v>0.6</v>
      </c>
      <c r="BA340" s="4">
        <v>0.34</v>
      </c>
      <c r="BB340" s="6">
        <v>1038.734009</v>
      </c>
      <c r="BC340" s="4">
        <v>1.4E-2</v>
      </c>
      <c r="BD340" s="5"/>
      <c r="BE340" s="5"/>
      <c r="BF340" s="5"/>
      <c r="BG340" s="5"/>
      <c r="BI340" s="4" t="s">
        <v>225</v>
      </c>
      <c r="BJ340" s="4">
        <v>0.9</v>
      </c>
      <c r="BK340" s="4">
        <v>0.5</v>
      </c>
      <c r="BL340" s="4">
        <v>0.6</v>
      </c>
      <c r="BM340" s="4">
        <v>0.56000000000000005</v>
      </c>
      <c r="BN340" s="4">
        <v>1102.3466800000001</v>
      </c>
      <c r="BO340" s="4">
        <v>1.4999999999999999E-2</v>
      </c>
      <c r="BQ340" s="4" t="s">
        <v>225</v>
      </c>
      <c r="BR340" s="4">
        <v>0.9</v>
      </c>
      <c r="BS340" s="4">
        <v>0.5</v>
      </c>
      <c r="BT340" s="4">
        <v>0.6</v>
      </c>
      <c r="BU340" s="4">
        <v>0.31</v>
      </c>
      <c r="BV340" s="6">
        <v>972.23223900000005</v>
      </c>
      <c r="BW340" s="4">
        <v>7.0000000000000001E-3</v>
      </c>
      <c r="BX340" s="5"/>
      <c r="BY340" s="5"/>
      <c r="BZ340" s="5"/>
      <c r="CA340" s="5"/>
    </row>
    <row r="341" spans="1:79" x14ac:dyDescent="0.3">
      <c r="A341" s="4" t="s">
        <v>226</v>
      </c>
      <c r="B341" s="4">
        <v>0.9</v>
      </c>
      <c r="C341" s="4">
        <v>0.5</v>
      </c>
      <c r="D341" s="4">
        <v>0.6</v>
      </c>
      <c r="E341" s="4">
        <v>0.06</v>
      </c>
      <c r="F341" s="6">
        <v>692.52770999999996</v>
      </c>
      <c r="G341" s="4">
        <v>1.4E-2</v>
      </c>
      <c r="I341" s="4" t="s">
        <v>226</v>
      </c>
      <c r="J341" s="4">
        <v>0.9</v>
      </c>
      <c r="K341" s="4">
        <v>0.5</v>
      </c>
      <c r="L341" s="4">
        <v>0.6</v>
      </c>
      <c r="M341" s="4">
        <v>0.33</v>
      </c>
      <c r="N341" s="4">
        <v>760.59228499999995</v>
      </c>
      <c r="O341" s="4">
        <v>2E-3</v>
      </c>
      <c r="P341" s="5"/>
      <c r="Q341" s="5"/>
      <c r="R341" s="5"/>
      <c r="S341" s="5"/>
      <c r="U341" s="4" t="s">
        <v>226</v>
      </c>
      <c r="V341" s="4">
        <v>0.9</v>
      </c>
      <c r="W341" s="4">
        <v>0.5</v>
      </c>
      <c r="X341" s="4">
        <v>0.6</v>
      </c>
      <c r="Y341" s="4">
        <v>0.24</v>
      </c>
      <c r="Z341" s="6">
        <v>686.14862100000005</v>
      </c>
      <c r="AA341" s="4">
        <v>1.9E-2</v>
      </c>
      <c r="AC341" s="4" t="s">
        <v>226</v>
      </c>
      <c r="AD341" s="4">
        <v>0.9</v>
      </c>
      <c r="AE341" s="4">
        <v>0.5</v>
      </c>
      <c r="AF341" s="4">
        <v>0.6</v>
      </c>
      <c r="AG341" s="4">
        <v>0.35</v>
      </c>
      <c r="AH341" s="4">
        <v>707.209656</v>
      </c>
      <c r="AI341" s="4">
        <v>2E-3</v>
      </c>
      <c r="AJ341" s="5"/>
      <c r="AK341" s="5"/>
      <c r="AL341" s="5"/>
      <c r="AM341" s="5"/>
      <c r="AO341" s="4" t="s">
        <v>227</v>
      </c>
      <c r="AP341" s="4">
        <v>0.9</v>
      </c>
      <c r="AQ341" s="4">
        <v>0.5</v>
      </c>
      <c r="AR341" s="4">
        <v>0.6</v>
      </c>
      <c r="AS341" s="4">
        <v>0.92</v>
      </c>
      <c r="AT341" s="4">
        <v>1151.8873289999999</v>
      </c>
      <c r="AU341" s="4">
        <v>0.02</v>
      </c>
      <c r="AW341" s="4" t="s">
        <v>227</v>
      </c>
      <c r="AX341" s="4">
        <v>0.9</v>
      </c>
      <c r="AY341" s="4">
        <v>0.5</v>
      </c>
      <c r="AZ341" s="4">
        <v>0.6</v>
      </c>
      <c r="BA341" s="4">
        <v>0.31</v>
      </c>
      <c r="BB341" s="6">
        <v>1007.549988</v>
      </c>
      <c r="BC341" s="4">
        <v>0.01</v>
      </c>
      <c r="BD341" s="5"/>
      <c r="BE341" s="5"/>
      <c r="BF341" s="5"/>
      <c r="BG341" s="5"/>
      <c r="BI341" s="4" t="s">
        <v>227</v>
      </c>
      <c r="BJ341" s="4">
        <v>0.9</v>
      </c>
      <c r="BK341" s="4">
        <v>0.5</v>
      </c>
      <c r="BL341" s="4">
        <v>0.6</v>
      </c>
      <c r="BM341" s="4">
        <v>0.78</v>
      </c>
      <c r="BN341" s="4">
        <v>1120.5852050000001</v>
      </c>
      <c r="BO341" s="4">
        <v>1.4E-2</v>
      </c>
      <c r="BQ341" s="4" t="s">
        <v>227</v>
      </c>
      <c r="BR341" s="4">
        <v>0.9</v>
      </c>
      <c r="BS341" s="4">
        <v>0.5</v>
      </c>
      <c r="BT341" s="4">
        <v>0.6</v>
      </c>
      <c r="BU341" s="4">
        <v>0.33</v>
      </c>
      <c r="BV341" s="6">
        <v>954.20574999999997</v>
      </c>
      <c r="BW341" s="4">
        <v>7.0000000000000001E-3</v>
      </c>
      <c r="BX341" s="5"/>
      <c r="BY341" s="5"/>
      <c r="BZ341" s="5"/>
      <c r="CA341" s="5"/>
    </row>
    <row r="342" spans="1:79" x14ac:dyDescent="0.3">
      <c r="A342" s="4" t="s">
        <v>228</v>
      </c>
      <c r="B342" s="4">
        <v>0.9</v>
      </c>
      <c r="C342" s="4">
        <v>0.5</v>
      </c>
      <c r="D342" s="4">
        <v>0.6</v>
      </c>
      <c r="E342" s="4">
        <v>0.3</v>
      </c>
      <c r="F342" s="6">
        <v>643.17620799999997</v>
      </c>
      <c r="G342" s="4">
        <v>1.6E-2</v>
      </c>
      <c r="I342" s="4" t="s">
        <v>228</v>
      </c>
      <c r="J342" s="4">
        <v>0.9</v>
      </c>
      <c r="K342" s="4">
        <v>0.5</v>
      </c>
      <c r="L342" s="4">
        <v>0.6</v>
      </c>
      <c r="M342" s="4">
        <v>0.34</v>
      </c>
      <c r="N342" s="4">
        <v>655.25268600000004</v>
      </c>
      <c r="O342" s="4">
        <v>2E-3</v>
      </c>
      <c r="P342" s="5"/>
      <c r="Q342" s="5"/>
      <c r="R342" s="5"/>
      <c r="S342" s="5"/>
      <c r="U342" s="4" t="s">
        <v>228</v>
      </c>
      <c r="V342" s="4">
        <v>0.9</v>
      </c>
      <c r="W342" s="4">
        <v>0.5</v>
      </c>
      <c r="X342" s="4">
        <v>0.6</v>
      </c>
      <c r="Y342" s="4">
        <v>0.65</v>
      </c>
      <c r="Z342" s="4">
        <v>715.98004200000003</v>
      </c>
      <c r="AA342" s="4">
        <v>8.9999999999999993E-3</v>
      </c>
      <c r="AC342" s="4" t="s">
        <v>228</v>
      </c>
      <c r="AD342" s="4">
        <v>0.9</v>
      </c>
      <c r="AE342" s="4">
        <v>0.5</v>
      </c>
      <c r="AF342" s="4">
        <v>0.6</v>
      </c>
      <c r="AG342" s="4">
        <v>0.31</v>
      </c>
      <c r="AH342" s="6">
        <v>619.40826400000003</v>
      </c>
      <c r="AI342" s="4">
        <v>3.0000000000000001E-3</v>
      </c>
      <c r="AJ342" s="5"/>
      <c r="AK342" s="5"/>
      <c r="AL342" s="5"/>
      <c r="AM342" s="5"/>
      <c r="AO342" s="4" t="s">
        <v>229</v>
      </c>
      <c r="AP342" s="4">
        <v>0.9</v>
      </c>
      <c r="AQ342" s="4">
        <v>0.5</v>
      </c>
      <c r="AR342" s="4">
        <v>0.6</v>
      </c>
      <c r="AS342" s="4">
        <v>0.41</v>
      </c>
      <c r="AT342" s="4">
        <v>1069.4854740000001</v>
      </c>
      <c r="AU342" s="4">
        <v>2.1999999999999999E-2</v>
      </c>
      <c r="AW342" s="4" t="s">
        <v>229</v>
      </c>
      <c r="AX342" s="4">
        <v>0.9</v>
      </c>
      <c r="AY342" s="4">
        <v>0.5</v>
      </c>
      <c r="AZ342" s="4">
        <v>0.6</v>
      </c>
      <c r="BA342" s="4">
        <v>0.31</v>
      </c>
      <c r="BB342" s="6">
        <v>1036.4095460000001</v>
      </c>
      <c r="BC342" s="4">
        <v>1.2E-2</v>
      </c>
      <c r="BD342" s="5"/>
      <c r="BE342" s="5"/>
      <c r="BF342" s="5"/>
      <c r="BG342" s="5"/>
      <c r="BI342" s="4" t="s">
        <v>229</v>
      </c>
      <c r="BJ342" s="4">
        <v>0.9</v>
      </c>
      <c r="BK342" s="4">
        <v>0.5</v>
      </c>
      <c r="BL342" s="4">
        <v>0.6</v>
      </c>
      <c r="BM342" s="4">
        <v>0.45</v>
      </c>
      <c r="BN342" s="6">
        <v>1043.8321530000001</v>
      </c>
      <c r="BO342" s="4">
        <v>2.5000000000000001E-2</v>
      </c>
      <c r="BQ342" s="4" t="s">
        <v>229</v>
      </c>
      <c r="BR342" s="4">
        <v>0.9</v>
      </c>
      <c r="BS342" s="4">
        <v>0.5</v>
      </c>
      <c r="BT342" s="4">
        <v>0.6</v>
      </c>
      <c r="BU342" s="4">
        <v>0.33</v>
      </c>
      <c r="BV342" s="4">
        <v>1022.156372</v>
      </c>
      <c r="BW342" s="4">
        <v>8.0000000000000002E-3</v>
      </c>
      <c r="BX342" s="5"/>
      <c r="BY342" s="5"/>
      <c r="BZ342" s="5"/>
      <c r="CA342" s="5"/>
    </row>
    <row r="343" spans="1:79" x14ac:dyDescent="0.3">
      <c r="A343" s="4" t="s">
        <v>230</v>
      </c>
      <c r="B343" s="4">
        <v>0.9</v>
      </c>
      <c r="C343" s="4">
        <v>0.5</v>
      </c>
      <c r="D343" s="4">
        <v>0.6</v>
      </c>
      <c r="E343" s="4">
        <v>0.69</v>
      </c>
      <c r="F343" s="4">
        <v>879.71350099999995</v>
      </c>
      <c r="G343" s="4">
        <v>1.7999999999999999E-2</v>
      </c>
      <c r="I343" s="4" t="s">
        <v>230</v>
      </c>
      <c r="J343" s="4">
        <v>0.9</v>
      </c>
      <c r="K343" s="4">
        <v>0.5</v>
      </c>
      <c r="L343" s="4">
        <v>0.6</v>
      </c>
      <c r="M343" s="4">
        <v>0.33</v>
      </c>
      <c r="N343" s="6">
        <v>755.01135299999999</v>
      </c>
      <c r="O343" s="4">
        <v>4.0000000000000001E-3</v>
      </c>
      <c r="P343" s="5"/>
      <c r="Q343" s="5"/>
      <c r="R343" s="5"/>
      <c r="S343" s="5"/>
      <c r="U343" s="4" t="s">
        <v>230</v>
      </c>
      <c r="V343" s="4">
        <v>0.9</v>
      </c>
      <c r="W343" s="4">
        <v>0.5</v>
      </c>
      <c r="X343" s="4">
        <v>0.6</v>
      </c>
      <c r="Y343" s="4">
        <v>0.91</v>
      </c>
      <c r="Z343" s="4">
        <v>883.990906</v>
      </c>
      <c r="AA343" s="4">
        <v>8.9999999999999993E-3</v>
      </c>
      <c r="AC343" s="4" t="s">
        <v>230</v>
      </c>
      <c r="AD343" s="4">
        <v>0.9</v>
      </c>
      <c r="AE343" s="4">
        <v>0.5</v>
      </c>
      <c r="AF343" s="4">
        <v>0.6</v>
      </c>
      <c r="AG343" s="4">
        <v>0.33</v>
      </c>
      <c r="AH343" s="6">
        <v>726.48553500000003</v>
      </c>
      <c r="AI343" s="4">
        <v>3.0000000000000001E-3</v>
      </c>
      <c r="AJ343" s="5"/>
      <c r="AK343" s="5"/>
      <c r="AL343" s="5"/>
      <c r="AM343" s="5"/>
      <c r="AO343" s="4" t="s">
        <v>231</v>
      </c>
      <c r="AP343" s="4">
        <v>0.9</v>
      </c>
      <c r="AQ343" s="4">
        <v>0.5</v>
      </c>
      <c r="AR343" s="4">
        <v>0.6</v>
      </c>
      <c r="AS343" s="4">
        <v>0.11</v>
      </c>
      <c r="AT343" s="6">
        <v>802.87841800000001</v>
      </c>
      <c r="AU343" s="4">
        <v>1.4999999999999999E-2</v>
      </c>
      <c r="AW343" s="4" t="s">
        <v>231</v>
      </c>
      <c r="AX343" s="4">
        <v>0.9</v>
      </c>
      <c r="AY343" s="4">
        <v>0.5</v>
      </c>
      <c r="AZ343" s="4">
        <v>0.6</v>
      </c>
      <c r="BA343" s="4">
        <v>0.31</v>
      </c>
      <c r="BB343" s="4">
        <v>971.09667999999999</v>
      </c>
      <c r="BC343" s="4">
        <v>8.9999999999999993E-3</v>
      </c>
      <c r="BD343" s="5"/>
      <c r="BE343" s="5"/>
      <c r="BF343" s="5"/>
      <c r="BG343" s="5"/>
      <c r="BI343" s="4" t="s">
        <v>231</v>
      </c>
      <c r="BJ343" s="4">
        <v>0.9</v>
      </c>
      <c r="BK343" s="4">
        <v>0.5</v>
      </c>
      <c r="BL343" s="4">
        <v>0.6</v>
      </c>
      <c r="BM343" s="4">
        <v>0.2</v>
      </c>
      <c r="BN343" s="6">
        <v>850.93298300000004</v>
      </c>
      <c r="BO343" s="4">
        <v>2.4E-2</v>
      </c>
      <c r="BQ343" s="4" t="s">
        <v>231</v>
      </c>
      <c r="BR343" s="4">
        <v>0.9</v>
      </c>
      <c r="BS343" s="4">
        <v>0.5</v>
      </c>
      <c r="BT343" s="4">
        <v>0.6</v>
      </c>
      <c r="BU343" s="4">
        <v>0.32</v>
      </c>
      <c r="BV343" s="4">
        <v>964.94097899999997</v>
      </c>
      <c r="BW343" s="4">
        <v>0.01</v>
      </c>
      <c r="BX343" s="5"/>
      <c r="BY343" s="5"/>
      <c r="BZ343" s="5"/>
      <c r="CA343" s="5"/>
    </row>
    <row r="344" spans="1:79" x14ac:dyDescent="0.3">
      <c r="A344" s="4" t="s">
        <v>232</v>
      </c>
      <c r="B344" s="4">
        <v>0.9</v>
      </c>
      <c r="C344" s="4">
        <v>0.5</v>
      </c>
      <c r="D344" s="4">
        <v>0.6</v>
      </c>
      <c r="E344" s="4">
        <v>0.08</v>
      </c>
      <c r="F344" s="6">
        <v>717.395264</v>
      </c>
      <c r="G344" s="4">
        <v>0.01</v>
      </c>
      <c r="I344" s="4" t="s">
        <v>232</v>
      </c>
      <c r="J344" s="4">
        <v>0.9</v>
      </c>
      <c r="K344" s="4">
        <v>0.5</v>
      </c>
      <c r="L344" s="4">
        <v>0.6</v>
      </c>
      <c r="M344" s="4">
        <v>0.3</v>
      </c>
      <c r="N344" s="4">
        <v>771.60778800000003</v>
      </c>
      <c r="O344" s="4">
        <v>2E-3</v>
      </c>
      <c r="P344" s="5"/>
      <c r="Q344" s="5"/>
      <c r="R344" s="5"/>
      <c r="S344" s="5"/>
      <c r="U344" s="4" t="s">
        <v>232</v>
      </c>
      <c r="V344" s="4">
        <v>0.9</v>
      </c>
      <c r="W344" s="4">
        <v>0.5</v>
      </c>
      <c r="X344" s="4">
        <v>0.6</v>
      </c>
      <c r="Y344" s="4">
        <v>0.33</v>
      </c>
      <c r="Z344" s="6">
        <v>778.39917000000003</v>
      </c>
      <c r="AA344" s="4">
        <v>1.4E-2</v>
      </c>
      <c r="AC344" s="4" t="s">
        <v>232</v>
      </c>
      <c r="AD344" s="4">
        <v>0.9</v>
      </c>
      <c r="AE344" s="4">
        <v>0.5</v>
      </c>
      <c r="AF344" s="4">
        <v>0.6</v>
      </c>
      <c r="AG344" s="4">
        <v>0.3</v>
      </c>
      <c r="AH344" s="4">
        <v>791.85571300000004</v>
      </c>
      <c r="AI344" s="4">
        <v>4.0000000000000001E-3</v>
      </c>
      <c r="AJ344" s="5"/>
      <c r="AK344" s="5"/>
      <c r="AL344" s="5"/>
      <c r="AM344" s="5"/>
      <c r="AO344" s="4" t="s">
        <v>233</v>
      </c>
      <c r="AP344" s="4">
        <v>0.9</v>
      </c>
      <c r="AQ344" s="4">
        <v>0.5</v>
      </c>
      <c r="AR344" s="4">
        <v>0.6</v>
      </c>
      <c r="AS344" s="4">
        <v>0.66</v>
      </c>
      <c r="AT344" s="4">
        <v>1177.995361</v>
      </c>
      <c r="AU344" s="4">
        <v>0.02</v>
      </c>
      <c r="AW344" s="4" t="s">
        <v>233</v>
      </c>
      <c r="AX344" s="4">
        <v>0.9</v>
      </c>
      <c r="AY344" s="4">
        <v>0.5</v>
      </c>
      <c r="AZ344" s="4">
        <v>0.6</v>
      </c>
      <c r="BA344" s="4">
        <v>0.31</v>
      </c>
      <c r="BB344" s="6">
        <v>1045.4617920000001</v>
      </c>
      <c r="BC344" s="4">
        <v>8.9999999999999993E-3</v>
      </c>
      <c r="BD344" s="5"/>
      <c r="BE344" s="5"/>
      <c r="BF344" s="5"/>
      <c r="BG344" s="5"/>
      <c r="BI344" s="4" t="s">
        <v>233</v>
      </c>
      <c r="BJ344" s="4">
        <v>0.9</v>
      </c>
      <c r="BK344" s="4">
        <v>0.5</v>
      </c>
      <c r="BL344" s="4">
        <v>0.6</v>
      </c>
      <c r="BM344" s="4">
        <v>0.36</v>
      </c>
      <c r="BN344" s="4">
        <v>1049.901611</v>
      </c>
      <c r="BO344" s="4">
        <v>1.4E-2</v>
      </c>
      <c r="BQ344" s="4" t="s">
        <v>233</v>
      </c>
      <c r="BR344" s="4">
        <v>0.9</v>
      </c>
      <c r="BS344" s="4">
        <v>0.5</v>
      </c>
      <c r="BT344" s="4">
        <v>0.6</v>
      </c>
      <c r="BU344" s="4">
        <v>0.32</v>
      </c>
      <c r="BV344" s="6">
        <v>1022.562866</v>
      </c>
      <c r="BW344" s="4">
        <v>7.0000000000000001E-3</v>
      </c>
      <c r="BX344" s="5"/>
      <c r="BY344" s="5"/>
      <c r="BZ344" s="5"/>
      <c r="CA344" s="5"/>
    </row>
    <row r="345" spans="1:79" x14ac:dyDescent="0.3">
      <c r="A345" s="4" t="s">
        <v>234</v>
      </c>
      <c r="B345" s="4">
        <v>0.9</v>
      </c>
      <c r="C345" s="4">
        <v>0.5</v>
      </c>
      <c r="D345" s="4">
        <v>0.6</v>
      </c>
      <c r="E345" s="4">
        <v>0.18</v>
      </c>
      <c r="F345" s="6">
        <v>703.06957999999997</v>
      </c>
      <c r="G345" s="4">
        <v>1.4E-2</v>
      </c>
      <c r="I345" s="4" t="s">
        <v>234</v>
      </c>
      <c r="J345" s="4">
        <v>0.9</v>
      </c>
      <c r="K345" s="4">
        <v>0.5</v>
      </c>
      <c r="L345" s="4">
        <v>0.6</v>
      </c>
      <c r="M345" s="4">
        <v>0.32</v>
      </c>
      <c r="N345" s="4">
        <v>739.98443599999996</v>
      </c>
      <c r="O345" s="4">
        <v>3.0000000000000001E-3</v>
      </c>
      <c r="P345" s="5"/>
      <c r="Q345" s="5"/>
      <c r="R345" s="5"/>
      <c r="S345" s="5"/>
      <c r="U345" s="4" t="s">
        <v>234</v>
      </c>
      <c r="V345" s="4">
        <v>0.9</v>
      </c>
      <c r="W345" s="4">
        <v>0.5</v>
      </c>
      <c r="X345" s="4">
        <v>0.6</v>
      </c>
      <c r="Y345" s="4">
        <v>0.49</v>
      </c>
      <c r="Z345" s="4">
        <v>785.89434800000004</v>
      </c>
      <c r="AA345" s="4">
        <v>2.1000000000000001E-2</v>
      </c>
      <c r="AC345" s="4" t="s">
        <v>234</v>
      </c>
      <c r="AD345" s="4">
        <v>0.9</v>
      </c>
      <c r="AE345" s="4">
        <v>0.5</v>
      </c>
      <c r="AF345" s="4">
        <v>0.6</v>
      </c>
      <c r="AG345" s="4">
        <v>0.31</v>
      </c>
      <c r="AH345" s="6">
        <v>742.533142</v>
      </c>
      <c r="AI345" s="4">
        <v>4.0000000000000001E-3</v>
      </c>
      <c r="AJ345" s="5"/>
      <c r="AK345" s="5"/>
      <c r="AL345" s="5"/>
      <c r="AM345" s="5"/>
      <c r="AO345" s="4" t="s">
        <v>235</v>
      </c>
      <c r="AP345" s="4">
        <v>0.9</v>
      </c>
      <c r="AQ345" s="4">
        <v>0.5</v>
      </c>
      <c r="AR345" s="4">
        <v>0.6</v>
      </c>
      <c r="AS345" s="4">
        <v>0.7</v>
      </c>
      <c r="AT345" s="4">
        <v>1309.2692870000001</v>
      </c>
      <c r="AU345" s="4">
        <v>2.3E-2</v>
      </c>
      <c r="AW345" s="4" t="s">
        <v>235</v>
      </c>
      <c r="AX345" s="4">
        <v>0.9</v>
      </c>
      <c r="AY345" s="4">
        <v>0.5</v>
      </c>
      <c r="AZ345" s="4">
        <v>0.6</v>
      </c>
      <c r="BA345" s="4">
        <v>0.3</v>
      </c>
      <c r="BB345" s="6">
        <v>1111.42749</v>
      </c>
      <c r="BC345" s="4">
        <v>1.0999999999999999E-2</v>
      </c>
      <c r="BD345" s="5"/>
      <c r="BE345" s="5"/>
      <c r="BF345" s="5"/>
      <c r="BG345" s="5"/>
      <c r="BI345" s="4" t="s">
        <v>235</v>
      </c>
      <c r="BJ345" s="4">
        <v>0.9</v>
      </c>
      <c r="BK345" s="4">
        <v>0.5</v>
      </c>
      <c r="BL345" s="4">
        <v>0.6</v>
      </c>
      <c r="BM345" s="4">
        <v>0.42</v>
      </c>
      <c r="BN345" s="4">
        <v>1123.2208250000001</v>
      </c>
      <c r="BO345" s="4">
        <v>1.6E-2</v>
      </c>
      <c r="BQ345" s="4" t="s">
        <v>235</v>
      </c>
      <c r="BR345" s="4">
        <v>0.9</v>
      </c>
      <c r="BS345" s="4">
        <v>0.5</v>
      </c>
      <c r="BT345" s="4">
        <v>0.6</v>
      </c>
      <c r="BU345" s="4">
        <v>0.3</v>
      </c>
      <c r="BV345" s="6">
        <v>1092.983643</v>
      </c>
      <c r="BW345" s="4">
        <v>8.0000000000000002E-3</v>
      </c>
      <c r="BX345" s="5"/>
      <c r="BY345" s="5"/>
      <c r="BZ345" s="5"/>
      <c r="CA345" s="5"/>
    </row>
    <row r="346" spans="1:79" x14ac:dyDescent="0.3">
      <c r="A346" s="4" t="s">
        <v>236</v>
      </c>
      <c r="B346" s="4">
        <v>0.9</v>
      </c>
      <c r="C346" s="4">
        <v>0.5</v>
      </c>
      <c r="D346" s="4">
        <v>0.6</v>
      </c>
      <c r="E346" s="4">
        <v>0.25</v>
      </c>
      <c r="F346" s="6">
        <v>749.319885</v>
      </c>
      <c r="G346" s="4">
        <v>1.9E-2</v>
      </c>
      <c r="I346" s="4" t="s">
        <v>236</v>
      </c>
      <c r="J346" s="4">
        <v>0.9</v>
      </c>
      <c r="K346" s="4">
        <v>0.5</v>
      </c>
      <c r="L346" s="4">
        <v>0.6</v>
      </c>
      <c r="M346" s="4">
        <v>0.3</v>
      </c>
      <c r="N346" s="4">
        <v>779.65576199999998</v>
      </c>
      <c r="O346" s="4">
        <v>3.0000000000000001E-3</v>
      </c>
      <c r="P346" s="5"/>
      <c r="Q346" s="5"/>
      <c r="R346" s="5"/>
      <c r="S346" s="5"/>
      <c r="U346" s="4" t="s">
        <v>236</v>
      </c>
      <c r="V346" s="4">
        <v>0.9</v>
      </c>
      <c r="W346" s="4">
        <v>0.5</v>
      </c>
      <c r="X346" s="4">
        <v>0.6</v>
      </c>
      <c r="Y346" s="4">
        <v>0.47</v>
      </c>
      <c r="Z346" s="4">
        <v>840.60430899999994</v>
      </c>
      <c r="AA346" s="4">
        <v>1.4E-2</v>
      </c>
      <c r="AC346" s="4" t="s">
        <v>236</v>
      </c>
      <c r="AD346" s="4">
        <v>0.9</v>
      </c>
      <c r="AE346" s="4">
        <v>0.5</v>
      </c>
      <c r="AF346" s="4">
        <v>0.6</v>
      </c>
      <c r="AG346" s="4">
        <v>0.34</v>
      </c>
      <c r="AH346" s="6">
        <v>758.24468999999999</v>
      </c>
      <c r="AI346" s="4">
        <v>4.0000000000000001E-3</v>
      </c>
      <c r="AJ346" s="5"/>
      <c r="AK346" s="5"/>
      <c r="AL346" s="5"/>
      <c r="AM346" s="5"/>
      <c r="AO346" s="4" t="s">
        <v>237</v>
      </c>
      <c r="AP346" s="4">
        <v>0.9</v>
      </c>
      <c r="AQ346" s="4">
        <v>0.5</v>
      </c>
      <c r="AR346" s="4">
        <v>0.6</v>
      </c>
      <c r="AS346" s="4">
        <v>0.87</v>
      </c>
      <c r="AT346" s="4">
        <v>1343.505615</v>
      </c>
      <c r="AU346" s="4">
        <v>1.6E-2</v>
      </c>
      <c r="AW346" s="4" t="s">
        <v>237</v>
      </c>
      <c r="AX346" s="4">
        <v>0.9</v>
      </c>
      <c r="AY346" s="4">
        <v>0.5</v>
      </c>
      <c r="AZ346" s="4">
        <v>0.6</v>
      </c>
      <c r="BA346" s="4">
        <v>0.31</v>
      </c>
      <c r="BB346" s="6">
        <v>1112.5347899999999</v>
      </c>
      <c r="BC346" s="4">
        <v>0.01</v>
      </c>
      <c r="BD346" s="5"/>
      <c r="BE346" s="5"/>
      <c r="BF346" s="5"/>
      <c r="BG346" s="5"/>
      <c r="BI346" s="4" t="s">
        <v>237</v>
      </c>
      <c r="BJ346" s="4">
        <v>0.9</v>
      </c>
      <c r="BK346" s="4">
        <v>0.5</v>
      </c>
      <c r="BL346" s="4">
        <v>0.6</v>
      </c>
      <c r="BM346" s="4">
        <v>0.39</v>
      </c>
      <c r="BN346" s="4">
        <v>1121.5070800000001</v>
      </c>
      <c r="BO346" s="4">
        <v>1.6E-2</v>
      </c>
      <c r="BQ346" s="4" t="s">
        <v>237</v>
      </c>
      <c r="BR346" s="4">
        <v>0.9</v>
      </c>
      <c r="BS346" s="4">
        <v>0.5</v>
      </c>
      <c r="BT346" s="4">
        <v>0.6</v>
      </c>
      <c r="BU346" s="4">
        <v>0.34</v>
      </c>
      <c r="BV346" s="6">
        <v>1103.5615230000001</v>
      </c>
      <c r="BW346" s="4">
        <v>8.9999999999999993E-3</v>
      </c>
      <c r="BX346" s="5"/>
      <c r="BY346" s="5"/>
      <c r="BZ346" s="5"/>
      <c r="CA346" s="5"/>
    </row>
    <row r="347" spans="1:79" x14ac:dyDescent="0.3">
      <c r="A347" s="4" t="s">
        <v>238</v>
      </c>
      <c r="B347" s="4">
        <v>0.9</v>
      </c>
      <c r="C347" s="4">
        <v>0.5</v>
      </c>
      <c r="D347" s="4">
        <v>0.6</v>
      </c>
      <c r="E347" s="4">
        <v>0.97</v>
      </c>
      <c r="F347" s="4">
        <v>973.22717299999999</v>
      </c>
      <c r="G347" s="4">
        <v>1.0999999999999999E-2</v>
      </c>
      <c r="I347" s="4" t="s">
        <v>238</v>
      </c>
      <c r="J347" s="4">
        <v>0.9</v>
      </c>
      <c r="K347" s="4">
        <v>0.5</v>
      </c>
      <c r="L347" s="4">
        <v>0.6</v>
      </c>
      <c r="M347" s="4">
        <v>0.32</v>
      </c>
      <c r="N347" s="6">
        <v>731.94378700000004</v>
      </c>
      <c r="O347" s="4">
        <v>2E-3</v>
      </c>
      <c r="P347" s="5"/>
      <c r="Q347" s="5"/>
      <c r="R347" s="5"/>
      <c r="S347" s="5"/>
      <c r="U347" s="4" t="s">
        <v>238</v>
      </c>
      <c r="V347" s="4">
        <v>0.9</v>
      </c>
      <c r="W347" s="4">
        <v>0.5</v>
      </c>
      <c r="X347" s="4">
        <v>0.6</v>
      </c>
      <c r="Y347" s="4">
        <v>0.75</v>
      </c>
      <c r="Z347" s="4">
        <v>893.51654099999996</v>
      </c>
      <c r="AA347" s="4">
        <v>1.4E-2</v>
      </c>
      <c r="AC347" s="4" t="s">
        <v>238</v>
      </c>
      <c r="AD347" s="4">
        <v>0.9</v>
      </c>
      <c r="AE347" s="4">
        <v>0.5</v>
      </c>
      <c r="AF347" s="4">
        <v>0.6</v>
      </c>
      <c r="AG347" s="4">
        <v>0.3</v>
      </c>
      <c r="AH347" s="6">
        <v>723.66229199999998</v>
      </c>
      <c r="AI347" s="4">
        <v>3.0000000000000001E-3</v>
      </c>
      <c r="AJ347" s="5"/>
      <c r="AK347" s="5"/>
      <c r="AL347" s="5"/>
      <c r="AM347" s="5"/>
      <c r="AO347" s="4" t="s">
        <v>239</v>
      </c>
      <c r="AP347" s="4">
        <v>0.9</v>
      </c>
      <c r="AQ347" s="4">
        <v>0.5</v>
      </c>
      <c r="AR347" s="4">
        <v>0.6</v>
      </c>
      <c r="AS347" s="4">
        <v>0.74</v>
      </c>
      <c r="AT347" s="4">
        <v>1455.5083010000001</v>
      </c>
      <c r="AU347" s="4">
        <v>2.1999999999999999E-2</v>
      </c>
      <c r="AW347" s="4" t="s">
        <v>239</v>
      </c>
      <c r="AX347" s="4">
        <v>0.9</v>
      </c>
      <c r="AY347" s="4">
        <v>0.5</v>
      </c>
      <c r="AZ347" s="4">
        <v>0.6</v>
      </c>
      <c r="BA347" s="4">
        <v>0.3</v>
      </c>
      <c r="BB347" s="6">
        <v>1177.768677</v>
      </c>
      <c r="BC347" s="4">
        <v>0.01</v>
      </c>
      <c r="BD347" s="5"/>
      <c r="BE347" s="5"/>
      <c r="BF347" s="5"/>
      <c r="BG347" s="5"/>
      <c r="BI347" s="4" t="s">
        <v>239</v>
      </c>
      <c r="BJ347" s="4">
        <v>0.9</v>
      </c>
      <c r="BK347" s="4">
        <v>0.5</v>
      </c>
      <c r="BL347" s="4">
        <v>0.6</v>
      </c>
      <c r="BM347" s="4">
        <v>0.28999999999999998</v>
      </c>
      <c r="BN347" s="6">
        <v>1107.529053</v>
      </c>
      <c r="BO347" s="4">
        <v>0.03</v>
      </c>
      <c r="BQ347" s="4" t="s">
        <v>239</v>
      </c>
      <c r="BR347" s="4">
        <v>0.9</v>
      </c>
      <c r="BS347" s="4">
        <v>0.5</v>
      </c>
      <c r="BT347" s="4">
        <v>0.6</v>
      </c>
      <c r="BU347" s="4">
        <v>0.3</v>
      </c>
      <c r="BV347" s="4">
        <v>1141.6857910000001</v>
      </c>
      <c r="BW347" s="4">
        <v>8.9999999999999993E-3</v>
      </c>
      <c r="BX347" s="5"/>
      <c r="BY347" s="5"/>
      <c r="BZ347" s="5"/>
      <c r="CA347" s="5"/>
    </row>
    <row r="348" spans="1:79" x14ac:dyDescent="0.3">
      <c r="A348" s="4" t="s">
        <v>240</v>
      </c>
      <c r="B348" s="4">
        <v>0.9</v>
      </c>
      <c r="C348" s="4">
        <v>0.5</v>
      </c>
      <c r="D348" s="4">
        <v>0.6</v>
      </c>
      <c r="E348" s="4">
        <v>0.88</v>
      </c>
      <c r="F348" s="4">
        <v>921.17620799999997</v>
      </c>
      <c r="G348" s="4">
        <v>1.0999999999999999E-2</v>
      </c>
      <c r="I348" s="4" t="s">
        <v>240</v>
      </c>
      <c r="J348" s="4">
        <v>0.9</v>
      </c>
      <c r="K348" s="4">
        <v>0.5</v>
      </c>
      <c r="L348" s="4">
        <v>0.6</v>
      </c>
      <c r="M348" s="4">
        <v>0.3</v>
      </c>
      <c r="N348" s="6">
        <v>720.67199700000003</v>
      </c>
      <c r="O348" s="4">
        <v>2E-3</v>
      </c>
      <c r="P348" s="5"/>
      <c r="Q348" s="5"/>
      <c r="R348" s="5"/>
      <c r="S348" s="5"/>
      <c r="U348" s="4" t="s">
        <v>240</v>
      </c>
      <c r="V348" s="4">
        <v>0.9</v>
      </c>
      <c r="W348" s="4">
        <v>0.5</v>
      </c>
      <c r="X348" s="4">
        <v>0.6</v>
      </c>
      <c r="Y348" s="4">
        <v>0.05</v>
      </c>
      <c r="Z348" s="4">
        <v>644.80865500000004</v>
      </c>
      <c r="AA348" s="4">
        <v>1.6E-2</v>
      </c>
      <c r="AC348" s="4" t="s">
        <v>240</v>
      </c>
      <c r="AD348" s="4">
        <v>0.9</v>
      </c>
      <c r="AE348" s="4">
        <v>0.5</v>
      </c>
      <c r="AF348" s="4">
        <v>0.6</v>
      </c>
      <c r="AG348" s="4">
        <v>0.36</v>
      </c>
      <c r="AH348" s="6">
        <v>707.92303500000003</v>
      </c>
      <c r="AI348" s="4">
        <v>4.0000000000000001E-3</v>
      </c>
      <c r="AJ348" s="5"/>
      <c r="AK348" s="5"/>
      <c r="AL348" s="5"/>
      <c r="AM348" s="5"/>
      <c r="AO348" s="4" t="s">
        <v>241</v>
      </c>
      <c r="AP348" s="4">
        <v>0.9</v>
      </c>
      <c r="AQ348" s="4">
        <v>0.5</v>
      </c>
      <c r="AR348" s="4">
        <v>0.6</v>
      </c>
      <c r="AS348" s="4">
        <v>0.91</v>
      </c>
      <c r="AT348" s="4">
        <v>1315.493164</v>
      </c>
      <c r="AU348" s="4">
        <v>0.03</v>
      </c>
      <c r="AW348" s="4" t="s">
        <v>241</v>
      </c>
      <c r="AX348" s="4">
        <v>0.9</v>
      </c>
      <c r="AY348" s="4">
        <v>0.5</v>
      </c>
      <c r="AZ348" s="4">
        <v>0.6</v>
      </c>
      <c r="BA348" s="4">
        <v>0.33</v>
      </c>
      <c r="BB348" s="6">
        <v>1095.1072999999999</v>
      </c>
      <c r="BC348" s="4">
        <v>0.01</v>
      </c>
      <c r="BD348" s="5"/>
      <c r="BE348" s="5"/>
      <c r="BF348" s="5"/>
      <c r="BG348" s="5"/>
      <c r="BI348" s="4" t="s">
        <v>241</v>
      </c>
      <c r="BJ348" s="4">
        <v>0.9</v>
      </c>
      <c r="BK348" s="4">
        <v>0.5</v>
      </c>
      <c r="BL348" s="4">
        <v>0.6</v>
      </c>
      <c r="BM348" s="4">
        <v>0.28999999999999998</v>
      </c>
      <c r="BN348" s="6">
        <v>1034.9086910000001</v>
      </c>
      <c r="BO348" s="4">
        <v>1.4999999999999999E-2</v>
      </c>
      <c r="BQ348" s="4" t="s">
        <v>241</v>
      </c>
      <c r="BR348" s="4">
        <v>0.9</v>
      </c>
      <c r="BS348" s="4">
        <v>0.5</v>
      </c>
      <c r="BT348" s="4">
        <v>0.6</v>
      </c>
      <c r="BU348" s="4">
        <v>0.3</v>
      </c>
      <c r="BV348" s="4">
        <v>1045.5023189999999</v>
      </c>
      <c r="BW348" s="4">
        <v>8.9999999999999993E-3</v>
      </c>
      <c r="BX348" s="5"/>
      <c r="BY348" s="5"/>
      <c r="BZ348" s="5"/>
      <c r="CA348" s="5"/>
    </row>
    <row r="349" spans="1:79" x14ac:dyDescent="0.3">
      <c r="A349" s="4" t="s">
        <v>242</v>
      </c>
      <c r="B349" s="4">
        <v>0.9</v>
      </c>
      <c r="C349" s="4">
        <v>0.5</v>
      </c>
      <c r="D349" s="4">
        <v>0.6</v>
      </c>
      <c r="E349" s="4">
        <v>0.5</v>
      </c>
      <c r="F349" s="4">
        <v>791.317993</v>
      </c>
      <c r="G349" s="4">
        <v>2.3E-2</v>
      </c>
      <c r="I349" s="4" t="s">
        <v>242</v>
      </c>
      <c r="J349" s="4">
        <v>0.9</v>
      </c>
      <c r="K349" s="4">
        <v>0.5</v>
      </c>
      <c r="L349" s="4">
        <v>0.6</v>
      </c>
      <c r="M349" s="4">
        <v>0.38</v>
      </c>
      <c r="N349" s="6">
        <v>727.94616699999995</v>
      </c>
      <c r="O349" s="4">
        <v>2E-3</v>
      </c>
      <c r="P349" s="5"/>
      <c r="Q349" s="5"/>
      <c r="R349" s="5"/>
      <c r="S349" s="5"/>
      <c r="U349" s="4" t="s">
        <v>242</v>
      </c>
      <c r="V349" s="4">
        <v>0.9</v>
      </c>
      <c r="W349" s="4">
        <v>0.5</v>
      </c>
      <c r="X349" s="4">
        <v>0.6</v>
      </c>
      <c r="Y349" s="4">
        <v>0.51</v>
      </c>
      <c r="Z349" s="4">
        <v>778.02856399999996</v>
      </c>
      <c r="AA349" s="4">
        <v>1.0999999999999999E-2</v>
      </c>
      <c r="AC349" s="4" t="s">
        <v>242</v>
      </c>
      <c r="AD349" s="4">
        <v>0.9</v>
      </c>
      <c r="AE349" s="4">
        <v>0.5</v>
      </c>
      <c r="AF349" s="4">
        <v>0.6</v>
      </c>
      <c r="AG349" s="4">
        <v>0.33</v>
      </c>
      <c r="AH349" s="6">
        <v>713.05059800000004</v>
      </c>
      <c r="AI349" s="4">
        <v>6.0000000000000001E-3</v>
      </c>
      <c r="AJ349" s="5"/>
      <c r="AK349" s="5"/>
      <c r="AL349" s="5"/>
      <c r="AM349" s="5"/>
      <c r="AO349" s="4" t="s">
        <v>243</v>
      </c>
      <c r="AP349" s="4">
        <v>0.9</v>
      </c>
      <c r="AQ349" s="4">
        <v>0.5</v>
      </c>
      <c r="AR349" s="4">
        <v>0.6</v>
      </c>
      <c r="AS349" s="4">
        <v>0.34</v>
      </c>
      <c r="AT349" s="4">
        <v>1236.799683</v>
      </c>
      <c r="AU349" s="4">
        <v>1.6E-2</v>
      </c>
      <c r="AW349" s="4" t="s">
        <v>243</v>
      </c>
      <c r="AX349" s="4">
        <v>0.9</v>
      </c>
      <c r="AY349" s="4">
        <v>0.5</v>
      </c>
      <c r="AZ349" s="4">
        <v>0.6</v>
      </c>
      <c r="BA349" s="4">
        <v>0.3</v>
      </c>
      <c r="BB349" s="6">
        <v>1218.4331050000001</v>
      </c>
      <c r="BC349" s="4">
        <v>8.9999999999999993E-3</v>
      </c>
      <c r="BD349" s="5"/>
      <c r="BE349" s="5"/>
      <c r="BF349" s="5"/>
      <c r="BG349" s="5"/>
      <c r="BI349" s="4" t="s">
        <v>243</v>
      </c>
      <c r="BJ349" s="4">
        <v>0.9</v>
      </c>
      <c r="BK349" s="4">
        <v>0.5</v>
      </c>
      <c r="BL349" s="4">
        <v>0.6</v>
      </c>
      <c r="BM349" s="4">
        <v>0.79</v>
      </c>
      <c r="BN349" s="4">
        <v>1530.826172</v>
      </c>
      <c r="BO349" s="4">
        <v>1.4E-2</v>
      </c>
      <c r="BQ349" s="4" t="s">
        <v>243</v>
      </c>
      <c r="BR349" s="4">
        <v>0.9</v>
      </c>
      <c r="BS349" s="4">
        <v>0.5</v>
      </c>
      <c r="BT349" s="4">
        <v>0.6</v>
      </c>
      <c r="BU349" s="4">
        <v>0.33</v>
      </c>
      <c r="BV349" s="6">
        <v>1189.581909</v>
      </c>
      <c r="BW349" s="4">
        <v>0.01</v>
      </c>
      <c r="BX349" s="5"/>
      <c r="BY349" s="5"/>
      <c r="BZ349" s="5"/>
      <c r="CA349" s="5"/>
    </row>
    <row r="350" spans="1:79" x14ac:dyDescent="0.3">
      <c r="A350" s="4" t="s">
        <v>244</v>
      </c>
      <c r="B350" s="4">
        <v>0.9</v>
      </c>
      <c r="C350" s="4">
        <v>0.5</v>
      </c>
      <c r="D350" s="4">
        <v>0.6</v>
      </c>
      <c r="E350" s="4">
        <v>0.91</v>
      </c>
      <c r="F350" s="4">
        <v>935.87652600000001</v>
      </c>
      <c r="G350" s="4">
        <v>1.2999999999999999E-2</v>
      </c>
      <c r="I350" s="4" t="s">
        <v>244</v>
      </c>
      <c r="J350" s="4">
        <v>0.9</v>
      </c>
      <c r="K350" s="4">
        <v>0.5</v>
      </c>
      <c r="L350" s="4">
        <v>0.6</v>
      </c>
      <c r="M350" s="4">
        <v>0.3</v>
      </c>
      <c r="N350" s="6">
        <v>712.85363800000005</v>
      </c>
      <c r="O350" s="4">
        <v>2E-3</v>
      </c>
      <c r="P350" s="5"/>
      <c r="Q350" s="5"/>
      <c r="R350" s="5"/>
      <c r="S350" s="5"/>
      <c r="U350" s="4" t="s">
        <v>244</v>
      </c>
      <c r="V350" s="4">
        <v>0.9</v>
      </c>
      <c r="W350" s="4">
        <v>0.5</v>
      </c>
      <c r="X350" s="4">
        <v>0.6</v>
      </c>
      <c r="Y350" s="4">
        <v>0.08</v>
      </c>
      <c r="Z350" s="6">
        <v>650.52703899999995</v>
      </c>
      <c r="AA350" s="4">
        <v>1.7000000000000001E-2</v>
      </c>
      <c r="AC350" s="4" t="s">
        <v>244</v>
      </c>
      <c r="AD350" s="4">
        <v>0.9</v>
      </c>
      <c r="AE350" s="4">
        <v>0.5</v>
      </c>
      <c r="AF350" s="4">
        <v>0.6</v>
      </c>
      <c r="AG350" s="4">
        <v>0.36</v>
      </c>
      <c r="AH350" s="4">
        <v>740.37231399999996</v>
      </c>
      <c r="AI350" s="4">
        <v>3.0000000000000001E-3</v>
      </c>
      <c r="AJ350" s="5"/>
      <c r="AK350" s="5"/>
      <c r="AL350" s="5"/>
      <c r="AM350" s="5"/>
      <c r="AO350" s="4" t="s">
        <v>245</v>
      </c>
      <c r="AP350" s="4">
        <v>0.9</v>
      </c>
      <c r="AQ350" s="4">
        <v>0.5</v>
      </c>
      <c r="AR350" s="4">
        <v>0.6</v>
      </c>
      <c r="AS350" s="4">
        <v>0.13</v>
      </c>
      <c r="AT350" s="6">
        <v>1025.7016599999999</v>
      </c>
      <c r="AU350" s="4">
        <v>3.3000000000000002E-2</v>
      </c>
      <c r="AW350" s="4" t="s">
        <v>245</v>
      </c>
      <c r="AX350" s="4">
        <v>0.9</v>
      </c>
      <c r="AY350" s="4">
        <v>0.5</v>
      </c>
      <c r="AZ350" s="4">
        <v>0.6</v>
      </c>
      <c r="BA350" s="4">
        <v>0.31</v>
      </c>
      <c r="BB350" s="4">
        <v>1216.8789059999999</v>
      </c>
      <c r="BC350" s="4">
        <v>0.01</v>
      </c>
      <c r="BD350" s="5"/>
      <c r="BE350" s="5"/>
      <c r="BF350" s="5"/>
      <c r="BG350" s="5"/>
      <c r="BI350" s="4" t="s">
        <v>245</v>
      </c>
      <c r="BJ350" s="4">
        <v>0.9</v>
      </c>
      <c r="BK350" s="4">
        <v>0.5</v>
      </c>
      <c r="BL350" s="4">
        <v>0.6</v>
      </c>
      <c r="BM350" s="4">
        <v>0.46</v>
      </c>
      <c r="BN350" s="4">
        <v>1263.467529</v>
      </c>
      <c r="BO350" s="4">
        <v>2.5000000000000001E-2</v>
      </c>
      <c r="BQ350" s="4" t="s">
        <v>245</v>
      </c>
      <c r="BR350" s="4">
        <v>0.9</v>
      </c>
      <c r="BS350" s="4">
        <v>0.5</v>
      </c>
      <c r="BT350" s="4">
        <v>0.6</v>
      </c>
      <c r="BU350" s="4">
        <v>0.31</v>
      </c>
      <c r="BV350" s="6">
        <v>1167.6392820000001</v>
      </c>
      <c r="BW350" s="4">
        <v>8.9999999999999993E-3</v>
      </c>
      <c r="BX350" s="5"/>
      <c r="BY350" s="5"/>
      <c r="BZ350" s="5"/>
      <c r="CA350" s="5"/>
    </row>
    <row r="351" spans="1:79" x14ac:dyDescent="0.3">
      <c r="A351" s="4" t="s">
        <v>246</v>
      </c>
      <c r="B351" s="4">
        <v>0.9</v>
      </c>
      <c r="C351" s="4">
        <v>0.5</v>
      </c>
      <c r="D351" s="4">
        <v>0.6</v>
      </c>
      <c r="E351" s="4">
        <v>0.27</v>
      </c>
      <c r="F351" s="6">
        <v>709.62792999999999</v>
      </c>
      <c r="G351" s="4">
        <v>0.01</v>
      </c>
      <c r="I351" s="4" t="s">
        <v>246</v>
      </c>
      <c r="J351" s="4">
        <v>0.9</v>
      </c>
      <c r="K351" s="4">
        <v>0.5</v>
      </c>
      <c r="L351" s="4">
        <v>0.6</v>
      </c>
      <c r="M351" s="4">
        <v>0.32</v>
      </c>
      <c r="N351" s="4">
        <v>731.68493699999999</v>
      </c>
      <c r="O351" s="4">
        <v>3.0000000000000001E-3</v>
      </c>
      <c r="P351" s="5"/>
      <c r="Q351" s="5"/>
      <c r="R351" s="5"/>
      <c r="S351" s="5"/>
      <c r="U351" s="4" t="s">
        <v>246</v>
      </c>
      <c r="V351" s="4">
        <v>0.9</v>
      </c>
      <c r="W351" s="4">
        <v>0.5</v>
      </c>
      <c r="X351" s="4">
        <v>0.6</v>
      </c>
      <c r="Y351" s="4">
        <v>0.82</v>
      </c>
      <c r="Z351" s="4">
        <v>882.59808299999997</v>
      </c>
      <c r="AA351" s="4">
        <v>2.1000000000000001E-2</v>
      </c>
      <c r="AC351" s="4" t="s">
        <v>246</v>
      </c>
      <c r="AD351" s="4">
        <v>0.9</v>
      </c>
      <c r="AE351" s="4">
        <v>0.5</v>
      </c>
      <c r="AF351" s="4">
        <v>0.6</v>
      </c>
      <c r="AG351" s="4">
        <v>0.32</v>
      </c>
      <c r="AH351" s="6">
        <v>740.15563999999995</v>
      </c>
      <c r="AI351" s="4">
        <v>3.0000000000000001E-3</v>
      </c>
      <c r="AJ351" s="5"/>
      <c r="AK351" s="5"/>
      <c r="AL351" s="5"/>
      <c r="AM351" s="5"/>
      <c r="AO351" s="4" t="s">
        <v>247</v>
      </c>
      <c r="AP351" s="4">
        <v>0.9</v>
      </c>
      <c r="AQ351" s="4">
        <v>0.5</v>
      </c>
      <c r="AR351" s="4">
        <v>0.6</v>
      </c>
      <c r="AS351" s="4">
        <v>0.09</v>
      </c>
      <c r="AT351" s="6">
        <v>863.61450200000002</v>
      </c>
      <c r="AU351" s="4">
        <v>1.7000000000000001E-2</v>
      </c>
      <c r="AW351" s="4" t="s">
        <v>247</v>
      </c>
      <c r="AX351" s="4">
        <v>0.9</v>
      </c>
      <c r="AY351" s="4">
        <v>0.5</v>
      </c>
      <c r="AZ351" s="4">
        <v>0.6</v>
      </c>
      <c r="BA351" s="4">
        <v>0.34</v>
      </c>
      <c r="BB351" s="4">
        <v>1041.85022</v>
      </c>
      <c r="BC351" s="4">
        <v>8.9999999999999993E-3</v>
      </c>
      <c r="BD351" s="5"/>
      <c r="BE351" s="5"/>
      <c r="BF351" s="5"/>
      <c r="BG351" s="5"/>
      <c r="BI351" s="4" t="s">
        <v>247</v>
      </c>
      <c r="BJ351" s="4">
        <v>0.9</v>
      </c>
      <c r="BK351" s="4">
        <v>0.5</v>
      </c>
      <c r="BL351" s="4">
        <v>0.6</v>
      </c>
      <c r="BM351" s="4">
        <v>0.55000000000000004</v>
      </c>
      <c r="BN351" s="4">
        <v>1151.6552730000001</v>
      </c>
      <c r="BO351" s="4">
        <v>2.1000000000000001E-2</v>
      </c>
      <c r="BQ351" s="4" t="s">
        <v>247</v>
      </c>
      <c r="BR351" s="4">
        <v>0.9</v>
      </c>
      <c r="BS351" s="4">
        <v>0.5</v>
      </c>
      <c r="BT351" s="4">
        <v>0.6</v>
      </c>
      <c r="BU351" s="4">
        <v>0.32</v>
      </c>
      <c r="BV351" s="6">
        <v>1026.1936040000001</v>
      </c>
      <c r="BW351" s="4">
        <v>7.0000000000000001E-3</v>
      </c>
      <c r="BX351" s="5"/>
      <c r="BY351" s="5"/>
      <c r="BZ351" s="5"/>
      <c r="CA351" s="5"/>
    </row>
    <row r="352" spans="1:79" x14ac:dyDescent="0.3">
      <c r="A352" s="4" t="s">
        <v>248</v>
      </c>
      <c r="B352" s="4">
        <v>0.9</v>
      </c>
      <c r="C352" s="4">
        <v>0.5</v>
      </c>
      <c r="D352" s="4">
        <v>0.6</v>
      </c>
      <c r="E352" s="4">
        <v>0.53</v>
      </c>
      <c r="F352" s="4">
        <v>839.39648399999999</v>
      </c>
      <c r="G352" s="4">
        <v>2.1999999999999999E-2</v>
      </c>
      <c r="I352" s="4" t="s">
        <v>248</v>
      </c>
      <c r="J352" s="4">
        <v>0.9</v>
      </c>
      <c r="K352" s="4">
        <v>0.5</v>
      </c>
      <c r="L352" s="4">
        <v>0.6</v>
      </c>
      <c r="M352" s="4">
        <v>0.3</v>
      </c>
      <c r="N352" s="6">
        <v>762.19421399999999</v>
      </c>
      <c r="O352" s="4">
        <v>2E-3</v>
      </c>
      <c r="P352" s="5"/>
      <c r="Q352" s="5"/>
      <c r="R352" s="5"/>
      <c r="S352" s="5"/>
      <c r="U352" s="4" t="s">
        <v>248</v>
      </c>
      <c r="V352" s="4">
        <v>0.9</v>
      </c>
      <c r="W352" s="4">
        <v>0.5</v>
      </c>
      <c r="X352" s="4">
        <v>0.6</v>
      </c>
      <c r="Y352" s="4">
        <v>0.17</v>
      </c>
      <c r="Z352" s="6">
        <v>722.833618</v>
      </c>
      <c r="AA352" s="4">
        <v>1.7999999999999999E-2</v>
      </c>
      <c r="AC352" s="4" t="s">
        <v>248</v>
      </c>
      <c r="AD352" s="4">
        <v>0.9</v>
      </c>
      <c r="AE352" s="4">
        <v>0.5</v>
      </c>
      <c r="AF352" s="4">
        <v>0.6</v>
      </c>
      <c r="AG352" s="4">
        <v>0.3</v>
      </c>
      <c r="AH352" s="4">
        <v>760.11254899999994</v>
      </c>
      <c r="AI352" s="4">
        <v>3.0000000000000001E-3</v>
      </c>
      <c r="AJ352" s="5"/>
      <c r="AK352" s="5"/>
      <c r="AL352" s="5"/>
      <c r="AM352" s="5"/>
      <c r="AO352" s="4" t="s">
        <v>249</v>
      </c>
      <c r="AP352" s="4">
        <v>0.9</v>
      </c>
      <c r="AQ352" s="4">
        <v>0.5</v>
      </c>
      <c r="AR352" s="4">
        <v>0.6</v>
      </c>
      <c r="AS352" s="4">
        <v>0.19</v>
      </c>
      <c r="AT352" s="6">
        <v>1060.0360109999999</v>
      </c>
      <c r="AU352" s="4">
        <v>2.5000000000000001E-2</v>
      </c>
      <c r="AW352" s="4" t="s">
        <v>249</v>
      </c>
      <c r="AX352" s="4">
        <v>0.9</v>
      </c>
      <c r="AY352" s="4">
        <v>0.5</v>
      </c>
      <c r="AZ352" s="4">
        <v>0.6</v>
      </c>
      <c r="BA352" s="4">
        <v>0.3</v>
      </c>
      <c r="BB352" s="4">
        <v>1153.244629</v>
      </c>
      <c r="BC352" s="4">
        <v>8.9999999999999993E-3</v>
      </c>
      <c r="BD352" s="5"/>
      <c r="BE352" s="5"/>
      <c r="BF352" s="5"/>
      <c r="BG352" s="5"/>
      <c r="BI352" s="4" t="s">
        <v>249</v>
      </c>
      <c r="BJ352" s="4">
        <v>0.9</v>
      </c>
      <c r="BK352" s="4">
        <v>0.5</v>
      </c>
      <c r="BL352" s="4">
        <v>0.6</v>
      </c>
      <c r="BM352" s="4">
        <v>0.47</v>
      </c>
      <c r="BN352" s="4">
        <v>1227.2082519999999</v>
      </c>
      <c r="BO352" s="4">
        <v>2.5999999999999999E-2</v>
      </c>
      <c r="BQ352" s="4" t="s">
        <v>249</v>
      </c>
      <c r="BR352" s="4">
        <v>0.9</v>
      </c>
      <c r="BS352" s="4">
        <v>0.5</v>
      </c>
      <c r="BT352" s="4">
        <v>0.6</v>
      </c>
      <c r="BU352" s="4">
        <v>0.31</v>
      </c>
      <c r="BV352" s="6">
        <v>1160.0714109999999</v>
      </c>
      <c r="BW352" s="4">
        <v>8.9999999999999993E-3</v>
      </c>
      <c r="BX352" s="5"/>
      <c r="BY352" s="5"/>
      <c r="BZ352" s="5"/>
      <c r="CA352" s="5"/>
    </row>
    <row r="353" spans="1:79" x14ac:dyDescent="0.3">
      <c r="A353" s="4" t="s">
        <v>250</v>
      </c>
      <c r="B353" s="4">
        <v>0.9</v>
      </c>
      <c r="C353" s="4">
        <v>0.5</v>
      </c>
      <c r="D353" s="4">
        <v>0.6</v>
      </c>
      <c r="E353" s="4">
        <v>0.46</v>
      </c>
      <c r="F353" s="4">
        <v>843.613831</v>
      </c>
      <c r="G353" s="4">
        <v>0.02</v>
      </c>
      <c r="I353" s="4" t="s">
        <v>250</v>
      </c>
      <c r="J353" s="4">
        <v>0.9</v>
      </c>
      <c r="K353" s="4">
        <v>0.5</v>
      </c>
      <c r="L353" s="4">
        <v>0.6</v>
      </c>
      <c r="M353" s="4">
        <v>0.31</v>
      </c>
      <c r="N353" s="6">
        <v>791.134277</v>
      </c>
      <c r="O353" s="4">
        <v>3.0000000000000001E-3</v>
      </c>
      <c r="P353" s="5"/>
      <c r="Q353" s="5"/>
      <c r="R353" s="5"/>
      <c r="S353" s="5"/>
      <c r="U353" s="4" t="s">
        <v>250</v>
      </c>
      <c r="V353" s="4">
        <v>0.9</v>
      </c>
      <c r="W353" s="4">
        <v>0.5</v>
      </c>
      <c r="X353" s="4">
        <v>0.6</v>
      </c>
      <c r="Y353" s="4">
        <v>0.89</v>
      </c>
      <c r="Z353" s="4">
        <v>909.220642</v>
      </c>
      <c r="AA353" s="4">
        <v>2.1999999999999999E-2</v>
      </c>
      <c r="AC353" s="4" t="s">
        <v>250</v>
      </c>
      <c r="AD353" s="4">
        <v>0.9</v>
      </c>
      <c r="AE353" s="4">
        <v>0.5</v>
      </c>
      <c r="AF353" s="4">
        <v>0.6</v>
      </c>
      <c r="AG353" s="4">
        <v>0.31</v>
      </c>
      <c r="AH353" s="6">
        <v>761.36474599999997</v>
      </c>
      <c r="AI353" s="4">
        <v>3.0000000000000001E-3</v>
      </c>
      <c r="AJ353" s="5"/>
      <c r="AK353" s="5"/>
      <c r="AL353" s="5"/>
      <c r="AM353" s="5"/>
      <c r="AO353" s="4" t="s">
        <v>251</v>
      </c>
      <c r="AP353" s="4">
        <v>0.9</v>
      </c>
      <c r="AQ353" s="4">
        <v>0.5</v>
      </c>
      <c r="AR353" s="4">
        <v>0.6</v>
      </c>
      <c r="AS353" s="4">
        <v>0.17</v>
      </c>
      <c r="AT353" s="6">
        <v>1042.052246</v>
      </c>
      <c r="AU353" s="4">
        <v>1.9E-2</v>
      </c>
      <c r="AW353" s="4" t="s">
        <v>251</v>
      </c>
      <c r="AX353" s="4">
        <v>0.9</v>
      </c>
      <c r="AY353" s="4">
        <v>0.5</v>
      </c>
      <c r="AZ353" s="4">
        <v>0.6</v>
      </c>
      <c r="BA353" s="4">
        <v>0.3</v>
      </c>
      <c r="BB353" s="4">
        <v>1148.55249</v>
      </c>
      <c r="BC353" s="4">
        <v>0.01</v>
      </c>
      <c r="BD353" s="5"/>
      <c r="BE353" s="5"/>
      <c r="BF353" s="5"/>
      <c r="BG353" s="5"/>
      <c r="BI353" s="4" t="s">
        <v>251</v>
      </c>
      <c r="BJ353" s="4">
        <v>0.9</v>
      </c>
      <c r="BK353" s="4">
        <v>0.5</v>
      </c>
      <c r="BL353" s="4">
        <v>0.6</v>
      </c>
      <c r="BM353" s="4">
        <v>0.52</v>
      </c>
      <c r="BN353" s="4">
        <v>1214.9257809999999</v>
      </c>
      <c r="BO353" s="4">
        <v>1.2E-2</v>
      </c>
      <c r="BQ353" s="4" t="s">
        <v>251</v>
      </c>
      <c r="BR353" s="4">
        <v>0.9</v>
      </c>
      <c r="BS353" s="4">
        <v>0.5</v>
      </c>
      <c r="BT353" s="4">
        <v>0.6</v>
      </c>
      <c r="BU353" s="4">
        <v>0.36</v>
      </c>
      <c r="BV353" s="6">
        <v>1122.6743160000001</v>
      </c>
      <c r="BW353" s="4">
        <v>8.0000000000000002E-3</v>
      </c>
      <c r="BX353" s="5"/>
      <c r="BY353" s="5"/>
      <c r="BZ353" s="5"/>
      <c r="CA353" s="5"/>
    </row>
    <row r="354" spans="1:79" x14ac:dyDescent="0.3">
      <c r="A354" s="4" t="s">
        <v>252</v>
      </c>
      <c r="B354" s="4">
        <v>0.9</v>
      </c>
      <c r="C354" s="4">
        <v>0.5</v>
      </c>
      <c r="D354" s="4">
        <v>0.6</v>
      </c>
      <c r="E354" s="4">
        <v>0.28000000000000003</v>
      </c>
      <c r="F354" s="6">
        <v>813.68536400000005</v>
      </c>
      <c r="G354" s="4">
        <v>1.7000000000000001E-2</v>
      </c>
      <c r="I354" s="4" t="s">
        <v>252</v>
      </c>
      <c r="J354" s="4">
        <v>0.9</v>
      </c>
      <c r="K354" s="4">
        <v>0.5</v>
      </c>
      <c r="L354" s="4">
        <v>0.6</v>
      </c>
      <c r="M354" s="4">
        <v>0.32</v>
      </c>
      <c r="N354" s="4">
        <v>844.31103499999995</v>
      </c>
      <c r="O354" s="4">
        <v>3.0000000000000001E-3</v>
      </c>
      <c r="P354" s="5"/>
      <c r="Q354" s="5"/>
      <c r="R354" s="5"/>
      <c r="S354" s="5"/>
      <c r="U354" s="4" t="s">
        <v>252</v>
      </c>
      <c r="V354" s="4">
        <v>0.9</v>
      </c>
      <c r="W354" s="4">
        <v>0.5</v>
      </c>
      <c r="X354" s="4">
        <v>0.6</v>
      </c>
      <c r="Y354" s="4">
        <v>0.78</v>
      </c>
      <c r="Z354" s="4">
        <v>999.13311799999997</v>
      </c>
      <c r="AA354" s="4">
        <v>1.2999999999999999E-2</v>
      </c>
      <c r="AC354" s="4" t="s">
        <v>252</v>
      </c>
      <c r="AD354" s="4">
        <v>0.9</v>
      </c>
      <c r="AE354" s="4">
        <v>0.5</v>
      </c>
      <c r="AF354" s="4">
        <v>0.6</v>
      </c>
      <c r="AG354" s="4">
        <v>0.3</v>
      </c>
      <c r="AH354" s="6">
        <v>792.85205099999996</v>
      </c>
      <c r="AI354" s="4">
        <v>3.0000000000000001E-3</v>
      </c>
      <c r="AJ354" s="5"/>
      <c r="AK354" s="5"/>
      <c r="AL354" s="5"/>
      <c r="AM354" s="5"/>
      <c r="AO354" s="4" t="s">
        <v>253</v>
      </c>
      <c r="AP354" s="4">
        <v>0.9</v>
      </c>
      <c r="AQ354" s="4">
        <v>0.5</v>
      </c>
      <c r="AR354" s="4">
        <v>0.6</v>
      </c>
      <c r="AS354" s="4">
        <v>0.3</v>
      </c>
      <c r="AT354" s="6">
        <v>1159.5375979999999</v>
      </c>
      <c r="AU354" s="4">
        <v>2.5000000000000001E-2</v>
      </c>
      <c r="AW354" s="4" t="s">
        <v>253</v>
      </c>
      <c r="AX354" s="4">
        <v>0.9</v>
      </c>
      <c r="AY354" s="4">
        <v>0.5</v>
      </c>
      <c r="AZ354" s="4">
        <v>0.6</v>
      </c>
      <c r="BA354" s="4">
        <v>0.3</v>
      </c>
      <c r="BB354" s="4">
        <v>1185.3977050000001</v>
      </c>
      <c r="BC354" s="4">
        <v>1.0999999999999999E-2</v>
      </c>
      <c r="BD354" s="5"/>
      <c r="BE354" s="5"/>
      <c r="BF354" s="5"/>
      <c r="BG354" s="5"/>
      <c r="BI354" s="4" t="s">
        <v>253</v>
      </c>
      <c r="BJ354" s="4">
        <v>0.9</v>
      </c>
      <c r="BK354" s="4">
        <v>0.5</v>
      </c>
      <c r="BL354" s="4">
        <v>0.6</v>
      </c>
      <c r="BM354" s="4">
        <v>0.53</v>
      </c>
      <c r="BN354" s="4">
        <v>1272.0928960000001</v>
      </c>
      <c r="BO354" s="4">
        <v>1.2999999999999999E-2</v>
      </c>
      <c r="BQ354" s="4" t="s">
        <v>253</v>
      </c>
      <c r="BR354" s="4">
        <v>0.9</v>
      </c>
      <c r="BS354" s="4">
        <v>0.5</v>
      </c>
      <c r="BT354" s="4">
        <v>0.6</v>
      </c>
      <c r="BU354" s="4">
        <v>0.33</v>
      </c>
      <c r="BV354" s="6">
        <v>1179.795288</v>
      </c>
      <c r="BW354" s="4">
        <v>0.01</v>
      </c>
      <c r="BX354" s="5"/>
      <c r="BY354" s="5"/>
      <c r="BZ354" s="5"/>
      <c r="CA354" s="5"/>
    </row>
    <row r="355" spans="1:79" x14ac:dyDescent="0.3">
      <c r="A355" s="14" t="s">
        <v>316</v>
      </c>
      <c r="E355" s="14">
        <f>AVERAGE(E325:E354)</f>
        <v>0.42066666666666669</v>
      </c>
      <c r="I355" s="14" t="s">
        <v>316</v>
      </c>
      <c r="M355" s="14">
        <f>AVERAGE(M325:M354)</f>
        <v>0.31766666666666671</v>
      </c>
      <c r="P355" s="5"/>
      <c r="Q355" s="5"/>
      <c r="R355" s="5"/>
      <c r="S355" s="5"/>
      <c r="U355" s="14" t="s">
        <v>316</v>
      </c>
      <c r="Y355" s="14">
        <f>AVERAGE(Y325:Y354)</f>
        <v>0.46733333333333338</v>
      </c>
      <c r="AC355" s="14" t="s">
        <v>316</v>
      </c>
      <c r="AG355" s="14">
        <f>AVERAGE(AG325:AG354)</f>
        <v>0.31466666666666665</v>
      </c>
      <c r="AJ355" s="5"/>
      <c r="AK355" s="5"/>
      <c r="AL355" s="5"/>
      <c r="AM355" s="5"/>
      <c r="AO355" s="14" t="s">
        <v>316</v>
      </c>
      <c r="AS355" s="14">
        <f>AVERAGE(AS325:AS354)</f>
        <v>0.48099999999999998</v>
      </c>
      <c r="AW355" s="14" t="s">
        <v>316</v>
      </c>
      <c r="BA355" s="14">
        <f>AVERAGE(BA325:BA354)</f>
        <v>0.31299999999999994</v>
      </c>
      <c r="BD355" s="5"/>
      <c r="BE355" s="5"/>
      <c r="BF355" s="5"/>
      <c r="BG355" s="5"/>
      <c r="BI355" s="14" t="s">
        <v>316</v>
      </c>
      <c r="BM355" s="14">
        <f>AVERAGE(BM325:BM354)</f>
        <v>0.46766666666666656</v>
      </c>
      <c r="BQ355" s="14" t="s">
        <v>316</v>
      </c>
      <c r="BU355" s="14">
        <f>AVERAGE(BU325:BU354)</f>
        <v>0.31366666666666665</v>
      </c>
      <c r="BX355" s="5"/>
      <c r="BY355" s="5"/>
      <c r="BZ355" s="5"/>
      <c r="CA355" s="5"/>
    </row>
    <row r="356" spans="1:79" x14ac:dyDescent="0.3">
      <c r="P356" s="5"/>
      <c r="Q356" s="5"/>
      <c r="R356" s="5"/>
      <c r="S356" s="5"/>
      <c r="AJ356" s="5"/>
      <c r="AK356" s="5"/>
      <c r="AL356" s="5"/>
      <c r="AM356" s="5"/>
      <c r="BD356" s="5"/>
      <c r="BE356" s="5"/>
      <c r="BF356" s="5"/>
      <c r="BG356" s="5"/>
      <c r="BX356" s="5"/>
      <c r="BY356" s="5"/>
      <c r="BZ356" s="5"/>
      <c r="CA356" s="5"/>
    </row>
    <row r="357" spans="1:79" x14ac:dyDescent="0.3">
      <c r="P357" s="5"/>
      <c r="Q357" s="5"/>
      <c r="R357" s="5"/>
      <c r="S357" s="5"/>
      <c r="AJ357" s="5"/>
      <c r="AK357" s="5"/>
      <c r="AL357" s="5"/>
      <c r="AM357" s="5"/>
      <c r="BD357" s="5"/>
      <c r="BE357" s="5"/>
      <c r="BF357" s="5"/>
      <c r="BG357" s="5"/>
      <c r="BX357" s="5"/>
      <c r="BY357" s="5"/>
      <c r="BZ357" s="5"/>
      <c r="CA357" s="5"/>
    </row>
    <row r="358" spans="1:79" x14ac:dyDescent="0.3">
      <c r="A358" s="24" t="s">
        <v>314</v>
      </c>
      <c r="B358" s="25"/>
      <c r="C358" s="25"/>
      <c r="D358" s="25"/>
      <c r="E358" s="25"/>
      <c r="F358" s="25"/>
      <c r="G358" s="26"/>
      <c r="I358" s="23" t="s">
        <v>314</v>
      </c>
      <c r="J358" s="23"/>
      <c r="K358" s="23"/>
      <c r="L358" s="23"/>
      <c r="M358" s="23"/>
      <c r="N358" s="23"/>
      <c r="O358" s="23"/>
      <c r="P358" s="11"/>
      <c r="Q358" s="11"/>
      <c r="R358" s="11"/>
      <c r="S358" s="11"/>
      <c r="U358" s="24" t="s">
        <v>314</v>
      </c>
      <c r="V358" s="25"/>
      <c r="W358" s="25"/>
      <c r="X358" s="25"/>
      <c r="Y358" s="25"/>
      <c r="Z358" s="25"/>
      <c r="AA358" s="26"/>
      <c r="AC358" s="23" t="s">
        <v>314</v>
      </c>
      <c r="AD358" s="23"/>
      <c r="AE358" s="23"/>
      <c r="AF358" s="23"/>
      <c r="AG358" s="23"/>
      <c r="AH358" s="23"/>
      <c r="AI358" s="23"/>
      <c r="AJ358" s="11"/>
      <c r="AK358" s="11"/>
      <c r="AL358" s="11"/>
      <c r="AM358" s="11"/>
      <c r="AO358" s="24" t="s">
        <v>314</v>
      </c>
      <c r="AP358" s="25"/>
      <c r="AQ358" s="25"/>
      <c r="AR358" s="25"/>
      <c r="AS358" s="25"/>
      <c r="AT358" s="25"/>
      <c r="AU358" s="26"/>
      <c r="AW358" s="23" t="s">
        <v>314</v>
      </c>
      <c r="AX358" s="23"/>
      <c r="AY358" s="23"/>
      <c r="AZ358" s="23"/>
      <c r="BA358" s="23"/>
      <c r="BB358" s="23"/>
      <c r="BC358" s="23"/>
      <c r="BD358" s="11"/>
      <c r="BE358" s="11"/>
      <c r="BF358" s="11"/>
      <c r="BG358" s="11"/>
      <c r="BI358" s="24" t="s">
        <v>314</v>
      </c>
      <c r="BJ358" s="25"/>
      <c r="BK358" s="25"/>
      <c r="BL358" s="25"/>
      <c r="BM358" s="25"/>
      <c r="BN358" s="25"/>
      <c r="BO358" s="26"/>
      <c r="BQ358" s="23" t="s">
        <v>314</v>
      </c>
      <c r="BR358" s="23"/>
      <c r="BS358" s="23"/>
      <c r="BT358" s="23"/>
      <c r="BU358" s="23"/>
      <c r="BV358" s="23"/>
      <c r="BW358" s="23"/>
      <c r="BX358" s="11"/>
      <c r="BY358" s="11"/>
      <c r="BZ358" s="11"/>
      <c r="CA358" s="11"/>
    </row>
    <row r="359" spans="1:79" x14ac:dyDescent="0.3">
      <c r="A359" s="4" t="s">
        <v>70</v>
      </c>
      <c r="B359" s="4"/>
      <c r="C359" s="4"/>
      <c r="D359" s="4"/>
      <c r="E359" s="4"/>
      <c r="F359" s="4"/>
      <c r="G359" s="4"/>
      <c r="I359" s="23" t="s">
        <v>70</v>
      </c>
      <c r="J359" s="23"/>
      <c r="K359" s="23"/>
      <c r="L359" s="23"/>
      <c r="M359" s="23"/>
      <c r="N359" s="23"/>
      <c r="O359" s="23"/>
      <c r="P359" s="5"/>
      <c r="Q359" s="5"/>
      <c r="R359" s="5"/>
      <c r="S359" s="5"/>
      <c r="U359" s="4" t="s">
        <v>71</v>
      </c>
      <c r="V359" s="4"/>
      <c r="W359" s="4"/>
      <c r="X359" s="4"/>
      <c r="Y359" s="4"/>
      <c r="Z359" s="4"/>
      <c r="AA359" s="4"/>
      <c r="AC359" s="23" t="s">
        <v>71</v>
      </c>
      <c r="AD359" s="23"/>
      <c r="AE359" s="23"/>
      <c r="AF359" s="23"/>
      <c r="AG359" s="23"/>
      <c r="AH359" s="23"/>
      <c r="AI359" s="23"/>
      <c r="AJ359" s="5"/>
      <c r="AK359" s="5"/>
      <c r="AL359" s="5"/>
      <c r="AM359" s="5"/>
      <c r="AO359" s="4" t="s">
        <v>70</v>
      </c>
      <c r="AP359" s="4"/>
      <c r="AQ359" s="4"/>
      <c r="AR359" s="4"/>
      <c r="AS359" s="4"/>
      <c r="AT359" s="4"/>
      <c r="AU359" s="4"/>
      <c r="AW359" s="23" t="s">
        <v>70</v>
      </c>
      <c r="AX359" s="23"/>
      <c r="AY359" s="23"/>
      <c r="AZ359" s="23"/>
      <c r="BA359" s="23"/>
      <c r="BB359" s="23"/>
      <c r="BC359" s="23"/>
      <c r="BD359" s="5"/>
      <c r="BE359" s="5"/>
      <c r="BF359" s="5"/>
      <c r="BG359" s="5"/>
      <c r="BI359" s="4" t="s">
        <v>71</v>
      </c>
      <c r="BJ359" s="4"/>
      <c r="BK359" s="4"/>
      <c r="BL359" s="4"/>
      <c r="BM359" s="4"/>
      <c r="BN359" s="4"/>
      <c r="BO359" s="4"/>
      <c r="BQ359" s="23" t="s">
        <v>71</v>
      </c>
      <c r="BR359" s="23"/>
      <c r="BS359" s="23"/>
      <c r="BT359" s="23"/>
      <c r="BU359" s="23"/>
      <c r="BV359" s="23"/>
      <c r="BW359" s="23"/>
      <c r="BX359" s="5"/>
      <c r="BY359" s="5"/>
      <c r="BZ359" s="5"/>
      <c r="CA359" s="5"/>
    </row>
    <row r="360" spans="1:79" x14ac:dyDescent="0.3">
      <c r="A360" s="4" t="s">
        <v>2</v>
      </c>
      <c r="B360" s="4" t="s">
        <v>3</v>
      </c>
      <c r="C360" s="4" t="s">
        <v>4</v>
      </c>
      <c r="D360" s="4" t="s">
        <v>5</v>
      </c>
      <c r="E360" s="4" t="s">
        <v>6</v>
      </c>
      <c r="F360" s="4" t="s">
        <v>7</v>
      </c>
      <c r="G360" s="4" t="s">
        <v>8</v>
      </c>
      <c r="I360" s="4" t="s">
        <v>2</v>
      </c>
      <c r="J360" s="4" t="s">
        <v>3</v>
      </c>
      <c r="K360" s="4" t="s">
        <v>4</v>
      </c>
      <c r="L360" s="4" t="s">
        <v>5</v>
      </c>
      <c r="M360" s="4" t="s">
        <v>6</v>
      </c>
      <c r="N360" s="4" t="s">
        <v>7</v>
      </c>
      <c r="O360" s="4" t="s">
        <v>8</v>
      </c>
      <c r="P360" s="3" t="s">
        <v>322</v>
      </c>
      <c r="Q360" s="3" t="s">
        <v>323</v>
      </c>
      <c r="R360" s="3" t="s">
        <v>322</v>
      </c>
      <c r="S360" s="3" t="s">
        <v>323</v>
      </c>
      <c r="U360" s="4" t="s">
        <v>2</v>
      </c>
      <c r="V360" s="4" t="s">
        <v>3</v>
      </c>
      <c r="W360" s="4" t="s">
        <v>4</v>
      </c>
      <c r="X360" s="4" t="s">
        <v>5</v>
      </c>
      <c r="Y360" s="4" t="s">
        <v>6</v>
      </c>
      <c r="Z360" s="4" t="s">
        <v>7</v>
      </c>
      <c r="AA360" s="4" t="s">
        <v>8</v>
      </c>
      <c r="AC360" s="4" t="s">
        <v>2</v>
      </c>
      <c r="AD360" s="4" t="s">
        <v>3</v>
      </c>
      <c r="AE360" s="4" t="s">
        <v>4</v>
      </c>
      <c r="AF360" s="4" t="s">
        <v>5</v>
      </c>
      <c r="AG360" s="4" t="s">
        <v>6</v>
      </c>
      <c r="AH360" s="4" t="s">
        <v>7</v>
      </c>
      <c r="AI360" s="4" t="s">
        <v>8</v>
      </c>
      <c r="AJ360" s="3" t="s">
        <v>322</v>
      </c>
      <c r="AK360" s="3" t="s">
        <v>323</v>
      </c>
      <c r="AL360" s="3" t="s">
        <v>322</v>
      </c>
      <c r="AM360" s="3" t="s">
        <v>323</v>
      </c>
      <c r="AO360" s="4" t="s">
        <v>2</v>
      </c>
      <c r="AP360" s="4" t="s">
        <v>3</v>
      </c>
      <c r="AQ360" s="4" t="s">
        <v>4</v>
      </c>
      <c r="AR360" s="4" t="s">
        <v>5</v>
      </c>
      <c r="AS360" s="4" t="s">
        <v>6</v>
      </c>
      <c r="AT360" s="4" t="s">
        <v>7</v>
      </c>
      <c r="AU360" s="4" t="s">
        <v>8</v>
      </c>
      <c r="AW360" s="4" t="s">
        <v>2</v>
      </c>
      <c r="AX360" s="4" t="s">
        <v>3</v>
      </c>
      <c r="AY360" s="4" t="s">
        <v>4</v>
      </c>
      <c r="AZ360" s="4" t="s">
        <v>5</v>
      </c>
      <c r="BA360" s="4" t="s">
        <v>6</v>
      </c>
      <c r="BB360" s="4" t="s">
        <v>7</v>
      </c>
      <c r="BC360" s="4" t="s">
        <v>8</v>
      </c>
      <c r="BD360" s="3" t="s">
        <v>322</v>
      </c>
      <c r="BE360" s="3" t="s">
        <v>323</v>
      </c>
      <c r="BF360" s="3" t="s">
        <v>322</v>
      </c>
      <c r="BG360" s="3" t="s">
        <v>323</v>
      </c>
      <c r="BI360" s="4" t="s">
        <v>2</v>
      </c>
      <c r="BJ360" s="4" t="s">
        <v>3</v>
      </c>
      <c r="BK360" s="4" t="s">
        <v>4</v>
      </c>
      <c r="BL360" s="4" t="s">
        <v>5</v>
      </c>
      <c r="BM360" s="4" t="s">
        <v>6</v>
      </c>
      <c r="BN360" s="4" t="s">
        <v>7</v>
      </c>
      <c r="BO360" s="4" t="s">
        <v>8</v>
      </c>
      <c r="BQ360" s="4" t="s">
        <v>2</v>
      </c>
      <c r="BR360" s="4" t="s">
        <v>3</v>
      </c>
      <c r="BS360" s="4" t="s">
        <v>4</v>
      </c>
      <c r="BT360" s="4" t="s">
        <v>5</v>
      </c>
      <c r="BU360" s="4" t="s">
        <v>6</v>
      </c>
      <c r="BV360" s="4" t="s">
        <v>7</v>
      </c>
      <c r="BW360" s="4" t="s">
        <v>8</v>
      </c>
      <c r="BX360" s="3" t="s">
        <v>322</v>
      </c>
      <c r="BY360" s="3" t="s">
        <v>323</v>
      </c>
      <c r="BZ360" s="3" t="s">
        <v>322</v>
      </c>
      <c r="CA360" s="3" t="s">
        <v>323</v>
      </c>
    </row>
    <row r="361" spans="1:79" x14ac:dyDescent="0.3">
      <c r="A361" s="4" t="s">
        <v>194</v>
      </c>
      <c r="B361" s="4">
        <v>0.9</v>
      </c>
      <c r="C361" s="4">
        <v>0.5</v>
      </c>
      <c r="D361" s="4">
        <v>0.6</v>
      </c>
      <c r="E361" s="4">
        <v>0.01</v>
      </c>
      <c r="F361" s="6">
        <v>662.51580799999999</v>
      </c>
      <c r="G361" s="4">
        <v>2.5000000000000001E-2</v>
      </c>
      <c r="I361" s="4" t="s">
        <v>194</v>
      </c>
      <c r="J361" s="4">
        <v>0.9</v>
      </c>
      <c r="K361" s="4">
        <v>0.5</v>
      </c>
      <c r="L361" s="4">
        <v>0.6</v>
      </c>
      <c r="M361" s="4">
        <v>0.31</v>
      </c>
      <c r="N361" s="4">
        <v>661.36474599999997</v>
      </c>
      <c r="O361" s="4">
        <v>3.0000000000000001E-3</v>
      </c>
      <c r="P361" s="4" t="s">
        <v>327</v>
      </c>
      <c r="Q361" s="4" t="s">
        <v>327</v>
      </c>
      <c r="R361" s="4" t="s">
        <v>326</v>
      </c>
      <c r="S361" s="4" t="s">
        <v>326</v>
      </c>
      <c r="U361" s="4" t="s">
        <v>194</v>
      </c>
      <c r="V361" s="4">
        <v>0.9</v>
      </c>
      <c r="W361" s="4">
        <v>0.5</v>
      </c>
      <c r="X361" s="4">
        <v>0.6</v>
      </c>
      <c r="Y361" s="4">
        <v>0.01</v>
      </c>
      <c r="Z361" s="6">
        <v>650.76556400000004</v>
      </c>
      <c r="AA361" s="4">
        <v>0.03</v>
      </c>
      <c r="AC361" s="4" t="s">
        <v>194</v>
      </c>
      <c r="AD361" s="4">
        <v>0.9</v>
      </c>
      <c r="AE361" s="4">
        <v>0.5</v>
      </c>
      <c r="AF361" s="4">
        <v>0.6</v>
      </c>
      <c r="AG361" s="4">
        <v>0.3</v>
      </c>
      <c r="AH361" s="4">
        <v>672.53552200000001</v>
      </c>
      <c r="AI361" s="4">
        <v>5.0000000000000001E-3</v>
      </c>
      <c r="AJ361" s="4" t="s">
        <v>327</v>
      </c>
      <c r="AK361" s="4" t="s">
        <v>327</v>
      </c>
      <c r="AL361" s="4" t="s">
        <v>326</v>
      </c>
      <c r="AM361" s="4" t="s">
        <v>326</v>
      </c>
      <c r="AO361" s="4" t="s">
        <v>195</v>
      </c>
      <c r="AP361" s="4">
        <v>0.9</v>
      </c>
      <c r="AQ361" s="4">
        <v>0.5</v>
      </c>
      <c r="AR361" s="4">
        <v>0.6</v>
      </c>
      <c r="AS361" s="4">
        <v>0.01</v>
      </c>
      <c r="AT361" s="6">
        <v>843.37664800000005</v>
      </c>
      <c r="AU361" s="4">
        <v>4.1000000000000002E-2</v>
      </c>
      <c r="AW361" s="4" t="s">
        <v>195</v>
      </c>
      <c r="AX361" s="4">
        <v>0.9</v>
      </c>
      <c r="AY361" s="4">
        <v>0.5</v>
      </c>
      <c r="AZ361" s="4">
        <v>0.6</v>
      </c>
      <c r="BA361" s="4">
        <v>0.33</v>
      </c>
      <c r="BB361" s="4">
        <v>997.74523899999997</v>
      </c>
      <c r="BC361" s="4">
        <v>7.0000000000000001E-3</v>
      </c>
      <c r="BD361" s="4" t="s">
        <v>327</v>
      </c>
      <c r="BE361" s="4" t="s">
        <v>327</v>
      </c>
      <c r="BF361" s="4" t="s">
        <v>326</v>
      </c>
      <c r="BG361" s="4" t="s">
        <v>326</v>
      </c>
      <c r="BI361" s="4" t="s">
        <v>195</v>
      </c>
      <c r="BJ361" s="4">
        <v>0.9</v>
      </c>
      <c r="BK361" s="4">
        <v>0.5</v>
      </c>
      <c r="BL361" s="4">
        <v>0.6</v>
      </c>
      <c r="BM361" s="4">
        <v>0.01</v>
      </c>
      <c r="BN361" s="6">
        <v>793.76568599999996</v>
      </c>
      <c r="BO361" s="4">
        <v>4.5999999999999999E-2</v>
      </c>
      <c r="BQ361" s="4" t="s">
        <v>195</v>
      </c>
      <c r="BR361" s="4">
        <v>0.9</v>
      </c>
      <c r="BS361" s="4">
        <v>0.5</v>
      </c>
      <c r="BT361" s="4">
        <v>0.6</v>
      </c>
      <c r="BU361" s="4">
        <v>0.3</v>
      </c>
      <c r="BV361" s="4">
        <v>969.35522500000002</v>
      </c>
      <c r="BW361" s="4">
        <v>8.9999999999999993E-3</v>
      </c>
      <c r="BX361" s="4" t="s">
        <v>327</v>
      </c>
      <c r="BY361" s="4" t="s">
        <v>327</v>
      </c>
      <c r="BZ361" s="4" t="s">
        <v>326</v>
      </c>
      <c r="CA361" s="4" t="s">
        <v>326</v>
      </c>
    </row>
    <row r="362" spans="1:79" x14ac:dyDescent="0.3">
      <c r="A362" s="4" t="s">
        <v>196</v>
      </c>
      <c r="B362" s="4">
        <v>0.9</v>
      </c>
      <c r="C362" s="4">
        <v>0.5</v>
      </c>
      <c r="D362" s="4">
        <v>0.6</v>
      </c>
      <c r="E362" s="4">
        <v>0.93</v>
      </c>
      <c r="F362" s="4">
        <v>757.83123799999998</v>
      </c>
      <c r="G362" s="4">
        <v>1.0999999999999999E-2</v>
      </c>
      <c r="I362" s="4" t="s">
        <v>196</v>
      </c>
      <c r="J362" s="4">
        <v>0.9</v>
      </c>
      <c r="K362" s="4">
        <v>0.5</v>
      </c>
      <c r="L362" s="4">
        <v>0.6</v>
      </c>
      <c r="M362" s="4">
        <v>0.31</v>
      </c>
      <c r="N362" s="6">
        <v>653.21197500000005</v>
      </c>
      <c r="O362" s="4">
        <v>3.0000000000000001E-3</v>
      </c>
      <c r="P362" s="3">
        <f>COUNT(F361,F369,F372,F377,F381,F384,F388)</f>
        <v>7</v>
      </c>
      <c r="Q362" s="3">
        <f>30-P362</f>
        <v>23</v>
      </c>
      <c r="R362" s="3">
        <f>COUNT(N362:N368,N370:N371,N373:N376,N378:N380,N382:N383,N385:N387,N389:N390)</f>
        <v>23</v>
      </c>
      <c r="S362" s="3">
        <f>30-R362</f>
        <v>7</v>
      </c>
      <c r="U362" s="4" t="s">
        <v>196</v>
      </c>
      <c r="V362" s="4">
        <v>0.9</v>
      </c>
      <c r="W362" s="4">
        <v>0.5</v>
      </c>
      <c r="X362" s="4">
        <v>0.6</v>
      </c>
      <c r="Y362" s="4">
        <v>0.33</v>
      </c>
      <c r="Z362" s="6">
        <v>642.30633499999999</v>
      </c>
      <c r="AA362" s="4">
        <v>1.2999999999999999E-2</v>
      </c>
      <c r="AC362" s="4" t="s">
        <v>196</v>
      </c>
      <c r="AD362" s="4">
        <v>0.9</v>
      </c>
      <c r="AE362" s="4">
        <v>0.5</v>
      </c>
      <c r="AF362" s="4">
        <v>0.6</v>
      </c>
      <c r="AG362" s="4">
        <v>0.3</v>
      </c>
      <c r="AH362" s="4">
        <v>648.53619400000002</v>
      </c>
      <c r="AI362" s="4">
        <v>6.0000000000000001E-3</v>
      </c>
      <c r="AJ362" s="3">
        <f>COUNT(Z361:Z363,Z370,Z384)</f>
        <v>5</v>
      </c>
      <c r="AK362" s="3">
        <f>30-AJ362</f>
        <v>25</v>
      </c>
      <c r="AL362" s="3">
        <f>COUNT(AH364:AH369,AH371:AH383,AH385:AH390)</f>
        <v>25</v>
      </c>
      <c r="AM362" s="3">
        <f>30-AL362</f>
        <v>5</v>
      </c>
      <c r="AO362" s="4" t="s">
        <v>197</v>
      </c>
      <c r="AP362" s="4">
        <v>0.9</v>
      </c>
      <c r="AQ362" s="4">
        <v>0.5</v>
      </c>
      <c r="AR362" s="4">
        <v>0.6</v>
      </c>
      <c r="AS362" s="4">
        <v>0.9</v>
      </c>
      <c r="AT362" s="4">
        <v>1063.540405</v>
      </c>
      <c r="AU362" s="4">
        <v>4.2000000000000003E-2</v>
      </c>
      <c r="AW362" s="4" t="s">
        <v>197</v>
      </c>
      <c r="AX362" s="4">
        <v>0.9</v>
      </c>
      <c r="AY362" s="4">
        <v>0.5</v>
      </c>
      <c r="AZ362" s="4">
        <v>0.6</v>
      </c>
      <c r="BA362" s="4">
        <v>0.33</v>
      </c>
      <c r="BB362" s="6">
        <v>939.78497300000004</v>
      </c>
      <c r="BC362" s="4">
        <v>1.0999999999999999E-2</v>
      </c>
      <c r="BD362" s="3">
        <f>COUNT(AT361,AT363,AT366,AT371,AT376,AT380,AT383:AT384,AT389)</f>
        <v>9</v>
      </c>
      <c r="BE362" s="3">
        <f>30-BD362</f>
        <v>21</v>
      </c>
      <c r="BF362" s="3">
        <f>COUNT(BB362,BB364:BB365,BB367:BB370,BB372:BB375,BB377:BB379,BB381:BB382,BB385:BB388,BB390)</f>
        <v>21</v>
      </c>
      <c r="BG362" s="3">
        <f>30-BF362</f>
        <v>9</v>
      </c>
      <c r="BI362" s="4" t="s">
        <v>197</v>
      </c>
      <c r="BJ362" s="4">
        <v>0.9</v>
      </c>
      <c r="BK362" s="4">
        <v>0.5</v>
      </c>
      <c r="BL362" s="4">
        <v>0.6</v>
      </c>
      <c r="BM362" s="4">
        <v>0.72</v>
      </c>
      <c r="BN362" s="4">
        <v>997.76470900000004</v>
      </c>
      <c r="BO362" s="4">
        <v>1.7000000000000001E-2</v>
      </c>
      <c r="BQ362" s="4" t="s">
        <v>197</v>
      </c>
      <c r="BR362" s="4">
        <v>0.9</v>
      </c>
      <c r="BS362" s="4">
        <v>0.5</v>
      </c>
      <c r="BT362" s="4">
        <v>0.6</v>
      </c>
      <c r="BU362" s="4">
        <v>0.32</v>
      </c>
      <c r="BV362" s="6">
        <v>905.64276099999995</v>
      </c>
      <c r="BW362" s="4">
        <v>7.0000000000000001E-3</v>
      </c>
      <c r="BX362" s="3">
        <f>COUNT(BN361,BN363,BN365,BN369,BN372,BN374,BN376:BN377,BN382,BN386:BN387,BN390)</f>
        <v>12</v>
      </c>
      <c r="BY362" s="3">
        <f>30-BX362</f>
        <v>18</v>
      </c>
      <c r="BZ362" s="3">
        <f>COUNT(BV362,BV364,BV366:BV368,BV370:BV371,BV373,BV375,BV378:BV381,BV383:BV385,BV388:BV389)</f>
        <v>18</v>
      </c>
      <c r="CA362" s="3">
        <f>30-BZ362</f>
        <v>12</v>
      </c>
    </row>
    <row r="363" spans="1:79" x14ac:dyDescent="0.3">
      <c r="A363" s="4" t="s">
        <v>198</v>
      </c>
      <c r="B363" s="4">
        <v>0.9</v>
      </c>
      <c r="C363" s="4">
        <v>0.5</v>
      </c>
      <c r="D363" s="4">
        <v>0.6</v>
      </c>
      <c r="E363" s="4">
        <v>0.4</v>
      </c>
      <c r="F363" s="4">
        <v>667.28002900000001</v>
      </c>
      <c r="G363" s="4">
        <v>0.02</v>
      </c>
      <c r="I363" s="4" t="s">
        <v>198</v>
      </c>
      <c r="J363" s="4">
        <v>0.9</v>
      </c>
      <c r="K363" s="4">
        <v>0.5</v>
      </c>
      <c r="L363" s="4">
        <v>0.6</v>
      </c>
      <c r="M363" s="4">
        <v>0.3</v>
      </c>
      <c r="N363" s="6">
        <v>645.04803500000003</v>
      </c>
      <c r="O363" s="4">
        <v>2E-3</v>
      </c>
      <c r="P363" s="5"/>
      <c r="Q363" s="5"/>
      <c r="R363" s="5"/>
      <c r="S363" s="5"/>
      <c r="U363" s="4" t="s">
        <v>198</v>
      </c>
      <c r="V363" s="4">
        <v>0.9</v>
      </c>
      <c r="W363" s="4">
        <v>0.5</v>
      </c>
      <c r="X363" s="4">
        <v>0.6</v>
      </c>
      <c r="Y363" s="4">
        <v>0.25</v>
      </c>
      <c r="Z363" s="6">
        <v>603.62432899999999</v>
      </c>
      <c r="AA363" s="4">
        <v>2.4E-2</v>
      </c>
      <c r="AC363" s="4" t="s">
        <v>198</v>
      </c>
      <c r="AD363" s="4">
        <v>0.9</v>
      </c>
      <c r="AE363" s="4">
        <v>0.5</v>
      </c>
      <c r="AF363" s="4">
        <v>0.6</v>
      </c>
      <c r="AG363" s="4">
        <v>0.3</v>
      </c>
      <c r="AH363" s="4">
        <v>622.12072799999999</v>
      </c>
      <c r="AI363" s="4">
        <v>3.0000000000000001E-3</v>
      </c>
      <c r="AJ363" s="5"/>
      <c r="AK363" s="5"/>
      <c r="AL363" s="5"/>
      <c r="AM363" s="5"/>
      <c r="AO363" s="4" t="s">
        <v>199</v>
      </c>
      <c r="AP363" s="4">
        <v>0.9</v>
      </c>
      <c r="AQ363" s="4">
        <v>0.5</v>
      </c>
      <c r="AR363" s="4">
        <v>0.6</v>
      </c>
      <c r="AS363" s="4">
        <v>0.04</v>
      </c>
      <c r="AT363" s="6">
        <v>765.94049099999995</v>
      </c>
      <c r="AU363" s="4">
        <v>2.5999999999999999E-2</v>
      </c>
      <c r="AW363" s="4" t="s">
        <v>199</v>
      </c>
      <c r="AX363" s="4">
        <v>0.9</v>
      </c>
      <c r="AY363" s="4">
        <v>0.5</v>
      </c>
      <c r="AZ363" s="4">
        <v>0.6</v>
      </c>
      <c r="BA363" s="4">
        <v>0.34</v>
      </c>
      <c r="BB363" s="4">
        <v>968.83477800000003</v>
      </c>
      <c r="BC363" s="4">
        <v>7.0000000000000001E-3</v>
      </c>
      <c r="BD363" s="5"/>
      <c r="BE363" s="5"/>
      <c r="BF363" s="5"/>
      <c r="BG363" s="5"/>
      <c r="BI363" s="4" t="s">
        <v>199</v>
      </c>
      <c r="BJ363" s="4">
        <v>0.9</v>
      </c>
      <c r="BK363" s="4">
        <v>0.5</v>
      </c>
      <c r="BL363" s="4">
        <v>0.6</v>
      </c>
      <c r="BM363" s="4">
        <v>0.02</v>
      </c>
      <c r="BN363" s="6">
        <v>759.69958499999996</v>
      </c>
      <c r="BO363" s="4">
        <v>0.05</v>
      </c>
      <c r="BQ363" s="4" t="s">
        <v>199</v>
      </c>
      <c r="BR363" s="4">
        <v>0.9</v>
      </c>
      <c r="BS363" s="4">
        <v>0.5</v>
      </c>
      <c r="BT363" s="4">
        <v>0.6</v>
      </c>
      <c r="BU363" s="4">
        <v>0.3</v>
      </c>
      <c r="BV363" s="4">
        <v>921.94665499999996</v>
      </c>
      <c r="BW363" s="4">
        <v>8.9999999999999993E-3</v>
      </c>
      <c r="BX363" s="5"/>
      <c r="BY363" s="5"/>
      <c r="BZ363" s="5"/>
      <c r="CA363" s="5"/>
    </row>
    <row r="364" spans="1:79" x14ac:dyDescent="0.3">
      <c r="A364" s="4" t="s">
        <v>200</v>
      </c>
      <c r="B364" s="4">
        <v>0.9</v>
      </c>
      <c r="C364" s="4">
        <v>0.5</v>
      </c>
      <c r="D364" s="4">
        <v>0.6</v>
      </c>
      <c r="E364" s="4">
        <v>0.48</v>
      </c>
      <c r="F364" s="4">
        <v>637.20788600000003</v>
      </c>
      <c r="G364" s="4">
        <v>2.4E-2</v>
      </c>
      <c r="I364" s="4" t="s">
        <v>200</v>
      </c>
      <c r="J364" s="4">
        <v>0.9</v>
      </c>
      <c r="K364" s="4">
        <v>0.5</v>
      </c>
      <c r="L364" s="4">
        <v>0.6</v>
      </c>
      <c r="M364" s="4">
        <v>0.31</v>
      </c>
      <c r="N364" s="6">
        <v>588.25036599999999</v>
      </c>
      <c r="O364" s="4">
        <v>3.0000000000000001E-3</v>
      </c>
      <c r="P364" s="5"/>
      <c r="Q364" s="5"/>
      <c r="R364" s="5"/>
      <c r="S364" s="5"/>
      <c r="U364" s="4" t="s">
        <v>200</v>
      </c>
      <c r="V364" s="4">
        <v>0.9</v>
      </c>
      <c r="W364" s="4">
        <v>0.5</v>
      </c>
      <c r="X364" s="4">
        <v>0.6</v>
      </c>
      <c r="Y364" s="4">
        <v>0.71</v>
      </c>
      <c r="Z364" s="4">
        <v>630.69946300000004</v>
      </c>
      <c r="AA364" s="4">
        <v>3.5000000000000003E-2</v>
      </c>
      <c r="AC364" s="4" t="s">
        <v>200</v>
      </c>
      <c r="AD364" s="4">
        <v>0.9</v>
      </c>
      <c r="AE364" s="4">
        <v>0.5</v>
      </c>
      <c r="AF364" s="4">
        <v>0.6</v>
      </c>
      <c r="AG364" s="4">
        <v>0.34</v>
      </c>
      <c r="AH364" s="6">
        <v>560.71838400000001</v>
      </c>
      <c r="AI364" s="4">
        <v>3.0000000000000001E-3</v>
      </c>
      <c r="AJ364" s="5"/>
      <c r="AK364" s="5"/>
      <c r="AL364" s="5"/>
      <c r="AM364" s="5"/>
      <c r="AO364" s="4" t="s">
        <v>201</v>
      </c>
      <c r="AP364" s="4">
        <v>0.9</v>
      </c>
      <c r="AQ364" s="4">
        <v>0.5</v>
      </c>
      <c r="AR364" s="4">
        <v>0.6</v>
      </c>
      <c r="AS364" s="4">
        <v>0.73</v>
      </c>
      <c r="AT364" s="4">
        <v>1126.313721</v>
      </c>
      <c r="AU364" s="4">
        <v>1.6E-2</v>
      </c>
      <c r="AW364" s="4" t="s">
        <v>201</v>
      </c>
      <c r="AX364" s="4">
        <v>0.9</v>
      </c>
      <c r="AY364" s="4">
        <v>0.5</v>
      </c>
      <c r="AZ364" s="4">
        <v>0.6</v>
      </c>
      <c r="BA364" s="4">
        <v>0.3</v>
      </c>
      <c r="BB364" s="6">
        <v>1029.9072269999999</v>
      </c>
      <c r="BC364" s="4">
        <v>7.0000000000000001E-3</v>
      </c>
      <c r="BD364" s="5"/>
      <c r="BE364" s="5"/>
      <c r="BF364" s="5"/>
      <c r="BG364" s="5"/>
      <c r="BI364" s="4" t="s">
        <v>201</v>
      </c>
      <c r="BJ364" s="4">
        <v>0.9</v>
      </c>
      <c r="BK364" s="4">
        <v>0.5</v>
      </c>
      <c r="BL364" s="4">
        <v>0.6</v>
      </c>
      <c r="BM364" s="4">
        <v>0.85</v>
      </c>
      <c r="BN364" s="4">
        <v>1145.429077</v>
      </c>
      <c r="BO364" s="4">
        <v>0.03</v>
      </c>
      <c r="BQ364" s="4" t="s">
        <v>201</v>
      </c>
      <c r="BR364" s="4">
        <v>0.9</v>
      </c>
      <c r="BS364" s="4">
        <v>0.5</v>
      </c>
      <c r="BT364" s="4">
        <v>0.6</v>
      </c>
      <c r="BU364" s="4">
        <v>0.32</v>
      </c>
      <c r="BV364" s="6">
        <v>1001.960754</v>
      </c>
      <c r="BW364" s="4">
        <v>1.0999999999999999E-2</v>
      </c>
      <c r="BX364" s="5"/>
      <c r="BY364" s="5"/>
      <c r="BZ364" s="5"/>
      <c r="CA364" s="5"/>
    </row>
    <row r="365" spans="1:79" x14ac:dyDescent="0.3">
      <c r="A365" s="4" t="s">
        <v>202</v>
      </c>
      <c r="B365" s="4">
        <v>0.9</v>
      </c>
      <c r="C365" s="4">
        <v>0.5</v>
      </c>
      <c r="D365" s="4">
        <v>0.6</v>
      </c>
      <c r="E365" s="4">
        <v>0.41</v>
      </c>
      <c r="F365" s="4">
        <v>628.70831299999998</v>
      </c>
      <c r="G365" s="4">
        <v>1.4E-2</v>
      </c>
      <c r="I365" s="4" t="s">
        <v>202</v>
      </c>
      <c r="J365" s="4">
        <v>0.9</v>
      </c>
      <c r="K365" s="4">
        <v>0.5</v>
      </c>
      <c r="L365" s="4">
        <v>0.6</v>
      </c>
      <c r="M365" s="4">
        <v>0.3</v>
      </c>
      <c r="N365" s="6">
        <v>610.43988000000002</v>
      </c>
      <c r="O365" s="4">
        <v>3.0000000000000001E-3</v>
      </c>
      <c r="P365" s="5"/>
      <c r="Q365" s="5"/>
      <c r="R365" s="5"/>
      <c r="S365" s="5"/>
      <c r="U365" s="4" t="s">
        <v>202</v>
      </c>
      <c r="V365" s="4">
        <v>0.9</v>
      </c>
      <c r="W365" s="4">
        <v>0.5</v>
      </c>
      <c r="X365" s="4">
        <v>0.6</v>
      </c>
      <c r="Y365" s="4">
        <v>0.83</v>
      </c>
      <c r="Z365" s="4">
        <v>682.79272500000002</v>
      </c>
      <c r="AA365" s="4">
        <v>1.7000000000000001E-2</v>
      </c>
      <c r="AC365" s="4" t="s">
        <v>202</v>
      </c>
      <c r="AD365" s="4">
        <v>0.9</v>
      </c>
      <c r="AE365" s="4">
        <v>0.5</v>
      </c>
      <c r="AF365" s="4">
        <v>0.6</v>
      </c>
      <c r="AG365" s="4">
        <v>0.3</v>
      </c>
      <c r="AH365" s="6">
        <v>573.74157700000001</v>
      </c>
      <c r="AI365" s="4">
        <v>2E-3</v>
      </c>
      <c r="AJ365" s="5"/>
      <c r="AK365" s="5"/>
      <c r="AL365" s="5"/>
      <c r="AM365" s="5"/>
      <c r="AO365" s="4" t="s">
        <v>203</v>
      </c>
      <c r="AP365" s="4">
        <v>0.9</v>
      </c>
      <c r="AQ365" s="4">
        <v>0.5</v>
      </c>
      <c r="AR365" s="4">
        <v>0.6</v>
      </c>
      <c r="AS365" s="4">
        <v>0.38</v>
      </c>
      <c r="AT365" s="4">
        <v>997.25769000000003</v>
      </c>
      <c r="AU365" s="4">
        <v>2.1999999999999999E-2</v>
      </c>
      <c r="AW365" s="4" t="s">
        <v>203</v>
      </c>
      <c r="AX365" s="4">
        <v>0.9</v>
      </c>
      <c r="AY365" s="4">
        <v>0.5</v>
      </c>
      <c r="AZ365" s="4">
        <v>0.6</v>
      </c>
      <c r="BA365" s="4">
        <v>0.3</v>
      </c>
      <c r="BB365" s="6">
        <v>963.53533900000002</v>
      </c>
      <c r="BC365" s="4">
        <v>7.0000000000000001E-3</v>
      </c>
      <c r="BD365" s="5"/>
      <c r="BE365" s="5"/>
      <c r="BF365" s="5"/>
      <c r="BG365" s="5"/>
      <c r="BI365" s="4" t="s">
        <v>203</v>
      </c>
      <c r="BJ365" s="4">
        <v>0.9</v>
      </c>
      <c r="BK365" s="4">
        <v>0.5</v>
      </c>
      <c r="BL365" s="4">
        <v>0.6</v>
      </c>
      <c r="BM365" s="4">
        <v>0.22</v>
      </c>
      <c r="BN365" s="6">
        <v>876.67181400000004</v>
      </c>
      <c r="BO365" s="4">
        <v>2.8000000000000001E-2</v>
      </c>
      <c r="BQ365" s="4" t="s">
        <v>203</v>
      </c>
      <c r="BR365" s="4">
        <v>0.9</v>
      </c>
      <c r="BS365" s="4">
        <v>0.5</v>
      </c>
      <c r="BT365" s="4">
        <v>0.6</v>
      </c>
      <c r="BU365" s="4">
        <v>0.31</v>
      </c>
      <c r="BV365" s="4">
        <v>927.36645499999997</v>
      </c>
      <c r="BW365" s="4">
        <v>8.9999999999999993E-3</v>
      </c>
      <c r="BX365" s="5"/>
      <c r="BY365" s="5"/>
      <c r="BZ365" s="5"/>
      <c r="CA365" s="5"/>
    </row>
    <row r="366" spans="1:79" x14ac:dyDescent="0.3">
      <c r="A366" s="4" t="s">
        <v>204</v>
      </c>
      <c r="B366" s="4">
        <v>0.9</v>
      </c>
      <c r="C366" s="4">
        <v>0.5</v>
      </c>
      <c r="D366" s="4">
        <v>0.6</v>
      </c>
      <c r="E366" s="4">
        <v>0.69</v>
      </c>
      <c r="F366" s="4">
        <v>716.30645800000002</v>
      </c>
      <c r="G366" s="4">
        <v>1.0999999999999999E-2</v>
      </c>
      <c r="I366" s="4" t="s">
        <v>204</v>
      </c>
      <c r="J366" s="4">
        <v>0.9</v>
      </c>
      <c r="K366" s="4">
        <v>0.5</v>
      </c>
      <c r="L366" s="4">
        <v>0.6</v>
      </c>
      <c r="M366" s="4">
        <v>0.35</v>
      </c>
      <c r="N366" s="6">
        <v>652.68609600000002</v>
      </c>
      <c r="O366" s="4">
        <v>3.0000000000000001E-3</v>
      </c>
      <c r="P366" s="5"/>
      <c r="Q366" s="5"/>
      <c r="R366" s="5"/>
      <c r="S366" s="5"/>
      <c r="U366" s="4" t="s">
        <v>204</v>
      </c>
      <c r="V366" s="4">
        <v>0.9</v>
      </c>
      <c r="W366" s="4">
        <v>0.5</v>
      </c>
      <c r="X366" s="4">
        <v>0.6</v>
      </c>
      <c r="Y366" s="4">
        <v>0.64</v>
      </c>
      <c r="Z366" s="4">
        <v>681.44525099999998</v>
      </c>
      <c r="AA366" s="4">
        <v>0.02</v>
      </c>
      <c r="AC366" s="4" t="s">
        <v>204</v>
      </c>
      <c r="AD366" s="4">
        <v>0.9</v>
      </c>
      <c r="AE366" s="4">
        <v>0.5</v>
      </c>
      <c r="AF366" s="4">
        <v>0.6</v>
      </c>
      <c r="AG366" s="4">
        <v>0.31</v>
      </c>
      <c r="AH366" s="6">
        <v>635.78875700000003</v>
      </c>
      <c r="AI366" s="4">
        <v>4.0000000000000001E-3</v>
      </c>
      <c r="AJ366" s="5"/>
      <c r="AK366" s="5"/>
      <c r="AL366" s="5"/>
      <c r="AM366" s="5"/>
      <c r="AO366" s="4" t="s">
        <v>205</v>
      </c>
      <c r="AP366" s="4">
        <v>0.9</v>
      </c>
      <c r="AQ366" s="4">
        <v>0.5</v>
      </c>
      <c r="AR366" s="4">
        <v>0.6</v>
      </c>
      <c r="AS366" s="4">
        <v>0.22</v>
      </c>
      <c r="AT366" s="6">
        <v>905.017517</v>
      </c>
      <c r="AU366" s="4">
        <v>0.03</v>
      </c>
      <c r="AW366" s="4" t="s">
        <v>205</v>
      </c>
      <c r="AX366" s="4">
        <v>0.9</v>
      </c>
      <c r="AY366" s="4">
        <v>0.5</v>
      </c>
      <c r="AZ366" s="4">
        <v>0.6</v>
      </c>
      <c r="BA366" s="4">
        <v>0.3</v>
      </c>
      <c r="BB366" s="4">
        <v>996.11206100000004</v>
      </c>
      <c r="BC366" s="4">
        <v>7.0000000000000001E-3</v>
      </c>
      <c r="BD366" s="5"/>
      <c r="BE366" s="5"/>
      <c r="BF366" s="5"/>
      <c r="BG366" s="5"/>
      <c r="BI366" s="4" t="s">
        <v>205</v>
      </c>
      <c r="BJ366" s="4">
        <v>0.9</v>
      </c>
      <c r="BK366" s="4">
        <v>0.5</v>
      </c>
      <c r="BL366" s="4">
        <v>0.6</v>
      </c>
      <c r="BM366" s="4">
        <v>0.64</v>
      </c>
      <c r="BN366" s="4">
        <v>1054.5722659999999</v>
      </c>
      <c r="BO366" s="4">
        <v>4.2000000000000003E-2</v>
      </c>
      <c r="BQ366" s="4" t="s">
        <v>205</v>
      </c>
      <c r="BR366" s="4">
        <v>0.9</v>
      </c>
      <c r="BS366" s="4">
        <v>0.5</v>
      </c>
      <c r="BT366" s="4">
        <v>0.6</v>
      </c>
      <c r="BU366" s="4">
        <v>0.31</v>
      </c>
      <c r="BV366" s="6">
        <v>969.45989999999995</v>
      </c>
      <c r="BW366" s="4">
        <v>0.01</v>
      </c>
      <c r="BX366" s="5"/>
      <c r="BY366" s="5"/>
      <c r="BZ366" s="5"/>
      <c r="CA366" s="5"/>
    </row>
    <row r="367" spans="1:79" x14ac:dyDescent="0.3">
      <c r="A367" s="4" t="s">
        <v>206</v>
      </c>
      <c r="B367" s="4">
        <v>0.9</v>
      </c>
      <c r="C367" s="4">
        <v>0.5</v>
      </c>
      <c r="D367" s="4">
        <v>0.6</v>
      </c>
      <c r="E367" s="4">
        <v>0.22</v>
      </c>
      <c r="F367" s="4">
        <v>652.96215800000004</v>
      </c>
      <c r="G367" s="4">
        <v>1.6E-2</v>
      </c>
      <c r="I367" s="4" t="s">
        <v>206</v>
      </c>
      <c r="J367" s="4">
        <v>0.9</v>
      </c>
      <c r="K367" s="4">
        <v>0.5</v>
      </c>
      <c r="L367" s="4">
        <v>0.6</v>
      </c>
      <c r="M367" s="4">
        <v>0.3</v>
      </c>
      <c r="N367" s="6">
        <v>647.00329599999998</v>
      </c>
      <c r="O367" s="4">
        <v>2E-3</v>
      </c>
      <c r="P367" s="5"/>
      <c r="Q367" s="5"/>
      <c r="R367" s="5"/>
      <c r="S367" s="5"/>
      <c r="U367" s="4" t="s">
        <v>206</v>
      </c>
      <c r="V367" s="4">
        <v>0.9</v>
      </c>
      <c r="W367" s="4">
        <v>0.5</v>
      </c>
      <c r="X367" s="4">
        <v>0.6</v>
      </c>
      <c r="Y367" s="4">
        <v>0.99</v>
      </c>
      <c r="Z367" s="4">
        <v>678.83734100000004</v>
      </c>
      <c r="AA367" s="4">
        <v>2.5999999999999999E-2</v>
      </c>
      <c r="AC367" s="4" t="s">
        <v>206</v>
      </c>
      <c r="AD367" s="4">
        <v>0.9</v>
      </c>
      <c r="AE367" s="4">
        <v>0.5</v>
      </c>
      <c r="AF367" s="4">
        <v>0.6</v>
      </c>
      <c r="AG367" s="4">
        <v>0.32</v>
      </c>
      <c r="AH367" s="6">
        <v>645.405396</v>
      </c>
      <c r="AI367" s="4">
        <v>5.0000000000000001E-3</v>
      </c>
      <c r="AJ367" s="5"/>
      <c r="AK367" s="5"/>
      <c r="AL367" s="5"/>
      <c r="AM367" s="5"/>
      <c r="AO367" s="4" t="s">
        <v>207</v>
      </c>
      <c r="AP367" s="4">
        <v>0.9</v>
      </c>
      <c r="AQ367" s="4">
        <v>0.5</v>
      </c>
      <c r="AR367" s="4">
        <v>0.6</v>
      </c>
      <c r="AS367" s="4">
        <v>0.55000000000000004</v>
      </c>
      <c r="AT367" s="4">
        <v>980.39465299999995</v>
      </c>
      <c r="AU367" s="4">
        <v>5.5E-2</v>
      </c>
      <c r="AW367" s="4" t="s">
        <v>207</v>
      </c>
      <c r="AX367" s="4">
        <v>0.9</v>
      </c>
      <c r="AY367" s="4">
        <v>0.5</v>
      </c>
      <c r="AZ367" s="4">
        <v>0.6</v>
      </c>
      <c r="BA367" s="4">
        <v>0.31</v>
      </c>
      <c r="BB367" s="6">
        <v>887.34478799999999</v>
      </c>
      <c r="BC367" s="4">
        <v>6.0000000000000001E-3</v>
      </c>
      <c r="BD367" s="5"/>
      <c r="BE367" s="5"/>
      <c r="BF367" s="5"/>
      <c r="BG367" s="5"/>
      <c r="BI367" s="4" t="s">
        <v>207</v>
      </c>
      <c r="BJ367" s="4">
        <v>0.9</v>
      </c>
      <c r="BK367" s="4">
        <v>0.5</v>
      </c>
      <c r="BL367" s="4">
        <v>0.6</v>
      </c>
      <c r="BM367" s="4">
        <v>0.59</v>
      </c>
      <c r="BN367" s="4">
        <v>958.26531999999997</v>
      </c>
      <c r="BO367" s="4">
        <v>0.01</v>
      </c>
      <c r="BQ367" s="4" t="s">
        <v>207</v>
      </c>
      <c r="BR367" s="4">
        <v>0.9</v>
      </c>
      <c r="BS367" s="4">
        <v>0.5</v>
      </c>
      <c r="BT367" s="4">
        <v>0.6</v>
      </c>
      <c r="BU367" s="4">
        <v>0.3</v>
      </c>
      <c r="BV367" s="6">
        <v>848.43988000000002</v>
      </c>
      <c r="BW367" s="4">
        <v>8.9999999999999993E-3</v>
      </c>
      <c r="BX367" s="5"/>
      <c r="BY367" s="5"/>
      <c r="BZ367" s="5"/>
      <c r="CA367" s="5"/>
    </row>
    <row r="368" spans="1:79" x14ac:dyDescent="0.3">
      <c r="A368" s="4" t="s">
        <v>208</v>
      </c>
      <c r="B368" s="4">
        <v>0.9</v>
      </c>
      <c r="C368" s="4">
        <v>0.5</v>
      </c>
      <c r="D368" s="4">
        <v>0.6</v>
      </c>
      <c r="E368" s="4">
        <v>0.56999999999999995</v>
      </c>
      <c r="F368" s="4">
        <v>666.59698500000002</v>
      </c>
      <c r="G368" s="4">
        <v>1.7999999999999999E-2</v>
      </c>
      <c r="I368" s="4" t="s">
        <v>208</v>
      </c>
      <c r="J368" s="4">
        <v>0.9</v>
      </c>
      <c r="K368" s="4">
        <v>0.5</v>
      </c>
      <c r="L368" s="4">
        <v>0.6</v>
      </c>
      <c r="M368" s="4">
        <v>0.35</v>
      </c>
      <c r="N368" s="6">
        <v>624.28356900000006</v>
      </c>
      <c r="O368" s="4">
        <v>3.0000000000000001E-3</v>
      </c>
      <c r="P368" s="5"/>
      <c r="Q368" s="5"/>
      <c r="R368" s="5"/>
      <c r="S368" s="5"/>
      <c r="U368" s="4" t="s">
        <v>208</v>
      </c>
      <c r="V368" s="4">
        <v>0.9</v>
      </c>
      <c r="W368" s="4">
        <v>0.5</v>
      </c>
      <c r="X368" s="4">
        <v>0.6</v>
      </c>
      <c r="Y368" s="4">
        <v>0.69</v>
      </c>
      <c r="Z368" s="4">
        <v>657.25</v>
      </c>
      <c r="AA368" s="4">
        <v>3.3000000000000002E-2</v>
      </c>
      <c r="AC368" s="4" t="s">
        <v>208</v>
      </c>
      <c r="AD368" s="4">
        <v>0.9</v>
      </c>
      <c r="AE368" s="4">
        <v>0.5</v>
      </c>
      <c r="AF368" s="4">
        <v>0.6</v>
      </c>
      <c r="AG368" s="4">
        <v>0.32</v>
      </c>
      <c r="AH368" s="6">
        <v>600.977844</v>
      </c>
      <c r="AI368" s="4">
        <v>5.0000000000000001E-3</v>
      </c>
      <c r="AJ368" s="5"/>
      <c r="AK368" s="5"/>
      <c r="AL368" s="5"/>
      <c r="AM368" s="5"/>
      <c r="AO368" s="4" t="s">
        <v>209</v>
      </c>
      <c r="AP368" s="4">
        <v>0.9</v>
      </c>
      <c r="AQ368" s="4">
        <v>0.5</v>
      </c>
      <c r="AR368" s="4">
        <v>0.6</v>
      </c>
      <c r="AS368" s="4">
        <v>0.87</v>
      </c>
      <c r="AT368" s="4">
        <v>1047.4610600000001</v>
      </c>
      <c r="AU368" s="4">
        <v>2.4E-2</v>
      </c>
      <c r="AW368" s="4" t="s">
        <v>209</v>
      </c>
      <c r="AX368" s="4">
        <v>0.9</v>
      </c>
      <c r="AY368" s="4">
        <v>0.5</v>
      </c>
      <c r="AZ368" s="4">
        <v>0.6</v>
      </c>
      <c r="BA368" s="4">
        <v>0.3</v>
      </c>
      <c r="BB368" s="6">
        <v>906.162781</v>
      </c>
      <c r="BC368" s="4">
        <v>6.0000000000000001E-3</v>
      </c>
      <c r="BD368" s="5"/>
      <c r="BE368" s="5"/>
      <c r="BF368" s="5"/>
      <c r="BG368" s="5"/>
      <c r="BI368" s="4" t="s">
        <v>209</v>
      </c>
      <c r="BJ368" s="4">
        <v>0.9</v>
      </c>
      <c r="BK368" s="4">
        <v>0.5</v>
      </c>
      <c r="BL368" s="4">
        <v>0.6</v>
      </c>
      <c r="BM368" s="4">
        <v>0.37</v>
      </c>
      <c r="BN368" s="4">
        <v>899.51525900000001</v>
      </c>
      <c r="BO368" s="4">
        <v>4.2999999999999997E-2</v>
      </c>
      <c r="BQ368" s="4" t="s">
        <v>209</v>
      </c>
      <c r="BR368" s="4">
        <v>0.9</v>
      </c>
      <c r="BS368" s="4">
        <v>0.5</v>
      </c>
      <c r="BT368" s="4">
        <v>0.6</v>
      </c>
      <c r="BU368" s="4">
        <v>0.3</v>
      </c>
      <c r="BV368" s="6">
        <v>875.13458300000002</v>
      </c>
      <c r="BW368" s="4">
        <v>8.9999999999999993E-3</v>
      </c>
      <c r="BX368" s="5"/>
      <c r="BY368" s="5"/>
      <c r="BZ368" s="5"/>
      <c r="CA368" s="5"/>
    </row>
    <row r="369" spans="1:79" x14ac:dyDescent="0.3">
      <c r="A369" s="4" t="s">
        <v>210</v>
      </c>
      <c r="B369" s="4">
        <v>0.9</v>
      </c>
      <c r="C369" s="4">
        <v>0.5</v>
      </c>
      <c r="D369" s="4">
        <v>0.6</v>
      </c>
      <c r="E369" s="4">
        <v>0.05</v>
      </c>
      <c r="F369" s="6">
        <v>587.06469700000002</v>
      </c>
      <c r="G369" s="4">
        <v>3.6999999999999998E-2</v>
      </c>
      <c r="I369" s="4" t="s">
        <v>210</v>
      </c>
      <c r="J369" s="4">
        <v>0.9</v>
      </c>
      <c r="K369" s="4">
        <v>0.5</v>
      </c>
      <c r="L369" s="4">
        <v>0.6</v>
      </c>
      <c r="M369" s="4">
        <v>0.31</v>
      </c>
      <c r="N369" s="4">
        <v>621.45141599999999</v>
      </c>
      <c r="O369" s="4">
        <v>2E-3</v>
      </c>
      <c r="P369" s="5"/>
      <c r="Q369" s="5"/>
      <c r="R369" s="5"/>
      <c r="S369" s="5"/>
      <c r="U369" s="4" t="s">
        <v>210</v>
      </c>
      <c r="V369" s="4">
        <v>0.9</v>
      </c>
      <c r="W369" s="4">
        <v>0.5</v>
      </c>
      <c r="X369" s="4">
        <v>0.6</v>
      </c>
      <c r="Y369" s="4">
        <v>0.36</v>
      </c>
      <c r="Z369" s="4">
        <v>615.75012200000003</v>
      </c>
      <c r="AA369" s="4">
        <v>2.5000000000000001E-2</v>
      </c>
      <c r="AC369" s="4" t="s">
        <v>210</v>
      </c>
      <c r="AD369" s="4">
        <v>0.9</v>
      </c>
      <c r="AE369" s="4">
        <v>0.5</v>
      </c>
      <c r="AF369" s="4">
        <v>0.6</v>
      </c>
      <c r="AG369" s="4">
        <v>0.32</v>
      </c>
      <c r="AH369" s="6">
        <v>600.06915300000003</v>
      </c>
      <c r="AI369" s="4">
        <v>3.0000000000000001E-3</v>
      </c>
      <c r="AJ369" s="5"/>
      <c r="AK369" s="5"/>
      <c r="AL369" s="5"/>
      <c r="AM369" s="5"/>
      <c r="AO369" s="4" t="s">
        <v>211</v>
      </c>
      <c r="AP369" s="4">
        <v>0.9</v>
      </c>
      <c r="AQ369" s="4">
        <v>0.5</v>
      </c>
      <c r="AR369" s="4">
        <v>0.6</v>
      </c>
      <c r="AS369" s="4">
        <v>0.68</v>
      </c>
      <c r="AT369" s="4">
        <v>997.37579300000004</v>
      </c>
      <c r="AU369" s="4">
        <v>2.1000000000000001E-2</v>
      </c>
      <c r="AW369" s="4" t="s">
        <v>211</v>
      </c>
      <c r="AX369" s="4">
        <v>0.9</v>
      </c>
      <c r="AY369" s="4">
        <v>0.5</v>
      </c>
      <c r="AZ369" s="4">
        <v>0.6</v>
      </c>
      <c r="BA369" s="4">
        <v>0.37</v>
      </c>
      <c r="BB369" s="6">
        <v>951.12597700000003</v>
      </c>
      <c r="BC369" s="4">
        <v>7.0000000000000001E-3</v>
      </c>
      <c r="BD369" s="5"/>
      <c r="BE369" s="5"/>
      <c r="BF369" s="5"/>
      <c r="BG369" s="5"/>
      <c r="BI369" s="4" t="s">
        <v>211</v>
      </c>
      <c r="BJ369" s="4">
        <v>0.9</v>
      </c>
      <c r="BK369" s="4">
        <v>0.5</v>
      </c>
      <c r="BL369" s="4">
        <v>0.6</v>
      </c>
      <c r="BM369" s="4">
        <v>0.02</v>
      </c>
      <c r="BN369" s="6">
        <v>742.197632</v>
      </c>
      <c r="BO369" s="4">
        <v>1.4999999999999999E-2</v>
      </c>
      <c r="BQ369" s="4" t="s">
        <v>211</v>
      </c>
      <c r="BR369" s="4">
        <v>0.9</v>
      </c>
      <c r="BS369" s="4">
        <v>0.5</v>
      </c>
      <c r="BT369" s="4">
        <v>0.6</v>
      </c>
      <c r="BU369" s="4">
        <v>0.31</v>
      </c>
      <c r="BV369" s="4">
        <v>899.43267800000001</v>
      </c>
      <c r="BW369" s="4">
        <v>7.0000000000000001E-3</v>
      </c>
      <c r="BX369" s="5"/>
      <c r="BY369" s="5"/>
      <c r="BZ369" s="5"/>
      <c r="CA369" s="5"/>
    </row>
    <row r="370" spans="1:79" x14ac:dyDescent="0.3">
      <c r="A370" s="4" t="s">
        <v>212</v>
      </c>
      <c r="B370" s="4">
        <v>0.9</v>
      </c>
      <c r="C370" s="4">
        <v>0.5</v>
      </c>
      <c r="D370" s="4">
        <v>0.6</v>
      </c>
      <c r="E370" s="4">
        <v>0.55000000000000004</v>
      </c>
      <c r="F370" s="4">
        <v>687.16815199999996</v>
      </c>
      <c r="G370" s="4">
        <v>1.0999999999999999E-2</v>
      </c>
      <c r="I370" s="4" t="s">
        <v>212</v>
      </c>
      <c r="J370" s="4">
        <v>0.9</v>
      </c>
      <c r="K370" s="4">
        <v>0.5</v>
      </c>
      <c r="L370" s="4">
        <v>0.6</v>
      </c>
      <c r="M370" s="4">
        <v>0.3</v>
      </c>
      <c r="N370" s="6">
        <v>651.43231200000002</v>
      </c>
      <c r="O370" s="4">
        <v>2E-3</v>
      </c>
      <c r="P370" s="5"/>
      <c r="Q370" s="5"/>
      <c r="R370" s="5"/>
      <c r="S370" s="5"/>
      <c r="U370" s="4" t="s">
        <v>212</v>
      </c>
      <c r="V370" s="4">
        <v>0.9</v>
      </c>
      <c r="W370" s="4">
        <v>0.5</v>
      </c>
      <c r="X370" s="4">
        <v>0.6</v>
      </c>
      <c r="Y370" s="4">
        <v>0.25</v>
      </c>
      <c r="Z370" s="6">
        <v>613.61560099999997</v>
      </c>
      <c r="AA370" s="4">
        <v>1.6E-2</v>
      </c>
      <c r="AC370" s="4" t="s">
        <v>212</v>
      </c>
      <c r="AD370" s="4">
        <v>0.9</v>
      </c>
      <c r="AE370" s="4">
        <v>0.5</v>
      </c>
      <c r="AF370" s="4">
        <v>0.6</v>
      </c>
      <c r="AG370" s="4">
        <v>0.3</v>
      </c>
      <c r="AH370" s="4">
        <v>632.67285200000003</v>
      </c>
      <c r="AI370" s="4">
        <v>3.0000000000000001E-3</v>
      </c>
      <c r="AJ370" s="5"/>
      <c r="AK370" s="5"/>
      <c r="AL370" s="5"/>
      <c r="AM370" s="5"/>
      <c r="AO370" s="4" t="s">
        <v>213</v>
      </c>
      <c r="AP370" s="4">
        <v>0.9</v>
      </c>
      <c r="AQ370" s="4">
        <v>0.5</v>
      </c>
      <c r="AR370" s="4">
        <v>0.6</v>
      </c>
      <c r="AS370" s="4">
        <v>0.59</v>
      </c>
      <c r="AT370" s="4">
        <v>1070.981567</v>
      </c>
      <c r="AU370" s="4">
        <v>2.5999999999999999E-2</v>
      </c>
      <c r="AW370" s="4" t="s">
        <v>213</v>
      </c>
      <c r="AX370" s="4">
        <v>0.9</v>
      </c>
      <c r="AY370" s="4">
        <v>0.5</v>
      </c>
      <c r="AZ370" s="4">
        <v>0.6</v>
      </c>
      <c r="BA370" s="4">
        <v>0.33</v>
      </c>
      <c r="BB370" s="6">
        <v>965.68725600000005</v>
      </c>
      <c r="BC370" s="4">
        <v>8.0000000000000002E-3</v>
      </c>
      <c r="BD370" s="5"/>
      <c r="BE370" s="5"/>
      <c r="BF370" s="5"/>
      <c r="BG370" s="5"/>
      <c r="BI370" s="4" t="s">
        <v>213</v>
      </c>
      <c r="BJ370" s="4">
        <v>0.9</v>
      </c>
      <c r="BK370" s="4">
        <v>0.5</v>
      </c>
      <c r="BL370" s="4">
        <v>0.6</v>
      </c>
      <c r="BM370" s="4">
        <v>0.38</v>
      </c>
      <c r="BN370" s="4">
        <v>989.40112299999998</v>
      </c>
      <c r="BO370" s="4">
        <v>2.4E-2</v>
      </c>
      <c r="BQ370" s="4" t="s">
        <v>213</v>
      </c>
      <c r="BR370" s="4">
        <v>0.9</v>
      </c>
      <c r="BS370" s="4">
        <v>0.5</v>
      </c>
      <c r="BT370" s="4">
        <v>0.6</v>
      </c>
      <c r="BU370" s="4">
        <v>0.38</v>
      </c>
      <c r="BV370" s="6">
        <v>954.80334500000004</v>
      </c>
      <c r="BW370" s="4">
        <v>1.0999999999999999E-2</v>
      </c>
      <c r="BX370" s="5"/>
      <c r="BY370" s="5"/>
      <c r="BZ370" s="5"/>
      <c r="CA370" s="5"/>
    </row>
    <row r="371" spans="1:79" x14ac:dyDescent="0.3">
      <c r="A371" s="4" t="s">
        <v>214</v>
      </c>
      <c r="B371" s="4">
        <v>0.9</v>
      </c>
      <c r="C371" s="4">
        <v>0.5</v>
      </c>
      <c r="D371" s="4">
        <v>0.6</v>
      </c>
      <c r="E371" s="4">
        <v>0.95</v>
      </c>
      <c r="F371" s="4">
        <v>757.880493</v>
      </c>
      <c r="G371" s="4">
        <v>1.2999999999999999E-2</v>
      </c>
      <c r="I371" s="4" t="s">
        <v>214</v>
      </c>
      <c r="J371" s="4">
        <v>0.9</v>
      </c>
      <c r="K371" s="4">
        <v>0.5</v>
      </c>
      <c r="L371" s="4">
        <v>0.6</v>
      </c>
      <c r="M371" s="4">
        <v>0.34</v>
      </c>
      <c r="N371" s="6">
        <v>669.87884499999996</v>
      </c>
      <c r="O371" s="4">
        <v>3.0000000000000001E-3</v>
      </c>
      <c r="P371" s="5"/>
      <c r="Q371" s="5"/>
      <c r="R371" s="5"/>
      <c r="S371" s="5"/>
      <c r="U371" s="4" t="s">
        <v>214</v>
      </c>
      <c r="V371" s="4">
        <v>0.9</v>
      </c>
      <c r="W371" s="4">
        <v>0.5</v>
      </c>
      <c r="X371" s="4">
        <v>0.6</v>
      </c>
      <c r="Y371" s="4">
        <v>0.4</v>
      </c>
      <c r="Z371" s="4">
        <v>663.28881799999999</v>
      </c>
      <c r="AA371" s="4">
        <v>1.2E-2</v>
      </c>
      <c r="AC371" s="4" t="s">
        <v>214</v>
      </c>
      <c r="AD371" s="4">
        <v>0.9</v>
      </c>
      <c r="AE371" s="4">
        <v>0.5</v>
      </c>
      <c r="AF371" s="4">
        <v>0.6</v>
      </c>
      <c r="AG371" s="4">
        <v>0.3</v>
      </c>
      <c r="AH371" s="6">
        <v>658.79565400000001</v>
      </c>
      <c r="AI371" s="4">
        <v>4.0000000000000001E-3</v>
      </c>
      <c r="AJ371" s="5"/>
      <c r="AK371" s="5"/>
      <c r="AL371" s="5"/>
      <c r="AM371" s="5"/>
      <c r="AO371" s="4" t="s">
        <v>215</v>
      </c>
      <c r="AP371" s="4">
        <v>0.9</v>
      </c>
      <c r="AQ371" s="4">
        <v>0.5</v>
      </c>
      <c r="AR371" s="4">
        <v>0.6</v>
      </c>
      <c r="AS371" s="4">
        <v>0.12</v>
      </c>
      <c r="AT371" s="6">
        <v>912.89209000000005</v>
      </c>
      <c r="AU371" s="4">
        <v>3.5999999999999997E-2</v>
      </c>
      <c r="AW371" s="4" t="s">
        <v>215</v>
      </c>
      <c r="AX371" s="4">
        <v>0.9</v>
      </c>
      <c r="AY371" s="4">
        <v>0.5</v>
      </c>
      <c r="AZ371" s="4">
        <v>0.6</v>
      </c>
      <c r="BA371" s="4">
        <v>0.31</v>
      </c>
      <c r="BB371" s="4">
        <v>1026.4251710000001</v>
      </c>
      <c r="BC371" s="4">
        <v>8.9999999999999993E-3</v>
      </c>
      <c r="BD371" s="5"/>
      <c r="BE371" s="5"/>
      <c r="BF371" s="5"/>
      <c r="BG371" s="5"/>
      <c r="BI371" s="4" t="s">
        <v>215</v>
      </c>
      <c r="BJ371" s="4">
        <v>0.9</v>
      </c>
      <c r="BK371" s="4">
        <v>0.5</v>
      </c>
      <c r="BL371" s="4">
        <v>0.6</v>
      </c>
      <c r="BM371" s="4">
        <v>0.54</v>
      </c>
      <c r="BN371" s="4">
        <v>1146.8811040000001</v>
      </c>
      <c r="BO371" s="4">
        <v>3.5000000000000003E-2</v>
      </c>
      <c r="BQ371" s="4" t="s">
        <v>215</v>
      </c>
      <c r="BR371" s="4">
        <v>0.9</v>
      </c>
      <c r="BS371" s="4">
        <v>0.5</v>
      </c>
      <c r="BT371" s="4">
        <v>0.6</v>
      </c>
      <c r="BU371" s="4">
        <v>0.3</v>
      </c>
      <c r="BV371" s="6">
        <v>1024.5610349999999</v>
      </c>
      <c r="BW371" s="4">
        <v>0.01</v>
      </c>
      <c r="BX371" s="5"/>
      <c r="BY371" s="5"/>
      <c r="BZ371" s="5"/>
      <c r="CA371" s="5"/>
    </row>
    <row r="372" spans="1:79" x14ac:dyDescent="0.3">
      <c r="A372" s="4" t="s">
        <v>216</v>
      </c>
      <c r="B372" s="4">
        <v>0.9</v>
      </c>
      <c r="C372" s="4">
        <v>0.5</v>
      </c>
      <c r="D372" s="4">
        <v>0.6</v>
      </c>
      <c r="E372" s="4">
        <v>7.0000000000000007E-2</v>
      </c>
      <c r="F372" s="6">
        <v>570.18603499999995</v>
      </c>
      <c r="G372" s="4">
        <v>2.3E-2</v>
      </c>
      <c r="I372" s="4" t="s">
        <v>216</v>
      </c>
      <c r="J372" s="4">
        <v>0.9</v>
      </c>
      <c r="K372" s="4">
        <v>0.5</v>
      </c>
      <c r="L372" s="4">
        <v>0.6</v>
      </c>
      <c r="M372" s="4">
        <v>0.35</v>
      </c>
      <c r="N372" s="4">
        <v>613.63720699999999</v>
      </c>
      <c r="O372" s="4">
        <v>2E-3</v>
      </c>
      <c r="P372" s="5"/>
      <c r="Q372" s="5"/>
      <c r="R372" s="5"/>
      <c r="S372" s="5"/>
      <c r="U372" s="4" t="s">
        <v>216</v>
      </c>
      <c r="V372" s="4">
        <v>0.9</v>
      </c>
      <c r="W372" s="4">
        <v>0.5</v>
      </c>
      <c r="X372" s="4">
        <v>0.6</v>
      </c>
      <c r="Y372" s="4">
        <v>0.48</v>
      </c>
      <c r="Z372" s="4">
        <v>629.43811000000005</v>
      </c>
      <c r="AA372" s="4">
        <v>3.4000000000000002E-2</v>
      </c>
      <c r="AC372" s="4" t="s">
        <v>216</v>
      </c>
      <c r="AD372" s="4">
        <v>0.9</v>
      </c>
      <c r="AE372" s="4">
        <v>0.5</v>
      </c>
      <c r="AF372" s="4">
        <v>0.6</v>
      </c>
      <c r="AG372" s="4">
        <v>0.31</v>
      </c>
      <c r="AH372" s="6">
        <v>600.74566700000003</v>
      </c>
      <c r="AI372" s="4">
        <v>3.0000000000000001E-3</v>
      </c>
      <c r="AJ372" s="5"/>
      <c r="AK372" s="5"/>
      <c r="AL372" s="5"/>
      <c r="AM372" s="5"/>
      <c r="AO372" s="4" t="s">
        <v>217</v>
      </c>
      <c r="AP372" s="4">
        <v>0.9</v>
      </c>
      <c r="AQ372" s="4">
        <v>0.5</v>
      </c>
      <c r="AR372" s="4">
        <v>0.6</v>
      </c>
      <c r="AS372" s="4">
        <v>0.6</v>
      </c>
      <c r="AT372" s="4">
        <v>1186.633057</v>
      </c>
      <c r="AU372" s="4">
        <v>5.5E-2</v>
      </c>
      <c r="AW372" s="4" t="s">
        <v>217</v>
      </c>
      <c r="AX372" s="4">
        <v>0.9</v>
      </c>
      <c r="AY372" s="4">
        <v>0.5</v>
      </c>
      <c r="AZ372" s="4">
        <v>0.6</v>
      </c>
      <c r="BA372" s="4">
        <v>0.39</v>
      </c>
      <c r="BB372" s="6">
        <v>1061.6099850000001</v>
      </c>
      <c r="BC372" s="4">
        <v>8.0000000000000002E-3</v>
      </c>
      <c r="BD372" s="5"/>
      <c r="BE372" s="5"/>
      <c r="BF372" s="5"/>
      <c r="BG372" s="5"/>
      <c r="BI372" s="4" t="s">
        <v>217</v>
      </c>
      <c r="BJ372" s="4">
        <v>0.9</v>
      </c>
      <c r="BK372" s="4">
        <v>0.5</v>
      </c>
      <c r="BL372" s="4">
        <v>0.6</v>
      </c>
      <c r="BM372" s="4">
        <v>0.08</v>
      </c>
      <c r="BN372" s="6">
        <v>906.47790499999996</v>
      </c>
      <c r="BO372" s="4">
        <v>1.4999999999999999E-2</v>
      </c>
      <c r="BQ372" s="4" t="s">
        <v>217</v>
      </c>
      <c r="BR372" s="4">
        <v>0.9</v>
      </c>
      <c r="BS372" s="4">
        <v>0.5</v>
      </c>
      <c r="BT372" s="4">
        <v>0.6</v>
      </c>
      <c r="BU372" s="4">
        <v>0.31</v>
      </c>
      <c r="BV372" s="4">
        <v>1080.7100829999999</v>
      </c>
      <c r="BW372" s="4">
        <v>1.0999999999999999E-2</v>
      </c>
      <c r="BX372" s="5"/>
      <c r="BY372" s="5"/>
      <c r="BZ372" s="5"/>
      <c r="CA372" s="5"/>
    </row>
    <row r="373" spans="1:79" x14ac:dyDescent="0.3">
      <c r="A373" s="4" t="s">
        <v>218</v>
      </c>
      <c r="B373" s="4">
        <v>0.9</v>
      </c>
      <c r="C373" s="4">
        <v>0.5</v>
      </c>
      <c r="D373" s="4">
        <v>0.6</v>
      </c>
      <c r="E373" s="4">
        <v>0.43</v>
      </c>
      <c r="F373" s="4">
        <v>709.50604199999998</v>
      </c>
      <c r="G373" s="4">
        <v>2.1000000000000001E-2</v>
      </c>
      <c r="I373" s="4" t="s">
        <v>218</v>
      </c>
      <c r="J373" s="4">
        <v>0.9</v>
      </c>
      <c r="K373" s="4">
        <v>0.5</v>
      </c>
      <c r="L373" s="4">
        <v>0.6</v>
      </c>
      <c r="M373" s="4">
        <v>0.32</v>
      </c>
      <c r="N373" s="6">
        <v>679.96179199999995</v>
      </c>
      <c r="O373" s="4">
        <v>2E-3</v>
      </c>
      <c r="P373" s="5"/>
      <c r="Q373" s="5"/>
      <c r="R373" s="5"/>
      <c r="S373" s="5"/>
      <c r="U373" s="4" t="s">
        <v>218</v>
      </c>
      <c r="V373" s="4">
        <v>0.9</v>
      </c>
      <c r="W373" s="4">
        <v>0.5</v>
      </c>
      <c r="X373" s="4">
        <v>0.6</v>
      </c>
      <c r="Y373" s="4">
        <v>0.72</v>
      </c>
      <c r="Z373" s="4">
        <v>751.56616199999996</v>
      </c>
      <c r="AA373" s="4">
        <v>0.03</v>
      </c>
      <c r="AC373" s="4" t="s">
        <v>218</v>
      </c>
      <c r="AD373" s="4">
        <v>0.9</v>
      </c>
      <c r="AE373" s="4">
        <v>0.5</v>
      </c>
      <c r="AF373" s="4">
        <v>0.6</v>
      </c>
      <c r="AG373" s="4">
        <v>0.3</v>
      </c>
      <c r="AH373" s="6">
        <v>674.63806199999999</v>
      </c>
      <c r="AI373" s="4">
        <v>3.0000000000000001E-3</v>
      </c>
      <c r="AJ373" s="5"/>
      <c r="AK373" s="5"/>
      <c r="AL373" s="5"/>
      <c r="AM373" s="5"/>
      <c r="AO373" s="4" t="s">
        <v>219</v>
      </c>
      <c r="AP373" s="4">
        <v>0.9</v>
      </c>
      <c r="AQ373" s="4">
        <v>0.5</v>
      </c>
      <c r="AR373" s="4">
        <v>0.6</v>
      </c>
      <c r="AS373" s="4">
        <v>0.61</v>
      </c>
      <c r="AT373" s="4">
        <v>1222.0756839999999</v>
      </c>
      <c r="AU373" s="4">
        <v>5.0999999999999997E-2</v>
      </c>
      <c r="AW373" s="4" t="s">
        <v>219</v>
      </c>
      <c r="AX373" s="4">
        <v>0.9</v>
      </c>
      <c r="AY373" s="4">
        <v>0.5</v>
      </c>
      <c r="AZ373" s="4">
        <v>0.6</v>
      </c>
      <c r="BA373" s="4">
        <v>0.3</v>
      </c>
      <c r="BB373" s="6">
        <v>1075.7102050000001</v>
      </c>
      <c r="BC373" s="4">
        <v>7.0000000000000001E-3</v>
      </c>
      <c r="BD373" s="5"/>
      <c r="BE373" s="5"/>
      <c r="BF373" s="5"/>
      <c r="BG373" s="5"/>
      <c r="BI373" s="4" t="s">
        <v>219</v>
      </c>
      <c r="BJ373" s="4">
        <v>0.9</v>
      </c>
      <c r="BK373" s="4">
        <v>0.5</v>
      </c>
      <c r="BL373" s="4">
        <v>0.6</v>
      </c>
      <c r="BM373" s="4">
        <v>0.8</v>
      </c>
      <c r="BN373" s="4">
        <v>1249.4291989999999</v>
      </c>
      <c r="BO373" s="4">
        <v>2.1999999999999999E-2</v>
      </c>
      <c r="BQ373" s="4" t="s">
        <v>219</v>
      </c>
      <c r="BR373" s="4">
        <v>0.9</v>
      </c>
      <c r="BS373" s="4">
        <v>0.5</v>
      </c>
      <c r="BT373" s="4">
        <v>0.6</v>
      </c>
      <c r="BU373" s="4">
        <v>0.3</v>
      </c>
      <c r="BV373" s="6">
        <v>1065.677856</v>
      </c>
      <c r="BW373" s="4">
        <v>8.9999999999999993E-3</v>
      </c>
      <c r="BX373" s="5"/>
      <c r="BY373" s="5"/>
      <c r="BZ373" s="5"/>
      <c r="CA373" s="5"/>
    </row>
    <row r="374" spans="1:79" x14ac:dyDescent="0.3">
      <c r="A374" s="4" t="s">
        <v>220</v>
      </c>
      <c r="B374" s="4">
        <v>0.9</v>
      </c>
      <c r="C374" s="4">
        <v>0.5</v>
      </c>
      <c r="D374" s="4">
        <v>0.6</v>
      </c>
      <c r="E374" s="4">
        <v>0.75</v>
      </c>
      <c r="F374" s="4">
        <v>803.02844200000004</v>
      </c>
      <c r="G374" s="4">
        <v>0.04</v>
      </c>
      <c r="I374" s="4" t="s">
        <v>220</v>
      </c>
      <c r="J374" s="4">
        <v>0.9</v>
      </c>
      <c r="K374" s="4">
        <v>0.5</v>
      </c>
      <c r="L374" s="4">
        <v>0.6</v>
      </c>
      <c r="M374" s="4">
        <v>0.3</v>
      </c>
      <c r="N374" s="6">
        <v>700.70465100000001</v>
      </c>
      <c r="O374" s="4">
        <v>2E-3</v>
      </c>
      <c r="P374" s="5"/>
      <c r="Q374" s="5"/>
      <c r="R374" s="5"/>
      <c r="S374" s="5"/>
      <c r="U374" s="4" t="s">
        <v>220</v>
      </c>
      <c r="V374" s="4">
        <v>0.9</v>
      </c>
      <c r="W374" s="4">
        <v>0.5</v>
      </c>
      <c r="X374" s="4">
        <v>0.6</v>
      </c>
      <c r="Y374" s="4">
        <v>0.75</v>
      </c>
      <c r="Z374" s="4">
        <v>840.67126499999995</v>
      </c>
      <c r="AA374" s="4">
        <v>1.7999999999999999E-2</v>
      </c>
      <c r="AC374" s="4" t="s">
        <v>220</v>
      </c>
      <c r="AD374" s="4">
        <v>0.9</v>
      </c>
      <c r="AE374" s="4">
        <v>0.5</v>
      </c>
      <c r="AF374" s="4">
        <v>0.6</v>
      </c>
      <c r="AG374" s="4">
        <v>0.33</v>
      </c>
      <c r="AH374" s="6">
        <v>678.69158900000002</v>
      </c>
      <c r="AI374" s="4">
        <v>3.0000000000000001E-3</v>
      </c>
      <c r="AJ374" s="5"/>
      <c r="AK374" s="5"/>
      <c r="AL374" s="5"/>
      <c r="AM374" s="5"/>
      <c r="AO374" s="4" t="s">
        <v>221</v>
      </c>
      <c r="AP374" s="4">
        <v>0.9</v>
      </c>
      <c r="AQ374" s="4">
        <v>0.5</v>
      </c>
      <c r="AR374" s="4">
        <v>0.6</v>
      </c>
      <c r="AS374" s="4">
        <v>0.47</v>
      </c>
      <c r="AT374" s="4">
        <v>1068.7384030000001</v>
      </c>
      <c r="AU374" s="4">
        <v>2.5999999999999999E-2</v>
      </c>
      <c r="AW374" s="4" t="s">
        <v>221</v>
      </c>
      <c r="AX374" s="4">
        <v>0.9</v>
      </c>
      <c r="AY374" s="4">
        <v>0.5</v>
      </c>
      <c r="AZ374" s="4">
        <v>0.6</v>
      </c>
      <c r="BA374" s="4">
        <v>0.32</v>
      </c>
      <c r="BB374" s="6">
        <v>1014.898132</v>
      </c>
      <c r="BC374" s="4">
        <v>8.0000000000000002E-3</v>
      </c>
      <c r="BD374" s="5"/>
      <c r="BE374" s="5"/>
      <c r="BF374" s="5"/>
      <c r="BG374" s="5"/>
      <c r="BI374" s="4" t="s">
        <v>221</v>
      </c>
      <c r="BJ374" s="4">
        <v>0.9</v>
      </c>
      <c r="BK374" s="4">
        <v>0.5</v>
      </c>
      <c r="BL374" s="4">
        <v>0.6</v>
      </c>
      <c r="BM374" s="4">
        <v>0.13</v>
      </c>
      <c r="BN374" s="6">
        <v>850.92089799999997</v>
      </c>
      <c r="BO374" s="4">
        <v>0.02</v>
      </c>
      <c r="BQ374" s="4" t="s">
        <v>221</v>
      </c>
      <c r="BR374" s="4">
        <v>0.9</v>
      </c>
      <c r="BS374" s="4">
        <v>0.5</v>
      </c>
      <c r="BT374" s="4">
        <v>0.6</v>
      </c>
      <c r="BU374" s="4">
        <v>0.34</v>
      </c>
      <c r="BV374" s="4">
        <v>1009.826904</v>
      </c>
      <c r="BW374" s="4">
        <v>8.0000000000000002E-3</v>
      </c>
      <c r="BX374" s="5"/>
      <c r="BY374" s="5"/>
      <c r="BZ374" s="5"/>
      <c r="CA374" s="5"/>
    </row>
    <row r="375" spans="1:79" x14ac:dyDescent="0.3">
      <c r="A375" s="4" t="s">
        <v>222</v>
      </c>
      <c r="B375" s="4">
        <v>0.9</v>
      </c>
      <c r="C375" s="4">
        <v>0.5</v>
      </c>
      <c r="D375" s="4">
        <v>0.6</v>
      </c>
      <c r="E375" s="4">
        <v>0.67</v>
      </c>
      <c r="F375" s="4">
        <v>810.93310499999995</v>
      </c>
      <c r="G375" s="4">
        <v>9.6000000000000002E-2</v>
      </c>
      <c r="I375" s="4" t="s">
        <v>222</v>
      </c>
      <c r="J375" s="4">
        <v>0.9</v>
      </c>
      <c r="K375" s="4">
        <v>0.5</v>
      </c>
      <c r="L375" s="4">
        <v>0.6</v>
      </c>
      <c r="M375" s="4">
        <v>0.3</v>
      </c>
      <c r="N375" s="6">
        <v>716.95733600000005</v>
      </c>
      <c r="O375" s="4">
        <v>3.0000000000000001E-3</v>
      </c>
      <c r="P375" s="5"/>
      <c r="Q375" s="5"/>
      <c r="R375" s="5"/>
      <c r="S375" s="5"/>
      <c r="U375" s="4" t="s">
        <v>222</v>
      </c>
      <c r="V375" s="4">
        <v>0.9</v>
      </c>
      <c r="W375" s="4">
        <v>0.5</v>
      </c>
      <c r="X375" s="4">
        <v>0.6</v>
      </c>
      <c r="Y375" s="4">
        <v>0.88</v>
      </c>
      <c r="Z375" s="4">
        <v>826.48699999999997</v>
      </c>
      <c r="AA375" s="4">
        <v>2.1000000000000001E-2</v>
      </c>
      <c r="AC375" s="4" t="s">
        <v>222</v>
      </c>
      <c r="AD375" s="4">
        <v>0.9</v>
      </c>
      <c r="AE375" s="4">
        <v>0.5</v>
      </c>
      <c r="AF375" s="4">
        <v>0.6</v>
      </c>
      <c r="AG375" s="4">
        <v>0.31</v>
      </c>
      <c r="AH375" s="6">
        <v>679.23596199999997</v>
      </c>
      <c r="AI375" s="4">
        <v>3.0000000000000001E-3</v>
      </c>
      <c r="AJ375" s="5"/>
      <c r="AK375" s="5"/>
      <c r="AL375" s="5"/>
      <c r="AM375" s="5"/>
      <c r="AO375" s="4" t="s">
        <v>223</v>
      </c>
      <c r="AP375" s="4">
        <v>0.9</v>
      </c>
      <c r="AQ375" s="4">
        <v>0.5</v>
      </c>
      <c r="AR375" s="4">
        <v>0.6</v>
      </c>
      <c r="AS375" s="4">
        <v>0.92</v>
      </c>
      <c r="AT375" s="4">
        <v>1296.890991</v>
      </c>
      <c r="AU375" s="4">
        <v>1.7999999999999999E-2</v>
      </c>
      <c r="AW375" s="4" t="s">
        <v>223</v>
      </c>
      <c r="AX375" s="4">
        <v>0.9</v>
      </c>
      <c r="AY375" s="4">
        <v>0.5</v>
      </c>
      <c r="AZ375" s="4">
        <v>0.6</v>
      </c>
      <c r="BA375" s="4">
        <v>0.35</v>
      </c>
      <c r="BB375" s="6">
        <v>1107.7854</v>
      </c>
      <c r="BC375" s="4">
        <v>1.0999999999999999E-2</v>
      </c>
      <c r="BD375" s="5"/>
      <c r="BE375" s="5"/>
      <c r="BF375" s="5"/>
      <c r="BG375" s="5"/>
      <c r="BI375" s="4" t="s">
        <v>223</v>
      </c>
      <c r="BJ375" s="4">
        <v>0.9</v>
      </c>
      <c r="BK375" s="4">
        <v>0.5</v>
      </c>
      <c r="BL375" s="4">
        <v>0.6</v>
      </c>
      <c r="BM375" s="4">
        <v>0.61</v>
      </c>
      <c r="BN375" s="4">
        <v>1210.274048</v>
      </c>
      <c r="BO375" s="4">
        <v>2.7E-2</v>
      </c>
      <c r="BQ375" s="4" t="s">
        <v>223</v>
      </c>
      <c r="BR375" s="4">
        <v>0.9</v>
      </c>
      <c r="BS375" s="4">
        <v>0.5</v>
      </c>
      <c r="BT375" s="4">
        <v>0.6</v>
      </c>
      <c r="BU375" s="4">
        <v>0.33</v>
      </c>
      <c r="BV375" s="6">
        <v>1089.7863769999999</v>
      </c>
      <c r="BW375" s="4">
        <v>8.0000000000000002E-3</v>
      </c>
      <c r="BX375" s="5"/>
      <c r="BY375" s="5"/>
      <c r="BZ375" s="5"/>
      <c r="CA375" s="5"/>
    </row>
    <row r="376" spans="1:79" x14ac:dyDescent="0.3">
      <c r="A376" s="4" t="s">
        <v>224</v>
      </c>
      <c r="B376" s="4">
        <v>0.9</v>
      </c>
      <c r="C376" s="4">
        <v>0.5</v>
      </c>
      <c r="D376" s="4">
        <v>0.6</v>
      </c>
      <c r="E376" s="4">
        <v>0.75</v>
      </c>
      <c r="F376" s="4">
        <v>872.43811000000005</v>
      </c>
      <c r="G376" s="4">
        <v>2.1000000000000001E-2</v>
      </c>
      <c r="I376" s="4" t="s">
        <v>224</v>
      </c>
      <c r="J376" s="4">
        <v>0.9</v>
      </c>
      <c r="K376" s="4">
        <v>0.5</v>
      </c>
      <c r="L376" s="4">
        <v>0.6</v>
      </c>
      <c r="M376" s="4">
        <v>0.31</v>
      </c>
      <c r="N376" s="6">
        <v>751.009094</v>
      </c>
      <c r="O376" s="4">
        <v>4.0000000000000001E-3</v>
      </c>
      <c r="P376" s="5"/>
      <c r="Q376" s="5"/>
      <c r="R376" s="5"/>
      <c r="S376" s="5"/>
      <c r="U376" s="4" t="s">
        <v>224</v>
      </c>
      <c r="V376" s="4">
        <v>0.9</v>
      </c>
      <c r="W376" s="4">
        <v>0.5</v>
      </c>
      <c r="X376" s="4">
        <v>0.6</v>
      </c>
      <c r="Y376" s="4">
        <v>0.67</v>
      </c>
      <c r="Z376" s="4">
        <v>850.74627699999996</v>
      </c>
      <c r="AA376" s="4">
        <v>4.8000000000000001E-2</v>
      </c>
      <c r="AC376" s="4" t="s">
        <v>224</v>
      </c>
      <c r="AD376" s="4">
        <v>0.9</v>
      </c>
      <c r="AE376" s="4">
        <v>0.5</v>
      </c>
      <c r="AF376" s="4">
        <v>0.6</v>
      </c>
      <c r="AG376" s="4">
        <v>0.42</v>
      </c>
      <c r="AH376" s="6">
        <v>760.05200200000002</v>
      </c>
      <c r="AI376" s="4">
        <v>2E-3</v>
      </c>
      <c r="AJ376" s="5"/>
      <c r="AK376" s="5"/>
      <c r="AL376" s="5"/>
      <c r="AM376" s="5"/>
      <c r="AO376" s="4" t="s">
        <v>225</v>
      </c>
      <c r="AP376" s="4">
        <v>0.9</v>
      </c>
      <c r="AQ376" s="4">
        <v>0.5</v>
      </c>
      <c r="AR376" s="4">
        <v>0.6</v>
      </c>
      <c r="AS376" s="4">
        <v>0.13</v>
      </c>
      <c r="AT376" s="6">
        <v>906.89404300000001</v>
      </c>
      <c r="AU376" s="4">
        <v>2.8000000000000001E-2</v>
      </c>
      <c r="AW376" s="4" t="s">
        <v>225</v>
      </c>
      <c r="AX376" s="4">
        <v>0.9</v>
      </c>
      <c r="AY376" s="4">
        <v>0.5</v>
      </c>
      <c r="AZ376" s="4">
        <v>0.6</v>
      </c>
      <c r="BA376" s="4">
        <v>0.3</v>
      </c>
      <c r="BB376" s="4">
        <v>1035.462769</v>
      </c>
      <c r="BC376" s="4">
        <v>8.0000000000000002E-3</v>
      </c>
      <c r="BD376" s="5"/>
      <c r="BE376" s="5"/>
      <c r="BF376" s="5"/>
      <c r="BG376" s="5"/>
      <c r="BI376" s="4" t="s">
        <v>225</v>
      </c>
      <c r="BJ376" s="4">
        <v>0.9</v>
      </c>
      <c r="BK376" s="4">
        <v>0.5</v>
      </c>
      <c r="BL376" s="4">
        <v>0.6</v>
      </c>
      <c r="BM376" s="4">
        <v>0.11</v>
      </c>
      <c r="BN376" s="6">
        <v>865.36956799999996</v>
      </c>
      <c r="BO376" s="4">
        <v>1.6E-2</v>
      </c>
      <c r="BQ376" s="4" t="s">
        <v>225</v>
      </c>
      <c r="BR376" s="4">
        <v>0.9</v>
      </c>
      <c r="BS376" s="4">
        <v>0.5</v>
      </c>
      <c r="BT376" s="4">
        <v>0.6</v>
      </c>
      <c r="BU376" s="4">
        <v>0.31</v>
      </c>
      <c r="BV376" s="4">
        <v>1026.2991939999999</v>
      </c>
      <c r="BW376" s="4">
        <v>7.0000000000000001E-3</v>
      </c>
      <c r="BX376" s="5"/>
      <c r="BY376" s="5"/>
      <c r="BZ376" s="5"/>
      <c r="CA376" s="5"/>
    </row>
    <row r="377" spans="1:79" x14ac:dyDescent="0.3">
      <c r="A377" s="4" t="s">
        <v>226</v>
      </c>
      <c r="B377" s="4">
        <v>0.9</v>
      </c>
      <c r="C377" s="4">
        <v>0.5</v>
      </c>
      <c r="D377" s="4">
        <v>0.6</v>
      </c>
      <c r="E377" s="4">
        <v>0.32</v>
      </c>
      <c r="F377" s="6">
        <v>751.52801499999998</v>
      </c>
      <c r="G377" s="4">
        <v>3.1E-2</v>
      </c>
      <c r="I377" s="4" t="s">
        <v>226</v>
      </c>
      <c r="J377" s="4">
        <v>0.9</v>
      </c>
      <c r="K377" s="4">
        <v>0.5</v>
      </c>
      <c r="L377" s="4">
        <v>0.6</v>
      </c>
      <c r="M377" s="4">
        <v>0.3</v>
      </c>
      <c r="N377" s="4">
        <v>757.87609899999995</v>
      </c>
      <c r="O377" s="4">
        <v>2E-3</v>
      </c>
      <c r="P377" s="5"/>
      <c r="Q377" s="5"/>
      <c r="R377" s="5"/>
      <c r="S377" s="5"/>
      <c r="U377" s="4" t="s">
        <v>226</v>
      </c>
      <c r="V377" s="4">
        <v>0.9</v>
      </c>
      <c r="W377" s="4">
        <v>0.5</v>
      </c>
      <c r="X377" s="4">
        <v>0.6</v>
      </c>
      <c r="Y377" s="4">
        <v>0.53</v>
      </c>
      <c r="Z377" s="4">
        <v>800.09899900000005</v>
      </c>
      <c r="AA377" s="4">
        <v>1.2E-2</v>
      </c>
      <c r="AC377" s="4" t="s">
        <v>226</v>
      </c>
      <c r="AD377" s="4">
        <v>0.9</v>
      </c>
      <c r="AE377" s="4">
        <v>0.5</v>
      </c>
      <c r="AF377" s="4">
        <v>0.6</v>
      </c>
      <c r="AG377" s="4">
        <v>0.31</v>
      </c>
      <c r="AH377" s="6">
        <v>713.23663299999998</v>
      </c>
      <c r="AI377" s="4">
        <v>4.0000000000000001E-3</v>
      </c>
      <c r="AJ377" s="5"/>
      <c r="AK377" s="5"/>
      <c r="AL377" s="5"/>
      <c r="AM377" s="5"/>
      <c r="AO377" s="4" t="s">
        <v>227</v>
      </c>
      <c r="AP377" s="4">
        <v>0.9</v>
      </c>
      <c r="AQ377" s="4">
        <v>0.5</v>
      </c>
      <c r="AR377" s="4">
        <v>0.6</v>
      </c>
      <c r="AS377" s="4">
        <v>0.4</v>
      </c>
      <c r="AT377" s="4">
        <v>1040.3572999999999</v>
      </c>
      <c r="AU377" s="4">
        <v>2.3E-2</v>
      </c>
      <c r="AW377" s="4" t="s">
        <v>227</v>
      </c>
      <c r="AX377" s="4">
        <v>0.9</v>
      </c>
      <c r="AY377" s="4">
        <v>0.5</v>
      </c>
      <c r="AZ377" s="4">
        <v>0.6</v>
      </c>
      <c r="BA377" s="4">
        <v>0.31</v>
      </c>
      <c r="BB377" s="6">
        <v>1009.368713</v>
      </c>
      <c r="BC377" s="4">
        <v>8.0000000000000002E-3</v>
      </c>
      <c r="BD377" s="5"/>
      <c r="BE377" s="5"/>
      <c r="BF377" s="5"/>
      <c r="BG377" s="5"/>
      <c r="BI377" s="4" t="s">
        <v>227</v>
      </c>
      <c r="BJ377" s="4">
        <v>0.9</v>
      </c>
      <c r="BK377" s="4">
        <v>0.5</v>
      </c>
      <c r="BL377" s="4">
        <v>0.6</v>
      </c>
      <c r="BM377" s="4">
        <v>0.23</v>
      </c>
      <c r="BN377" s="6">
        <v>931.54699700000003</v>
      </c>
      <c r="BO377" s="4">
        <v>2.1999999999999999E-2</v>
      </c>
      <c r="BQ377" s="4" t="s">
        <v>227</v>
      </c>
      <c r="BR377" s="4">
        <v>0.9</v>
      </c>
      <c r="BS377" s="4">
        <v>0.5</v>
      </c>
      <c r="BT377" s="4">
        <v>0.6</v>
      </c>
      <c r="BU377" s="4">
        <v>0.3</v>
      </c>
      <c r="BV377" s="4">
        <v>989.33727999999996</v>
      </c>
      <c r="BW377" s="4">
        <v>8.9999999999999993E-3</v>
      </c>
      <c r="BX377" s="5"/>
      <c r="BY377" s="5"/>
      <c r="BZ377" s="5"/>
      <c r="CA377" s="5"/>
    </row>
    <row r="378" spans="1:79" x14ac:dyDescent="0.3">
      <c r="A378" s="4" t="s">
        <v>228</v>
      </c>
      <c r="B378" s="4">
        <v>0.9</v>
      </c>
      <c r="C378" s="4">
        <v>0.5</v>
      </c>
      <c r="D378" s="4">
        <v>0.6</v>
      </c>
      <c r="E378" s="4">
        <v>0.48</v>
      </c>
      <c r="F378" s="4">
        <v>718.10858199999996</v>
      </c>
      <c r="G378" s="4">
        <v>1.7999999999999999E-2</v>
      </c>
      <c r="I378" s="4" t="s">
        <v>228</v>
      </c>
      <c r="J378" s="4">
        <v>0.9</v>
      </c>
      <c r="K378" s="4">
        <v>0.5</v>
      </c>
      <c r="L378" s="4">
        <v>0.6</v>
      </c>
      <c r="M378" s="4">
        <v>0.3</v>
      </c>
      <c r="N378" s="6">
        <v>660.86737100000005</v>
      </c>
      <c r="O378" s="4">
        <v>2E-3</v>
      </c>
      <c r="P378" s="5"/>
      <c r="Q378" s="5"/>
      <c r="R378" s="5"/>
      <c r="S378" s="5"/>
      <c r="U378" s="4" t="s">
        <v>228</v>
      </c>
      <c r="V378" s="4">
        <v>0.9</v>
      </c>
      <c r="W378" s="4">
        <v>0.5</v>
      </c>
      <c r="X378" s="4">
        <v>0.6</v>
      </c>
      <c r="Y378" s="4">
        <v>0.85</v>
      </c>
      <c r="Z378" s="4">
        <v>769.82702600000005</v>
      </c>
      <c r="AA378" s="4">
        <v>1.7999999999999999E-2</v>
      </c>
      <c r="AC378" s="4" t="s">
        <v>228</v>
      </c>
      <c r="AD378" s="4">
        <v>0.9</v>
      </c>
      <c r="AE378" s="4">
        <v>0.5</v>
      </c>
      <c r="AF378" s="4">
        <v>0.6</v>
      </c>
      <c r="AG378" s="4">
        <v>0.3</v>
      </c>
      <c r="AH378" s="6">
        <v>625.32153300000004</v>
      </c>
      <c r="AI378" s="4">
        <v>3.0000000000000001E-3</v>
      </c>
      <c r="AJ378" s="5"/>
      <c r="AK378" s="5"/>
      <c r="AL378" s="5"/>
      <c r="AM378" s="5"/>
      <c r="AO378" s="4" t="s">
        <v>229</v>
      </c>
      <c r="AP378" s="4">
        <v>0.9</v>
      </c>
      <c r="AQ378" s="4">
        <v>0.5</v>
      </c>
      <c r="AR378" s="4">
        <v>0.6</v>
      </c>
      <c r="AS378" s="4">
        <v>0.37</v>
      </c>
      <c r="AT378" s="4">
        <v>1064.0792240000001</v>
      </c>
      <c r="AU378" s="4">
        <v>2.1000000000000001E-2</v>
      </c>
      <c r="AW378" s="4" t="s">
        <v>229</v>
      </c>
      <c r="AX378" s="4">
        <v>0.9</v>
      </c>
      <c r="AY378" s="4">
        <v>0.5</v>
      </c>
      <c r="AZ378" s="4">
        <v>0.6</v>
      </c>
      <c r="BA378" s="4">
        <v>0.31</v>
      </c>
      <c r="BB378" s="6">
        <v>1053.958374</v>
      </c>
      <c r="BC378" s="4">
        <v>0.01</v>
      </c>
      <c r="BD378" s="5"/>
      <c r="BE378" s="5"/>
      <c r="BF378" s="5"/>
      <c r="BG378" s="5"/>
      <c r="BI378" s="4" t="s">
        <v>229</v>
      </c>
      <c r="BJ378" s="4">
        <v>0.9</v>
      </c>
      <c r="BK378" s="4">
        <v>0.5</v>
      </c>
      <c r="BL378" s="4">
        <v>0.6</v>
      </c>
      <c r="BM378" s="4">
        <v>0.87</v>
      </c>
      <c r="BN378" s="4">
        <v>1224.3005370000001</v>
      </c>
      <c r="BO378" s="4">
        <v>2.4E-2</v>
      </c>
      <c r="BQ378" s="4" t="s">
        <v>229</v>
      </c>
      <c r="BR378" s="4">
        <v>0.9</v>
      </c>
      <c r="BS378" s="4">
        <v>0.5</v>
      </c>
      <c r="BT378" s="4">
        <v>0.6</v>
      </c>
      <c r="BU378" s="4">
        <v>0.33</v>
      </c>
      <c r="BV378" s="6">
        <v>1034.858643</v>
      </c>
      <c r="BW378" s="4">
        <v>0.01</v>
      </c>
      <c r="BX378" s="5"/>
      <c r="BY378" s="5"/>
      <c r="BZ378" s="5"/>
      <c r="CA378" s="5"/>
    </row>
    <row r="379" spans="1:79" x14ac:dyDescent="0.3">
      <c r="A379" s="4" t="s">
        <v>230</v>
      </c>
      <c r="B379" s="4">
        <v>0.9</v>
      </c>
      <c r="C379" s="4">
        <v>0.5</v>
      </c>
      <c r="D379" s="4">
        <v>0.6</v>
      </c>
      <c r="E379" s="4">
        <v>0.95</v>
      </c>
      <c r="F379" s="4">
        <v>941.57385299999999</v>
      </c>
      <c r="G379" s="4">
        <v>2.1000000000000001E-2</v>
      </c>
      <c r="I379" s="4" t="s">
        <v>230</v>
      </c>
      <c r="J379" s="4">
        <v>0.9</v>
      </c>
      <c r="K379" s="4">
        <v>0.5</v>
      </c>
      <c r="L379" s="4">
        <v>0.6</v>
      </c>
      <c r="M379" s="4">
        <v>0.31</v>
      </c>
      <c r="N379" s="6">
        <v>755.42260699999997</v>
      </c>
      <c r="O379" s="4">
        <v>3.0000000000000001E-3</v>
      </c>
      <c r="P379" s="5"/>
      <c r="Q379" s="5"/>
      <c r="R379" s="5"/>
      <c r="S379" s="5"/>
      <c r="U379" s="4" t="s">
        <v>230</v>
      </c>
      <c r="V379" s="4">
        <v>0.9</v>
      </c>
      <c r="W379" s="4">
        <v>0.5</v>
      </c>
      <c r="X379" s="4">
        <v>0.6</v>
      </c>
      <c r="Y379" s="4">
        <v>0.98</v>
      </c>
      <c r="Z379" s="4">
        <v>933.00958300000002</v>
      </c>
      <c r="AA379" s="4">
        <v>1.2999999999999999E-2</v>
      </c>
      <c r="AC379" s="4" t="s">
        <v>230</v>
      </c>
      <c r="AD379" s="4">
        <v>0.9</v>
      </c>
      <c r="AE379" s="4">
        <v>0.5</v>
      </c>
      <c r="AF379" s="4">
        <v>0.6</v>
      </c>
      <c r="AG379" s="4">
        <v>0.37</v>
      </c>
      <c r="AH379" s="6">
        <v>751.71075399999995</v>
      </c>
      <c r="AI379" s="4">
        <v>3.0000000000000001E-3</v>
      </c>
      <c r="AJ379" s="5"/>
      <c r="AK379" s="5"/>
      <c r="AL379" s="5"/>
      <c r="AM379" s="5"/>
      <c r="AO379" s="4" t="s">
        <v>231</v>
      </c>
      <c r="AP379" s="4">
        <v>0.9</v>
      </c>
      <c r="AQ379" s="4">
        <v>0.5</v>
      </c>
      <c r="AR379" s="4">
        <v>0.6</v>
      </c>
      <c r="AS379" s="4">
        <v>0.76</v>
      </c>
      <c r="AT379" s="4">
        <v>1155.006592</v>
      </c>
      <c r="AU379" s="4">
        <v>2.8000000000000001E-2</v>
      </c>
      <c r="AW379" s="4" t="s">
        <v>231</v>
      </c>
      <c r="AX379" s="4">
        <v>0.9</v>
      </c>
      <c r="AY379" s="4">
        <v>0.5</v>
      </c>
      <c r="AZ379" s="4">
        <v>0.6</v>
      </c>
      <c r="BA379" s="4">
        <v>0.3</v>
      </c>
      <c r="BB379" s="6">
        <v>995.66693099999998</v>
      </c>
      <c r="BC379" s="4">
        <v>7.0000000000000001E-3</v>
      </c>
      <c r="BD379" s="5"/>
      <c r="BE379" s="5"/>
      <c r="BF379" s="5"/>
      <c r="BG379" s="5"/>
      <c r="BI379" s="4" t="s">
        <v>231</v>
      </c>
      <c r="BJ379" s="4">
        <v>0.9</v>
      </c>
      <c r="BK379" s="4">
        <v>0.5</v>
      </c>
      <c r="BL379" s="4">
        <v>0.6</v>
      </c>
      <c r="BM379" s="4">
        <v>0.92</v>
      </c>
      <c r="BN379" s="4">
        <v>1164.9454350000001</v>
      </c>
      <c r="BO379" s="4">
        <v>2.1000000000000001E-2</v>
      </c>
      <c r="BQ379" s="4" t="s">
        <v>231</v>
      </c>
      <c r="BR379" s="4">
        <v>0.9</v>
      </c>
      <c r="BS379" s="4">
        <v>0.5</v>
      </c>
      <c r="BT379" s="4">
        <v>0.6</v>
      </c>
      <c r="BU379" s="4">
        <v>0.3</v>
      </c>
      <c r="BV379" s="6">
        <v>996.79992700000003</v>
      </c>
      <c r="BW379" s="4">
        <v>0.01</v>
      </c>
      <c r="BX379" s="5"/>
      <c r="BY379" s="5"/>
      <c r="BZ379" s="5"/>
      <c r="CA379" s="5"/>
    </row>
    <row r="380" spans="1:79" x14ac:dyDescent="0.3">
      <c r="A380" s="4" t="s">
        <v>232</v>
      </c>
      <c r="B380" s="4">
        <v>0.9</v>
      </c>
      <c r="C380" s="4">
        <v>0.5</v>
      </c>
      <c r="D380" s="4">
        <v>0.6</v>
      </c>
      <c r="E380" s="4">
        <v>0.77</v>
      </c>
      <c r="F380" s="4">
        <v>908.09930399999996</v>
      </c>
      <c r="G380" s="4">
        <v>1.7999999999999999E-2</v>
      </c>
      <c r="I380" s="4" t="s">
        <v>232</v>
      </c>
      <c r="J380" s="4">
        <v>0.9</v>
      </c>
      <c r="K380" s="4">
        <v>0.5</v>
      </c>
      <c r="L380" s="4">
        <v>0.6</v>
      </c>
      <c r="M380" s="4">
        <v>0.34</v>
      </c>
      <c r="N380" s="6">
        <v>834.81066899999996</v>
      </c>
      <c r="O380" s="4">
        <v>2E-3</v>
      </c>
      <c r="P380" s="5"/>
      <c r="Q380" s="5"/>
      <c r="R380" s="5"/>
      <c r="S380" s="5"/>
      <c r="U380" s="4" t="s">
        <v>232</v>
      </c>
      <c r="V380" s="4">
        <v>0.9</v>
      </c>
      <c r="W380" s="4">
        <v>0.5</v>
      </c>
      <c r="X380" s="4">
        <v>0.6</v>
      </c>
      <c r="Y380" s="4">
        <v>0.81</v>
      </c>
      <c r="Z380" s="4">
        <v>883.21807899999999</v>
      </c>
      <c r="AA380" s="4">
        <v>1.7999999999999999E-2</v>
      </c>
      <c r="AC380" s="4" t="s">
        <v>232</v>
      </c>
      <c r="AD380" s="4">
        <v>0.9</v>
      </c>
      <c r="AE380" s="4">
        <v>0.5</v>
      </c>
      <c r="AF380" s="4">
        <v>0.6</v>
      </c>
      <c r="AG380" s="4">
        <v>0.32</v>
      </c>
      <c r="AH380" s="6">
        <v>793.48400900000001</v>
      </c>
      <c r="AI380" s="4">
        <v>2E-3</v>
      </c>
      <c r="AJ380" s="5"/>
      <c r="AK380" s="5"/>
      <c r="AL380" s="5"/>
      <c r="AM380" s="5"/>
      <c r="AO380" s="4" t="s">
        <v>233</v>
      </c>
      <c r="AP380" s="4">
        <v>0.9</v>
      </c>
      <c r="AQ380" s="4">
        <v>0.5</v>
      </c>
      <c r="AR380" s="4">
        <v>0.6</v>
      </c>
      <c r="AS380" s="4">
        <v>0.28000000000000003</v>
      </c>
      <c r="AT380" s="6">
        <v>1025.5543210000001</v>
      </c>
      <c r="AU380" s="4">
        <v>2.5999999999999999E-2</v>
      </c>
      <c r="AW380" s="4" t="s">
        <v>233</v>
      </c>
      <c r="AX380" s="4">
        <v>0.9</v>
      </c>
      <c r="AY380" s="4">
        <v>0.5</v>
      </c>
      <c r="AZ380" s="4">
        <v>0.6</v>
      </c>
      <c r="BA380" s="4">
        <v>0.33</v>
      </c>
      <c r="BB380" s="4">
        <v>1027.197144</v>
      </c>
      <c r="BC380" s="4">
        <v>1.0999999999999999E-2</v>
      </c>
      <c r="BD380" s="5"/>
      <c r="BE380" s="5"/>
      <c r="BF380" s="5"/>
      <c r="BG380" s="5"/>
      <c r="BI380" s="4" t="s">
        <v>233</v>
      </c>
      <c r="BJ380" s="4">
        <v>0.9</v>
      </c>
      <c r="BK380" s="4">
        <v>0.5</v>
      </c>
      <c r="BL380" s="4">
        <v>0.6</v>
      </c>
      <c r="BM380" s="4">
        <v>0.51</v>
      </c>
      <c r="BN380" s="4">
        <v>1099.9486079999999</v>
      </c>
      <c r="BO380" s="4">
        <v>2.9000000000000001E-2</v>
      </c>
      <c r="BQ380" s="4" t="s">
        <v>233</v>
      </c>
      <c r="BR380" s="4">
        <v>0.9</v>
      </c>
      <c r="BS380" s="4">
        <v>0.5</v>
      </c>
      <c r="BT380" s="4">
        <v>0.6</v>
      </c>
      <c r="BU380" s="4">
        <v>0.36</v>
      </c>
      <c r="BV380" s="6">
        <v>1052.099365</v>
      </c>
      <c r="BW380" s="4">
        <v>1.6E-2</v>
      </c>
      <c r="BX380" s="5"/>
      <c r="BY380" s="5"/>
      <c r="BZ380" s="5"/>
      <c r="CA380" s="5"/>
    </row>
    <row r="381" spans="1:79" x14ac:dyDescent="0.3">
      <c r="A381" s="4" t="s">
        <v>234</v>
      </c>
      <c r="B381" s="4">
        <v>0.9</v>
      </c>
      <c r="C381" s="4">
        <v>0.5</v>
      </c>
      <c r="D381" s="4">
        <v>0.6</v>
      </c>
      <c r="E381" s="4">
        <v>0.32</v>
      </c>
      <c r="F381" s="6">
        <v>738.85931400000004</v>
      </c>
      <c r="G381" s="4">
        <v>2.1000000000000001E-2</v>
      </c>
      <c r="I381" s="4" t="s">
        <v>234</v>
      </c>
      <c r="J381" s="4">
        <v>0.9</v>
      </c>
      <c r="K381" s="4">
        <v>0.5</v>
      </c>
      <c r="L381" s="4">
        <v>0.6</v>
      </c>
      <c r="M381" s="4">
        <v>0.3</v>
      </c>
      <c r="N381" s="4">
        <v>745.58471699999996</v>
      </c>
      <c r="O381" s="4">
        <v>3.0000000000000001E-3</v>
      </c>
      <c r="P381" s="5"/>
      <c r="Q381" s="5"/>
      <c r="R381" s="5"/>
      <c r="S381" s="5"/>
      <c r="U381" s="4" t="s">
        <v>234</v>
      </c>
      <c r="V381" s="4">
        <v>0.9</v>
      </c>
      <c r="W381" s="4">
        <v>0.5</v>
      </c>
      <c r="X381" s="4">
        <v>0.6</v>
      </c>
      <c r="Y381" s="4">
        <v>0.84</v>
      </c>
      <c r="Z381" s="4">
        <v>942.22222899999997</v>
      </c>
      <c r="AA381" s="4">
        <v>3.5999999999999997E-2</v>
      </c>
      <c r="AC381" s="4" t="s">
        <v>234</v>
      </c>
      <c r="AD381" s="4">
        <v>0.9</v>
      </c>
      <c r="AE381" s="4">
        <v>0.5</v>
      </c>
      <c r="AF381" s="4">
        <v>0.6</v>
      </c>
      <c r="AG381" s="4">
        <v>0.33</v>
      </c>
      <c r="AH381" s="6">
        <v>741.73638900000003</v>
      </c>
      <c r="AI381" s="4">
        <v>3.0000000000000001E-3</v>
      </c>
      <c r="AJ381" s="5"/>
      <c r="AK381" s="5"/>
      <c r="AL381" s="5"/>
      <c r="AM381" s="5"/>
      <c r="AO381" s="4" t="s">
        <v>235</v>
      </c>
      <c r="AP381" s="4">
        <v>0.9</v>
      </c>
      <c r="AQ381" s="4">
        <v>0.5</v>
      </c>
      <c r="AR381" s="4">
        <v>0.6</v>
      </c>
      <c r="AS381" s="4">
        <v>0.67</v>
      </c>
      <c r="AT381" s="4">
        <v>1316.280029</v>
      </c>
      <c r="AU381" s="4">
        <v>2.1000000000000001E-2</v>
      </c>
      <c r="AW381" s="4" t="s">
        <v>235</v>
      </c>
      <c r="AX381" s="4">
        <v>0.9</v>
      </c>
      <c r="AY381" s="4">
        <v>0.5</v>
      </c>
      <c r="AZ381" s="4">
        <v>0.6</v>
      </c>
      <c r="BA381" s="4">
        <v>0.3</v>
      </c>
      <c r="BB381" s="6">
        <v>1101.2620850000001</v>
      </c>
      <c r="BC381" s="4">
        <v>1.2E-2</v>
      </c>
      <c r="BD381" s="5"/>
      <c r="BE381" s="5"/>
      <c r="BF381" s="5"/>
      <c r="BG381" s="5"/>
      <c r="BI381" s="4" t="s">
        <v>235</v>
      </c>
      <c r="BJ381" s="4">
        <v>0.9</v>
      </c>
      <c r="BK381" s="4">
        <v>0.5</v>
      </c>
      <c r="BL381" s="4">
        <v>0.6</v>
      </c>
      <c r="BM381" s="4">
        <v>0.55000000000000004</v>
      </c>
      <c r="BN381" s="4">
        <v>1244.4613039999999</v>
      </c>
      <c r="BO381" s="4">
        <v>0.02</v>
      </c>
      <c r="BQ381" s="4" t="s">
        <v>235</v>
      </c>
      <c r="BR381" s="4">
        <v>0.9</v>
      </c>
      <c r="BS381" s="4">
        <v>0.5</v>
      </c>
      <c r="BT381" s="4">
        <v>0.6</v>
      </c>
      <c r="BU381" s="4">
        <v>0.32</v>
      </c>
      <c r="BV381" s="6">
        <v>1092.3271480000001</v>
      </c>
      <c r="BW381" s="4">
        <v>0.01</v>
      </c>
      <c r="BX381" s="5"/>
      <c r="BY381" s="5"/>
      <c r="BZ381" s="5"/>
      <c r="CA381" s="5"/>
    </row>
    <row r="382" spans="1:79" x14ac:dyDescent="0.3">
      <c r="A382" s="4" t="s">
        <v>236</v>
      </c>
      <c r="B382" s="4">
        <v>0.9</v>
      </c>
      <c r="C382" s="4">
        <v>0.5</v>
      </c>
      <c r="D382" s="4">
        <v>0.6</v>
      </c>
      <c r="E382" s="4">
        <v>0.75</v>
      </c>
      <c r="F382" s="4">
        <v>973.57360800000004</v>
      </c>
      <c r="G382" s="4">
        <v>1.2999999999999999E-2</v>
      </c>
      <c r="I382" s="4" t="s">
        <v>236</v>
      </c>
      <c r="J382" s="4">
        <v>0.9</v>
      </c>
      <c r="K382" s="4">
        <v>0.5</v>
      </c>
      <c r="L382" s="4">
        <v>0.6</v>
      </c>
      <c r="M382" s="4">
        <v>0.32</v>
      </c>
      <c r="N382" s="6">
        <v>770.06750499999998</v>
      </c>
      <c r="O382" s="4">
        <v>3.0000000000000001E-3</v>
      </c>
      <c r="P382" s="5"/>
      <c r="Q382" s="5"/>
      <c r="R382" s="5"/>
      <c r="S382" s="5"/>
      <c r="U382" s="4" t="s">
        <v>236</v>
      </c>
      <c r="V382" s="4">
        <v>0.9</v>
      </c>
      <c r="W382" s="4">
        <v>0.5</v>
      </c>
      <c r="X382" s="4">
        <v>0.6</v>
      </c>
      <c r="Y382" s="4">
        <v>0.75</v>
      </c>
      <c r="Z382" s="4">
        <v>979.87512200000003</v>
      </c>
      <c r="AA382" s="4">
        <v>0.05</v>
      </c>
      <c r="AC382" s="4" t="s">
        <v>236</v>
      </c>
      <c r="AD382" s="4">
        <v>0.9</v>
      </c>
      <c r="AE382" s="4">
        <v>0.5</v>
      </c>
      <c r="AF382" s="4">
        <v>0.6</v>
      </c>
      <c r="AG382" s="4">
        <v>0.36</v>
      </c>
      <c r="AH382" s="6">
        <v>769.05053699999996</v>
      </c>
      <c r="AI382" s="4">
        <v>3.0000000000000001E-3</v>
      </c>
      <c r="AJ382" s="5"/>
      <c r="AK382" s="5"/>
      <c r="AL382" s="5"/>
      <c r="AM382" s="5"/>
      <c r="AO382" s="4" t="s">
        <v>237</v>
      </c>
      <c r="AP382" s="4">
        <v>0.9</v>
      </c>
      <c r="AQ382" s="4">
        <v>0.5</v>
      </c>
      <c r="AR382" s="4">
        <v>0.6</v>
      </c>
      <c r="AS382" s="4">
        <v>0.63</v>
      </c>
      <c r="AT382" s="4">
        <v>1302.2495120000001</v>
      </c>
      <c r="AU382" s="4">
        <v>2.8000000000000001E-2</v>
      </c>
      <c r="AW382" s="4" t="s">
        <v>237</v>
      </c>
      <c r="AX382" s="4">
        <v>0.9</v>
      </c>
      <c r="AY382" s="4">
        <v>0.5</v>
      </c>
      <c r="AZ382" s="4">
        <v>0.6</v>
      </c>
      <c r="BA382" s="4">
        <v>0.3</v>
      </c>
      <c r="BB382" s="6">
        <v>1121.518311</v>
      </c>
      <c r="BC382" s="4">
        <v>0.01</v>
      </c>
      <c r="BD382" s="5"/>
      <c r="BE382" s="5"/>
      <c r="BF382" s="5"/>
      <c r="BG382" s="5"/>
      <c r="BI382" s="4" t="s">
        <v>237</v>
      </c>
      <c r="BJ382" s="4">
        <v>0.9</v>
      </c>
      <c r="BK382" s="4">
        <v>0.5</v>
      </c>
      <c r="BL382" s="4">
        <v>0.6</v>
      </c>
      <c r="BM382" s="4">
        <v>0.26</v>
      </c>
      <c r="BN382" s="6">
        <v>1077.183716</v>
      </c>
      <c r="BO382" s="4">
        <v>3.1E-2</v>
      </c>
      <c r="BQ382" s="4" t="s">
        <v>237</v>
      </c>
      <c r="BR382" s="4">
        <v>0.9</v>
      </c>
      <c r="BS382" s="4">
        <v>0.5</v>
      </c>
      <c r="BT382" s="4">
        <v>0.6</v>
      </c>
      <c r="BU382" s="4">
        <v>0.3</v>
      </c>
      <c r="BV382" s="4">
        <v>1102.1489260000001</v>
      </c>
      <c r="BW382" s="4">
        <v>0.01</v>
      </c>
      <c r="BX382" s="5"/>
      <c r="BY382" s="5"/>
      <c r="BZ382" s="5"/>
      <c r="CA382" s="5"/>
    </row>
    <row r="383" spans="1:79" x14ac:dyDescent="0.3">
      <c r="A383" s="4" t="s">
        <v>238</v>
      </c>
      <c r="B383" s="4">
        <v>0.9</v>
      </c>
      <c r="C383" s="4">
        <v>0.5</v>
      </c>
      <c r="D383" s="4">
        <v>0.6</v>
      </c>
      <c r="E383" s="4">
        <v>0.33</v>
      </c>
      <c r="F383" s="4">
        <v>768.68395999999996</v>
      </c>
      <c r="G383" s="4">
        <v>2.4E-2</v>
      </c>
      <c r="I383" s="4" t="s">
        <v>238</v>
      </c>
      <c r="J383" s="4">
        <v>0.9</v>
      </c>
      <c r="K383" s="4">
        <v>0.5</v>
      </c>
      <c r="L383" s="4">
        <v>0.6</v>
      </c>
      <c r="M383" s="4">
        <v>0.3</v>
      </c>
      <c r="N383" s="6">
        <v>761.16235400000005</v>
      </c>
      <c r="O383" s="4">
        <v>2E-3</v>
      </c>
      <c r="P383" s="5"/>
      <c r="Q383" s="5"/>
      <c r="R383" s="5"/>
      <c r="S383" s="5"/>
      <c r="U383" s="4" t="s">
        <v>238</v>
      </c>
      <c r="V383" s="4">
        <v>0.9</v>
      </c>
      <c r="W383" s="4">
        <v>0.5</v>
      </c>
      <c r="X383" s="4">
        <v>0.6</v>
      </c>
      <c r="Y383" s="4">
        <v>0.27</v>
      </c>
      <c r="Z383" s="4">
        <v>735.53546100000005</v>
      </c>
      <c r="AA383" s="4">
        <v>2.5000000000000001E-2</v>
      </c>
      <c r="AC383" s="4" t="s">
        <v>238</v>
      </c>
      <c r="AD383" s="4">
        <v>0.9</v>
      </c>
      <c r="AE383" s="4">
        <v>0.5</v>
      </c>
      <c r="AF383" s="4">
        <v>0.6</v>
      </c>
      <c r="AG383" s="4">
        <v>0.32</v>
      </c>
      <c r="AH383" s="6">
        <v>721.21795699999996</v>
      </c>
      <c r="AI383" s="4">
        <v>2E-3</v>
      </c>
      <c r="AJ383" s="5"/>
      <c r="AK383" s="5"/>
      <c r="AL383" s="5"/>
      <c r="AM383" s="5"/>
      <c r="AO383" s="4" t="s">
        <v>239</v>
      </c>
      <c r="AP383" s="4">
        <v>0.9</v>
      </c>
      <c r="AQ383" s="4">
        <v>0.5</v>
      </c>
      <c r="AR383" s="4">
        <v>0.6</v>
      </c>
      <c r="AS383" s="4">
        <v>0.08</v>
      </c>
      <c r="AT383" s="6">
        <v>953.33831799999996</v>
      </c>
      <c r="AU383" s="4">
        <v>0.02</v>
      </c>
      <c r="AW383" s="4" t="s">
        <v>239</v>
      </c>
      <c r="AX383" s="4">
        <v>0.9</v>
      </c>
      <c r="AY383" s="4">
        <v>0.5</v>
      </c>
      <c r="AZ383" s="4">
        <v>0.6</v>
      </c>
      <c r="BA383" s="4">
        <v>0.31</v>
      </c>
      <c r="BB383" s="4">
        <v>1164.193481</v>
      </c>
      <c r="BC383" s="4">
        <v>1.4999999999999999E-2</v>
      </c>
      <c r="BD383" s="5"/>
      <c r="BE383" s="5"/>
      <c r="BF383" s="5"/>
      <c r="BG383" s="5"/>
      <c r="BI383" s="4" t="s">
        <v>239</v>
      </c>
      <c r="BJ383" s="4">
        <v>0.9</v>
      </c>
      <c r="BK383" s="4">
        <v>0.5</v>
      </c>
      <c r="BL383" s="4">
        <v>0.6</v>
      </c>
      <c r="BM383" s="4">
        <v>0.77</v>
      </c>
      <c r="BN383" s="4">
        <v>1491.5498050000001</v>
      </c>
      <c r="BO383" s="4">
        <v>3.5999999999999997E-2</v>
      </c>
      <c r="BQ383" s="4" t="s">
        <v>239</v>
      </c>
      <c r="BR383" s="4">
        <v>0.9</v>
      </c>
      <c r="BS383" s="4">
        <v>0.5</v>
      </c>
      <c r="BT383" s="4">
        <v>0.6</v>
      </c>
      <c r="BU383" s="4">
        <v>0.31</v>
      </c>
      <c r="BV383" s="6">
        <v>1143.275024</v>
      </c>
      <c r="BW383" s="4">
        <v>1.0999999999999999E-2</v>
      </c>
      <c r="BX383" s="5"/>
      <c r="BY383" s="5"/>
      <c r="BZ383" s="5"/>
      <c r="CA383" s="5"/>
    </row>
    <row r="384" spans="1:79" x14ac:dyDescent="0.3">
      <c r="A384" s="4" t="s">
        <v>240</v>
      </c>
      <c r="B384" s="4">
        <v>0.9</v>
      </c>
      <c r="C384" s="4">
        <v>0.5</v>
      </c>
      <c r="D384" s="4">
        <v>0.6</v>
      </c>
      <c r="E384" s="4">
        <v>0.25</v>
      </c>
      <c r="F384" s="6">
        <v>709.04553199999998</v>
      </c>
      <c r="G384" s="4">
        <v>3.5999999999999997E-2</v>
      </c>
      <c r="I384" s="4" t="s">
        <v>240</v>
      </c>
      <c r="J384" s="4">
        <v>0.9</v>
      </c>
      <c r="K384" s="4">
        <v>0.5</v>
      </c>
      <c r="L384" s="4">
        <v>0.6</v>
      </c>
      <c r="M384" s="4">
        <v>0.31</v>
      </c>
      <c r="N384" s="4">
        <v>729.57824700000003</v>
      </c>
      <c r="O384" s="4">
        <v>3.0000000000000001E-3</v>
      </c>
      <c r="P384" s="5"/>
      <c r="Q384" s="5"/>
      <c r="R384" s="5"/>
      <c r="S384" s="5"/>
      <c r="U384" s="4" t="s">
        <v>240</v>
      </c>
      <c r="V384" s="4">
        <v>0.9</v>
      </c>
      <c r="W384" s="4">
        <v>0.5</v>
      </c>
      <c r="X384" s="4">
        <v>0.6</v>
      </c>
      <c r="Y384" s="4">
        <v>0.1</v>
      </c>
      <c r="Z384" s="6">
        <v>656.382385</v>
      </c>
      <c r="AA384" s="4">
        <v>1.9E-2</v>
      </c>
      <c r="AC384" s="4" t="s">
        <v>240</v>
      </c>
      <c r="AD384" s="4">
        <v>0.9</v>
      </c>
      <c r="AE384" s="4">
        <v>0.5</v>
      </c>
      <c r="AF384" s="4">
        <v>0.6</v>
      </c>
      <c r="AG384" s="4">
        <v>0.33</v>
      </c>
      <c r="AH384" s="4">
        <v>739.86419699999999</v>
      </c>
      <c r="AI384" s="4">
        <v>3.0000000000000001E-3</v>
      </c>
      <c r="AJ384" s="5"/>
      <c r="AK384" s="5"/>
      <c r="AL384" s="5"/>
      <c r="AM384" s="5"/>
      <c r="AO384" s="4" t="s">
        <v>241</v>
      </c>
      <c r="AP384" s="4">
        <v>0.9</v>
      </c>
      <c r="AQ384" s="4">
        <v>0.5</v>
      </c>
      <c r="AR384" s="4">
        <v>0.6</v>
      </c>
      <c r="AS384" s="4">
        <v>0.11</v>
      </c>
      <c r="AT384" s="6">
        <v>962.26678500000003</v>
      </c>
      <c r="AU384" s="4">
        <v>2.8000000000000001E-2</v>
      </c>
      <c r="AW384" s="4" t="s">
        <v>241</v>
      </c>
      <c r="AX384" s="4">
        <v>0.9</v>
      </c>
      <c r="AY384" s="4">
        <v>0.5</v>
      </c>
      <c r="AZ384" s="4">
        <v>0.6</v>
      </c>
      <c r="BA384" s="4">
        <v>0.33</v>
      </c>
      <c r="BB384" s="4">
        <v>1078.7490230000001</v>
      </c>
      <c r="BC384" s="4">
        <v>1.2E-2</v>
      </c>
      <c r="BD384" s="5"/>
      <c r="BE384" s="5"/>
      <c r="BF384" s="5"/>
      <c r="BG384" s="5"/>
      <c r="BI384" s="4" t="s">
        <v>241</v>
      </c>
      <c r="BJ384" s="4">
        <v>0.9</v>
      </c>
      <c r="BK384" s="4">
        <v>0.5</v>
      </c>
      <c r="BL384" s="4">
        <v>0.6</v>
      </c>
      <c r="BM384" s="4">
        <v>0.95</v>
      </c>
      <c r="BN384" s="4">
        <v>1333.256226</v>
      </c>
      <c r="BO384" s="4">
        <v>3.4000000000000002E-2</v>
      </c>
      <c r="BQ384" s="4" t="s">
        <v>241</v>
      </c>
      <c r="BR384" s="4">
        <v>0.9</v>
      </c>
      <c r="BS384" s="4">
        <v>0.5</v>
      </c>
      <c r="BT384" s="4">
        <v>0.6</v>
      </c>
      <c r="BU384" s="4">
        <v>0.31</v>
      </c>
      <c r="BV384" s="6">
        <v>1084.6872559999999</v>
      </c>
      <c r="BW384" s="4">
        <v>8.9999999999999993E-3</v>
      </c>
      <c r="BX384" s="5"/>
      <c r="BY384" s="5"/>
      <c r="BZ384" s="5"/>
      <c r="CA384" s="5"/>
    </row>
    <row r="385" spans="1:79" x14ac:dyDescent="0.3">
      <c r="A385" s="4" t="s">
        <v>242</v>
      </c>
      <c r="B385" s="4">
        <v>0.9</v>
      </c>
      <c r="C385" s="4">
        <v>0.5</v>
      </c>
      <c r="D385" s="4">
        <v>0.6</v>
      </c>
      <c r="E385" s="4">
        <v>0.88</v>
      </c>
      <c r="F385" s="4">
        <v>962.94897500000002</v>
      </c>
      <c r="G385" s="4">
        <v>8.0000000000000002E-3</v>
      </c>
      <c r="I385" s="4" t="s">
        <v>242</v>
      </c>
      <c r="J385" s="4">
        <v>0.9</v>
      </c>
      <c r="K385" s="4">
        <v>0.5</v>
      </c>
      <c r="L385" s="4">
        <v>0.6</v>
      </c>
      <c r="M385" s="4">
        <v>0.36</v>
      </c>
      <c r="N385" s="6">
        <v>721.95477300000005</v>
      </c>
      <c r="O385" s="4">
        <v>3.0000000000000001E-3</v>
      </c>
      <c r="P385" s="5"/>
      <c r="Q385" s="5"/>
      <c r="R385" s="5"/>
      <c r="S385" s="5"/>
      <c r="U385" s="4" t="s">
        <v>242</v>
      </c>
      <c r="V385" s="4">
        <v>0.9</v>
      </c>
      <c r="W385" s="4">
        <v>0.5</v>
      </c>
      <c r="X385" s="4">
        <v>0.6</v>
      </c>
      <c r="Y385" s="4">
        <v>0.71</v>
      </c>
      <c r="Z385" s="4">
        <v>915.15924099999995</v>
      </c>
      <c r="AA385" s="4">
        <v>2.5000000000000001E-2</v>
      </c>
      <c r="AC385" s="4" t="s">
        <v>242</v>
      </c>
      <c r="AD385" s="4">
        <v>0.9</v>
      </c>
      <c r="AE385" s="4">
        <v>0.5</v>
      </c>
      <c r="AF385" s="4">
        <v>0.6</v>
      </c>
      <c r="AG385" s="4">
        <v>0.3</v>
      </c>
      <c r="AH385" s="6">
        <v>707.37756300000001</v>
      </c>
      <c r="AI385" s="4">
        <v>3.0000000000000001E-3</v>
      </c>
      <c r="AJ385" s="5"/>
      <c r="AK385" s="5"/>
      <c r="AL385" s="5"/>
      <c r="AM385" s="5"/>
      <c r="AO385" s="4" t="s">
        <v>243</v>
      </c>
      <c r="AP385" s="4">
        <v>0.9</v>
      </c>
      <c r="AQ385" s="4">
        <v>0.5</v>
      </c>
      <c r="AR385" s="4">
        <v>0.6</v>
      </c>
      <c r="AS385" s="4">
        <v>0.75</v>
      </c>
      <c r="AT385" s="4">
        <v>1514.9414059999999</v>
      </c>
      <c r="AU385" s="4">
        <v>2.5000000000000001E-2</v>
      </c>
      <c r="AW385" s="4" t="s">
        <v>243</v>
      </c>
      <c r="AX385" s="4">
        <v>0.9</v>
      </c>
      <c r="AY385" s="4">
        <v>0.5</v>
      </c>
      <c r="AZ385" s="4">
        <v>0.6</v>
      </c>
      <c r="BA385" s="4">
        <v>0.32</v>
      </c>
      <c r="BB385" s="6">
        <v>1231.8317870000001</v>
      </c>
      <c r="BC385" s="4">
        <v>1.7000000000000001E-2</v>
      </c>
      <c r="BD385" s="5"/>
      <c r="BE385" s="5"/>
      <c r="BF385" s="5"/>
      <c r="BG385" s="5"/>
      <c r="BI385" s="4" t="s">
        <v>243</v>
      </c>
      <c r="BJ385" s="4">
        <v>0.9</v>
      </c>
      <c r="BK385" s="4">
        <v>0.5</v>
      </c>
      <c r="BL385" s="4">
        <v>0.6</v>
      </c>
      <c r="BM385" s="4">
        <v>0.51</v>
      </c>
      <c r="BN385" s="4">
        <v>1340.3930660000001</v>
      </c>
      <c r="BO385" s="4">
        <v>1.7000000000000001E-2</v>
      </c>
      <c r="BQ385" s="4" t="s">
        <v>243</v>
      </c>
      <c r="BR385" s="4">
        <v>0.9</v>
      </c>
      <c r="BS385" s="4">
        <v>0.5</v>
      </c>
      <c r="BT385" s="4">
        <v>0.6</v>
      </c>
      <c r="BU385" s="4">
        <v>0.31</v>
      </c>
      <c r="BV385" s="6">
        <v>1222.6292719999999</v>
      </c>
      <c r="BW385" s="4">
        <v>1.9E-2</v>
      </c>
      <c r="BX385" s="5"/>
      <c r="BY385" s="5"/>
      <c r="BZ385" s="5"/>
      <c r="CA385" s="5"/>
    </row>
    <row r="386" spans="1:79" x14ac:dyDescent="0.3">
      <c r="A386" s="4" t="s">
        <v>244</v>
      </c>
      <c r="B386" s="4">
        <v>0.9</v>
      </c>
      <c r="C386" s="4">
        <v>0.5</v>
      </c>
      <c r="D386" s="4">
        <v>0.6</v>
      </c>
      <c r="E386" s="4">
        <v>0.43</v>
      </c>
      <c r="F386" s="4">
        <v>773.79632600000002</v>
      </c>
      <c r="G386" s="4">
        <v>1.4999999999999999E-2</v>
      </c>
      <c r="I386" s="4" t="s">
        <v>244</v>
      </c>
      <c r="J386" s="4">
        <v>0.9</v>
      </c>
      <c r="K386" s="4">
        <v>0.5</v>
      </c>
      <c r="L386" s="4">
        <v>0.6</v>
      </c>
      <c r="M386" s="4">
        <v>0.31</v>
      </c>
      <c r="N386" s="6">
        <v>723.19891399999995</v>
      </c>
      <c r="O386" s="4">
        <v>3.0000000000000001E-3</v>
      </c>
      <c r="P386" s="5"/>
      <c r="Q386" s="5"/>
      <c r="R386" s="5"/>
      <c r="S386" s="5"/>
      <c r="U386" s="4" t="s">
        <v>244</v>
      </c>
      <c r="V386" s="4">
        <v>0.9</v>
      </c>
      <c r="W386" s="4">
        <v>0.5</v>
      </c>
      <c r="X386" s="4">
        <v>0.6</v>
      </c>
      <c r="Y386" s="4">
        <v>0.59</v>
      </c>
      <c r="Z386" s="4">
        <v>845.25677499999995</v>
      </c>
      <c r="AA386" s="4">
        <v>1.4999999999999999E-2</v>
      </c>
      <c r="AC386" s="4" t="s">
        <v>244</v>
      </c>
      <c r="AD386" s="4">
        <v>0.9</v>
      </c>
      <c r="AE386" s="4">
        <v>0.5</v>
      </c>
      <c r="AF386" s="4">
        <v>0.6</v>
      </c>
      <c r="AG386" s="4">
        <v>0.3</v>
      </c>
      <c r="AH386" s="6">
        <v>722.26355000000001</v>
      </c>
      <c r="AI386" s="4">
        <v>3.0000000000000001E-3</v>
      </c>
      <c r="AJ386" s="5"/>
      <c r="AK386" s="5"/>
      <c r="AL386" s="5"/>
      <c r="AM386" s="5"/>
      <c r="AO386" s="4" t="s">
        <v>245</v>
      </c>
      <c r="AP386" s="4">
        <v>0.9</v>
      </c>
      <c r="AQ386" s="4">
        <v>0.5</v>
      </c>
      <c r="AR386" s="4">
        <v>0.6</v>
      </c>
      <c r="AS386" s="4">
        <v>0.95</v>
      </c>
      <c r="AT386" s="4">
        <v>1591.674561</v>
      </c>
      <c r="AU386" s="4">
        <v>0.03</v>
      </c>
      <c r="AW386" s="4" t="s">
        <v>245</v>
      </c>
      <c r="AX386" s="4">
        <v>0.9</v>
      </c>
      <c r="AY386" s="4">
        <v>0.5</v>
      </c>
      <c r="AZ386" s="4">
        <v>0.6</v>
      </c>
      <c r="BA386" s="4">
        <v>0.3</v>
      </c>
      <c r="BB386" s="6">
        <v>1210.883423</v>
      </c>
      <c r="BC386" s="4">
        <v>0.01</v>
      </c>
      <c r="BD386" s="5"/>
      <c r="BE386" s="5"/>
      <c r="BF386" s="5"/>
      <c r="BG386" s="5"/>
      <c r="BI386" s="4" t="s">
        <v>245</v>
      </c>
      <c r="BJ386" s="4">
        <v>0.9</v>
      </c>
      <c r="BK386" s="4">
        <v>0.5</v>
      </c>
      <c r="BL386" s="4">
        <v>0.6</v>
      </c>
      <c r="BM386" s="4">
        <v>0.08</v>
      </c>
      <c r="BN386" s="6">
        <v>984.29400599999997</v>
      </c>
      <c r="BO386" s="4">
        <v>2.1999999999999999E-2</v>
      </c>
      <c r="BQ386" s="4" t="s">
        <v>245</v>
      </c>
      <c r="BR386" s="4">
        <v>0.9</v>
      </c>
      <c r="BS386" s="4">
        <v>0.5</v>
      </c>
      <c r="BT386" s="4">
        <v>0.6</v>
      </c>
      <c r="BU386" s="4">
        <v>0.3</v>
      </c>
      <c r="BV386" s="4">
        <v>1207.5804439999999</v>
      </c>
      <c r="BW386" s="4">
        <v>1.6E-2</v>
      </c>
      <c r="BX386" s="5"/>
      <c r="BY386" s="5"/>
      <c r="BZ386" s="5"/>
      <c r="CA386" s="5"/>
    </row>
    <row r="387" spans="1:79" x14ac:dyDescent="0.3">
      <c r="A387" s="4" t="s">
        <v>246</v>
      </c>
      <c r="B387" s="4">
        <v>0.9</v>
      </c>
      <c r="C387" s="4">
        <v>0.5</v>
      </c>
      <c r="D387" s="4">
        <v>0.6</v>
      </c>
      <c r="E387" s="4">
        <v>0.34</v>
      </c>
      <c r="F387" s="4">
        <v>753.03295900000001</v>
      </c>
      <c r="G387" s="4">
        <v>0.01</v>
      </c>
      <c r="I387" s="4" t="s">
        <v>246</v>
      </c>
      <c r="J387" s="4">
        <v>0.9</v>
      </c>
      <c r="K387" s="4">
        <v>0.5</v>
      </c>
      <c r="L387" s="4">
        <v>0.6</v>
      </c>
      <c r="M387" s="4">
        <v>0.39</v>
      </c>
      <c r="N387" s="6">
        <v>733.02484100000004</v>
      </c>
      <c r="O387" s="4">
        <v>2E-3</v>
      </c>
      <c r="P387" s="5"/>
      <c r="Q387" s="5"/>
      <c r="R387" s="5"/>
      <c r="S387" s="5"/>
      <c r="U387" s="4" t="s">
        <v>246</v>
      </c>
      <c r="V387" s="4">
        <v>0.9</v>
      </c>
      <c r="W387" s="4">
        <v>0.5</v>
      </c>
      <c r="X387" s="4">
        <v>0.6</v>
      </c>
      <c r="Y387" s="4">
        <v>0.56999999999999995</v>
      </c>
      <c r="Z387" s="4">
        <v>861.59912099999997</v>
      </c>
      <c r="AA387" s="4">
        <v>1.4E-2</v>
      </c>
      <c r="AC387" s="4" t="s">
        <v>246</v>
      </c>
      <c r="AD387" s="4">
        <v>0.9</v>
      </c>
      <c r="AE387" s="4">
        <v>0.5</v>
      </c>
      <c r="AF387" s="4">
        <v>0.6</v>
      </c>
      <c r="AG387" s="4">
        <v>0.32</v>
      </c>
      <c r="AH387" s="6">
        <v>697.80108600000005</v>
      </c>
      <c r="AI387" s="4">
        <v>3.0000000000000001E-3</v>
      </c>
      <c r="AJ387" s="5"/>
      <c r="AK387" s="5"/>
      <c r="AL387" s="5"/>
      <c r="AM387" s="5"/>
      <c r="AO387" s="4" t="s">
        <v>247</v>
      </c>
      <c r="AP387" s="4">
        <v>0.9</v>
      </c>
      <c r="AQ387" s="4">
        <v>0.5</v>
      </c>
      <c r="AR387" s="4">
        <v>0.6</v>
      </c>
      <c r="AS387" s="4">
        <v>0.32</v>
      </c>
      <c r="AT387" s="4">
        <v>1077.89563</v>
      </c>
      <c r="AU387" s="4">
        <v>2.1000000000000001E-2</v>
      </c>
      <c r="AW387" s="4" t="s">
        <v>247</v>
      </c>
      <c r="AX387" s="4">
        <v>0.9</v>
      </c>
      <c r="AY387" s="4">
        <v>0.5</v>
      </c>
      <c r="AZ387" s="4">
        <v>0.6</v>
      </c>
      <c r="BA387" s="4">
        <v>0.31</v>
      </c>
      <c r="BB387" s="6">
        <v>1074.450439</v>
      </c>
      <c r="BC387" s="4">
        <v>8.0000000000000002E-3</v>
      </c>
      <c r="BD387" s="5"/>
      <c r="BE387" s="5"/>
      <c r="BF387" s="5"/>
      <c r="BG387" s="5"/>
      <c r="BI387" s="4" t="s">
        <v>247</v>
      </c>
      <c r="BJ387" s="4">
        <v>0.9</v>
      </c>
      <c r="BK387" s="4">
        <v>0.5</v>
      </c>
      <c r="BL387" s="4">
        <v>0.6</v>
      </c>
      <c r="BM387" s="4">
        <v>0.26</v>
      </c>
      <c r="BN387" s="6">
        <v>1003.3403929999999</v>
      </c>
      <c r="BO387" s="4">
        <v>1.4999999999999999E-2</v>
      </c>
      <c r="BQ387" s="4" t="s">
        <v>247</v>
      </c>
      <c r="BR387" s="4">
        <v>0.9</v>
      </c>
      <c r="BS387" s="4">
        <v>0.5</v>
      </c>
      <c r="BT387" s="4">
        <v>0.6</v>
      </c>
      <c r="BU387" s="4">
        <v>0.3</v>
      </c>
      <c r="BV387" s="4">
        <v>1062.734741</v>
      </c>
      <c r="BW387" s="4">
        <v>1.2E-2</v>
      </c>
      <c r="BX387" s="5"/>
      <c r="BY387" s="5"/>
      <c r="BZ387" s="5"/>
      <c r="CA387" s="5"/>
    </row>
    <row r="388" spans="1:79" x14ac:dyDescent="0.3">
      <c r="A388" s="4" t="s">
        <v>248</v>
      </c>
      <c r="B388" s="4">
        <v>0.9</v>
      </c>
      <c r="C388" s="4">
        <v>0.5</v>
      </c>
      <c r="D388" s="4">
        <v>0.6</v>
      </c>
      <c r="E388" s="4">
        <v>0.19</v>
      </c>
      <c r="F388" s="6">
        <v>740.60314900000003</v>
      </c>
      <c r="G388" s="4">
        <v>2.7E-2</v>
      </c>
      <c r="I388" s="4" t="s">
        <v>248</v>
      </c>
      <c r="J388" s="4">
        <v>0.9</v>
      </c>
      <c r="K388" s="4">
        <v>0.5</v>
      </c>
      <c r="L388" s="4">
        <v>0.6</v>
      </c>
      <c r="M388" s="4">
        <v>0.3</v>
      </c>
      <c r="N388" s="4">
        <v>775.71508800000004</v>
      </c>
      <c r="O388" s="4">
        <v>5.0000000000000001E-3</v>
      </c>
      <c r="P388" s="5"/>
      <c r="Q388" s="5"/>
      <c r="R388" s="5"/>
      <c r="S388" s="5"/>
      <c r="U388" s="4" t="s">
        <v>248</v>
      </c>
      <c r="V388" s="4">
        <v>0.9</v>
      </c>
      <c r="W388" s="4">
        <v>0.5</v>
      </c>
      <c r="X388" s="4">
        <v>0.6</v>
      </c>
      <c r="Y388" s="4">
        <v>0.43</v>
      </c>
      <c r="Z388" s="4">
        <v>814.73132299999997</v>
      </c>
      <c r="AA388" s="4">
        <v>3.6999999999999998E-2</v>
      </c>
      <c r="AC388" s="4" t="s">
        <v>248</v>
      </c>
      <c r="AD388" s="4">
        <v>0.9</v>
      </c>
      <c r="AE388" s="4">
        <v>0.5</v>
      </c>
      <c r="AF388" s="4">
        <v>0.6</v>
      </c>
      <c r="AG388" s="4">
        <v>0.32</v>
      </c>
      <c r="AH388" s="6">
        <v>761.74340800000004</v>
      </c>
      <c r="AI388" s="4">
        <v>4.0000000000000001E-3</v>
      </c>
      <c r="AJ388" s="5"/>
      <c r="AK388" s="5"/>
      <c r="AL388" s="5"/>
      <c r="AM388" s="5"/>
      <c r="AO388" s="4" t="s">
        <v>249</v>
      </c>
      <c r="AP388" s="4">
        <v>0.9</v>
      </c>
      <c r="AQ388" s="4">
        <v>0.5</v>
      </c>
      <c r="AR388" s="4">
        <v>0.6</v>
      </c>
      <c r="AS388" s="4">
        <v>0.86</v>
      </c>
      <c r="AT388" s="4">
        <v>1442.9963379999999</v>
      </c>
      <c r="AU388" s="4">
        <v>2.5999999999999999E-2</v>
      </c>
      <c r="AW388" s="4" t="s">
        <v>249</v>
      </c>
      <c r="AX388" s="4">
        <v>0.9</v>
      </c>
      <c r="AY388" s="4">
        <v>0.5</v>
      </c>
      <c r="AZ388" s="4">
        <v>0.6</v>
      </c>
      <c r="BA388" s="4">
        <v>0.32</v>
      </c>
      <c r="BB388" s="6">
        <v>1164.7573239999999</v>
      </c>
      <c r="BC388" s="4">
        <v>0.01</v>
      </c>
      <c r="BD388" s="5"/>
      <c r="BE388" s="5"/>
      <c r="BF388" s="5"/>
      <c r="BG388" s="5"/>
      <c r="BI388" s="4" t="s">
        <v>249</v>
      </c>
      <c r="BJ388" s="4">
        <v>0.9</v>
      </c>
      <c r="BK388" s="4">
        <v>0.5</v>
      </c>
      <c r="BL388" s="4">
        <v>0.6</v>
      </c>
      <c r="BM388" s="4">
        <v>0.42</v>
      </c>
      <c r="BN388" s="4">
        <v>1188.1313479999999</v>
      </c>
      <c r="BO388" s="4">
        <v>1.4999999999999999E-2</v>
      </c>
      <c r="BQ388" s="4" t="s">
        <v>249</v>
      </c>
      <c r="BR388" s="4">
        <v>0.9</v>
      </c>
      <c r="BS388" s="4">
        <v>0.5</v>
      </c>
      <c r="BT388" s="4">
        <v>0.6</v>
      </c>
      <c r="BU388" s="4">
        <v>0.3</v>
      </c>
      <c r="BV388" s="6">
        <v>1155.1701660000001</v>
      </c>
      <c r="BW388" s="4">
        <v>1.4E-2</v>
      </c>
      <c r="BX388" s="5"/>
      <c r="BY388" s="5"/>
      <c r="BZ388" s="5"/>
      <c r="CA388" s="5"/>
    </row>
    <row r="389" spans="1:79" x14ac:dyDescent="0.3">
      <c r="A389" s="4" t="s">
        <v>250</v>
      </c>
      <c r="B389" s="4">
        <v>0.9</v>
      </c>
      <c r="C389" s="4">
        <v>0.5</v>
      </c>
      <c r="D389" s="4">
        <v>0.6</v>
      </c>
      <c r="E389" s="4">
        <v>0.69</v>
      </c>
      <c r="F389" s="4">
        <v>939.22131300000001</v>
      </c>
      <c r="G389" s="4">
        <v>1.0999999999999999E-2</v>
      </c>
      <c r="I389" s="4" t="s">
        <v>250</v>
      </c>
      <c r="J389" s="4">
        <v>0.9</v>
      </c>
      <c r="K389" s="4">
        <v>0.5</v>
      </c>
      <c r="L389" s="4">
        <v>0.6</v>
      </c>
      <c r="M389" s="4">
        <v>0.33</v>
      </c>
      <c r="N389" s="6">
        <v>803.352844</v>
      </c>
      <c r="O389" s="4">
        <v>3.0000000000000001E-3</v>
      </c>
      <c r="P389" s="5"/>
      <c r="Q389" s="5"/>
      <c r="R389" s="5"/>
      <c r="S389" s="5"/>
      <c r="U389" s="4" t="s">
        <v>250</v>
      </c>
      <c r="V389" s="4">
        <v>0.9</v>
      </c>
      <c r="W389" s="4">
        <v>0.5</v>
      </c>
      <c r="X389" s="4">
        <v>0.6</v>
      </c>
      <c r="Y389" s="4">
        <v>0.73</v>
      </c>
      <c r="Z389" s="4">
        <v>935.49963400000001</v>
      </c>
      <c r="AA389" s="4">
        <v>8.9999999999999993E-3</v>
      </c>
      <c r="AC389" s="4" t="s">
        <v>250</v>
      </c>
      <c r="AD389" s="4">
        <v>0.9</v>
      </c>
      <c r="AE389" s="4">
        <v>0.5</v>
      </c>
      <c r="AF389" s="4">
        <v>0.6</v>
      </c>
      <c r="AG389" s="4">
        <v>0.31</v>
      </c>
      <c r="AH389" s="6">
        <v>788.01348900000005</v>
      </c>
      <c r="AI389" s="4">
        <v>4.0000000000000001E-3</v>
      </c>
      <c r="AJ389" s="5"/>
      <c r="AK389" s="5"/>
      <c r="AL389" s="5"/>
      <c r="AM389" s="5"/>
      <c r="AO389" s="4" t="s">
        <v>251</v>
      </c>
      <c r="AP389" s="4">
        <v>0.9</v>
      </c>
      <c r="AQ389" s="4">
        <v>0.5</v>
      </c>
      <c r="AR389" s="4">
        <v>0.6</v>
      </c>
      <c r="AS389" s="4">
        <v>0.09</v>
      </c>
      <c r="AT389" s="6">
        <v>979.62548800000002</v>
      </c>
      <c r="AU389" s="4">
        <v>1.7999999999999999E-2</v>
      </c>
      <c r="AW389" s="4" t="s">
        <v>251</v>
      </c>
      <c r="AX389" s="4">
        <v>0.9</v>
      </c>
      <c r="AY389" s="4">
        <v>0.5</v>
      </c>
      <c r="AZ389" s="4">
        <v>0.6</v>
      </c>
      <c r="BA389" s="4">
        <v>0.3</v>
      </c>
      <c r="BB389" s="4">
        <v>1166.5805660000001</v>
      </c>
      <c r="BC389" s="4">
        <v>0.01</v>
      </c>
      <c r="BD389" s="5"/>
      <c r="BE389" s="5"/>
      <c r="BF389" s="5"/>
      <c r="BG389" s="5"/>
      <c r="BI389" s="4" t="s">
        <v>251</v>
      </c>
      <c r="BJ389" s="4">
        <v>0.9</v>
      </c>
      <c r="BK389" s="4">
        <v>0.5</v>
      </c>
      <c r="BL389" s="4">
        <v>0.6</v>
      </c>
      <c r="BM389" s="4">
        <v>0.99</v>
      </c>
      <c r="BN389" s="4">
        <v>1362.221313</v>
      </c>
      <c r="BO389" s="4">
        <v>2.7E-2</v>
      </c>
      <c r="BQ389" s="4" t="s">
        <v>251</v>
      </c>
      <c r="BR389" s="4">
        <v>0.9</v>
      </c>
      <c r="BS389" s="4">
        <v>0.5</v>
      </c>
      <c r="BT389" s="4">
        <v>0.6</v>
      </c>
      <c r="BU389" s="4">
        <v>0.3</v>
      </c>
      <c r="BV389" s="6">
        <v>1120.2071530000001</v>
      </c>
      <c r="BW389" s="4">
        <v>0.01</v>
      </c>
      <c r="BX389" s="5"/>
      <c r="BY389" s="5"/>
      <c r="BZ389" s="5"/>
      <c r="CA389" s="5"/>
    </row>
    <row r="390" spans="1:79" x14ac:dyDescent="0.3">
      <c r="A390" s="4" t="s">
        <v>252</v>
      </c>
      <c r="B390" s="4">
        <v>0.9</v>
      </c>
      <c r="C390" s="4">
        <v>0.5</v>
      </c>
      <c r="D390" s="4">
        <v>0.6</v>
      </c>
      <c r="E390" s="4">
        <v>0.68</v>
      </c>
      <c r="F390" s="4">
        <v>971.57800299999997</v>
      </c>
      <c r="G390" s="4">
        <v>0.02</v>
      </c>
      <c r="I390" s="4" t="s">
        <v>252</v>
      </c>
      <c r="J390" s="4">
        <v>0.9</v>
      </c>
      <c r="K390" s="4">
        <v>0.5</v>
      </c>
      <c r="L390" s="4">
        <v>0.6</v>
      </c>
      <c r="M390" s="4">
        <v>0.33</v>
      </c>
      <c r="N390" s="6">
        <v>848.34216300000003</v>
      </c>
      <c r="O390" s="4">
        <v>3.0000000000000001E-3</v>
      </c>
      <c r="P390" s="5"/>
      <c r="Q390" s="5"/>
      <c r="R390" s="5"/>
      <c r="S390" s="5"/>
      <c r="U390" s="4" t="s">
        <v>252</v>
      </c>
      <c r="V390" s="4">
        <v>0.9</v>
      </c>
      <c r="W390" s="4">
        <v>0.5</v>
      </c>
      <c r="X390" s="4">
        <v>0.6</v>
      </c>
      <c r="Y390" s="4">
        <v>0.93</v>
      </c>
      <c r="Z390" s="4">
        <v>1049.494751</v>
      </c>
      <c r="AA390" s="4">
        <v>1.7999999999999999E-2</v>
      </c>
      <c r="AC390" s="4" t="s">
        <v>252</v>
      </c>
      <c r="AD390" s="4">
        <v>0.9</v>
      </c>
      <c r="AE390" s="4">
        <v>0.5</v>
      </c>
      <c r="AF390" s="4">
        <v>0.6</v>
      </c>
      <c r="AG390" s="4">
        <v>0.32</v>
      </c>
      <c r="AH390" s="6">
        <v>805.73681599999998</v>
      </c>
      <c r="AI390" s="4">
        <v>3.0000000000000001E-3</v>
      </c>
      <c r="AJ390" s="5"/>
      <c r="AK390" s="5"/>
      <c r="AL390" s="5"/>
      <c r="AM390" s="5"/>
      <c r="AO390" s="4" t="s">
        <v>253</v>
      </c>
      <c r="AP390" s="4">
        <v>0.9</v>
      </c>
      <c r="AQ390" s="4">
        <v>0.5</v>
      </c>
      <c r="AR390" s="4">
        <v>0.6</v>
      </c>
      <c r="AS390" s="4">
        <v>0.97</v>
      </c>
      <c r="AT390" s="4">
        <v>1553.1938479999999</v>
      </c>
      <c r="AU390" s="4">
        <v>2.5000000000000001E-2</v>
      </c>
      <c r="AW390" s="4" t="s">
        <v>253</v>
      </c>
      <c r="AX390" s="4">
        <v>0.9</v>
      </c>
      <c r="AY390" s="4">
        <v>0.5</v>
      </c>
      <c r="AZ390" s="4">
        <v>0.6</v>
      </c>
      <c r="BA390" s="4">
        <v>0.31</v>
      </c>
      <c r="BB390" s="6">
        <v>1201.7536620000001</v>
      </c>
      <c r="BC390" s="4">
        <v>1.4E-2</v>
      </c>
      <c r="BD390" s="5"/>
      <c r="BE390" s="5"/>
      <c r="BF390" s="5"/>
      <c r="BG390" s="5"/>
      <c r="BI390" s="4" t="s">
        <v>253</v>
      </c>
      <c r="BJ390" s="4">
        <v>0.9</v>
      </c>
      <c r="BK390" s="4">
        <v>0.5</v>
      </c>
      <c r="BL390" s="4">
        <v>0.6</v>
      </c>
      <c r="BM390" s="4">
        <v>0.28000000000000003</v>
      </c>
      <c r="BN390" s="6">
        <v>1130.0489500000001</v>
      </c>
      <c r="BO390" s="4">
        <v>4.7E-2</v>
      </c>
      <c r="BQ390" s="4" t="s">
        <v>253</v>
      </c>
      <c r="BR390" s="4">
        <v>0.9</v>
      </c>
      <c r="BS390" s="4">
        <v>0.5</v>
      </c>
      <c r="BT390" s="4">
        <v>0.6</v>
      </c>
      <c r="BU390" s="4">
        <v>0.3</v>
      </c>
      <c r="BV390" s="4">
        <v>1193.2734379999999</v>
      </c>
      <c r="BW390" s="4">
        <v>0.01</v>
      </c>
      <c r="BX390" s="5"/>
      <c r="BY390" s="5"/>
      <c r="BZ390" s="5"/>
      <c r="CA390" s="5"/>
    </row>
    <row r="391" spans="1:79" x14ac:dyDescent="0.3">
      <c r="A391" s="14" t="s">
        <v>316</v>
      </c>
      <c r="E391" s="14">
        <f>AVERAGE(E361:E390)</f>
        <v>0.51033333333333331</v>
      </c>
      <c r="I391" s="14" t="s">
        <v>316</v>
      </c>
      <c r="M391" s="14">
        <f>AVERAGE(M361:M390)</f>
        <v>0.3186666666666666</v>
      </c>
      <c r="P391" s="5"/>
      <c r="Q391" s="5"/>
      <c r="R391" s="5"/>
      <c r="S391" s="5"/>
      <c r="U391" s="14" t="s">
        <v>316</v>
      </c>
      <c r="Y391" s="14">
        <f>AVERAGE(Y361:Y390)</f>
        <v>0.60166666666666657</v>
      </c>
      <c r="AC391" s="14" t="s">
        <v>316</v>
      </c>
      <c r="AG391" s="14">
        <f>AVERAGE(AG361:AG390)</f>
        <v>0.31966666666666671</v>
      </c>
      <c r="AJ391" s="5"/>
      <c r="AK391" s="5"/>
      <c r="AL391" s="5"/>
      <c r="AM391" s="5"/>
      <c r="AO391" s="14" t="s">
        <v>316</v>
      </c>
      <c r="AS391" s="14">
        <f>AVERAGE(AS361:AS390)</f>
        <v>0.50199999999999989</v>
      </c>
      <c r="AW391" s="14" t="s">
        <v>316</v>
      </c>
      <c r="BA391" s="14">
        <f>AVERAGE(BA361:BA390)</f>
        <v>0.31766666666666671</v>
      </c>
      <c r="BD391" s="5"/>
      <c r="BE391" s="5"/>
      <c r="BF391" s="5"/>
      <c r="BG391" s="5"/>
      <c r="BI391" s="14" t="s">
        <v>316</v>
      </c>
      <c r="BM391" s="14">
        <f>AVERAGE(BM361:BM390)</f>
        <v>0.45633333333333331</v>
      </c>
      <c r="BQ391" s="14" t="s">
        <v>316</v>
      </c>
      <c r="BU391" s="14">
        <f>AVERAGE(BU361:BU390)</f>
        <v>0.3126666666666667</v>
      </c>
      <c r="BX391" s="5"/>
      <c r="BY391" s="5"/>
      <c r="BZ391" s="5"/>
      <c r="CA391" s="5"/>
    </row>
    <row r="392" spans="1:79" x14ac:dyDescent="0.3">
      <c r="P392" s="5"/>
      <c r="Q392" s="5"/>
      <c r="R392" s="5"/>
      <c r="S392" s="5"/>
      <c r="AJ392" s="5"/>
      <c r="AK392" s="5"/>
      <c r="AL392" s="5"/>
      <c r="AM392" s="5"/>
      <c r="BD392" s="5"/>
      <c r="BE392" s="5"/>
      <c r="BF392" s="5"/>
      <c r="BG392" s="5"/>
      <c r="BX392" s="5"/>
      <c r="BY392" s="5"/>
      <c r="BZ392" s="5"/>
      <c r="CA392" s="5"/>
    </row>
    <row r="393" spans="1:79" x14ac:dyDescent="0.3">
      <c r="P393" s="5"/>
      <c r="Q393" s="5"/>
      <c r="R393" s="5"/>
      <c r="S393" s="5"/>
      <c r="AJ393" s="5"/>
      <c r="AK393" s="5"/>
      <c r="AL393" s="5"/>
      <c r="AM393" s="5"/>
      <c r="BD393" s="5"/>
      <c r="BE393" s="5"/>
      <c r="BF393" s="5"/>
      <c r="BG393" s="5"/>
      <c r="BX393" s="5"/>
      <c r="BY393" s="5"/>
      <c r="BZ393" s="5"/>
      <c r="CA393" s="5"/>
    </row>
    <row r="394" spans="1:79" x14ac:dyDescent="0.3">
      <c r="A394" s="24" t="s">
        <v>314</v>
      </c>
      <c r="B394" s="25"/>
      <c r="C394" s="25"/>
      <c r="D394" s="25"/>
      <c r="E394" s="25"/>
      <c r="F394" s="25"/>
      <c r="G394" s="26"/>
      <c r="I394" s="23" t="s">
        <v>314</v>
      </c>
      <c r="J394" s="23"/>
      <c r="K394" s="23"/>
      <c r="L394" s="23"/>
      <c r="M394" s="23"/>
      <c r="N394" s="23"/>
      <c r="O394" s="23"/>
      <c r="P394" s="11"/>
      <c r="Q394" s="11"/>
      <c r="R394" s="11"/>
      <c r="S394" s="11"/>
      <c r="U394" s="24" t="s">
        <v>314</v>
      </c>
      <c r="V394" s="25"/>
      <c r="W394" s="25"/>
      <c r="X394" s="25"/>
      <c r="Y394" s="25"/>
      <c r="Z394" s="25"/>
      <c r="AA394" s="26"/>
      <c r="AC394" s="23" t="s">
        <v>314</v>
      </c>
      <c r="AD394" s="23"/>
      <c r="AE394" s="23"/>
      <c r="AF394" s="23"/>
      <c r="AG394" s="23"/>
      <c r="AH394" s="23"/>
      <c r="AI394" s="23"/>
      <c r="AJ394" s="11"/>
      <c r="AK394" s="11"/>
      <c r="AL394" s="11"/>
      <c r="AM394" s="11"/>
      <c r="AO394" s="24" t="s">
        <v>314</v>
      </c>
      <c r="AP394" s="25"/>
      <c r="AQ394" s="25"/>
      <c r="AR394" s="25"/>
      <c r="AS394" s="25"/>
      <c r="AT394" s="25"/>
      <c r="AU394" s="26"/>
      <c r="AW394" s="23" t="s">
        <v>314</v>
      </c>
      <c r="AX394" s="23"/>
      <c r="AY394" s="23"/>
      <c r="AZ394" s="23"/>
      <c r="BA394" s="23"/>
      <c r="BB394" s="23"/>
      <c r="BC394" s="23"/>
      <c r="BD394" s="11"/>
      <c r="BE394" s="11"/>
      <c r="BF394" s="11"/>
      <c r="BG394" s="11"/>
      <c r="BI394" s="24" t="s">
        <v>314</v>
      </c>
      <c r="BJ394" s="25"/>
      <c r="BK394" s="25"/>
      <c r="BL394" s="25"/>
      <c r="BM394" s="25"/>
      <c r="BN394" s="25"/>
      <c r="BO394" s="26"/>
      <c r="BQ394" s="23" t="s">
        <v>314</v>
      </c>
      <c r="BR394" s="23"/>
      <c r="BS394" s="23"/>
      <c r="BT394" s="23"/>
      <c r="BU394" s="23"/>
      <c r="BV394" s="23"/>
      <c r="BW394" s="23"/>
      <c r="BX394" s="11"/>
      <c r="BY394" s="11"/>
      <c r="BZ394" s="11"/>
      <c r="CA394" s="11"/>
    </row>
    <row r="395" spans="1:79" x14ac:dyDescent="0.3">
      <c r="A395" s="4" t="s">
        <v>72</v>
      </c>
      <c r="B395" s="4"/>
      <c r="C395" s="4"/>
      <c r="D395" s="4"/>
      <c r="E395" s="4"/>
      <c r="F395" s="4"/>
      <c r="G395" s="4"/>
      <c r="I395" s="23" t="s">
        <v>72</v>
      </c>
      <c r="J395" s="23"/>
      <c r="K395" s="23"/>
      <c r="L395" s="23"/>
      <c r="M395" s="23"/>
      <c r="N395" s="23"/>
      <c r="O395" s="23"/>
      <c r="P395" s="5"/>
      <c r="Q395" s="5"/>
      <c r="R395" s="5"/>
      <c r="S395" s="5"/>
      <c r="U395" s="4" t="s">
        <v>73</v>
      </c>
      <c r="V395" s="4"/>
      <c r="W395" s="4"/>
      <c r="X395" s="4"/>
      <c r="Y395" s="4"/>
      <c r="Z395" s="4"/>
      <c r="AA395" s="4"/>
      <c r="AC395" s="23" t="s">
        <v>73</v>
      </c>
      <c r="AD395" s="23"/>
      <c r="AE395" s="23"/>
      <c r="AF395" s="23"/>
      <c r="AG395" s="23"/>
      <c r="AH395" s="23"/>
      <c r="AI395" s="23"/>
      <c r="AJ395" s="5"/>
      <c r="AK395" s="5"/>
      <c r="AL395" s="5"/>
      <c r="AM395" s="5"/>
      <c r="AO395" s="4" t="s">
        <v>72</v>
      </c>
      <c r="AP395" s="4"/>
      <c r="AQ395" s="4"/>
      <c r="AR395" s="4"/>
      <c r="AS395" s="4"/>
      <c r="AT395" s="4"/>
      <c r="AU395" s="4"/>
      <c r="AW395" s="23" t="s">
        <v>72</v>
      </c>
      <c r="AX395" s="23"/>
      <c r="AY395" s="23"/>
      <c r="AZ395" s="23"/>
      <c r="BA395" s="23"/>
      <c r="BB395" s="23"/>
      <c r="BC395" s="23"/>
      <c r="BD395" s="5"/>
      <c r="BE395" s="5"/>
      <c r="BF395" s="5"/>
      <c r="BG395" s="5"/>
      <c r="BI395" s="4" t="s">
        <v>73</v>
      </c>
      <c r="BJ395" s="4"/>
      <c r="BK395" s="4"/>
      <c r="BL395" s="4"/>
      <c r="BM395" s="4"/>
      <c r="BN395" s="4"/>
      <c r="BO395" s="4"/>
      <c r="BQ395" s="23" t="s">
        <v>73</v>
      </c>
      <c r="BR395" s="23"/>
      <c r="BS395" s="23"/>
      <c r="BT395" s="23"/>
      <c r="BU395" s="23"/>
      <c r="BV395" s="23"/>
      <c r="BW395" s="23"/>
      <c r="BX395" s="5"/>
      <c r="BY395" s="5"/>
      <c r="BZ395" s="5"/>
      <c r="CA395" s="5"/>
    </row>
    <row r="396" spans="1:79" x14ac:dyDescent="0.3">
      <c r="A396" s="4" t="s">
        <v>2</v>
      </c>
      <c r="B396" s="4" t="s">
        <v>3</v>
      </c>
      <c r="C396" s="4" t="s">
        <v>4</v>
      </c>
      <c r="D396" s="4" t="s">
        <v>5</v>
      </c>
      <c r="E396" s="4" t="s">
        <v>6</v>
      </c>
      <c r="F396" s="4" t="s">
        <v>7</v>
      </c>
      <c r="G396" s="4" t="s">
        <v>8</v>
      </c>
      <c r="I396" s="4" t="s">
        <v>2</v>
      </c>
      <c r="J396" s="4" t="s">
        <v>3</v>
      </c>
      <c r="K396" s="4" t="s">
        <v>4</v>
      </c>
      <c r="L396" s="4" t="s">
        <v>5</v>
      </c>
      <c r="M396" s="4" t="s">
        <v>6</v>
      </c>
      <c r="N396" s="4" t="s">
        <v>7</v>
      </c>
      <c r="O396" s="4" t="s">
        <v>8</v>
      </c>
      <c r="P396" s="3" t="s">
        <v>322</v>
      </c>
      <c r="Q396" s="3" t="s">
        <v>323</v>
      </c>
      <c r="R396" s="3" t="s">
        <v>322</v>
      </c>
      <c r="S396" s="3" t="s">
        <v>323</v>
      </c>
      <c r="U396" s="4" t="s">
        <v>2</v>
      </c>
      <c r="V396" s="4" t="s">
        <v>3</v>
      </c>
      <c r="W396" s="4" t="s">
        <v>4</v>
      </c>
      <c r="X396" s="4" t="s">
        <v>5</v>
      </c>
      <c r="Y396" s="4" t="s">
        <v>6</v>
      </c>
      <c r="Z396" s="4" t="s">
        <v>7</v>
      </c>
      <c r="AA396" s="4" t="s">
        <v>8</v>
      </c>
      <c r="AC396" s="4" t="s">
        <v>2</v>
      </c>
      <c r="AD396" s="4" t="s">
        <v>3</v>
      </c>
      <c r="AE396" s="4" t="s">
        <v>4</v>
      </c>
      <c r="AF396" s="4" t="s">
        <v>5</v>
      </c>
      <c r="AG396" s="4" t="s">
        <v>6</v>
      </c>
      <c r="AH396" s="4" t="s">
        <v>7</v>
      </c>
      <c r="AI396" s="4" t="s">
        <v>8</v>
      </c>
      <c r="AJ396" s="3" t="s">
        <v>322</v>
      </c>
      <c r="AK396" s="3" t="s">
        <v>323</v>
      </c>
      <c r="AL396" s="3" t="s">
        <v>322</v>
      </c>
      <c r="AM396" s="3" t="s">
        <v>323</v>
      </c>
      <c r="AO396" s="4" t="s">
        <v>2</v>
      </c>
      <c r="AP396" s="4" t="s">
        <v>3</v>
      </c>
      <c r="AQ396" s="4" t="s">
        <v>4</v>
      </c>
      <c r="AR396" s="4" t="s">
        <v>5</v>
      </c>
      <c r="AS396" s="4" t="s">
        <v>6</v>
      </c>
      <c r="AT396" s="4" t="s">
        <v>7</v>
      </c>
      <c r="AU396" s="4" t="s">
        <v>8</v>
      </c>
      <c r="AW396" s="4" t="s">
        <v>2</v>
      </c>
      <c r="AX396" s="4" t="s">
        <v>3</v>
      </c>
      <c r="AY396" s="4" t="s">
        <v>4</v>
      </c>
      <c r="AZ396" s="4" t="s">
        <v>5</v>
      </c>
      <c r="BA396" s="4" t="s">
        <v>6</v>
      </c>
      <c r="BB396" s="4" t="s">
        <v>7</v>
      </c>
      <c r="BC396" s="4" t="s">
        <v>8</v>
      </c>
      <c r="BD396" s="3" t="s">
        <v>322</v>
      </c>
      <c r="BE396" s="3" t="s">
        <v>323</v>
      </c>
      <c r="BF396" s="3" t="s">
        <v>322</v>
      </c>
      <c r="BG396" s="3" t="s">
        <v>323</v>
      </c>
      <c r="BI396" s="4" t="s">
        <v>2</v>
      </c>
      <c r="BJ396" s="4" t="s">
        <v>3</v>
      </c>
      <c r="BK396" s="4" t="s">
        <v>4</v>
      </c>
      <c r="BL396" s="4" t="s">
        <v>5</v>
      </c>
      <c r="BM396" s="4" t="s">
        <v>6</v>
      </c>
      <c r="BN396" s="4" t="s">
        <v>7</v>
      </c>
      <c r="BO396" s="4" t="s">
        <v>8</v>
      </c>
      <c r="BQ396" s="4" t="s">
        <v>2</v>
      </c>
      <c r="BR396" s="4" t="s">
        <v>3</v>
      </c>
      <c r="BS396" s="4" t="s">
        <v>4</v>
      </c>
      <c r="BT396" s="4" t="s">
        <v>5</v>
      </c>
      <c r="BU396" s="4" t="s">
        <v>6</v>
      </c>
      <c r="BV396" s="4" t="s">
        <v>7</v>
      </c>
      <c r="BW396" s="4" t="s">
        <v>8</v>
      </c>
      <c r="BX396" s="3" t="s">
        <v>322</v>
      </c>
      <c r="BY396" s="3" t="s">
        <v>323</v>
      </c>
      <c r="BZ396" s="3" t="s">
        <v>322</v>
      </c>
      <c r="CA396" s="3" t="s">
        <v>323</v>
      </c>
    </row>
    <row r="397" spans="1:79" x14ac:dyDescent="0.3">
      <c r="A397" s="4" t="s">
        <v>194</v>
      </c>
      <c r="B397" s="4">
        <v>0.9</v>
      </c>
      <c r="C397" s="4">
        <v>0.5</v>
      </c>
      <c r="D397" s="4">
        <v>0.6</v>
      </c>
      <c r="E397" s="4">
        <v>0.01</v>
      </c>
      <c r="F397" s="6">
        <v>664.71227999999996</v>
      </c>
      <c r="G397" s="4">
        <v>4.2999999999999997E-2</v>
      </c>
      <c r="I397" s="4" t="s">
        <v>194</v>
      </c>
      <c r="J397" s="4">
        <v>0.9</v>
      </c>
      <c r="K397" s="4">
        <v>0.5</v>
      </c>
      <c r="L397" s="4">
        <v>0.6</v>
      </c>
      <c r="M397" s="4">
        <v>0.38</v>
      </c>
      <c r="N397" s="4">
        <v>690.98492399999998</v>
      </c>
      <c r="O397" s="4">
        <v>3.0000000000000001E-3</v>
      </c>
      <c r="P397" s="4" t="s">
        <v>327</v>
      </c>
      <c r="Q397" s="4" t="s">
        <v>327</v>
      </c>
      <c r="R397" s="4" t="s">
        <v>326</v>
      </c>
      <c r="S397" s="4" t="s">
        <v>326</v>
      </c>
      <c r="U397" s="4" t="s">
        <v>194</v>
      </c>
      <c r="V397" s="4">
        <v>0.9</v>
      </c>
      <c r="W397" s="4">
        <v>0.5</v>
      </c>
      <c r="X397" s="4">
        <v>0.6</v>
      </c>
      <c r="Y397" s="4">
        <v>0.01</v>
      </c>
      <c r="Z397" s="6">
        <v>658.79663100000005</v>
      </c>
      <c r="AA397" s="4">
        <v>1.7000000000000001E-2</v>
      </c>
      <c r="AC397" s="4" t="s">
        <v>194</v>
      </c>
      <c r="AD397" s="4">
        <v>0.9</v>
      </c>
      <c r="AE397" s="4">
        <v>0.5</v>
      </c>
      <c r="AF397" s="4">
        <v>0.6</v>
      </c>
      <c r="AG397" s="4">
        <v>0.3</v>
      </c>
      <c r="AH397" s="4">
        <v>680.66156000000001</v>
      </c>
      <c r="AI397" s="4">
        <v>3.0000000000000001E-3</v>
      </c>
      <c r="AJ397" s="4" t="s">
        <v>327</v>
      </c>
      <c r="AK397" s="4" t="s">
        <v>327</v>
      </c>
      <c r="AL397" s="4" t="s">
        <v>326</v>
      </c>
      <c r="AM397" s="4" t="s">
        <v>326</v>
      </c>
      <c r="AO397" s="4" t="s">
        <v>195</v>
      </c>
      <c r="AP397" s="4">
        <v>0.9</v>
      </c>
      <c r="AQ397" s="4">
        <v>0.5</v>
      </c>
      <c r="AR397" s="4">
        <v>0.6</v>
      </c>
      <c r="AS397" s="4">
        <v>0.01</v>
      </c>
      <c r="AT397" s="6">
        <v>842.43615699999998</v>
      </c>
      <c r="AU397" s="4">
        <v>1.4E-2</v>
      </c>
      <c r="AW397" s="4" t="s">
        <v>195</v>
      </c>
      <c r="AX397" s="4">
        <v>0.9</v>
      </c>
      <c r="AY397" s="4">
        <v>0.5</v>
      </c>
      <c r="AZ397" s="4">
        <v>0.6</v>
      </c>
      <c r="BA397" s="4">
        <v>0.35</v>
      </c>
      <c r="BB397" s="4">
        <v>1006.13147</v>
      </c>
      <c r="BC397" s="4">
        <v>0.01</v>
      </c>
      <c r="BD397" s="4" t="s">
        <v>327</v>
      </c>
      <c r="BE397" s="4" t="s">
        <v>327</v>
      </c>
      <c r="BF397" s="4" t="s">
        <v>326</v>
      </c>
      <c r="BG397" s="4" t="s">
        <v>326</v>
      </c>
      <c r="BI397" s="4" t="s">
        <v>195</v>
      </c>
      <c r="BJ397" s="4">
        <v>0.9</v>
      </c>
      <c r="BK397" s="4">
        <v>0.5</v>
      </c>
      <c r="BL397" s="4">
        <v>0.6</v>
      </c>
      <c r="BM397" s="4">
        <v>0.01</v>
      </c>
      <c r="BN397" s="6">
        <v>820.49029499999995</v>
      </c>
      <c r="BO397" s="4">
        <v>1.9E-2</v>
      </c>
      <c r="BQ397" s="4" t="s">
        <v>195</v>
      </c>
      <c r="BR397" s="4">
        <v>0.9</v>
      </c>
      <c r="BS397" s="4">
        <v>0.5</v>
      </c>
      <c r="BT397" s="4">
        <v>0.6</v>
      </c>
      <c r="BU397" s="4">
        <v>0.3</v>
      </c>
      <c r="BV397" s="4">
        <v>1009.489136</v>
      </c>
      <c r="BW397" s="4">
        <v>7.0000000000000001E-3</v>
      </c>
      <c r="BX397" s="4" t="s">
        <v>327</v>
      </c>
      <c r="BY397" s="4" t="s">
        <v>327</v>
      </c>
      <c r="BZ397" s="4" t="s">
        <v>326</v>
      </c>
      <c r="CA397" s="4" t="s">
        <v>326</v>
      </c>
    </row>
    <row r="398" spans="1:79" x14ac:dyDescent="0.3">
      <c r="A398" s="4" t="s">
        <v>196</v>
      </c>
      <c r="B398" s="4">
        <v>0.9</v>
      </c>
      <c r="C398" s="4">
        <v>0.5</v>
      </c>
      <c r="D398" s="4">
        <v>0.6</v>
      </c>
      <c r="E398" s="4">
        <v>0.73</v>
      </c>
      <c r="F398" s="4">
        <v>729.17571999999996</v>
      </c>
      <c r="G398" s="4">
        <v>0.02</v>
      </c>
      <c r="I398" s="4" t="s">
        <v>196</v>
      </c>
      <c r="J398" s="4">
        <v>0.9</v>
      </c>
      <c r="K398" s="4">
        <v>0.5</v>
      </c>
      <c r="L398" s="4">
        <v>0.6</v>
      </c>
      <c r="M398" s="4">
        <v>0.3</v>
      </c>
      <c r="N398" s="6">
        <v>653.74194299999999</v>
      </c>
      <c r="O398" s="4">
        <v>2E-3</v>
      </c>
      <c r="P398" s="3">
        <f>COUNT(F397,F399:F400,F407,F409,F411:F413,F420:F421)</f>
        <v>10</v>
      </c>
      <c r="Q398" s="3">
        <f>30-P398</f>
        <v>20</v>
      </c>
      <c r="R398" s="3">
        <f>COUNT(N398,N401:N406,N408,N410,N414:N419,N422:N426)</f>
        <v>20</v>
      </c>
      <c r="S398" s="3">
        <f>30-R398</f>
        <v>10</v>
      </c>
      <c r="U398" s="4" t="s">
        <v>196</v>
      </c>
      <c r="V398" s="4">
        <v>0.9</v>
      </c>
      <c r="W398" s="4">
        <v>0.5</v>
      </c>
      <c r="X398" s="4">
        <v>0.6</v>
      </c>
      <c r="Y398" s="4">
        <v>0.21</v>
      </c>
      <c r="Z398" s="6">
        <v>615.56878700000004</v>
      </c>
      <c r="AA398" s="4">
        <v>1.7000000000000001E-2</v>
      </c>
      <c r="AC398" s="4" t="s">
        <v>196</v>
      </c>
      <c r="AD398" s="4">
        <v>0.9</v>
      </c>
      <c r="AE398" s="4">
        <v>0.5</v>
      </c>
      <c r="AF398" s="4">
        <v>0.6</v>
      </c>
      <c r="AG398" s="4">
        <v>0.31</v>
      </c>
      <c r="AH398" s="4">
        <v>652.37176499999998</v>
      </c>
      <c r="AI398" s="4">
        <v>4.0000000000000001E-3</v>
      </c>
      <c r="AJ398" s="3">
        <f>COUNT(Z397:Z398,Z406,Z408,Z410,Z418,Z425)</f>
        <v>7</v>
      </c>
      <c r="AK398" s="3">
        <f>30-AJ398</f>
        <v>23</v>
      </c>
      <c r="AL398" s="3">
        <f>COUNT(AH399:AH405,AH407,AH409,AH411:AH417,AH419:AH424,AH426)</f>
        <v>23</v>
      </c>
      <c r="AM398" s="3">
        <f>30-AL398</f>
        <v>7</v>
      </c>
      <c r="AO398" s="4" t="s">
        <v>197</v>
      </c>
      <c r="AP398" s="4">
        <v>0.9</v>
      </c>
      <c r="AQ398" s="4">
        <v>0.5</v>
      </c>
      <c r="AR398" s="4">
        <v>0.6</v>
      </c>
      <c r="AS398" s="4">
        <v>0.09</v>
      </c>
      <c r="AT398" s="6">
        <v>834.29595900000004</v>
      </c>
      <c r="AU398" s="4">
        <v>1.2E-2</v>
      </c>
      <c r="AW398" s="4" t="s">
        <v>197</v>
      </c>
      <c r="AX398" s="4">
        <v>0.9</v>
      </c>
      <c r="AY398" s="4">
        <v>0.5</v>
      </c>
      <c r="AZ398" s="4">
        <v>0.6</v>
      </c>
      <c r="BA398" s="4">
        <v>0.32</v>
      </c>
      <c r="BB398" s="4">
        <v>964.77124000000003</v>
      </c>
      <c r="BC398" s="4">
        <v>1.0999999999999999E-2</v>
      </c>
      <c r="BD398" s="3">
        <f>COUNT(AT397:AT398,AT402:AT404,AT406:AT407,AT409:AT411,AT413:AT414,AT419:AT422)</f>
        <v>16</v>
      </c>
      <c r="BE398" s="3">
        <f>30-BD398</f>
        <v>14</v>
      </c>
      <c r="BF398" s="3">
        <f>COUNT(BB399:BB401,BB404:BB405,BB408,BB412,BB415:BB418,BB423:BB426)</f>
        <v>15</v>
      </c>
      <c r="BG398" s="3">
        <f>30-BF398</f>
        <v>15</v>
      </c>
      <c r="BI398" s="4" t="s">
        <v>197</v>
      </c>
      <c r="BJ398" s="4">
        <v>0.9</v>
      </c>
      <c r="BK398" s="4">
        <v>0.5</v>
      </c>
      <c r="BL398" s="4">
        <v>0.6</v>
      </c>
      <c r="BM398" s="4">
        <v>0.14000000000000001</v>
      </c>
      <c r="BN398" s="6">
        <v>832.20349099999999</v>
      </c>
      <c r="BO398" s="4">
        <v>2.7E-2</v>
      </c>
      <c r="BQ398" s="4" t="s">
        <v>197</v>
      </c>
      <c r="BR398" s="4">
        <v>0.9</v>
      </c>
      <c r="BS398" s="4">
        <v>0.5</v>
      </c>
      <c r="BT398" s="4">
        <v>0.6</v>
      </c>
      <c r="BU398" s="4">
        <v>0.31</v>
      </c>
      <c r="BV398" s="4">
        <v>933.74322500000005</v>
      </c>
      <c r="BW398" s="4">
        <v>7.0000000000000001E-3</v>
      </c>
      <c r="BX398" s="3">
        <f>COUNT(BN397:BN398,BN404,BN407:BN408,BN410,BN415:BN416,BN420,BN422:BN423,BN426)</f>
        <v>12</v>
      </c>
      <c r="BY398" s="3">
        <f>30-BX398</f>
        <v>18</v>
      </c>
      <c r="BZ398" s="3">
        <f>COUNT(BV399:BV403,BV405:BV406,BV409,BV411:BV415,BV417:BV419,BV421,BV424:BV425)</f>
        <v>19</v>
      </c>
      <c r="CA398" s="3">
        <f>30-BZ398</f>
        <v>11</v>
      </c>
    </row>
    <row r="399" spans="1:79" x14ac:dyDescent="0.3">
      <c r="A399" s="4" t="s">
        <v>198</v>
      </c>
      <c r="B399" s="4">
        <v>0.9</v>
      </c>
      <c r="C399" s="4">
        <v>0.5</v>
      </c>
      <c r="D399" s="4">
        <v>0.6</v>
      </c>
      <c r="E399" s="4">
        <v>0.23</v>
      </c>
      <c r="F399" s="6">
        <v>626.86199999999997</v>
      </c>
      <c r="G399" s="4">
        <v>1.4999999999999999E-2</v>
      </c>
      <c r="I399" s="4" t="s">
        <v>198</v>
      </c>
      <c r="J399" s="4">
        <v>0.9</v>
      </c>
      <c r="K399" s="4">
        <v>0.5</v>
      </c>
      <c r="L399" s="4">
        <v>0.6</v>
      </c>
      <c r="M399" s="4">
        <v>0.32</v>
      </c>
      <c r="N399" s="4">
        <v>631.75915499999996</v>
      </c>
      <c r="O399" s="4">
        <v>2E-3</v>
      </c>
      <c r="P399" s="5"/>
      <c r="Q399" s="5"/>
      <c r="R399" s="5"/>
      <c r="S399" s="5"/>
      <c r="U399" s="4" t="s">
        <v>198</v>
      </c>
      <c r="V399" s="4">
        <v>0.9</v>
      </c>
      <c r="W399" s="4">
        <v>0.5</v>
      </c>
      <c r="X399" s="4">
        <v>0.6</v>
      </c>
      <c r="Y399" s="4">
        <v>0.8</v>
      </c>
      <c r="Z399" s="4">
        <v>712.91803000000004</v>
      </c>
      <c r="AA399" s="4">
        <v>2.9000000000000001E-2</v>
      </c>
      <c r="AC399" s="4" t="s">
        <v>198</v>
      </c>
      <c r="AD399" s="4">
        <v>0.9</v>
      </c>
      <c r="AE399" s="4">
        <v>0.5</v>
      </c>
      <c r="AF399" s="4">
        <v>0.6</v>
      </c>
      <c r="AG399" s="4">
        <v>0.32</v>
      </c>
      <c r="AH399" s="6">
        <v>642.99670400000002</v>
      </c>
      <c r="AI399" s="4">
        <v>3.0000000000000001E-3</v>
      </c>
      <c r="AJ399" s="5"/>
      <c r="AK399" s="5"/>
      <c r="AL399" s="5"/>
      <c r="AM399" s="5"/>
      <c r="AO399" s="4" t="s">
        <v>199</v>
      </c>
      <c r="AP399" s="4">
        <v>0.9</v>
      </c>
      <c r="AQ399" s="4">
        <v>0.5</v>
      </c>
      <c r="AR399" s="4">
        <v>0.6</v>
      </c>
      <c r="AS399" s="4">
        <v>0.69</v>
      </c>
      <c r="AT399" s="4">
        <v>1080.9704589999999</v>
      </c>
      <c r="AU399" s="4">
        <v>2.7E-2</v>
      </c>
      <c r="AW399" s="4" t="s">
        <v>199</v>
      </c>
      <c r="AX399" s="4">
        <v>0.9</v>
      </c>
      <c r="AY399" s="4">
        <v>0.5</v>
      </c>
      <c r="AZ399" s="4">
        <v>0.6</v>
      </c>
      <c r="BA399" s="4">
        <v>0.3</v>
      </c>
      <c r="BB399" s="6">
        <v>970.48962400000005</v>
      </c>
      <c r="BC399" s="4">
        <v>1.0999999999999999E-2</v>
      </c>
      <c r="BD399" s="5"/>
      <c r="BE399" s="5"/>
      <c r="BF399" s="5"/>
      <c r="BG399" s="5"/>
      <c r="BI399" s="4" t="s">
        <v>199</v>
      </c>
      <c r="BJ399" s="4">
        <v>0.9</v>
      </c>
      <c r="BK399" s="4">
        <v>0.5</v>
      </c>
      <c r="BL399" s="4">
        <v>0.6</v>
      </c>
      <c r="BM399" s="4">
        <v>0.81</v>
      </c>
      <c r="BN399" s="4">
        <v>1115.5123289999999</v>
      </c>
      <c r="BO399" s="4">
        <v>2.1999999999999999E-2</v>
      </c>
      <c r="BQ399" s="4" t="s">
        <v>199</v>
      </c>
      <c r="BR399" s="4">
        <v>0.9</v>
      </c>
      <c r="BS399" s="4">
        <v>0.5</v>
      </c>
      <c r="BT399" s="4">
        <v>0.6</v>
      </c>
      <c r="BU399" s="4">
        <v>0.3</v>
      </c>
      <c r="BV399" s="6">
        <v>964.15191700000003</v>
      </c>
      <c r="BW399" s="4">
        <v>7.0000000000000001E-3</v>
      </c>
      <c r="BX399" s="5"/>
      <c r="BY399" s="5"/>
      <c r="BZ399" s="5"/>
      <c r="CA399" s="5"/>
    </row>
    <row r="400" spans="1:79" x14ac:dyDescent="0.3">
      <c r="A400" s="4" t="s">
        <v>200</v>
      </c>
      <c r="B400" s="4">
        <v>0.9</v>
      </c>
      <c r="C400" s="4">
        <v>0.5</v>
      </c>
      <c r="D400" s="4">
        <v>0.6</v>
      </c>
      <c r="E400" s="4">
        <v>0.17</v>
      </c>
      <c r="F400" s="6">
        <v>557.59008800000004</v>
      </c>
      <c r="G400" s="4">
        <v>1.2999999999999999E-2</v>
      </c>
      <c r="I400" s="4" t="s">
        <v>200</v>
      </c>
      <c r="J400" s="4">
        <v>0.9</v>
      </c>
      <c r="K400" s="4">
        <v>0.5</v>
      </c>
      <c r="L400" s="4">
        <v>0.6</v>
      </c>
      <c r="M400" s="4">
        <v>0.3</v>
      </c>
      <c r="N400" s="4">
        <v>602.20471199999997</v>
      </c>
      <c r="O400" s="4">
        <v>2E-3</v>
      </c>
      <c r="P400" s="5"/>
      <c r="Q400" s="5"/>
      <c r="R400" s="5"/>
      <c r="S400" s="5"/>
      <c r="U400" s="4" t="s">
        <v>200</v>
      </c>
      <c r="V400" s="4">
        <v>0.9</v>
      </c>
      <c r="W400" s="4">
        <v>0.5</v>
      </c>
      <c r="X400" s="4">
        <v>0.6</v>
      </c>
      <c r="Y400" s="4">
        <v>0.22</v>
      </c>
      <c r="Z400" s="4">
        <v>560.99871800000005</v>
      </c>
      <c r="AA400" s="4">
        <v>1.7000000000000001E-2</v>
      </c>
      <c r="AC400" s="4" t="s">
        <v>200</v>
      </c>
      <c r="AD400" s="4">
        <v>0.9</v>
      </c>
      <c r="AE400" s="4">
        <v>0.5</v>
      </c>
      <c r="AF400" s="4">
        <v>0.6</v>
      </c>
      <c r="AG400" s="4">
        <v>0.32</v>
      </c>
      <c r="AH400" s="6">
        <v>578.91381799999999</v>
      </c>
      <c r="AI400" s="4">
        <v>2E-3</v>
      </c>
      <c r="AJ400" s="5"/>
      <c r="AK400" s="5"/>
      <c r="AL400" s="5"/>
      <c r="AM400" s="5"/>
      <c r="AO400" s="4" t="s">
        <v>201</v>
      </c>
      <c r="AP400" s="4">
        <v>0.9</v>
      </c>
      <c r="AQ400" s="4">
        <v>0.5</v>
      </c>
      <c r="AR400" s="4">
        <v>0.6</v>
      </c>
      <c r="AS400" s="4">
        <v>0.84</v>
      </c>
      <c r="AT400" s="4">
        <v>1146.403442</v>
      </c>
      <c r="AU400" s="4">
        <v>1.2999999999999999E-2</v>
      </c>
      <c r="AW400" s="4" t="s">
        <v>201</v>
      </c>
      <c r="AX400" s="4">
        <v>0.9</v>
      </c>
      <c r="AY400" s="4">
        <v>0.5</v>
      </c>
      <c r="AZ400" s="4">
        <v>0.6</v>
      </c>
      <c r="BA400" s="4">
        <v>0.31</v>
      </c>
      <c r="BB400" s="6">
        <v>1031.9023440000001</v>
      </c>
      <c r="BC400" s="4">
        <v>8.9999999999999993E-3</v>
      </c>
      <c r="BD400" s="5"/>
      <c r="BE400" s="5"/>
      <c r="BF400" s="5"/>
      <c r="BG400" s="5"/>
      <c r="BI400" s="4" t="s">
        <v>201</v>
      </c>
      <c r="BJ400" s="4">
        <v>0.9</v>
      </c>
      <c r="BK400" s="4">
        <v>0.5</v>
      </c>
      <c r="BL400" s="4">
        <v>0.6</v>
      </c>
      <c r="BM400" s="4">
        <v>0.42</v>
      </c>
      <c r="BN400" s="4">
        <v>1039.100952</v>
      </c>
      <c r="BO400" s="4">
        <v>1.2999999999999999E-2</v>
      </c>
      <c r="BQ400" s="4" t="s">
        <v>201</v>
      </c>
      <c r="BR400" s="4">
        <v>0.9</v>
      </c>
      <c r="BS400" s="4">
        <v>0.5</v>
      </c>
      <c r="BT400" s="4">
        <v>0.6</v>
      </c>
      <c r="BU400" s="4">
        <v>0.31</v>
      </c>
      <c r="BV400" s="6">
        <v>1010.094299</v>
      </c>
      <c r="BW400" s="4">
        <v>7.0000000000000001E-3</v>
      </c>
      <c r="BX400" s="5"/>
      <c r="BY400" s="5"/>
      <c r="BZ400" s="5"/>
      <c r="CA400" s="5"/>
    </row>
    <row r="401" spans="1:79" x14ac:dyDescent="0.3">
      <c r="A401" s="4" t="s">
        <v>202</v>
      </c>
      <c r="B401" s="4">
        <v>0.9</v>
      </c>
      <c r="C401" s="4">
        <v>0.5</v>
      </c>
      <c r="D401" s="4">
        <v>0.6</v>
      </c>
      <c r="E401" s="4">
        <v>0.61</v>
      </c>
      <c r="F401" s="4">
        <v>666.75488299999995</v>
      </c>
      <c r="G401" s="4">
        <v>1.4999999999999999E-2</v>
      </c>
      <c r="I401" s="4" t="s">
        <v>202</v>
      </c>
      <c r="J401" s="4">
        <v>0.9</v>
      </c>
      <c r="K401" s="4">
        <v>0.5</v>
      </c>
      <c r="L401" s="4">
        <v>0.6</v>
      </c>
      <c r="M401" s="4">
        <v>0.31</v>
      </c>
      <c r="N401" s="6">
        <v>605.50585899999999</v>
      </c>
      <c r="O401" s="4">
        <v>2E-3</v>
      </c>
      <c r="P401" s="5"/>
      <c r="Q401" s="5"/>
      <c r="R401" s="5"/>
      <c r="S401" s="5"/>
      <c r="U401" s="4" t="s">
        <v>202</v>
      </c>
      <c r="V401" s="4">
        <v>0.9</v>
      </c>
      <c r="W401" s="4">
        <v>0.5</v>
      </c>
      <c r="X401" s="4">
        <v>0.6</v>
      </c>
      <c r="Y401" s="4">
        <v>0.78</v>
      </c>
      <c r="Z401" s="4">
        <v>682.66027799999995</v>
      </c>
      <c r="AA401" s="4">
        <v>2.1000000000000001E-2</v>
      </c>
      <c r="AC401" s="4" t="s">
        <v>202</v>
      </c>
      <c r="AD401" s="4">
        <v>0.9</v>
      </c>
      <c r="AE401" s="4">
        <v>0.5</v>
      </c>
      <c r="AF401" s="4">
        <v>0.6</v>
      </c>
      <c r="AG401" s="4">
        <v>0.3</v>
      </c>
      <c r="AH401" s="6">
        <v>593.99395800000002</v>
      </c>
      <c r="AI401" s="4">
        <v>2E-3</v>
      </c>
      <c r="AJ401" s="5"/>
      <c r="AK401" s="5"/>
      <c r="AL401" s="5"/>
      <c r="AM401" s="5"/>
      <c r="AO401" s="4" t="s">
        <v>203</v>
      </c>
      <c r="AP401" s="4">
        <v>0.9</v>
      </c>
      <c r="AQ401" s="4">
        <v>0.5</v>
      </c>
      <c r="AR401" s="4">
        <v>0.6</v>
      </c>
      <c r="AS401" s="4">
        <v>0.67</v>
      </c>
      <c r="AT401" s="4">
        <v>1061.118774</v>
      </c>
      <c r="AU401" s="4">
        <v>1.4999999999999999E-2</v>
      </c>
      <c r="AW401" s="4" t="s">
        <v>203</v>
      </c>
      <c r="AX401" s="4">
        <v>0.9</v>
      </c>
      <c r="AY401" s="4">
        <v>0.5</v>
      </c>
      <c r="AZ401" s="4">
        <v>0.6</v>
      </c>
      <c r="BA401" s="4">
        <v>0.3</v>
      </c>
      <c r="BB401" s="6">
        <v>980.80926499999998</v>
      </c>
      <c r="BC401" s="4">
        <v>8.0000000000000002E-3</v>
      </c>
      <c r="BD401" s="5"/>
      <c r="BE401" s="5"/>
      <c r="BF401" s="5"/>
      <c r="BG401" s="5"/>
      <c r="BI401" s="4" t="s">
        <v>203</v>
      </c>
      <c r="BJ401" s="4">
        <v>0.9</v>
      </c>
      <c r="BK401" s="4">
        <v>0.5</v>
      </c>
      <c r="BL401" s="4">
        <v>0.6</v>
      </c>
      <c r="BM401" s="4">
        <v>0.37</v>
      </c>
      <c r="BN401" s="4">
        <v>981.759094</v>
      </c>
      <c r="BO401" s="4">
        <v>1.7000000000000001E-2</v>
      </c>
      <c r="BQ401" s="4" t="s">
        <v>203</v>
      </c>
      <c r="BR401" s="4">
        <v>0.9</v>
      </c>
      <c r="BS401" s="4">
        <v>0.5</v>
      </c>
      <c r="BT401" s="4">
        <v>0.6</v>
      </c>
      <c r="BU401" s="4">
        <v>0.31</v>
      </c>
      <c r="BV401" s="6">
        <v>963.58496100000002</v>
      </c>
      <c r="BW401" s="4">
        <v>7.0000000000000001E-3</v>
      </c>
      <c r="BX401" s="5"/>
      <c r="BY401" s="5"/>
      <c r="BZ401" s="5"/>
      <c r="CA401" s="5"/>
    </row>
    <row r="402" spans="1:79" x14ac:dyDescent="0.3">
      <c r="A402" s="4" t="s">
        <v>204</v>
      </c>
      <c r="B402" s="4">
        <v>0.9</v>
      </c>
      <c r="C402" s="4">
        <v>0.5</v>
      </c>
      <c r="D402" s="4">
        <v>0.6</v>
      </c>
      <c r="E402" s="4">
        <v>0.76</v>
      </c>
      <c r="F402" s="4">
        <v>715.84832800000004</v>
      </c>
      <c r="G402" s="4">
        <v>3.4000000000000002E-2</v>
      </c>
      <c r="I402" s="4" t="s">
        <v>204</v>
      </c>
      <c r="J402" s="4">
        <v>0.9</v>
      </c>
      <c r="K402" s="4">
        <v>0.5</v>
      </c>
      <c r="L402" s="4">
        <v>0.6</v>
      </c>
      <c r="M402" s="4">
        <v>0.31</v>
      </c>
      <c r="N402" s="6">
        <v>645.97259499999996</v>
      </c>
      <c r="O402" s="4">
        <v>2E-3</v>
      </c>
      <c r="P402" s="5"/>
      <c r="Q402" s="5"/>
      <c r="R402" s="5"/>
      <c r="S402" s="5"/>
      <c r="U402" s="4" t="s">
        <v>204</v>
      </c>
      <c r="V402" s="4">
        <v>0.9</v>
      </c>
      <c r="W402" s="4">
        <v>0.5</v>
      </c>
      <c r="X402" s="4">
        <v>0.6</v>
      </c>
      <c r="Y402" s="4">
        <v>0.61</v>
      </c>
      <c r="Z402" s="4">
        <v>698.94964600000003</v>
      </c>
      <c r="AA402" s="4">
        <v>2.5000000000000001E-2</v>
      </c>
      <c r="AC402" s="4" t="s">
        <v>204</v>
      </c>
      <c r="AD402" s="4">
        <v>0.9</v>
      </c>
      <c r="AE402" s="4">
        <v>0.5</v>
      </c>
      <c r="AF402" s="4">
        <v>0.6</v>
      </c>
      <c r="AG402" s="4">
        <v>0.31</v>
      </c>
      <c r="AH402" s="6">
        <v>643.25213599999995</v>
      </c>
      <c r="AI402" s="4">
        <v>3.0000000000000001E-3</v>
      </c>
      <c r="AJ402" s="5"/>
      <c r="AK402" s="5"/>
      <c r="AL402" s="5"/>
      <c r="AM402" s="5"/>
      <c r="AO402" s="4" t="s">
        <v>205</v>
      </c>
      <c r="AP402" s="4">
        <v>0.9</v>
      </c>
      <c r="AQ402" s="4">
        <v>0.5</v>
      </c>
      <c r="AR402" s="4">
        <v>0.6</v>
      </c>
      <c r="AS402" s="4">
        <v>0.16</v>
      </c>
      <c r="AT402" s="6">
        <v>873.42974900000002</v>
      </c>
      <c r="AU402" s="4">
        <v>1.4E-2</v>
      </c>
      <c r="AW402" s="4" t="s">
        <v>205</v>
      </c>
      <c r="AX402" s="4">
        <v>0.9</v>
      </c>
      <c r="AY402" s="4">
        <v>0.5</v>
      </c>
      <c r="AZ402" s="4">
        <v>0.6</v>
      </c>
      <c r="BA402" s="4">
        <v>0.33</v>
      </c>
      <c r="BB402" s="4">
        <v>989.51122999999995</v>
      </c>
      <c r="BC402" s="4">
        <v>0.01</v>
      </c>
      <c r="BD402" s="5"/>
      <c r="BE402" s="5"/>
      <c r="BF402" s="5"/>
      <c r="BG402" s="5"/>
      <c r="BI402" s="4" t="s">
        <v>205</v>
      </c>
      <c r="BJ402" s="4">
        <v>0.9</v>
      </c>
      <c r="BK402" s="4">
        <v>0.5</v>
      </c>
      <c r="BL402" s="4">
        <v>0.6</v>
      </c>
      <c r="BM402" s="4">
        <v>0.78</v>
      </c>
      <c r="BN402" s="4">
        <v>1106.771362</v>
      </c>
      <c r="BO402" s="4">
        <v>1.7000000000000001E-2</v>
      </c>
      <c r="BQ402" s="4" t="s">
        <v>205</v>
      </c>
      <c r="BR402" s="4">
        <v>0.9</v>
      </c>
      <c r="BS402" s="4">
        <v>0.5</v>
      </c>
      <c r="BT402" s="4">
        <v>0.6</v>
      </c>
      <c r="BU402" s="4">
        <v>0.31</v>
      </c>
      <c r="BV402" s="6">
        <v>988.44329800000003</v>
      </c>
      <c r="BW402" s="4">
        <v>7.0000000000000001E-3</v>
      </c>
      <c r="BX402" s="5"/>
      <c r="BY402" s="5"/>
      <c r="BZ402" s="5"/>
      <c r="CA402" s="5"/>
    </row>
    <row r="403" spans="1:79" x14ac:dyDescent="0.3">
      <c r="A403" s="4" t="s">
        <v>206</v>
      </c>
      <c r="B403" s="4">
        <v>0.9</v>
      </c>
      <c r="C403" s="4">
        <v>0.5</v>
      </c>
      <c r="D403" s="4">
        <v>0.6</v>
      </c>
      <c r="E403" s="4">
        <v>0.99</v>
      </c>
      <c r="F403" s="4">
        <v>721.87738000000002</v>
      </c>
      <c r="G403" s="4">
        <v>2.5999999999999999E-2</v>
      </c>
      <c r="I403" s="4" t="s">
        <v>206</v>
      </c>
      <c r="J403" s="4">
        <v>0.9</v>
      </c>
      <c r="K403" s="4">
        <v>0.5</v>
      </c>
      <c r="L403" s="4">
        <v>0.6</v>
      </c>
      <c r="M403" s="4">
        <v>0.33</v>
      </c>
      <c r="N403" s="6">
        <v>664.94091800000001</v>
      </c>
      <c r="O403" s="4">
        <v>2E-3</v>
      </c>
      <c r="P403" s="5"/>
      <c r="Q403" s="5"/>
      <c r="R403" s="5"/>
      <c r="S403" s="5"/>
      <c r="U403" s="4" t="s">
        <v>206</v>
      </c>
      <c r="V403" s="4">
        <v>0.9</v>
      </c>
      <c r="W403" s="4">
        <v>0.5</v>
      </c>
      <c r="X403" s="4">
        <v>0.6</v>
      </c>
      <c r="Y403" s="4">
        <v>0.77</v>
      </c>
      <c r="Z403" s="4">
        <v>691.29608199999996</v>
      </c>
      <c r="AA403" s="4">
        <v>2.1999999999999999E-2</v>
      </c>
      <c r="AC403" s="4" t="s">
        <v>206</v>
      </c>
      <c r="AD403" s="4">
        <v>0.9</v>
      </c>
      <c r="AE403" s="4">
        <v>0.5</v>
      </c>
      <c r="AF403" s="4">
        <v>0.6</v>
      </c>
      <c r="AG403" s="4">
        <v>0.36</v>
      </c>
      <c r="AH403" s="6">
        <v>655.68926999999996</v>
      </c>
      <c r="AI403" s="4">
        <v>4.0000000000000001E-3</v>
      </c>
      <c r="AJ403" s="5"/>
      <c r="AK403" s="5"/>
      <c r="AL403" s="5"/>
      <c r="AM403" s="5"/>
      <c r="AO403" s="4" t="s">
        <v>207</v>
      </c>
      <c r="AP403" s="4">
        <v>0.9</v>
      </c>
      <c r="AQ403" s="4">
        <v>0.5</v>
      </c>
      <c r="AR403" s="4">
        <v>0.6</v>
      </c>
      <c r="AS403" s="4">
        <v>0.21</v>
      </c>
      <c r="AT403" s="6">
        <v>828.38415499999996</v>
      </c>
      <c r="AU403" s="4">
        <v>1.4999999999999999E-2</v>
      </c>
      <c r="AW403" s="4" t="s">
        <v>207</v>
      </c>
      <c r="AX403" s="4">
        <v>0.9</v>
      </c>
      <c r="AY403" s="4">
        <v>0.5</v>
      </c>
      <c r="AZ403" s="4">
        <v>0.6</v>
      </c>
      <c r="BA403" s="4">
        <v>0.32</v>
      </c>
      <c r="BB403" s="4">
        <v>904.17785600000002</v>
      </c>
      <c r="BC403" s="4">
        <v>8.9999999999999993E-3</v>
      </c>
      <c r="BD403" s="5"/>
      <c r="BE403" s="5"/>
      <c r="BF403" s="5"/>
      <c r="BG403" s="5"/>
      <c r="BI403" s="4" t="s">
        <v>207</v>
      </c>
      <c r="BJ403" s="4">
        <v>0.9</v>
      </c>
      <c r="BK403" s="4">
        <v>0.5</v>
      </c>
      <c r="BL403" s="4">
        <v>0.6</v>
      </c>
      <c r="BM403" s="4">
        <v>0.99</v>
      </c>
      <c r="BN403" s="4">
        <v>1024.413818</v>
      </c>
      <c r="BO403" s="4">
        <v>1.2999999999999999E-2</v>
      </c>
      <c r="BQ403" s="4" t="s">
        <v>207</v>
      </c>
      <c r="BR403" s="4">
        <v>0.9</v>
      </c>
      <c r="BS403" s="4">
        <v>0.5</v>
      </c>
      <c r="BT403" s="4">
        <v>0.6</v>
      </c>
      <c r="BU403" s="4">
        <v>0.3</v>
      </c>
      <c r="BV403" s="6">
        <v>877.715149</v>
      </c>
      <c r="BW403" s="4">
        <v>8.0000000000000002E-3</v>
      </c>
      <c r="BX403" s="5"/>
      <c r="BY403" s="5"/>
      <c r="BZ403" s="5"/>
      <c r="CA403" s="5"/>
    </row>
    <row r="404" spans="1:79" x14ac:dyDescent="0.3">
      <c r="A404" s="4" t="s">
        <v>208</v>
      </c>
      <c r="B404" s="4">
        <v>0.9</v>
      </c>
      <c r="C404" s="4">
        <v>0.5</v>
      </c>
      <c r="D404" s="4">
        <v>0.6</v>
      </c>
      <c r="E404" s="4">
        <v>0.7</v>
      </c>
      <c r="F404" s="4">
        <v>695.15118399999994</v>
      </c>
      <c r="G404" s="4">
        <v>0.01</v>
      </c>
      <c r="I404" s="4" t="s">
        <v>208</v>
      </c>
      <c r="J404" s="4">
        <v>0.9</v>
      </c>
      <c r="K404" s="4">
        <v>0.5</v>
      </c>
      <c r="L404" s="4">
        <v>0.6</v>
      </c>
      <c r="M404" s="4">
        <v>0.33</v>
      </c>
      <c r="N404" s="6">
        <v>630.60375999999997</v>
      </c>
      <c r="O404" s="4">
        <v>2E-3</v>
      </c>
      <c r="P404" s="5"/>
      <c r="Q404" s="5"/>
      <c r="R404" s="5"/>
      <c r="S404" s="5"/>
      <c r="U404" s="4" t="s">
        <v>208</v>
      </c>
      <c r="V404" s="4">
        <v>0.9</v>
      </c>
      <c r="W404" s="4">
        <v>0.5</v>
      </c>
      <c r="X404" s="4">
        <v>0.6</v>
      </c>
      <c r="Y404" s="4">
        <v>0.94</v>
      </c>
      <c r="Z404" s="4">
        <v>711.34863299999995</v>
      </c>
      <c r="AA404" s="4">
        <v>1.4999999999999999E-2</v>
      </c>
      <c r="AC404" s="4" t="s">
        <v>208</v>
      </c>
      <c r="AD404" s="4">
        <v>0.9</v>
      </c>
      <c r="AE404" s="4">
        <v>0.5</v>
      </c>
      <c r="AF404" s="4">
        <v>0.6</v>
      </c>
      <c r="AG404" s="4">
        <v>0.32</v>
      </c>
      <c r="AH404" s="6">
        <v>603.12085000000002</v>
      </c>
      <c r="AI404" s="4">
        <v>3.0000000000000001E-3</v>
      </c>
      <c r="AJ404" s="5"/>
      <c r="AK404" s="5"/>
      <c r="AL404" s="5"/>
      <c r="AM404" s="5"/>
      <c r="AO404" s="4" t="s">
        <v>209</v>
      </c>
      <c r="AP404" s="4">
        <v>0.9</v>
      </c>
      <c r="AQ404" s="4">
        <v>0.5</v>
      </c>
      <c r="AR404" s="4">
        <v>0.6</v>
      </c>
      <c r="AS404" s="4">
        <v>0.34</v>
      </c>
      <c r="AT404" s="6">
        <v>918.24585000000002</v>
      </c>
      <c r="AU404" s="4">
        <v>1.7999999999999999E-2</v>
      </c>
      <c r="AW404" s="4" t="s">
        <v>209</v>
      </c>
      <c r="AX404" s="4">
        <v>0.9</v>
      </c>
      <c r="AY404" s="4">
        <v>0.5</v>
      </c>
      <c r="AZ404" s="4">
        <v>0.6</v>
      </c>
      <c r="BA404" s="4">
        <v>0.3</v>
      </c>
      <c r="BB404" s="8">
        <v>918.49786400000005</v>
      </c>
      <c r="BC404" s="4">
        <v>8.0000000000000002E-3</v>
      </c>
      <c r="BD404" s="5"/>
      <c r="BE404" s="5"/>
      <c r="BF404" s="5"/>
      <c r="BG404" s="5"/>
      <c r="BI404" s="4" t="s">
        <v>209</v>
      </c>
      <c r="BJ404" s="4">
        <v>0.9</v>
      </c>
      <c r="BK404" s="4">
        <v>0.5</v>
      </c>
      <c r="BL404" s="4">
        <v>0.6</v>
      </c>
      <c r="BM404" s="4">
        <v>0.52</v>
      </c>
      <c r="BN404" s="6">
        <v>970.21508800000004</v>
      </c>
      <c r="BO404" s="4">
        <v>1.7999999999999999E-2</v>
      </c>
      <c r="BQ404" s="4" t="s">
        <v>209</v>
      </c>
      <c r="BR404" s="4">
        <v>0.9</v>
      </c>
      <c r="BS404" s="4">
        <v>0.5</v>
      </c>
      <c r="BT404" s="4">
        <v>0.6</v>
      </c>
      <c r="BU404" s="4">
        <v>0.3</v>
      </c>
      <c r="BV404" s="4">
        <v>889.044128</v>
      </c>
      <c r="BW404" s="4">
        <v>0.01</v>
      </c>
      <c r="BX404" s="5"/>
      <c r="BY404" s="5"/>
      <c r="BZ404" s="5"/>
      <c r="CA404" s="5"/>
    </row>
    <row r="405" spans="1:79" x14ac:dyDescent="0.3">
      <c r="A405" s="4" t="s">
        <v>210</v>
      </c>
      <c r="B405" s="4">
        <v>0.9</v>
      </c>
      <c r="C405" s="4">
        <v>0.5</v>
      </c>
      <c r="D405" s="4">
        <v>0.6</v>
      </c>
      <c r="E405" s="4">
        <v>0.33</v>
      </c>
      <c r="F405" s="4">
        <v>635.881348</v>
      </c>
      <c r="G405" s="4">
        <v>1.4E-2</v>
      </c>
      <c r="I405" s="4" t="s">
        <v>210</v>
      </c>
      <c r="J405" s="4">
        <v>0.9</v>
      </c>
      <c r="K405" s="4">
        <v>0.5</v>
      </c>
      <c r="L405" s="4">
        <v>0.6</v>
      </c>
      <c r="M405" s="4">
        <v>0.36</v>
      </c>
      <c r="N405" s="6">
        <v>627.99304199999995</v>
      </c>
      <c r="O405" s="4">
        <v>2E-3</v>
      </c>
      <c r="P405" s="5"/>
      <c r="Q405" s="5"/>
      <c r="R405" s="5"/>
      <c r="S405" s="5"/>
      <c r="U405" s="4" t="s">
        <v>210</v>
      </c>
      <c r="V405" s="4">
        <v>0.9</v>
      </c>
      <c r="W405" s="4">
        <v>0.5</v>
      </c>
      <c r="X405" s="4">
        <v>0.6</v>
      </c>
      <c r="Y405" s="4">
        <v>0.95</v>
      </c>
      <c r="Z405" s="4">
        <v>711.15875200000005</v>
      </c>
      <c r="AA405" s="4">
        <v>1.9E-2</v>
      </c>
      <c r="AC405" s="4" t="s">
        <v>210</v>
      </c>
      <c r="AD405" s="4">
        <v>0.9</v>
      </c>
      <c r="AE405" s="4">
        <v>0.5</v>
      </c>
      <c r="AF405" s="4">
        <v>0.6</v>
      </c>
      <c r="AG405" s="4">
        <v>0.31</v>
      </c>
      <c r="AH405" s="6">
        <v>623.08642599999996</v>
      </c>
      <c r="AI405" s="4">
        <v>3.0000000000000001E-3</v>
      </c>
      <c r="AJ405" s="5"/>
      <c r="AK405" s="5"/>
      <c r="AL405" s="5"/>
      <c r="AM405" s="5"/>
      <c r="AO405" s="4" t="s">
        <v>211</v>
      </c>
      <c r="AP405" s="4">
        <v>0.9</v>
      </c>
      <c r="AQ405" s="4">
        <v>0.5</v>
      </c>
      <c r="AR405" s="4">
        <v>0.6</v>
      </c>
      <c r="AS405" s="4">
        <v>0.54</v>
      </c>
      <c r="AT405" s="4">
        <v>1007.690979</v>
      </c>
      <c r="AU405" s="4">
        <v>1.4999999999999999E-2</v>
      </c>
      <c r="AW405" s="4" t="s">
        <v>211</v>
      </c>
      <c r="AX405" s="4">
        <v>0.9</v>
      </c>
      <c r="AY405" s="4">
        <v>0.5</v>
      </c>
      <c r="AZ405" s="4">
        <v>0.6</v>
      </c>
      <c r="BA405" s="4">
        <v>0.32</v>
      </c>
      <c r="BB405" s="6">
        <v>937.16369599999996</v>
      </c>
      <c r="BC405" s="4">
        <v>7.0000000000000001E-3</v>
      </c>
      <c r="BD405" s="5"/>
      <c r="BE405" s="5"/>
      <c r="BF405" s="5"/>
      <c r="BG405" s="5"/>
      <c r="BI405" s="4" t="s">
        <v>211</v>
      </c>
      <c r="BJ405" s="4">
        <v>0.9</v>
      </c>
      <c r="BK405" s="4">
        <v>0.5</v>
      </c>
      <c r="BL405" s="4">
        <v>0.6</v>
      </c>
      <c r="BM405" s="4">
        <v>0.56000000000000005</v>
      </c>
      <c r="BN405" s="4">
        <v>995.71807899999999</v>
      </c>
      <c r="BO405" s="4">
        <v>2.1000000000000001E-2</v>
      </c>
      <c r="BQ405" s="4" t="s">
        <v>211</v>
      </c>
      <c r="BR405" s="4">
        <v>0.9</v>
      </c>
      <c r="BS405" s="4">
        <v>0.5</v>
      </c>
      <c r="BT405" s="4">
        <v>0.6</v>
      </c>
      <c r="BU405" s="4">
        <v>0.33</v>
      </c>
      <c r="BV405" s="6">
        <v>919.93463099999997</v>
      </c>
      <c r="BW405" s="4">
        <v>7.0000000000000001E-3</v>
      </c>
      <c r="BX405" s="5"/>
      <c r="BY405" s="5"/>
      <c r="BZ405" s="5"/>
      <c r="CA405" s="5"/>
    </row>
    <row r="406" spans="1:79" x14ac:dyDescent="0.3">
      <c r="A406" s="4" t="s">
        <v>212</v>
      </c>
      <c r="B406" s="4">
        <v>0.9</v>
      </c>
      <c r="C406" s="4">
        <v>0.5</v>
      </c>
      <c r="D406" s="4">
        <v>0.6</v>
      </c>
      <c r="E406" s="4">
        <v>0.01</v>
      </c>
      <c r="F406" s="4">
        <v>660.20269800000005</v>
      </c>
      <c r="G406" s="4">
        <v>0.02</v>
      </c>
      <c r="I406" s="4" t="s">
        <v>212</v>
      </c>
      <c r="J406" s="4">
        <v>0.9</v>
      </c>
      <c r="K406" s="4">
        <v>0.5</v>
      </c>
      <c r="L406" s="4">
        <v>0.6</v>
      </c>
      <c r="M406" s="4">
        <v>0.36</v>
      </c>
      <c r="N406" s="6">
        <v>644.41326900000001</v>
      </c>
      <c r="O406" s="4">
        <v>2E-3</v>
      </c>
      <c r="P406" s="5"/>
      <c r="Q406" s="5"/>
      <c r="R406" s="5"/>
      <c r="S406" s="5"/>
      <c r="U406" s="4" t="s">
        <v>212</v>
      </c>
      <c r="V406" s="4">
        <v>0.9</v>
      </c>
      <c r="W406" s="4">
        <v>0.5</v>
      </c>
      <c r="X406" s="4">
        <v>0.6</v>
      </c>
      <c r="Y406" s="4">
        <v>0.15</v>
      </c>
      <c r="Z406" s="6">
        <v>604.70434599999999</v>
      </c>
      <c r="AA406" s="4">
        <v>2.9000000000000001E-2</v>
      </c>
      <c r="AC406" s="4" t="s">
        <v>212</v>
      </c>
      <c r="AD406" s="4">
        <v>0.9</v>
      </c>
      <c r="AE406" s="4">
        <v>0.5</v>
      </c>
      <c r="AF406" s="4">
        <v>0.6</v>
      </c>
      <c r="AG406" s="4">
        <v>0.31</v>
      </c>
      <c r="AH406" s="4">
        <v>627.95953399999996</v>
      </c>
      <c r="AI406" s="4">
        <v>2E-3</v>
      </c>
      <c r="AJ406" s="5"/>
      <c r="AK406" s="5"/>
      <c r="AL406" s="5"/>
      <c r="AM406" s="5"/>
      <c r="AO406" s="4" t="s">
        <v>213</v>
      </c>
      <c r="AP406" s="4">
        <v>0.9</v>
      </c>
      <c r="AQ406" s="4">
        <v>0.5</v>
      </c>
      <c r="AR406" s="4">
        <v>0.6</v>
      </c>
      <c r="AS406" s="4">
        <v>0.09</v>
      </c>
      <c r="AT406" s="6">
        <v>821.36456299999998</v>
      </c>
      <c r="AU406" s="4">
        <v>1.6E-2</v>
      </c>
      <c r="AW406" s="4" t="s">
        <v>213</v>
      </c>
      <c r="AX406" s="4">
        <v>0.9</v>
      </c>
      <c r="AY406" s="4">
        <v>0.5</v>
      </c>
      <c r="AZ406" s="4">
        <v>0.6</v>
      </c>
      <c r="BA406" s="4">
        <v>0.33</v>
      </c>
      <c r="BB406" s="4">
        <v>973.58483899999999</v>
      </c>
      <c r="BC406" s="4">
        <v>8.0000000000000002E-3</v>
      </c>
      <c r="BD406" s="5"/>
      <c r="BE406" s="5"/>
      <c r="BF406" s="5"/>
      <c r="BG406" s="5"/>
      <c r="BI406" s="4" t="s">
        <v>213</v>
      </c>
      <c r="BJ406" s="4">
        <v>0.9</v>
      </c>
      <c r="BK406" s="4">
        <v>0.5</v>
      </c>
      <c r="BL406" s="4">
        <v>0.6</v>
      </c>
      <c r="BM406" s="4">
        <v>0.94</v>
      </c>
      <c r="BN406" s="4">
        <v>1124.526611</v>
      </c>
      <c r="BO406" s="4">
        <v>2.3E-2</v>
      </c>
      <c r="BQ406" s="4" t="s">
        <v>213</v>
      </c>
      <c r="BR406" s="4">
        <v>0.9</v>
      </c>
      <c r="BS406" s="4">
        <v>0.5</v>
      </c>
      <c r="BT406" s="4">
        <v>0.6</v>
      </c>
      <c r="BU406" s="4">
        <v>0.3</v>
      </c>
      <c r="BV406" s="6">
        <v>962.53991699999995</v>
      </c>
      <c r="BW406" s="4">
        <v>1.4E-2</v>
      </c>
      <c r="BX406" s="5"/>
      <c r="BY406" s="5"/>
      <c r="BZ406" s="5"/>
      <c r="CA406" s="5"/>
    </row>
    <row r="407" spans="1:79" x14ac:dyDescent="0.3">
      <c r="A407" s="4" t="s">
        <v>214</v>
      </c>
      <c r="B407" s="4">
        <v>0.9</v>
      </c>
      <c r="C407" s="4">
        <v>0.5</v>
      </c>
      <c r="D407" s="4">
        <v>0.6</v>
      </c>
      <c r="E407" s="4">
        <v>0.5</v>
      </c>
      <c r="F407" s="6">
        <v>688.24462900000003</v>
      </c>
      <c r="G407" s="4">
        <v>1.9E-2</v>
      </c>
      <c r="I407" s="4" t="s">
        <v>214</v>
      </c>
      <c r="J407" s="4">
        <v>0.9</v>
      </c>
      <c r="K407" s="4">
        <v>0.5</v>
      </c>
      <c r="L407" s="4">
        <v>0.6</v>
      </c>
      <c r="M407" s="4">
        <v>0.36</v>
      </c>
      <c r="N407" s="4">
        <v>669.15490699999998</v>
      </c>
      <c r="O407" s="4">
        <v>2E-3</v>
      </c>
      <c r="P407" s="5"/>
      <c r="Q407" s="5"/>
      <c r="R407" s="5"/>
      <c r="S407" s="5"/>
      <c r="U407" s="4" t="s">
        <v>214</v>
      </c>
      <c r="V407" s="4">
        <v>0.9</v>
      </c>
      <c r="W407" s="4">
        <v>0.5</v>
      </c>
      <c r="X407" s="4">
        <v>0.6</v>
      </c>
      <c r="Y407" s="4">
        <v>0.55000000000000004</v>
      </c>
      <c r="Z407" s="4">
        <v>716.72723399999995</v>
      </c>
      <c r="AA407" s="4">
        <v>0.02</v>
      </c>
      <c r="AC407" s="4" t="s">
        <v>214</v>
      </c>
      <c r="AD407" s="4">
        <v>0.9</v>
      </c>
      <c r="AE407" s="4">
        <v>0.5</v>
      </c>
      <c r="AF407" s="4">
        <v>0.6</v>
      </c>
      <c r="AG407" s="4">
        <v>0.31</v>
      </c>
      <c r="AH407" s="6">
        <v>663.17529300000001</v>
      </c>
      <c r="AI407" s="4">
        <v>3.0000000000000001E-3</v>
      </c>
      <c r="AJ407" s="5"/>
      <c r="AK407" s="5"/>
      <c r="AL407" s="5"/>
      <c r="AM407" s="5"/>
      <c r="AO407" s="4" t="s">
        <v>215</v>
      </c>
      <c r="AP407" s="4">
        <v>0.9</v>
      </c>
      <c r="AQ407" s="4">
        <v>0.5</v>
      </c>
      <c r="AR407" s="4">
        <v>0.6</v>
      </c>
      <c r="AS407" s="4">
        <v>0.21</v>
      </c>
      <c r="AT407" s="6">
        <v>977.50891100000001</v>
      </c>
      <c r="AU407" s="4">
        <v>3.1E-2</v>
      </c>
      <c r="AW407" s="4" t="s">
        <v>215</v>
      </c>
      <c r="AX407" s="4">
        <v>0.9</v>
      </c>
      <c r="AY407" s="4">
        <v>0.5</v>
      </c>
      <c r="AZ407" s="4">
        <v>0.6</v>
      </c>
      <c r="BA407" s="4">
        <v>0.31</v>
      </c>
      <c r="BB407" s="4">
        <v>1056.9261469999999</v>
      </c>
      <c r="BC407" s="4">
        <v>0.01</v>
      </c>
      <c r="BD407" s="5"/>
      <c r="BE407" s="5"/>
      <c r="BF407" s="5"/>
      <c r="BG407" s="5"/>
      <c r="BI407" s="4" t="s">
        <v>215</v>
      </c>
      <c r="BJ407" s="4">
        <v>0.9</v>
      </c>
      <c r="BK407" s="4">
        <v>0.5</v>
      </c>
      <c r="BL407" s="4">
        <v>0.6</v>
      </c>
      <c r="BM407" s="4">
        <v>0.14000000000000001</v>
      </c>
      <c r="BN407" s="6">
        <v>925.66570999999999</v>
      </c>
      <c r="BO407" s="4">
        <v>2.1000000000000001E-2</v>
      </c>
      <c r="BQ407" s="4" t="s">
        <v>215</v>
      </c>
      <c r="BR407" s="4">
        <v>0.9</v>
      </c>
      <c r="BS407" s="4">
        <v>0.5</v>
      </c>
      <c r="BT407" s="4">
        <v>0.6</v>
      </c>
      <c r="BU407" s="4">
        <v>0.3</v>
      </c>
      <c r="BV407" s="4">
        <v>1032.849976</v>
      </c>
      <c r="BW407" s="4">
        <v>8.0000000000000002E-3</v>
      </c>
      <c r="BX407" s="5"/>
      <c r="BY407" s="5"/>
      <c r="BZ407" s="5"/>
      <c r="CA407" s="5"/>
    </row>
    <row r="408" spans="1:79" x14ac:dyDescent="0.3">
      <c r="A408" s="4" t="s">
        <v>216</v>
      </c>
      <c r="B408" s="4">
        <v>0.9</v>
      </c>
      <c r="C408" s="4">
        <v>0.5</v>
      </c>
      <c r="D408" s="4">
        <v>0.6</v>
      </c>
      <c r="E408" s="4">
        <v>0.54</v>
      </c>
      <c r="F408" s="4">
        <v>677.40118399999994</v>
      </c>
      <c r="G408" s="4">
        <v>1.2999999999999999E-2</v>
      </c>
      <c r="I408" s="4" t="s">
        <v>216</v>
      </c>
      <c r="J408" s="4">
        <v>0.9</v>
      </c>
      <c r="K408" s="4">
        <v>0.5</v>
      </c>
      <c r="L408" s="4">
        <v>0.6</v>
      </c>
      <c r="M408" s="4">
        <v>0.3</v>
      </c>
      <c r="N408" s="6">
        <v>602.03106700000001</v>
      </c>
      <c r="O408" s="4">
        <v>2E-3</v>
      </c>
      <c r="P408" s="5"/>
      <c r="Q408" s="5"/>
      <c r="R408" s="5"/>
      <c r="S408" s="5"/>
      <c r="U408" s="4" t="s">
        <v>216</v>
      </c>
      <c r="V408" s="4">
        <v>0.9</v>
      </c>
      <c r="W408" s="4">
        <v>0.5</v>
      </c>
      <c r="X408" s="4">
        <v>0.6</v>
      </c>
      <c r="Y408" s="4">
        <v>0.12</v>
      </c>
      <c r="Z408" s="6">
        <v>560.38580300000001</v>
      </c>
      <c r="AA408" s="4">
        <v>2.7E-2</v>
      </c>
      <c r="AC408" s="4" t="s">
        <v>216</v>
      </c>
      <c r="AD408" s="4">
        <v>0.9</v>
      </c>
      <c r="AE408" s="4">
        <v>0.5</v>
      </c>
      <c r="AF408" s="4">
        <v>0.6</v>
      </c>
      <c r="AG408" s="4">
        <v>0.3</v>
      </c>
      <c r="AH408" s="4">
        <v>612.55316200000004</v>
      </c>
      <c r="AI408" s="4">
        <v>3.0000000000000001E-3</v>
      </c>
      <c r="AJ408" s="5"/>
      <c r="AK408" s="5"/>
      <c r="AL408" s="5"/>
      <c r="AM408" s="5"/>
      <c r="AO408" s="4" t="s">
        <v>217</v>
      </c>
      <c r="AP408" s="4">
        <v>0.9</v>
      </c>
      <c r="AQ408" s="4">
        <v>0.5</v>
      </c>
      <c r="AR408" s="4">
        <v>0.6</v>
      </c>
      <c r="AS408" s="4">
        <v>0.62</v>
      </c>
      <c r="AT408" s="4">
        <v>1221.4542240000001</v>
      </c>
      <c r="AU408" s="4">
        <v>2.3E-2</v>
      </c>
      <c r="AW408" s="4" t="s">
        <v>217</v>
      </c>
      <c r="AX408" s="4">
        <v>0.9</v>
      </c>
      <c r="AY408" s="4">
        <v>0.5</v>
      </c>
      <c r="AZ408" s="4">
        <v>0.6</v>
      </c>
      <c r="BA408" s="4">
        <v>0.32</v>
      </c>
      <c r="BB408" s="6">
        <v>1089.185669</v>
      </c>
      <c r="BC408" s="4">
        <v>0.01</v>
      </c>
      <c r="BD408" s="5"/>
      <c r="BE408" s="5"/>
      <c r="BF408" s="5"/>
      <c r="BG408" s="5"/>
      <c r="BI408" s="4" t="s">
        <v>217</v>
      </c>
      <c r="BJ408" s="4">
        <v>0.9</v>
      </c>
      <c r="BK408" s="4">
        <v>0.5</v>
      </c>
      <c r="BL408" s="4">
        <v>0.6</v>
      </c>
      <c r="BM408" s="4">
        <v>0.01</v>
      </c>
      <c r="BN408" s="6">
        <v>940.88458300000002</v>
      </c>
      <c r="BO408" s="4">
        <v>2.4E-2</v>
      </c>
      <c r="BQ408" s="4" t="s">
        <v>217</v>
      </c>
      <c r="BR408" s="4">
        <v>0.9</v>
      </c>
      <c r="BS408" s="4">
        <v>0.5</v>
      </c>
      <c r="BT408" s="4">
        <v>0.6</v>
      </c>
      <c r="BU408" s="4">
        <v>0.33</v>
      </c>
      <c r="BV408" s="4">
        <v>1094.594971</v>
      </c>
      <c r="BW408" s="4">
        <v>8.0000000000000002E-3</v>
      </c>
      <c r="BX408" s="5"/>
      <c r="BY408" s="5"/>
      <c r="BZ408" s="5"/>
      <c r="CA408" s="5"/>
    </row>
    <row r="409" spans="1:79" x14ac:dyDescent="0.3">
      <c r="A409" s="4" t="s">
        <v>218</v>
      </c>
      <c r="B409" s="4">
        <v>0.9</v>
      </c>
      <c r="C409" s="4">
        <v>0.5</v>
      </c>
      <c r="D409" s="4">
        <v>0.6</v>
      </c>
      <c r="E409" s="4">
        <v>0.08</v>
      </c>
      <c r="F409" s="6">
        <v>623.96478300000001</v>
      </c>
      <c r="G409" s="4">
        <v>1.6E-2</v>
      </c>
      <c r="I409" s="4" t="s">
        <v>218</v>
      </c>
      <c r="J409" s="4">
        <v>0.9</v>
      </c>
      <c r="K409" s="4">
        <v>0.5</v>
      </c>
      <c r="L409" s="4">
        <v>0.6</v>
      </c>
      <c r="M409" s="4">
        <v>0.35</v>
      </c>
      <c r="N409" s="4">
        <v>677.421021</v>
      </c>
      <c r="O409" s="4">
        <v>3.0000000000000001E-3</v>
      </c>
      <c r="P409" s="5"/>
      <c r="Q409" s="5"/>
      <c r="R409" s="5"/>
      <c r="S409" s="5"/>
      <c r="U409" s="4" t="s">
        <v>218</v>
      </c>
      <c r="V409" s="4">
        <v>0.9</v>
      </c>
      <c r="W409" s="4">
        <v>0.5</v>
      </c>
      <c r="X409" s="4">
        <v>0.6</v>
      </c>
      <c r="Y409" s="4">
        <v>0.65</v>
      </c>
      <c r="Z409" s="4">
        <v>752.11358600000005</v>
      </c>
      <c r="AA409" s="4">
        <v>1.4999999999999999E-2</v>
      </c>
      <c r="AC409" s="4" t="s">
        <v>218</v>
      </c>
      <c r="AD409" s="4">
        <v>0.9</v>
      </c>
      <c r="AE409" s="4">
        <v>0.5</v>
      </c>
      <c r="AF409" s="4">
        <v>0.6</v>
      </c>
      <c r="AG409" s="4">
        <v>0.31</v>
      </c>
      <c r="AH409" s="6">
        <v>675.46386700000005</v>
      </c>
      <c r="AI409" s="4">
        <v>4.0000000000000001E-3</v>
      </c>
      <c r="AJ409" s="5"/>
      <c r="AK409" s="5"/>
      <c r="AL409" s="5"/>
      <c r="AM409" s="5"/>
      <c r="AO409" s="4" t="s">
        <v>219</v>
      </c>
      <c r="AP409" s="4">
        <v>0.9</v>
      </c>
      <c r="AQ409" s="4">
        <v>0.5</v>
      </c>
      <c r="AR409" s="4">
        <v>0.6</v>
      </c>
      <c r="AS409" s="4">
        <v>0.2</v>
      </c>
      <c r="AT409" s="6">
        <v>981.13952600000005</v>
      </c>
      <c r="AU409" s="4">
        <v>2.5000000000000001E-2</v>
      </c>
      <c r="AW409" s="4" t="s">
        <v>219</v>
      </c>
      <c r="AX409" s="4">
        <v>0.9</v>
      </c>
      <c r="AY409" s="4">
        <v>0.5</v>
      </c>
      <c r="AZ409" s="4">
        <v>0.6</v>
      </c>
      <c r="BA409" s="4">
        <v>0.31</v>
      </c>
      <c r="BB409" s="4">
        <v>1082.0074460000001</v>
      </c>
      <c r="BC409" s="4">
        <v>0.01</v>
      </c>
      <c r="BD409" s="5"/>
      <c r="BE409" s="5"/>
      <c r="BF409" s="5"/>
      <c r="BG409" s="5"/>
      <c r="BI409" s="4" t="s">
        <v>219</v>
      </c>
      <c r="BJ409" s="4">
        <v>0.9</v>
      </c>
      <c r="BK409" s="4">
        <v>0.5</v>
      </c>
      <c r="BL409" s="4">
        <v>0.6</v>
      </c>
      <c r="BM409" s="4">
        <v>0.97</v>
      </c>
      <c r="BN409" s="4">
        <v>1244.4704589999999</v>
      </c>
      <c r="BO409" s="4">
        <v>2.4E-2</v>
      </c>
      <c r="BQ409" s="4" t="s">
        <v>219</v>
      </c>
      <c r="BR409" s="4">
        <v>0.9</v>
      </c>
      <c r="BS409" s="4">
        <v>0.5</v>
      </c>
      <c r="BT409" s="4">
        <v>0.6</v>
      </c>
      <c r="BU409" s="4">
        <v>0.31</v>
      </c>
      <c r="BV409" s="6">
        <v>1067.51062</v>
      </c>
      <c r="BW409" s="4">
        <v>7.0000000000000001E-3</v>
      </c>
      <c r="BX409" s="5"/>
      <c r="BY409" s="5"/>
      <c r="BZ409" s="5"/>
      <c r="CA409" s="5"/>
    </row>
    <row r="410" spans="1:79" x14ac:dyDescent="0.3">
      <c r="A410" s="4" t="s">
        <v>220</v>
      </c>
      <c r="B410" s="4">
        <v>0.9</v>
      </c>
      <c r="C410" s="4">
        <v>0.5</v>
      </c>
      <c r="D410" s="4">
        <v>0.6</v>
      </c>
      <c r="E410" s="4">
        <v>0.78</v>
      </c>
      <c r="F410" s="4">
        <v>867.79357900000002</v>
      </c>
      <c r="G410" s="4">
        <v>1.9E-2</v>
      </c>
      <c r="I410" s="4" t="s">
        <v>220</v>
      </c>
      <c r="J410" s="4">
        <v>0.9</v>
      </c>
      <c r="K410" s="4">
        <v>0.5</v>
      </c>
      <c r="L410" s="4">
        <v>0.6</v>
      </c>
      <c r="M410" s="4">
        <v>0.33</v>
      </c>
      <c r="N410" s="6">
        <v>694.41101100000003</v>
      </c>
      <c r="O410" s="4">
        <v>2E-3</v>
      </c>
      <c r="P410" s="5"/>
      <c r="Q410" s="5"/>
      <c r="R410" s="5"/>
      <c r="S410" s="5"/>
      <c r="U410" s="4" t="s">
        <v>220</v>
      </c>
      <c r="V410" s="4">
        <v>0.9</v>
      </c>
      <c r="W410" s="4">
        <v>0.5</v>
      </c>
      <c r="X410" s="4">
        <v>0.6</v>
      </c>
      <c r="Y410" s="4">
        <v>0.4</v>
      </c>
      <c r="Z410" s="6">
        <v>703.87383999999997</v>
      </c>
      <c r="AA410" s="4">
        <v>6.4000000000000001E-2</v>
      </c>
      <c r="AC410" s="4" t="s">
        <v>220</v>
      </c>
      <c r="AD410" s="4">
        <v>0.9</v>
      </c>
      <c r="AE410" s="4">
        <v>0.5</v>
      </c>
      <c r="AF410" s="4">
        <v>0.6</v>
      </c>
      <c r="AG410" s="4">
        <v>0.3</v>
      </c>
      <c r="AH410" s="4">
        <v>706.22186299999998</v>
      </c>
      <c r="AI410" s="4">
        <v>4.0000000000000001E-3</v>
      </c>
      <c r="AJ410" s="5"/>
      <c r="AK410" s="5"/>
      <c r="AL410" s="5"/>
      <c r="AM410" s="5"/>
      <c r="AO410" s="4" t="s">
        <v>221</v>
      </c>
      <c r="AP410" s="4">
        <v>0.9</v>
      </c>
      <c r="AQ410" s="4">
        <v>0.5</v>
      </c>
      <c r="AR410" s="4">
        <v>0.6</v>
      </c>
      <c r="AS410" s="4">
        <v>0.15</v>
      </c>
      <c r="AT410" s="6">
        <v>906.59442100000001</v>
      </c>
      <c r="AU410" s="4">
        <v>2.9000000000000001E-2</v>
      </c>
      <c r="AW410" s="4" t="s">
        <v>221</v>
      </c>
      <c r="AX410" s="4">
        <v>0.9</v>
      </c>
      <c r="AY410" s="4">
        <v>0.5</v>
      </c>
      <c r="AZ410" s="4">
        <v>0.6</v>
      </c>
      <c r="BA410" s="4">
        <v>0.3</v>
      </c>
      <c r="BB410" s="4">
        <v>1009.3783570000001</v>
      </c>
      <c r="BC410" s="4">
        <v>1.2E-2</v>
      </c>
      <c r="BD410" s="5"/>
      <c r="BE410" s="5"/>
      <c r="BF410" s="5"/>
      <c r="BG410" s="5"/>
      <c r="BI410" s="4" t="s">
        <v>221</v>
      </c>
      <c r="BJ410" s="4">
        <v>0.9</v>
      </c>
      <c r="BK410" s="4">
        <v>0.5</v>
      </c>
      <c r="BL410" s="4">
        <v>0.6</v>
      </c>
      <c r="BM410" s="4">
        <v>0.11</v>
      </c>
      <c r="BN410" s="6">
        <v>856.53143299999999</v>
      </c>
      <c r="BO410" s="4">
        <v>1.2E-2</v>
      </c>
      <c r="BQ410" s="4" t="s">
        <v>221</v>
      </c>
      <c r="BR410" s="4">
        <v>0.9</v>
      </c>
      <c r="BS410" s="4">
        <v>0.5</v>
      </c>
      <c r="BT410" s="4">
        <v>0.6</v>
      </c>
      <c r="BU410" s="4">
        <v>0.34</v>
      </c>
      <c r="BV410" s="4">
        <v>1008.003601</v>
      </c>
      <c r="BW410" s="4">
        <v>7.0000000000000001E-3</v>
      </c>
      <c r="BX410" s="5"/>
      <c r="BY410" s="5"/>
      <c r="BZ410" s="5"/>
      <c r="CA410" s="5"/>
    </row>
    <row r="411" spans="1:79" x14ac:dyDescent="0.3">
      <c r="A411" s="4" t="s">
        <v>222</v>
      </c>
      <c r="B411" s="4">
        <v>0.9</v>
      </c>
      <c r="C411" s="4">
        <v>0.5</v>
      </c>
      <c r="D411" s="4">
        <v>0.6</v>
      </c>
      <c r="E411" s="4">
        <v>0.21</v>
      </c>
      <c r="F411" s="6">
        <v>685.13958700000001</v>
      </c>
      <c r="G411" s="4">
        <v>1.2999999999999999E-2</v>
      </c>
      <c r="I411" s="4" t="s">
        <v>222</v>
      </c>
      <c r="J411" s="4">
        <v>0.9</v>
      </c>
      <c r="K411" s="4">
        <v>0.5</v>
      </c>
      <c r="L411" s="4">
        <v>0.6</v>
      </c>
      <c r="M411" s="4">
        <v>0.32</v>
      </c>
      <c r="N411" s="4">
        <v>696.73492399999998</v>
      </c>
      <c r="O411" s="4">
        <v>3.0000000000000001E-3</v>
      </c>
      <c r="P411" s="5"/>
      <c r="Q411" s="5"/>
      <c r="R411" s="5"/>
      <c r="S411" s="5"/>
      <c r="U411" s="4" t="s">
        <v>222</v>
      </c>
      <c r="V411" s="4">
        <v>0.9</v>
      </c>
      <c r="W411" s="4">
        <v>0.5</v>
      </c>
      <c r="X411" s="4">
        <v>0.6</v>
      </c>
      <c r="Y411" s="4">
        <v>0.93</v>
      </c>
      <c r="Z411" s="4">
        <v>852.29040499999996</v>
      </c>
      <c r="AA411" s="4">
        <v>1.9E-2</v>
      </c>
      <c r="AC411" s="4" t="s">
        <v>222</v>
      </c>
      <c r="AD411" s="4">
        <v>0.9</v>
      </c>
      <c r="AE411" s="4">
        <v>0.5</v>
      </c>
      <c r="AF411" s="4">
        <v>0.6</v>
      </c>
      <c r="AG411" s="4">
        <v>0.33</v>
      </c>
      <c r="AH411" s="6">
        <v>702.25817900000004</v>
      </c>
      <c r="AI411" s="4">
        <v>2E-3</v>
      </c>
      <c r="AJ411" s="5"/>
      <c r="AK411" s="5"/>
      <c r="AL411" s="5"/>
      <c r="AM411" s="5"/>
      <c r="AO411" s="4" t="s">
        <v>223</v>
      </c>
      <c r="AP411" s="4">
        <v>0.9</v>
      </c>
      <c r="AQ411" s="4">
        <v>0.5</v>
      </c>
      <c r="AR411" s="4">
        <v>0.6</v>
      </c>
      <c r="AS411" s="4">
        <v>0.01</v>
      </c>
      <c r="AT411" s="6">
        <v>913.78033400000004</v>
      </c>
      <c r="AU411" s="4">
        <v>2.1999999999999999E-2</v>
      </c>
      <c r="AW411" s="4" t="s">
        <v>223</v>
      </c>
      <c r="AX411" s="4">
        <v>0.9</v>
      </c>
      <c r="AY411" s="4">
        <v>0.5</v>
      </c>
      <c r="AZ411" s="4">
        <v>0.6</v>
      </c>
      <c r="BA411" s="4">
        <v>0.31</v>
      </c>
      <c r="BB411" s="4">
        <v>1122.6850589999999</v>
      </c>
      <c r="BC411" s="4">
        <v>1.4E-2</v>
      </c>
      <c r="BD411" s="5"/>
      <c r="BE411" s="5"/>
      <c r="BF411" s="5"/>
      <c r="BG411" s="5"/>
      <c r="BI411" s="4" t="s">
        <v>223</v>
      </c>
      <c r="BJ411" s="4">
        <v>0.9</v>
      </c>
      <c r="BK411" s="4">
        <v>0.5</v>
      </c>
      <c r="BL411" s="4">
        <v>0.6</v>
      </c>
      <c r="BM411" s="4">
        <v>0.87</v>
      </c>
      <c r="BN411" s="4">
        <v>1246.763672</v>
      </c>
      <c r="BO411" s="4">
        <v>1.4E-2</v>
      </c>
      <c r="BQ411" s="4" t="s">
        <v>223</v>
      </c>
      <c r="BR411" s="4">
        <v>0.9</v>
      </c>
      <c r="BS411" s="4">
        <v>0.5</v>
      </c>
      <c r="BT411" s="4">
        <v>0.6</v>
      </c>
      <c r="BU411" s="4">
        <v>0.3</v>
      </c>
      <c r="BV411" s="6">
        <v>1121.720703</v>
      </c>
      <c r="BW411" s="4">
        <v>0.01</v>
      </c>
      <c r="BX411" s="5"/>
      <c r="BY411" s="5"/>
      <c r="BZ411" s="5"/>
      <c r="CA411" s="5"/>
    </row>
    <row r="412" spans="1:79" x14ac:dyDescent="0.3">
      <c r="A412" s="4" t="s">
        <v>224</v>
      </c>
      <c r="B412" s="4">
        <v>0.9</v>
      </c>
      <c r="C412" s="4">
        <v>0.5</v>
      </c>
      <c r="D412" s="4">
        <v>0.6</v>
      </c>
      <c r="E412" s="4">
        <v>0.01</v>
      </c>
      <c r="F412" s="6">
        <v>732.31768799999998</v>
      </c>
      <c r="G412" s="4">
        <v>1.7000000000000001E-2</v>
      </c>
      <c r="I412" s="4" t="s">
        <v>224</v>
      </c>
      <c r="J412" s="4">
        <v>0.9</v>
      </c>
      <c r="K412" s="4">
        <v>0.5</v>
      </c>
      <c r="L412" s="4">
        <v>0.6</v>
      </c>
      <c r="M412" s="4">
        <v>0.3</v>
      </c>
      <c r="N412" s="4">
        <v>794.66101100000003</v>
      </c>
      <c r="O412" s="4">
        <v>3.0000000000000001E-3</v>
      </c>
      <c r="P412" s="5"/>
      <c r="Q412" s="5"/>
      <c r="R412" s="5"/>
      <c r="S412" s="5"/>
      <c r="U412" s="4" t="s">
        <v>224</v>
      </c>
      <c r="V412" s="4">
        <v>0.9</v>
      </c>
      <c r="W412" s="4">
        <v>0.5</v>
      </c>
      <c r="X412" s="4">
        <v>0.6</v>
      </c>
      <c r="Y412" s="4">
        <v>0.85</v>
      </c>
      <c r="Z412" s="4">
        <v>889.89080799999999</v>
      </c>
      <c r="AA412" s="4">
        <v>2.3E-2</v>
      </c>
      <c r="AC412" s="4" t="s">
        <v>224</v>
      </c>
      <c r="AD412" s="4">
        <v>0.9</v>
      </c>
      <c r="AE412" s="4">
        <v>0.5</v>
      </c>
      <c r="AF412" s="4">
        <v>0.6</v>
      </c>
      <c r="AG412" s="4">
        <v>0.3</v>
      </c>
      <c r="AH412" s="6">
        <v>762.92364499999996</v>
      </c>
      <c r="AI412" s="4">
        <v>3.0000000000000001E-3</v>
      </c>
      <c r="AJ412" s="5"/>
      <c r="AK412" s="5"/>
      <c r="AL412" s="5"/>
      <c r="AM412" s="5"/>
      <c r="AO412" s="4" t="s">
        <v>225</v>
      </c>
      <c r="AP412" s="4">
        <v>0.9</v>
      </c>
      <c r="AQ412" s="4">
        <v>0.5</v>
      </c>
      <c r="AR412" s="4">
        <v>0.6</v>
      </c>
      <c r="AS412" s="4">
        <v>0.69</v>
      </c>
      <c r="AT412" s="4">
        <v>1172.9880370000001</v>
      </c>
      <c r="AU412" s="4">
        <v>1.0999999999999999E-2</v>
      </c>
      <c r="AW412" s="4" t="s">
        <v>225</v>
      </c>
      <c r="AX412" s="4">
        <v>0.9</v>
      </c>
      <c r="AY412" s="4">
        <v>0.5</v>
      </c>
      <c r="AZ412" s="4">
        <v>0.6</v>
      </c>
      <c r="BA412" s="4">
        <v>0.3</v>
      </c>
      <c r="BB412" s="6">
        <v>1040.3481449999999</v>
      </c>
      <c r="BC412" s="4">
        <v>1.2E-2</v>
      </c>
      <c r="BD412" s="5"/>
      <c r="BE412" s="5"/>
      <c r="BF412" s="5"/>
      <c r="BG412" s="5"/>
      <c r="BI412" s="4" t="s">
        <v>225</v>
      </c>
      <c r="BJ412" s="4">
        <v>0.9</v>
      </c>
      <c r="BK412" s="4">
        <v>0.5</v>
      </c>
      <c r="BL412" s="4">
        <v>0.6</v>
      </c>
      <c r="BM412" s="4">
        <v>0.74</v>
      </c>
      <c r="BN412" s="4">
        <v>1190.8358149999999</v>
      </c>
      <c r="BO412" s="4">
        <v>2.4E-2</v>
      </c>
      <c r="BQ412" s="4" t="s">
        <v>225</v>
      </c>
      <c r="BR412" s="4">
        <v>0.9</v>
      </c>
      <c r="BS412" s="4">
        <v>0.5</v>
      </c>
      <c r="BT412" s="4">
        <v>0.6</v>
      </c>
      <c r="BU412" s="4">
        <v>0.34</v>
      </c>
      <c r="BV412" s="6">
        <v>1023.9169920000001</v>
      </c>
      <c r="BW412" s="4">
        <v>8.0000000000000002E-3</v>
      </c>
      <c r="BX412" s="5"/>
      <c r="BY412" s="5"/>
      <c r="BZ412" s="5"/>
      <c r="CA412" s="5"/>
    </row>
    <row r="413" spans="1:79" x14ac:dyDescent="0.3">
      <c r="A413" s="4" t="s">
        <v>226</v>
      </c>
      <c r="B413" s="4">
        <v>0.9</v>
      </c>
      <c r="C413" s="4">
        <v>0.5</v>
      </c>
      <c r="D413" s="4">
        <v>0.6</v>
      </c>
      <c r="E413" s="4">
        <v>0.01</v>
      </c>
      <c r="F413" s="6">
        <v>720.72198500000002</v>
      </c>
      <c r="G413" s="4">
        <v>3.1E-2</v>
      </c>
      <c r="I413" s="4" t="s">
        <v>226</v>
      </c>
      <c r="J413" s="4">
        <v>0.9</v>
      </c>
      <c r="K413" s="4">
        <v>0.5</v>
      </c>
      <c r="L413" s="4">
        <v>0.6</v>
      </c>
      <c r="M413" s="4">
        <v>0.38</v>
      </c>
      <c r="N413" s="4">
        <v>760.07000700000003</v>
      </c>
      <c r="O413" s="4">
        <v>2E-3</v>
      </c>
      <c r="P413" s="5"/>
      <c r="Q413" s="5"/>
      <c r="R413" s="5"/>
      <c r="S413" s="5"/>
      <c r="U413" s="4" t="s">
        <v>226</v>
      </c>
      <c r="V413" s="4">
        <v>0.9</v>
      </c>
      <c r="W413" s="4">
        <v>0.5</v>
      </c>
      <c r="X413" s="4">
        <v>0.6</v>
      </c>
      <c r="Y413" s="4">
        <v>0.77</v>
      </c>
      <c r="Z413" s="4">
        <v>874.82574499999998</v>
      </c>
      <c r="AA413" s="4">
        <v>1.4999999999999999E-2</v>
      </c>
      <c r="AC413" s="4" t="s">
        <v>226</v>
      </c>
      <c r="AD413" s="4">
        <v>0.9</v>
      </c>
      <c r="AE413" s="4">
        <v>0.5</v>
      </c>
      <c r="AF413" s="4">
        <v>0.6</v>
      </c>
      <c r="AG413" s="4">
        <v>0.31</v>
      </c>
      <c r="AH413" s="6">
        <v>759.70599400000003</v>
      </c>
      <c r="AI413" s="4">
        <v>3.0000000000000001E-3</v>
      </c>
      <c r="AJ413" s="5"/>
      <c r="AK413" s="5"/>
      <c r="AL413" s="5"/>
      <c r="AM413" s="5"/>
      <c r="AO413" s="4" t="s">
        <v>227</v>
      </c>
      <c r="AP413" s="4">
        <v>0.9</v>
      </c>
      <c r="AQ413" s="4">
        <v>0.5</v>
      </c>
      <c r="AR413" s="4">
        <v>0.6</v>
      </c>
      <c r="AS413" s="4">
        <v>0.25</v>
      </c>
      <c r="AT413" s="6">
        <v>939.34966999999995</v>
      </c>
      <c r="AU413" s="4">
        <v>1.2E-2</v>
      </c>
      <c r="AW413" s="4" t="s">
        <v>227</v>
      </c>
      <c r="AX413" s="4">
        <v>0.9</v>
      </c>
      <c r="AY413" s="4">
        <v>0.5</v>
      </c>
      <c r="AZ413" s="4">
        <v>0.6</v>
      </c>
      <c r="BA413" s="4">
        <v>0.31</v>
      </c>
      <c r="BB413" s="4">
        <v>1007.52655</v>
      </c>
      <c r="BC413" s="4">
        <v>1.4E-2</v>
      </c>
      <c r="BD413" s="5"/>
      <c r="BE413" s="5"/>
      <c r="BF413" s="5"/>
      <c r="BG413" s="5"/>
      <c r="BI413" s="4" t="s">
        <v>227</v>
      </c>
      <c r="BJ413" s="4">
        <v>0.9</v>
      </c>
      <c r="BK413" s="4">
        <v>0.5</v>
      </c>
      <c r="BL413" s="4">
        <v>0.6</v>
      </c>
      <c r="BM413" s="4">
        <v>0.39</v>
      </c>
      <c r="BN413" s="4">
        <v>1022.316772</v>
      </c>
      <c r="BO413" s="4">
        <v>2.3E-2</v>
      </c>
      <c r="BQ413" s="4" t="s">
        <v>227</v>
      </c>
      <c r="BR413" s="4">
        <v>0.9</v>
      </c>
      <c r="BS413" s="4">
        <v>0.5</v>
      </c>
      <c r="BT413" s="4">
        <v>0.6</v>
      </c>
      <c r="BU413" s="4">
        <v>0.3</v>
      </c>
      <c r="BV413" s="6">
        <v>1001.3295900000001</v>
      </c>
      <c r="BW413" s="4">
        <v>8.9999999999999993E-3</v>
      </c>
      <c r="BX413" s="5"/>
      <c r="BY413" s="5"/>
      <c r="BZ413" s="5"/>
      <c r="CA413" s="5"/>
    </row>
    <row r="414" spans="1:79" x14ac:dyDescent="0.3">
      <c r="A414" s="4" t="s">
        <v>228</v>
      </c>
      <c r="B414" s="4">
        <v>0.9</v>
      </c>
      <c r="C414" s="4">
        <v>0.5</v>
      </c>
      <c r="D414" s="4">
        <v>0.6</v>
      </c>
      <c r="E414" s="4">
        <v>0.86</v>
      </c>
      <c r="F414" s="4">
        <v>776.63531499999999</v>
      </c>
      <c r="G414" s="4">
        <v>2.7E-2</v>
      </c>
      <c r="I414" s="4" t="s">
        <v>228</v>
      </c>
      <c r="J414" s="4">
        <v>0.9</v>
      </c>
      <c r="K414" s="4">
        <v>0.5</v>
      </c>
      <c r="L414" s="4">
        <v>0.6</v>
      </c>
      <c r="M414" s="4">
        <v>0.3</v>
      </c>
      <c r="N414" s="6">
        <v>663.35687299999995</v>
      </c>
      <c r="O414" s="4">
        <v>2E-3</v>
      </c>
      <c r="P414" s="5"/>
      <c r="Q414" s="5"/>
      <c r="R414" s="5"/>
      <c r="S414" s="5"/>
      <c r="U414" s="4" t="s">
        <v>228</v>
      </c>
      <c r="V414" s="4">
        <v>0.9</v>
      </c>
      <c r="W414" s="4">
        <v>0.5</v>
      </c>
      <c r="X414" s="4">
        <v>0.6</v>
      </c>
      <c r="Y414" s="4">
        <v>0.94</v>
      </c>
      <c r="Z414" s="4">
        <v>771.355591</v>
      </c>
      <c r="AA414" s="4">
        <v>2.1000000000000001E-2</v>
      </c>
      <c r="AC414" s="4" t="s">
        <v>228</v>
      </c>
      <c r="AD414" s="4">
        <v>0.9</v>
      </c>
      <c r="AE414" s="4">
        <v>0.5</v>
      </c>
      <c r="AF414" s="4">
        <v>0.6</v>
      </c>
      <c r="AG414" s="4">
        <v>0.35</v>
      </c>
      <c r="AH414" s="6">
        <v>659.28533900000002</v>
      </c>
      <c r="AI414" s="4">
        <v>4.0000000000000001E-3</v>
      </c>
      <c r="AJ414" s="5"/>
      <c r="AK414" s="5"/>
      <c r="AL414" s="5"/>
      <c r="AM414" s="5"/>
      <c r="AO414" s="4" t="s">
        <v>229</v>
      </c>
      <c r="AP414" s="4">
        <v>0.9</v>
      </c>
      <c r="AQ414" s="4">
        <v>0.5</v>
      </c>
      <c r="AR414" s="4">
        <v>0.6</v>
      </c>
      <c r="AS414" s="4">
        <v>0.31</v>
      </c>
      <c r="AT414" s="6">
        <v>1036.9194339999999</v>
      </c>
      <c r="AU414" s="4">
        <v>0.02</v>
      </c>
      <c r="AW414" s="4" t="s">
        <v>229</v>
      </c>
      <c r="AX414" s="4">
        <v>0.9</v>
      </c>
      <c r="AY414" s="4">
        <v>0.5</v>
      </c>
      <c r="AZ414" s="4">
        <v>0.6</v>
      </c>
      <c r="BA414" s="4">
        <v>0.32</v>
      </c>
      <c r="BB414" s="4">
        <v>1067.2198490000001</v>
      </c>
      <c r="BC414" s="4">
        <v>1.2E-2</v>
      </c>
      <c r="BD414" s="5"/>
      <c r="BE414" s="5"/>
      <c r="BF414" s="5"/>
      <c r="BG414" s="5"/>
      <c r="BI414" s="4" t="s">
        <v>229</v>
      </c>
      <c r="BJ414" s="4">
        <v>0.9</v>
      </c>
      <c r="BK414" s="4">
        <v>0.5</v>
      </c>
      <c r="BL414" s="4">
        <v>0.6</v>
      </c>
      <c r="BM414" s="4">
        <v>0.61</v>
      </c>
      <c r="BN414" s="4">
        <v>1143.2849120000001</v>
      </c>
      <c r="BO414" s="4">
        <v>0.02</v>
      </c>
      <c r="BQ414" s="4" t="s">
        <v>229</v>
      </c>
      <c r="BR414" s="4">
        <v>0.9</v>
      </c>
      <c r="BS414" s="4">
        <v>0.5</v>
      </c>
      <c r="BT414" s="4">
        <v>0.6</v>
      </c>
      <c r="BU414" s="4">
        <v>0.32</v>
      </c>
      <c r="BV414" s="6">
        <v>1042.124634</v>
      </c>
      <c r="BW414" s="4">
        <v>8.0000000000000002E-3</v>
      </c>
      <c r="BX414" s="5"/>
      <c r="BY414" s="5"/>
      <c r="BZ414" s="5"/>
      <c r="CA414" s="5"/>
    </row>
    <row r="415" spans="1:79" x14ac:dyDescent="0.3">
      <c r="A415" s="4" t="s">
        <v>230</v>
      </c>
      <c r="B415" s="4">
        <v>0.9</v>
      </c>
      <c r="C415" s="4">
        <v>0.5</v>
      </c>
      <c r="D415" s="4">
        <v>0.6</v>
      </c>
      <c r="E415" s="4">
        <v>0.62</v>
      </c>
      <c r="F415" s="4">
        <v>876.44085700000005</v>
      </c>
      <c r="G415" s="4">
        <v>1.4E-2</v>
      </c>
      <c r="I415" s="4" t="s">
        <v>230</v>
      </c>
      <c r="J415" s="4">
        <v>0.9</v>
      </c>
      <c r="K415" s="4">
        <v>0.5</v>
      </c>
      <c r="L415" s="4">
        <v>0.6</v>
      </c>
      <c r="M415" s="4">
        <v>0.3</v>
      </c>
      <c r="N415" s="6">
        <v>760.83404499999995</v>
      </c>
      <c r="O415" s="4">
        <v>2E-3</v>
      </c>
      <c r="P415" s="5"/>
      <c r="Q415" s="5"/>
      <c r="R415" s="5"/>
      <c r="S415" s="5"/>
      <c r="U415" s="4" t="s">
        <v>230</v>
      </c>
      <c r="V415" s="4">
        <v>0.9</v>
      </c>
      <c r="W415" s="4">
        <v>0.5</v>
      </c>
      <c r="X415" s="4">
        <v>0.6</v>
      </c>
      <c r="Y415" s="4">
        <v>0.45</v>
      </c>
      <c r="Z415" s="4">
        <v>794.68212900000003</v>
      </c>
      <c r="AA415" s="4">
        <v>1.9E-2</v>
      </c>
      <c r="AC415" s="4" t="s">
        <v>230</v>
      </c>
      <c r="AD415" s="4">
        <v>0.9</v>
      </c>
      <c r="AE415" s="4">
        <v>0.5</v>
      </c>
      <c r="AF415" s="4">
        <v>0.6</v>
      </c>
      <c r="AG415" s="4">
        <v>0.36</v>
      </c>
      <c r="AH415" s="6">
        <v>759.19543499999997</v>
      </c>
      <c r="AI415" s="4">
        <v>4.0000000000000001E-3</v>
      </c>
      <c r="AJ415" s="5"/>
      <c r="AK415" s="5"/>
      <c r="AL415" s="5"/>
      <c r="AM415" s="5"/>
      <c r="AO415" s="4" t="s">
        <v>231</v>
      </c>
      <c r="AP415" s="4">
        <v>0.9</v>
      </c>
      <c r="AQ415" s="4">
        <v>0.5</v>
      </c>
      <c r="AR415" s="4">
        <v>0.6</v>
      </c>
      <c r="AS415" s="4">
        <v>0.65</v>
      </c>
      <c r="AT415" s="4">
        <v>1148.493408</v>
      </c>
      <c r="AU415" s="4">
        <v>2.1000000000000001E-2</v>
      </c>
      <c r="AW415" s="4" t="s">
        <v>231</v>
      </c>
      <c r="AX415" s="4">
        <v>0.9</v>
      </c>
      <c r="AY415" s="4">
        <v>0.5</v>
      </c>
      <c r="AZ415" s="4">
        <v>0.6</v>
      </c>
      <c r="BA415" s="4">
        <v>0.32</v>
      </c>
      <c r="BB415" s="6">
        <v>1002.0454099999999</v>
      </c>
      <c r="BC415" s="4">
        <v>8.9999999999999993E-3</v>
      </c>
      <c r="BD415" s="5"/>
      <c r="BE415" s="5"/>
      <c r="BF415" s="5"/>
      <c r="BG415" s="5"/>
      <c r="BI415" s="4" t="s">
        <v>231</v>
      </c>
      <c r="BJ415" s="4">
        <v>0.9</v>
      </c>
      <c r="BK415" s="4">
        <v>0.5</v>
      </c>
      <c r="BL415" s="4">
        <v>0.6</v>
      </c>
      <c r="BM415" s="4">
        <v>0.33</v>
      </c>
      <c r="BN415" s="6">
        <v>987.11944600000004</v>
      </c>
      <c r="BO415" s="4">
        <v>1.7000000000000001E-2</v>
      </c>
      <c r="BQ415" s="4" t="s">
        <v>231</v>
      </c>
      <c r="BR415" s="4">
        <v>0.9</v>
      </c>
      <c r="BS415" s="4">
        <v>0.5</v>
      </c>
      <c r="BT415" s="4">
        <v>0.6</v>
      </c>
      <c r="BU415" s="4">
        <v>0.3</v>
      </c>
      <c r="BV415" s="8">
        <v>987.16241500000001</v>
      </c>
      <c r="BW415" s="4">
        <v>8.0000000000000002E-3</v>
      </c>
      <c r="BX415" s="5"/>
      <c r="BY415" s="5"/>
      <c r="BZ415" s="5"/>
      <c r="CA415" s="5"/>
    </row>
    <row r="416" spans="1:79" x14ac:dyDescent="0.3">
      <c r="A416" s="4" t="s">
        <v>232</v>
      </c>
      <c r="B416" s="4">
        <v>0.9</v>
      </c>
      <c r="C416" s="4">
        <v>0.5</v>
      </c>
      <c r="D416" s="4">
        <v>0.6</v>
      </c>
      <c r="E416" s="4">
        <v>0.7</v>
      </c>
      <c r="F416" s="4">
        <v>862.56274399999995</v>
      </c>
      <c r="G416" s="4">
        <v>1.7000000000000001E-2</v>
      </c>
      <c r="I416" s="4" t="s">
        <v>232</v>
      </c>
      <c r="J416" s="4">
        <v>0.9</v>
      </c>
      <c r="K416" s="4">
        <v>0.5</v>
      </c>
      <c r="L416" s="4">
        <v>0.6</v>
      </c>
      <c r="M416" s="4">
        <v>0.31</v>
      </c>
      <c r="N416" s="6">
        <v>805.88342299999999</v>
      </c>
      <c r="O416" s="4">
        <v>2E-3</v>
      </c>
      <c r="P416" s="5"/>
      <c r="Q416" s="5"/>
      <c r="R416" s="5"/>
      <c r="S416" s="5"/>
      <c r="U416" s="4" t="s">
        <v>232</v>
      </c>
      <c r="V416" s="4">
        <v>0.9</v>
      </c>
      <c r="W416" s="4">
        <v>0.5</v>
      </c>
      <c r="X416" s="4">
        <v>0.6</v>
      </c>
      <c r="Y416" s="4">
        <v>0.75</v>
      </c>
      <c r="Z416" s="4">
        <v>871.59527600000001</v>
      </c>
      <c r="AA416" s="4">
        <v>0.01</v>
      </c>
      <c r="AC416" s="4" t="s">
        <v>232</v>
      </c>
      <c r="AD416" s="4">
        <v>0.9</v>
      </c>
      <c r="AE416" s="4">
        <v>0.5</v>
      </c>
      <c r="AF416" s="4">
        <v>0.6</v>
      </c>
      <c r="AG416" s="4">
        <v>0.3</v>
      </c>
      <c r="AH416" s="6">
        <v>794.623108</v>
      </c>
      <c r="AI416" s="4">
        <v>3.0000000000000001E-3</v>
      </c>
      <c r="AJ416" s="5"/>
      <c r="AK416" s="5"/>
      <c r="AL416" s="5"/>
      <c r="AM416" s="5"/>
      <c r="AO416" s="4" t="s">
        <v>233</v>
      </c>
      <c r="AP416" s="4">
        <v>0.9</v>
      </c>
      <c r="AQ416" s="4">
        <v>0.5</v>
      </c>
      <c r="AR416" s="4">
        <v>0.6</v>
      </c>
      <c r="AS416" s="4">
        <v>0.53</v>
      </c>
      <c r="AT416" s="4">
        <v>1176.922607</v>
      </c>
      <c r="AU416" s="4">
        <v>2.1000000000000001E-2</v>
      </c>
      <c r="AW416" s="4" t="s">
        <v>233</v>
      </c>
      <c r="AX416" s="4">
        <v>0.9</v>
      </c>
      <c r="AY416" s="4">
        <v>0.5</v>
      </c>
      <c r="AZ416" s="4">
        <v>0.6</v>
      </c>
      <c r="BA416" s="4">
        <v>0.3</v>
      </c>
      <c r="BB416" s="6">
        <v>1031.388794</v>
      </c>
      <c r="BC416" s="4">
        <v>8.0000000000000002E-3</v>
      </c>
      <c r="BD416" s="5"/>
      <c r="BE416" s="5"/>
      <c r="BF416" s="5"/>
      <c r="BG416" s="5"/>
      <c r="BI416" s="4" t="s">
        <v>233</v>
      </c>
      <c r="BJ416" s="4">
        <v>0.9</v>
      </c>
      <c r="BK416" s="4">
        <v>0.5</v>
      </c>
      <c r="BL416" s="4">
        <v>0.6</v>
      </c>
      <c r="BM416" s="4">
        <v>0.09</v>
      </c>
      <c r="BN416" s="6">
        <v>861.23736599999995</v>
      </c>
      <c r="BO416" s="4">
        <v>1.4999999999999999E-2</v>
      </c>
      <c r="BQ416" s="4" t="s">
        <v>233</v>
      </c>
      <c r="BR416" s="4">
        <v>0.9</v>
      </c>
      <c r="BS416" s="4">
        <v>0.5</v>
      </c>
      <c r="BT416" s="4">
        <v>0.6</v>
      </c>
      <c r="BU416" s="4">
        <v>0.3</v>
      </c>
      <c r="BV416" s="4">
        <v>1030.0489500000001</v>
      </c>
      <c r="BW416" s="4">
        <v>8.0000000000000002E-3</v>
      </c>
      <c r="BX416" s="5"/>
      <c r="BY416" s="5"/>
      <c r="BZ416" s="5"/>
      <c r="CA416" s="5"/>
    </row>
    <row r="417" spans="1:79" x14ac:dyDescent="0.3">
      <c r="A417" s="4" t="s">
        <v>234</v>
      </c>
      <c r="B417" s="4">
        <v>0.9</v>
      </c>
      <c r="C417" s="4">
        <v>0.5</v>
      </c>
      <c r="D417" s="4">
        <v>0.6</v>
      </c>
      <c r="E417" s="4">
        <v>0.83</v>
      </c>
      <c r="F417" s="4">
        <v>957.76654099999996</v>
      </c>
      <c r="G417" s="4">
        <v>2.1999999999999999E-2</v>
      </c>
      <c r="I417" s="4" t="s">
        <v>234</v>
      </c>
      <c r="J417" s="4">
        <v>0.9</v>
      </c>
      <c r="K417" s="4">
        <v>0.5</v>
      </c>
      <c r="L417" s="4">
        <v>0.6</v>
      </c>
      <c r="M417" s="4">
        <v>0.3</v>
      </c>
      <c r="N417" s="6">
        <v>733.27612299999998</v>
      </c>
      <c r="O417" s="4">
        <v>2E-3</v>
      </c>
      <c r="P417" s="5"/>
      <c r="Q417" s="5"/>
      <c r="R417" s="5"/>
      <c r="S417" s="5"/>
      <c r="U417" s="4" t="s">
        <v>234</v>
      </c>
      <c r="V417" s="4">
        <v>0.9</v>
      </c>
      <c r="W417" s="4">
        <v>0.5</v>
      </c>
      <c r="X417" s="4">
        <v>0.6</v>
      </c>
      <c r="Y417" s="4">
        <v>0.51</v>
      </c>
      <c r="Z417" s="4">
        <v>853.25311299999998</v>
      </c>
      <c r="AA417" s="4">
        <v>0.01</v>
      </c>
      <c r="AC417" s="4" t="s">
        <v>234</v>
      </c>
      <c r="AD417" s="4">
        <v>0.9</v>
      </c>
      <c r="AE417" s="4">
        <v>0.5</v>
      </c>
      <c r="AF417" s="4">
        <v>0.6</v>
      </c>
      <c r="AG417" s="4">
        <v>0.33</v>
      </c>
      <c r="AH417" s="6">
        <v>746.00958300000002</v>
      </c>
      <c r="AI417" s="4">
        <v>6.0000000000000001E-3</v>
      </c>
      <c r="AJ417" s="5"/>
      <c r="AK417" s="5"/>
      <c r="AL417" s="5"/>
      <c r="AM417" s="5"/>
      <c r="AO417" s="4" t="s">
        <v>235</v>
      </c>
      <c r="AP417" s="4">
        <v>0.9</v>
      </c>
      <c r="AQ417" s="4">
        <v>0.5</v>
      </c>
      <c r="AR417" s="4">
        <v>0.6</v>
      </c>
      <c r="AS417" s="4">
        <v>0.92</v>
      </c>
      <c r="AT417" s="4">
        <v>1391.090698</v>
      </c>
      <c r="AU417" s="4">
        <v>1.2E-2</v>
      </c>
      <c r="AW417" s="4" t="s">
        <v>235</v>
      </c>
      <c r="AX417" s="4">
        <v>0.9</v>
      </c>
      <c r="AY417" s="4">
        <v>0.5</v>
      </c>
      <c r="AZ417" s="4">
        <v>0.6</v>
      </c>
      <c r="BA417" s="4">
        <v>0.32</v>
      </c>
      <c r="BB417" s="6">
        <v>1129.613525</v>
      </c>
      <c r="BC417" s="4">
        <v>1.0999999999999999E-2</v>
      </c>
      <c r="BD417" s="5"/>
      <c r="BE417" s="5"/>
      <c r="BF417" s="5"/>
      <c r="BG417" s="5"/>
      <c r="BI417" s="4" t="s">
        <v>235</v>
      </c>
      <c r="BJ417" s="4">
        <v>0.9</v>
      </c>
      <c r="BK417" s="4">
        <v>0.5</v>
      </c>
      <c r="BL417" s="4">
        <v>0.6</v>
      </c>
      <c r="BM417" s="4">
        <v>0.56999999999999995</v>
      </c>
      <c r="BN417" s="4">
        <v>1250.4212649999999</v>
      </c>
      <c r="BO417" s="4">
        <v>2.5000000000000001E-2</v>
      </c>
      <c r="BQ417" s="4" t="s">
        <v>235</v>
      </c>
      <c r="BR417" s="4">
        <v>0.9</v>
      </c>
      <c r="BS417" s="4">
        <v>0.5</v>
      </c>
      <c r="BT417" s="4">
        <v>0.6</v>
      </c>
      <c r="BU417" s="4">
        <v>0.3</v>
      </c>
      <c r="BV417" s="6">
        <v>1123.4720460000001</v>
      </c>
      <c r="BW417" s="4">
        <v>8.0000000000000002E-3</v>
      </c>
      <c r="BX417" s="5"/>
      <c r="BY417" s="5"/>
      <c r="BZ417" s="5"/>
      <c r="CA417" s="5"/>
    </row>
    <row r="418" spans="1:79" x14ac:dyDescent="0.3">
      <c r="A418" s="4" t="s">
        <v>236</v>
      </c>
      <c r="B418" s="4">
        <v>0.9</v>
      </c>
      <c r="C418" s="4">
        <v>0.5</v>
      </c>
      <c r="D418" s="4">
        <v>0.6</v>
      </c>
      <c r="E418" s="4">
        <v>0.75</v>
      </c>
      <c r="F418" s="4">
        <v>972.50183100000004</v>
      </c>
      <c r="G418" s="4">
        <v>8.9999999999999993E-3</v>
      </c>
      <c r="I418" s="4" t="s">
        <v>236</v>
      </c>
      <c r="J418" s="4">
        <v>0.9</v>
      </c>
      <c r="K418" s="4">
        <v>0.5</v>
      </c>
      <c r="L418" s="4">
        <v>0.6</v>
      </c>
      <c r="M418" s="4">
        <v>0.33</v>
      </c>
      <c r="N418" s="6">
        <v>773.08111599999995</v>
      </c>
      <c r="O418" s="4">
        <v>3.0000000000000001E-3</v>
      </c>
      <c r="P418" s="5"/>
      <c r="Q418" s="5"/>
      <c r="R418" s="5"/>
      <c r="S418" s="5"/>
      <c r="U418" s="4" t="s">
        <v>236</v>
      </c>
      <c r="V418" s="4">
        <v>0.9</v>
      </c>
      <c r="W418" s="4">
        <v>0.5</v>
      </c>
      <c r="X418" s="4">
        <v>0.6</v>
      </c>
      <c r="Y418" s="4">
        <v>0.12</v>
      </c>
      <c r="Z418" s="6">
        <v>692.20043899999996</v>
      </c>
      <c r="AA418" s="4">
        <v>1.2E-2</v>
      </c>
      <c r="AC418" s="4" t="s">
        <v>236</v>
      </c>
      <c r="AD418" s="4">
        <v>0.9</v>
      </c>
      <c r="AE418" s="4">
        <v>0.5</v>
      </c>
      <c r="AF418" s="4">
        <v>0.6</v>
      </c>
      <c r="AG418" s="4">
        <v>0.31</v>
      </c>
      <c r="AH418" s="4">
        <v>775.997253</v>
      </c>
      <c r="AI418" s="4">
        <v>3.0000000000000001E-3</v>
      </c>
      <c r="AJ418" s="5"/>
      <c r="AK418" s="5"/>
      <c r="AL418" s="5"/>
      <c r="AM418" s="5"/>
      <c r="AO418" s="4" t="s">
        <v>237</v>
      </c>
      <c r="AP418" s="4">
        <v>0.9</v>
      </c>
      <c r="AQ418" s="4">
        <v>0.5</v>
      </c>
      <c r="AR418" s="4">
        <v>0.6</v>
      </c>
      <c r="AS418" s="4">
        <v>0.65</v>
      </c>
      <c r="AT418" s="4">
        <v>1267.279053</v>
      </c>
      <c r="AU418" s="4">
        <v>1.4E-2</v>
      </c>
      <c r="AW418" s="4" t="s">
        <v>237</v>
      </c>
      <c r="AX418" s="4">
        <v>0.9</v>
      </c>
      <c r="AY418" s="4">
        <v>0.5</v>
      </c>
      <c r="AZ418" s="4">
        <v>0.6</v>
      </c>
      <c r="BA418" s="4">
        <v>0.3</v>
      </c>
      <c r="BB418" s="6">
        <v>1117.229004</v>
      </c>
      <c r="BC418" s="4">
        <v>8.9999999999999993E-3</v>
      </c>
      <c r="BD418" s="5"/>
      <c r="BE418" s="5"/>
      <c r="BF418" s="5"/>
      <c r="BG418" s="5"/>
      <c r="BI418" s="4" t="s">
        <v>237</v>
      </c>
      <c r="BJ418" s="4">
        <v>0.9</v>
      </c>
      <c r="BK418" s="4">
        <v>0.5</v>
      </c>
      <c r="BL418" s="4">
        <v>0.6</v>
      </c>
      <c r="BM418" s="4">
        <v>0.62</v>
      </c>
      <c r="BN418" s="4">
        <v>1301.0683590000001</v>
      </c>
      <c r="BO418" s="4">
        <v>2.1999999999999999E-2</v>
      </c>
      <c r="BQ418" s="4" t="s">
        <v>237</v>
      </c>
      <c r="BR418" s="4">
        <v>0.9</v>
      </c>
      <c r="BS418" s="4">
        <v>0.5</v>
      </c>
      <c r="BT418" s="4">
        <v>0.6</v>
      </c>
      <c r="BU418" s="4">
        <v>0.31</v>
      </c>
      <c r="BV418" s="6">
        <v>1111.411987</v>
      </c>
      <c r="BW418" s="4">
        <v>8.9999999999999993E-3</v>
      </c>
      <c r="BX418" s="5"/>
      <c r="BY418" s="5"/>
      <c r="BZ418" s="5"/>
      <c r="CA418" s="5"/>
    </row>
    <row r="419" spans="1:79" x14ac:dyDescent="0.3">
      <c r="A419" s="4" t="s">
        <v>238</v>
      </c>
      <c r="B419" s="4">
        <v>0.9</v>
      </c>
      <c r="C419" s="4">
        <v>0.5</v>
      </c>
      <c r="D419" s="4">
        <v>0.6</v>
      </c>
      <c r="E419" s="4">
        <v>0.9</v>
      </c>
      <c r="F419" s="4">
        <v>987.76263400000005</v>
      </c>
      <c r="G419" s="4">
        <v>0.01</v>
      </c>
      <c r="I419" s="4" t="s">
        <v>238</v>
      </c>
      <c r="J419" s="4">
        <v>0.9</v>
      </c>
      <c r="K419" s="4">
        <v>0.5</v>
      </c>
      <c r="L419" s="4">
        <v>0.6</v>
      </c>
      <c r="M419" s="4">
        <v>0.34</v>
      </c>
      <c r="N419" s="6">
        <v>754.29724099999999</v>
      </c>
      <c r="O419" s="4">
        <v>2E-3</v>
      </c>
      <c r="P419" s="5"/>
      <c r="Q419" s="5"/>
      <c r="R419" s="5"/>
      <c r="S419" s="5"/>
      <c r="U419" s="4" t="s">
        <v>238</v>
      </c>
      <c r="V419" s="4">
        <v>0.9</v>
      </c>
      <c r="W419" s="4">
        <v>0.5</v>
      </c>
      <c r="X419" s="4">
        <v>0.6</v>
      </c>
      <c r="Y419" s="4">
        <v>0.49</v>
      </c>
      <c r="Z419" s="4">
        <v>800.76892099999998</v>
      </c>
      <c r="AA419" s="4">
        <v>1.7999999999999999E-2</v>
      </c>
      <c r="AC419" s="4" t="s">
        <v>238</v>
      </c>
      <c r="AD419" s="4">
        <v>0.9</v>
      </c>
      <c r="AE419" s="4">
        <v>0.5</v>
      </c>
      <c r="AF419" s="4">
        <v>0.6</v>
      </c>
      <c r="AG419" s="4">
        <v>0.31</v>
      </c>
      <c r="AH419" s="6">
        <v>747.00591999999995</v>
      </c>
      <c r="AI419" s="4">
        <v>3.0000000000000001E-3</v>
      </c>
      <c r="AJ419" s="5"/>
      <c r="AK419" s="5"/>
      <c r="AL419" s="5"/>
      <c r="AM419" s="5"/>
      <c r="AO419" s="4" t="s">
        <v>239</v>
      </c>
      <c r="AP419" s="4">
        <v>0.9</v>
      </c>
      <c r="AQ419" s="4">
        <v>0.5</v>
      </c>
      <c r="AR419" s="4">
        <v>0.6</v>
      </c>
      <c r="AS419" s="4">
        <v>0.15</v>
      </c>
      <c r="AT419" s="6">
        <v>1011.246094</v>
      </c>
      <c r="AU419" s="4">
        <v>0.02</v>
      </c>
      <c r="AW419" s="4" t="s">
        <v>239</v>
      </c>
      <c r="AX419" s="4">
        <v>0.9</v>
      </c>
      <c r="AY419" s="4">
        <v>0.5</v>
      </c>
      <c r="AZ419" s="4">
        <v>0.6</v>
      </c>
      <c r="BA419" s="4">
        <v>0.35</v>
      </c>
      <c r="BB419" s="4">
        <v>1176.1669919999999</v>
      </c>
      <c r="BC419" s="4">
        <v>1.6E-2</v>
      </c>
      <c r="BD419" s="5"/>
      <c r="BE419" s="5"/>
      <c r="BF419" s="5"/>
      <c r="BG419" s="5"/>
      <c r="BI419" s="4" t="s">
        <v>239</v>
      </c>
      <c r="BJ419" s="4">
        <v>0.9</v>
      </c>
      <c r="BK419" s="4">
        <v>0.5</v>
      </c>
      <c r="BL419" s="4">
        <v>0.6</v>
      </c>
      <c r="BM419" s="4">
        <v>0.69</v>
      </c>
      <c r="BN419" s="4">
        <v>1433.2380370000001</v>
      </c>
      <c r="BO419" s="4">
        <v>2.3E-2</v>
      </c>
      <c r="BQ419" s="4" t="s">
        <v>239</v>
      </c>
      <c r="BR419" s="4">
        <v>0.9</v>
      </c>
      <c r="BS419" s="4">
        <v>0.5</v>
      </c>
      <c r="BT419" s="4">
        <v>0.6</v>
      </c>
      <c r="BU419" s="4">
        <v>0.31</v>
      </c>
      <c r="BV419" s="6">
        <v>1180.974487</v>
      </c>
      <c r="BW419" s="4">
        <v>1.0999999999999999E-2</v>
      </c>
      <c r="BX419" s="5"/>
      <c r="BY419" s="5"/>
      <c r="BZ419" s="5"/>
      <c r="CA419" s="5"/>
    </row>
    <row r="420" spans="1:79" x14ac:dyDescent="0.3">
      <c r="A420" s="4" t="s">
        <v>240</v>
      </c>
      <c r="B420" s="4">
        <v>0.9</v>
      </c>
      <c r="C420" s="4">
        <v>0.5</v>
      </c>
      <c r="D420" s="4">
        <v>0.6</v>
      </c>
      <c r="E420" s="4">
        <v>0.06</v>
      </c>
      <c r="F420" s="6">
        <v>672.88140899999996</v>
      </c>
      <c r="G420" s="4">
        <v>0.02</v>
      </c>
      <c r="I420" s="4" t="s">
        <v>240</v>
      </c>
      <c r="J420" s="4">
        <v>0.9</v>
      </c>
      <c r="K420" s="4">
        <v>0.5</v>
      </c>
      <c r="L420" s="4">
        <v>0.6</v>
      </c>
      <c r="M420" s="4">
        <v>0.3</v>
      </c>
      <c r="N420" s="4">
        <v>742.89556900000002</v>
      </c>
      <c r="O420" s="4">
        <v>3.0000000000000001E-3</v>
      </c>
      <c r="P420" s="5"/>
      <c r="Q420" s="5"/>
      <c r="R420" s="5"/>
      <c r="S420" s="5"/>
      <c r="U420" s="4" t="s">
        <v>240</v>
      </c>
      <c r="V420" s="4">
        <v>0.9</v>
      </c>
      <c r="W420" s="4">
        <v>0.5</v>
      </c>
      <c r="X420" s="4">
        <v>0.6</v>
      </c>
      <c r="Y420" s="4">
        <v>0.08</v>
      </c>
      <c r="Z420" s="4">
        <v>665.04901099999995</v>
      </c>
      <c r="AA420" s="4">
        <v>1.4E-2</v>
      </c>
      <c r="AC420" s="4" t="s">
        <v>240</v>
      </c>
      <c r="AD420" s="4">
        <v>0.9</v>
      </c>
      <c r="AE420" s="4">
        <v>0.5</v>
      </c>
      <c r="AF420" s="4">
        <v>0.6</v>
      </c>
      <c r="AG420" s="4">
        <v>0.3</v>
      </c>
      <c r="AH420" s="6">
        <v>728.898865</v>
      </c>
      <c r="AI420" s="4">
        <v>4.0000000000000001E-3</v>
      </c>
      <c r="AJ420" s="5"/>
      <c r="AK420" s="5"/>
      <c r="AL420" s="5"/>
      <c r="AM420" s="5"/>
      <c r="AO420" s="4" t="s">
        <v>241</v>
      </c>
      <c r="AP420" s="4">
        <v>0.9</v>
      </c>
      <c r="AQ420" s="4">
        <v>0.5</v>
      </c>
      <c r="AR420" s="4">
        <v>0.6</v>
      </c>
      <c r="AS420" s="4">
        <v>0.3</v>
      </c>
      <c r="AT420" s="6">
        <v>1092.9461670000001</v>
      </c>
      <c r="AU420" s="4">
        <v>2.4E-2</v>
      </c>
      <c r="AW420" s="4" t="s">
        <v>241</v>
      </c>
      <c r="AX420" s="4">
        <v>0.9</v>
      </c>
      <c r="AY420" s="4">
        <v>0.5</v>
      </c>
      <c r="AZ420" s="4">
        <v>0.6</v>
      </c>
      <c r="BA420" s="4">
        <v>0.31</v>
      </c>
      <c r="BB420" s="4">
        <v>1115.56665</v>
      </c>
      <c r="BC420" s="4">
        <v>1.0999999999999999E-2</v>
      </c>
      <c r="BD420" s="5"/>
      <c r="BE420" s="5"/>
      <c r="BF420" s="5"/>
      <c r="BG420" s="5"/>
      <c r="BI420" s="4" t="s">
        <v>241</v>
      </c>
      <c r="BJ420" s="4">
        <v>0.9</v>
      </c>
      <c r="BK420" s="4">
        <v>0.5</v>
      </c>
      <c r="BL420" s="4">
        <v>0.6</v>
      </c>
      <c r="BM420" s="4">
        <v>0.04</v>
      </c>
      <c r="BN420" s="6">
        <v>901.43029799999999</v>
      </c>
      <c r="BO420" s="4">
        <v>2.1000000000000001E-2</v>
      </c>
      <c r="BQ420" s="4" t="s">
        <v>241</v>
      </c>
      <c r="BR420" s="4">
        <v>0.9</v>
      </c>
      <c r="BS420" s="4">
        <v>0.5</v>
      </c>
      <c r="BT420" s="4">
        <v>0.6</v>
      </c>
      <c r="BU420" s="4">
        <v>0.3</v>
      </c>
      <c r="BV420" s="4">
        <v>1113.616943</v>
      </c>
      <c r="BW420" s="4">
        <v>8.0000000000000002E-3</v>
      </c>
      <c r="BX420" s="5"/>
      <c r="BY420" s="5"/>
      <c r="BZ420" s="5"/>
      <c r="CA420" s="5"/>
    </row>
    <row r="421" spans="1:79" x14ac:dyDescent="0.3">
      <c r="A421" s="4" t="s">
        <v>242</v>
      </c>
      <c r="B421" s="4">
        <v>0.9</v>
      </c>
      <c r="C421" s="4">
        <v>0.5</v>
      </c>
      <c r="D421" s="4">
        <v>0.6</v>
      </c>
      <c r="E421" s="4">
        <v>0.31</v>
      </c>
      <c r="F421" s="6">
        <v>728.91735800000004</v>
      </c>
      <c r="G421" s="4">
        <v>1.6E-2</v>
      </c>
      <c r="I421" s="4" t="s">
        <v>242</v>
      </c>
      <c r="J421" s="4">
        <v>0.9</v>
      </c>
      <c r="K421" s="4">
        <v>0.5</v>
      </c>
      <c r="L421" s="4">
        <v>0.6</v>
      </c>
      <c r="M421" s="4">
        <v>0.3</v>
      </c>
      <c r="N421" s="4">
        <v>749.635986</v>
      </c>
      <c r="O421" s="4">
        <v>4.0000000000000001E-3</v>
      </c>
      <c r="P421" s="5"/>
      <c r="Q421" s="5"/>
      <c r="R421" s="5"/>
      <c r="S421" s="5"/>
      <c r="U421" s="4" t="s">
        <v>242</v>
      </c>
      <c r="V421" s="4">
        <v>0.9</v>
      </c>
      <c r="W421" s="4">
        <v>0.5</v>
      </c>
      <c r="X421" s="4">
        <v>0.6</v>
      </c>
      <c r="Y421" s="4">
        <v>0.69</v>
      </c>
      <c r="Z421" s="4">
        <v>897.86090100000001</v>
      </c>
      <c r="AA421" s="4">
        <v>0.01</v>
      </c>
      <c r="AC421" s="4" t="s">
        <v>242</v>
      </c>
      <c r="AD421" s="4">
        <v>0.9</v>
      </c>
      <c r="AE421" s="4">
        <v>0.5</v>
      </c>
      <c r="AF421" s="4">
        <v>0.6</v>
      </c>
      <c r="AG421" s="4">
        <v>0.32</v>
      </c>
      <c r="AH421" s="6">
        <v>712.61236599999995</v>
      </c>
      <c r="AI421" s="4">
        <v>3.0000000000000001E-3</v>
      </c>
      <c r="AJ421" s="5"/>
      <c r="AK421" s="5"/>
      <c r="AL421" s="5"/>
      <c r="AM421" s="5"/>
      <c r="AO421" s="4" t="s">
        <v>243</v>
      </c>
      <c r="AP421" s="4">
        <v>0.9</v>
      </c>
      <c r="AQ421" s="4">
        <v>0.5</v>
      </c>
      <c r="AR421" s="4">
        <v>0.6</v>
      </c>
      <c r="AS421" s="4">
        <v>0.22</v>
      </c>
      <c r="AT421" s="6">
        <v>1139.536621</v>
      </c>
      <c r="AU421" s="4">
        <v>4.3999999999999997E-2</v>
      </c>
      <c r="AW421" s="4" t="s">
        <v>243</v>
      </c>
      <c r="AX421" s="4">
        <v>0.9</v>
      </c>
      <c r="AY421" s="4">
        <v>0.5</v>
      </c>
      <c r="AZ421" s="4">
        <v>0.6</v>
      </c>
      <c r="BA421" s="4">
        <v>0.32</v>
      </c>
      <c r="BB421" s="4">
        <v>1229.66626</v>
      </c>
      <c r="BC421" s="4">
        <v>1.4999999999999999E-2</v>
      </c>
      <c r="BD421" s="5"/>
      <c r="BE421" s="5"/>
      <c r="BF421" s="5"/>
      <c r="BG421" s="5"/>
      <c r="BI421" s="4" t="s">
        <v>243</v>
      </c>
      <c r="BJ421" s="4">
        <v>0.9</v>
      </c>
      <c r="BK421" s="4">
        <v>0.5</v>
      </c>
      <c r="BL421" s="4">
        <v>0.6</v>
      </c>
      <c r="BM421" s="4">
        <v>0.38</v>
      </c>
      <c r="BN421" s="4">
        <v>1248.570923</v>
      </c>
      <c r="BO421" s="4">
        <v>2.5000000000000001E-2</v>
      </c>
      <c r="BQ421" s="4" t="s">
        <v>243</v>
      </c>
      <c r="BR421" s="4">
        <v>0.9</v>
      </c>
      <c r="BS421" s="4">
        <v>0.5</v>
      </c>
      <c r="BT421" s="4">
        <v>0.6</v>
      </c>
      <c r="BU421" s="4">
        <v>0.37</v>
      </c>
      <c r="BV421" s="6">
        <v>1210.153198</v>
      </c>
      <c r="BW421" s="4">
        <v>8.9999999999999993E-3</v>
      </c>
      <c r="BX421" s="5"/>
      <c r="BY421" s="5"/>
      <c r="BZ421" s="5"/>
      <c r="CA421" s="5"/>
    </row>
    <row r="422" spans="1:79" x14ac:dyDescent="0.3">
      <c r="A422" s="4" t="s">
        <v>244</v>
      </c>
      <c r="B422" s="4">
        <v>0.9</v>
      </c>
      <c r="C422" s="4">
        <v>0.5</v>
      </c>
      <c r="D422" s="4">
        <v>0.6</v>
      </c>
      <c r="E422" s="4">
        <v>0.44</v>
      </c>
      <c r="F422" s="4">
        <v>808.66162099999997</v>
      </c>
      <c r="G422" s="4">
        <v>1.2999999999999999E-2</v>
      </c>
      <c r="I422" s="4" t="s">
        <v>244</v>
      </c>
      <c r="J422" s="4">
        <v>0.9</v>
      </c>
      <c r="K422" s="4">
        <v>0.5</v>
      </c>
      <c r="L422" s="4">
        <v>0.6</v>
      </c>
      <c r="M422" s="4">
        <v>0.3</v>
      </c>
      <c r="N422" s="6">
        <v>743.78338599999995</v>
      </c>
      <c r="O422" s="4">
        <v>4.0000000000000001E-3</v>
      </c>
      <c r="P422" s="5"/>
      <c r="Q422" s="5"/>
      <c r="R422" s="5"/>
      <c r="S422" s="5"/>
      <c r="U422" s="4" t="s">
        <v>244</v>
      </c>
      <c r="V422" s="4">
        <v>0.9</v>
      </c>
      <c r="W422" s="4">
        <v>0.5</v>
      </c>
      <c r="X422" s="4">
        <v>0.6</v>
      </c>
      <c r="Y422" s="4">
        <v>0.28999999999999998</v>
      </c>
      <c r="Z422" s="4">
        <v>747.33544900000004</v>
      </c>
      <c r="AA422" s="4">
        <v>2.5000000000000001E-2</v>
      </c>
      <c r="AC422" s="4" t="s">
        <v>244</v>
      </c>
      <c r="AD422" s="4">
        <v>0.9</v>
      </c>
      <c r="AE422" s="4">
        <v>0.5</v>
      </c>
      <c r="AF422" s="4">
        <v>0.6</v>
      </c>
      <c r="AG422" s="4">
        <v>0.32</v>
      </c>
      <c r="AH422" s="6">
        <v>726.90386999999998</v>
      </c>
      <c r="AI422" s="4">
        <v>3.0000000000000001E-3</v>
      </c>
      <c r="AJ422" s="5"/>
      <c r="AK422" s="5"/>
      <c r="AL422" s="5"/>
      <c r="AM422" s="5"/>
      <c r="AO422" s="4" t="s">
        <v>245</v>
      </c>
      <c r="AP422" s="4">
        <v>0.9</v>
      </c>
      <c r="AQ422" s="4">
        <v>0.5</v>
      </c>
      <c r="AR422" s="4">
        <v>0.6</v>
      </c>
      <c r="AS422" s="4">
        <v>0.04</v>
      </c>
      <c r="AT422" s="6">
        <v>968.01788299999998</v>
      </c>
      <c r="AU422" s="4">
        <v>2.7E-2</v>
      </c>
      <c r="AW422" s="4" t="s">
        <v>245</v>
      </c>
      <c r="AX422" s="4">
        <v>0.9</v>
      </c>
      <c r="AY422" s="4">
        <v>0.5</v>
      </c>
      <c r="AZ422" s="4">
        <v>0.6</v>
      </c>
      <c r="BA422" s="4">
        <v>0.3</v>
      </c>
      <c r="BB422" s="4">
        <v>1222.9929199999999</v>
      </c>
      <c r="BC422" s="4">
        <v>1.6E-2</v>
      </c>
      <c r="BD422" s="5"/>
      <c r="BE422" s="5"/>
      <c r="BF422" s="5"/>
      <c r="BG422" s="5"/>
      <c r="BI422" s="4" t="s">
        <v>245</v>
      </c>
      <c r="BJ422" s="4">
        <v>0.9</v>
      </c>
      <c r="BK422" s="4">
        <v>0.5</v>
      </c>
      <c r="BL422" s="4">
        <v>0.6</v>
      </c>
      <c r="BM422" s="4">
        <v>0.08</v>
      </c>
      <c r="BN422" s="6">
        <v>1001.632446</v>
      </c>
      <c r="BO422" s="4">
        <v>2.4E-2</v>
      </c>
      <c r="BQ422" s="4" t="s">
        <v>245</v>
      </c>
      <c r="BR422" s="4">
        <v>0.9</v>
      </c>
      <c r="BS422" s="4">
        <v>0.5</v>
      </c>
      <c r="BT422" s="4">
        <v>0.6</v>
      </c>
      <c r="BU422" s="4">
        <v>0.3</v>
      </c>
      <c r="BV422" s="4">
        <v>1211.0896</v>
      </c>
      <c r="BW422" s="4">
        <v>8.9999999999999993E-3</v>
      </c>
      <c r="BX422" s="5"/>
      <c r="BY422" s="5"/>
      <c r="BZ422" s="5"/>
      <c r="CA422" s="5"/>
    </row>
    <row r="423" spans="1:79" x14ac:dyDescent="0.3">
      <c r="A423" s="4" t="s">
        <v>246</v>
      </c>
      <c r="B423" s="4">
        <v>0.9</v>
      </c>
      <c r="C423" s="4">
        <v>0.5</v>
      </c>
      <c r="D423" s="4">
        <v>0.6</v>
      </c>
      <c r="E423" s="4">
        <v>0.67</v>
      </c>
      <c r="F423" s="4">
        <v>891.53015100000005</v>
      </c>
      <c r="G423" s="4">
        <v>8.9999999999999993E-3</v>
      </c>
      <c r="I423" s="4" t="s">
        <v>246</v>
      </c>
      <c r="J423" s="4">
        <v>0.9</v>
      </c>
      <c r="K423" s="4">
        <v>0.5</v>
      </c>
      <c r="L423" s="4">
        <v>0.6</v>
      </c>
      <c r="M423" s="4">
        <v>0.33</v>
      </c>
      <c r="N423" s="6">
        <v>762.73925799999995</v>
      </c>
      <c r="O423" s="4">
        <v>4.0000000000000001E-3</v>
      </c>
      <c r="P423" s="5"/>
      <c r="Q423" s="5"/>
      <c r="R423" s="5"/>
      <c r="S423" s="5"/>
      <c r="U423" s="4" t="s">
        <v>246</v>
      </c>
      <c r="V423" s="4">
        <v>0.9</v>
      </c>
      <c r="W423" s="4">
        <v>0.5</v>
      </c>
      <c r="X423" s="4">
        <v>0.6</v>
      </c>
      <c r="Y423" s="4">
        <v>0.43</v>
      </c>
      <c r="Z423" s="4">
        <v>804.74157700000001</v>
      </c>
      <c r="AA423" s="4">
        <v>1.6E-2</v>
      </c>
      <c r="AC423" s="4" t="s">
        <v>246</v>
      </c>
      <c r="AD423" s="4">
        <v>0.9</v>
      </c>
      <c r="AE423" s="4">
        <v>0.5</v>
      </c>
      <c r="AF423" s="4">
        <v>0.6</v>
      </c>
      <c r="AG423" s="4">
        <v>0.33</v>
      </c>
      <c r="AH423" s="6">
        <v>749.83514400000001</v>
      </c>
      <c r="AI423" s="4">
        <v>3.0000000000000001E-3</v>
      </c>
      <c r="AJ423" s="5"/>
      <c r="AK423" s="5"/>
      <c r="AL423" s="5"/>
      <c r="AM423" s="5"/>
      <c r="AO423" s="4" t="s">
        <v>247</v>
      </c>
      <c r="AP423" s="4">
        <v>0.9</v>
      </c>
      <c r="AQ423" s="4">
        <v>0.5</v>
      </c>
      <c r="AR423" s="4">
        <v>0.6</v>
      </c>
      <c r="AS423" s="4">
        <v>0.44</v>
      </c>
      <c r="AT423" s="4">
        <v>1161.404053</v>
      </c>
      <c r="AU423" s="4">
        <v>2.1999999999999999E-2</v>
      </c>
      <c r="AW423" s="4" t="s">
        <v>247</v>
      </c>
      <c r="AX423" s="4">
        <v>0.9</v>
      </c>
      <c r="AY423" s="4">
        <v>0.5</v>
      </c>
      <c r="AZ423" s="4">
        <v>0.6</v>
      </c>
      <c r="BA423" s="4">
        <v>0.33</v>
      </c>
      <c r="BB423" s="6">
        <v>1066.0054929999999</v>
      </c>
      <c r="BC423" s="4">
        <v>1.0999999999999999E-2</v>
      </c>
      <c r="BD423" s="5"/>
      <c r="BE423" s="5"/>
      <c r="BF423" s="5"/>
      <c r="BG423" s="5"/>
      <c r="BI423" s="4" t="s">
        <v>247</v>
      </c>
      <c r="BJ423" s="4">
        <v>0.9</v>
      </c>
      <c r="BK423" s="4">
        <v>0.5</v>
      </c>
      <c r="BL423" s="4">
        <v>0.6</v>
      </c>
      <c r="BM423" s="4">
        <v>0.13</v>
      </c>
      <c r="BN423" s="6">
        <v>920.660706</v>
      </c>
      <c r="BO423" s="4">
        <v>1.9E-2</v>
      </c>
      <c r="BQ423" s="4" t="s">
        <v>247</v>
      </c>
      <c r="BR423" s="4">
        <v>0.9</v>
      </c>
      <c r="BS423" s="4">
        <v>0.5</v>
      </c>
      <c r="BT423" s="4">
        <v>0.6</v>
      </c>
      <c r="BU423" s="4">
        <v>0.3</v>
      </c>
      <c r="BV423" s="4">
        <v>1062.5947269999999</v>
      </c>
      <c r="BW423" s="4">
        <v>8.0000000000000002E-3</v>
      </c>
      <c r="BX423" s="5"/>
      <c r="BY423" s="5"/>
      <c r="BZ423" s="5"/>
      <c r="CA423" s="5"/>
    </row>
    <row r="424" spans="1:79" x14ac:dyDescent="0.3">
      <c r="A424" s="4" t="s">
        <v>248</v>
      </c>
      <c r="B424" s="4">
        <v>0.9</v>
      </c>
      <c r="C424" s="4">
        <v>0.5</v>
      </c>
      <c r="D424" s="4">
        <v>0.6</v>
      </c>
      <c r="E424" s="4">
        <v>0.78</v>
      </c>
      <c r="F424" s="4">
        <v>963.79199200000005</v>
      </c>
      <c r="G424" s="4">
        <v>1.7000000000000001E-2</v>
      </c>
      <c r="I424" s="4" t="s">
        <v>248</v>
      </c>
      <c r="J424" s="4">
        <v>0.9</v>
      </c>
      <c r="K424" s="4">
        <v>0.5</v>
      </c>
      <c r="L424" s="4">
        <v>0.6</v>
      </c>
      <c r="M424" s="4">
        <v>0.31</v>
      </c>
      <c r="N424" s="6">
        <v>769.49926800000003</v>
      </c>
      <c r="O424" s="4">
        <v>4.0000000000000001E-3</v>
      </c>
      <c r="P424" s="5"/>
      <c r="Q424" s="5"/>
      <c r="R424" s="5"/>
      <c r="S424" s="5"/>
      <c r="U424" s="4" t="s">
        <v>248</v>
      </c>
      <c r="V424" s="4">
        <v>0.9</v>
      </c>
      <c r="W424" s="4">
        <v>0.5</v>
      </c>
      <c r="X424" s="4">
        <v>0.6</v>
      </c>
      <c r="Y424" s="4">
        <v>0.45</v>
      </c>
      <c r="Z424" s="4">
        <v>844.66888400000005</v>
      </c>
      <c r="AA424" s="4">
        <v>8.9999999999999993E-3</v>
      </c>
      <c r="AC424" s="4" t="s">
        <v>248</v>
      </c>
      <c r="AD424" s="4">
        <v>0.9</v>
      </c>
      <c r="AE424" s="4">
        <v>0.5</v>
      </c>
      <c r="AF424" s="4">
        <v>0.6</v>
      </c>
      <c r="AG424" s="4">
        <v>0.3</v>
      </c>
      <c r="AH424" s="6">
        <v>760.75531000000001</v>
      </c>
      <c r="AI424" s="4">
        <v>3.0000000000000001E-3</v>
      </c>
      <c r="AJ424" s="5"/>
      <c r="AK424" s="5"/>
      <c r="AL424" s="5"/>
      <c r="AM424" s="5"/>
      <c r="AO424" s="4" t="s">
        <v>249</v>
      </c>
      <c r="AP424" s="4">
        <v>0.9</v>
      </c>
      <c r="AQ424" s="4">
        <v>0.5</v>
      </c>
      <c r="AR424" s="4">
        <v>0.6</v>
      </c>
      <c r="AS424" s="4">
        <v>0.65</v>
      </c>
      <c r="AT424" s="4">
        <v>1320.8492429999999</v>
      </c>
      <c r="AU424" s="4">
        <v>3.1E-2</v>
      </c>
      <c r="AW424" s="4" t="s">
        <v>249</v>
      </c>
      <c r="AX424" s="4">
        <v>0.9</v>
      </c>
      <c r="AY424" s="4">
        <v>0.5</v>
      </c>
      <c r="AZ424" s="4">
        <v>0.6</v>
      </c>
      <c r="BA424" s="4">
        <v>0.31</v>
      </c>
      <c r="BB424" s="6">
        <v>1160.0460210000001</v>
      </c>
      <c r="BC424" s="4">
        <v>8.9999999999999993E-3</v>
      </c>
      <c r="BD424" s="5"/>
      <c r="BE424" s="5"/>
      <c r="BF424" s="5"/>
      <c r="BG424" s="5"/>
      <c r="BI424" s="4" t="s">
        <v>249</v>
      </c>
      <c r="BJ424" s="4">
        <v>0.9</v>
      </c>
      <c r="BK424" s="4">
        <v>0.5</v>
      </c>
      <c r="BL424" s="4">
        <v>0.6</v>
      </c>
      <c r="BM424" s="4">
        <v>0.32</v>
      </c>
      <c r="BN424" s="4">
        <v>1157.1019289999999</v>
      </c>
      <c r="BO424" s="4">
        <v>0.03</v>
      </c>
      <c r="BQ424" s="4" t="s">
        <v>249</v>
      </c>
      <c r="BR424" s="4">
        <v>0.9</v>
      </c>
      <c r="BS424" s="4">
        <v>0.5</v>
      </c>
      <c r="BT424" s="4">
        <v>0.6</v>
      </c>
      <c r="BU424" s="4">
        <v>0.32</v>
      </c>
      <c r="BV424" s="6">
        <v>1151.263672</v>
      </c>
      <c r="BW424" s="4">
        <v>8.9999999999999993E-3</v>
      </c>
      <c r="BX424" s="5"/>
      <c r="BY424" s="5"/>
      <c r="BZ424" s="5"/>
      <c r="CA424" s="5"/>
    </row>
    <row r="425" spans="1:79" x14ac:dyDescent="0.3">
      <c r="A425" s="4" t="s">
        <v>250</v>
      </c>
      <c r="B425" s="4">
        <v>0.9</v>
      </c>
      <c r="C425" s="4">
        <v>0.5</v>
      </c>
      <c r="D425" s="4">
        <v>0.6</v>
      </c>
      <c r="E425" s="4">
        <v>0.46</v>
      </c>
      <c r="F425" s="4">
        <v>849.29632600000002</v>
      </c>
      <c r="G425" s="4">
        <v>1.0999999999999999E-2</v>
      </c>
      <c r="I425" s="4" t="s">
        <v>250</v>
      </c>
      <c r="J425" s="4">
        <v>0.9</v>
      </c>
      <c r="K425" s="4">
        <v>0.5</v>
      </c>
      <c r="L425" s="4">
        <v>0.6</v>
      </c>
      <c r="M425" s="4">
        <v>0.32</v>
      </c>
      <c r="N425" s="6">
        <v>804.51269500000001</v>
      </c>
      <c r="O425" s="4">
        <v>6.0000000000000001E-3</v>
      </c>
      <c r="P425" s="5"/>
      <c r="Q425" s="5"/>
      <c r="R425" s="5"/>
      <c r="S425" s="5"/>
      <c r="U425" s="4" t="s">
        <v>250</v>
      </c>
      <c r="V425" s="4">
        <v>0.9</v>
      </c>
      <c r="W425" s="4">
        <v>0.5</v>
      </c>
      <c r="X425" s="4">
        <v>0.6</v>
      </c>
      <c r="Y425" s="4">
        <v>0.3</v>
      </c>
      <c r="Z425" s="6">
        <v>768.99511700000005</v>
      </c>
      <c r="AA425" s="4">
        <v>1.7999999999999999E-2</v>
      </c>
      <c r="AC425" s="4" t="s">
        <v>250</v>
      </c>
      <c r="AD425" s="4">
        <v>0.9</v>
      </c>
      <c r="AE425" s="4">
        <v>0.5</v>
      </c>
      <c r="AF425" s="4">
        <v>0.6</v>
      </c>
      <c r="AG425" s="4">
        <v>0.36</v>
      </c>
      <c r="AH425" s="4">
        <v>785.70080600000006</v>
      </c>
      <c r="AI425" s="4">
        <v>4.0000000000000001E-3</v>
      </c>
      <c r="AJ425" s="5"/>
      <c r="AK425" s="5"/>
      <c r="AL425" s="5"/>
      <c r="AM425" s="5"/>
      <c r="AO425" s="4" t="s">
        <v>251</v>
      </c>
      <c r="AP425" s="4">
        <v>0.9</v>
      </c>
      <c r="AQ425" s="4">
        <v>0.5</v>
      </c>
      <c r="AR425" s="4">
        <v>0.6</v>
      </c>
      <c r="AS425" s="4">
        <v>0.39</v>
      </c>
      <c r="AT425" s="4">
        <v>1205.158203</v>
      </c>
      <c r="AU425" s="4">
        <v>1.7999999999999999E-2</v>
      </c>
      <c r="AW425" s="4" t="s">
        <v>251</v>
      </c>
      <c r="AX425" s="4">
        <v>0.9</v>
      </c>
      <c r="AY425" s="4">
        <v>0.5</v>
      </c>
      <c r="AZ425" s="4">
        <v>0.6</v>
      </c>
      <c r="BA425" s="4">
        <v>0.32</v>
      </c>
      <c r="BB425" s="6">
        <v>1160.551025</v>
      </c>
      <c r="BC425" s="4">
        <v>8.0000000000000002E-3</v>
      </c>
      <c r="BD425" s="5"/>
      <c r="BE425" s="5"/>
      <c r="BF425" s="5"/>
      <c r="BG425" s="5"/>
      <c r="BI425" s="4" t="s">
        <v>251</v>
      </c>
      <c r="BJ425" s="4">
        <v>0.9</v>
      </c>
      <c r="BK425" s="4">
        <v>0.5</v>
      </c>
      <c r="BL425" s="4">
        <v>0.6</v>
      </c>
      <c r="BM425" s="4">
        <v>0.74</v>
      </c>
      <c r="BN425" s="4">
        <v>1304.9375</v>
      </c>
      <c r="BO425" s="4">
        <v>1.7000000000000001E-2</v>
      </c>
      <c r="BQ425" s="4" t="s">
        <v>251</v>
      </c>
      <c r="BR425" s="4">
        <v>0.9</v>
      </c>
      <c r="BS425" s="4">
        <v>0.5</v>
      </c>
      <c r="BT425" s="4">
        <v>0.6</v>
      </c>
      <c r="BU425" s="4">
        <v>0.32</v>
      </c>
      <c r="BV425" s="6">
        <v>1132.860962</v>
      </c>
      <c r="BW425" s="4">
        <v>8.0000000000000002E-3</v>
      </c>
      <c r="BX425" s="5"/>
      <c r="BY425" s="5"/>
      <c r="BZ425" s="5"/>
      <c r="CA425" s="5"/>
    </row>
    <row r="426" spans="1:79" x14ac:dyDescent="0.3">
      <c r="A426" s="4" t="s">
        <v>252</v>
      </c>
      <c r="B426" s="4">
        <v>0.9</v>
      </c>
      <c r="C426" s="4">
        <v>0.5</v>
      </c>
      <c r="D426" s="4">
        <v>0.6</v>
      </c>
      <c r="E426" s="4">
        <v>0.93</v>
      </c>
      <c r="F426" s="4">
        <v>1008.8498540000001</v>
      </c>
      <c r="G426" s="4">
        <v>8.9999999999999993E-3</v>
      </c>
      <c r="I426" s="4" t="s">
        <v>252</v>
      </c>
      <c r="J426" s="4">
        <v>0.9</v>
      </c>
      <c r="K426" s="4">
        <v>0.5</v>
      </c>
      <c r="L426" s="4">
        <v>0.6</v>
      </c>
      <c r="M426" s="4">
        <v>0.36</v>
      </c>
      <c r="N426" s="6">
        <v>838.30584699999997</v>
      </c>
      <c r="O426" s="4">
        <v>3.0000000000000001E-3</v>
      </c>
      <c r="P426" s="5"/>
      <c r="Q426" s="5"/>
      <c r="R426" s="5"/>
      <c r="S426" s="5"/>
      <c r="U426" s="4" t="s">
        <v>252</v>
      </c>
      <c r="V426" s="4">
        <v>0.9</v>
      </c>
      <c r="W426" s="4">
        <v>0.5</v>
      </c>
      <c r="X426" s="4">
        <v>0.6</v>
      </c>
      <c r="Y426" s="4">
        <v>0.39</v>
      </c>
      <c r="Z426" s="4">
        <v>856.60894800000005</v>
      </c>
      <c r="AA426" s="4">
        <v>1.4E-2</v>
      </c>
      <c r="AC426" s="4" t="s">
        <v>252</v>
      </c>
      <c r="AD426" s="4">
        <v>0.9</v>
      </c>
      <c r="AE426" s="4">
        <v>0.5</v>
      </c>
      <c r="AF426" s="4">
        <v>0.6</v>
      </c>
      <c r="AG426" s="4">
        <v>0.34</v>
      </c>
      <c r="AH426" s="6">
        <v>838.12603799999999</v>
      </c>
      <c r="AI426" s="4">
        <v>8.0000000000000002E-3</v>
      </c>
      <c r="AJ426" s="5"/>
      <c r="AK426" s="5"/>
      <c r="AL426" s="5"/>
      <c r="AM426" s="5"/>
      <c r="AO426" s="4" t="s">
        <v>253</v>
      </c>
      <c r="AP426" s="4">
        <v>0.9</v>
      </c>
      <c r="AQ426" s="4">
        <v>0.5</v>
      </c>
      <c r="AR426" s="4">
        <v>0.6</v>
      </c>
      <c r="AS426" s="4">
        <v>0.47</v>
      </c>
      <c r="AT426" s="4">
        <v>1290.544189</v>
      </c>
      <c r="AU426" s="4">
        <v>2.3E-2</v>
      </c>
      <c r="AW426" s="4" t="s">
        <v>253</v>
      </c>
      <c r="AX426" s="4">
        <v>0.9</v>
      </c>
      <c r="AY426" s="4">
        <v>0.5</v>
      </c>
      <c r="AZ426" s="4">
        <v>0.6</v>
      </c>
      <c r="BA426" s="4">
        <v>0.3</v>
      </c>
      <c r="BB426" s="6">
        <v>1187.6553960000001</v>
      </c>
      <c r="BC426" s="4">
        <v>8.9999999999999993E-3</v>
      </c>
      <c r="BD426" s="5"/>
      <c r="BE426" s="5"/>
      <c r="BF426" s="5"/>
      <c r="BG426" s="5"/>
      <c r="BI426" s="4" t="s">
        <v>253</v>
      </c>
      <c r="BJ426" s="4">
        <v>0.9</v>
      </c>
      <c r="BK426" s="4">
        <v>0.5</v>
      </c>
      <c r="BL426" s="4">
        <v>0.6</v>
      </c>
      <c r="BM426" s="4">
        <v>0.1</v>
      </c>
      <c r="BN426" s="6">
        <v>1000.022217</v>
      </c>
      <c r="BO426" s="4">
        <v>1.7999999999999999E-2</v>
      </c>
      <c r="BQ426" s="4" t="s">
        <v>253</v>
      </c>
      <c r="BR426" s="4">
        <v>0.9</v>
      </c>
      <c r="BS426" s="4">
        <v>0.5</v>
      </c>
      <c r="BT426" s="4">
        <v>0.6</v>
      </c>
      <c r="BU426" s="4">
        <v>0.31</v>
      </c>
      <c r="BV426" s="4">
        <v>1176.8751219999999</v>
      </c>
      <c r="BW426" s="4">
        <v>8.9999999999999993E-3</v>
      </c>
      <c r="BX426" s="5"/>
      <c r="BY426" s="5"/>
      <c r="BZ426" s="5"/>
      <c r="CA426" s="5"/>
    </row>
    <row r="427" spans="1:79" x14ac:dyDescent="0.3">
      <c r="A427" s="14" t="s">
        <v>316</v>
      </c>
      <c r="E427" s="14">
        <f>AVERAGE(E397:E426)</f>
        <v>0.49933333333333335</v>
      </c>
      <c r="I427" s="14" t="s">
        <v>316</v>
      </c>
      <c r="M427" s="14">
        <f>AVERAGE(M397:M426)</f>
        <v>0.32466666666666666</v>
      </c>
      <c r="U427" s="14" t="s">
        <v>316</v>
      </c>
      <c r="Y427" s="14">
        <f>AVERAGE(Y397:Y426)</f>
        <v>0.51999999999999991</v>
      </c>
      <c r="AC427" s="14" t="s">
        <v>316</v>
      </c>
      <c r="AG427" s="14">
        <f>AVERAGE(AG397:AG426)</f>
        <v>0.3183333333333333</v>
      </c>
      <c r="AO427" s="14" t="s">
        <v>316</v>
      </c>
      <c r="AS427" s="14">
        <f>AVERAGE(AS397:AS426)</f>
        <v>0.38300000000000006</v>
      </c>
      <c r="AW427" s="14" t="s">
        <v>316</v>
      </c>
      <c r="BA427" s="14">
        <f>AVERAGE(BA397:BA426)</f>
        <v>0.31466666666666665</v>
      </c>
      <c r="BI427" s="14" t="s">
        <v>316</v>
      </c>
      <c r="BM427" s="14">
        <f>AVERAGE(BM397:BM426)</f>
        <v>0.44900000000000001</v>
      </c>
      <c r="BQ427" s="14" t="s">
        <v>316</v>
      </c>
      <c r="BU427" s="14">
        <f>AVERAGE(BU397:BU426)</f>
        <v>0.31166666666666665</v>
      </c>
    </row>
    <row r="428" spans="1:79" s="1" customFormat="1" x14ac:dyDescent="0.3"/>
    <row r="429" spans="1:79" x14ac:dyDescent="0.3">
      <c r="A429" s="24" t="s">
        <v>314</v>
      </c>
      <c r="B429" s="25"/>
      <c r="C429" s="25"/>
      <c r="D429" s="25"/>
      <c r="E429" s="25"/>
      <c r="F429" s="25"/>
      <c r="G429" s="26"/>
      <c r="I429" s="23" t="s">
        <v>314</v>
      </c>
      <c r="J429" s="23"/>
      <c r="K429" s="23"/>
      <c r="L429" s="23"/>
      <c r="M429" s="23"/>
      <c r="N429" s="23"/>
      <c r="O429" s="23"/>
      <c r="P429" s="11"/>
      <c r="Q429" s="11"/>
      <c r="R429" s="11"/>
      <c r="S429" s="11"/>
      <c r="U429" s="24" t="s">
        <v>314</v>
      </c>
      <c r="V429" s="25"/>
      <c r="W429" s="25"/>
      <c r="X429" s="25"/>
      <c r="Y429" s="25"/>
      <c r="Z429" s="25"/>
      <c r="AA429" s="26"/>
      <c r="AC429" s="23" t="s">
        <v>314</v>
      </c>
      <c r="AD429" s="23"/>
      <c r="AE429" s="23"/>
      <c r="AF429" s="23"/>
      <c r="AG429" s="23"/>
      <c r="AH429" s="23"/>
      <c r="AI429" s="23"/>
      <c r="AJ429" s="11"/>
      <c r="AK429" s="11"/>
      <c r="AL429" s="11"/>
      <c r="AM429" s="11"/>
      <c r="AO429" s="24" t="s">
        <v>314</v>
      </c>
      <c r="AP429" s="25"/>
      <c r="AQ429" s="25"/>
      <c r="AR429" s="25"/>
      <c r="AS429" s="25"/>
      <c r="AT429" s="25"/>
      <c r="AU429" s="26"/>
      <c r="AW429" s="23" t="s">
        <v>314</v>
      </c>
      <c r="AX429" s="23"/>
      <c r="AY429" s="23"/>
      <c r="AZ429" s="23"/>
      <c r="BA429" s="23"/>
      <c r="BB429" s="23"/>
      <c r="BC429" s="23"/>
      <c r="BD429" s="11"/>
      <c r="BE429" s="11"/>
      <c r="BF429" s="11"/>
      <c r="BG429" s="11"/>
      <c r="BI429" s="24" t="s">
        <v>314</v>
      </c>
      <c r="BJ429" s="25"/>
      <c r="BK429" s="25"/>
      <c r="BL429" s="25"/>
      <c r="BM429" s="25"/>
      <c r="BN429" s="25"/>
      <c r="BO429" s="26"/>
      <c r="BQ429" s="23" t="s">
        <v>314</v>
      </c>
      <c r="BR429" s="23"/>
      <c r="BS429" s="23"/>
      <c r="BT429" s="23"/>
      <c r="BU429" s="23"/>
      <c r="BV429" s="23"/>
      <c r="BW429" s="23"/>
      <c r="BX429" s="11"/>
      <c r="BY429" s="11"/>
      <c r="BZ429" s="11"/>
      <c r="CA429" s="11"/>
    </row>
    <row r="430" spans="1:79" x14ac:dyDescent="0.3">
      <c r="A430" s="4" t="s">
        <v>0</v>
      </c>
      <c r="B430" s="4"/>
      <c r="C430" s="4"/>
      <c r="D430" s="4"/>
      <c r="E430" s="4"/>
      <c r="F430" s="4"/>
      <c r="G430" s="4"/>
      <c r="I430" s="23" t="s">
        <v>0</v>
      </c>
      <c r="J430" s="23"/>
      <c r="K430" s="23"/>
      <c r="L430" s="23"/>
      <c r="M430" s="23"/>
      <c r="N430" s="23"/>
      <c r="O430" s="23"/>
      <c r="P430" s="5"/>
      <c r="Q430" s="5"/>
      <c r="R430" s="5"/>
      <c r="S430" s="5"/>
      <c r="U430" s="4" t="s">
        <v>1</v>
      </c>
      <c r="V430" s="4"/>
      <c r="W430" s="4"/>
      <c r="X430" s="4"/>
      <c r="Y430" s="4"/>
      <c r="Z430" s="4"/>
      <c r="AA430" s="4"/>
      <c r="AC430" s="23" t="s">
        <v>1</v>
      </c>
      <c r="AD430" s="23"/>
      <c r="AE430" s="23"/>
      <c r="AF430" s="23"/>
      <c r="AG430" s="23"/>
      <c r="AH430" s="23"/>
      <c r="AI430" s="23"/>
      <c r="AJ430" s="5"/>
      <c r="AK430" s="5"/>
      <c r="AL430" s="5"/>
      <c r="AM430" s="5"/>
      <c r="AO430" s="4" t="s">
        <v>0</v>
      </c>
      <c r="AP430" s="4"/>
      <c r="AQ430" s="4"/>
      <c r="AR430" s="4"/>
      <c r="AS430" s="4"/>
      <c r="AT430" s="4"/>
      <c r="AU430" s="4"/>
      <c r="AW430" s="23" t="s">
        <v>0</v>
      </c>
      <c r="AX430" s="23"/>
      <c r="AY430" s="23"/>
      <c r="AZ430" s="23"/>
      <c r="BA430" s="23"/>
      <c r="BB430" s="23"/>
      <c r="BC430" s="23"/>
      <c r="BD430" s="5"/>
      <c r="BE430" s="5"/>
      <c r="BF430" s="5"/>
      <c r="BG430" s="5"/>
      <c r="BI430" s="4" t="s">
        <v>1</v>
      </c>
      <c r="BJ430" s="4"/>
      <c r="BK430" s="4"/>
      <c r="BL430" s="4"/>
      <c r="BM430" s="4"/>
      <c r="BN430" s="4"/>
      <c r="BO430" s="4"/>
      <c r="BQ430" s="23" t="s">
        <v>1</v>
      </c>
      <c r="BR430" s="23"/>
      <c r="BS430" s="23"/>
      <c r="BT430" s="23"/>
      <c r="BU430" s="23"/>
      <c r="BV430" s="23"/>
      <c r="BW430" s="23"/>
      <c r="BX430" s="5"/>
      <c r="BY430" s="5"/>
      <c r="BZ430" s="5"/>
      <c r="CA430" s="5"/>
    </row>
    <row r="431" spans="1:79" x14ac:dyDescent="0.3">
      <c r="A431" s="4" t="s">
        <v>2</v>
      </c>
      <c r="B431" s="4" t="s">
        <v>3</v>
      </c>
      <c r="C431" s="4" t="s">
        <v>4</v>
      </c>
      <c r="D431" s="4" t="s">
        <v>5</v>
      </c>
      <c r="E431" s="4" t="s">
        <v>6</v>
      </c>
      <c r="F431" s="4" t="s">
        <v>7</v>
      </c>
      <c r="G431" s="4" t="s">
        <v>8</v>
      </c>
      <c r="I431" s="4" t="s">
        <v>2</v>
      </c>
      <c r="J431" s="4" t="s">
        <v>3</v>
      </c>
      <c r="K431" s="4" t="s">
        <v>4</v>
      </c>
      <c r="L431" s="4" t="s">
        <v>5</v>
      </c>
      <c r="M431" s="4" t="s">
        <v>6</v>
      </c>
      <c r="N431" s="4" t="s">
        <v>7</v>
      </c>
      <c r="O431" s="4" t="s">
        <v>8</v>
      </c>
      <c r="P431" s="3" t="s">
        <v>322</v>
      </c>
      <c r="Q431" s="3" t="s">
        <v>323</v>
      </c>
      <c r="R431" s="3" t="s">
        <v>322</v>
      </c>
      <c r="S431" s="3" t="s">
        <v>323</v>
      </c>
      <c r="U431" s="4" t="s">
        <v>2</v>
      </c>
      <c r="V431" s="4" t="s">
        <v>3</v>
      </c>
      <c r="W431" s="4" t="s">
        <v>4</v>
      </c>
      <c r="X431" s="4" t="s">
        <v>5</v>
      </c>
      <c r="Y431" s="4" t="s">
        <v>6</v>
      </c>
      <c r="Z431" s="4" t="s">
        <v>7</v>
      </c>
      <c r="AA431" s="4" t="s">
        <v>8</v>
      </c>
      <c r="AC431" s="4" t="s">
        <v>2</v>
      </c>
      <c r="AD431" s="4" t="s">
        <v>3</v>
      </c>
      <c r="AE431" s="4" t="s">
        <v>4</v>
      </c>
      <c r="AF431" s="4" t="s">
        <v>5</v>
      </c>
      <c r="AG431" s="4" t="s">
        <v>6</v>
      </c>
      <c r="AH431" s="4" t="s">
        <v>7</v>
      </c>
      <c r="AI431" s="4" t="s">
        <v>8</v>
      </c>
      <c r="AJ431" s="3" t="s">
        <v>322</v>
      </c>
      <c r="AK431" s="3" t="s">
        <v>323</v>
      </c>
      <c r="AL431" s="3" t="s">
        <v>322</v>
      </c>
      <c r="AM431" s="3" t="s">
        <v>323</v>
      </c>
      <c r="AO431" s="4" t="s">
        <v>2</v>
      </c>
      <c r="AP431" s="4" t="s">
        <v>3</v>
      </c>
      <c r="AQ431" s="4" t="s">
        <v>4</v>
      </c>
      <c r="AR431" s="4" t="s">
        <v>5</v>
      </c>
      <c r="AS431" s="4" t="s">
        <v>6</v>
      </c>
      <c r="AT431" s="4" t="s">
        <v>7</v>
      </c>
      <c r="AU431" s="4" t="s">
        <v>8</v>
      </c>
      <c r="AW431" s="4" t="s">
        <v>2</v>
      </c>
      <c r="AX431" s="4" t="s">
        <v>3</v>
      </c>
      <c r="AY431" s="4" t="s">
        <v>4</v>
      </c>
      <c r="AZ431" s="4" t="s">
        <v>5</v>
      </c>
      <c r="BA431" s="4" t="s">
        <v>6</v>
      </c>
      <c r="BB431" s="4" t="s">
        <v>7</v>
      </c>
      <c r="BC431" s="4" t="s">
        <v>8</v>
      </c>
      <c r="BD431" s="3" t="s">
        <v>322</v>
      </c>
      <c r="BE431" s="3" t="s">
        <v>323</v>
      </c>
      <c r="BF431" s="3" t="s">
        <v>322</v>
      </c>
      <c r="BG431" s="3" t="s">
        <v>323</v>
      </c>
      <c r="BI431" s="4" t="s">
        <v>2</v>
      </c>
      <c r="BJ431" s="4" t="s">
        <v>3</v>
      </c>
      <c r="BK431" s="4" t="s">
        <v>4</v>
      </c>
      <c r="BL431" s="4" t="s">
        <v>5</v>
      </c>
      <c r="BM431" s="4" t="s">
        <v>6</v>
      </c>
      <c r="BN431" s="4" t="s">
        <v>7</v>
      </c>
      <c r="BO431" s="4" t="s">
        <v>8</v>
      </c>
      <c r="BQ431" s="4" t="s">
        <v>2</v>
      </c>
      <c r="BR431" s="4" t="s">
        <v>3</v>
      </c>
      <c r="BS431" s="4" t="s">
        <v>4</v>
      </c>
      <c r="BT431" s="4" t="s">
        <v>5</v>
      </c>
      <c r="BU431" s="4" t="s">
        <v>6</v>
      </c>
      <c r="BV431" s="4" t="s">
        <v>7</v>
      </c>
      <c r="BW431" s="4" t="s">
        <v>8</v>
      </c>
      <c r="BX431" s="3" t="s">
        <v>322</v>
      </c>
      <c r="BY431" s="3" t="s">
        <v>323</v>
      </c>
      <c r="BZ431" s="3" t="s">
        <v>322</v>
      </c>
      <c r="CA431" s="3" t="s">
        <v>323</v>
      </c>
    </row>
    <row r="432" spans="1:79" x14ac:dyDescent="0.3">
      <c r="A432" s="4" t="s">
        <v>254</v>
      </c>
      <c r="B432" s="4">
        <v>0.9</v>
      </c>
      <c r="C432" s="4">
        <v>0.5</v>
      </c>
      <c r="D432" s="4">
        <v>0.6</v>
      </c>
      <c r="E432" s="4">
        <v>0.01</v>
      </c>
      <c r="F432" s="6">
        <v>621.78442399999994</v>
      </c>
      <c r="G432" s="4">
        <v>1.4E-2</v>
      </c>
      <c r="I432" s="4" t="s">
        <v>254</v>
      </c>
      <c r="J432" s="4">
        <v>0.9</v>
      </c>
      <c r="K432" s="4">
        <v>0.5</v>
      </c>
      <c r="L432" s="4">
        <v>0.6</v>
      </c>
      <c r="M432" s="4">
        <v>0.33</v>
      </c>
      <c r="N432" s="4">
        <v>679.59741199999996</v>
      </c>
      <c r="O432" s="4">
        <v>2E-3</v>
      </c>
      <c r="P432" s="4" t="s">
        <v>327</v>
      </c>
      <c r="Q432" s="4" t="s">
        <v>327</v>
      </c>
      <c r="R432" s="4" t="s">
        <v>326</v>
      </c>
      <c r="S432" s="4" t="s">
        <v>326</v>
      </c>
      <c r="U432" s="4" t="s">
        <v>254</v>
      </c>
      <c r="V432" s="4">
        <v>0.9</v>
      </c>
      <c r="W432" s="4">
        <v>0.5</v>
      </c>
      <c r="X432" s="4">
        <v>0.6</v>
      </c>
      <c r="Y432" s="4">
        <v>0.01</v>
      </c>
      <c r="Z432" s="6">
        <v>583.43267800000001</v>
      </c>
      <c r="AA432" s="4">
        <v>2.7E-2</v>
      </c>
      <c r="AC432" s="4" t="s">
        <v>254</v>
      </c>
      <c r="AD432" s="4">
        <v>0.9</v>
      </c>
      <c r="AE432" s="4">
        <v>0.5</v>
      </c>
      <c r="AF432" s="4">
        <v>0.6</v>
      </c>
      <c r="AG432" s="4">
        <v>0.3</v>
      </c>
      <c r="AH432" s="4">
        <v>635.75579800000003</v>
      </c>
      <c r="AI432" s="4">
        <v>3.0000000000000001E-3</v>
      </c>
      <c r="AJ432" s="4" t="s">
        <v>327</v>
      </c>
      <c r="AK432" s="4" t="s">
        <v>327</v>
      </c>
      <c r="AL432" s="4" t="s">
        <v>326</v>
      </c>
      <c r="AM432" s="4" t="s">
        <v>326</v>
      </c>
      <c r="AO432" s="4" t="s">
        <v>255</v>
      </c>
      <c r="AP432" s="4">
        <v>0.9</v>
      </c>
      <c r="AQ432" s="4">
        <v>0.5</v>
      </c>
      <c r="AR432" s="4">
        <v>0.6</v>
      </c>
      <c r="AS432" s="4">
        <v>0.01</v>
      </c>
      <c r="AT432" s="6">
        <v>860.48821999999996</v>
      </c>
      <c r="AU432" s="4">
        <v>2.3E-2</v>
      </c>
      <c r="AW432" s="4" t="s">
        <v>255</v>
      </c>
      <c r="AX432" s="4">
        <v>0.9</v>
      </c>
      <c r="AY432" s="4">
        <v>0.5</v>
      </c>
      <c r="AZ432" s="4">
        <v>0.6</v>
      </c>
      <c r="BA432" s="4">
        <v>0.33</v>
      </c>
      <c r="BB432" s="4">
        <v>1037.6391599999999</v>
      </c>
      <c r="BC432" s="4">
        <v>8.9999999999999993E-3</v>
      </c>
      <c r="BD432" s="4" t="s">
        <v>327</v>
      </c>
      <c r="BE432" s="4" t="s">
        <v>327</v>
      </c>
      <c r="BF432" s="4" t="s">
        <v>326</v>
      </c>
      <c r="BG432" s="4" t="s">
        <v>326</v>
      </c>
      <c r="BI432" s="4" t="s">
        <v>255</v>
      </c>
      <c r="BJ432" s="4">
        <v>0.9</v>
      </c>
      <c r="BK432" s="4">
        <v>0.5</v>
      </c>
      <c r="BL432" s="4">
        <v>0.6</v>
      </c>
      <c r="BM432" s="4">
        <v>0.01</v>
      </c>
      <c r="BN432" s="6">
        <v>778.04431199999999</v>
      </c>
      <c r="BO432" s="4">
        <v>1.7000000000000001E-2</v>
      </c>
      <c r="BQ432" s="4" t="s">
        <v>255</v>
      </c>
      <c r="BR432" s="4">
        <v>0.9</v>
      </c>
      <c r="BS432" s="4">
        <v>0.5</v>
      </c>
      <c r="BT432" s="4">
        <v>0.6</v>
      </c>
      <c r="BU432" s="4">
        <v>0.3</v>
      </c>
      <c r="BV432" s="4">
        <v>986.00732400000004</v>
      </c>
      <c r="BW432" s="4">
        <v>1.0999999999999999E-2</v>
      </c>
      <c r="BX432" s="4" t="s">
        <v>327</v>
      </c>
      <c r="BY432" s="4" t="s">
        <v>327</v>
      </c>
      <c r="BZ432" s="4" t="s">
        <v>326</v>
      </c>
      <c r="CA432" s="4" t="s">
        <v>326</v>
      </c>
    </row>
    <row r="433" spans="1:79" x14ac:dyDescent="0.3">
      <c r="A433" s="4" t="s">
        <v>256</v>
      </c>
      <c r="B433" s="4">
        <v>0.9</v>
      </c>
      <c r="C433" s="4">
        <v>0.5</v>
      </c>
      <c r="D433" s="4">
        <v>0.6</v>
      </c>
      <c r="E433" s="4">
        <v>0.65</v>
      </c>
      <c r="F433" s="4">
        <v>763.34381099999996</v>
      </c>
      <c r="G433" s="4">
        <v>2.4E-2</v>
      </c>
      <c r="I433" s="4" t="s">
        <v>256</v>
      </c>
      <c r="J433" s="4">
        <v>0.9</v>
      </c>
      <c r="K433" s="4">
        <v>0.5</v>
      </c>
      <c r="L433" s="4">
        <v>0.6</v>
      </c>
      <c r="M433" s="4">
        <v>0.33</v>
      </c>
      <c r="N433" s="6">
        <v>705.68798800000002</v>
      </c>
      <c r="O433" s="4">
        <v>3.0000000000000001E-3</v>
      </c>
      <c r="P433" s="3">
        <f>COUNT(F432,F434,F438:F439,F442,F444:F445)</f>
        <v>7</v>
      </c>
      <c r="Q433" s="3">
        <f>30-P433</f>
        <v>23</v>
      </c>
      <c r="R433" s="3">
        <f>COUNT(N433,N435:N437,N440:N441,N443,N446:N461)</f>
        <v>23</v>
      </c>
      <c r="S433" s="3">
        <f>30-R433</f>
        <v>7</v>
      </c>
      <c r="U433" s="4" t="s">
        <v>256</v>
      </c>
      <c r="V433" s="4">
        <v>0.9</v>
      </c>
      <c r="W433" s="4">
        <v>0.5</v>
      </c>
      <c r="X433" s="4">
        <v>0.6</v>
      </c>
      <c r="Y433" s="4">
        <v>0.84</v>
      </c>
      <c r="Z433" s="4">
        <v>757.94061299999998</v>
      </c>
      <c r="AA433" s="4">
        <v>2.4E-2</v>
      </c>
      <c r="AC433" s="4" t="s">
        <v>256</v>
      </c>
      <c r="AD433" s="4">
        <v>0.9</v>
      </c>
      <c r="AE433" s="4">
        <v>0.5</v>
      </c>
      <c r="AF433" s="4">
        <v>0.6</v>
      </c>
      <c r="AG433" s="4">
        <v>0.38</v>
      </c>
      <c r="AH433" s="6">
        <v>669.00976600000001</v>
      </c>
      <c r="AI433" s="4">
        <v>4.0000000000000001E-3</v>
      </c>
      <c r="AJ433" s="3">
        <f>COUNT(Z432,Z436,Z438:Z439,Z443,Z450,Z454,Z461)</f>
        <v>8</v>
      </c>
      <c r="AK433" s="3">
        <f>30-AJ433</f>
        <v>22</v>
      </c>
      <c r="AL433" s="3">
        <f>COUNT(AH433:AH435,AH437,AH440:AH442,AH444:AH449,AH451:AH453,AH455:AH460)</f>
        <v>22</v>
      </c>
      <c r="AM433" s="3">
        <f>30-AL433</f>
        <v>8</v>
      </c>
      <c r="AO433" s="4" t="s">
        <v>257</v>
      </c>
      <c r="AP433" s="4">
        <v>0.9</v>
      </c>
      <c r="AQ433" s="4">
        <v>0.5</v>
      </c>
      <c r="AR433" s="4">
        <v>0.6</v>
      </c>
      <c r="AS433" s="4">
        <v>0.62</v>
      </c>
      <c r="AT433" s="4">
        <v>1103.81665</v>
      </c>
      <c r="AU433" s="4">
        <v>3.1E-2</v>
      </c>
      <c r="AW433" s="4" t="s">
        <v>257</v>
      </c>
      <c r="AX433" s="4">
        <v>0.9</v>
      </c>
      <c r="AY433" s="4">
        <v>0.5</v>
      </c>
      <c r="AZ433" s="4">
        <v>0.6</v>
      </c>
      <c r="BA433" s="4">
        <v>0.3</v>
      </c>
      <c r="BB433" s="6">
        <v>1010.755615</v>
      </c>
      <c r="BC433" s="4">
        <v>8.9999999999999993E-3</v>
      </c>
      <c r="BD433" s="3">
        <f>COUNT(AT432,AT436,AT439,AT441,AT443,AT446:AT447,AT450:AT451,AT456,AT458,AT460)</f>
        <v>12</v>
      </c>
      <c r="BE433" s="3">
        <f>30-BD433</f>
        <v>18</v>
      </c>
      <c r="BF433" s="3">
        <f>COUNT(BB433:BB435,BB437:BB438,BB440,BB442,BB444:BB445,BB448:BB449,BB452:BB455,BB457,BB459,BB461)</f>
        <v>18</v>
      </c>
      <c r="BG433" s="3">
        <f>30-BF433</f>
        <v>12</v>
      </c>
      <c r="BI433" s="4" t="s">
        <v>257</v>
      </c>
      <c r="BJ433" s="4">
        <v>0.9</v>
      </c>
      <c r="BK433" s="4">
        <v>0.5</v>
      </c>
      <c r="BL433" s="4">
        <v>0.6</v>
      </c>
      <c r="BM433" s="4">
        <v>0.39</v>
      </c>
      <c r="BN433" s="4">
        <v>965.34362799999997</v>
      </c>
      <c r="BO433" s="4">
        <v>2.4E-2</v>
      </c>
      <c r="BQ433" s="4" t="s">
        <v>257</v>
      </c>
      <c r="BR433" s="4">
        <v>0.9</v>
      </c>
      <c r="BS433" s="4">
        <v>0.5</v>
      </c>
      <c r="BT433" s="4">
        <v>0.6</v>
      </c>
      <c r="BU433" s="4">
        <v>0.36</v>
      </c>
      <c r="BV433" s="6">
        <v>937.88281199999994</v>
      </c>
      <c r="BW433" s="4">
        <v>0.01</v>
      </c>
      <c r="BX433" s="3">
        <f>COUNT(BN432,BN434,BN438,BN446:BN448,BN455,BN457:BN458)</f>
        <v>9</v>
      </c>
      <c r="BY433" s="3">
        <f>30-BX433</f>
        <v>21</v>
      </c>
      <c r="BZ433" s="3">
        <f>COUNT(BV433,BV435:BV437,BV439:BV445,BV449:BV454,BV456,BV459:BV461)</f>
        <v>21</v>
      </c>
      <c r="CA433" s="3">
        <f>30-BZ433</f>
        <v>9</v>
      </c>
    </row>
    <row r="434" spans="1:79" x14ac:dyDescent="0.3">
      <c r="A434" s="4" t="s">
        <v>258</v>
      </c>
      <c r="B434" s="4">
        <v>0.9</v>
      </c>
      <c r="C434" s="4">
        <v>0.5</v>
      </c>
      <c r="D434" s="4">
        <v>0.6</v>
      </c>
      <c r="E434" s="4">
        <v>0.15</v>
      </c>
      <c r="F434" s="6">
        <v>636.49768100000006</v>
      </c>
      <c r="G434" s="4">
        <v>4.2000000000000003E-2</v>
      </c>
      <c r="I434" s="4" t="s">
        <v>258</v>
      </c>
      <c r="J434" s="4">
        <v>0.9</v>
      </c>
      <c r="K434" s="4">
        <v>0.5</v>
      </c>
      <c r="L434" s="4">
        <v>0.6</v>
      </c>
      <c r="M434" s="4">
        <v>0.3</v>
      </c>
      <c r="N434" s="4">
        <v>680.71917699999995</v>
      </c>
      <c r="O434" s="4">
        <v>2E-3</v>
      </c>
      <c r="P434" s="5"/>
      <c r="Q434" s="5"/>
      <c r="R434" s="5"/>
      <c r="S434" s="5"/>
      <c r="U434" s="4" t="s">
        <v>258</v>
      </c>
      <c r="V434" s="4">
        <v>0.9</v>
      </c>
      <c r="W434" s="4">
        <v>0.5</v>
      </c>
      <c r="X434" s="4">
        <v>0.6</v>
      </c>
      <c r="Y434" s="4">
        <v>0.45</v>
      </c>
      <c r="Z434" s="4">
        <v>681.66876200000002</v>
      </c>
      <c r="AA434" s="4">
        <v>1.2999999999999999E-2</v>
      </c>
      <c r="AC434" s="4" t="s">
        <v>258</v>
      </c>
      <c r="AD434" s="4">
        <v>0.9</v>
      </c>
      <c r="AE434" s="4">
        <v>0.5</v>
      </c>
      <c r="AF434" s="4">
        <v>0.6</v>
      </c>
      <c r="AG434" s="4">
        <v>0.32</v>
      </c>
      <c r="AH434" s="6">
        <v>643.89947500000005</v>
      </c>
      <c r="AI434" s="4">
        <v>2E-3</v>
      </c>
      <c r="AJ434" s="5"/>
      <c r="AK434" s="5"/>
      <c r="AL434" s="5"/>
      <c r="AM434" s="5"/>
      <c r="AO434" s="4" t="s">
        <v>259</v>
      </c>
      <c r="AP434" s="4">
        <v>0.9</v>
      </c>
      <c r="AQ434" s="4">
        <v>0.5</v>
      </c>
      <c r="AR434" s="4">
        <v>0.6</v>
      </c>
      <c r="AS434" s="4">
        <v>0.83</v>
      </c>
      <c r="AT434" s="4">
        <v>1140.1549070000001</v>
      </c>
      <c r="AU434" s="4">
        <v>3.6999999999999998E-2</v>
      </c>
      <c r="AW434" s="4" t="s">
        <v>259</v>
      </c>
      <c r="AX434" s="4">
        <v>0.9</v>
      </c>
      <c r="AY434" s="4">
        <v>0.5</v>
      </c>
      <c r="AZ434" s="4">
        <v>0.6</v>
      </c>
      <c r="BA434" s="4">
        <v>0.35</v>
      </c>
      <c r="BB434" s="6">
        <v>1025.7624510000001</v>
      </c>
      <c r="BC434" s="4">
        <v>8.0000000000000002E-3</v>
      </c>
      <c r="BD434" s="5"/>
      <c r="BE434" s="5"/>
      <c r="BF434" s="5"/>
      <c r="BG434" s="5"/>
      <c r="BI434" s="4" t="s">
        <v>259</v>
      </c>
      <c r="BJ434" s="4">
        <v>0.9</v>
      </c>
      <c r="BK434" s="4">
        <v>0.5</v>
      </c>
      <c r="BL434" s="4">
        <v>0.6</v>
      </c>
      <c r="BM434" s="4">
        <v>0.31</v>
      </c>
      <c r="BN434" s="6">
        <v>937.44152799999995</v>
      </c>
      <c r="BO434" s="4">
        <v>2.1000000000000001E-2</v>
      </c>
      <c r="BQ434" s="4" t="s">
        <v>259</v>
      </c>
      <c r="BR434" s="4">
        <v>0.9</v>
      </c>
      <c r="BS434" s="4">
        <v>0.5</v>
      </c>
      <c r="BT434" s="4">
        <v>0.6</v>
      </c>
      <c r="BU434" s="4">
        <v>0.3</v>
      </c>
      <c r="BV434" s="4">
        <v>979.68316700000003</v>
      </c>
      <c r="BW434" s="4">
        <v>1.2999999999999999E-2</v>
      </c>
      <c r="BX434" s="5"/>
      <c r="BY434" s="5"/>
      <c r="BZ434" s="5"/>
      <c r="CA434" s="5"/>
    </row>
    <row r="435" spans="1:79" x14ac:dyDescent="0.3">
      <c r="A435" s="4" t="s">
        <v>260</v>
      </c>
      <c r="B435" s="4">
        <v>0.9</v>
      </c>
      <c r="C435" s="4">
        <v>0.5</v>
      </c>
      <c r="D435" s="4">
        <v>0.6</v>
      </c>
      <c r="E435" s="4">
        <v>0.82</v>
      </c>
      <c r="F435" s="4">
        <v>815.81689500000005</v>
      </c>
      <c r="G435" s="4">
        <v>2.4E-2</v>
      </c>
      <c r="I435" s="4" t="s">
        <v>260</v>
      </c>
      <c r="J435" s="4">
        <v>0.9</v>
      </c>
      <c r="K435" s="4">
        <v>0.5</v>
      </c>
      <c r="L435" s="4">
        <v>0.6</v>
      </c>
      <c r="M435" s="4">
        <v>0.36</v>
      </c>
      <c r="N435" s="6">
        <v>716.15741000000003</v>
      </c>
      <c r="O435" s="4">
        <v>2E-3</v>
      </c>
      <c r="P435" s="5"/>
      <c r="Q435" s="5"/>
      <c r="R435" s="5"/>
      <c r="S435" s="5"/>
      <c r="U435" s="4" t="s">
        <v>260</v>
      </c>
      <c r="V435" s="4">
        <v>0.9</v>
      </c>
      <c r="W435" s="4">
        <v>0.5</v>
      </c>
      <c r="X435" s="4">
        <v>0.6</v>
      </c>
      <c r="Y435" s="4">
        <v>0.4</v>
      </c>
      <c r="Z435" s="4">
        <v>699.86529499999995</v>
      </c>
      <c r="AA435" s="4">
        <v>2.5999999999999999E-2</v>
      </c>
      <c r="AC435" s="4" t="s">
        <v>260</v>
      </c>
      <c r="AD435" s="4">
        <v>0.9</v>
      </c>
      <c r="AE435" s="4">
        <v>0.5</v>
      </c>
      <c r="AF435" s="4">
        <v>0.6</v>
      </c>
      <c r="AG435" s="4">
        <v>0.43</v>
      </c>
      <c r="AH435" s="6">
        <v>694.00067100000001</v>
      </c>
      <c r="AI435" s="4">
        <v>6.0000000000000001E-3</v>
      </c>
      <c r="AJ435" s="5"/>
      <c r="AK435" s="5"/>
      <c r="AL435" s="5"/>
      <c r="AM435" s="5"/>
      <c r="AO435" s="4" t="s">
        <v>261</v>
      </c>
      <c r="AP435" s="4">
        <v>0.9</v>
      </c>
      <c r="AQ435" s="4">
        <v>0.5</v>
      </c>
      <c r="AR435" s="4">
        <v>0.6</v>
      </c>
      <c r="AS435" s="4">
        <v>0.5</v>
      </c>
      <c r="AT435" s="4">
        <v>1035.7042240000001</v>
      </c>
      <c r="AU435" s="4">
        <v>0.04</v>
      </c>
      <c r="AW435" s="4" t="s">
        <v>261</v>
      </c>
      <c r="AX435" s="4">
        <v>0.9</v>
      </c>
      <c r="AY435" s="4">
        <v>0.5</v>
      </c>
      <c r="AZ435" s="4">
        <v>0.6</v>
      </c>
      <c r="BA435" s="4">
        <v>0.34</v>
      </c>
      <c r="BB435" s="6">
        <v>997.81982400000004</v>
      </c>
      <c r="BC435" s="4">
        <v>8.0000000000000002E-3</v>
      </c>
      <c r="BD435" s="5"/>
      <c r="BE435" s="5"/>
      <c r="BF435" s="5"/>
      <c r="BG435" s="5"/>
      <c r="BI435" s="4" t="s">
        <v>261</v>
      </c>
      <c r="BJ435" s="4">
        <v>0.9</v>
      </c>
      <c r="BK435" s="4">
        <v>0.5</v>
      </c>
      <c r="BL435" s="4">
        <v>0.6</v>
      </c>
      <c r="BM435" s="4">
        <v>0.7</v>
      </c>
      <c r="BN435" s="4">
        <v>1014.841797</v>
      </c>
      <c r="BO435" s="4">
        <v>2.7E-2</v>
      </c>
      <c r="BQ435" s="4" t="s">
        <v>261</v>
      </c>
      <c r="BR435" s="4">
        <v>0.9</v>
      </c>
      <c r="BS435" s="4">
        <v>0.5</v>
      </c>
      <c r="BT435" s="4">
        <v>0.6</v>
      </c>
      <c r="BU435" s="4">
        <v>0.31</v>
      </c>
      <c r="BV435" s="6">
        <v>914.20495600000004</v>
      </c>
      <c r="BW435" s="4">
        <v>8.0000000000000002E-3</v>
      </c>
      <c r="BX435" s="5"/>
      <c r="BY435" s="5"/>
      <c r="BZ435" s="5"/>
      <c r="CA435" s="5"/>
    </row>
    <row r="436" spans="1:79" x14ac:dyDescent="0.3">
      <c r="A436" s="4" t="s">
        <v>262</v>
      </c>
      <c r="B436" s="4">
        <v>0.9</v>
      </c>
      <c r="C436" s="4">
        <v>0.5</v>
      </c>
      <c r="D436" s="4">
        <v>0.6</v>
      </c>
      <c r="E436" s="4">
        <v>0.72</v>
      </c>
      <c r="F436" s="4">
        <v>891.28527799999995</v>
      </c>
      <c r="G436" s="4">
        <v>2.7E-2</v>
      </c>
      <c r="I436" s="4" t="s">
        <v>262</v>
      </c>
      <c r="J436" s="4">
        <v>0.9</v>
      </c>
      <c r="K436" s="4">
        <v>0.5</v>
      </c>
      <c r="L436" s="4">
        <v>0.6</v>
      </c>
      <c r="M436" s="4">
        <v>0.39</v>
      </c>
      <c r="N436" s="6">
        <v>734.45800799999995</v>
      </c>
      <c r="O436" s="4">
        <v>3.0000000000000001E-3</v>
      </c>
      <c r="P436" s="5"/>
      <c r="Q436" s="5"/>
      <c r="R436" s="5"/>
      <c r="S436" s="5"/>
      <c r="U436" s="4" t="s">
        <v>262</v>
      </c>
      <c r="V436" s="4">
        <v>0.9</v>
      </c>
      <c r="W436" s="4">
        <v>0.5</v>
      </c>
      <c r="X436" s="4">
        <v>0.6</v>
      </c>
      <c r="Y436" s="4">
        <v>0.09</v>
      </c>
      <c r="Z436" s="6">
        <v>656.53918499999997</v>
      </c>
      <c r="AA436" s="4">
        <v>1.0999999999999999E-2</v>
      </c>
      <c r="AC436" s="4" t="s">
        <v>262</v>
      </c>
      <c r="AD436" s="4">
        <v>0.9</v>
      </c>
      <c r="AE436" s="4">
        <v>0.5</v>
      </c>
      <c r="AF436" s="4">
        <v>0.6</v>
      </c>
      <c r="AG436" s="4">
        <v>0.3</v>
      </c>
      <c r="AH436" s="4">
        <v>722.524902</v>
      </c>
      <c r="AI436" s="4">
        <v>4.0000000000000001E-3</v>
      </c>
      <c r="AJ436" s="5"/>
      <c r="AK436" s="5"/>
      <c r="AL436" s="5"/>
      <c r="AM436" s="5"/>
      <c r="AO436" s="4" t="s">
        <v>263</v>
      </c>
      <c r="AP436" s="4">
        <v>0.9</v>
      </c>
      <c r="AQ436" s="4">
        <v>0.5</v>
      </c>
      <c r="AR436" s="4">
        <v>0.6</v>
      </c>
      <c r="AS436" s="4">
        <v>0.19</v>
      </c>
      <c r="AT436" s="6">
        <v>944.18713400000001</v>
      </c>
      <c r="AU436" s="4">
        <v>2.1000000000000001E-2</v>
      </c>
      <c r="AW436" s="4" t="s">
        <v>263</v>
      </c>
      <c r="AX436" s="4">
        <v>0.9</v>
      </c>
      <c r="AY436" s="4">
        <v>0.5</v>
      </c>
      <c r="AZ436" s="4">
        <v>0.6</v>
      </c>
      <c r="BA436" s="4">
        <v>0.31</v>
      </c>
      <c r="BB436" s="4">
        <v>1017.228394</v>
      </c>
      <c r="BC436" s="4">
        <v>8.0000000000000002E-3</v>
      </c>
      <c r="BD436" s="5"/>
      <c r="BE436" s="5"/>
      <c r="BF436" s="5"/>
      <c r="BG436" s="5"/>
      <c r="BI436" s="4" t="s">
        <v>263</v>
      </c>
      <c r="BJ436" s="4">
        <v>0.9</v>
      </c>
      <c r="BK436" s="4">
        <v>0.5</v>
      </c>
      <c r="BL436" s="4">
        <v>0.6</v>
      </c>
      <c r="BM436" s="4">
        <v>0.93</v>
      </c>
      <c r="BN436" s="4">
        <v>1095.24353</v>
      </c>
      <c r="BO436" s="4">
        <v>0.02</v>
      </c>
      <c r="BQ436" s="4" t="s">
        <v>263</v>
      </c>
      <c r="BR436" s="4">
        <v>0.9</v>
      </c>
      <c r="BS436" s="4">
        <v>0.5</v>
      </c>
      <c r="BT436" s="4">
        <v>0.6</v>
      </c>
      <c r="BU436" s="4">
        <v>0.32</v>
      </c>
      <c r="BV436" s="6">
        <v>985.99969499999997</v>
      </c>
      <c r="BW436" s="4">
        <v>0.01</v>
      </c>
      <c r="BX436" s="5"/>
      <c r="BY436" s="5"/>
      <c r="BZ436" s="5"/>
      <c r="CA436" s="5"/>
    </row>
    <row r="437" spans="1:79" x14ac:dyDescent="0.3">
      <c r="A437" s="4" t="s">
        <v>264</v>
      </c>
      <c r="B437" s="4">
        <v>0.9</v>
      </c>
      <c r="C437" s="4">
        <v>0.5</v>
      </c>
      <c r="D437" s="4">
        <v>0.6</v>
      </c>
      <c r="E437" s="4">
        <v>0.43</v>
      </c>
      <c r="F437" s="4">
        <v>776.88085899999999</v>
      </c>
      <c r="G437" s="4">
        <v>1.6E-2</v>
      </c>
      <c r="I437" s="4" t="s">
        <v>264</v>
      </c>
      <c r="J437" s="4">
        <v>0.9</v>
      </c>
      <c r="K437" s="4">
        <v>0.5</v>
      </c>
      <c r="L437" s="4">
        <v>0.6</v>
      </c>
      <c r="M437" s="4">
        <v>0.33</v>
      </c>
      <c r="N437" s="6">
        <v>734.08807400000001</v>
      </c>
      <c r="O437" s="4">
        <v>3.0000000000000001E-3</v>
      </c>
      <c r="P437" s="5"/>
      <c r="Q437" s="5"/>
      <c r="R437" s="5"/>
      <c r="S437" s="5"/>
      <c r="U437" s="4" t="s">
        <v>264</v>
      </c>
      <c r="V437" s="4">
        <v>0.9</v>
      </c>
      <c r="W437" s="4">
        <v>0.5</v>
      </c>
      <c r="X437" s="4">
        <v>0.6</v>
      </c>
      <c r="Y437" s="4">
        <v>0.98</v>
      </c>
      <c r="Z437" s="4">
        <v>853.91528300000004</v>
      </c>
      <c r="AA437" s="4">
        <v>1.4999999999999999E-2</v>
      </c>
      <c r="AC437" s="4" t="s">
        <v>264</v>
      </c>
      <c r="AD437" s="4">
        <v>0.9</v>
      </c>
      <c r="AE437" s="4">
        <v>0.5</v>
      </c>
      <c r="AF437" s="4">
        <v>0.6</v>
      </c>
      <c r="AG437" s="4">
        <v>0.3</v>
      </c>
      <c r="AH437" s="6">
        <v>701.66107199999999</v>
      </c>
      <c r="AI437" s="4">
        <v>5.0000000000000001E-3</v>
      </c>
      <c r="AJ437" s="5"/>
      <c r="AK437" s="5"/>
      <c r="AL437" s="5"/>
      <c r="AM437" s="5"/>
      <c r="AO437" s="4" t="s">
        <v>265</v>
      </c>
      <c r="AP437" s="4">
        <v>0.9</v>
      </c>
      <c r="AQ437" s="4">
        <v>0.5</v>
      </c>
      <c r="AR437" s="4">
        <v>0.6</v>
      </c>
      <c r="AS437" s="4">
        <v>0.33</v>
      </c>
      <c r="AT437" s="4">
        <v>1008.366516</v>
      </c>
      <c r="AU437" s="4">
        <v>4.2999999999999997E-2</v>
      </c>
      <c r="AW437" s="4" t="s">
        <v>265</v>
      </c>
      <c r="AX437" s="4">
        <v>0.9</v>
      </c>
      <c r="AY437" s="4">
        <v>0.5</v>
      </c>
      <c r="AZ437" s="4">
        <v>0.6</v>
      </c>
      <c r="BA437" s="4">
        <v>0.3</v>
      </c>
      <c r="BB437" s="6">
        <v>971.59637499999997</v>
      </c>
      <c r="BC437" s="4">
        <v>8.0000000000000002E-3</v>
      </c>
      <c r="BD437" s="5"/>
      <c r="BE437" s="5"/>
      <c r="BF437" s="5"/>
      <c r="BG437" s="5"/>
      <c r="BI437" s="4" t="s">
        <v>265</v>
      </c>
      <c r="BJ437" s="4">
        <v>0.9</v>
      </c>
      <c r="BK437" s="4">
        <v>0.5</v>
      </c>
      <c r="BL437" s="4">
        <v>0.6</v>
      </c>
      <c r="BM437" s="4">
        <v>0.36</v>
      </c>
      <c r="BN437" s="4">
        <v>972.96899399999995</v>
      </c>
      <c r="BO437" s="4">
        <v>3.5999999999999997E-2</v>
      </c>
      <c r="BQ437" s="4" t="s">
        <v>265</v>
      </c>
      <c r="BR437" s="4">
        <v>0.9</v>
      </c>
      <c r="BS437" s="4">
        <v>0.5</v>
      </c>
      <c r="BT437" s="4">
        <v>0.6</v>
      </c>
      <c r="BU437" s="4">
        <v>0.3</v>
      </c>
      <c r="BV437" s="6">
        <v>926.19329800000003</v>
      </c>
      <c r="BW437" s="4">
        <v>0.01</v>
      </c>
      <c r="BX437" s="5"/>
      <c r="BY437" s="5"/>
      <c r="BZ437" s="5"/>
      <c r="CA437" s="5"/>
    </row>
    <row r="438" spans="1:79" x14ac:dyDescent="0.3">
      <c r="A438" s="4" t="s">
        <v>266</v>
      </c>
      <c r="B438" s="4">
        <v>0.9</v>
      </c>
      <c r="C438" s="4">
        <v>0.5</v>
      </c>
      <c r="D438" s="4">
        <v>0.6</v>
      </c>
      <c r="E438" s="4">
        <v>0.73</v>
      </c>
      <c r="F438" s="6">
        <v>715.08727999999996</v>
      </c>
      <c r="G438" s="4">
        <v>1.2E-2</v>
      </c>
      <c r="I438" s="4" t="s">
        <v>266</v>
      </c>
      <c r="J438" s="4">
        <v>0.9</v>
      </c>
      <c r="K438" s="4">
        <v>0.5</v>
      </c>
      <c r="L438" s="4">
        <v>0.6</v>
      </c>
      <c r="M438" s="4">
        <v>0.3</v>
      </c>
      <c r="N438" s="4">
        <v>652.95642099999998</v>
      </c>
      <c r="O438" s="4">
        <v>2E-3</v>
      </c>
      <c r="P438" s="5"/>
      <c r="Q438" s="5"/>
      <c r="R438" s="5"/>
      <c r="S438" s="5"/>
      <c r="U438" s="4" t="s">
        <v>266</v>
      </c>
      <c r="V438" s="4">
        <v>0.9</v>
      </c>
      <c r="W438" s="4">
        <v>0.5</v>
      </c>
      <c r="X438" s="4">
        <v>0.6</v>
      </c>
      <c r="Y438" s="4">
        <v>0.02</v>
      </c>
      <c r="Z438" s="6">
        <v>514.72705099999996</v>
      </c>
      <c r="AA438" s="4">
        <v>2.1000000000000001E-2</v>
      </c>
      <c r="AC438" s="4" t="s">
        <v>266</v>
      </c>
      <c r="AD438" s="4">
        <v>0.9</v>
      </c>
      <c r="AE438" s="4">
        <v>0.5</v>
      </c>
      <c r="AF438" s="4">
        <v>0.6</v>
      </c>
      <c r="AG438" s="4">
        <v>0.3</v>
      </c>
      <c r="AH438" s="4">
        <v>592.70361300000002</v>
      </c>
      <c r="AI438" s="4">
        <v>3.0000000000000001E-3</v>
      </c>
      <c r="AJ438" s="5"/>
      <c r="AK438" s="5"/>
      <c r="AL438" s="5"/>
      <c r="AM438" s="5"/>
      <c r="AO438" s="4" t="s">
        <v>267</v>
      </c>
      <c r="AP438" s="4">
        <v>0.9</v>
      </c>
      <c r="AQ438" s="4">
        <v>0.5</v>
      </c>
      <c r="AR438" s="4">
        <v>0.6</v>
      </c>
      <c r="AS438" s="4">
        <v>0.8</v>
      </c>
      <c r="AT438" s="4">
        <v>1167.823975</v>
      </c>
      <c r="AU438" s="4">
        <v>3.1E-2</v>
      </c>
      <c r="AW438" s="4" t="s">
        <v>267</v>
      </c>
      <c r="AX438" s="4">
        <v>0.9</v>
      </c>
      <c r="AY438" s="4">
        <v>0.5</v>
      </c>
      <c r="AZ438" s="4">
        <v>0.6</v>
      </c>
      <c r="BA438" s="4">
        <v>0.32</v>
      </c>
      <c r="BB438" s="6">
        <v>1041.963501</v>
      </c>
      <c r="BC438" s="4">
        <v>8.9999999999999993E-3</v>
      </c>
      <c r="BD438" s="5"/>
      <c r="BE438" s="5"/>
      <c r="BF438" s="5"/>
      <c r="BG438" s="5"/>
      <c r="BI438" s="4" t="s">
        <v>267</v>
      </c>
      <c r="BJ438" s="4">
        <v>0.9</v>
      </c>
      <c r="BK438" s="4">
        <v>0.5</v>
      </c>
      <c r="BL438" s="4">
        <v>0.6</v>
      </c>
      <c r="BM438" s="4">
        <v>0.33</v>
      </c>
      <c r="BN438" s="6">
        <v>1000.171814</v>
      </c>
      <c r="BO438" s="4">
        <v>2.4E-2</v>
      </c>
      <c r="BQ438" s="4" t="s">
        <v>267</v>
      </c>
      <c r="BR438" s="4">
        <v>0.9</v>
      </c>
      <c r="BS438" s="4">
        <v>0.5</v>
      </c>
      <c r="BT438" s="4">
        <v>0.6</v>
      </c>
      <c r="BU438" s="4">
        <v>0.3</v>
      </c>
      <c r="BV438" s="4">
        <v>1003.553345</v>
      </c>
      <c r="BW438" s="4">
        <v>0.01</v>
      </c>
      <c r="BX438" s="5"/>
      <c r="BY438" s="5"/>
      <c r="BZ438" s="5"/>
      <c r="CA438" s="5"/>
    </row>
    <row r="439" spans="1:79" x14ac:dyDescent="0.3">
      <c r="A439" s="4" t="s">
        <v>268</v>
      </c>
      <c r="B439" s="4">
        <v>0.9</v>
      </c>
      <c r="C439" s="4">
        <v>0.5</v>
      </c>
      <c r="D439" s="4">
        <v>0.6</v>
      </c>
      <c r="E439" s="4">
        <v>0.3</v>
      </c>
      <c r="F439" s="6">
        <v>710.45544400000006</v>
      </c>
      <c r="G439" s="4">
        <v>1.7000000000000001E-2</v>
      </c>
      <c r="I439" s="4" t="s">
        <v>268</v>
      </c>
      <c r="J439" s="4">
        <v>0.9</v>
      </c>
      <c r="K439" s="4">
        <v>0.5</v>
      </c>
      <c r="L439" s="4">
        <v>0.6</v>
      </c>
      <c r="M439" s="4">
        <v>0.33</v>
      </c>
      <c r="N439" s="4">
        <v>723.39947500000005</v>
      </c>
      <c r="O439" s="4">
        <v>3.0000000000000001E-3</v>
      </c>
      <c r="P439" s="5"/>
      <c r="Q439" s="5"/>
      <c r="R439" s="5"/>
      <c r="S439" s="5"/>
      <c r="U439" s="4" t="s">
        <v>268</v>
      </c>
      <c r="V439" s="4">
        <v>0.9</v>
      </c>
      <c r="W439" s="4">
        <v>0.5</v>
      </c>
      <c r="X439" s="4">
        <v>0.6</v>
      </c>
      <c r="Y439" s="4">
        <v>0.23</v>
      </c>
      <c r="Z439" s="6">
        <v>666.58117700000003</v>
      </c>
      <c r="AA439" s="4">
        <v>0.03</v>
      </c>
      <c r="AC439" s="4" t="s">
        <v>268</v>
      </c>
      <c r="AD439" s="4">
        <v>0.9</v>
      </c>
      <c r="AE439" s="4">
        <v>0.5</v>
      </c>
      <c r="AF439" s="4">
        <v>0.6</v>
      </c>
      <c r="AG439" s="4">
        <v>0.37</v>
      </c>
      <c r="AH439" s="4">
        <v>682.29632600000002</v>
      </c>
      <c r="AI439" s="4">
        <v>4.0000000000000001E-3</v>
      </c>
      <c r="AJ439" s="5"/>
      <c r="AK439" s="5"/>
      <c r="AL439" s="5"/>
      <c r="AM439" s="5"/>
      <c r="AO439" s="4" t="s">
        <v>269</v>
      </c>
      <c r="AP439" s="4">
        <v>0.9</v>
      </c>
      <c r="AQ439" s="4">
        <v>0.5</v>
      </c>
      <c r="AR439" s="4">
        <v>0.6</v>
      </c>
      <c r="AS439" s="4">
        <v>0.13</v>
      </c>
      <c r="AT439" s="6">
        <v>863.18359399999997</v>
      </c>
      <c r="AU439" s="4">
        <v>1.9E-2</v>
      </c>
      <c r="AW439" s="4" t="s">
        <v>269</v>
      </c>
      <c r="AX439" s="4">
        <v>0.9</v>
      </c>
      <c r="AY439" s="4">
        <v>0.5</v>
      </c>
      <c r="AZ439" s="4">
        <v>0.6</v>
      </c>
      <c r="BA439" s="4">
        <v>0.34</v>
      </c>
      <c r="BB439" s="4">
        <v>996.51062000000002</v>
      </c>
      <c r="BC439" s="4">
        <v>8.9999999999999993E-3</v>
      </c>
      <c r="BD439" s="5"/>
      <c r="BE439" s="5"/>
      <c r="BF439" s="5"/>
      <c r="BG439" s="5"/>
      <c r="BI439" s="4" t="s">
        <v>269</v>
      </c>
      <c r="BJ439" s="4">
        <v>0.9</v>
      </c>
      <c r="BK439" s="4">
        <v>0.5</v>
      </c>
      <c r="BL439" s="4">
        <v>0.6</v>
      </c>
      <c r="BM439" s="4">
        <v>0.61</v>
      </c>
      <c r="BN439" s="4">
        <v>1030.0229489999999</v>
      </c>
      <c r="BO439" s="4">
        <v>3.5999999999999997E-2</v>
      </c>
      <c r="BQ439" s="4" t="s">
        <v>269</v>
      </c>
      <c r="BR439" s="4">
        <v>0.9</v>
      </c>
      <c r="BS439" s="4">
        <v>0.5</v>
      </c>
      <c r="BT439" s="4">
        <v>0.6</v>
      </c>
      <c r="BU439" s="4">
        <v>0.3</v>
      </c>
      <c r="BV439" s="6">
        <v>939.22564699999998</v>
      </c>
      <c r="BW439" s="4">
        <v>0.01</v>
      </c>
      <c r="BX439" s="5"/>
      <c r="BY439" s="5"/>
      <c r="BZ439" s="5"/>
      <c r="CA439" s="5"/>
    </row>
    <row r="440" spans="1:79" x14ac:dyDescent="0.3">
      <c r="A440" s="4" t="s">
        <v>270</v>
      </c>
      <c r="B440" s="4">
        <v>0.9</v>
      </c>
      <c r="C440" s="4">
        <v>0.5</v>
      </c>
      <c r="D440" s="4">
        <v>0.6</v>
      </c>
      <c r="E440" s="4">
        <v>0.5</v>
      </c>
      <c r="F440" s="4">
        <v>653.91717500000004</v>
      </c>
      <c r="G440" s="4">
        <v>0.03</v>
      </c>
      <c r="I440" s="4" t="s">
        <v>270</v>
      </c>
      <c r="J440" s="4">
        <v>0.9</v>
      </c>
      <c r="K440" s="4">
        <v>0.5</v>
      </c>
      <c r="L440" s="4">
        <v>0.6</v>
      </c>
      <c r="M440" s="4">
        <v>0.3</v>
      </c>
      <c r="N440" s="6">
        <v>626.87487799999997</v>
      </c>
      <c r="O440" s="4">
        <v>3.0000000000000001E-3</v>
      </c>
      <c r="P440" s="5"/>
      <c r="Q440" s="5"/>
      <c r="R440" s="5"/>
      <c r="S440" s="5"/>
      <c r="U440" s="4" t="s">
        <v>270</v>
      </c>
      <c r="V440" s="4">
        <v>0.9</v>
      </c>
      <c r="W440" s="4">
        <v>0.5</v>
      </c>
      <c r="X440" s="4">
        <v>0.6</v>
      </c>
      <c r="Y440" s="4">
        <v>0.95</v>
      </c>
      <c r="Z440" s="4">
        <v>663.98468000000003</v>
      </c>
      <c r="AA440" s="4">
        <v>1.7999999999999999E-2</v>
      </c>
      <c r="AC440" s="4" t="s">
        <v>270</v>
      </c>
      <c r="AD440" s="4">
        <v>0.9</v>
      </c>
      <c r="AE440" s="4">
        <v>0.5</v>
      </c>
      <c r="AF440" s="4">
        <v>0.6</v>
      </c>
      <c r="AG440" s="4">
        <v>0.31</v>
      </c>
      <c r="AH440" s="6">
        <v>568.68505900000002</v>
      </c>
      <c r="AI440" s="4">
        <v>3.0000000000000001E-3</v>
      </c>
      <c r="AJ440" s="5"/>
      <c r="AK440" s="5"/>
      <c r="AL440" s="5"/>
      <c r="AM440" s="5"/>
      <c r="AO440" s="4" t="s">
        <v>271</v>
      </c>
      <c r="AP440" s="4">
        <v>0.9</v>
      </c>
      <c r="AQ440" s="4">
        <v>0.5</v>
      </c>
      <c r="AR440" s="4">
        <v>0.6</v>
      </c>
      <c r="AS440" s="4">
        <v>0.93</v>
      </c>
      <c r="AT440" s="4">
        <v>1156.3131100000001</v>
      </c>
      <c r="AU440" s="4">
        <v>0.03</v>
      </c>
      <c r="AW440" s="4" t="s">
        <v>271</v>
      </c>
      <c r="AX440" s="4">
        <v>0.9</v>
      </c>
      <c r="AY440" s="4">
        <v>0.5</v>
      </c>
      <c r="AZ440" s="4">
        <v>0.6</v>
      </c>
      <c r="BA440" s="4">
        <v>0.3</v>
      </c>
      <c r="BB440" s="6">
        <v>997.76251200000002</v>
      </c>
      <c r="BC440" s="4">
        <v>8.9999999999999993E-3</v>
      </c>
      <c r="BD440" s="5"/>
      <c r="BE440" s="5"/>
      <c r="BF440" s="5"/>
      <c r="BG440" s="5"/>
      <c r="BI440" s="4" t="s">
        <v>271</v>
      </c>
      <c r="BJ440" s="4">
        <v>0.9</v>
      </c>
      <c r="BK440" s="4">
        <v>0.5</v>
      </c>
      <c r="BL440" s="4">
        <v>0.6</v>
      </c>
      <c r="BM440" s="4">
        <v>0.69</v>
      </c>
      <c r="BN440" s="4">
        <v>1062.8472899999999</v>
      </c>
      <c r="BO440" s="4">
        <v>0.03</v>
      </c>
      <c r="BQ440" s="4" t="s">
        <v>271</v>
      </c>
      <c r="BR440" s="4">
        <v>0.9</v>
      </c>
      <c r="BS440" s="4">
        <v>0.5</v>
      </c>
      <c r="BT440" s="4">
        <v>0.6</v>
      </c>
      <c r="BU440" s="4">
        <v>0.3</v>
      </c>
      <c r="BV440" s="6">
        <v>963.63671899999997</v>
      </c>
      <c r="BW440" s="4">
        <v>0.01</v>
      </c>
      <c r="BX440" s="5"/>
      <c r="BY440" s="5"/>
      <c r="BZ440" s="5"/>
      <c r="CA440" s="5"/>
    </row>
    <row r="441" spans="1:79" x14ac:dyDescent="0.3">
      <c r="A441" s="4" t="s">
        <v>272</v>
      </c>
      <c r="B441" s="4">
        <v>0.9</v>
      </c>
      <c r="C441" s="4">
        <v>0.5</v>
      </c>
      <c r="D441" s="4">
        <v>0.6</v>
      </c>
      <c r="E441" s="4">
        <v>0.94</v>
      </c>
      <c r="F441" s="4">
        <v>890.96478300000001</v>
      </c>
      <c r="G441" s="4">
        <v>2.1999999999999999E-2</v>
      </c>
      <c r="I441" s="4" t="s">
        <v>272</v>
      </c>
      <c r="J441" s="4">
        <v>0.9</v>
      </c>
      <c r="K441" s="4">
        <v>0.5</v>
      </c>
      <c r="L441" s="4">
        <v>0.6</v>
      </c>
      <c r="M441" s="4">
        <v>0.3</v>
      </c>
      <c r="N441" s="6">
        <v>778.91326900000001</v>
      </c>
      <c r="O441" s="4">
        <v>3.0000000000000001E-3</v>
      </c>
      <c r="P441" s="5"/>
      <c r="Q441" s="5"/>
      <c r="R441" s="5"/>
      <c r="S441" s="5"/>
      <c r="U441" s="4" t="s">
        <v>272</v>
      </c>
      <c r="V441" s="4">
        <v>0.9</v>
      </c>
      <c r="W441" s="4">
        <v>0.5</v>
      </c>
      <c r="X441" s="4">
        <v>0.6</v>
      </c>
      <c r="Y441" s="4">
        <v>0.91</v>
      </c>
      <c r="Z441" s="4">
        <v>878.62390100000005</v>
      </c>
      <c r="AA441" s="4">
        <v>2.1999999999999999E-2</v>
      </c>
      <c r="AC441" s="4" t="s">
        <v>272</v>
      </c>
      <c r="AD441" s="4">
        <v>0.9</v>
      </c>
      <c r="AE441" s="4">
        <v>0.5</v>
      </c>
      <c r="AF441" s="4">
        <v>0.6</v>
      </c>
      <c r="AG441" s="4">
        <v>0.33</v>
      </c>
      <c r="AH441" s="6">
        <v>754.27893100000006</v>
      </c>
      <c r="AI441" s="4">
        <v>4.0000000000000001E-3</v>
      </c>
      <c r="AJ441" s="5"/>
      <c r="AK441" s="5"/>
      <c r="AL441" s="5"/>
      <c r="AM441" s="5"/>
      <c r="AO441" s="4" t="s">
        <v>273</v>
      </c>
      <c r="AP441" s="4">
        <v>0.9</v>
      </c>
      <c r="AQ441" s="4">
        <v>0.5</v>
      </c>
      <c r="AR441" s="4">
        <v>0.6</v>
      </c>
      <c r="AS441" s="4">
        <v>0.01</v>
      </c>
      <c r="AT441" s="6">
        <v>896.68231200000002</v>
      </c>
      <c r="AU441" s="4">
        <v>2.4E-2</v>
      </c>
      <c r="AW441" s="4" t="s">
        <v>273</v>
      </c>
      <c r="AX441" s="4">
        <v>0.9</v>
      </c>
      <c r="AY441" s="4">
        <v>0.5</v>
      </c>
      <c r="AZ441" s="4">
        <v>0.6</v>
      </c>
      <c r="BA441" s="4">
        <v>0.3</v>
      </c>
      <c r="BB441" s="4">
        <v>1019.4774169999999</v>
      </c>
      <c r="BC441" s="4">
        <v>8.0000000000000002E-3</v>
      </c>
      <c r="BD441" s="5"/>
      <c r="BE441" s="5"/>
      <c r="BF441" s="5"/>
      <c r="BG441" s="5"/>
      <c r="BI441" s="4" t="s">
        <v>273</v>
      </c>
      <c r="BJ441" s="4">
        <v>0.9</v>
      </c>
      <c r="BK441" s="4">
        <v>0.5</v>
      </c>
      <c r="BL441" s="4">
        <v>0.6</v>
      </c>
      <c r="BM441" s="4">
        <v>0.35</v>
      </c>
      <c r="BN441" s="4">
        <v>996.60260000000005</v>
      </c>
      <c r="BO441" s="4">
        <v>0.03</v>
      </c>
      <c r="BQ441" s="4" t="s">
        <v>273</v>
      </c>
      <c r="BR441" s="4">
        <v>0.9</v>
      </c>
      <c r="BS441" s="4">
        <v>0.5</v>
      </c>
      <c r="BT441" s="4">
        <v>0.6</v>
      </c>
      <c r="BU441" s="4">
        <v>0.33</v>
      </c>
      <c r="BV441" s="6">
        <v>977.91729699999996</v>
      </c>
      <c r="BW441" s="4">
        <v>0.01</v>
      </c>
      <c r="BX441" s="5"/>
      <c r="BY441" s="5"/>
      <c r="BZ441" s="5"/>
      <c r="CA441" s="5"/>
    </row>
    <row r="442" spans="1:79" x14ac:dyDescent="0.3">
      <c r="A442" s="4" t="s">
        <v>274</v>
      </c>
      <c r="B442" s="4">
        <v>0.9</v>
      </c>
      <c r="C442" s="4">
        <v>0.5</v>
      </c>
      <c r="D442" s="4">
        <v>0.6</v>
      </c>
      <c r="E442" s="4">
        <v>7.0000000000000007E-2</v>
      </c>
      <c r="F442" s="6">
        <v>727.16033900000002</v>
      </c>
      <c r="G442" s="4">
        <v>2.5000000000000001E-2</v>
      </c>
      <c r="I442" s="4" t="s">
        <v>274</v>
      </c>
      <c r="J442" s="4">
        <v>0.9</v>
      </c>
      <c r="K442" s="4">
        <v>0.5</v>
      </c>
      <c r="L442" s="4">
        <v>0.6</v>
      </c>
      <c r="M442" s="4">
        <v>0.3</v>
      </c>
      <c r="N442" s="4">
        <v>840.44274900000005</v>
      </c>
      <c r="O442" s="4">
        <v>3.0000000000000001E-3</v>
      </c>
      <c r="P442" s="5"/>
      <c r="Q442" s="5"/>
      <c r="R442" s="5"/>
      <c r="S442" s="5"/>
      <c r="U442" s="4" t="s">
        <v>274</v>
      </c>
      <c r="V442" s="4">
        <v>0.9</v>
      </c>
      <c r="W442" s="4">
        <v>0.5</v>
      </c>
      <c r="X442" s="4">
        <v>0.6</v>
      </c>
      <c r="Y442" s="4">
        <v>0.71</v>
      </c>
      <c r="Z442" s="4">
        <v>926.83166500000004</v>
      </c>
      <c r="AA442" s="4">
        <v>0.02</v>
      </c>
      <c r="AC442" s="4" t="s">
        <v>274</v>
      </c>
      <c r="AD442" s="4">
        <v>0.9</v>
      </c>
      <c r="AE442" s="4">
        <v>0.5</v>
      </c>
      <c r="AF442" s="4">
        <v>0.6</v>
      </c>
      <c r="AG442" s="4">
        <v>0.3</v>
      </c>
      <c r="AH442" s="6">
        <v>804.92425500000002</v>
      </c>
      <c r="AI442" s="4">
        <v>5.0000000000000001E-3</v>
      </c>
      <c r="AJ442" s="5"/>
      <c r="AK442" s="5"/>
      <c r="AL442" s="5"/>
      <c r="AM442" s="5"/>
      <c r="AO442" s="4" t="s">
        <v>275</v>
      </c>
      <c r="AP442" s="4">
        <v>0.9</v>
      </c>
      <c r="AQ442" s="4">
        <v>0.5</v>
      </c>
      <c r="AR442" s="4">
        <v>0.6</v>
      </c>
      <c r="AS442" s="4">
        <v>0.6</v>
      </c>
      <c r="AT442" s="4">
        <v>1257.931274</v>
      </c>
      <c r="AU442" s="4">
        <v>4.2000000000000003E-2</v>
      </c>
      <c r="AW442" s="4" t="s">
        <v>275</v>
      </c>
      <c r="AX442" s="4">
        <v>0.9</v>
      </c>
      <c r="AY442" s="4">
        <v>0.5</v>
      </c>
      <c r="AZ442" s="4">
        <v>0.6</v>
      </c>
      <c r="BA442" s="4">
        <v>0.3</v>
      </c>
      <c r="BB442" s="6">
        <v>1122.4039310000001</v>
      </c>
      <c r="BC442" s="4">
        <v>0.01</v>
      </c>
      <c r="BD442" s="5"/>
      <c r="BE442" s="5"/>
      <c r="BF442" s="5"/>
      <c r="BG442" s="5"/>
      <c r="BI442" s="4" t="s">
        <v>275</v>
      </c>
      <c r="BJ442" s="4">
        <v>0.9</v>
      </c>
      <c r="BK442" s="4">
        <v>0.5</v>
      </c>
      <c r="BL442" s="4">
        <v>0.6</v>
      </c>
      <c r="BM442" s="4">
        <v>0.68</v>
      </c>
      <c r="BN442" s="4">
        <v>1252.791504</v>
      </c>
      <c r="BO442" s="4">
        <v>1.9E-2</v>
      </c>
      <c r="BQ442" s="4" t="s">
        <v>275</v>
      </c>
      <c r="BR442" s="4">
        <v>0.9</v>
      </c>
      <c r="BS442" s="4">
        <v>0.5</v>
      </c>
      <c r="BT442" s="4">
        <v>0.6</v>
      </c>
      <c r="BU442" s="4">
        <v>0.33</v>
      </c>
      <c r="BV442" s="6">
        <v>1116.7292480000001</v>
      </c>
      <c r="BW442" s="4">
        <v>1.4E-2</v>
      </c>
      <c r="BX442" s="5"/>
      <c r="BY442" s="5"/>
      <c r="BZ442" s="5"/>
      <c r="CA442" s="5"/>
    </row>
    <row r="443" spans="1:79" x14ac:dyDescent="0.3">
      <c r="A443" s="4" t="s">
        <v>276</v>
      </c>
      <c r="B443" s="4">
        <v>0.9</v>
      </c>
      <c r="C443" s="4">
        <v>0.5</v>
      </c>
      <c r="D443" s="4">
        <v>0.6</v>
      </c>
      <c r="E443" s="4">
        <v>0.69</v>
      </c>
      <c r="F443" s="4">
        <v>831.56298800000002</v>
      </c>
      <c r="G443" s="4">
        <v>8.0000000000000002E-3</v>
      </c>
      <c r="I443" s="4" t="s">
        <v>276</v>
      </c>
      <c r="J443" s="4">
        <v>0.9</v>
      </c>
      <c r="K443" s="4">
        <v>0.5</v>
      </c>
      <c r="L443" s="4">
        <v>0.6</v>
      </c>
      <c r="M443" s="4">
        <v>0.31</v>
      </c>
      <c r="N443" s="6">
        <v>719.23742700000003</v>
      </c>
      <c r="O443" s="4">
        <v>3.0000000000000001E-3</v>
      </c>
      <c r="P443" s="5"/>
      <c r="Q443" s="5"/>
      <c r="R443" s="5"/>
      <c r="S443" s="5"/>
      <c r="U443" s="4" t="s">
        <v>276</v>
      </c>
      <c r="V443" s="4">
        <v>0.9</v>
      </c>
      <c r="W443" s="4">
        <v>0.5</v>
      </c>
      <c r="X443" s="4">
        <v>0.6</v>
      </c>
      <c r="Y443" s="4">
        <v>0.19</v>
      </c>
      <c r="Z443" s="6">
        <v>621.65399200000002</v>
      </c>
      <c r="AA443" s="4">
        <v>2.4E-2</v>
      </c>
      <c r="AC443" s="4" t="s">
        <v>276</v>
      </c>
      <c r="AD443" s="4">
        <v>0.9</v>
      </c>
      <c r="AE443" s="4">
        <v>0.5</v>
      </c>
      <c r="AF443" s="4">
        <v>0.6</v>
      </c>
      <c r="AG443" s="4">
        <v>0.31</v>
      </c>
      <c r="AH443" s="4">
        <v>689.91351299999997</v>
      </c>
      <c r="AI443" s="4">
        <v>4.0000000000000001E-3</v>
      </c>
      <c r="AJ443" s="5"/>
      <c r="AK443" s="5"/>
      <c r="AL443" s="5"/>
      <c r="AM443" s="5"/>
      <c r="AO443" s="4" t="s">
        <v>277</v>
      </c>
      <c r="AP443" s="4">
        <v>0.9</v>
      </c>
      <c r="AQ443" s="4">
        <v>0.5</v>
      </c>
      <c r="AR443" s="4">
        <v>0.6</v>
      </c>
      <c r="AS443" s="4">
        <v>0.38</v>
      </c>
      <c r="AT443" s="6">
        <v>1017.958923</v>
      </c>
      <c r="AU443" s="4">
        <v>1.9E-2</v>
      </c>
      <c r="AW443" s="4" t="s">
        <v>277</v>
      </c>
      <c r="AX443" s="4">
        <v>0.9</v>
      </c>
      <c r="AY443" s="4">
        <v>0.5</v>
      </c>
      <c r="AZ443" s="4">
        <v>0.6</v>
      </c>
      <c r="BA443" s="4">
        <v>0.34</v>
      </c>
      <c r="BB443" s="4">
        <v>1045.659058</v>
      </c>
      <c r="BC443" s="4">
        <v>8.9999999999999993E-3</v>
      </c>
      <c r="BD443" s="5"/>
      <c r="BE443" s="5"/>
      <c r="BF443" s="5"/>
      <c r="BG443" s="5"/>
      <c r="BI443" s="4" t="s">
        <v>277</v>
      </c>
      <c r="BJ443" s="4">
        <v>0.9</v>
      </c>
      <c r="BK443" s="4">
        <v>0.5</v>
      </c>
      <c r="BL443" s="4">
        <v>0.6</v>
      </c>
      <c r="BM443" s="4">
        <v>0.85</v>
      </c>
      <c r="BN443" s="4">
        <v>1177.9620359999999</v>
      </c>
      <c r="BO443" s="4">
        <v>2.7E-2</v>
      </c>
      <c r="BQ443" s="4" t="s">
        <v>277</v>
      </c>
      <c r="BR443" s="4">
        <v>0.9</v>
      </c>
      <c r="BS443" s="4">
        <v>0.5</v>
      </c>
      <c r="BT443" s="4">
        <v>0.6</v>
      </c>
      <c r="BU443" s="4">
        <v>0.3</v>
      </c>
      <c r="BV443" s="6">
        <v>1001.184631</v>
      </c>
      <c r="BW443" s="4">
        <v>1.2999999999999999E-2</v>
      </c>
      <c r="BX443" s="5"/>
      <c r="BY443" s="5"/>
      <c r="BZ443" s="5"/>
      <c r="CA443" s="5"/>
    </row>
    <row r="444" spans="1:79" x14ac:dyDescent="0.3">
      <c r="A444" s="4" t="s">
        <v>278</v>
      </c>
      <c r="B444" s="4">
        <v>0.9</v>
      </c>
      <c r="C444" s="4">
        <v>0.5</v>
      </c>
      <c r="D444" s="4">
        <v>0.6</v>
      </c>
      <c r="E444" s="4">
        <v>0.02</v>
      </c>
      <c r="F444" s="6">
        <v>602.39593500000001</v>
      </c>
      <c r="G444" s="4">
        <v>1.0999999999999999E-2</v>
      </c>
      <c r="I444" s="4" t="s">
        <v>278</v>
      </c>
      <c r="J444" s="4">
        <v>0.9</v>
      </c>
      <c r="K444" s="4">
        <v>0.5</v>
      </c>
      <c r="L444" s="4">
        <v>0.6</v>
      </c>
      <c r="M444" s="4">
        <v>0.32</v>
      </c>
      <c r="N444" s="4">
        <v>658.73046899999997</v>
      </c>
      <c r="O444" s="4">
        <v>3.0000000000000001E-3</v>
      </c>
      <c r="P444" s="5"/>
      <c r="Q444" s="5"/>
      <c r="R444" s="5"/>
      <c r="S444" s="5"/>
      <c r="U444" s="4" t="s">
        <v>278</v>
      </c>
      <c r="V444" s="4">
        <v>0.9</v>
      </c>
      <c r="W444" s="4">
        <v>0.5</v>
      </c>
      <c r="X444" s="4">
        <v>0.6</v>
      </c>
      <c r="Y444" s="4">
        <v>0.49</v>
      </c>
      <c r="Z444" s="4">
        <v>703.60730000000001</v>
      </c>
      <c r="AA444" s="4">
        <v>3.4000000000000002E-2</v>
      </c>
      <c r="AC444" s="4" t="s">
        <v>278</v>
      </c>
      <c r="AD444" s="4">
        <v>0.9</v>
      </c>
      <c r="AE444" s="4">
        <v>0.5</v>
      </c>
      <c r="AF444" s="4">
        <v>0.6</v>
      </c>
      <c r="AG444" s="4">
        <v>0.33</v>
      </c>
      <c r="AH444" s="6">
        <v>652.54681400000004</v>
      </c>
      <c r="AI444" s="4">
        <v>5.0000000000000001E-3</v>
      </c>
      <c r="AJ444" s="5"/>
      <c r="AK444" s="5"/>
      <c r="AL444" s="5"/>
      <c r="AM444" s="5"/>
      <c r="AO444" s="4" t="s">
        <v>279</v>
      </c>
      <c r="AP444" s="4">
        <v>0.9</v>
      </c>
      <c r="AQ444" s="4">
        <v>0.5</v>
      </c>
      <c r="AR444" s="4">
        <v>0.6</v>
      </c>
      <c r="AS444" s="4">
        <v>0.78</v>
      </c>
      <c r="AT444" s="4">
        <v>1298.7963870000001</v>
      </c>
      <c r="AU444" s="4">
        <v>3.6999999999999998E-2</v>
      </c>
      <c r="AW444" s="4" t="s">
        <v>279</v>
      </c>
      <c r="AX444" s="4">
        <v>0.9</v>
      </c>
      <c r="AY444" s="4">
        <v>0.5</v>
      </c>
      <c r="AZ444" s="4">
        <v>0.6</v>
      </c>
      <c r="BA444" s="4">
        <v>0.3</v>
      </c>
      <c r="BB444" s="6">
        <v>1152.423828</v>
      </c>
      <c r="BC444" s="4">
        <v>8.9999999999999993E-3</v>
      </c>
      <c r="BD444" s="5"/>
      <c r="BE444" s="5"/>
      <c r="BF444" s="5"/>
      <c r="BG444" s="5"/>
      <c r="BI444" s="4" t="s">
        <v>279</v>
      </c>
      <c r="BJ444" s="4">
        <v>0.9</v>
      </c>
      <c r="BK444" s="4">
        <v>0.5</v>
      </c>
      <c r="BL444" s="4">
        <v>0.6</v>
      </c>
      <c r="BM444" s="4">
        <v>0.98</v>
      </c>
      <c r="BN444" s="4">
        <v>1323.560913</v>
      </c>
      <c r="BO444" s="4">
        <v>4.2999999999999997E-2</v>
      </c>
      <c r="BQ444" s="4" t="s">
        <v>279</v>
      </c>
      <c r="BR444" s="4">
        <v>0.9</v>
      </c>
      <c r="BS444" s="4">
        <v>0.5</v>
      </c>
      <c r="BT444" s="4">
        <v>0.6</v>
      </c>
      <c r="BU444" s="4">
        <v>0.31</v>
      </c>
      <c r="BV444" s="6">
        <v>1124.4938959999999</v>
      </c>
      <c r="BW444" s="4">
        <v>1.0999999999999999E-2</v>
      </c>
      <c r="BX444" s="5"/>
      <c r="BY444" s="5"/>
      <c r="BZ444" s="5"/>
      <c r="CA444" s="5"/>
    </row>
    <row r="445" spans="1:79" x14ac:dyDescent="0.3">
      <c r="A445" s="4" t="s">
        <v>280</v>
      </c>
      <c r="B445" s="4">
        <v>0.9</v>
      </c>
      <c r="C445" s="4">
        <v>0.5</v>
      </c>
      <c r="D445" s="4">
        <v>0.6</v>
      </c>
      <c r="E445" s="4">
        <v>0.04</v>
      </c>
      <c r="F445" s="6">
        <v>737.60131799999999</v>
      </c>
      <c r="G445" s="4">
        <v>1.9E-2</v>
      </c>
      <c r="I445" s="4" t="s">
        <v>280</v>
      </c>
      <c r="J445" s="4">
        <v>0.9</v>
      </c>
      <c r="K445" s="4">
        <v>0.5</v>
      </c>
      <c r="L445" s="4">
        <v>0.6</v>
      </c>
      <c r="M445" s="4">
        <v>0.32</v>
      </c>
      <c r="N445" s="4">
        <v>890.16619900000001</v>
      </c>
      <c r="O445" s="4">
        <v>3.0000000000000001E-3</v>
      </c>
      <c r="P445" s="5"/>
      <c r="Q445" s="5"/>
      <c r="R445" s="5"/>
      <c r="S445" s="5"/>
      <c r="U445" s="4" t="s">
        <v>280</v>
      </c>
      <c r="V445" s="4">
        <v>0.9</v>
      </c>
      <c r="W445" s="4">
        <v>0.5</v>
      </c>
      <c r="X445" s="4">
        <v>0.6</v>
      </c>
      <c r="Y445" s="4">
        <v>0.65</v>
      </c>
      <c r="Z445" s="4">
        <v>1016.5766599999999</v>
      </c>
      <c r="AA445" s="4">
        <v>1.7999999999999999E-2</v>
      </c>
      <c r="AC445" s="4" t="s">
        <v>280</v>
      </c>
      <c r="AD445" s="4">
        <v>0.9</v>
      </c>
      <c r="AE445" s="4">
        <v>0.5</v>
      </c>
      <c r="AF445" s="4">
        <v>0.6</v>
      </c>
      <c r="AG445" s="4">
        <v>0.3</v>
      </c>
      <c r="AH445" s="6">
        <v>901.171875</v>
      </c>
      <c r="AI445" s="4">
        <v>5.0000000000000001E-3</v>
      </c>
      <c r="AJ445" s="5"/>
      <c r="AK445" s="5"/>
      <c r="AL445" s="5"/>
      <c r="AM445" s="5"/>
      <c r="AO445" s="4" t="s">
        <v>281</v>
      </c>
      <c r="AP445" s="4">
        <v>0.9</v>
      </c>
      <c r="AQ445" s="4">
        <v>0.5</v>
      </c>
      <c r="AR445" s="4">
        <v>0.6</v>
      </c>
      <c r="AS445" s="4">
        <v>0.9</v>
      </c>
      <c r="AT445" s="4">
        <v>1329.212524</v>
      </c>
      <c r="AU445" s="4">
        <v>2.1999999999999999E-2</v>
      </c>
      <c r="AW445" s="4" t="s">
        <v>281</v>
      </c>
      <c r="AX445" s="4">
        <v>0.9</v>
      </c>
      <c r="AY445" s="4">
        <v>0.5</v>
      </c>
      <c r="AZ445" s="4">
        <v>0.6</v>
      </c>
      <c r="BA445" s="4">
        <v>0.32</v>
      </c>
      <c r="BB445" s="6">
        <v>1085.137939</v>
      </c>
      <c r="BC445" s="4">
        <v>1.0999999999999999E-2</v>
      </c>
      <c r="BD445" s="5"/>
      <c r="BE445" s="5"/>
      <c r="BF445" s="5"/>
      <c r="BG445" s="5"/>
      <c r="BI445" s="4" t="s">
        <v>281</v>
      </c>
      <c r="BJ445" s="4">
        <v>0.9</v>
      </c>
      <c r="BK445" s="4">
        <v>0.5</v>
      </c>
      <c r="BL445" s="4">
        <v>0.6</v>
      </c>
      <c r="BM445" s="4">
        <v>0.59</v>
      </c>
      <c r="BN445" s="4">
        <v>1218.990601</v>
      </c>
      <c r="BO445" s="4">
        <v>3.3000000000000002E-2</v>
      </c>
      <c r="BQ445" s="4" t="s">
        <v>281</v>
      </c>
      <c r="BR445" s="4">
        <v>0.9</v>
      </c>
      <c r="BS445" s="4">
        <v>0.5</v>
      </c>
      <c r="BT445" s="4">
        <v>0.6</v>
      </c>
      <c r="BU445" s="4">
        <v>0.3</v>
      </c>
      <c r="BV445" s="6">
        <v>1047.301025</v>
      </c>
      <c r="BW445" s="4">
        <v>1.4999999999999999E-2</v>
      </c>
      <c r="BX445" s="5"/>
      <c r="BY445" s="5"/>
      <c r="BZ445" s="5"/>
      <c r="CA445" s="5"/>
    </row>
    <row r="446" spans="1:79" x14ac:dyDescent="0.3">
      <c r="A446" s="4" t="s">
        <v>282</v>
      </c>
      <c r="B446" s="4">
        <v>0.9</v>
      </c>
      <c r="C446" s="4">
        <v>0.5</v>
      </c>
      <c r="D446" s="4">
        <v>0.6</v>
      </c>
      <c r="E446" s="4">
        <v>0.43</v>
      </c>
      <c r="F446" s="4">
        <v>869.76654099999996</v>
      </c>
      <c r="G446" s="4">
        <v>2.4E-2</v>
      </c>
      <c r="I446" s="4" t="s">
        <v>282</v>
      </c>
      <c r="J446" s="4">
        <v>0.9</v>
      </c>
      <c r="K446" s="4">
        <v>0.5</v>
      </c>
      <c r="L446" s="4">
        <v>0.6</v>
      </c>
      <c r="M446" s="4">
        <v>0.3</v>
      </c>
      <c r="N446" s="6">
        <v>798.13403300000004</v>
      </c>
      <c r="O446" s="4">
        <v>4.0000000000000001E-3</v>
      </c>
      <c r="P446" s="5"/>
      <c r="Q446" s="5"/>
      <c r="R446" s="5"/>
      <c r="S446" s="5"/>
      <c r="U446" s="4" t="s">
        <v>282</v>
      </c>
      <c r="V446" s="4">
        <v>0.9</v>
      </c>
      <c r="W446" s="4">
        <v>0.5</v>
      </c>
      <c r="X446" s="4">
        <v>0.6</v>
      </c>
      <c r="Y446" s="4">
        <v>0.38</v>
      </c>
      <c r="Z446" s="4">
        <v>834.10095200000001</v>
      </c>
      <c r="AA446" s="4">
        <v>2.9000000000000001E-2</v>
      </c>
      <c r="AC446" s="4" t="s">
        <v>282</v>
      </c>
      <c r="AD446" s="4">
        <v>0.9</v>
      </c>
      <c r="AE446" s="4">
        <v>0.5</v>
      </c>
      <c r="AF446" s="4">
        <v>0.6</v>
      </c>
      <c r="AG446" s="4">
        <v>0.33</v>
      </c>
      <c r="AH446" s="6">
        <v>783.89025900000001</v>
      </c>
      <c r="AI446" s="4">
        <v>6.0000000000000001E-3</v>
      </c>
      <c r="AJ446" s="5"/>
      <c r="AK446" s="5"/>
      <c r="AL446" s="5"/>
      <c r="AM446" s="5"/>
      <c r="AO446" s="4" t="s">
        <v>283</v>
      </c>
      <c r="AP446" s="4">
        <v>0.9</v>
      </c>
      <c r="AQ446" s="4">
        <v>0.5</v>
      </c>
      <c r="AR446" s="4">
        <v>0.6</v>
      </c>
      <c r="AS446" s="4">
        <v>0.01</v>
      </c>
      <c r="AT446" s="6">
        <v>890.46758999999997</v>
      </c>
      <c r="AU446" s="4">
        <v>3.5000000000000003E-2</v>
      </c>
      <c r="AW446" s="4" t="s">
        <v>283</v>
      </c>
      <c r="AX446" s="4">
        <v>0.9</v>
      </c>
      <c r="AY446" s="4">
        <v>0.5</v>
      </c>
      <c r="AZ446" s="4">
        <v>0.6</v>
      </c>
      <c r="BA446" s="4">
        <v>0.37</v>
      </c>
      <c r="BB446" s="4">
        <v>1043.223999</v>
      </c>
      <c r="BC446" s="4">
        <v>8.9999999999999993E-3</v>
      </c>
      <c r="BD446" s="5"/>
      <c r="BE446" s="5"/>
      <c r="BF446" s="5"/>
      <c r="BG446" s="5"/>
      <c r="BI446" s="4" t="s">
        <v>283</v>
      </c>
      <c r="BJ446" s="4">
        <v>0.9</v>
      </c>
      <c r="BK446" s="4">
        <v>0.5</v>
      </c>
      <c r="BL446" s="4">
        <v>0.6</v>
      </c>
      <c r="BM446" s="4">
        <v>7.0000000000000007E-2</v>
      </c>
      <c r="BN446" s="6">
        <v>831.14782700000001</v>
      </c>
      <c r="BO446" s="4">
        <v>3.2000000000000001E-2</v>
      </c>
      <c r="BQ446" s="4" t="s">
        <v>283</v>
      </c>
      <c r="BR446" s="4">
        <v>0.9</v>
      </c>
      <c r="BS446" s="4">
        <v>0.5</v>
      </c>
      <c r="BT446" s="4">
        <v>0.6</v>
      </c>
      <c r="BU446" s="4">
        <v>0.3</v>
      </c>
      <c r="BV446" s="4">
        <v>1029.793457</v>
      </c>
      <c r="BW446" s="4">
        <v>1.0999999999999999E-2</v>
      </c>
      <c r="BX446" s="5"/>
      <c r="BY446" s="5"/>
      <c r="BZ446" s="5"/>
      <c r="CA446" s="5"/>
    </row>
    <row r="447" spans="1:79" x14ac:dyDescent="0.3">
      <c r="A447" s="4" t="s">
        <v>284</v>
      </c>
      <c r="B447" s="4">
        <v>0.9</v>
      </c>
      <c r="C447" s="4">
        <v>0.5</v>
      </c>
      <c r="D447" s="4">
        <v>0.6</v>
      </c>
      <c r="E447" s="4">
        <v>0.72</v>
      </c>
      <c r="F447" s="4">
        <v>962.16156000000001</v>
      </c>
      <c r="G447" s="4">
        <v>2.1000000000000001E-2</v>
      </c>
      <c r="I447" s="4" t="s">
        <v>284</v>
      </c>
      <c r="J447" s="4">
        <v>0.9</v>
      </c>
      <c r="K447" s="4">
        <v>0.5</v>
      </c>
      <c r="L447" s="4">
        <v>0.6</v>
      </c>
      <c r="M447" s="4">
        <v>0.31</v>
      </c>
      <c r="N447" s="6">
        <v>854.74890100000005</v>
      </c>
      <c r="O447" s="4">
        <v>3.0000000000000001E-3</v>
      </c>
      <c r="P447" s="5"/>
      <c r="Q447" s="5"/>
      <c r="R447" s="5"/>
      <c r="S447" s="5"/>
      <c r="U447" s="4" t="s">
        <v>284</v>
      </c>
      <c r="V447" s="4">
        <v>0.9</v>
      </c>
      <c r="W447" s="4">
        <v>0.5</v>
      </c>
      <c r="X447" s="4">
        <v>0.6</v>
      </c>
      <c r="Y447" s="4">
        <v>0.84</v>
      </c>
      <c r="Z447" s="4">
        <v>973.832764</v>
      </c>
      <c r="AA447" s="4">
        <v>1.4999999999999999E-2</v>
      </c>
      <c r="AC447" s="4" t="s">
        <v>284</v>
      </c>
      <c r="AD447" s="4">
        <v>0.9</v>
      </c>
      <c r="AE447" s="4">
        <v>0.5</v>
      </c>
      <c r="AF447" s="4">
        <v>0.6</v>
      </c>
      <c r="AG447" s="4">
        <v>0.31</v>
      </c>
      <c r="AH447" s="6">
        <v>828.31011999999998</v>
      </c>
      <c r="AI447" s="4">
        <v>4.0000000000000001E-3</v>
      </c>
      <c r="AJ447" s="5"/>
      <c r="AK447" s="5"/>
      <c r="AL447" s="5"/>
      <c r="AM447" s="5"/>
      <c r="AO447" s="4" t="s">
        <v>285</v>
      </c>
      <c r="AP447" s="4">
        <v>0.9</v>
      </c>
      <c r="AQ447" s="4">
        <v>0.5</v>
      </c>
      <c r="AR447" s="4">
        <v>0.6</v>
      </c>
      <c r="AS447" s="4">
        <v>0.01</v>
      </c>
      <c r="AT447" s="6">
        <v>988.68133499999999</v>
      </c>
      <c r="AU447" s="4">
        <v>2.1999999999999999E-2</v>
      </c>
      <c r="AW447" s="4" t="s">
        <v>285</v>
      </c>
      <c r="AX447" s="4">
        <v>0.9</v>
      </c>
      <c r="AY447" s="4">
        <v>0.5</v>
      </c>
      <c r="AZ447" s="4">
        <v>0.6</v>
      </c>
      <c r="BA447" s="4">
        <v>0.31</v>
      </c>
      <c r="BB447" s="4">
        <v>1129.9895019999999</v>
      </c>
      <c r="BC447" s="4">
        <v>0.01</v>
      </c>
      <c r="BD447" s="5"/>
      <c r="BE447" s="5"/>
      <c r="BF447" s="5"/>
      <c r="BG447" s="5"/>
      <c r="BI447" s="4" t="s">
        <v>285</v>
      </c>
      <c r="BJ447" s="4">
        <v>0.9</v>
      </c>
      <c r="BK447" s="4">
        <v>0.5</v>
      </c>
      <c r="BL447" s="4">
        <v>0.6</v>
      </c>
      <c r="BM447" s="4">
        <v>0.3</v>
      </c>
      <c r="BN447" s="6">
        <v>1070.862061</v>
      </c>
      <c r="BO447" s="4">
        <v>3.5000000000000003E-2</v>
      </c>
      <c r="BQ447" s="4" t="s">
        <v>285</v>
      </c>
      <c r="BR447" s="4">
        <v>0.9</v>
      </c>
      <c r="BS447" s="4">
        <v>0.5</v>
      </c>
      <c r="BT447" s="4">
        <v>0.6</v>
      </c>
      <c r="BU447" s="4">
        <v>0.32</v>
      </c>
      <c r="BV447" s="4">
        <v>1075.7574460000001</v>
      </c>
      <c r="BW447" s="4">
        <v>0.01</v>
      </c>
      <c r="BX447" s="5"/>
      <c r="BY447" s="5"/>
      <c r="BZ447" s="5"/>
      <c r="CA447" s="5"/>
    </row>
    <row r="448" spans="1:79" x14ac:dyDescent="0.3">
      <c r="A448" s="4" t="s">
        <v>286</v>
      </c>
      <c r="B448" s="4">
        <v>0.9</v>
      </c>
      <c r="C448" s="4">
        <v>0.5</v>
      </c>
      <c r="D448" s="4">
        <v>0.6</v>
      </c>
      <c r="E448" s="4">
        <v>0.39</v>
      </c>
      <c r="F448" s="4">
        <v>745.68261700000005</v>
      </c>
      <c r="G448" s="4">
        <v>1.9E-2</v>
      </c>
      <c r="I448" s="4" t="s">
        <v>286</v>
      </c>
      <c r="J448" s="4">
        <v>0.9</v>
      </c>
      <c r="K448" s="4">
        <v>0.5</v>
      </c>
      <c r="L448" s="4">
        <v>0.6</v>
      </c>
      <c r="M448" s="4">
        <v>0.3</v>
      </c>
      <c r="N448" s="6">
        <v>700.37646500000005</v>
      </c>
      <c r="O448" s="4">
        <v>3.0000000000000001E-3</v>
      </c>
      <c r="P448" s="5"/>
      <c r="Q448" s="5"/>
      <c r="R448" s="5"/>
      <c r="S448" s="5"/>
      <c r="U448" s="4" t="s">
        <v>286</v>
      </c>
      <c r="V448" s="4">
        <v>0.9</v>
      </c>
      <c r="W448" s="4">
        <v>0.5</v>
      </c>
      <c r="X448" s="4">
        <v>0.6</v>
      </c>
      <c r="Y448" s="4">
        <v>0.69</v>
      </c>
      <c r="Z448" s="4">
        <v>821.45214799999997</v>
      </c>
      <c r="AA448" s="4">
        <v>2.1000000000000001E-2</v>
      </c>
      <c r="AC448" s="4" t="s">
        <v>286</v>
      </c>
      <c r="AD448" s="4">
        <v>0.9</v>
      </c>
      <c r="AE448" s="4">
        <v>0.5</v>
      </c>
      <c r="AF448" s="4">
        <v>0.6</v>
      </c>
      <c r="AG448" s="4">
        <v>0.35</v>
      </c>
      <c r="AH448" s="6">
        <v>716.60058600000002</v>
      </c>
      <c r="AI448" s="4">
        <v>7.0000000000000001E-3</v>
      </c>
      <c r="AJ448" s="5"/>
      <c r="AK448" s="5"/>
      <c r="AL448" s="5"/>
      <c r="AM448" s="5"/>
      <c r="AO448" s="4" t="s">
        <v>287</v>
      </c>
      <c r="AP448" s="4">
        <v>0.9</v>
      </c>
      <c r="AQ448" s="4">
        <v>0.5</v>
      </c>
      <c r="AR448" s="4">
        <v>0.6</v>
      </c>
      <c r="AS448" s="4">
        <v>0.91</v>
      </c>
      <c r="AT448" s="4">
        <v>1264.2062989999999</v>
      </c>
      <c r="AU448" s="4">
        <v>3.1E-2</v>
      </c>
      <c r="AW448" s="4" t="s">
        <v>287</v>
      </c>
      <c r="AX448" s="4">
        <v>0.9</v>
      </c>
      <c r="AY448" s="4">
        <v>0.5</v>
      </c>
      <c r="AZ448" s="4">
        <v>0.6</v>
      </c>
      <c r="BA448" s="4">
        <v>0.3</v>
      </c>
      <c r="BB448" s="6">
        <v>1043.369385</v>
      </c>
      <c r="BC448" s="4">
        <v>0.01</v>
      </c>
      <c r="BD448" s="5"/>
      <c r="BE448" s="5"/>
      <c r="BF448" s="5"/>
      <c r="BG448" s="5"/>
      <c r="BI448" s="4" t="s">
        <v>287</v>
      </c>
      <c r="BJ448" s="4">
        <v>0.9</v>
      </c>
      <c r="BK448" s="4">
        <v>0.5</v>
      </c>
      <c r="BL448" s="4">
        <v>0.6</v>
      </c>
      <c r="BM448" s="4">
        <v>0.26</v>
      </c>
      <c r="BN448" s="6">
        <v>969.61010699999997</v>
      </c>
      <c r="BO448" s="4">
        <v>2.1999999999999999E-2</v>
      </c>
      <c r="BQ448" s="4" t="s">
        <v>287</v>
      </c>
      <c r="BR448" s="4">
        <v>0.9</v>
      </c>
      <c r="BS448" s="4">
        <v>0.5</v>
      </c>
      <c r="BT448" s="4">
        <v>0.6</v>
      </c>
      <c r="BU448" s="4">
        <v>0.3</v>
      </c>
      <c r="BV448" s="4">
        <v>1021.953186</v>
      </c>
      <c r="BW448" s="4">
        <v>1.2999999999999999E-2</v>
      </c>
      <c r="BX448" s="5"/>
      <c r="BY448" s="5"/>
      <c r="BZ448" s="5"/>
      <c r="CA448" s="5"/>
    </row>
    <row r="449" spans="1:79" x14ac:dyDescent="0.3">
      <c r="A449" s="4" t="s">
        <v>288</v>
      </c>
      <c r="B449" s="4">
        <v>0.9</v>
      </c>
      <c r="C449" s="4">
        <v>0.5</v>
      </c>
      <c r="D449" s="4">
        <v>0.6</v>
      </c>
      <c r="E449" s="4">
        <v>0.86</v>
      </c>
      <c r="F449" s="4">
        <v>949.21746800000005</v>
      </c>
      <c r="G449" s="4">
        <v>2.1000000000000001E-2</v>
      </c>
      <c r="I449" s="4" t="s">
        <v>288</v>
      </c>
      <c r="J449" s="4">
        <v>0.9</v>
      </c>
      <c r="K449" s="4">
        <v>0.5</v>
      </c>
      <c r="L449" s="4">
        <v>0.6</v>
      </c>
      <c r="M449" s="4">
        <v>0.31</v>
      </c>
      <c r="N449" s="6">
        <v>731.27569600000004</v>
      </c>
      <c r="O449" s="4">
        <v>3.0000000000000001E-3</v>
      </c>
      <c r="P449" s="5"/>
      <c r="Q449" s="5"/>
      <c r="R449" s="5"/>
      <c r="S449" s="5"/>
      <c r="U449" s="4" t="s">
        <v>288</v>
      </c>
      <c r="V449" s="4">
        <v>0.9</v>
      </c>
      <c r="W449" s="4">
        <v>0.5</v>
      </c>
      <c r="X449" s="4">
        <v>0.6</v>
      </c>
      <c r="Y449" s="4">
        <v>0.75</v>
      </c>
      <c r="Z449" s="4">
        <v>891.88891599999999</v>
      </c>
      <c r="AA449" s="4">
        <v>2.5000000000000001E-2</v>
      </c>
      <c r="AC449" s="4" t="s">
        <v>288</v>
      </c>
      <c r="AD449" s="4">
        <v>0.9</v>
      </c>
      <c r="AE449" s="4">
        <v>0.5</v>
      </c>
      <c r="AF449" s="4">
        <v>0.6</v>
      </c>
      <c r="AG449" s="4">
        <v>0.3</v>
      </c>
      <c r="AH449" s="6">
        <v>715.69598399999995</v>
      </c>
      <c r="AI449" s="4">
        <v>6.0000000000000001E-3</v>
      </c>
      <c r="AJ449" s="5"/>
      <c r="AK449" s="5"/>
      <c r="AL449" s="5"/>
      <c r="AM449" s="5"/>
      <c r="AO449" s="4" t="s">
        <v>289</v>
      </c>
      <c r="AP449" s="4">
        <v>0.9</v>
      </c>
      <c r="AQ449" s="4">
        <v>0.5</v>
      </c>
      <c r="AR449" s="4">
        <v>0.6</v>
      </c>
      <c r="AS449" s="4">
        <v>0.52</v>
      </c>
      <c r="AT449" s="4">
        <v>1254.9410399999999</v>
      </c>
      <c r="AU449" s="4">
        <v>4.2999999999999997E-2</v>
      </c>
      <c r="AW449" s="4" t="s">
        <v>289</v>
      </c>
      <c r="AX449" s="4">
        <v>0.9</v>
      </c>
      <c r="AY449" s="4">
        <v>0.5</v>
      </c>
      <c r="AZ449" s="4">
        <v>0.6</v>
      </c>
      <c r="BA449" s="4">
        <v>0.31</v>
      </c>
      <c r="BB449" s="6">
        <v>1120.6949460000001</v>
      </c>
      <c r="BC449" s="4">
        <v>0.01</v>
      </c>
      <c r="BD449" s="5"/>
      <c r="BE449" s="5"/>
      <c r="BF449" s="5"/>
      <c r="BG449" s="5"/>
      <c r="BI449" s="4" t="s">
        <v>289</v>
      </c>
      <c r="BJ449" s="4">
        <v>0.9</v>
      </c>
      <c r="BK449" s="4">
        <v>0.5</v>
      </c>
      <c r="BL449" s="4">
        <v>0.6</v>
      </c>
      <c r="BM449" s="4">
        <v>0.59</v>
      </c>
      <c r="BN449" s="4">
        <v>1250.279297</v>
      </c>
      <c r="BO449" s="4">
        <v>3.3000000000000002E-2</v>
      </c>
      <c r="BQ449" s="4" t="s">
        <v>289</v>
      </c>
      <c r="BR449" s="4">
        <v>0.9</v>
      </c>
      <c r="BS449" s="4">
        <v>0.5</v>
      </c>
      <c r="BT449" s="4">
        <v>0.6</v>
      </c>
      <c r="BU449" s="4">
        <v>0.3</v>
      </c>
      <c r="BV449" s="6">
        <v>1090.7886960000001</v>
      </c>
      <c r="BW449" s="4">
        <v>1.2999999999999999E-2</v>
      </c>
      <c r="BX449" s="5"/>
      <c r="BY449" s="5"/>
      <c r="BZ449" s="5"/>
      <c r="CA449" s="5"/>
    </row>
    <row r="450" spans="1:79" x14ac:dyDescent="0.3">
      <c r="A450" s="4" t="s">
        <v>290</v>
      </c>
      <c r="B450" s="4">
        <v>0.9</v>
      </c>
      <c r="C450" s="4">
        <v>0.5</v>
      </c>
      <c r="D450" s="4">
        <v>0.6</v>
      </c>
      <c r="E450" s="4">
        <v>0.71</v>
      </c>
      <c r="F450" s="4">
        <v>862.34246800000005</v>
      </c>
      <c r="G450" s="4">
        <v>0.03</v>
      </c>
      <c r="I450" s="4" t="s">
        <v>290</v>
      </c>
      <c r="J450" s="4">
        <v>0.9</v>
      </c>
      <c r="K450" s="4">
        <v>0.5</v>
      </c>
      <c r="L450" s="4">
        <v>0.6</v>
      </c>
      <c r="M450" s="4">
        <v>0.3</v>
      </c>
      <c r="N450" s="6">
        <v>709.20977800000003</v>
      </c>
      <c r="O450" s="4">
        <v>3.0000000000000001E-3</v>
      </c>
      <c r="P450" s="5"/>
      <c r="Q450" s="5"/>
      <c r="R450" s="5"/>
      <c r="S450" s="5"/>
      <c r="U450" s="4" t="s">
        <v>290</v>
      </c>
      <c r="V450" s="4">
        <v>0.9</v>
      </c>
      <c r="W450" s="4">
        <v>0.5</v>
      </c>
      <c r="X450" s="4">
        <v>0.6</v>
      </c>
      <c r="Y450" s="4">
        <v>0.22</v>
      </c>
      <c r="Z450" s="6">
        <v>668.42657499999996</v>
      </c>
      <c r="AA450" s="4">
        <v>2.3E-2</v>
      </c>
      <c r="AC450" s="4" t="s">
        <v>290</v>
      </c>
      <c r="AD450" s="4">
        <v>0.9</v>
      </c>
      <c r="AE450" s="4">
        <v>0.5</v>
      </c>
      <c r="AF450" s="4">
        <v>0.6</v>
      </c>
      <c r="AG450" s="4">
        <v>0.3</v>
      </c>
      <c r="AH450" s="4">
        <v>724.55358899999999</v>
      </c>
      <c r="AI450" s="4">
        <v>3.0000000000000001E-3</v>
      </c>
      <c r="AJ450" s="5"/>
      <c r="AK450" s="5"/>
      <c r="AL450" s="5"/>
      <c r="AM450" s="5"/>
      <c r="AO450" s="4" t="s">
        <v>291</v>
      </c>
      <c r="AP450" s="4">
        <v>0.9</v>
      </c>
      <c r="AQ450" s="4">
        <v>0.5</v>
      </c>
      <c r="AR450" s="4">
        <v>0.6</v>
      </c>
      <c r="AS450" s="4">
        <v>0.09</v>
      </c>
      <c r="AT450" s="6">
        <v>889.87634300000002</v>
      </c>
      <c r="AU450" s="4">
        <v>2.1000000000000001E-2</v>
      </c>
      <c r="AW450" s="4" t="s">
        <v>291</v>
      </c>
      <c r="AX450" s="4">
        <v>0.9</v>
      </c>
      <c r="AY450" s="4">
        <v>0.5</v>
      </c>
      <c r="AZ450" s="4">
        <v>0.6</v>
      </c>
      <c r="BA450" s="4">
        <v>0.3</v>
      </c>
      <c r="BB450" s="4">
        <v>1086.064453</v>
      </c>
      <c r="BC450" s="4">
        <v>8.9999999999999993E-3</v>
      </c>
      <c r="BD450" s="5"/>
      <c r="BE450" s="5"/>
      <c r="BF450" s="5"/>
      <c r="BG450" s="5"/>
      <c r="BI450" s="4" t="s">
        <v>291</v>
      </c>
      <c r="BJ450" s="4">
        <v>0.9</v>
      </c>
      <c r="BK450" s="4">
        <v>0.5</v>
      </c>
      <c r="BL450" s="4">
        <v>0.6</v>
      </c>
      <c r="BM450" s="4">
        <v>0.39</v>
      </c>
      <c r="BN450" s="4">
        <v>1080.4086910000001</v>
      </c>
      <c r="BO450" s="4">
        <v>1.9E-2</v>
      </c>
      <c r="BQ450" s="4" t="s">
        <v>291</v>
      </c>
      <c r="BR450" s="4">
        <v>0.9</v>
      </c>
      <c r="BS450" s="4">
        <v>0.5</v>
      </c>
      <c r="BT450" s="4">
        <v>0.6</v>
      </c>
      <c r="BU450" s="4">
        <v>0.33</v>
      </c>
      <c r="BV450" s="6">
        <v>1018.702393</v>
      </c>
      <c r="BW450" s="4">
        <v>1.2999999999999999E-2</v>
      </c>
      <c r="BX450" s="5"/>
      <c r="BY450" s="5"/>
      <c r="BZ450" s="5"/>
      <c r="CA450" s="5"/>
    </row>
    <row r="451" spans="1:79" x14ac:dyDescent="0.3">
      <c r="A451" s="4" t="s">
        <v>292</v>
      </c>
      <c r="B451" s="4">
        <v>0.9</v>
      </c>
      <c r="C451" s="4">
        <v>0.5</v>
      </c>
      <c r="D451" s="4">
        <v>0.6</v>
      </c>
      <c r="E451" s="4">
        <v>0.46</v>
      </c>
      <c r="F451" s="4">
        <v>895.15924099999995</v>
      </c>
      <c r="G451" s="4">
        <v>1.7999999999999999E-2</v>
      </c>
      <c r="I451" s="4" t="s">
        <v>292</v>
      </c>
      <c r="J451" s="4">
        <v>0.9</v>
      </c>
      <c r="K451" s="4">
        <v>0.5</v>
      </c>
      <c r="L451" s="4">
        <v>0.6</v>
      </c>
      <c r="M451" s="4">
        <v>0.31</v>
      </c>
      <c r="N451" s="6">
        <v>788.55554199999995</v>
      </c>
      <c r="O451" s="4">
        <v>3.0000000000000001E-3</v>
      </c>
      <c r="P451" s="5"/>
      <c r="Q451" s="5"/>
      <c r="R451" s="5"/>
      <c r="S451" s="5"/>
      <c r="U451" s="4" t="s">
        <v>292</v>
      </c>
      <c r="V451" s="4">
        <v>0.9</v>
      </c>
      <c r="W451" s="4">
        <v>0.5</v>
      </c>
      <c r="X451" s="4">
        <v>0.6</v>
      </c>
      <c r="Y451" s="4">
        <v>0.79</v>
      </c>
      <c r="Z451" s="4">
        <v>992.40460199999995</v>
      </c>
      <c r="AA451" s="4">
        <v>1.6E-2</v>
      </c>
      <c r="AC451" s="4" t="s">
        <v>292</v>
      </c>
      <c r="AD451" s="4">
        <v>0.9</v>
      </c>
      <c r="AE451" s="4">
        <v>0.5</v>
      </c>
      <c r="AF451" s="4">
        <v>0.6</v>
      </c>
      <c r="AG451" s="4">
        <v>0.33</v>
      </c>
      <c r="AH451" s="6">
        <v>756.22851600000001</v>
      </c>
      <c r="AI451" s="4">
        <v>6.0000000000000001E-3</v>
      </c>
      <c r="AJ451" s="5"/>
      <c r="AK451" s="5"/>
      <c r="AL451" s="5"/>
      <c r="AM451" s="5"/>
      <c r="AO451" s="4" t="s">
        <v>293</v>
      </c>
      <c r="AP451" s="4">
        <v>0.9</v>
      </c>
      <c r="AQ451" s="4">
        <v>0.5</v>
      </c>
      <c r="AR451" s="4">
        <v>0.6</v>
      </c>
      <c r="AS451" s="4">
        <v>0.57999999999999996</v>
      </c>
      <c r="AT451" s="6">
        <v>1280.087769</v>
      </c>
      <c r="AU451" s="4">
        <v>1.7999999999999999E-2</v>
      </c>
      <c r="AW451" s="4" t="s">
        <v>293</v>
      </c>
      <c r="AX451" s="4">
        <v>0.9</v>
      </c>
      <c r="AY451" s="4">
        <v>0.5</v>
      </c>
      <c r="AZ451" s="4">
        <v>0.6</v>
      </c>
      <c r="BA451" s="4">
        <v>0.31</v>
      </c>
      <c r="BB451" s="4">
        <v>1133.8759769999999</v>
      </c>
      <c r="BC451" s="4">
        <v>1.0999999999999999E-2</v>
      </c>
      <c r="BD451" s="5"/>
      <c r="BE451" s="5"/>
      <c r="BF451" s="5"/>
      <c r="BG451" s="5"/>
      <c r="BI451" s="4" t="s">
        <v>293</v>
      </c>
      <c r="BJ451" s="4">
        <v>0.9</v>
      </c>
      <c r="BK451" s="4">
        <v>0.5</v>
      </c>
      <c r="BL451" s="4">
        <v>0.6</v>
      </c>
      <c r="BM451" s="4">
        <v>0.42</v>
      </c>
      <c r="BN451" s="4">
        <v>1171.5582280000001</v>
      </c>
      <c r="BO451" s="4">
        <v>0.02</v>
      </c>
      <c r="BQ451" s="4" t="s">
        <v>293</v>
      </c>
      <c r="BR451" s="4">
        <v>0.9</v>
      </c>
      <c r="BS451" s="4">
        <v>0.5</v>
      </c>
      <c r="BT451" s="4">
        <v>0.6</v>
      </c>
      <c r="BU451" s="4">
        <v>0.31</v>
      </c>
      <c r="BV451" s="6">
        <v>1115.4436040000001</v>
      </c>
      <c r="BW451" s="4">
        <v>1.0999999999999999E-2</v>
      </c>
      <c r="BX451" s="5"/>
      <c r="BY451" s="5"/>
      <c r="BZ451" s="5"/>
      <c r="CA451" s="5"/>
    </row>
    <row r="452" spans="1:79" x14ac:dyDescent="0.3">
      <c r="A452" s="4" t="s">
        <v>294</v>
      </c>
      <c r="B452" s="4">
        <v>0.9</v>
      </c>
      <c r="C452" s="4">
        <v>0.5</v>
      </c>
      <c r="D452" s="4">
        <v>0.6</v>
      </c>
      <c r="E452" s="4">
        <v>0.47</v>
      </c>
      <c r="F452" s="4">
        <v>1007.297546</v>
      </c>
      <c r="G452" s="4">
        <v>1.7000000000000001E-2</v>
      </c>
      <c r="I452" s="4" t="s">
        <v>294</v>
      </c>
      <c r="J452" s="4">
        <v>0.9</v>
      </c>
      <c r="K452" s="4">
        <v>0.5</v>
      </c>
      <c r="L452" s="4">
        <v>0.6</v>
      </c>
      <c r="M452" s="4">
        <v>0.31</v>
      </c>
      <c r="N452" s="6">
        <v>941.94207800000004</v>
      </c>
      <c r="O452" s="4">
        <v>4.0000000000000001E-3</v>
      </c>
      <c r="P452" s="5"/>
      <c r="Q452" s="5"/>
      <c r="R452" s="5"/>
      <c r="S452" s="5"/>
      <c r="U452" s="4" t="s">
        <v>294</v>
      </c>
      <c r="V452" s="4">
        <v>0.9</v>
      </c>
      <c r="W452" s="4">
        <v>0.5</v>
      </c>
      <c r="X452" s="4">
        <v>0.6</v>
      </c>
      <c r="Y452" s="4">
        <v>0.71</v>
      </c>
      <c r="Z452" s="4">
        <v>1075.8588870000001</v>
      </c>
      <c r="AA452" s="4">
        <v>2.5999999999999999E-2</v>
      </c>
      <c r="AC452" s="4" t="s">
        <v>294</v>
      </c>
      <c r="AD452" s="4">
        <v>0.9</v>
      </c>
      <c r="AE452" s="4">
        <v>0.5</v>
      </c>
      <c r="AF452" s="4">
        <v>0.6</v>
      </c>
      <c r="AG452" s="4">
        <v>0.34</v>
      </c>
      <c r="AH452" s="6">
        <v>889.37524399999995</v>
      </c>
      <c r="AI452" s="4">
        <v>8.0000000000000002E-3</v>
      </c>
      <c r="AJ452" s="5"/>
      <c r="AK452" s="5"/>
      <c r="AL452" s="5"/>
      <c r="AM452" s="5"/>
      <c r="AO452" s="4" t="s">
        <v>295</v>
      </c>
      <c r="AP452" s="4">
        <v>0.9</v>
      </c>
      <c r="AQ452" s="4">
        <v>0.5</v>
      </c>
      <c r="AR452" s="4">
        <v>0.6</v>
      </c>
      <c r="AS452" s="4">
        <v>0.44</v>
      </c>
      <c r="AT452" s="4">
        <v>1315.5986330000001</v>
      </c>
      <c r="AU452" s="4">
        <v>3.6999999999999998E-2</v>
      </c>
      <c r="AW452" s="4" t="s">
        <v>295</v>
      </c>
      <c r="AX452" s="4">
        <v>0.9</v>
      </c>
      <c r="AY452" s="4">
        <v>0.5</v>
      </c>
      <c r="AZ452" s="4">
        <v>0.6</v>
      </c>
      <c r="BA452" s="4">
        <v>0.31</v>
      </c>
      <c r="BB452" s="6">
        <v>1234.1866460000001</v>
      </c>
      <c r="BC452" s="4">
        <v>1.0999999999999999E-2</v>
      </c>
      <c r="BD452" s="5"/>
      <c r="BE452" s="5"/>
      <c r="BF452" s="5"/>
      <c r="BG452" s="5"/>
      <c r="BI452" s="4" t="s">
        <v>295</v>
      </c>
      <c r="BJ452" s="4">
        <v>0.9</v>
      </c>
      <c r="BK452" s="4">
        <v>0.5</v>
      </c>
      <c r="BL452" s="4">
        <v>0.6</v>
      </c>
      <c r="BM452" s="4">
        <v>0.43</v>
      </c>
      <c r="BN452" s="4">
        <v>1270.857788</v>
      </c>
      <c r="BO452" s="4">
        <v>2.5999999999999999E-2</v>
      </c>
      <c r="BQ452" s="4" t="s">
        <v>295</v>
      </c>
      <c r="BR452" s="4">
        <v>0.9</v>
      </c>
      <c r="BS452" s="4">
        <v>0.5</v>
      </c>
      <c r="BT452" s="4">
        <v>0.6</v>
      </c>
      <c r="BU452" s="4">
        <v>0.3</v>
      </c>
      <c r="BV452" s="6">
        <v>1207.9178469999999</v>
      </c>
      <c r="BW452" s="4">
        <v>1.0999999999999999E-2</v>
      </c>
      <c r="BX452" s="5"/>
      <c r="BY452" s="5"/>
      <c r="BZ452" s="5"/>
      <c r="CA452" s="5"/>
    </row>
    <row r="453" spans="1:79" x14ac:dyDescent="0.3">
      <c r="A453" s="4" t="s">
        <v>296</v>
      </c>
      <c r="B453" s="4">
        <v>0.9</v>
      </c>
      <c r="C453" s="4">
        <v>0.5</v>
      </c>
      <c r="D453" s="4">
        <v>0.6</v>
      </c>
      <c r="E453" s="4">
        <v>0.87</v>
      </c>
      <c r="F453" s="4">
        <v>1078.30835</v>
      </c>
      <c r="G453" s="4">
        <v>1.2E-2</v>
      </c>
      <c r="I453" s="4" t="s">
        <v>296</v>
      </c>
      <c r="J453" s="4">
        <v>0.9</v>
      </c>
      <c r="K453" s="4">
        <v>0.5</v>
      </c>
      <c r="L453" s="4">
        <v>0.6</v>
      </c>
      <c r="M453" s="4">
        <v>0.3</v>
      </c>
      <c r="N453" s="6">
        <v>914.62988299999995</v>
      </c>
      <c r="O453" s="4">
        <v>4.0000000000000001E-3</v>
      </c>
      <c r="P453" s="5"/>
      <c r="Q453" s="5"/>
      <c r="R453" s="5"/>
      <c r="S453" s="5"/>
      <c r="U453" s="4" t="s">
        <v>296</v>
      </c>
      <c r="V453" s="4">
        <v>0.9</v>
      </c>
      <c r="W453" s="4">
        <v>0.5</v>
      </c>
      <c r="X453" s="4">
        <v>0.6</v>
      </c>
      <c r="Y453" s="4">
        <v>0.74</v>
      </c>
      <c r="Z453" s="4">
        <v>1049.3524170000001</v>
      </c>
      <c r="AA453" s="4">
        <v>2.1000000000000001E-2</v>
      </c>
      <c r="AC453" s="4" t="s">
        <v>296</v>
      </c>
      <c r="AD453" s="4">
        <v>0.9</v>
      </c>
      <c r="AE453" s="4">
        <v>0.5</v>
      </c>
      <c r="AF453" s="4">
        <v>0.6</v>
      </c>
      <c r="AG453" s="4">
        <v>0.4</v>
      </c>
      <c r="AH453" s="6">
        <v>883.94293200000004</v>
      </c>
      <c r="AI453" s="4">
        <v>6.0000000000000001E-3</v>
      </c>
      <c r="AJ453" s="5"/>
      <c r="AK453" s="5"/>
      <c r="AL453" s="5"/>
      <c r="AM453" s="5"/>
      <c r="AO453" s="4" t="s">
        <v>297</v>
      </c>
      <c r="AP453" s="4">
        <v>0.9</v>
      </c>
      <c r="AQ453" s="4">
        <v>0.5</v>
      </c>
      <c r="AR453" s="4">
        <v>0.6</v>
      </c>
      <c r="AS453" s="4">
        <v>0.36</v>
      </c>
      <c r="AT453" s="4">
        <v>1167.1601559999999</v>
      </c>
      <c r="AU453" s="4">
        <v>2.9000000000000001E-2</v>
      </c>
      <c r="AW453" s="4" t="s">
        <v>297</v>
      </c>
      <c r="AX453" s="4">
        <v>0.9</v>
      </c>
      <c r="AY453" s="4">
        <v>0.5</v>
      </c>
      <c r="AZ453" s="4">
        <v>0.6</v>
      </c>
      <c r="BA453" s="4">
        <v>0.3</v>
      </c>
      <c r="BB453" s="6">
        <v>1162.0289310000001</v>
      </c>
      <c r="BC453" s="4">
        <v>1.9E-2</v>
      </c>
      <c r="BD453" s="5"/>
      <c r="BE453" s="5"/>
      <c r="BF453" s="5"/>
      <c r="BG453" s="5"/>
      <c r="BI453" s="4" t="s">
        <v>297</v>
      </c>
      <c r="BJ453" s="4">
        <v>0.9</v>
      </c>
      <c r="BK453" s="4">
        <v>0.5</v>
      </c>
      <c r="BL453" s="4">
        <v>0.6</v>
      </c>
      <c r="BM453" s="4">
        <v>0.63</v>
      </c>
      <c r="BN453" s="4">
        <v>1342.846436</v>
      </c>
      <c r="BO453" s="4">
        <v>1.7999999999999999E-2</v>
      </c>
      <c r="BQ453" s="4" t="s">
        <v>297</v>
      </c>
      <c r="BR453" s="4">
        <v>0.9</v>
      </c>
      <c r="BS453" s="4">
        <v>0.5</v>
      </c>
      <c r="BT453" s="4">
        <v>0.6</v>
      </c>
      <c r="BU453" s="4">
        <v>0.31</v>
      </c>
      <c r="BV453" s="6">
        <v>1132.02478</v>
      </c>
      <c r="BW453" s="4">
        <v>1.2E-2</v>
      </c>
      <c r="BX453" s="5"/>
      <c r="BY453" s="5"/>
      <c r="BZ453" s="5"/>
      <c r="CA453" s="5"/>
    </row>
    <row r="454" spans="1:79" x14ac:dyDescent="0.3">
      <c r="A454" s="4" t="s">
        <v>298</v>
      </c>
      <c r="B454" s="4">
        <v>0.9</v>
      </c>
      <c r="C454" s="4">
        <v>0.5</v>
      </c>
      <c r="D454" s="4">
        <v>0.6</v>
      </c>
      <c r="E454" s="4">
        <v>0.36</v>
      </c>
      <c r="F454" s="4">
        <v>765.813354</v>
      </c>
      <c r="G454" s="4">
        <v>3.7999999999999999E-2</v>
      </c>
      <c r="I454" s="4" t="s">
        <v>298</v>
      </c>
      <c r="J454" s="4">
        <v>0.9</v>
      </c>
      <c r="K454" s="4">
        <v>0.5</v>
      </c>
      <c r="L454" s="4">
        <v>0.6</v>
      </c>
      <c r="M454" s="4">
        <v>0.34</v>
      </c>
      <c r="N454" s="6">
        <v>776.42480499999999</v>
      </c>
      <c r="O454" s="4">
        <v>3.0000000000000001E-3</v>
      </c>
      <c r="P454" s="5"/>
      <c r="Q454" s="5"/>
      <c r="R454" s="5"/>
      <c r="S454" s="5"/>
      <c r="U454" s="4" t="s">
        <v>298</v>
      </c>
      <c r="V454" s="4">
        <v>0.9</v>
      </c>
      <c r="W454" s="4">
        <v>0.5</v>
      </c>
      <c r="X454" s="4">
        <v>0.6</v>
      </c>
      <c r="Y454" s="4">
        <v>0.26</v>
      </c>
      <c r="Z454" s="6">
        <v>717.47045900000001</v>
      </c>
      <c r="AA454" s="4">
        <v>1.7000000000000001E-2</v>
      </c>
      <c r="AC454" s="4" t="s">
        <v>298</v>
      </c>
      <c r="AD454" s="4">
        <v>0.9</v>
      </c>
      <c r="AE454" s="4">
        <v>0.5</v>
      </c>
      <c r="AF454" s="4">
        <v>0.6</v>
      </c>
      <c r="AG454" s="4">
        <v>0.3</v>
      </c>
      <c r="AH454" s="4">
        <v>762.967896</v>
      </c>
      <c r="AI454" s="4">
        <v>6.0000000000000001E-3</v>
      </c>
      <c r="AJ454" s="5"/>
      <c r="AK454" s="5"/>
      <c r="AL454" s="5"/>
      <c r="AM454" s="5"/>
      <c r="AO454" s="4" t="s">
        <v>299</v>
      </c>
      <c r="AP454" s="4">
        <v>0.9</v>
      </c>
      <c r="AQ454" s="4">
        <v>0.5</v>
      </c>
      <c r="AR454" s="4">
        <v>0.6</v>
      </c>
      <c r="AS454" s="4">
        <v>0.57999999999999996</v>
      </c>
      <c r="AT454" s="4">
        <v>1408.8283690000001</v>
      </c>
      <c r="AU454" s="4">
        <v>2.7E-2</v>
      </c>
      <c r="AW454" s="4" t="s">
        <v>299</v>
      </c>
      <c r="AX454" s="4">
        <v>0.9</v>
      </c>
      <c r="AY454" s="4">
        <v>0.5</v>
      </c>
      <c r="AZ454" s="4">
        <v>0.6</v>
      </c>
      <c r="BA454" s="4">
        <v>0.31</v>
      </c>
      <c r="BB454" s="6">
        <v>1209.7729489999999</v>
      </c>
      <c r="BC454" s="4">
        <v>1.2E-2</v>
      </c>
      <c r="BD454" s="5"/>
      <c r="BE454" s="5"/>
      <c r="BF454" s="5"/>
      <c r="BG454" s="5"/>
      <c r="BI454" s="4" t="s">
        <v>299</v>
      </c>
      <c r="BJ454" s="4">
        <v>0.9</v>
      </c>
      <c r="BK454" s="4">
        <v>0.5</v>
      </c>
      <c r="BL454" s="4">
        <v>0.6</v>
      </c>
      <c r="BM454" s="4">
        <v>0.62</v>
      </c>
      <c r="BN454" s="4">
        <v>1402.2154539999999</v>
      </c>
      <c r="BO454" s="4">
        <v>1.4999999999999999E-2</v>
      </c>
      <c r="BQ454" s="4" t="s">
        <v>299</v>
      </c>
      <c r="BR454" s="4">
        <v>0.9</v>
      </c>
      <c r="BS454" s="4">
        <v>0.5</v>
      </c>
      <c r="BT454" s="4">
        <v>0.6</v>
      </c>
      <c r="BU454" s="4">
        <v>0.31</v>
      </c>
      <c r="BV454" s="6">
        <v>1157.506592</v>
      </c>
      <c r="BW454" s="4">
        <v>1.7000000000000001E-2</v>
      </c>
      <c r="BX454" s="5"/>
      <c r="BY454" s="5"/>
      <c r="BZ454" s="5"/>
      <c r="CA454" s="5"/>
    </row>
    <row r="455" spans="1:79" x14ac:dyDescent="0.3">
      <c r="A455" s="4" t="s">
        <v>300</v>
      </c>
      <c r="B455" s="4">
        <v>0.9</v>
      </c>
      <c r="C455" s="4">
        <v>0.5</v>
      </c>
      <c r="D455" s="4">
        <v>0.6</v>
      </c>
      <c r="E455" s="4">
        <v>0.94</v>
      </c>
      <c r="F455" s="4">
        <v>1044.869385</v>
      </c>
      <c r="G455" s="4">
        <v>2.8000000000000001E-2</v>
      </c>
      <c r="I455" s="4" t="s">
        <v>300</v>
      </c>
      <c r="J455" s="4">
        <v>0.9</v>
      </c>
      <c r="K455" s="4">
        <v>0.5</v>
      </c>
      <c r="L455" s="4">
        <v>0.6</v>
      </c>
      <c r="M455" s="4">
        <v>0.3</v>
      </c>
      <c r="N455" s="6">
        <v>822.65850799999998</v>
      </c>
      <c r="O455" s="4">
        <v>4.0000000000000001E-3</v>
      </c>
      <c r="P455" s="5"/>
      <c r="Q455" s="5"/>
      <c r="R455" s="5"/>
      <c r="S455" s="5"/>
      <c r="U455" s="4" t="s">
        <v>300</v>
      </c>
      <c r="V455" s="4">
        <v>0.9</v>
      </c>
      <c r="W455" s="4">
        <v>0.5</v>
      </c>
      <c r="X455" s="4">
        <v>0.6</v>
      </c>
      <c r="Y455" s="4">
        <v>0.83</v>
      </c>
      <c r="Z455" s="4">
        <v>978.84271200000001</v>
      </c>
      <c r="AA455" s="4">
        <v>1.4999999999999999E-2</v>
      </c>
      <c r="AC455" s="4" t="s">
        <v>300</v>
      </c>
      <c r="AD455" s="4">
        <v>0.9</v>
      </c>
      <c r="AE455" s="4">
        <v>0.5</v>
      </c>
      <c r="AF455" s="4">
        <v>0.6</v>
      </c>
      <c r="AG455" s="4">
        <v>0.3</v>
      </c>
      <c r="AH455" s="6">
        <v>816.18353300000001</v>
      </c>
      <c r="AI455" s="4">
        <v>4.0000000000000001E-3</v>
      </c>
      <c r="AJ455" s="5"/>
      <c r="AK455" s="5"/>
      <c r="AL455" s="5"/>
      <c r="AM455" s="5"/>
      <c r="AO455" s="4" t="s">
        <v>301</v>
      </c>
      <c r="AP455" s="4">
        <v>0.9</v>
      </c>
      <c r="AQ455" s="4">
        <v>0.5</v>
      </c>
      <c r="AR455" s="4">
        <v>0.6</v>
      </c>
      <c r="AS455" s="4">
        <v>0.87</v>
      </c>
      <c r="AT455" s="4">
        <v>1496.121216</v>
      </c>
      <c r="AU455" s="4">
        <v>2.8000000000000001E-2</v>
      </c>
      <c r="AW455" s="4" t="s">
        <v>301</v>
      </c>
      <c r="AX455" s="4">
        <v>0.9</v>
      </c>
      <c r="AY455" s="4">
        <v>0.5</v>
      </c>
      <c r="AZ455" s="4">
        <v>0.6</v>
      </c>
      <c r="BA455" s="4">
        <v>0.31</v>
      </c>
      <c r="BB455" s="6">
        <v>1180.2524410000001</v>
      </c>
      <c r="BC455" s="4">
        <v>1.4E-2</v>
      </c>
      <c r="BD455" s="5"/>
      <c r="BE455" s="5"/>
      <c r="BF455" s="5"/>
      <c r="BG455" s="5"/>
      <c r="BI455" s="4" t="s">
        <v>301</v>
      </c>
      <c r="BJ455" s="4">
        <v>0.9</v>
      </c>
      <c r="BK455" s="4">
        <v>0.5</v>
      </c>
      <c r="BL455" s="4">
        <v>0.6</v>
      </c>
      <c r="BM455" s="4">
        <v>0.13</v>
      </c>
      <c r="BN455" s="6">
        <v>1014.939209</v>
      </c>
      <c r="BO455" s="4">
        <v>2.1000000000000001E-2</v>
      </c>
      <c r="BQ455" s="4" t="s">
        <v>301</v>
      </c>
      <c r="BR455" s="4">
        <v>0.9</v>
      </c>
      <c r="BS455" s="4">
        <v>0.5</v>
      </c>
      <c r="BT455" s="4">
        <v>0.6</v>
      </c>
      <c r="BU455" s="4">
        <v>0.41</v>
      </c>
      <c r="BV455" s="4">
        <v>1155.839111</v>
      </c>
      <c r="BW455" s="4">
        <v>1.2E-2</v>
      </c>
      <c r="BX455" s="5"/>
      <c r="BY455" s="5"/>
      <c r="BZ455" s="5"/>
      <c r="CA455" s="5"/>
    </row>
    <row r="456" spans="1:79" x14ac:dyDescent="0.3">
      <c r="A456" s="4" t="s">
        <v>302</v>
      </c>
      <c r="B456" s="4">
        <v>0.9</v>
      </c>
      <c r="C456" s="4">
        <v>0.5</v>
      </c>
      <c r="D456" s="4">
        <v>0.6</v>
      </c>
      <c r="E456" s="4">
        <v>0.74</v>
      </c>
      <c r="F456" s="4">
        <v>955.16156000000001</v>
      </c>
      <c r="G456" s="4">
        <v>1.2999999999999999E-2</v>
      </c>
      <c r="I456" s="4" t="s">
        <v>302</v>
      </c>
      <c r="J456" s="4">
        <v>0.9</v>
      </c>
      <c r="K456" s="4">
        <v>0.5</v>
      </c>
      <c r="L456" s="4">
        <v>0.6</v>
      </c>
      <c r="M456" s="4">
        <v>0.32</v>
      </c>
      <c r="N456" s="6">
        <v>774.51800500000002</v>
      </c>
      <c r="O456" s="4">
        <v>3.0000000000000001E-3</v>
      </c>
      <c r="P456" s="5"/>
      <c r="Q456" s="5"/>
      <c r="R456" s="5"/>
      <c r="S456" s="5"/>
      <c r="U456" s="4" t="s">
        <v>302</v>
      </c>
      <c r="V456" s="4">
        <v>0.9</v>
      </c>
      <c r="W456" s="4">
        <v>0.5</v>
      </c>
      <c r="X456" s="4">
        <v>0.6</v>
      </c>
      <c r="Y456" s="4">
        <v>0.61</v>
      </c>
      <c r="Z456" s="4">
        <v>938.14318800000001</v>
      </c>
      <c r="AA456" s="4">
        <v>1.2999999999999999E-2</v>
      </c>
      <c r="AC456" s="4" t="s">
        <v>302</v>
      </c>
      <c r="AD456" s="4">
        <v>0.9</v>
      </c>
      <c r="AE456" s="4">
        <v>0.5</v>
      </c>
      <c r="AF456" s="4">
        <v>0.6</v>
      </c>
      <c r="AG456" s="4">
        <v>0.3</v>
      </c>
      <c r="AH456" s="6">
        <v>822.40704300000004</v>
      </c>
      <c r="AI456" s="4">
        <v>4.0000000000000001E-3</v>
      </c>
      <c r="AJ456" s="5"/>
      <c r="AK456" s="5"/>
      <c r="AL456" s="5"/>
      <c r="AM456" s="5"/>
      <c r="AO456" s="4" t="s">
        <v>303</v>
      </c>
      <c r="AP456" s="4">
        <v>0.9</v>
      </c>
      <c r="AQ456" s="4">
        <v>0.5</v>
      </c>
      <c r="AR456" s="4">
        <v>0.6</v>
      </c>
      <c r="AS456" s="4">
        <v>0.08</v>
      </c>
      <c r="AT456" s="6">
        <v>974.76190199999996</v>
      </c>
      <c r="AU456" s="4">
        <v>2.8000000000000001E-2</v>
      </c>
      <c r="AW456" s="4" t="s">
        <v>303</v>
      </c>
      <c r="AX456" s="4">
        <v>0.9</v>
      </c>
      <c r="AY456" s="4">
        <v>0.5</v>
      </c>
      <c r="AZ456" s="4">
        <v>0.6</v>
      </c>
      <c r="BA456" s="4">
        <v>0.3</v>
      </c>
      <c r="BB456" s="4">
        <v>1147.559082</v>
      </c>
      <c r="BC456" s="4">
        <v>1.4E-2</v>
      </c>
      <c r="BD456" s="5"/>
      <c r="BE456" s="5"/>
      <c r="BF456" s="5"/>
      <c r="BG456" s="5"/>
      <c r="BI456" s="4" t="s">
        <v>303</v>
      </c>
      <c r="BJ456" s="4">
        <v>0.9</v>
      </c>
      <c r="BK456" s="4">
        <v>0.5</v>
      </c>
      <c r="BL456" s="4">
        <v>0.6</v>
      </c>
      <c r="BM456" s="4">
        <v>0.52</v>
      </c>
      <c r="BN456" s="4">
        <v>1261.5992429999999</v>
      </c>
      <c r="BO456" s="4">
        <v>2.4E-2</v>
      </c>
      <c r="BQ456" s="4" t="s">
        <v>303</v>
      </c>
      <c r="BR456" s="4">
        <v>0.9</v>
      </c>
      <c r="BS456" s="4">
        <v>0.5</v>
      </c>
      <c r="BT456" s="4">
        <v>0.6</v>
      </c>
      <c r="BU456" s="4">
        <v>0.32</v>
      </c>
      <c r="BV456" s="6">
        <v>1111.9857179999999</v>
      </c>
      <c r="BW456" s="4">
        <v>1.4999999999999999E-2</v>
      </c>
      <c r="BX456" s="5"/>
      <c r="BY456" s="5"/>
      <c r="BZ456" s="5"/>
      <c r="CA456" s="5"/>
    </row>
    <row r="457" spans="1:79" x14ac:dyDescent="0.3">
      <c r="A457" s="4" t="s">
        <v>304</v>
      </c>
      <c r="B457" s="4">
        <v>0.9</v>
      </c>
      <c r="C457" s="4">
        <v>0.5</v>
      </c>
      <c r="D457" s="4">
        <v>0.6</v>
      </c>
      <c r="E457" s="4">
        <v>0.73</v>
      </c>
      <c r="F457" s="4">
        <v>1079.1098629999999</v>
      </c>
      <c r="G457" s="4">
        <v>2.1999999999999999E-2</v>
      </c>
      <c r="I457" s="4" t="s">
        <v>304</v>
      </c>
      <c r="J457" s="4">
        <v>0.9</v>
      </c>
      <c r="K457" s="4">
        <v>0.5</v>
      </c>
      <c r="L457" s="4">
        <v>0.6</v>
      </c>
      <c r="M457" s="4">
        <v>0.3</v>
      </c>
      <c r="N457" s="6">
        <v>932.87658699999997</v>
      </c>
      <c r="O457" s="4">
        <v>4.0000000000000001E-3</v>
      </c>
      <c r="P457" s="5"/>
      <c r="Q457" s="5"/>
      <c r="R457" s="5"/>
      <c r="S457" s="5"/>
      <c r="U457" s="4" t="s">
        <v>304</v>
      </c>
      <c r="V457" s="4">
        <v>0.9</v>
      </c>
      <c r="W457" s="4">
        <v>0.5</v>
      </c>
      <c r="X457" s="4">
        <v>0.6</v>
      </c>
      <c r="Y457" s="4">
        <v>0.41</v>
      </c>
      <c r="Z457" s="4">
        <v>947.75750700000003</v>
      </c>
      <c r="AA457" s="4">
        <v>1.2999999999999999E-2</v>
      </c>
      <c r="AC457" s="4" t="s">
        <v>304</v>
      </c>
      <c r="AD457" s="4">
        <v>0.9</v>
      </c>
      <c r="AE457" s="4">
        <v>0.5</v>
      </c>
      <c r="AF457" s="4">
        <v>0.6</v>
      </c>
      <c r="AG457" s="4">
        <v>0.31</v>
      </c>
      <c r="AH457" s="6">
        <v>918.285706</v>
      </c>
      <c r="AI457" s="4">
        <v>5.0000000000000001E-3</v>
      </c>
      <c r="AJ457" s="5"/>
      <c r="AK457" s="5"/>
      <c r="AL457" s="5"/>
      <c r="AM457" s="5"/>
      <c r="AO457" s="4" t="s">
        <v>305</v>
      </c>
      <c r="AP457" s="4">
        <v>0.9</v>
      </c>
      <c r="AQ457" s="4">
        <v>0.5</v>
      </c>
      <c r="AR457" s="4">
        <v>0.6</v>
      </c>
      <c r="AS457" s="4">
        <v>0.55000000000000004</v>
      </c>
      <c r="AT457" s="4">
        <v>1405.8129879999999</v>
      </c>
      <c r="AU457" s="4">
        <v>0.03</v>
      </c>
      <c r="AW457" s="4" t="s">
        <v>305</v>
      </c>
      <c r="AX457" s="4">
        <v>0.9</v>
      </c>
      <c r="AY457" s="4">
        <v>0.5</v>
      </c>
      <c r="AZ457" s="4">
        <v>0.6</v>
      </c>
      <c r="BA457" s="4">
        <v>0.31</v>
      </c>
      <c r="BB457" s="6">
        <v>1173.3295900000001</v>
      </c>
      <c r="BC457" s="4">
        <v>0.02</v>
      </c>
      <c r="BD457" s="5"/>
      <c r="BE457" s="5"/>
      <c r="BF457" s="5"/>
      <c r="BG457" s="5"/>
      <c r="BI457" s="4" t="s">
        <v>305</v>
      </c>
      <c r="BJ457" s="4">
        <v>0.9</v>
      </c>
      <c r="BK457" s="4">
        <v>0.5</v>
      </c>
      <c r="BL457" s="4">
        <v>0.6</v>
      </c>
      <c r="BM457" s="4">
        <v>0.14000000000000001</v>
      </c>
      <c r="BN457" s="6">
        <v>1024.8122559999999</v>
      </c>
      <c r="BO457" s="4">
        <v>1.7999999999999999E-2</v>
      </c>
      <c r="BQ457" s="4" t="s">
        <v>305</v>
      </c>
      <c r="BR457" s="4">
        <v>0.9</v>
      </c>
      <c r="BS457" s="4">
        <v>0.5</v>
      </c>
      <c r="BT457" s="4">
        <v>0.6</v>
      </c>
      <c r="BU457" s="4">
        <v>0.31</v>
      </c>
      <c r="BV457" s="4">
        <v>1180.694092</v>
      </c>
      <c r="BW457" s="4">
        <v>1.2E-2</v>
      </c>
      <c r="BX457" s="5"/>
      <c r="BY457" s="5"/>
      <c r="BZ457" s="5"/>
      <c r="CA457" s="5"/>
    </row>
    <row r="458" spans="1:79" x14ac:dyDescent="0.3">
      <c r="A458" s="4" t="s">
        <v>306</v>
      </c>
      <c r="B458" s="4">
        <v>0.9</v>
      </c>
      <c r="C458" s="4">
        <v>0.5</v>
      </c>
      <c r="D458" s="4">
        <v>0.6</v>
      </c>
      <c r="E458" s="4">
        <v>0.98</v>
      </c>
      <c r="F458" s="4">
        <v>1167.9499510000001</v>
      </c>
      <c r="G458" s="4">
        <v>2.5999999999999999E-2</v>
      </c>
      <c r="I458" s="4" t="s">
        <v>306</v>
      </c>
      <c r="J458" s="4">
        <v>0.9</v>
      </c>
      <c r="K458" s="4">
        <v>0.5</v>
      </c>
      <c r="L458" s="4">
        <v>0.6</v>
      </c>
      <c r="M458" s="4">
        <v>0.36</v>
      </c>
      <c r="N458" s="6">
        <v>954.70245399999999</v>
      </c>
      <c r="O458" s="4">
        <v>4.0000000000000001E-3</v>
      </c>
      <c r="P458" s="5"/>
      <c r="Q458" s="5"/>
      <c r="R458" s="5"/>
      <c r="S458" s="5"/>
      <c r="U458" s="4" t="s">
        <v>306</v>
      </c>
      <c r="V458" s="4">
        <v>0.9</v>
      </c>
      <c r="W458" s="4">
        <v>0.5</v>
      </c>
      <c r="X458" s="4">
        <v>0.6</v>
      </c>
      <c r="Y458" s="4">
        <v>0.37</v>
      </c>
      <c r="Z458" s="4">
        <v>964.96105999999997</v>
      </c>
      <c r="AA458" s="4">
        <v>1.9E-2</v>
      </c>
      <c r="AC458" s="4" t="s">
        <v>306</v>
      </c>
      <c r="AD458" s="4">
        <v>0.9</v>
      </c>
      <c r="AE458" s="4">
        <v>0.5</v>
      </c>
      <c r="AF458" s="4">
        <v>0.6</v>
      </c>
      <c r="AG458" s="4">
        <v>0.3</v>
      </c>
      <c r="AH458" s="6">
        <v>925.18499799999995</v>
      </c>
      <c r="AI458" s="4">
        <v>6.0000000000000001E-3</v>
      </c>
      <c r="AJ458" s="5"/>
      <c r="AK458" s="5"/>
      <c r="AL458" s="5"/>
      <c r="AM458" s="5"/>
      <c r="AO458" s="4" t="s">
        <v>307</v>
      </c>
      <c r="AP458" s="4">
        <v>0.9</v>
      </c>
      <c r="AQ458" s="4">
        <v>0.5</v>
      </c>
      <c r="AR458" s="4">
        <v>0.6</v>
      </c>
      <c r="AS458" s="4">
        <v>0.27</v>
      </c>
      <c r="AT458" s="6">
        <v>1113.3726810000001</v>
      </c>
      <c r="AU458" s="4">
        <v>1.6E-2</v>
      </c>
      <c r="AW458" s="4" t="s">
        <v>307</v>
      </c>
      <c r="AX458" s="4">
        <v>0.9</v>
      </c>
      <c r="AY458" s="4">
        <v>0.5</v>
      </c>
      <c r="AZ458" s="4">
        <v>0.6</v>
      </c>
      <c r="BA458" s="4">
        <v>0.3</v>
      </c>
      <c r="BB458" s="4">
        <v>1183.7196039999999</v>
      </c>
      <c r="BC458" s="4">
        <v>1.9E-2</v>
      </c>
      <c r="BD458" s="5"/>
      <c r="BE458" s="5"/>
      <c r="BF458" s="5"/>
      <c r="BG458" s="5"/>
      <c r="BI458" s="4" t="s">
        <v>307</v>
      </c>
      <c r="BJ458" s="4">
        <v>0.9</v>
      </c>
      <c r="BK458" s="4">
        <v>0.5</v>
      </c>
      <c r="BL458" s="4">
        <v>0.6</v>
      </c>
      <c r="BM458" s="4">
        <v>0.12</v>
      </c>
      <c r="BN458" s="6">
        <v>967.95800799999995</v>
      </c>
      <c r="BO458" s="4">
        <v>0.02</v>
      </c>
      <c r="BQ458" s="4" t="s">
        <v>307</v>
      </c>
      <c r="BR458" s="4">
        <v>0.9</v>
      </c>
      <c r="BS458" s="4">
        <v>0.5</v>
      </c>
      <c r="BT458" s="4">
        <v>0.6</v>
      </c>
      <c r="BU458" s="4">
        <v>0.31</v>
      </c>
      <c r="BV458" s="4">
        <v>1158.8789059999999</v>
      </c>
      <c r="BW458" s="4">
        <v>1.2999999999999999E-2</v>
      </c>
      <c r="BX458" s="5"/>
      <c r="BY458" s="5"/>
      <c r="BZ458" s="5"/>
      <c r="CA458" s="5"/>
    </row>
    <row r="459" spans="1:79" x14ac:dyDescent="0.3">
      <c r="A459" s="4" t="s">
        <v>308</v>
      </c>
      <c r="B459" s="4">
        <v>0.9</v>
      </c>
      <c r="C459" s="4">
        <v>0.5</v>
      </c>
      <c r="D459" s="4">
        <v>0.6</v>
      </c>
      <c r="E459" s="4">
        <v>0.27</v>
      </c>
      <c r="F459" s="4">
        <v>926.25537099999997</v>
      </c>
      <c r="G459" s="4">
        <v>3.7999999999999999E-2</v>
      </c>
      <c r="I459" s="4" t="s">
        <v>308</v>
      </c>
      <c r="J459" s="4">
        <v>0.9</v>
      </c>
      <c r="K459" s="4">
        <v>0.5</v>
      </c>
      <c r="L459" s="4">
        <v>0.6</v>
      </c>
      <c r="M459" s="4">
        <v>0.31</v>
      </c>
      <c r="N459" s="6">
        <v>943.503601</v>
      </c>
      <c r="O459" s="4">
        <v>3.0000000000000001E-3</v>
      </c>
      <c r="P459" s="5"/>
      <c r="Q459" s="5"/>
      <c r="R459" s="5"/>
      <c r="S459" s="5"/>
      <c r="U459" s="4" t="s">
        <v>308</v>
      </c>
      <c r="V459" s="4">
        <v>0.9</v>
      </c>
      <c r="W459" s="4">
        <v>0.5</v>
      </c>
      <c r="X459" s="4">
        <v>0.6</v>
      </c>
      <c r="Y459" s="4">
        <v>0.75</v>
      </c>
      <c r="Z459" s="4">
        <v>1072.4197999999999</v>
      </c>
      <c r="AA459" s="4">
        <v>1.0999999999999999E-2</v>
      </c>
      <c r="AC459" s="4" t="s">
        <v>308</v>
      </c>
      <c r="AD459" s="4">
        <v>0.9</v>
      </c>
      <c r="AE459" s="4">
        <v>0.5</v>
      </c>
      <c r="AF459" s="4">
        <v>0.6</v>
      </c>
      <c r="AG459" s="4">
        <v>0.44</v>
      </c>
      <c r="AH459" s="6">
        <v>930.16992200000004</v>
      </c>
      <c r="AI459" s="4">
        <v>4.0000000000000001E-3</v>
      </c>
      <c r="AJ459" s="5"/>
      <c r="AK459" s="5"/>
      <c r="AL459" s="5"/>
      <c r="AM459" s="5"/>
      <c r="AO459" s="4" t="s">
        <v>309</v>
      </c>
      <c r="AP459" s="4">
        <v>0.9</v>
      </c>
      <c r="AQ459" s="4">
        <v>0.5</v>
      </c>
      <c r="AR459" s="4">
        <v>0.6</v>
      </c>
      <c r="AS459" s="4">
        <v>0.74</v>
      </c>
      <c r="AT459" s="4">
        <v>1523.7020259999999</v>
      </c>
      <c r="AU459" s="4">
        <v>4.3999999999999997E-2</v>
      </c>
      <c r="AW459" s="4" t="s">
        <v>309</v>
      </c>
      <c r="AX459" s="4">
        <v>0.9</v>
      </c>
      <c r="AY459" s="4">
        <v>0.5</v>
      </c>
      <c r="AZ459" s="4">
        <v>0.6</v>
      </c>
      <c r="BA459" s="4">
        <v>0.31</v>
      </c>
      <c r="BB459" s="6">
        <v>1180.5083010000001</v>
      </c>
      <c r="BC459" s="4">
        <v>1.2999999999999999E-2</v>
      </c>
      <c r="BD459" s="5"/>
      <c r="BE459" s="5"/>
      <c r="BF459" s="5"/>
      <c r="BG459" s="5"/>
      <c r="BI459" s="4" t="s">
        <v>309</v>
      </c>
      <c r="BJ459" s="4">
        <v>0.9</v>
      </c>
      <c r="BK459" s="4">
        <v>0.5</v>
      </c>
      <c r="BL459" s="4">
        <v>0.6</v>
      </c>
      <c r="BM459" s="4">
        <v>0.34</v>
      </c>
      <c r="BN459" s="4">
        <v>1177.9560550000001</v>
      </c>
      <c r="BO459" s="4">
        <v>0.02</v>
      </c>
      <c r="BQ459" s="4" t="s">
        <v>309</v>
      </c>
      <c r="BR459" s="4">
        <v>0.9</v>
      </c>
      <c r="BS459" s="4">
        <v>0.5</v>
      </c>
      <c r="BT459" s="4">
        <v>0.6</v>
      </c>
      <c r="BU459" s="4">
        <v>0.33</v>
      </c>
      <c r="BV459" s="6">
        <v>1169.4304199999999</v>
      </c>
      <c r="BW459" s="4">
        <v>1.6E-2</v>
      </c>
      <c r="BX459" s="5"/>
      <c r="BY459" s="5"/>
      <c r="BZ459" s="5"/>
      <c r="CA459" s="5"/>
    </row>
    <row r="460" spans="1:79" x14ac:dyDescent="0.3">
      <c r="A460" s="4" t="s">
        <v>310</v>
      </c>
      <c r="B460" s="4">
        <v>0.9</v>
      </c>
      <c r="C460" s="4">
        <v>0.5</v>
      </c>
      <c r="D460" s="4">
        <v>0.6</v>
      </c>
      <c r="E460" s="4">
        <v>0.5</v>
      </c>
      <c r="F460" s="4">
        <v>1000.1410519999999</v>
      </c>
      <c r="G460" s="4">
        <v>1.9E-2</v>
      </c>
      <c r="I460" s="4" t="s">
        <v>310</v>
      </c>
      <c r="J460" s="4">
        <v>0.9</v>
      </c>
      <c r="K460" s="4">
        <v>0.5</v>
      </c>
      <c r="L460" s="4">
        <v>0.6</v>
      </c>
      <c r="M460" s="4">
        <v>0.3</v>
      </c>
      <c r="N460" s="6">
        <v>911.02453600000001</v>
      </c>
      <c r="O460" s="4">
        <v>4.0000000000000001E-3</v>
      </c>
      <c r="P460" s="5"/>
      <c r="Q460" s="5"/>
      <c r="R460" s="5"/>
      <c r="S460" s="5"/>
      <c r="U460" s="4" t="s">
        <v>310</v>
      </c>
      <c r="V460" s="4">
        <v>0.9</v>
      </c>
      <c r="W460" s="4">
        <v>0.5</v>
      </c>
      <c r="X460" s="4">
        <v>0.6</v>
      </c>
      <c r="Y460" s="4">
        <v>0.93</v>
      </c>
      <c r="Z460" s="4">
        <v>1074.2154539999999</v>
      </c>
      <c r="AA460" s="4">
        <v>2.4E-2</v>
      </c>
      <c r="AC460" s="4" t="s">
        <v>310</v>
      </c>
      <c r="AD460" s="4">
        <v>0.9</v>
      </c>
      <c r="AE460" s="4">
        <v>0.5</v>
      </c>
      <c r="AF460" s="4">
        <v>0.6</v>
      </c>
      <c r="AG460" s="4">
        <v>0.31</v>
      </c>
      <c r="AH460" s="6">
        <v>876.787598</v>
      </c>
      <c r="AI460" s="4">
        <v>4.0000000000000001E-3</v>
      </c>
      <c r="AJ460" s="5"/>
      <c r="AK460" s="5"/>
      <c r="AL460" s="5"/>
      <c r="AM460" s="5"/>
      <c r="AO460" s="4" t="s">
        <v>311</v>
      </c>
      <c r="AP460" s="4">
        <v>0.9</v>
      </c>
      <c r="AQ460" s="4">
        <v>0.5</v>
      </c>
      <c r="AR460" s="4">
        <v>0.6</v>
      </c>
      <c r="AS460" s="4">
        <v>0.08</v>
      </c>
      <c r="AT460" s="6">
        <v>984.10131799999999</v>
      </c>
      <c r="AU460" s="4">
        <v>2.3E-2</v>
      </c>
      <c r="AW460" s="4" t="s">
        <v>311</v>
      </c>
      <c r="AX460" s="4">
        <v>0.9</v>
      </c>
      <c r="AY460" s="4">
        <v>0.5</v>
      </c>
      <c r="AZ460" s="4">
        <v>0.6</v>
      </c>
      <c r="BA460" s="4">
        <v>0.3</v>
      </c>
      <c r="BB460" s="4">
        <v>1230.4323730000001</v>
      </c>
      <c r="BC460" s="4">
        <v>1.7000000000000001E-2</v>
      </c>
      <c r="BD460" s="5"/>
      <c r="BE460" s="5"/>
      <c r="BF460" s="5"/>
      <c r="BG460" s="5"/>
      <c r="BI460" s="4" t="s">
        <v>311</v>
      </c>
      <c r="BJ460" s="4">
        <v>0.9</v>
      </c>
      <c r="BK460" s="4">
        <v>0.5</v>
      </c>
      <c r="BL460" s="4">
        <v>0.6</v>
      </c>
      <c r="BM460" s="4">
        <v>0.28000000000000003</v>
      </c>
      <c r="BN460" s="4">
        <v>1166.1732179999999</v>
      </c>
      <c r="BO460" s="4">
        <v>2.5000000000000001E-2</v>
      </c>
      <c r="BQ460" s="4" t="s">
        <v>311</v>
      </c>
      <c r="BR460" s="4">
        <v>0.9</v>
      </c>
      <c r="BS460" s="4">
        <v>0.5</v>
      </c>
      <c r="BT460" s="4">
        <v>0.6</v>
      </c>
      <c r="BU460" s="4">
        <v>0.31</v>
      </c>
      <c r="BV460" s="6">
        <v>1191.03772</v>
      </c>
      <c r="BW460" s="4">
        <v>1.0999999999999999E-2</v>
      </c>
      <c r="BX460" s="5"/>
      <c r="BY460" s="5"/>
      <c r="BZ460" s="5"/>
      <c r="CA460" s="5"/>
    </row>
    <row r="461" spans="1:79" x14ac:dyDescent="0.3">
      <c r="A461" s="4" t="s">
        <v>312</v>
      </c>
      <c r="B461" s="4">
        <v>0.9</v>
      </c>
      <c r="C461" s="4">
        <v>0.5</v>
      </c>
      <c r="D461" s="4">
        <v>0.6</v>
      </c>
      <c r="E461" s="4">
        <v>0.74</v>
      </c>
      <c r="F461" s="4">
        <v>1047.118408</v>
      </c>
      <c r="G461" s="4">
        <v>3.3000000000000002E-2</v>
      </c>
      <c r="I461" s="4" t="s">
        <v>312</v>
      </c>
      <c r="J461" s="4">
        <v>0.9</v>
      </c>
      <c r="K461" s="4">
        <v>0.5</v>
      </c>
      <c r="L461" s="4">
        <v>0.6</v>
      </c>
      <c r="M461" s="4">
        <v>0.31</v>
      </c>
      <c r="N461" s="6">
        <v>904.13647500000002</v>
      </c>
      <c r="O461" s="4">
        <v>4.0000000000000001E-3</v>
      </c>
      <c r="P461" s="5"/>
      <c r="Q461" s="5"/>
      <c r="R461" s="5"/>
      <c r="S461" s="5"/>
      <c r="U461" s="4" t="s">
        <v>312</v>
      </c>
      <c r="V461" s="4">
        <v>0.9</v>
      </c>
      <c r="W461" s="4">
        <v>0.5</v>
      </c>
      <c r="X461" s="4">
        <v>0.6</v>
      </c>
      <c r="Y461" s="4">
        <v>0.17</v>
      </c>
      <c r="Z461" s="6">
        <v>762.63354500000003</v>
      </c>
      <c r="AA461" s="4">
        <v>1.6E-2</v>
      </c>
      <c r="AC461" s="4" t="s">
        <v>312</v>
      </c>
      <c r="AD461" s="4">
        <v>0.9</v>
      </c>
      <c r="AE461" s="4">
        <v>0.5</v>
      </c>
      <c r="AF461" s="4">
        <v>0.6</v>
      </c>
      <c r="AG461" s="4">
        <v>0.31</v>
      </c>
      <c r="AH461" s="4">
        <v>867.81793200000004</v>
      </c>
      <c r="AI461" s="4">
        <v>6.0000000000000001E-3</v>
      </c>
      <c r="AJ461" s="5"/>
      <c r="AK461" s="5"/>
      <c r="AL461" s="5"/>
      <c r="AM461" s="5"/>
      <c r="AO461" s="4" t="s">
        <v>313</v>
      </c>
      <c r="AP461" s="4">
        <v>0.9</v>
      </c>
      <c r="AQ461" s="4">
        <v>0.5</v>
      </c>
      <c r="AR461" s="4">
        <v>0.6</v>
      </c>
      <c r="AS461" s="4">
        <v>0.7</v>
      </c>
      <c r="AT461" s="4">
        <v>1392.565552</v>
      </c>
      <c r="AU461" s="4">
        <v>2.5000000000000001E-2</v>
      </c>
      <c r="AW461" s="4" t="s">
        <v>313</v>
      </c>
      <c r="AX461" s="4">
        <v>0.9</v>
      </c>
      <c r="AY461" s="4">
        <v>0.5</v>
      </c>
      <c r="AZ461" s="4">
        <v>0.6</v>
      </c>
      <c r="BA461" s="4">
        <v>0.36</v>
      </c>
      <c r="BB461" s="6">
        <v>1189.364624</v>
      </c>
      <c r="BC461" s="4">
        <v>1.4E-2</v>
      </c>
      <c r="BD461" s="5"/>
      <c r="BE461" s="5"/>
      <c r="BF461" s="5"/>
      <c r="BG461" s="5"/>
      <c r="BI461" s="4" t="s">
        <v>313</v>
      </c>
      <c r="BJ461" s="4">
        <v>0.9</v>
      </c>
      <c r="BK461" s="4">
        <v>0.5</v>
      </c>
      <c r="BL461" s="4">
        <v>0.6</v>
      </c>
      <c r="BM461" s="4">
        <v>0.49</v>
      </c>
      <c r="BN461" s="4">
        <v>1272.938721</v>
      </c>
      <c r="BO461" s="4">
        <v>1.4999999999999999E-2</v>
      </c>
      <c r="BQ461" s="4" t="s">
        <v>313</v>
      </c>
      <c r="BR461" s="4">
        <v>0.9</v>
      </c>
      <c r="BS461" s="4">
        <v>0.5</v>
      </c>
      <c r="BT461" s="4">
        <v>0.6</v>
      </c>
      <c r="BU461" s="4">
        <v>0.3</v>
      </c>
      <c r="BV461" s="6">
        <v>1189.4600829999999</v>
      </c>
      <c r="BW461" s="4">
        <v>0.01</v>
      </c>
      <c r="BX461" s="5"/>
      <c r="BY461" s="5"/>
      <c r="BZ461" s="5"/>
      <c r="CA461" s="5"/>
    </row>
    <row r="462" spans="1:79" x14ac:dyDescent="0.3">
      <c r="A462" s="14" t="s">
        <v>316</v>
      </c>
      <c r="E462" s="14">
        <f>AVERAGE(E432:E461)</f>
        <v>0.54133333333333333</v>
      </c>
      <c r="I462" s="14" t="s">
        <v>316</v>
      </c>
      <c r="M462" s="14">
        <f>AVERAGE(M432:M461)</f>
        <v>0.3166666666666666</v>
      </c>
      <c r="P462" s="5"/>
      <c r="Q462" s="5"/>
      <c r="R462" s="5"/>
      <c r="S462" s="5"/>
      <c r="U462" s="14" t="s">
        <v>316</v>
      </c>
      <c r="Y462" s="14">
        <f>AVERAGE(Y432:Y461)</f>
        <v>0.54566666666666686</v>
      </c>
      <c r="AC462" s="14" t="s">
        <v>316</v>
      </c>
      <c r="AG462" s="14">
        <f>AVERAGE(AG432:AG461)</f>
        <v>0.32700000000000001</v>
      </c>
      <c r="AJ462" s="5"/>
      <c r="AK462" s="5"/>
      <c r="AL462" s="5"/>
      <c r="AM462" s="5"/>
      <c r="AO462" s="14" t="s">
        <v>316</v>
      </c>
      <c r="AS462" s="14">
        <f>AVERAGE(AS432:AS461)</f>
        <v>0.45999999999999991</v>
      </c>
      <c r="AW462" s="14" t="s">
        <v>316</v>
      </c>
      <c r="BA462" s="14">
        <f>AVERAGE(BA432:BA461)</f>
        <v>0.31533333333333324</v>
      </c>
      <c r="BD462" s="5"/>
      <c r="BE462" s="5"/>
      <c r="BF462" s="5"/>
      <c r="BG462" s="5"/>
      <c r="BI462" s="14" t="s">
        <v>316</v>
      </c>
      <c r="BM462" s="14">
        <f>AVERAGE(BM432:BM461)</f>
        <v>0.45033333333333331</v>
      </c>
      <c r="BQ462" s="14" t="s">
        <v>316</v>
      </c>
      <c r="BU462" s="14">
        <f>AVERAGE(BU432:BU461)</f>
        <v>0.3143333333333333</v>
      </c>
      <c r="BX462" s="5"/>
      <c r="BY462" s="5"/>
      <c r="BZ462" s="5"/>
      <c r="CA462" s="5"/>
    </row>
    <row r="463" spans="1:79" x14ac:dyDescent="0.3">
      <c r="P463" s="5"/>
      <c r="Q463" s="5"/>
      <c r="R463" s="5"/>
      <c r="S463" s="5"/>
      <c r="AJ463" s="5"/>
      <c r="AK463" s="5"/>
      <c r="AL463" s="5"/>
      <c r="AM463" s="5"/>
      <c r="BD463" s="5"/>
      <c r="BE463" s="5"/>
      <c r="BF463" s="5"/>
      <c r="BG463" s="5"/>
      <c r="BX463" s="5"/>
      <c r="BY463" s="5"/>
      <c r="BZ463" s="5"/>
      <c r="CA463" s="5"/>
    </row>
    <row r="464" spans="1:79" x14ac:dyDescent="0.3">
      <c r="P464" s="5"/>
      <c r="Q464" s="5"/>
      <c r="R464" s="5"/>
      <c r="S464" s="5"/>
      <c r="AJ464" s="5"/>
      <c r="AK464" s="5"/>
      <c r="AL464" s="5"/>
      <c r="AM464" s="5"/>
      <c r="BD464" s="5"/>
      <c r="BE464" s="5"/>
      <c r="BF464" s="5"/>
      <c r="BG464" s="5"/>
      <c r="BX464" s="5"/>
      <c r="BY464" s="5"/>
      <c r="BZ464" s="5"/>
      <c r="CA464" s="5"/>
    </row>
    <row r="465" spans="1:79" x14ac:dyDescent="0.3">
      <c r="A465" s="24" t="s">
        <v>314</v>
      </c>
      <c r="B465" s="25"/>
      <c r="C465" s="25"/>
      <c r="D465" s="25"/>
      <c r="E465" s="25"/>
      <c r="F465" s="25"/>
      <c r="G465" s="26"/>
      <c r="I465" s="23" t="s">
        <v>314</v>
      </c>
      <c r="J465" s="23"/>
      <c r="K465" s="23"/>
      <c r="L465" s="23"/>
      <c r="M465" s="23"/>
      <c r="N465" s="23"/>
      <c r="O465" s="23"/>
      <c r="P465" s="11"/>
      <c r="Q465" s="11"/>
      <c r="R465" s="11"/>
      <c r="S465" s="11"/>
      <c r="U465" s="24" t="s">
        <v>314</v>
      </c>
      <c r="V465" s="25"/>
      <c r="W465" s="25"/>
      <c r="X465" s="25"/>
      <c r="Y465" s="25"/>
      <c r="Z465" s="25"/>
      <c r="AA465" s="26"/>
      <c r="AC465" s="23" t="s">
        <v>314</v>
      </c>
      <c r="AD465" s="23"/>
      <c r="AE465" s="23"/>
      <c r="AF465" s="23"/>
      <c r="AG465" s="23"/>
      <c r="AH465" s="23"/>
      <c r="AI465" s="23"/>
      <c r="AJ465" s="11"/>
      <c r="AK465" s="11"/>
      <c r="AL465" s="11"/>
      <c r="AM465" s="11"/>
      <c r="AO465" s="24" t="s">
        <v>314</v>
      </c>
      <c r="AP465" s="25"/>
      <c r="AQ465" s="25"/>
      <c r="AR465" s="25"/>
      <c r="AS465" s="25"/>
      <c r="AT465" s="25"/>
      <c r="AU465" s="26"/>
      <c r="AW465" s="23" t="s">
        <v>314</v>
      </c>
      <c r="AX465" s="23"/>
      <c r="AY465" s="23"/>
      <c r="AZ465" s="23"/>
      <c r="BA465" s="23"/>
      <c r="BB465" s="23"/>
      <c r="BC465" s="23"/>
      <c r="BD465" s="11"/>
      <c r="BE465" s="11"/>
      <c r="BF465" s="11"/>
      <c r="BG465" s="11"/>
      <c r="BI465" s="24" t="s">
        <v>314</v>
      </c>
      <c r="BJ465" s="25"/>
      <c r="BK465" s="25"/>
      <c r="BL465" s="25"/>
      <c r="BM465" s="25"/>
      <c r="BN465" s="25"/>
      <c r="BO465" s="26"/>
      <c r="BQ465" s="23" t="s">
        <v>314</v>
      </c>
      <c r="BR465" s="23"/>
      <c r="BS465" s="23"/>
      <c r="BT465" s="23"/>
      <c r="BU465" s="23"/>
      <c r="BV465" s="23"/>
      <c r="BW465" s="23"/>
      <c r="BX465" s="11"/>
      <c r="BY465" s="11"/>
      <c r="BZ465" s="11"/>
      <c r="CA465" s="11"/>
    </row>
    <row r="466" spans="1:79" x14ac:dyDescent="0.3">
      <c r="A466" s="4" t="s">
        <v>70</v>
      </c>
      <c r="B466" s="4"/>
      <c r="C466" s="4"/>
      <c r="D466" s="4"/>
      <c r="E466" s="4"/>
      <c r="F466" s="4"/>
      <c r="G466" s="4"/>
      <c r="I466" s="23" t="s">
        <v>70</v>
      </c>
      <c r="J466" s="23"/>
      <c r="K466" s="23"/>
      <c r="L466" s="23"/>
      <c r="M466" s="23"/>
      <c r="N466" s="23"/>
      <c r="O466" s="23"/>
      <c r="P466" s="5"/>
      <c r="Q466" s="5"/>
      <c r="R466" s="5"/>
      <c r="S466" s="5"/>
      <c r="U466" s="4" t="s">
        <v>71</v>
      </c>
      <c r="V466" s="4"/>
      <c r="W466" s="4"/>
      <c r="X466" s="4"/>
      <c r="Y466" s="4"/>
      <c r="Z466" s="4"/>
      <c r="AA466" s="4"/>
      <c r="AC466" s="23" t="s">
        <v>71</v>
      </c>
      <c r="AD466" s="23"/>
      <c r="AE466" s="23"/>
      <c r="AF466" s="23"/>
      <c r="AG466" s="23"/>
      <c r="AH466" s="23"/>
      <c r="AI466" s="23"/>
      <c r="AJ466" s="5"/>
      <c r="AK466" s="5"/>
      <c r="AL466" s="5"/>
      <c r="AM466" s="5"/>
      <c r="AO466" s="4" t="s">
        <v>70</v>
      </c>
      <c r="AP466" s="4"/>
      <c r="AQ466" s="4"/>
      <c r="AR466" s="4"/>
      <c r="AS466" s="4"/>
      <c r="AT466" s="4"/>
      <c r="AU466" s="4"/>
      <c r="AW466" s="23" t="s">
        <v>70</v>
      </c>
      <c r="AX466" s="23"/>
      <c r="AY466" s="23"/>
      <c r="AZ466" s="23"/>
      <c r="BA466" s="23"/>
      <c r="BB466" s="23"/>
      <c r="BC466" s="23"/>
      <c r="BD466" s="5"/>
      <c r="BE466" s="5"/>
      <c r="BF466" s="5"/>
      <c r="BG466" s="5"/>
      <c r="BI466" s="4" t="s">
        <v>71</v>
      </c>
      <c r="BJ466" s="4"/>
      <c r="BK466" s="4"/>
      <c r="BL466" s="4"/>
      <c r="BM466" s="4"/>
      <c r="BN466" s="4"/>
      <c r="BO466" s="4"/>
      <c r="BQ466" s="23" t="s">
        <v>71</v>
      </c>
      <c r="BR466" s="23"/>
      <c r="BS466" s="23"/>
      <c r="BT466" s="23"/>
      <c r="BU466" s="23"/>
      <c r="BV466" s="23"/>
      <c r="BW466" s="23"/>
      <c r="BX466" s="5"/>
      <c r="BY466" s="5"/>
      <c r="BZ466" s="5"/>
      <c r="CA466" s="5"/>
    </row>
    <row r="467" spans="1:79" x14ac:dyDescent="0.3">
      <c r="A467" s="4" t="s">
        <v>2</v>
      </c>
      <c r="B467" s="4" t="s">
        <v>3</v>
      </c>
      <c r="C467" s="4" t="s">
        <v>4</v>
      </c>
      <c r="D467" s="4" t="s">
        <v>5</v>
      </c>
      <c r="E467" s="4" t="s">
        <v>6</v>
      </c>
      <c r="F467" s="4" t="s">
        <v>7</v>
      </c>
      <c r="G467" s="4" t="s">
        <v>8</v>
      </c>
      <c r="I467" s="4" t="s">
        <v>2</v>
      </c>
      <c r="J467" s="4" t="s">
        <v>3</v>
      </c>
      <c r="K467" s="4" t="s">
        <v>4</v>
      </c>
      <c r="L467" s="4" t="s">
        <v>5</v>
      </c>
      <c r="M467" s="4" t="s">
        <v>6</v>
      </c>
      <c r="N467" s="4" t="s">
        <v>7</v>
      </c>
      <c r="O467" s="4" t="s">
        <v>8</v>
      </c>
      <c r="P467" s="3" t="s">
        <v>322</v>
      </c>
      <c r="Q467" s="3" t="s">
        <v>323</v>
      </c>
      <c r="R467" s="3" t="s">
        <v>322</v>
      </c>
      <c r="S467" s="3" t="s">
        <v>323</v>
      </c>
      <c r="U467" s="4" t="s">
        <v>2</v>
      </c>
      <c r="V467" s="4" t="s">
        <v>3</v>
      </c>
      <c r="W467" s="4" t="s">
        <v>4</v>
      </c>
      <c r="X467" s="4" t="s">
        <v>5</v>
      </c>
      <c r="Y467" s="4" t="s">
        <v>6</v>
      </c>
      <c r="Z467" s="4" t="s">
        <v>7</v>
      </c>
      <c r="AA467" s="4" t="s">
        <v>8</v>
      </c>
      <c r="AC467" s="4" t="s">
        <v>2</v>
      </c>
      <c r="AD467" s="4" t="s">
        <v>3</v>
      </c>
      <c r="AE467" s="4" t="s">
        <v>4</v>
      </c>
      <c r="AF467" s="4" t="s">
        <v>5</v>
      </c>
      <c r="AG467" s="4" t="s">
        <v>6</v>
      </c>
      <c r="AH467" s="4" t="s">
        <v>7</v>
      </c>
      <c r="AI467" s="4" t="s">
        <v>8</v>
      </c>
      <c r="AJ467" s="3" t="s">
        <v>322</v>
      </c>
      <c r="AK467" s="3" t="s">
        <v>323</v>
      </c>
      <c r="AL467" s="3" t="s">
        <v>322</v>
      </c>
      <c r="AM467" s="3" t="s">
        <v>323</v>
      </c>
      <c r="AO467" s="4" t="s">
        <v>2</v>
      </c>
      <c r="AP467" s="4" t="s">
        <v>3</v>
      </c>
      <c r="AQ467" s="4" t="s">
        <v>4</v>
      </c>
      <c r="AR467" s="4" t="s">
        <v>5</v>
      </c>
      <c r="AS467" s="4" t="s">
        <v>6</v>
      </c>
      <c r="AT467" s="4" t="s">
        <v>7</v>
      </c>
      <c r="AU467" s="4" t="s">
        <v>8</v>
      </c>
      <c r="AW467" s="4" t="s">
        <v>2</v>
      </c>
      <c r="AX467" s="4" t="s">
        <v>3</v>
      </c>
      <c r="AY467" s="4" t="s">
        <v>4</v>
      </c>
      <c r="AZ467" s="4" t="s">
        <v>5</v>
      </c>
      <c r="BA467" s="4" t="s">
        <v>6</v>
      </c>
      <c r="BB467" s="4" t="s">
        <v>7</v>
      </c>
      <c r="BC467" s="4" t="s">
        <v>8</v>
      </c>
      <c r="BD467" s="3" t="s">
        <v>322</v>
      </c>
      <c r="BE467" s="3" t="s">
        <v>323</v>
      </c>
      <c r="BF467" s="3" t="s">
        <v>322</v>
      </c>
      <c r="BG467" s="3" t="s">
        <v>323</v>
      </c>
      <c r="BI467" s="4" t="s">
        <v>2</v>
      </c>
      <c r="BJ467" s="4" t="s">
        <v>3</v>
      </c>
      <c r="BK467" s="4" t="s">
        <v>4</v>
      </c>
      <c r="BL467" s="4" t="s">
        <v>5</v>
      </c>
      <c r="BM467" s="4" t="s">
        <v>6</v>
      </c>
      <c r="BN467" s="4" t="s">
        <v>7</v>
      </c>
      <c r="BO467" s="4" t="s">
        <v>8</v>
      </c>
      <c r="BQ467" s="4" t="s">
        <v>2</v>
      </c>
      <c r="BR467" s="4" t="s">
        <v>3</v>
      </c>
      <c r="BS467" s="4" t="s">
        <v>4</v>
      </c>
      <c r="BT467" s="4" t="s">
        <v>5</v>
      </c>
      <c r="BU467" s="4" t="s">
        <v>6</v>
      </c>
      <c r="BV467" s="4" t="s">
        <v>7</v>
      </c>
      <c r="BW467" s="4" t="s">
        <v>8</v>
      </c>
      <c r="BX467" s="3" t="s">
        <v>322</v>
      </c>
      <c r="BY467" s="3" t="s">
        <v>323</v>
      </c>
      <c r="BZ467" s="3" t="s">
        <v>322</v>
      </c>
      <c r="CA467" s="3" t="s">
        <v>323</v>
      </c>
    </row>
    <row r="468" spans="1:79" x14ac:dyDescent="0.3">
      <c r="A468" s="4" t="s">
        <v>254</v>
      </c>
      <c r="B468" s="4">
        <v>0.9</v>
      </c>
      <c r="C468" s="4">
        <v>0.5</v>
      </c>
      <c r="D468" s="4">
        <v>0.6</v>
      </c>
      <c r="E468" s="4">
        <v>0.01</v>
      </c>
      <c r="F468" s="6">
        <v>625.56311000000005</v>
      </c>
      <c r="G468" s="4">
        <v>1.2E-2</v>
      </c>
      <c r="I468" s="4" t="s">
        <v>254</v>
      </c>
      <c r="J468" s="4">
        <v>0.9</v>
      </c>
      <c r="K468" s="4">
        <v>0.5</v>
      </c>
      <c r="L468" s="4">
        <v>0.6</v>
      </c>
      <c r="M468" s="4">
        <v>0.31</v>
      </c>
      <c r="N468" s="4">
        <v>670.92675799999995</v>
      </c>
      <c r="O468" s="4">
        <v>3.0000000000000001E-3</v>
      </c>
      <c r="P468" s="4" t="s">
        <v>327</v>
      </c>
      <c r="Q468" s="4" t="s">
        <v>327</v>
      </c>
      <c r="R468" s="4" t="s">
        <v>326</v>
      </c>
      <c r="S468" s="4" t="s">
        <v>326</v>
      </c>
      <c r="U468" s="4" t="s">
        <v>254</v>
      </c>
      <c r="V468" s="4">
        <v>0.9</v>
      </c>
      <c r="W468" s="4">
        <v>0.5</v>
      </c>
      <c r="X468" s="4">
        <v>0.6</v>
      </c>
      <c r="Y468" s="4">
        <v>0.01</v>
      </c>
      <c r="Z468" s="6">
        <v>604.00616500000001</v>
      </c>
      <c r="AA468" s="4">
        <v>2.7E-2</v>
      </c>
      <c r="AC468" s="4" t="s">
        <v>254</v>
      </c>
      <c r="AD468" s="4">
        <v>0.9</v>
      </c>
      <c r="AE468" s="4">
        <v>0.5</v>
      </c>
      <c r="AF468" s="4">
        <v>0.6</v>
      </c>
      <c r="AG468" s="4">
        <v>0.32</v>
      </c>
      <c r="AH468" s="4">
        <v>656.78845200000001</v>
      </c>
      <c r="AI468" s="4">
        <v>3.0000000000000001E-3</v>
      </c>
      <c r="AJ468" s="4" t="s">
        <v>327</v>
      </c>
      <c r="AK468" s="4" t="s">
        <v>327</v>
      </c>
      <c r="AL468" s="4" t="s">
        <v>326</v>
      </c>
      <c r="AM468" s="4" t="s">
        <v>326</v>
      </c>
      <c r="AO468" s="4" t="s">
        <v>255</v>
      </c>
      <c r="AP468" s="4">
        <v>0.9</v>
      </c>
      <c r="AQ468" s="4">
        <v>0.5</v>
      </c>
      <c r="AR468" s="4">
        <v>0.6</v>
      </c>
      <c r="AS468" s="4">
        <v>0.01</v>
      </c>
      <c r="AT468" s="6">
        <v>860.48821999999996</v>
      </c>
      <c r="AU468" s="4">
        <v>1.7999999999999999E-2</v>
      </c>
      <c r="AW468" s="4" t="s">
        <v>255</v>
      </c>
      <c r="AX468" s="4">
        <v>0.9</v>
      </c>
      <c r="AY468" s="4">
        <v>0.5</v>
      </c>
      <c r="AZ468" s="4">
        <v>0.6</v>
      </c>
      <c r="BA468" s="4">
        <v>0.31</v>
      </c>
      <c r="BB468" s="4">
        <v>1029.7028809999999</v>
      </c>
      <c r="BC468" s="4">
        <v>8.9999999999999993E-3</v>
      </c>
      <c r="BD468" s="4" t="s">
        <v>327</v>
      </c>
      <c r="BE468" s="4" t="s">
        <v>327</v>
      </c>
      <c r="BF468" s="4" t="s">
        <v>326</v>
      </c>
      <c r="BG468" s="4" t="s">
        <v>326</v>
      </c>
      <c r="BI468" s="4" t="s">
        <v>255</v>
      </c>
      <c r="BJ468" s="4">
        <v>0.9</v>
      </c>
      <c r="BK468" s="4">
        <v>0.5</v>
      </c>
      <c r="BL468" s="4">
        <v>0.6</v>
      </c>
      <c r="BM468" s="4">
        <v>0.01</v>
      </c>
      <c r="BN468" s="6">
        <v>822.14190699999995</v>
      </c>
      <c r="BO468" s="4">
        <v>2.1000000000000001E-2</v>
      </c>
      <c r="BQ468" s="4" t="s">
        <v>255</v>
      </c>
      <c r="BR468" s="4">
        <v>0.9</v>
      </c>
      <c r="BS468" s="4">
        <v>0.5</v>
      </c>
      <c r="BT468" s="4">
        <v>0.6</v>
      </c>
      <c r="BU468" s="4">
        <v>0.3</v>
      </c>
      <c r="BV468" s="4">
        <v>1013.872009</v>
      </c>
      <c r="BW468" s="4">
        <v>8.9999999999999993E-3</v>
      </c>
      <c r="BX468" s="4" t="s">
        <v>327</v>
      </c>
      <c r="BY468" s="4" t="s">
        <v>327</v>
      </c>
      <c r="BZ468" s="4" t="s">
        <v>326</v>
      </c>
      <c r="CA468" s="4" t="s">
        <v>326</v>
      </c>
    </row>
    <row r="469" spans="1:79" x14ac:dyDescent="0.3">
      <c r="A469" s="4" t="s">
        <v>256</v>
      </c>
      <c r="B469" s="4">
        <v>0.9</v>
      </c>
      <c r="C469" s="4">
        <v>0.5</v>
      </c>
      <c r="D469" s="4">
        <v>0.6</v>
      </c>
      <c r="E469" s="4">
        <v>0.99</v>
      </c>
      <c r="F469" s="4">
        <v>854.74780299999998</v>
      </c>
      <c r="G469" s="4">
        <v>1.4E-2</v>
      </c>
      <c r="I469" s="4" t="s">
        <v>256</v>
      </c>
      <c r="J469" s="4">
        <v>0.9</v>
      </c>
      <c r="K469" s="4">
        <v>0.5</v>
      </c>
      <c r="L469" s="4">
        <v>0.6</v>
      </c>
      <c r="M469" s="4">
        <v>0.3</v>
      </c>
      <c r="N469" s="6">
        <v>686.52032499999996</v>
      </c>
      <c r="O469" s="4">
        <v>4.0000000000000001E-3</v>
      </c>
      <c r="P469" s="3">
        <f>COUNT(F468,F477:F478,F481:F482,F484,F489,F492,F496:F497)</f>
        <v>10</v>
      </c>
      <c r="Q469" s="3">
        <f>30-P469</f>
        <v>20</v>
      </c>
      <c r="R469" s="3">
        <f>COUNT(N469:N476,N479:N480,N483,N485:N488,N490:N491,N493:N495)</f>
        <v>20</v>
      </c>
      <c r="S469" s="3">
        <f>30-R469</f>
        <v>10</v>
      </c>
      <c r="U469" s="4" t="s">
        <v>256</v>
      </c>
      <c r="V469" s="4">
        <v>0.9</v>
      </c>
      <c r="W469" s="4">
        <v>0.5</v>
      </c>
      <c r="X469" s="4">
        <v>0.6</v>
      </c>
      <c r="Y469" s="4">
        <v>0.67</v>
      </c>
      <c r="Z469" s="4">
        <v>743.59179700000004</v>
      </c>
      <c r="AA469" s="4">
        <v>1.2999999999999999E-2</v>
      </c>
      <c r="AC469" s="4" t="s">
        <v>256</v>
      </c>
      <c r="AD469" s="4">
        <v>0.9</v>
      </c>
      <c r="AE469" s="4">
        <v>0.5</v>
      </c>
      <c r="AF469" s="4">
        <v>0.6</v>
      </c>
      <c r="AG469" s="4">
        <v>0.33</v>
      </c>
      <c r="AH469" s="6">
        <v>688.06756600000006</v>
      </c>
      <c r="AI469" s="4">
        <v>2E-3</v>
      </c>
      <c r="AJ469" s="3">
        <f>COUNT(Z468,Z470,Z473,Z478,Z481:Z482,Z494,Z496)</f>
        <v>8</v>
      </c>
      <c r="AK469" s="3">
        <f>30-AJ469</f>
        <v>22</v>
      </c>
      <c r="AL469" s="3">
        <f>COUNT(AH469,AH471:AH472,AH474:AH477,AH479:AH480,AH483:AH493,AH495,AH497)</f>
        <v>22</v>
      </c>
      <c r="AM469" s="3">
        <f>30-AL469</f>
        <v>8</v>
      </c>
      <c r="AO469" s="4" t="s">
        <v>257</v>
      </c>
      <c r="AP469" s="4">
        <v>0.9</v>
      </c>
      <c r="AQ469" s="4">
        <v>0.5</v>
      </c>
      <c r="AR469" s="4">
        <v>0.6</v>
      </c>
      <c r="AS469" s="4">
        <v>0.41</v>
      </c>
      <c r="AT469" s="4">
        <v>1038.1553960000001</v>
      </c>
      <c r="AU469" s="4">
        <v>2.4E-2</v>
      </c>
      <c r="AW469" s="4" t="s">
        <v>257</v>
      </c>
      <c r="AX469" s="4">
        <v>0.9</v>
      </c>
      <c r="AY469" s="4">
        <v>0.5</v>
      </c>
      <c r="AZ469" s="4">
        <v>0.6</v>
      </c>
      <c r="BA469" s="4">
        <v>0.3</v>
      </c>
      <c r="BB469" s="6">
        <v>1010.942139</v>
      </c>
      <c r="BC469" s="4">
        <v>1.4999999999999999E-2</v>
      </c>
      <c r="BD469" s="3">
        <f>COUNT(AT468,AT470,AT474,AT477,AT480,AT483,AT489:AT490,AT493,AT496)</f>
        <v>10</v>
      </c>
      <c r="BE469" s="3">
        <f>30-BD469</f>
        <v>20</v>
      </c>
      <c r="BF469" s="3">
        <f>COUNT(BB469,BB471:BB473,BB475:BB476,BB478:BB479,BB481:BB482,BB484:BB488,BB491:BB492,BB494:BB495,BB497)</f>
        <v>20</v>
      </c>
      <c r="BG469" s="3">
        <f>30-BF469</f>
        <v>10</v>
      </c>
      <c r="BI469" s="4" t="s">
        <v>257</v>
      </c>
      <c r="BJ469" s="4">
        <v>0.9</v>
      </c>
      <c r="BK469" s="4">
        <v>0.5</v>
      </c>
      <c r="BL469" s="4">
        <v>0.6</v>
      </c>
      <c r="BM469" s="4">
        <v>0.08</v>
      </c>
      <c r="BN469" s="6">
        <v>833.69714399999998</v>
      </c>
      <c r="BO469" s="4">
        <v>2.1999999999999999E-2</v>
      </c>
      <c r="BQ469" s="4" t="s">
        <v>257</v>
      </c>
      <c r="BR469" s="4">
        <v>0.9</v>
      </c>
      <c r="BS469" s="4">
        <v>0.5</v>
      </c>
      <c r="BT469" s="4">
        <v>0.6</v>
      </c>
      <c r="BU469" s="4">
        <v>0.3</v>
      </c>
      <c r="BV469" s="4">
        <v>967.50408900000002</v>
      </c>
      <c r="BW469" s="4">
        <v>8.9999999999999993E-3</v>
      </c>
      <c r="BX469" s="3">
        <f>COUNT(BN468:BN469,BN471,BN474:BN478,BN480:BN481,BN483,BN485,BN493)</f>
        <v>13</v>
      </c>
      <c r="BY469" s="3">
        <f>30-BX469</f>
        <v>17</v>
      </c>
      <c r="BZ469" s="3">
        <f>COUNT(BV470,BV472:BV473,BV479,BV482,BV484,BV486:BV492,BV494:BV497)</f>
        <v>17</v>
      </c>
      <c r="CA469" s="3">
        <f>30-BZ469</f>
        <v>13</v>
      </c>
    </row>
    <row r="470" spans="1:79" x14ac:dyDescent="0.3">
      <c r="A470" s="4" t="s">
        <v>258</v>
      </c>
      <c r="B470" s="4">
        <v>0.9</v>
      </c>
      <c r="C470" s="4">
        <v>0.5</v>
      </c>
      <c r="D470" s="4">
        <v>0.6</v>
      </c>
      <c r="E470" s="4">
        <v>0.46</v>
      </c>
      <c r="F470" s="4">
        <v>705.26916500000004</v>
      </c>
      <c r="G470" s="4">
        <v>1.4999999999999999E-2</v>
      </c>
      <c r="I470" s="4" t="s">
        <v>258</v>
      </c>
      <c r="J470" s="4">
        <v>0.9</v>
      </c>
      <c r="K470" s="4">
        <v>0.5</v>
      </c>
      <c r="L470" s="4">
        <v>0.6</v>
      </c>
      <c r="M470" s="4">
        <v>0.33</v>
      </c>
      <c r="N470" s="6">
        <v>688.43078600000001</v>
      </c>
      <c r="O470" s="4">
        <v>3.0000000000000001E-3</v>
      </c>
      <c r="P470" s="5"/>
      <c r="Q470" s="5"/>
      <c r="R470" s="5"/>
      <c r="S470" s="5"/>
      <c r="U470" s="4" t="s">
        <v>258</v>
      </c>
      <c r="V470" s="4">
        <v>0.9</v>
      </c>
      <c r="W470" s="4">
        <v>0.5</v>
      </c>
      <c r="X470" s="4">
        <v>0.6</v>
      </c>
      <c r="Y470" s="4">
        <v>0.02</v>
      </c>
      <c r="Z470" s="6">
        <v>607.12799099999995</v>
      </c>
      <c r="AA470" s="4">
        <v>8.0000000000000002E-3</v>
      </c>
      <c r="AC470" s="4" t="s">
        <v>258</v>
      </c>
      <c r="AD470" s="4">
        <v>0.9</v>
      </c>
      <c r="AE470" s="4">
        <v>0.5</v>
      </c>
      <c r="AF470" s="4">
        <v>0.6</v>
      </c>
      <c r="AG470" s="4">
        <v>0.3</v>
      </c>
      <c r="AH470" s="4">
        <v>665.29711899999995</v>
      </c>
      <c r="AI470" s="4">
        <v>2E-3</v>
      </c>
      <c r="AJ470" s="5"/>
      <c r="AK470" s="5"/>
      <c r="AL470" s="5"/>
      <c r="AM470" s="5"/>
      <c r="AO470" s="4" t="s">
        <v>259</v>
      </c>
      <c r="AP470" s="4">
        <v>0.9</v>
      </c>
      <c r="AQ470" s="4">
        <v>0.5</v>
      </c>
      <c r="AR470" s="4">
        <v>0.6</v>
      </c>
      <c r="AS470" s="4">
        <v>0.31</v>
      </c>
      <c r="AT470" s="6">
        <v>996.72174099999995</v>
      </c>
      <c r="AU470" s="4">
        <v>2.1999999999999999E-2</v>
      </c>
      <c r="AW470" s="4" t="s">
        <v>259</v>
      </c>
      <c r="AX470" s="4">
        <v>0.9</v>
      </c>
      <c r="AY470" s="4">
        <v>0.5</v>
      </c>
      <c r="AZ470" s="4">
        <v>0.6</v>
      </c>
      <c r="BA470" s="4">
        <v>0.31</v>
      </c>
      <c r="BB470" s="4">
        <v>1011.5105589999999</v>
      </c>
      <c r="BC470" s="4">
        <v>0.01</v>
      </c>
      <c r="BD470" s="5"/>
      <c r="BE470" s="5"/>
      <c r="BF470" s="5"/>
      <c r="BG470" s="5"/>
      <c r="BI470" s="4" t="s">
        <v>259</v>
      </c>
      <c r="BJ470" s="4">
        <v>0.9</v>
      </c>
      <c r="BK470" s="4">
        <v>0.5</v>
      </c>
      <c r="BL470" s="4">
        <v>0.6</v>
      </c>
      <c r="BM470" s="4">
        <v>0.41</v>
      </c>
      <c r="BN470" s="4">
        <v>1039.6922609999999</v>
      </c>
      <c r="BO470" s="4">
        <v>2.5999999999999999E-2</v>
      </c>
      <c r="BQ470" s="4" t="s">
        <v>259</v>
      </c>
      <c r="BR470" s="4">
        <v>0.9</v>
      </c>
      <c r="BS470" s="4">
        <v>0.5</v>
      </c>
      <c r="BT470" s="4">
        <v>0.6</v>
      </c>
      <c r="BU470" s="4">
        <v>0.42</v>
      </c>
      <c r="BV470" s="6">
        <v>1008.706726</v>
      </c>
      <c r="BW470" s="4">
        <v>8.0000000000000002E-3</v>
      </c>
      <c r="BX470" s="5"/>
      <c r="BY470" s="5"/>
      <c r="BZ470" s="5"/>
      <c r="CA470" s="5"/>
    </row>
    <row r="471" spans="1:79" x14ac:dyDescent="0.3">
      <c r="A471" s="4" t="s">
        <v>260</v>
      </c>
      <c r="B471" s="4">
        <v>0.9</v>
      </c>
      <c r="C471" s="4">
        <v>0.5</v>
      </c>
      <c r="D471" s="4">
        <v>0.6</v>
      </c>
      <c r="E471" s="4">
        <v>0.92</v>
      </c>
      <c r="F471" s="4">
        <v>847.34350600000005</v>
      </c>
      <c r="G471" s="4">
        <v>2.7E-2</v>
      </c>
      <c r="I471" s="4" t="s">
        <v>260</v>
      </c>
      <c r="J471" s="4">
        <v>0.9</v>
      </c>
      <c r="K471" s="4">
        <v>0.5</v>
      </c>
      <c r="L471" s="4">
        <v>0.6</v>
      </c>
      <c r="M471" s="4">
        <v>0.32</v>
      </c>
      <c r="N471" s="6">
        <v>716.754639</v>
      </c>
      <c r="O471" s="4">
        <v>3.0000000000000001E-3</v>
      </c>
      <c r="P471" s="5"/>
      <c r="Q471" s="5"/>
      <c r="R471" s="5"/>
      <c r="S471" s="5"/>
      <c r="U471" s="4" t="s">
        <v>260</v>
      </c>
      <c r="V471" s="4">
        <v>0.9</v>
      </c>
      <c r="W471" s="4">
        <v>0.5</v>
      </c>
      <c r="X471" s="4">
        <v>0.6</v>
      </c>
      <c r="Y471" s="4">
        <v>0.47</v>
      </c>
      <c r="Z471" s="4">
        <v>737.58679199999995</v>
      </c>
      <c r="AA471" s="4">
        <v>1.7999999999999999E-2</v>
      </c>
      <c r="AC471" s="4" t="s">
        <v>260</v>
      </c>
      <c r="AD471" s="4">
        <v>0.9</v>
      </c>
      <c r="AE471" s="4">
        <v>0.5</v>
      </c>
      <c r="AF471" s="4">
        <v>0.6</v>
      </c>
      <c r="AG471" s="4">
        <v>0.31</v>
      </c>
      <c r="AH471" s="6">
        <v>701.87750200000005</v>
      </c>
      <c r="AI471" s="4">
        <v>3.0000000000000001E-3</v>
      </c>
      <c r="AJ471" s="5"/>
      <c r="AK471" s="5"/>
      <c r="AL471" s="5"/>
      <c r="AM471" s="5"/>
      <c r="AO471" s="4" t="s">
        <v>261</v>
      </c>
      <c r="AP471" s="4">
        <v>0.9</v>
      </c>
      <c r="AQ471" s="4">
        <v>0.5</v>
      </c>
      <c r="AR471" s="4">
        <v>0.6</v>
      </c>
      <c r="AS471" s="4">
        <v>0.73</v>
      </c>
      <c r="AT471" s="4">
        <v>1085.0585940000001</v>
      </c>
      <c r="AU471" s="4">
        <v>1.7000000000000001E-2</v>
      </c>
      <c r="AW471" s="4" t="s">
        <v>261</v>
      </c>
      <c r="AX471" s="4">
        <v>0.9</v>
      </c>
      <c r="AY471" s="4">
        <v>0.5</v>
      </c>
      <c r="AZ471" s="4">
        <v>0.6</v>
      </c>
      <c r="BA471" s="4">
        <v>0.3</v>
      </c>
      <c r="BB471" s="6">
        <v>995.90124500000002</v>
      </c>
      <c r="BC471" s="4">
        <v>1.2E-2</v>
      </c>
      <c r="BD471" s="5"/>
      <c r="BE471" s="5"/>
      <c r="BF471" s="5"/>
      <c r="BG471" s="5"/>
      <c r="BI471" s="4" t="s">
        <v>261</v>
      </c>
      <c r="BJ471" s="4">
        <v>0.9</v>
      </c>
      <c r="BK471" s="4">
        <v>0.5</v>
      </c>
      <c r="BL471" s="4">
        <v>0.6</v>
      </c>
      <c r="BM471" s="4">
        <v>0.05</v>
      </c>
      <c r="BN471" s="6">
        <v>778.96582000000001</v>
      </c>
      <c r="BO471" s="4">
        <v>0.02</v>
      </c>
      <c r="BQ471" s="4" t="s">
        <v>261</v>
      </c>
      <c r="BR471" s="4">
        <v>0.9</v>
      </c>
      <c r="BS471" s="4">
        <v>0.5</v>
      </c>
      <c r="BT471" s="4">
        <v>0.6</v>
      </c>
      <c r="BU471" s="4">
        <v>0.33</v>
      </c>
      <c r="BV471" s="4">
        <v>950.37536599999999</v>
      </c>
      <c r="BW471" s="4">
        <v>8.0000000000000002E-3</v>
      </c>
      <c r="BX471" s="5"/>
      <c r="BY471" s="5"/>
      <c r="BZ471" s="5"/>
      <c r="CA471" s="5"/>
    </row>
    <row r="472" spans="1:79" x14ac:dyDescent="0.3">
      <c r="A472" s="4" t="s">
        <v>262</v>
      </c>
      <c r="B472" s="4">
        <v>0.9</v>
      </c>
      <c r="C472" s="4">
        <v>0.5</v>
      </c>
      <c r="D472" s="4">
        <v>0.6</v>
      </c>
      <c r="E472" s="4">
        <v>0.83</v>
      </c>
      <c r="F472" s="4">
        <v>914.89080799999999</v>
      </c>
      <c r="G472" s="4">
        <v>8.0000000000000002E-3</v>
      </c>
      <c r="I472" s="4" t="s">
        <v>262</v>
      </c>
      <c r="J472" s="4">
        <v>0.9</v>
      </c>
      <c r="K472" s="4">
        <v>0.5</v>
      </c>
      <c r="L472" s="4">
        <v>0.6</v>
      </c>
      <c r="M472" s="4">
        <v>0.3</v>
      </c>
      <c r="N472" s="6">
        <v>753.54058799999996</v>
      </c>
      <c r="O472" s="4">
        <v>4.0000000000000001E-3</v>
      </c>
      <c r="P472" s="5"/>
      <c r="Q472" s="5"/>
      <c r="R472" s="5"/>
      <c r="S472" s="5"/>
      <c r="U472" s="4" t="s">
        <v>262</v>
      </c>
      <c r="V472" s="4">
        <v>0.9</v>
      </c>
      <c r="W472" s="4">
        <v>0.5</v>
      </c>
      <c r="X472" s="4">
        <v>0.6</v>
      </c>
      <c r="Y472" s="4">
        <v>0.73</v>
      </c>
      <c r="Z472" s="4">
        <v>875.20459000000005</v>
      </c>
      <c r="AA472" s="4">
        <v>1.7000000000000001E-2</v>
      </c>
      <c r="AC472" s="4" t="s">
        <v>262</v>
      </c>
      <c r="AD472" s="4">
        <v>0.9</v>
      </c>
      <c r="AE472" s="4">
        <v>0.5</v>
      </c>
      <c r="AF472" s="4">
        <v>0.6</v>
      </c>
      <c r="AG472" s="4">
        <v>0.3</v>
      </c>
      <c r="AH472" s="6">
        <v>737.22241199999996</v>
      </c>
      <c r="AI472" s="4">
        <v>3.0000000000000001E-3</v>
      </c>
      <c r="AJ472" s="5"/>
      <c r="AK472" s="5"/>
      <c r="AL472" s="5"/>
      <c r="AM472" s="5"/>
      <c r="AO472" s="4" t="s">
        <v>263</v>
      </c>
      <c r="AP472" s="4">
        <v>0.9</v>
      </c>
      <c r="AQ472" s="4">
        <v>0.5</v>
      </c>
      <c r="AR472" s="4">
        <v>0.6</v>
      </c>
      <c r="AS472" s="4">
        <v>0.88</v>
      </c>
      <c r="AT472" s="4">
        <v>1136.5478519999999</v>
      </c>
      <c r="AU472" s="4">
        <v>1.9E-2</v>
      </c>
      <c r="AW472" s="4" t="s">
        <v>263</v>
      </c>
      <c r="AX472" s="4">
        <v>0.9</v>
      </c>
      <c r="AY472" s="4">
        <v>0.5</v>
      </c>
      <c r="AZ472" s="4">
        <v>0.6</v>
      </c>
      <c r="BA472" s="4">
        <v>0.3</v>
      </c>
      <c r="BB472" s="6">
        <v>1019.43042</v>
      </c>
      <c r="BC472" s="4">
        <v>8.0000000000000002E-3</v>
      </c>
      <c r="BD472" s="5"/>
      <c r="BE472" s="5"/>
      <c r="BF472" s="5"/>
      <c r="BG472" s="5"/>
      <c r="BI472" s="4" t="s">
        <v>263</v>
      </c>
      <c r="BJ472" s="4">
        <v>0.9</v>
      </c>
      <c r="BK472" s="4">
        <v>0.5</v>
      </c>
      <c r="BL472" s="4">
        <v>0.6</v>
      </c>
      <c r="BM472" s="4">
        <v>0.42</v>
      </c>
      <c r="BN472" s="4">
        <v>1016.462524</v>
      </c>
      <c r="BO472" s="4">
        <v>1.7999999999999999E-2</v>
      </c>
      <c r="BQ472" s="4" t="s">
        <v>263</v>
      </c>
      <c r="BR472" s="4">
        <v>0.9</v>
      </c>
      <c r="BS472" s="4">
        <v>0.5</v>
      </c>
      <c r="BT472" s="4">
        <v>0.6</v>
      </c>
      <c r="BU472" s="4">
        <v>0.31</v>
      </c>
      <c r="BV472" s="6">
        <v>1001.333923</v>
      </c>
      <c r="BW472" s="4">
        <v>8.0000000000000002E-3</v>
      </c>
      <c r="BX472" s="5"/>
      <c r="BY472" s="5"/>
      <c r="BZ472" s="5"/>
      <c r="CA472" s="5"/>
    </row>
    <row r="473" spans="1:79" x14ac:dyDescent="0.3">
      <c r="A473" s="4" t="s">
        <v>264</v>
      </c>
      <c r="B473" s="4">
        <v>0.9</v>
      </c>
      <c r="C473" s="4">
        <v>0.5</v>
      </c>
      <c r="D473" s="4">
        <v>0.6</v>
      </c>
      <c r="E473" s="4">
        <v>0.37</v>
      </c>
      <c r="F473" s="4">
        <v>752.85467500000004</v>
      </c>
      <c r="G473" s="4">
        <v>2.5000000000000001E-2</v>
      </c>
      <c r="I473" s="4" t="s">
        <v>264</v>
      </c>
      <c r="J473" s="4">
        <v>0.9</v>
      </c>
      <c r="K473" s="4">
        <v>0.5</v>
      </c>
      <c r="L473" s="4">
        <v>0.6</v>
      </c>
      <c r="M473" s="4">
        <v>0.34</v>
      </c>
      <c r="N473" s="6">
        <v>734.376892</v>
      </c>
      <c r="O473" s="4">
        <v>3.0000000000000001E-3</v>
      </c>
      <c r="P473" s="5"/>
      <c r="Q473" s="5"/>
      <c r="R473" s="5"/>
      <c r="S473" s="5"/>
      <c r="U473" s="4" t="s">
        <v>264</v>
      </c>
      <c r="V473" s="4">
        <v>0.9</v>
      </c>
      <c r="W473" s="4">
        <v>0.5</v>
      </c>
      <c r="X473" s="4">
        <v>0.6</v>
      </c>
      <c r="Y473" s="4">
        <v>0.01</v>
      </c>
      <c r="Z473" s="6">
        <v>636.85681199999999</v>
      </c>
      <c r="AA473" s="4">
        <v>0.02</v>
      </c>
      <c r="AC473" s="4" t="s">
        <v>264</v>
      </c>
      <c r="AD473" s="4">
        <v>0.9</v>
      </c>
      <c r="AE473" s="4">
        <v>0.5</v>
      </c>
      <c r="AF473" s="4">
        <v>0.6</v>
      </c>
      <c r="AG473" s="4">
        <v>0.3</v>
      </c>
      <c r="AH473" s="4">
        <v>712.62994400000002</v>
      </c>
      <c r="AI473" s="4">
        <v>3.0000000000000001E-3</v>
      </c>
      <c r="AJ473" s="5"/>
      <c r="AK473" s="5"/>
      <c r="AL473" s="5"/>
      <c r="AM473" s="5"/>
      <c r="AO473" s="4" t="s">
        <v>265</v>
      </c>
      <c r="AP473" s="4">
        <v>0.9</v>
      </c>
      <c r="AQ473" s="4">
        <v>0.5</v>
      </c>
      <c r="AR473" s="4">
        <v>0.6</v>
      </c>
      <c r="AS473" s="4">
        <v>0.74</v>
      </c>
      <c r="AT473" s="4">
        <v>1136.1951899999999</v>
      </c>
      <c r="AU473" s="4">
        <v>2.9000000000000001E-2</v>
      </c>
      <c r="AW473" s="4" t="s">
        <v>265</v>
      </c>
      <c r="AX473" s="4">
        <v>0.9</v>
      </c>
      <c r="AY473" s="4">
        <v>0.5</v>
      </c>
      <c r="AZ473" s="4">
        <v>0.6</v>
      </c>
      <c r="BA473" s="4">
        <v>0.31</v>
      </c>
      <c r="BB473" s="6">
        <v>1003.853394</v>
      </c>
      <c r="BC473" s="4">
        <v>0.02</v>
      </c>
      <c r="BD473" s="5"/>
      <c r="BE473" s="5"/>
      <c r="BF473" s="5"/>
      <c r="BG473" s="5"/>
      <c r="BI473" s="4" t="s">
        <v>265</v>
      </c>
      <c r="BJ473" s="4">
        <v>0.9</v>
      </c>
      <c r="BK473" s="4">
        <v>0.5</v>
      </c>
      <c r="BL473" s="4">
        <v>0.6</v>
      </c>
      <c r="BM473" s="4">
        <v>0.82</v>
      </c>
      <c r="BN473" s="4">
        <v>1104.882202</v>
      </c>
      <c r="BO473" s="4">
        <v>2.1000000000000001E-2</v>
      </c>
      <c r="BQ473" s="4" t="s">
        <v>265</v>
      </c>
      <c r="BR473" s="4">
        <v>0.9</v>
      </c>
      <c r="BS473" s="4">
        <v>0.5</v>
      </c>
      <c r="BT473" s="4">
        <v>0.6</v>
      </c>
      <c r="BU473" s="4">
        <v>0.32</v>
      </c>
      <c r="BV473" s="6">
        <v>965.18951400000003</v>
      </c>
      <c r="BW473" s="4">
        <v>8.0000000000000002E-3</v>
      </c>
      <c r="BX473" s="5"/>
      <c r="BY473" s="5"/>
      <c r="BZ473" s="5"/>
      <c r="CA473" s="5"/>
    </row>
    <row r="474" spans="1:79" x14ac:dyDescent="0.3">
      <c r="A474" s="4" t="s">
        <v>266</v>
      </c>
      <c r="B474" s="4">
        <v>0.9</v>
      </c>
      <c r="C474" s="4">
        <v>0.5</v>
      </c>
      <c r="D474" s="4">
        <v>0.6</v>
      </c>
      <c r="E474" s="4">
        <v>0.83</v>
      </c>
      <c r="F474" s="4">
        <v>714.69348100000002</v>
      </c>
      <c r="G474" s="4">
        <v>0.02</v>
      </c>
      <c r="I474" s="4" t="s">
        <v>266</v>
      </c>
      <c r="J474" s="4">
        <v>0.9</v>
      </c>
      <c r="K474" s="4">
        <v>0.5</v>
      </c>
      <c r="L474" s="4">
        <v>0.6</v>
      </c>
      <c r="M474" s="4">
        <v>0.38</v>
      </c>
      <c r="N474" s="6">
        <v>664.18463099999997</v>
      </c>
      <c r="O474" s="4">
        <v>3.0000000000000001E-3</v>
      </c>
      <c r="P474" s="5"/>
      <c r="Q474" s="5"/>
      <c r="R474" s="5"/>
      <c r="S474" s="5"/>
      <c r="U474" s="4" t="s">
        <v>266</v>
      </c>
      <c r="V474" s="4">
        <v>0.9</v>
      </c>
      <c r="W474" s="4">
        <v>0.5</v>
      </c>
      <c r="X474" s="4">
        <v>0.6</v>
      </c>
      <c r="Y474" s="4">
        <v>0.39</v>
      </c>
      <c r="Z474" s="4">
        <v>641.30242899999996</v>
      </c>
      <c r="AA474" s="4">
        <v>3.4000000000000002E-2</v>
      </c>
      <c r="AC474" s="4" t="s">
        <v>266</v>
      </c>
      <c r="AD474" s="4">
        <v>0.9</v>
      </c>
      <c r="AE474" s="4">
        <v>0.5</v>
      </c>
      <c r="AF474" s="4">
        <v>0.6</v>
      </c>
      <c r="AG474" s="4">
        <v>0.32</v>
      </c>
      <c r="AH474" s="6">
        <v>634.85668899999996</v>
      </c>
      <c r="AI474" s="4">
        <v>2E-3</v>
      </c>
      <c r="AJ474" s="5"/>
      <c r="AK474" s="5"/>
      <c r="AL474" s="5"/>
      <c r="AM474" s="5"/>
      <c r="AO474" s="4" t="s">
        <v>267</v>
      </c>
      <c r="AP474" s="4">
        <v>0.9</v>
      </c>
      <c r="AQ474" s="4">
        <v>0.5</v>
      </c>
      <c r="AR474" s="4">
        <v>0.6</v>
      </c>
      <c r="AS474" s="4">
        <v>0.06</v>
      </c>
      <c r="AT474" s="6">
        <v>878.83673099999999</v>
      </c>
      <c r="AU474" s="4">
        <v>1.0999999999999999E-2</v>
      </c>
      <c r="AW474" s="4" t="s">
        <v>267</v>
      </c>
      <c r="AX474" s="4">
        <v>0.9</v>
      </c>
      <c r="AY474" s="4">
        <v>0.5</v>
      </c>
      <c r="AZ474" s="4">
        <v>0.6</v>
      </c>
      <c r="BA474" s="4">
        <v>0.31</v>
      </c>
      <c r="BB474" s="4">
        <v>1049.55603</v>
      </c>
      <c r="BC474" s="4">
        <v>1.0999999999999999E-2</v>
      </c>
      <c r="BD474" s="5"/>
      <c r="BE474" s="5"/>
      <c r="BF474" s="5"/>
      <c r="BG474" s="5"/>
      <c r="BI474" s="4" t="s">
        <v>267</v>
      </c>
      <c r="BJ474" s="4">
        <v>0.9</v>
      </c>
      <c r="BK474" s="4">
        <v>0.5</v>
      </c>
      <c r="BL474" s="4">
        <v>0.6</v>
      </c>
      <c r="BM474" s="4">
        <v>0.19</v>
      </c>
      <c r="BN474" s="6">
        <v>927.74005099999999</v>
      </c>
      <c r="BO474" s="4">
        <v>3.2000000000000001E-2</v>
      </c>
      <c r="BQ474" s="4" t="s">
        <v>267</v>
      </c>
      <c r="BR474" s="4">
        <v>0.9</v>
      </c>
      <c r="BS474" s="4">
        <v>0.5</v>
      </c>
      <c r="BT474" s="4">
        <v>0.6</v>
      </c>
      <c r="BU474" s="4">
        <v>0.33</v>
      </c>
      <c r="BV474" s="4">
        <v>1013.558899</v>
      </c>
      <c r="BW474" s="4">
        <v>8.0000000000000002E-3</v>
      </c>
      <c r="BX474" s="5"/>
      <c r="BY474" s="5"/>
      <c r="BZ474" s="5"/>
      <c r="CA474" s="5"/>
    </row>
    <row r="475" spans="1:79" x14ac:dyDescent="0.3">
      <c r="A475" s="4" t="s">
        <v>268</v>
      </c>
      <c r="B475" s="4">
        <v>0.9</v>
      </c>
      <c r="C475" s="4">
        <v>0.5</v>
      </c>
      <c r="D475" s="4">
        <v>0.6</v>
      </c>
      <c r="E475" s="4">
        <v>0.78</v>
      </c>
      <c r="F475" s="4">
        <v>799.45929000000001</v>
      </c>
      <c r="G475" s="4">
        <v>1.6E-2</v>
      </c>
      <c r="I475" s="4" t="s">
        <v>268</v>
      </c>
      <c r="J475" s="4">
        <v>0.9</v>
      </c>
      <c r="K475" s="4">
        <v>0.5</v>
      </c>
      <c r="L475" s="4">
        <v>0.6</v>
      </c>
      <c r="M475" s="4">
        <v>0.3</v>
      </c>
      <c r="N475" s="6">
        <v>727.42108199999996</v>
      </c>
      <c r="O475" s="4">
        <v>3.0000000000000001E-3</v>
      </c>
      <c r="P475" s="5"/>
      <c r="Q475" s="5"/>
      <c r="R475" s="5"/>
      <c r="S475" s="5"/>
      <c r="U475" s="4" t="s">
        <v>268</v>
      </c>
      <c r="V475" s="4">
        <v>0.9</v>
      </c>
      <c r="W475" s="4">
        <v>0.5</v>
      </c>
      <c r="X475" s="4">
        <v>0.6</v>
      </c>
      <c r="Y475" s="4">
        <v>0.78</v>
      </c>
      <c r="Z475" s="4">
        <v>762.62524399999995</v>
      </c>
      <c r="AA475" s="4">
        <v>1.0999999999999999E-2</v>
      </c>
      <c r="AC475" s="4" t="s">
        <v>268</v>
      </c>
      <c r="AD475" s="4">
        <v>0.9</v>
      </c>
      <c r="AE475" s="4">
        <v>0.5</v>
      </c>
      <c r="AF475" s="4">
        <v>0.6</v>
      </c>
      <c r="AG475" s="4">
        <v>0.38</v>
      </c>
      <c r="AH475" s="6">
        <v>705.80127000000005</v>
      </c>
      <c r="AI475" s="4">
        <v>2E-3</v>
      </c>
      <c r="AJ475" s="5"/>
      <c r="AK475" s="5"/>
      <c r="AL475" s="5"/>
      <c r="AM475" s="5"/>
      <c r="AO475" s="4" t="s">
        <v>269</v>
      </c>
      <c r="AP475" s="4">
        <v>0.9</v>
      </c>
      <c r="AQ475" s="4">
        <v>0.5</v>
      </c>
      <c r="AR475" s="4">
        <v>0.6</v>
      </c>
      <c r="AS475" s="4">
        <v>0.93</v>
      </c>
      <c r="AT475" s="4">
        <v>1122.5703120000001</v>
      </c>
      <c r="AU475" s="4">
        <v>2.8000000000000001E-2</v>
      </c>
      <c r="AW475" s="4" t="s">
        <v>269</v>
      </c>
      <c r="AX475" s="4">
        <v>0.9</v>
      </c>
      <c r="AY475" s="4">
        <v>0.5</v>
      </c>
      <c r="AZ475" s="4">
        <v>0.6</v>
      </c>
      <c r="BA475" s="4">
        <v>0.3</v>
      </c>
      <c r="BB475" s="6">
        <v>995.05761700000005</v>
      </c>
      <c r="BC475" s="4">
        <v>0.01</v>
      </c>
      <c r="BD475" s="5"/>
      <c r="BE475" s="5"/>
      <c r="BF475" s="5"/>
      <c r="BG475" s="5"/>
      <c r="BI475" s="4" t="s">
        <v>269</v>
      </c>
      <c r="BJ475" s="4">
        <v>0.9</v>
      </c>
      <c r="BK475" s="4">
        <v>0.5</v>
      </c>
      <c r="BL475" s="4">
        <v>0.6</v>
      </c>
      <c r="BM475" s="4">
        <v>0.09</v>
      </c>
      <c r="BN475" s="6">
        <v>803.07556199999999</v>
      </c>
      <c r="BO475" s="4">
        <v>1.4999999999999999E-2</v>
      </c>
      <c r="BQ475" s="4" t="s">
        <v>269</v>
      </c>
      <c r="BR475" s="4">
        <v>0.9</v>
      </c>
      <c r="BS475" s="4">
        <v>0.5</v>
      </c>
      <c r="BT475" s="4">
        <v>0.6</v>
      </c>
      <c r="BU475" s="4">
        <v>0.3</v>
      </c>
      <c r="BV475" s="4">
        <v>958.09942599999999</v>
      </c>
      <c r="BW475" s="4">
        <v>8.0000000000000002E-3</v>
      </c>
      <c r="BX475" s="5"/>
      <c r="BY475" s="5"/>
      <c r="BZ475" s="5"/>
      <c r="CA475" s="5"/>
    </row>
    <row r="476" spans="1:79" x14ac:dyDescent="0.3">
      <c r="A476" s="4" t="s">
        <v>270</v>
      </c>
      <c r="B476" s="4">
        <v>0.9</v>
      </c>
      <c r="C476" s="4">
        <v>0.5</v>
      </c>
      <c r="D476" s="4">
        <v>0.6</v>
      </c>
      <c r="E476" s="4">
        <v>0.52</v>
      </c>
      <c r="F476" s="4">
        <v>671.05676300000005</v>
      </c>
      <c r="G476" s="4">
        <v>1.0999999999999999E-2</v>
      </c>
      <c r="I476" s="4" t="s">
        <v>270</v>
      </c>
      <c r="J476" s="4">
        <v>0.9</v>
      </c>
      <c r="K476" s="4">
        <v>0.5</v>
      </c>
      <c r="L476" s="4">
        <v>0.6</v>
      </c>
      <c r="M476" s="4">
        <v>0.32</v>
      </c>
      <c r="N476" s="6">
        <v>630.65563999999995</v>
      </c>
      <c r="O476" s="4">
        <v>3.0000000000000001E-3</v>
      </c>
      <c r="P476" s="5"/>
      <c r="Q476" s="5"/>
      <c r="R476" s="5"/>
      <c r="S476" s="5"/>
      <c r="U476" s="4" t="s">
        <v>270</v>
      </c>
      <c r="V476" s="4">
        <v>0.9</v>
      </c>
      <c r="W476" s="4">
        <v>0.5</v>
      </c>
      <c r="X476" s="4">
        <v>0.6</v>
      </c>
      <c r="Y476" s="4">
        <v>0.21</v>
      </c>
      <c r="Z476" s="4">
        <v>554.49035600000002</v>
      </c>
      <c r="AA476" s="4">
        <v>2.5999999999999999E-2</v>
      </c>
      <c r="AC476" s="4" t="s">
        <v>270</v>
      </c>
      <c r="AD476" s="4">
        <v>0.9</v>
      </c>
      <c r="AE476" s="4">
        <v>0.5</v>
      </c>
      <c r="AF476" s="4">
        <v>0.6</v>
      </c>
      <c r="AG476" s="4">
        <v>0.34</v>
      </c>
      <c r="AH476" s="6">
        <v>591.30731200000002</v>
      </c>
      <c r="AI476" s="4">
        <v>2E-3</v>
      </c>
      <c r="AJ476" s="5"/>
      <c r="AK476" s="5"/>
      <c r="AL476" s="5"/>
      <c r="AM476" s="5"/>
      <c r="AO476" s="4" t="s">
        <v>271</v>
      </c>
      <c r="AP476" s="4">
        <v>0.9</v>
      </c>
      <c r="AQ476" s="4">
        <v>0.5</v>
      </c>
      <c r="AR476" s="4">
        <v>0.6</v>
      </c>
      <c r="AS476" s="4">
        <v>0.95</v>
      </c>
      <c r="AT476" s="4">
        <v>1142.7146</v>
      </c>
      <c r="AU476" s="4">
        <v>2.3E-2</v>
      </c>
      <c r="AW476" s="4" t="s">
        <v>271</v>
      </c>
      <c r="AX476" s="4">
        <v>0.9</v>
      </c>
      <c r="AY476" s="4">
        <v>0.5</v>
      </c>
      <c r="AZ476" s="4">
        <v>0.6</v>
      </c>
      <c r="BA476" s="4">
        <v>0.31</v>
      </c>
      <c r="BB476" s="6">
        <v>1007.261719</v>
      </c>
      <c r="BC476" s="4">
        <v>8.9999999999999993E-3</v>
      </c>
      <c r="BD476" s="5"/>
      <c r="BE476" s="5"/>
      <c r="BF476" s="5"/>
      <c r="BG476" s="5"/>
      <c r="BI476" s="4" t="s">
        <v>271</v>
      </c>
      <c r="BJ476" s="4">
        <v>0.9</v>
      </c>
      <c r="BK476" s="4">
        <v>0.5</v>
      </c>
      <c r="BL476" s="4">
        <v>0.6</v>
      </c>
      <c r="BM476" s="4">
        <v>0.02</v>
      </c>
      <c r="BN476" s="6">
        <v>754.55291699999998</v>
      </c>
      <c r="BO476" s="4">
        <v>2.8000000000000001E-2</v>
      </c>
      <c r="BQ476" s="4" t="s">
        <v>271</v>
      </c>
      <c r="BR476" s="4">
        <v>0.9</v>
      </c>
      <c r="BS476" s="4">
        <v>0.5</v>
      </c>
      <c r="BT476" s="4">
        <v>0.6</v>
      </c>
      <c r="BU476" s="4">
        <v>0.31</v>
      </c>
      <c r="BV476" s="4">
        <v>981.47357199999999</v>
      </c>
      <c r="BW476" s="4">
        <v>8.9999999999999993E-3</v>
      </c>
      <c r="BX476" s="5"/>
      <c r="BY476" s="5"/>
      <c r="BZ476" s="5"/>
      <c r="CA476" s="5"/>
    </row>
    <row r="477" spans="1:79" x14ac:dyDescent="0.3">
      <c r="A477" s="4" t="s">
        <v>272</v>
      </c>
      <c r="B477" s="4">
        <v>0.9</v>
      </c>
      <c r="C477" s="4">
        <v>0.5</v>
      </c>
      <c r="D477" s="4">
        <v>0.6</v>
      </c>
      <c r="E477" s="4">
        <v>0.28000000000000003</v>
      </c>
      <c r="F477" s="6">
        <v>761.46527100000003</v>
      </c>
      <c r="G477" s="4">
        <v>8.0000000000000002E-3</v>
      </c>
      <c r="I477" s="4" t="s">
        <v>272</v>
      </c>
      <c r="J477" s="4">
        <v>0.9</v>
      </c>
      <c r="K477" s="4">
        <v>0.5</v>
      </c>
      <c r="L477" s="4">
        <v>0.6</v>
      </c>
      <c r="M477" s="4">
        <v>0.35</v>
      </c>
      <c r="N477" s="4">
        <v>783.14379899999994</v>
      </c>
      <c r="O477" s="4">
        <v>8.0000000000000002E-3</v>
      </c>
      <c r="P477" s="5"/>
      <c r="Q477" s="5"/>
      <c r="R477" s="5"/>
      <c r="S477" s="5"/>
      <c r="U477" s="4" t="s">
        <v>272</v>
      </c>
      <c r="V477" s="4">
        <v>0.9</v>
      </c>
      <c r="W477" s="4">
        <v>0.5</v>
      </c>
      <c r="X477" s="4">
        <v>0.6</v>
      </c>
      <c r="Y477" s="4">
        <v>0.65</v>
      </c>
      <c r="Z477" s="4">
        <v>878.56677200000001</v>
      </c>
      <c r="AA477" s="4">
        <v>2.7E-2</v>
      </c>
      <c r="AC477" s="4" t="s">
        <v>272</v>
      </c>
      <c r="AD477" s="4">
        <v>0.9</v>
      </c>
      <c r="AE477" s="4">
        <v>0.5</v>
      </c>
      <c r="AF477" s="4">
        <v>0.6</v>
      </c>
      <c r="AG477" s="4">
        <v>0.34</v>
      </c>
      <c r="AH477" s="6">
        <v>742.618652</v>
      </c>
      <c r="AI477" s="4">
        <v>3.0000000000000001E-3</v>
      </c>
      <c r="AJ477" s="5"/>
      <c r="AK477" s="5"/>
      <c r="AL477" s="5"/>
      <c r="AM477" s="5"/>
      <c r="AO477" s="4" t="s">
        <v>273</v>
      </c>
      <c r="AP477" s="4">
        <v>0.9</v>
      </c>
      <c r="AQ477" s="4">
        <v>0.5</v>
      </c>
      <c r="AR477" s="4">
        <v>0.6</v>
      </c>
      <c r="AS477" s="4">
        <v>0.2</v>
      </c>
      <c r="AT477" s="6">
        <v>956.21557600000006</v>
      </c>
      <c r="AU477" s="4">
        <v>3.1E-2</v>
      </c>
      <c r="AW477" s="4" t="s">
        <v>273</v>
      </c>
      <c r="AX477" s="4">
        <v>0.9</v>
      </c>
      <c r="AY477" s="4">
        <v>0.5</v>
      </c>
      <c r="AZ477" s="4">
        <v>0.6</v>
      </c>
      <c r="BA477" s="4">
        <v>0.33</v>
      </c>
      <c r="BB477" s="4">
        <v>1024.8781739999999</v>
      </c>
      <c r="BC477" s="4">
        <v>1.4999999999999999E-2</v>
      </c>
      <c r="BD477" s="5"/>
      <c r="BE477" s="5"/>
      <c r="BF477" s="5"/>
      <c r="BG477" s="5"/>
      <c r="BI477" s="4" t="s">
        <v>273</v>
      </c>
      <c r="BJ477" s="4">
        <v>0.9</v>
      </c>
      <c r="BK477" s="4">
        <v>0.5</v>
      </c>
      <c r="BL477" s="4">
        <v>0.6</v>
      </c>
      <c r="BM477" s="4">
        <v>0.01</v>
      </c>
      <c r="BN477" s="6">
        <v>866.97851600000001</v>
      </c>
      <c r="BO477" s="4">
        <v>1.2E-2</v>
      </c>
      <c r="BQ477" s="4" t="s">
        <v>273</v>
      </c>
      <c r="BR477" s="4">
        <v>0.9</v>
      </c>
      <c r="BS477" s="4">
        <v>0.5</v>
      </c>
      <c r="BT477" s="4">
        <v>0.6</v>
      </c>
      <c r="BU477" s="4">
        <v>0.32</v>
      </c>
      <c r="BV477" s="4">
        <v>1012.478638</v>
      </c>
      <c r="BW477" s="4">
        <v>8.0000000000000002E-3</v>
      </c>
      <c r="BX477" s="5"/>
      <c r="BY477" s="5"/>
      <c r="BZ477" s="5"/>
      <c r="CA477" s="5"/>
    </row>
    <row r="478" spans="1:79" x14ac:dyDescent="0.3">
      <c r="A478" s="4" t="s">
        <v>274</v>
      </c>
      <c r="B478" s="4">
        <v>0.9</v>
      </c>
      <c r="C478" s="4">
        <v>0.5</v>
      </c>
      <c r="D478" s="4">
        <v>0.6</v>
      </c>
      <c r="E478" s="4">
        <v>0.05</v>
      </c>
      <c r="F478" s="6">
        <v>728.07940699999995</v>
      </c>
      <c r="G478" s="4">
        <v>1.4E-2</v>
      </c>
      <c r="I478" s="4" t="s">
        <v>274</v>
      </c>
      <c r="J478" s="4">
        <v>0.9</v>
      </c>
      <c r="K478" s="4">
        <v>0.5</v>
      </c>
      <c r="L478" s="4">
        <v>0.6</v>
      </c>
      <c r="M478" s="4">
        <v>0.3</v>
      </c>
      <c r="N478" s="4">
        <v>833.07189900000003</v>
      </c>
      <c r="O478" s="4">
        <v>5.0000000000000001E-3</v>
      </c>
      <c r="P478" s="5"/>
      <c r="Q478" s="5"/>
      <c r="R478" s="5"/>
      <c r="S478" s="5"/>
      <c r="U478" s="4" t="s">
        <v>274</v>
      </c>
      <c r="V478" s="4">
        <v>0.9</v>
      </c>
      <c r="W478" s="4">
        <v>0.5</v>
      </c>
      <c r="X478" s="4">
        <v>0.6</v>
      </c>
      <c r="Y478" s="4">
        <v>0.03</v>
      </c>
      <c r="Z478" s="6">
        <v>706.527466</v>
      </c>
      <c r="AA478" s="4">
        <v>1.6E-2</v>
      </c>
      <c r="AC478" s="4" t="s">
        <v>274</v>
      </c>
      <c r="AD478" s="4">
        <v>0.9</v>
      </c>
      <c r="AE478" s="4">
        <v>0.5</v>
      </c>
      <c r="AF478" s="4">
        <v>0.6</v>
      </c>
      <c r="AG478" s="4">
        <v>0.32</v>
      </c>
      <c r="AH478" s="4">
        <v>822.37542699999995</v>
      </c>
      <c r="AI478" s="4">
        <v>3.0000000000000001E-3</v>
      </c>
      <c r="AJ478" s="5"/>
      <c r="AK478" s="5"/>
      <c r="AL478" s="5"/>
      <c r="AM478" s="5"/>
      <c r="AO478" s="4" t="s">
        <v>275</v>
      </c>
      <c r="AP478" s="4">
        <v>0.9</v>
      </c>
      <c r="AQ478" s="4">
        <v>0.5</v>
      </c>
      <c r="AR478" s="4">
        <v>0.6</v>
      </c>
      <c r="AS478" s="4">
        <v>0.79</v>
      </c>
      <c r="AT478" s="4">
        <v>1299.4461670000001</v>
      </c>
      <c r="AU478" s="4">
        <v>1.4E-2</v>
      </c>
      <c r="AW478" s="4" t="s">
        <v>275</v>
      </c>
      <c r="AX478" s="4">
        <v>0.9</v>
      </c>
      <c r="AY478" s="4">
        <v>0.5</v>
      </c>
      <c r="AZ478" s="4">
        <v>0.6</v>
      </c>
      <c r="BA478" s="4">
        <v>0.3</v>
      </c>
      <c r="BB478" s="6">
        <v>1138.2301030000001</v>
      </c>
      <c r="BC478" s="4">
        <v>1.0999999999999999E-2</v>
      </c>
      <c r="BD478" s="5"/>
      <c r="BE478" s="5"/>
      <c r="BF478" s="5"/>
      <c r="BG478" s="5"/>
      <c r="BI478" s="4" t="s">
        <v>275</v>
      </c>
      <c r="BJ478" s="4">
        <v>0.9</v>
      </c>
      <c r="BK478" s="4">
        <v>0.5</v>
      </c>
      <c r="BL478" s="4">
        <v>0.6</v>
      </c>
      <c r="BM478" s="4">
        <v>0.16</v>
      </c>
      <c r="BN478" s="6">
        <v>1014.754517</v>
      </c>
      <c r="BO478" s="4">
        <v>1.4E-2</v>
      </c>
      <c r="BQ478" s="4" t="s">
        <v>275</v>
      </c>
      <c r="BR478" s="4">
        <v>0.9</v>
      </c>
      <c r="BS478" s="4">
        <v>0.5</v>
      </c>
      <c r="BT478" s="4">
        <v>0.6</v>
      </c>
      <c r="BU478" s="4">
        <v>0.31</v>
      </c>
      <c r="BV478" s="4">
        <v>1118.424438</v>
      </c>
      <c r="BW478" s="4">
        <v>8.9999999999999993E-3</v>
      </c>
      <c r="BX478" s="5"/>
      <c r="BY478" s="5"/>
      <c r="BZ478" s="5"/>
      <c r="CA478" s="5"/>
    </row>
    <row r="479" spans="1:79" x14ac:dyDescent="0.3">
      <c r="A479" s="4" t="s">
        <v>276</v>
      </c>
      <c r="B479" s="4">
        <v>0.9</v>
      </c>
      <c r="C479" s="4">
        <v>0.5</v>
      </c>
      <c r="D479" s="4">
        <v>0.6</v>
      </c>
      <c r="E479" s="4">
        <v>0.91</v>
      </c>
      <c r="F479" s="4">
        <v>858.96881099999996</v>
      </c>
      <c r="G479" s="4">
        <v>3.7999999999999999E-2</v>
      </c>
      <c r="I479" s="4" t="s">
        <v>276</v>
      </c>
      <c r="J479" s="4">
        <v>0.9</v>
      </c>
      <c r="K479" s="4">
        <v>0.5</v>
      </c>
      <c r="L479" s="4">
        <v>0.6</v>
      </c>
      <c r="M479" s="4">
        <v>0.3</v>
      </c>
      <c r="N479" s="6">
        <v>720.60504200000003</v>
      </c>
      <c r="O479" s="4">
        <v>4.0000000000000001E-3</v>
      </c>
      <c r="P479" s="5"/>
      <c r="Q479" s="5"/>
      <c r="R479" s="5"/>
      <c r="S479" s="5"/>
      <c r="U479" s="4" t="s">
        <v>276</v>
      </c>
      <c r="V479" s="4">
        <v>0.9</v>
      </c>
      <c r="W479" s="4">
        <v>0.5</v>
      </c>
      <c r="X479" s="4">
        <v>0.6</v>
      </c>
      <c r="Y479" s="4">
        <v>0.99</v>
      </c>
      <c r="Z479" s="4">
        <v>897.96875</v>
      </c>
      <c r="AA479" s="4">
        <v>2.1000000000000001E-2</v>
      </c>
      <c r="AC479" s="4" t="s">
        <v>276</v>
      </c>
      <c r="AD479" s="4">
        <v>0.9</v>
      </c>
      <c r="AE479" s="4">
        <v>0.5</v>
      </c>
      <c r="AF479" s="4">
        <v>0.6</v>
      </c>
      <c r="AG479" s="4">
        <v>0.31</v>
      </c>
      <c r="AH479" s="6">
        <v>696.82617200000004</v>
      </c>
      <c r="AI479" s="4">
        <v>3.0000000000000001E-3</v>
      </c>
      <c r="AJ479" s="5"/>
      <c r="AK479" s="5"/>
      <c r="AL479" s="5"/>
      <c r="AM479" s="5"/>
      <c r="AO479" s="4" t="s">
        <v>277</v>
      </c>
      <c r="AP479" s="4">
        <v>0.9</v>
      </c>
      <c r="AQ479" s="4">
        <v>0.5</v>
      </c>
      <c r="AR479" s="4">
        <v>0.6</v>
      </c>
      <c r="AS479" s="4">
        <v>0.75</v>
      </c>
      <c r="AT479" s="4">
        <v>1234.862061</v>
      </c>
      <c r="AU479" s="4">
        <v>1.4999999999999999E-2</v>
      </c>
      <c r="AW479" s="4" t="s">
        <v>277</v>
      </c>
      <c r="AX479" s="4">
        <v>0.9</v>
      </c>
      <c r="AY479" s="4">
        <v>0.5</v>
      </c>
      <c r="AZ479" s="4">
        <v>0.6</v>
      </c>
      <c r="BA479" s="4">
        <v>0.3</v>
      </c>
      <c r="BB479" s="6">
        <v>1010.922607</v>
      </c>
      <c r="BC479" s="4">
        <v>1.0999999999999999E-2</v>
      </c>
      <c r="BD479" s="5"/>
      <c r="BE479" s="5"/>
      <c r="BF479" s="5"/>
      <c r="BG479" s="5"/>
      <c r="BI479" s="4" t="s">
        <v>277</v>
      </c>
      <c r="BJ479" s="4">
        <v>0.9</v>
      </c>
      <c r="BK479" s="4">
        <v>0.5</v>
      </c>
      <c r="BL479" s="4">
        <v>0.6</v>
      </c>
      <c r="BM479" s="4">
        <v>0.52</v>
      </c>
      <c r="BN479" s="4">
        <v>1098.1748050000001</v>
      </c>
      <c r="BO479" s="4">
        <v>1.6E-2</v>
      </c>
      <c r="BQ479" s="4" t="s">
        <v>277</v>
      </c>
      <c r="BR479" s="4">
        <v>0.9</v>
      </c>
      <c r="BS479" s="4">
        <v>0.5</v>
      </c>
      <c r="BT479" s="4">
        <v>0.6</v>
      </c>
      <c r="BU479" s="4">
        <v>0.3</v>
      </c>
      <c r="BV479" s="6">
        <v>1003.68396</v>
      </c>
      <c r="BW479" s="4">
        <v>8.0000000000000002E-3</v>
      </c>
      <c r="BX479" s="5"/>
      <c r="BY479" s="5"/>
      <c r="BZ479" s="5"/>
      <c r="CA479" s="5"/>
    </row>
    <row r="480" spans="1:79" x14ac:dyDescent="0.3">
      <c r="A480" s="4" t="s">
        <v>278</v>
      </c>
      <c r="B480" s="4">
        <v>0.9</v>
      </c>
      <c r="C480" s="4">
        <v>0.5</v>
      </c>
      <c r="D480" s="4">
        <v>0.6</v>
      </c>
      <c r="E480" s="4">
        <v>0.52</v>
      </c>
      <c r="F480" s="4">
        <v>734.91156000000001</v>
      </c>
      <c r="G480" s="4">
        <v>1.0999999999999999E-2</v>
      </c>
      <c r="I480" s="4" t="s">
        <v>278</v>
      </c>
      <c r="J480" s="4">
        <v>0.9</v>
      </c>
      <c r="K480" s="4">
        <v>0.5</v>
      </c>
      <c r="L480" s="4">
        <v>0.6</v>
      </c>
      <c r="M480" s="4">
        <v>0.31</v>
      </c>
      <c r="N480" s="6">
        <v>677.85064699999998</v>
      </c>
      <c r="O480" s="4">
        <v>3.0000000000000001E-3</v>
      </c>
      <c r="P480" s="5"/>
      <c r="Q480" s="5"/>
      <c r="R480" s="5"/>
      <c r="S480" s="5"/>
      <c r="U480" s="4" t="s">
        <v>278</v>
      </c>
      <c r="V480" s="4">
        <v>0.9</v>
      </c>
      <c r="W480" s="4">
        <v>0.5</v>
      </c>
      <c r="X480" s="4">
        <v>0.6</v>
      </c>
      <c r="Y480" s="4">
        <v>0.69</v>
      </c>
      <c r="Z480" s="4">
        <v>769.54046600000004</v>
      </c>
      <c r="AA480" s="4">
        <v>1.7999999999999999E-2</v>
      </c>
      <c r="AC480" s="4" t="s">
        <v>278</v>
      </c>
      <c r="AD480" s="4">
        <v>0.9</v>
      </c>
      <c r="AE480" s="4">
        <v>0.5</v>
      </c>
      <c r="AF480" s="4">
        <v>0.6</v>
      </c>
      <c r="AG480" s="4">
        <v>0.31</v>
      </c>
      <c r="AH480" s="6">
        <v>659.14538600000003</v>
      </c>
      <c r="AI480" s="4">
        <v>3.0000000000000001E-3</v>
      </c>
      <c r="AJ480" s="5"/>
      <c r="AK480" s="5"/>
      <c r="AL480" s="5"/>
      <c r="AM480" s="5"/>
      <c r="AO480" s="4" t="s">
        <v>279</v>
      </c>
      <c r="AP480" s="4">
        <v>0.9</v>
      </c>
      <c r="AQ480" s="4">
        <v>0.5</v>
      </c>
      <c r="AR480" s="4">
        <v>0.6</v>
      </c>
      <c r="AS480" s="4">
        <v>0.12</v>
      </c>
      <c r="AT480" s="6">
        <v>972.27325399999995</v>
      </c>
      <c r="AU480" s="4">
        <v>1.7000000000000001E-2</v>
      </c>
      <c r="AW480" s="4" t="s">
        <v>279</v>
      </c>
      <c r="AX480" s="4">
        <v>0.9</v>
      </c>
      <c r="AY480" s="4">
        <v>0.5</v>
      </c>
      <c r="AZ480" s="4">
        <v>0.6</v>
      </c>
      <c r="BA480" s="4">
        <v>0.3</v>
      </c>
      <c r="BB480" s="4">
        <v>1179.5954589999999</v>
      </c>
      <c r="BC480" s="4">
        <v>0.01</v>
      </c>
      <c r="BD480" s="5"/>
      <c r="BE480" s="5"/>
      <c r="BF480" s="5"/>
      <c r="BG480" s="5"/>
      <c r="BI480" s="4" t="s">
        <v>279</v>
      </c>
      <c r="BJ480" s="4">
        <v>0.9</v>
      </c>
      <c r="BK480" s="4">
        <v>0.5</v>
      </c>
      <c r="BL480" s="4">
        <v>0.6</v>
      </c>
      <c r="BM480" s="4">
        <v>0.27</v>
      </c>
      <c r="BN480" s="6">
        <v>1095.565063</v>
      </c>
      <c r="BO480" s="4">
        <v>0.03</v>
      </c>
      <c r="BQ480" s="4" t="s">
        <v>279</v>
      </c>
      <c r="BR480" s="4">
        <v>0.9</v>
      </c>
      <c r="BS480" s="4">
        <v>0.5</v>
      </c>
      <c r="BT480" s="4">
        <v>0.6</v>
      </c>
      <c r="BU480" s="4">
        <v>0.33</v>
      </c>
      <c r="BV480" s="4">
        <v>1131.363159</v>
      </c>
      <c r="BW480" s="4">
        <v>8.9999999999999993E-3</v>
      </c>
      <c r="BX480" s="5"/>
      <c r="BY480" s="5"/>
      <c r="BZ480" s="5"/>
      <c r="CA480" s="5"/>
    </row>
    <row r="481" spans="1:79" x14ac:dyDescent="0.3">
      <c r="A481" s="4" t="s">
        <v>280</v>
      </c>
      <c r="B481" s="4">
        <v>0.9</v>
      </c>
      <c r="C481" s="4">
        <v>0.5</v>
      </c>
      <c r="D481" s="4">
        <v>0.6</v>
      </c>
      <c r="E481" s="4">
        <v>0.24</v>
      </c>
      <c r="F481" s="6">
        <v>873.555969</v>
      </c>
      <c r="G481" s="4">
        <v>2.1000000000000001E-2</v>
      </c>
      <c r="I481" s="4" t="s">
        <v>280</v>
      </c>
      <c r="J481" s="4">
        <v>0.9</v>
      </c>
      <c r="K481" s="4">
        <v>0.5</v>
      </c>
      <c r="L481" s="4">
        <v>0.6</v>
      </c>
      <c r="M481" s="4">
        <v>0.3</v>
      </c>
      <c r="N481" s="4">
        <v>905.378784</v>
      </c>
      <c r="O481" s="4">
        <v>4.0000000000000001E-3</v>
      </c>
      <c r="P481" s="5"/>
      <c r="Q481" s="5"/>
      <c r="R481" s="5"/>
      <c r="S481" s="5"/>
      <c r="U481" s="4" t="s">
        <v>280</v>
      </c>
      <c r="V481" s="4">
        <v>0.9</v>
      </c>
      <c r="W481" s="4">
        <v>0.5</v>
      </c>
      <c r="X481" s="4">
        <v>0.6</v>
      </c>
      <c r="Y481" s="4">
        <v>0.16</v>
      </c>
      <c r="Z481" s="6">
        <v>801.13171399999999</v>
      </c>
      <c r="AA481" s="4">
        <v>2.3E-2</v>
      </c>
      <c r="AC481" s="4" t="s">
        <v>280</v>
      </c>
      <c r="AD481" s="4">
        <v>0.9</v>
      </c>
      <c r="AE481" s="4">
        <v>0.5</v>
      </c>
      <c r="AF481" s="4">
        <v>0.6</v>
      </c>
      <c r="AG481" s="4">
        <v>0.3</v>
      </c>
      <c r="AH481" s="4">
        <v>918.597534</v>
      </c>
      <c r="AI481" s="4">
        <v>3.0000000000000001E-3</v>
      </c>
      <c r="AJ481" s="5"/>
      <c r="AK481" s="5"/>
      <c r="AL481" s="5"/>
      <c r="AM481" s="5"/>
      <c r="AO481" s="4" t="s">
        <v>281</v>
      </c>
      <c r="AP481" s="4">
        <v>0.9</v>
      </c>
      <c r="AQ481" s="4">
        <v>0.5</v>
      </c>
      <c r="AR481" s="4">
        <v>0.6</v>
      </c>
      <c r="AS481" s="4">
        <v>0.75</v>
      </c>
      <c r="AT481" s="4">
        <v>1267.9677730000001</v>
      </c>
      <c r="AU481" s="4">
        <v>2.8000000000000001E-2</v>
      </c>
      <c r="AW481" s="4" t="s">
        <v>281</v>
      </c>
      <c r="AX481" s="4">
        <v>0.9</v>
      </c>
      <c r="AY481" s="4">
        <v>0.5</v>
      </c>
      <c r="AZ481" s="4">
        <v>0.6</v>
      </c>
      <c r="BA481" s="4">
        <v>0.32</v>
      </c>
      <c r="BB481" s="6">
        <v>1084.477783</v>
      </c>
      <c r="BC481" s="4">
        <v>1.2E-2</v>
      </c>
      <c r="BD481" s="5"/>
      <c r="BE481" s="5"/>
      <c r="BF481" s="5"/>
      <c r="BG481" s="5"/>
      <c r="BI481" s="4" t="s">
        <v>281</v>
      </c>
      <c r="BJ481" s="4">
        <v>0.9</v>
      </c>
      <c r="BK481" s="4">
        <v>0.5</v>
      </c>
      <c r="BL481" s="4">
        <v>0.6</v>
      </c>
      <c r="BM481" s="4">
        <v>0.36</v>
      </c>
      <c r="BN481" s="6">
        <v>1087.1464840000001</v>
      </c>
      <c r="BO481" s="4">
        <v>3.5999999999999997E-2</v>
      </c>
      <c r="BQ481" s="4" t="s">
        <v>281</v>
      </c>
      <c r="BR481" s="4">
        <v>0.9</v>
      </c>
      <c r="BS481" s="4">
        <v>0.5</v>
      </c>
      <c r="BT481" s="4">
        <v>0.6</v>
      </c>
      <c r="BU481" s="4">
        <v>0.33</v>
      </c>
      <c r="BV481" s="4">
        <v>1094.220947</v>
      </c>
      <c r="BW481" s="4">
        <v>0.01</v>
      </c>
      <c r="BX481" s="5"/>
      <c r="BY481" s="5"/>
      <c r="BZ481" s="5"/>
      <c r="CA481" s="5"/>
    </row>
    <row r="482" spans="1:79" x14ac:dyDescent="0.3">
      <c r="A482" s="4" t="s">
        <v>282</v>
      </c>
      <c r="B482" s="4">
        <v>0.9</v>
      </c>
      <c r="C482" s="4">
        <v>0.5</v>
      </c>
      <c r="D482" s="4">
        <v>0.6</v>
      </c>
      <c r="E482" s="4">
        <v>0.2</v>
      </c>
      <c r="F482" s="6">
        <v>736.00579800000003</v>
      </c>
      <c r="G482" s="4">
        <v>1.6E-2</v>
      </c>
      <c r="I482" s="4" t="s">
        <v>282</v>
      </c>
      <c r="J482" s="4">
        <v>0.9</v>
      </c>
      <c r="K482" s="4">
        <v>0.5</v>
      </c>
      <c r="L482" s="4">
        <v>0.6</v>
      </c>
      <c r="M482" s="4">
        <v>0.31</v>
      </c>
      <c r="N482" s="4">
        <v>830.02734399999997</v>
      </c>
      <c r="O482" s="4">
        <v>7.0000000000000001E-3</v>
      </c>
      <c r="P482" s="5"/>
      <c r="Q482" s="5"/>
      <c r="R482" s="5"/>
      <c r="S482" s="5"/>
      <c r="U482" s="4" t="s">
        <v>282</v>
      </c>
      <c r="V482" s="4">
        <v>0.9</v>
      </c>
      <c r="W482" s="4">
        <v>0.5</v>
      </c>
      <c r="X482" s="4">
        <v>0.6</v>
      </c>
      <c r="Y482" s="4">
        <v>0.14000000000000001</v>
      </c>
      <c r="Z482" s="6">
        <v>702.543274</v>
      </c>
      <c r="AA482" s="4">
        <v>2.1999999999999999E-2</v>
      </c>
      <c r="AC482" s="4" t="s">
        <v>282</v>
      </c>
      <c r="AD482" s="4">
        <v>0.9</v>
      </c>
      <c r="AE482" s="4">
        <v>0.5</v>
      </c>
      <c r="AF482" s="4">
        <v>0.6</v>
      </c>
      <c r="AG482" s="4">
        <v>0.32</v>
      </c>
      <c r="AH482" s="4">
        <v>794.37683100000004</v>
      </c>
      <c r="AI482" s="4">
        <v>3.0000000000000001E-3</v>
      </c>
      <c r="AJ482" s="5"/>
      <c r="AK482" s="5"/>
      <c r="AL482" s="5"/>
      <c r="AM482" s="5"/>
      <c r="AO482" s="4" t="s">
        <v>283</v>
      </c>
      <c r="AP482" s="4">
        <v>0.9</v>
      </c>
      <c r="AQ482" s="4">
        <v>0.5</v>
      </c>
      <c r="AR482" s="4">
        <v>0.6</v>
      </c>
      <c r="AS482" s="4">
        <v>0.6</v>
      </c>
      <c r="AT482" s="4">
        <v>1173.5582280000001</v>
      </c>
      <c r="AU482" s="4">
        <v>3.7999999999999999E-2</v>
      </c>
      <c r="AW482" s="4" t="s">
        <v>283</v>
      </c>
      <c r="AX482" s="4">
        <v>0.9</v>
      </c>
      <c r="AY482" s="4">
        <v>0.5</v>
      </c>
      <c r="AZ482" s="4">
        <v>0.6</v>
      </c>
      <c r="BA482" s="4">
        <v>0.33</v>
      </c>
      <c r="BB482" s="6">
        <v>1046.912476</v>
      </c>
      <c r="BC482" s="4">
        <v>1.6E-2</v>
      </c>
      <c r="BD482" s="5"/>
      <c r="BE482" s="5"/>
      <c r="BF482" s="5"/>
      <c r="BG482" s="5"/>
      <c r="BI482" s="4" t="s">
        <v>283</v>
      </c>
      <c r="BJ482" s="4">
        <v>0.9</v>
      </c>
      <c r="BK482" s="4">
        <v>0.5</v>
      </c>
      <c r="BL482" s="4">
        <v>0.6</v>
      </c>
      <c r="BM482" s="4">
        <v>0.53</v>
      </c>
      <c r="BN482" s="4">
        <v>1140.003418</v>
      </c>
      <c r="BO482" s="4">
        <v>1.7999999999999999E-2</v>
      </c>
      <c r="BQ482" s="4" t="s">
        <v>283</v>
      </c>
      <c r="BR482" s="4">
        <v>0.9</v>
      </c>
      <c r="BS482" s="4">
        <v>0.5</v>
      </c>
      <c r="BT482" s="4">
        <v>0.6</v>
      </c>
      <c r="BU482" s="4">
        <v>0.3</v>
      </c>
      <c r="BV482" s="6">
        <v>1048.671875</v>
      </c>
      <c r="BW482" s="4">
        <v>1.0999999999999999E-2</v>
      </c>
      <c r="BX482" s="5"/>
      <c r="BY482" s="5"/>
      <c r="BZ482" s="5"/>
      <c r="CA482" s="5"/>
    </row>
    <row r="483" spans="1:79" x14ac:dyDescent="0.3">
      <c r="A483" s="4" t="s">
        <v>284</v>
      </c>
      <c r="B483" s="4">
        <v>0.9</v>
      </c>
      <c r="C483" s="4">
        <v>0.5</v>
      </c>
      <c r="D483" s="4">
        <v>0.6</v>
      </c>
      <c r="E483" s="4">
        <v>0.64</v>
      </c>
      <c r="F483" s="4">
        <v>941.98821999999996</v>
      </c>
      <c r="G483" s="4">
        <v>1.2E-2</v>
      </c>
      <c r="I483" s="4" t="s">
        <v>284</v>
      </c>
      <c r="J483" s="4">
        <v>0.9</v>
      </c>
      <c r="K483" s="4">
        <v>0.5</v>
      </c>
      <c r="L483" s="4">
        <v>0.6</v>
      </c>
      <c r="M483" s="4">
        <v>0.31</v>
      </c>
      <c r="N483" s="6">
        <v>880.04125999999997</v>
      </c>
      <c r="O483" s="4">
        <v>5.0000000000000001E-3</v>
      </c>
      <c r="P483" s="5"/>
      <c r="Q483" s="5"/>
      <c r="R483" s="5"/>
      <c r="S483" s="5"/>
      <c r="U483" s="4" t="s">
        <v>284</v>
      </c>
      <c r="V483" s="4">
        <v>0.9</v>
      </c>
      <c r="W483" s="4">
        <v>0.5</v>
      </c>
      <c r="X483" s="4">
        <v>0.6</v>
      </c>
      <c r="Y483" s="4">
        <v>0.46</v>
      </c>
      <c r="Z483" s="4">
        <v>900.80792199999996</v>
      </c>
      <c r="AA483" s="4">
        <v>1.7999999999999999E-2</v>
      </c>
      <c r="AC483" s="4" t="s">
        <v>284</v>
      </c>
      <c r="AD483" s="4">
        <v>0.9</v>
      </c>
      <c r="AE483" s="4">
        <v>0.5</v>
      </c>
      <c r="AF483" s="4">
        <v>0.6</v>
      </c>
      <c r="AG483" s="4">
        <v>0.3</v>
      </c>
      <c r="AH483" s="6">
        <v>844.53802499999995</v>
      </c>
      <c r="AI483" s="4">
        <v>3.0000000000000001E-3</v>
      </c>
      <c r="AJ483" s="5"/>
      <c r="AK483" s="5"/>
      <c r="AL483" s="5"/>
      <c r="AM483" s="5"/>
      <c r="AO483" s="4" t="s">
        <v>285</v>
      </c>
      <c r="AP483" s="4">
        <v>0.9</v>
      </c>
      <c r="AQ483" s="4">
        <v>0.5</v>
      </c>
      <c r="AR483" s="4">
        <v>0.6</v>
      </c>
      <c r="AS483" s="4">
        <v>0.21</v>
      </c>
      <c r="AT483" s="6">
        <v>1027.9141850000001</v>
      </c>
      <c r="AU483" s="4">
        <v>1.9E-2</v>
      </c>
      <c r="AW483" s="4" t="s">
        <v>285</v>
      </c>
      <c r="AX483" s="4">
        <v>0.9</v>
      </c>
      <c r="AY483" s="4">
        <v>0.5</v>
      </c>
      <c r="AZ483" s="4">
        <v>0.6</v>
      </c>
      <c r="BA483" s="4">
        <v>0.31</v>
      </c>
      <c r="BB483" s="4">
        <v>1133.4798579999999</v>
      </c>
      <c r="BC483" s="4">
        <v>1.7000000000000001E-2</v>
      </c>
      <c r="BD483" s="5"/>
      <c r="BE483" s="5"/>
      <c r="BF483" s="5"/>
      <c r="BG483" s="5"/>
      <c r="BI483" s="4" t="s">
        <v>285</v>
      </c>
      <c r="BJ483" s="4">
        <v>0.9</v>
      </c>
      <c r="BK483" s="4">
        <v>0.5</v>
      </c>
      <c r="BL483" s="4">
        <v>0.6</v>
      </c>
      <c r="BM483" s="4">
        <v>0.03</v>
      </c>
      <c r="BN483" s="6">
        <v>868.98046899999997</v>
      </c>
      <c r="BO483" s="4">
        <v>0.04</v>
      </c>
      <c r="BQ483" s="4" t="s">
        <v>285</v>
      </c>
      <c r="BR483" s="4">
        <v>0.9</v>
      </c>
      <c r="BS483" s="4">
        <v>0.5</v>
      </c>
      <c r="BT483" s="4">
        <v>0.6</v>
      </c>
      <c r="BU483" s="4">
        <v>0.3</v>
      </c>
      <c r="BV483" s="4">
        <v>1080.993408</v>
      </c>
      <c r="BW483" s="4">
        <v>0.01</v>
      </c>
      <c r="BX483" s="5"/>
      <c r="BY483" s="5"/>
      <c r="BZ483" s="5"/>
      <c r="CA483" s="5"/>
    </row>
    <row r="484" spans="1:79" x14ac:dyDescent="0.3">
      <c r="A484" s="4" t="s">
        <v>286</v>
      </c>
      <c r="B484" s="4">
        <v>0.9</v>
      </c>
      <c r="C484" s="4">
        <v>0.5</v>
      </c>
      <c r="D484" s="4">
        <v>0.6</v>
      </c>
      <c r="E484" s="4">
        <v>0.01</v>
      </c>
      <c r="F484" s="6">
        <v>700.83837900000003</v>
      </c>
      <c r="G484" s="4">
        <v>8.9999999999999993E-3</v>
      </c>
      <c r="I484" s="4" t="s">
        <v>286</v>
      </c>
      <c r="J484" s="4">
        <v>0.9</v>
      </c>
      <c r="K484" s="4">
        <v>0.5</v>
      </c>
      <c r="L484" s="4">
        <v>0.6</v>
      </c>
      <c r="M484" s="4">
        <v>0.32</v>
      </c>
      <c r="N484" s="4">
        <v>728.07934599999999</v>
      </c>
      <c r="O484" s="4">
        <v>4.0000000000000001E-3</v>
      </c>
      <c r="P484" s="5"/>
      <c r="Q484" s="5"/>
      <c r="R484" s="5"/>
      <c r="S484" s="5"/>
      <c r="U484" s="4" t="s">
        <v>286</v>
      </c>
      <c r="V484" s="4">
        <v>0.9</v>
      </c>
      <c r="W484" s="4">
        <v>0.5</v>
      </c>
      <c r="X484" s="4">
        <v>0.6</v>
      </c>
      <c r="Y484" s="4">
        <v>0.43</v>
      </c>
      <c r="Z484" s="4">
        <v>746.44329800000003</v>
      </c>
      <c r="AA484" s="4">
        <v>3.3000000000000002E-2</v>
      </c>
      <c r="AC484" s="4" t="s">
        <v>286</v>
      </c>
      <c r="AD484" s="4">
        <v>0.9</v>
      </c>
      <c r="AE484" s="4">
        <v>0.5</v>
      </c>
      <c r="AF484" s="4">
        <v>0.6</v>
      </c>
      <c r="AG484" s="4">
        <v>0.3</v>
      </c>
      <c r="AH484" s="6">
        <v>701.49176</v>
      </c>
      <c r="AI484" s="4">
        <v>3.0000000000000001E-3</v>
      </c>
      <c r="AJ484" s="5"/>
      <c r="AK484" s="5"/>
      <c r="AL484" s="5"/>
      <c r="AM484" s="5"/>
      <c r="AO484" s="4" t="s">
        <v>287</v>
      </c>
      <c r="AP484" s="4">
        <v>0.9</v>
      </c>
      <c r="AQ484" s="4">
        <v>0.5</v>
      </c>
      <c r="AR484" s="4">
        <v>0.6</v>
      </c>
      <c r="AS484" s="4">
        <v>0.73</v>
      </c>
      <c r="AT484" s="4">
        <v>1238.0795900000001</v>
      </c>
      <c r="AU484" s="4">
        <v>2.1999999999999999E-2</v>
      </c>
      <c r="AW484" s="4" t="s">
        <v>287</v>
      </c>
      <c r="AX484" s="4">
        <v>0.9</v>
      </c>
      <c r="AY484" s="4">
        <v>0.5</v>
      </c>
      <c r="AZ484" s="4">
        <v>0.6</v>
      </c>
      <c r="BA484" s="4">
        <v>0.33</v>
      </c>
      <c r="BB484" s="6">
        <v>1058.607788</v>
      </c>
      <c r="BC484" s="4">
        <v>1.0999999999999999E-2</v>
      </c>
      <c r="BD484" s="5"/>
      <c r="BE484" s="5"/>
      <c r="BF484" s="5"/>
      <c r="BG484" s="5"/>
      <c r="BI484" s="4" t="s">
        <v>287</v>
      </c>
      <c r="BJ484" s="4">
        <v>0.9</v>
      </c>
      <c r="BK484" s="4">
        <v>0.5</v>
      </c>
      <c r="BL484" s="4">
        <v>0.6</v>
      </c>
      <c r="BM484" s="4">
        <v>0.48</v>
      </c>
      <c r="BN484" s="4">
        <v>1098.9030760000001</v>
      </c>
      <c r="BO484" s="4">
        <v>2.5000000000000001E-2</v>
      </c>
      <c r="BQ484" s="4" t="s">
        <v>287</v>
      </c>
      <c r="BR484" s="4">
        <v>0.9</v>
      </c>
      <c r="BS484" s="4">
        <v>0.5</v>
      </c>
      <c r="BT484" s="4">
        <v>0.6</v>
      </c>
      <c r="BU484" s="4">
        <v>0.31</v>
      </c>
      <c r="BV484" s="6">
        <v>1049.001221</v>
      </c>
      <c r="BW484" s="4">
        <v>8.9999999999999993E-3</v>
      </c>
      <c r="BX484" s="5"/>
      <c r="BY484" s="5"/>
      <c r="BZ484" s="5"/>
      <c r="CA484" s="5"/>
    </row>
    <row r="485" spans="1:79" x14ac:dyDescent="0.3">
      <c r="A485" s="4" t="s">
        <v>288</v>
      </c>
      <c r="B485" s="4">
        <v>0.9</v>
      </c>
      <c r="C485" s="4">
        <v>0.5</v>
      </c>
      <c r="D485" s="4">
        <v>0.6</v>
      </c>
      <c r="E485" s="4">
        <v>0.94</v>
      </c>
      <c r="F485" s="4">
        <v>954.26464799999997</v>
      </c>
      <c r="G485" s="4">
        <v>1.9E-2</v>
      </c>
      <c r="I485" s="4" t="s">
        <v>288</v>
      </c>
      <c r="J485" s="4">
        <v>0.9</v>
      </c>
      <c r="K485" s="4">
        <v>0.5</v>
      </c>
      <c r="L485" s="4">
        <v>0.6</v>
      </c>
      <c r="M485" s="4">
        <v>0.31</v>
      </c>
      <c r="N485" s="6">
        <v>738.00299099999995</v>
      </c>
      <c r="O485" s="4">
        <v>5.0000000000000001E-3</v>
      </c>
      <c r="P485" s="5"/>
      <c r="Q485" s="5"/>
      <c r="R485" s="5"/>
      <c r="S485" s="5"/>
      <c r="U485" s="4" t="s">
        <v>288</v>
      </c>
      <c r="V485" s="4">
        <v>0.9</v>
      </c>
      <c r="W485" s="4">
        <v>0.5</v>
      </c>
      <c r="X485" s="4">
        <v>0.6</v>
      </c>
      <c r="Y485" s="4">
        <v>0.93</v>
      </c>
      <c r="Z485" s="4">
        <v>924.34258999999997</v>
      </c>
      <c r="AA485" s="4">
        <v>3.2000000000000001E-2</v>
      </c>
      <c r="AC485" s="4" t="s">
        <v>288</v>
      </c>
      <c r="AD485" s="4">
        <v>0.9</v>
      </c>
      <c r="AE485" s="4">
        <v>0.5</v>
      </c>
      <c r="AF485" s="4">
        <v>0.6</v>
      </c>
      <c r="AG485" s="4">
        <v>0.31</v>
      </c>
      <c r="AH485" s="6">
        <v>737.00195299999996</v>
      </c>
      <c r="AI485" s="4">
        <v>3.0000000000000001E-3</v>
      </c>
      <c r="AJ485" s="5"/>
      <c r="AK485" s="5"/>
      <c r="AL485" s="5"/>
      <c r="AM485" s="5"/>
      <c r="AO485" s="4" t="s">
        <v>289</v>
      </c>
      <c r="AP485" s="4">
        <v>0.9</v>
      </c>
      <c r="AQ485" s="4">
        <v>0.5</v>
      </c>
      <c r="AR485" s="4">
        <v>0.6</v>
      </c>
      <c r="AS485" s="4">
        <v>0.99</v>
      </c>
      <c r="AT485" s="4">
        <v>1417.453491</v>
      </c>
      <c r="AU485" s="4">
        <v>1.7999999999999999E-2</v>
      </c>
      <c r="AW485" s="4" t="s">
        <v>289</v>
      </c>
      <c r="AX485" s="4">
        <v>0.9</v>
      </c>
      <c r="AY485" s="4">
        <v>0.5</v>
      </c>
      <c r="AZ485" s="4">
        <v>0.6</v>
      </c>
      <c r="BA485" s="4">
        <v>0.3</v>
      </c>
      <c r="BB485" s="6">
        <v>1116.1123050000001</v>
      </c>
      <c r="BC485" s="4">
        <v>1.2E-2</v>
      </c>
      <c r="BD485" s="5"/>
      <c r="BE485" s="5"/>
      <c r="BF485" s="5"/>
      <c r="BG485" s="5"/>
      <c r="BI485" s="4" t="s">
        <v>289</v>
      </c>
      <c r="BJ485" s="4">
        <v>0.9</v>
      </c>
      <c r="BK485" s="4">
        <v>0.5</v>
      </c>
      <c r="BL485" s="4">
        <v>0.6</v>
      </c>
      <c r="BM485" s="4">
        <v>0.2</v>
      </c>
      <c r="BN485" s="6">
        <v>1018.161499</v>
      </c>
      <c r="BO485" s="4">
        <v>2.8000000000000001E-2</v>
      </c>
      <c r="BQ485" s="4" t="s">
        <v>289</v>
      </c>
      <c r="BR485" s="4">
        <v>0.9</v>
      </c>
      <c r="BS485" s="4">
        <v>0.5</v>
      </c>
      <c r="BT485" s="4">
        <v>0.6</v>
      </c>
      <c r="BU485" s="4">
        <v>0.31</v>
      </c>
      <c r="BV485" s="4">
        <v>1116.2773440000001</v>
      </c>
      <c r="BW485" s="4">
        <v>8.9999999999999993E-3</v>
      </c>
      <c r="BX485" s="5"/>
      <c r="BY485" s="5"/>
      <c r="BZ485" s="5"/>
      <c r="CA485" s="5"/>
    </row>
    <row r="486" spans="1:79" x14ac:dyDescent="0.3">
      <c r="A486" s="4" t="s">
        <v>290</v>
      </c>
      <c r="B486" s="4">
        <v>0.9</v>
      </c>
      <c r="C486" s="4">
        <v>0.5</v>
      </c>
      <c r="D486" s="4">
        <v>0.6</v>
      </c>
      <c r="E486" s="4">
        <v>0.9</v>
      </c>
      <c r="F486" s="4">
        <v>953.61163299999998</v>
      </c>
      <c r="G486" s="4">
        <v>1.7999999999999999E-2</v>
      </c>
      <c r="I486" s="4" t="s">
        <v>290</v>
      </c>
      <c r="J486" s="4">
        <v>0.9</v>
      </c>
      <c r="K486" s="4">
        <v>0.5</v>
      </c>
      <c r="L486" s="4">
        <v>0.6</v>
      </c>
      <c r="M486" s="4">
        <v>0.3</v>
      </c>
      <c r="N486" s="6">
        <v>740.64269999999999</v>
      </c>
      <c r="O486" s="4">
        <v>3.0000000000000001E-3</v>
      </c>
      <c r="P486" s="5"/>
      <c r="Q486" s="5"/>
      <c r="R486" s="5"/>
      <c r="S486" s="5"/>
      <c r="U486" s="4" t="s">
        <v>290</v>
      </c>
      <c r="V486" s="4">
        <v>0.9</v>
      </c>
      <c r="W486" s="4">
        <v>0.5</v>
      </c>
      <c r="X486" s="4">
        <v>0.6</v>
      </c>
      <c r="Y486" s="4">
        <v>0.64</v>
      </c>
      <c r="Z486" s="4">
        <v>867.037598</v>
      </c>
      <c r="AA486" s="4">
        <v>2.3E-2</v>
      </c>
      <c r="AC486" s="4" t="s">
        <v>290</v>
      </c>
      <c r="AD486" s="4">
        <v>0.9</v>
      </c>
      <c r="AE486" s="4">
        <v>0.5</v>
      </c>
      <c r="AF486" s="4">
        <v>0.6</v>
      </c>
      <c r="AG486" s="4">
        <v>0.31</v>
      </c>
      <c r="AH486" s="6">
        <v>728.834473</v>
      </c>
      <c r="AI486" s="4">
        <v>3.0000000000000001E-3</v>
      </c>
      <c r="AJ486" s="5"/>
      <c r="AK486" s="5"/>
      <c r="AL486" s="5"/>
      <c r="AM486" s="5"/>
      <c r="AO486" s="4" t="s">
        <v>291</v>
      </c>
      <c r="AP486" s="4">
        <v>0.9</v>
      </c>
      <c r="AQ486" s="4">
        <v>0.5</v>
      </c>
      <c r="AR486" s="4">
        <v>0.6</v>
      </c>
      <c r="AS486" s="4">
        <v>0.5</v>
      </c>
      <c r="AT486" s="4">
        <v>1167.996216</v>
      </c>
      <c r="AU486" s="4">
        <v>2.5999999999999999E-2</v>
      </c>
      <c r="AW486" s="4" t="s">
        <v>291</v>
      </c>
      <c r="AX486" s="4">
        <v>0.9</v>
      </c>
      <c r="AY486" s="4">
        <v>0.5</v>
      </c>
      <c r="AZ486" s="4">
        <v>0.6</v>
      </c>
      <c r="BA486" s="4">
        <v>0.3</v>
      </c>
      <c r="BB486" s="6">
        <v>1097.5852050000001</v>
      </c>
      <c r="BC486" s="4">
        <v>0.01</v>
      </c>
      <c r="BD486" s="5"/>
      <c r="BE486" s="5"/>
      <c r="BF486" s="5"/>
      <c r="BG486" s="5"/>
      <c r="BI486" s="4" t="s">
        <v>291</v>
      </c>
      <c r="BJ486" s="4">
        <v>0.9</v>
      </c>
      <c r="BK486" s="4">
        <v>0.5</v>
      </c>
      <c r="BL486" s="4">
        <v>0.6</v>
      </c>
      <c r="BM486" s="4">
        <v>0.76</v>
      </c>
      <c r="BN486" s="4">
        <v>1233.1229249999999</v>
      </c>
      <c r="BO486" s="4">
        <v>2.5000000000000001E-2</v>
      </c>
      <c r="BQ486" s="4" t="s">
        <v>291</v>
      </c>
      <c r="BR486" s="4">
        <v>0.9</v>
      </c>
      <c r="BS486" s="4">
        <v>0.5</v>
      </c>
      <c r="BT486" s="4">
        <v>0.6</v>
      </c>
      <c r="BU486" s="4">
        <v>0.32</v>
      </c>
      <c r="BV486" s="6">
        <v>1041.721558</v>
      </c>
      <c r="BW486" s="4">
        <v>8.9999999999999993E-3</v>
      </c>
      <c r="BX486" s="5"/>
      <c r="BY486" s="5"/>
      <c r="BZ486" s="5"/>
      <c r="CA486" s="5"/>
    </row>
    <row r="487" spans="1:79" x14ac:dyDescent="0.3">
      <c r="A487" s="4" t="s">
        <v>292</v>
      </c>
      <c r="B487" s="4">
        <v>0.9</v>
      </c>
      <c r="C487" s="4">
        <v>0.5</v>
      </c>
      <c r="D487" s="4">
        <v>0.6</v>
      </c>
      <c r="E487" s="4">
        <v>0.56999999999999995</v>
      </c>
      <c r="F487" s="4">
        <v>911.14935300000002</v>
      </c>
      <c r="G487" s="4">
        <v>1.2E-2</v>
      </c>
      <c r="I487" s="4" t="s">
        <v>292</v>
      </c>
      <c r="J487" s="4">
        <v>0.9</v>
      </c>
      <c r="K487" s="4">
        <v>0.5</v>
      </c>
      <c r="L487" s="4">
        <v>0.6</v>
      </c>
      <c r="M487" s="4">
        <v>0.3</v>
      </c>
      <c r="N487" s="6">
        <v>822.70788600000003</v>
      </c>
      <c r="O487" s="4">
        <v>7.0000000000000001E-3</v>
      </c>
      <c r="P487" s="5"/>
      <c r="Q487" s="5"/>
      <c r="R487" s="5"/>
      <c r="S487" s="5"/>
      <c r="U487" s="4" t="s">
        <v>292</v>
      </c>
      <c r="V487" s="4">
        <v>0.9</v>
      </c>
      <c r="W487" s="4">
        <v>0.5</v>
      </c>
      <c r="X487" s="4">
        <v>0.6</v>
      </c>
      <c r="Y487" s="4">
        <v>0.95</v>
      </c>
      <c r="Z487" s="4">
        <v>1033.9801030000001</v>
      </c>
      <c r="AA487" s="4">
        <v>2.4E-2</v>
      </c>
      <c r="AC487" s="4" t="s">
        <v>292</v>
      </c>
      <c r="AD487" s="4">
        <v>0.9</v>
      </c>
      <c r="AE487" s="4">
        <v>0.5</v>
      </c>
      <c r="AF487" s="4">
        <v>0.6</v>
      </c>
      <c r="AG487" s="4">
        <v>0.3</v>
      </c>
      <c r="AH487" s="6">
        <v>794.46606399999996</v>
      </c>
      <c r="AI487" s="4">
        <v>3.0000000000000001E-3</v>
      </c>
      <c r="AJ487" s="5"/>
      <c r="AK487" s="5"/>
      <c r="AL487" s="5"/>
      <c r="AM487" s="5"/>
      <c r="AO487" s="4" t="s">
        <v>293</v>
      </c>
      <c r="AP487" s="4">
        <v>0.9</v>
      </c>
      <c r="AQ487" s="4">
        <v>0.5</v>
      </c>
      <c r="AR487" s="4">
        <v>0.6</v>
      </c>
      <c r="AS487" s="4">
        <v>0.87</v>
      </c>
      <c r="AT487" s="4">
        <v>1407.4562989999999</v>
      </c>
      <c r="AU487" s="4">
        <v>2.8000000000000001E-2</v>
      </c>
      <c r="AW487" s="4" t="s">
        <v>293</v>
      </c>
      <c r="AX487" s="4">
        <v>0.9</v>
      </c>
      <c r="AY487" s="4">
        <v>0.5</v>
      </c>
      <c r="AZ487" s="4">
        <v>0.6</v>
      </c>
      <c r="BA487" s="4">
        <v>0.32</v>
      </c>
      <c r="BB487" s="6">
        <v>1132.5371090000001</v>
      </c>
      <c r="BC487" s="4">
        <v>1.6E-2</v>
      </c>
      <c r="BD487" s="5"/>
      <c r="BE487" s="5"/>
      <c r="BF487" s="5"/>
      <c r="BG487" s="5"/>
      <c r="BI487" s="4" t="s">
        <v>293</v>
      </c>
      <c r="BJ487" s="4">
        <v>0.9</v>
      </c>
      <c r="BK487" s="4">
        <v>0.5</v>
      </c>
      <c r="BL487" s="4">
        <v>0.6</v>
      </c>
      <c r="BM487" s="4">
        <v>0.67</v>
      </c>
      <c r="BN487" s="4">
        <v>1326.333862</v>
      </c>
      <c r="BO487" s="4">
        <v>2.4E-2</v>
      </c>
      <c r="BQ487" s="4" t="s">
        <v>293</v>
      </c>
      <c r="BR487" s="4">
        <v>0.9</v>
      </c>
      <c r="BS487" s="4">
        <v>0.5</v>
      </c>
      <c r="BT487" s="4">
        <v>0.6</v>
      </c>
      <c r="BU487" s="4">
        <v>0.31</v>
      </c>
      <c r="BV487" s="6">
        <v>1116.8828120000001</v>
      </c>
      <c r="BW487" s="4">
        <v>8.9999999999999993E-3</v>
      </c>
      <c r="BX487" s="5"/>
      <c r="BY487" s="5"/>
      <c r="BZ487" s="5"/>
      <c r="CA487" s="5"/>
    </row>
    <row r="488" spans="1:79" x14ac:dyDescent="0.3">
      <c r="A488" s="4" t="s">
        <v>294</v>
      </c>
      <c r="B488" s="4">
        <v>0.9</v>
      </c>
      <c r="C488" s="4">
        <v>0.5</v>
      </c>
      <c r="D488" s="4">
        <v>0.6</v>
      </c>
      <c r="E488" s="4">
        <v>0.97</v>
      </c>
      <c r="F488" s="4">
        <v>1160.5455320000001</v>
      </c>
      <c r="G488" s="4">
        <v>1.4E-2</v>
      </c>
      <c r="I488" s="4" t="s">
        <v>294</v>
      </c>
      <c r="J488" s="4">
        <v>0.9</v>
      </c>
      <c r="K488" s="4">
        <v>0.5</v>
      </c>
      <c r="L488" s="4">
        <v>0.6</v>
      </c>
      <c r="M488" s="4">
        <v>0.3</v>
      </c>
      <c r="N488" s="6">
        <v>944.66210899999999</v>
      </c>
      <c r="O488" s="4">
        <v>5.0000000000000001E-3</v>
      </c>
      <c r="P488" s="5"/>
      <c r="Q488" s="5"/>
      <c r="R488" s="5"/>
      <c r="S488" s="5"/>
      <c r="U488" s="4" t="s">
        <v>294</v>
      </c>
      <c r="V488" s="4">
        <v>0.9</v>
      </c>
      <c r="W488" s="4">
        <v>0.5</v>
      </c>
      <c r="X488" s="4">
        <v>0.6</v>
      </c>
      <c r="Y488" s="4">
        <v>0.35</v>
      </c>
      <c r="Z488" s="4">
        <v>947.83203100000003</v>
      </c>
      <c r="AA488" s="4">
        <v>1.9E-2</v>
      </c>
      <c r="AC488" s="4" t="s">
        <v>294</v>
      </c>
      <c r="AD488" s="4">
        <v>0.9</v>
      </c>
      <c r="AE488" s="4">
        <v>0.5</v>
      </c>
      <c r="AF488" s="4">
        <v>0.6</v>
      </c>
      <c r="AG488" s="4">
        <v>0.31</v>
      </c>
      <c r="AH488" s="6">
        <v>906.38415499999996</v>
      </c>
      <c r="AI488" s="4">
        <v>3.0000000000000001E-3</v>
      </c>
      <c r="AJ488" s="5"/>
      <c r="AK488" s="5"/>
      <c r="AL488" s="5"/>
      <c r="AM488" s="5"/>
      <c r="AO488" s="4" t="s">
        <v>295</v>
      </c>
      <c r="AP488" s="4">
        <v>0.9</v>
      </c>
      <c r="AQ488" s="4">
        <v>0.5</v>
      </c>
      <c r="AR488" s="4">
        <v>0.6</v>
      </c>
      <c r="AS488" s="4">
        <v>0.63</v>
      </c>
      <c r="AT488" s="4">
        <v>1436.5264890000001</v>
      </c>
      <c r="AU488" s="4">
        <v>0.02</v>
      </c>
      <c r="AW488" s="4" t="s">
        <v>295</v>
      </c>
      <c r="AX488" s="4">
        <v>0.9</v>
      </c>
      <c r="AY488" s="4">
        <v>0.5</v>
      </c>
      <c r="AZ488" s="4">
        <v>0.6</v>
      </c>
      <c r="BA488" s="4">
        <v>0.3</v>
      </c>
      <c r="BB488" s="6">
        <v>1220.599976</v>
      </c>
      <c r="BC488" s="4">
        <v>1.2E-2</v>
      </c>
      <c r="BD488" s="5"/>
      <c r="BE488" s="5"/>
      <c r="BF488" s="5"/>
      <c r="BG488" s="5"/>
      <c r="BI488" s="4" t="s">
        <v>295</v>
      </c>
      <c r="BJ488" s="4">
        <v>0.9</v>
      </c>
      <c r="BK488" s="4">
        <v>0.5</v>
      </c>
      <c r="BL488" s="4">
        <v>0.6</v>
      </c>
      <c r="BM488" s="4">
        <v>0.43</v>
      </c>
      <c r="BN488" s="4">
        <v>1290.387573</v>
      </c>
      <c r="BO488" s="4">
        <v>2.1000000000000001E-2</v>
      </c>
      <c r="BQ488" s="4" t="s">
        <v>295</v>
      </c>
      <c r="BR488" s="4">
        <v>0.9</v>
      </c>
      <c r="BS488" s="4">
        <v>0.5</v>
      </c>
      <c r="BT488" s="4">
        <v>0.6</v>
      </c>
      <c r="BU488" s="4">
        <v>0.3</v>
      </c>
      <c r="BV488" s="6">
        <v>1214.5576169999999</v>
      </c>
      <c r="BW488" s="4">
        <v>1.2E-2</v>
      </c>
      <c r="BX488" s="5"/>
      <c r="BY488" s="5"/>
      <c r="BZ488" s="5"/>
      <c r="CA488" s="5"/>
    </row>
    <row r="489" spans="1:79" x14ac:dyDescent="0.3">
      <c r="A489" s="4" t="s">
        <v>296</v>
      </c>
      <c r="B489" s="4">
        <v>0.9</v>
      </c>
      <c r="C489" s="4">
        <v>0.5</v>
      </c>
      <c r="D489" s="4">
        <v>0.6</v>
      </c>
      <c r="E489" s="4">
        <v>0.15</v>
      </c>
      <c r="F489" s="6">
        <v>838.13342299999999</v>
      </c>
      <c r="G489" s="4">
        <v>1.9E-2</v>
      </c>
      <c r="I489" s="4" t="s">
        <v>296</v>
      </c>
      <c r="J489" s="4">
        <v>0.9</v>
      </c>
      <c r="K489" s="4">
        <v>0.5</v>
      </c>
      <c r="L489" s="4">
        <v>0.6</v>
      </c>
      <c r="M489" s="4">
        <v>0.32</v>
      </c>
      <c r="N489" s="4">
        <v>928.26263400000005</v>
      </c>
      <c r="O489" s="4">
        <v>3.0000000000000001E-3</v>
      </c>
      <c r="P489" s="5"/>
      <c r="Q489" s="5"/>
      <c r="R489" s="5"/>
      <c r="S489" s="5"/>
      <c r="U489" s="4" t="s">
        <v>296</v>
      </c>
      <c r="V489" s="4">
        <v>0.9</v>
      </c>
      <c r="W489" s="4">
        <v>0.5</v>
      </c>
      <c r="X489" s="4">
        <v>0.6</v>
      </c>
      <c r="Y489" s="4">
        <v>0.51</v>
      </c>
      <c r="Z489" s="4">
        <v>987.53033400000004</v>
      </c>
      <c r="AA489" s="4">
        <v>1.7999999999999999E-2</v>
      </c>
      <c r="AC489" s="4" t="s">
        <v>296</v>
      </c>
      <c r="AD489" s="4">
        <v>0.9</v>
      </c>
      <c r="AE489" s="4">
        <v>0.5</v>
      </c>
      <c r="AF489" s="4">
        <v>0.6</v>
      </c>
      <c r="AG489" s="4">
        <v>0.3</v>
      </c>
      <c r="AH489" s="6">
        <v>913.64996299999996</v>
      </c>
      <c r="AI489" s="4">
        <v>3.0000000000000001E-3</v>
      </c>
      <c r="AJ489" s="5"/>
      <c r="AK489" s="5"/>
      <c r="AL489" s="5"/>
      <c r="AM489" s="5"/>
      <c r="AO489" s="4" t="s">
        <v>297</v>
      </c>
      <c r="AP489" s="4">
        <v>0.9</v>
      </c>
      <c r="AQ489" s="4">
        <v>0.5</v>
      </c>
      <c r="AR489" s="4">
        <v>0.6</v>
      </c>
      <c r="AS489" s="4">
        <v>0.26</v>
      </c>
      <c r="AT489" s="6">
        <v>1121.7569579999999</v>
      </c>
      <c r="AU489" s="4">
        <v>1.7999999999999999E-2</v>
      </c>
      <c r="AW489" s="4" t="s">
        <v>297</v>
      </c>
      <c r="AX489" s="4">
        <v>0.9</v>
      </c>
      <c r="AY489" s="4">
        <v>0.5</v>
      </c>
      <c r="AZ489" s="4">
        <v>0.6</v>
      </c>
      <c r="BA489" s="4">
        <v>0.3</v>
      </c>
      <c r="BB489" s="4">
        <v>1180.3618160000001</v>
      </c>
      <c r="BC489" s="4">
        <v>1.4999999999999999E-2</v>
      </c>
      <c r="BD489" s="5"/>
      <c r="BE489" s="5"/>
      <c r="BF489" s="5"/>
      <c r="BG489" s="5"/>
      <c r="BI489" s="4" t="s">
        <v>297</v>
      </c>
      <c r="BJ489" s="4">
        <v>0.9</v>
      </c>
      <c r="BK489" s="4">
        <v>0.5</v>
      </c>
      <c r="BL489" s="4">
        <v>0.6</v>
      </c>
      <c r="BM489" s="4">
        <v>0.71</v>
      </c>
      <c r="BN489" s="4">
        <v>1416.036865</v>
      </c>
      <c r="BO489" s="4">
        <v>2.7E-2</v>
      </c>
      <c r="BQ489" s="4" t="s">
        <v>297</v>
      </c>
      <c r="BR489" s="4">
        <v>0.9</v>
      </c>
      <c r="BS489" s="4">
        <v>0.5</v>
      </c>
      <c r="BT489" s="4">
        <v>0.6</v>
      </c>
      <c r="BU489" s="4">
        <v>0.34</v>
      </c>
      <c r="BV489" s="6">
        <v>1164.8603519999999</v>
      </c>
      <c r="BW489" s="4">
        <v>0.01</v>
      </c>
      <c r="BX489" s="5"/>
      <c r="BY489" s="5"/>
      <c r="BZ489" s="5"/>
      <c r="CA489" s="5"/>
    </row>
    <row r="490" spans="1:79" x14ac:dyDescent="0.3">
      <c r="A490" s="4" t="s">
        <v>298</v>
      </c>
      <c r="B490" s="4">
        <v>0.9</v>
      </c>
      <c r="C490" s="4">
        <v>0.5</v>
      </c>
      <c r="D490" s="4">
        <v>0.6</v>
      </c>
      <c r="E490" s="4">
        <v>0.48</v>
      </c>
      <c r="F490" s="4">
        <v>871.31005900000002</v>
      </c>
      <c r="G490" s="4">
        <v>8.9999999999999993E-3</v>
      </c>
      <c r="I490" s="4" t="s">
        <v>298</v>
      </c>
      <c r="J490" s="4">
        <v>0.9</v>
      </c>
      <c r="K490" s="4">
        <v>0.5</v>
      </c>
      <c r="L490" s="4">
        <v>0.6</v>
      </c>
      <c r="M490" s="4">
        <v>0.3</v>
      </c>
      <c r="N490" s="6">
        <v>798.21234100000004</v>
      </c>
      <c r="O490" s="4">
        <v>4.0000000000000001E-3</v>
      </c>
      <c r="P490" s="5"/>
      <c r="Q490" s="5"/>
      <c r="R490" s="5"/>
      <c r="S490" s="5"/>
      <c r="U490" s="4" t="s">
        <v>298</v>
      </c>
      <c r="V490" s="4">
        <v>0.9</v>
      </c>
      <c r="W490" s="4">
        <v>0.5</v>
      </c>
      <c r="X490" s="4">
        <v>0.6</v>
      </c>
      <c r="Y490" s="4">
        <v>0.9</v>
      </c>
      <c r="Z490" s="4">
        <v>1014.44281</v>
      </c>
      <c r="AA490" s="4">
        <v>4.8000000000000001E-2</v>
      </c>
      <c r="AC490" s="4" t="s">
        <v>298</v>
      </c>
      <c r="AD490" s="4">
        <v>0.9</v>
      </c>
      <c r="AE490" s="4">
        <v>0.5</v>
      </c>
      <c r="AF490" s="4">
        <v>0.6</v>
      </c>
      <c r="AG490" s="4">
        <v>0.31</v>
      </c>
      <c r="AH490" s="6">
        <v>790.79315199999996</v>
      </c>
      <c r="AI490" s="4">
        <v>3.0000000000000001E-3</v>
      </c>
      <c r="AJ490" s="5"/>
      <c r="AK490" s="5"/>
      <c r="AL490" s="5"/>
      <c r="AM490" s="5"/>
      <c r="AO490" s="4" t="s">
        <v>299</v>
      </c>
      <c r="AP490" s="4">
        <v>0.9</v>
      </c>
      <c r="AQ490" s="4">
        <v>0.5</v>
      </c>
      <c r="AR490" s="4">
        <v>0.6</v>
      </c>
      <c r="AS490" s="4">
        <v>0.17</v>
      </c>
      <c r="AT490" s="6">
        <v>1068.7775879999999</v>
      </c>
      <c r="AU490" s="4">
        <v>0.02</v>
      </c>
      <c r="AW490" s="4" t="s">
        <v>299</v>
      </c>
      <c r="AX490" s="4">
        <v>0.9</v>
      </c>
      <c r="AY490" s="4">
        <v>0.5</v>
      </c>
      <c r="AZ490" s="4">
        <v>0.6</v>
      </c>
      <c r="BA490" s="4">
        <v>0.31</v>
      </c>
      <c r="BB490" s="4">
        <v>1197.708862</v>
      </c>
      <c r="BC490" s="4">
        <v>1.2E-2</v>
      </c>
      <c r="BD490" s="5"/>
      <c r="BE490" s="5"/>
      <c r="BF490" s="5"/>
      <c r="BG490" s="5"/>
      <c r="BI490" s="4" t="s">
        <v>299</v>
      </c>
      <c r="BJ490" s="4">
        <v>0.9</v>
      </c>
      <c r="BK490" s="4">
        <v>0.5</v>
      </c>
      <c r="BL490" s="4">
        <v>0.6</v>
      </c>
      <c r="BM490" s="4">
        <v>0.52</v>
      </c>
      <c r="BN490" s="4">
        <v>1334.4820560000001</v>
      </c>
      <c r="BO490" s="4">
        <v>3.6999999999999998E-2</v>
      </c>
      <c r="BQ490" s="4" t="s">
        <v>299</v>
      </c>
      <c r="BR490" s="4">
        <v>0.9</v>
      </c>
      <c r="BS490" s="4">
        <v>0.5</v>
      </c>
      <c r="BT490" s="4">
        <v>0.6</v>
      </c>
      <c r="BU490" s="4">
        <v>0.3</v>
      </c>
      <c r="BV490" s="6">
        <v>1205.012939</v>
      </c>
      <c r="BW490" s="4">
        <v>0.01</v>
      </c>
      <c r="BX490" s="5"/>
      <c r="BY490" s="5"/>
      <c r="BZ490" s="5"/>
      <c r="CA490" s="5"/>
    </row>
    <row r="491" spans="1:79" x14ac:dyDescent="0.3">
      <c r="A491" s="4" t="s">
        <v>300</v>
      </c>
      <c r="B491" s="4">
        <v>0.9</v>
      </c>
      <c r="C491" s="4">
        <v>0.5</v>
      </c>
      <c r="D491" s="4">
        <v>0.6</v>
      </c>
      <c r="E491" s="4">
        <v>0.53</v>
      </c>
      <c r="F491" s="4">
        <v>943.61340299999995</v>
      </c>
      <c r="G491" s="4">
        <v>1.2E-2</v>
      </c>
      <c r="I491" s="4" t="s">
        <v>300</v>
      </c>
      <c r="J491" s="4">
        <v>0.9</v>
      </c>
      <c r="K491" s="4">
        <v>0.5</v>
      </c>
      <c r="L491" s="4">
        <v>0.6</v>
      </c>
      <c r="M491" s="4">
        <v>0.3</v>
      </c>
      <c r="N491" s="6">
        <v>868.07818599999996</v>
      </c>
      <c r="O491" s="4">
        <v>3.0000000000000001E-3</v>
      </c>
      <c r="P491" s="5"/>
      <c r="Q491" s="5"/>
      <c r="R491" s="5"/>
      <c r="S491" s="5"/>
      <c r="U491" s="4" t="s">
        <v>300</v>
      </c>
      <c r="V491" s="4">
        <v>0.9</v>
      </c>
      <c r="W491" s="4">
        <v>0.5</v>
      </c>
      <c r="X491" s="4">
        <v>0.6</v>
      </c>
      <c r="Y491" s="4">
        <v>0.4</v>
      </c>
      <c r="Z491" s="4">
        <v>893.27795400000002</v>
      </c>
      <c r="AA491" s="4">
        <v>2.8000000000000001E-2</v>
      </c>
      <c r="AC491" s="4" t="s">
        <v>300</v>
      </c>
      <c r="AD491" s="4">
        <v>0.9</v>
      </c>
      <c r="AE491" s="4">
        <v>0.5</v>
      </c>
      <c r="AF491" s="4">
        <v>0.6</v>
      </c>
      <c r="AG491" s="4">
        <v>0.34</v>
      </c>
      <c r="AH491" s="6">
        <v>861.31701699999996</v>
      </c>
      <c r="AI491" s="4">
        <v>3.0000000000000001E-3</v>
      </c>
      <c r="AJ491" s="5"/>
      <c r="AK491" s="5"/>
      <c r="AL491" s="5"/>
      <c r="AM491" s="5"/>
      <c r="AO491" s="4" t="s">
        <v>301</v>
      </c>
      <c r="AP491" s="4">
        <v>0.9</v>
      </c>
      <c r="AQ491" s="4">
        <v>0.5</v>
      </c>
      <c r="AR491" s="4">
        <v>0.6</v>
      </c>
      <c r="AS491" s="4">
        <v>0.89</v>
      </c>
      <c r="AT491" s="4">
        <v>1472.2438959999999</v>
      </c>
      <c r="AU491" s="4">
        <v>1.6E-2</v>
      </c>
      <c r="AW491" s="4" t="s">
        <v>301</v>
      </c>
      <c r="AX491" s="4">
        <v>0.9</v>
      </c>
      <c r="AY491" s="4">
        <v>0.5</v>
      </c>
      <c r="AZ491" s="4">
        <v>0.6</v>
      </c>
      <c r="BA491" s="4">
        <v>0.3</v>
      </c>
      <c r="BB491" s="6">
        <v>1192.068237</v>
      </c>
      <c r="BC491" s="4">
        <v>1.6E-2</v>
      </c>
      <c r="BD491" s="5"/>
      <c r="BE491" s="5"/>
      <c r="BF491" s="5"/>
      <c r="BG491" s="5"/>
      <c r="BI491" s="4" t="s">
        <v>301</v>
      </c>
      <c r="BJ491" s="4">
        <v>0.9</v>
      </c>
      <c r="BK491" s="4">
        <v>0.5</v>
      </c>
      <c r="BL491" s="4">
        <v>0.6</v>
      </c>
      <c r="BM491" s="4">
        <v>0.91</v>
      </c>
      <c r="BN491" s="4">
        <v>1490.153687</v>
      </c>
      <c r="BO491" s="4">
        <v>1.7999999999999999E-2</v>
      </c>
      <c r="BQ491" s="4" t="s">
        <v>301</v>
      </c>
      <c r="BR491" s="4">
        <v>0.9</v>
      </c>
      <c r="BS491" s="4">
        <v>0.5</v>
      </c>
      <c r="BT491" s="4">
        <v>0.6</v>
      </c>
      <c r="BU491" s="4">
        <v>0.31</v>
      </c>
      <c r="BV491" s="6">
        <v>1175.271362</v>
      </c>
      <c r="BW491" s="4">
        <v>0.01</v>
      </c>
      <c r="BX491" s="5"/>
      <c r="BY491" s="5"/>
      <c r="BZ491" s="5"/>
      <c r="CA491" s="5"/>
    </row>
    <row r="492" spans="1:79" x14ac:dyDescent="0.3">
      <c r="A492" s="4" t="s">
        <v>302</v>
      </c>
      <c r="B492" s="4">
        <v>0.9</v>
      </c>
      <c r="C492" s="4">
        <v>0.5</v>
      </c>
      <c r="D492" s="4">
        <v>0.6</v>
      </c>
      <c r="E492" s="4">
        <v>0.23</v>
      </c>
      <c r="F492" s="6">
        <v>768.14154099999996</v>
      </c>
      <c r="G492" s="4">
        <v>3.2000000000000001E-2</v>
      </c>
      <c r="I492" s="4" t="s">
        <v>302</v>
      </c>
      <c r="J492" s="4">
        <v>0.9</v>
      </c>
      <c r="K492" s="4">
        <v>0.5</v>
      </c>
      <c r="L492" s="4">
        <v>0.6</v>
      </c>
      <c r="M492" s="4">
        <v>0.33</v>
      </c>
      <c r="N492" s="4">
        <v>793.82922399999995</v>
      </c>
      <c r="O492" s="4">
        <v>6.0000000000000001E-3</v>
      </c>
      <c r="P492" s="5"/>
      <c r="Q492" s="5"/>
      <c r="R492" s="5"/>
      <c r="S492" s="5"/>
      <c r="U492" s="4" t="s">
        <v>302</v>
      </c>
      <c r="V492" s="4">
        <v>0.9</v>
      </c>
      <c r="W492" s="4">
        <v>0.5</v>
      </c>
      <c r="X492" s="4">
        <v>0.6</v>
      </c>
      <c r="Y492" s="4">
        <v>0.92</v>
      </c>
      <c r="Z492" s="4">
        <v>1009.967041</v>
      </c>
      <c r="AA492" s="4">
        <v>1.9E-2</v>
      </c>
      <c r="AC492" s="4" t="s">
        <v>302</v>
      </c>
      <c r="AD492" s="4">
        <v>0.9</v>
      </c>
      <c r="AE492" s="4">
        <v>0.5</v>
      </c>
      <c r="AF492" s="4">
        <v>0.6</v>
      </c>
      <c r="AG492" s="4">
        <v>0.37</v>
      </c>
      <c r="AH492" s="6">
        <v>833.92767300000003</v>
      </c>
      <c r="AI492" s="4">
        <v>3.0000000000000001E-3</v>
      </c>
      <c r="AJ492" s="5"/>
      <c r="AK492" s="5"/>
      <c r="AL492" s="5"/>
      <c r="AM492" s="5"/>
      <c r="AO492" s="4" t="s">
        <v>303</v>
      </c>
      <c r="AP492" s="4">
        <v>0.9</v>
      </c>
      <c r="AQ492" s="4">
        <v>0.5</v>
      </c>
      <c r="AR492" s="4">
        <v>0.6</v>
      </c>
      <c r="AS492" s="4">
        <v>0.45</v>
      </c>
      <c r="AT492" s="4">
        <v>1207.9486079999999</v>
      </c>
      <c r="AU492" s="4">
        <v>2.5999999999999999E-2</v>
      </c>
      <c r="AW492" s="4" t="s">
        <v>303</v>
      </c>
      <c r="AX492" s="4">
        <v>0.9</v>
      </c>
      <c r="AY492" s="4">
        <v>0.5</v>
      </c>
      <c r="AZ492" s="4">
        <v>0.6</v>
      </c>
      <c r="BA492" s="4">
        <v>0.3</v>
      </c>
      <c r="BB492" s="6">
        <v>1155.9343260000001</v>
      </c>
      <c r="BC492" s="4">
        <v>1.4999999999999999E-2</v>
      </c>
      <c r="BD492" s="5"/>
      <c r="BE492" s="5"/>
      <c r="BF492" s="5"/>
      <c r="BG492" s="5"/>
      <c r="BI492" s="4" t="s">
        <v>303</v>
      </c>
      <c r="BJ492" s="4">
        <v>0.9</v>
      </c>
      <c r="BK492" s="4">
        <v>0.5</v>
      </c>
      <c r="BL492" s="4">
        <v>0.6</v>
      </c>
      <c r="BM492" s="4">
        <v>0.53</v>
      </c>
      <c r="BN492" s="4">
        <v>1282.1883539999999</v>
      </c>
      <c r="BO492" s="4">
        <v>2.8000000000000001E-2</v>
      </c>
      <c r="BQ492" s="4" t="s">
        <v>303</v>
      </c>
      <c r="BR492" s="4">
        <v>0.9</v>
      </c>
      <c r="BS492" s="4">
        <v>0.5</v>
      </c>
      <c r="BT492" s="4">
        <v>0.6</v>
      </c>
      <c r="BU492" s="4">
        <v>0.3</v>
      </c>
      <c r="BV492" s="6">
        <v>1160.2508539999999</v>
      </c>
      <c r="BW492" s="4">
        <v>1.0999999999999999E-2</v>
      </c>
      <c r="BX492" s="5"/>
      <c r="BY492" s="5"/>
      <c r="BZ492" s="5"/>
      <c r="CA492" s="5"/>
    </row>
    <row r="493" spans="1:79" x14ac:dyDescent="0.3">
      <c r="A493" s="4" t="s">
        <v>304</v>
      </c>
      <c r="B493" s="4">
        <v>0.9</v>
      </c>
      <c r="C493" s="4">
        <v>0.5</v>
      </c>
      <c r="D493" s="4">
        <v>0.6</v>
      </c>
      <c r="E493" s="4">
        <v>0.56999999999999995</v>
      </c>
      <c r="F493" s="4">
        <v>1043.3304439999999</v>
      </c>
      <c r="G493" s="4">
        <v>0.02</v>
      </c>
      <c r="I493" s="4" t="s">
        <v>304</v>
      </c>
      <c r="J493" s="4">
        <v>0.9</v>
      </c>
      <c r="K493" s="4">
        <v>0.5</v>
      </c>
      <c r="L493" s="4">
        <v>0.6</v>
      </c>
      <c r="M493" s="4">
        <v>0.32</v>
      </c>
      <c r="N493" s="6">
        <v>929.91241500000001</v>
      </c>
      <c r="O493" s="4">
        <v>4.0000000000000001E-3</v>
      </c>
      <c r="P493" s="5"/>
      <c r="Q493" s="5"/>
      <c r="R493" s="5"/>
      <c r="S493" s="5"/>
      <c r="U493" s="4" t="s">
        <v>304</v>
      </c>
      <c r="V493" s="4">
        <v>0.9</v>
      </c>
      <c r="W493" s="4">
        <v>0.5</v>
      </c>
      <c r="X493" s="4">
        <v>0.6</v>
      </c>
      <c r="Y493" s="4">
        <v>0.32</v>
      </c>
      <c r="Z493" s="4">
        <v>911.64007600000002</v>
      </c>
      <c r="AA493" s="4">
        <v>1.0999999999999999E-2</v>
      </c>
      <c r="AC493" s="4" t="s">
        <v>304</v>
      </c>
      <c r="AD493" s="4">
        <v>0.9</v>
      </c>
      <c r="AE493" s="4">
        <v>0.5</v>
      </c>
      <c r="AF493" s="4">
        <v>0.6</v>
      </c>
      <c r="AG493" s="4">
        <v>0.3</v>
      </c>
      <c r="AH493" s="6">
        <v>906.12994400000002</v>
      </c>
      <c r="AI493" s="4">
        <v>3.0000000000000001E-3</v>
      </c>
      <c r="AJ493" s="5"/>
      <c r="AK493" s="5"/>
      <c r="AL493" s="5"/>
      <c r="AM493" s="5"/>
      <c r="AO493" s="4" t="s">
        <v>305</v>
      </c>
      <c r="AP493" s="4">
        <v>0.9</v>
      </c>
      <c r="AQ493" s="4">
        <v>0.5</v>
      </c>
      <c r="AR493" s="4">
        <v>0.6</v>
      </c>
      <c r="AS493" s="4">
        <v>0.04</v>
      </c>
      <c r="AT493" s="6">
        <v>952.83074999999997</v>
      </c>
      <c r="AU493" s="4">
        <v>2.8000000000000001E-2</v>
      </c>
      <c r="AW493" s="4" t="s">
        <v>305</v>
      </c>
      <c r="AX493" s="4">
        <v>0.9</v>
      </c>
      <c r="AY493" s="4">
        <v>0.5</v>
      </c>
      <c r="AZ493" s="4">
        <v>0.6</v>
      </c>
      <c r="BA493" s="4">
        <v>0.3</v>
      </c>
      <c r="BB493" s="4">
        <v>1188.4019780000001</v>
      </c>
      <c r="BC493" s="4">
        <v>1.4E-2</v>
      </c>
      <c r="BD493" s="5"/>
      <c r="BE493" s="5"/>
      <c r="BF493" s="5"/>
      <c r="BG493" s="5"/>
      <c r="BI493" s="4" t="s">
        <v>305</v>
      </c>
      <c r="BJ493" s="4">
        <v>0.9</v>
      </c>
      <c r="BK493" s="4">
        <v>0.5</v>
      </c>
      <c r="BL493" s="4">
        <v>0.6</v>
      </c>
      <c r="BM493" s="4">
        <v>0.16</v>
      </c>
      <c r="BN493" s="6">
        <v>1046.0688479999999</v>
      </c>
      <c r="BO493" s="4">
        <v>3.3000000000000002E-2</v>
      </c>
      <c r="BQ493" s="4" t="s">
        <v>305</v>
      </c>
      <c r="BR493" s="4">
        <v>0.9</v>
      </c>
      <c r="BS493" s="4">
        <v>0.5</v>
      </c>
      <c r="BT493" s="4">
        <v>0.6</v>
      </c>
      <c r="BU493" s="4">
        <v>0.31</v>
      </c>
      <c r="BV493" s="4">
        <v>1205.322876</v>
      </c>
      <c r="BW493" s="4">
        <v>1.2E-2</v>
      </c>
      <c r="BX493" s="5"/>
      <c r="BY493" s="5"/>
      <c r="BZ493" s="5"/>
      <c r="CA493" s="5"/>
    </row>
    <row r="494" spans="1:79" x14ac:dyDescent="0.3">
      <c r="A494" s="4" t="s">
        <v>306</v>
      </c>
      <c r="B494" s="4">
        <v>0.9</v>
      </c>
      <c r="C494" s="4">
        <v>0.5</v>
      </c>
      <c r="D494" s="4">
        <v>0.6</v>
      </c>
      <c r="E494" s="4">
        <v>0.7</v>
      </c>
      <c r="F494" s="4">
        <v>1091.0390620000001</v>
      </c>
      <c r="G494" s="4">
        <v>2.3E-2</v>
      </c>
      <c r="I494" s="4" t="s">
        <v>306</v>
      </c>
      <c r="J494" s="4">
        <v>0.9</v>
      </c>
      <c r="K494" s="4">
        <v>0.5</v>
      </c>
      <c r="L494" s="4">
        <v>0.6</v>
      </c>
      <c r="M494" s="4">
        <v>0.36</v>
      </c>
      <c r="N494" s="6">
        <v>957.875</v>
      </c>
      <c r="O494" s="4">
        <v>7.0000000000000001E-3</v>
      </c>
      <c r="P494" s="5"/>
      <c r="Q494" s="5"/>
      <c r="R494" s="5"/>
      <c r="S494" s="5"/>
      <c r="U494" s="4" t="s">
        <v>306</v>
      </c>
      <c r="V494" s="4">
        <v>0.9</v>
      </c>
      <c r="W494" s="4">
        <v>0.5</v>
      </c>
      <c r="X494" s="4">
        <v>0.6</v>
      </c>
      <c r="Y494" s="4">
        <v>0.12</v>
      </c>
      <c r="Z494" s="6">
        <v>807.31396500000005</v>
      </c>
      <c r="AA494" s="4">
        <v>0.03</v>
      </c>
      <c r="AC494" s="4" t="s">
        <v>306</v>
      </c>
      <c r="AD494" s="4">
        <v>0.9</v>
      </c>
      <c r="AE494" s="4">
        <v>0.5</v>
      </c>
      <c r="AF494" s="4">
        <v>0.6</v>
      </c>
      <c r="AG494" s="4">
        <v>0.32</v>
      </c>
      <c r="AH494" s="4">
        <v>919.946777</v>
      </c>
      <c r="AI494" s="4">
        <v>4.0000000000000001E-3</v>
      </c>
      <c r="AJ494" s="5"/>
      <c r="AK494" s="5"/>
      <c r="AL494" s="5"/>
      <c r="AM494" s="5"/>
      <c r="AO494" s="4" t="s">
        <v>307</v>
      </c>
      <c r="AP494" s="4">
        <v>0.9</v>
      </c>
      <c r="AQ494" s="4">
        <v>0.5</v>
      </c>
      <c r="AR494" s="4">
        <v>0.6</v>
      </c>
      <c r="AS494" s="4">
        <v>0.47</v>
      </c>
      <c r="AT494" s="4">
        <v>1259.8138429999999</v>
      </c>
      <c r="AU494" s="4">
        <v>1.7999999999999999E-2</v>
      </c>
      <c r="AW494" s="4" t="s">
        <v>307</v>
      </c>
      <c r="AX494" s="4">
        <v>0.9</v>
      </c>
      <c r="AY494" s="4">
        <v>0.5</v>
      </c>
      <c r="AZ494" s="4">
        <v>0.6</v>
      </c>
      <c r="BA494" s="4">
        <v>0.31</v>
      </c>
      <c r="BB494" s="6">
        <v>1168.204712</v>
      </c>
      <c r="BC494" s="4">
        <v>1.7000000000000001E-2</v>
      </c>
      <c r="BD494" s="5"/>
      <c r="BE494" s="5"/>
      <c r="BF494" s="5"/>
      <c r="BG494" s="5"/>
      <c r="BI494" s="4" t="s">
        <v>307</v>
      </c>
      <c r="BJ494" s="4">
        <v>0.9</v>
      </c>
      <c r="BK494" s="4">
        <v>0.5</v>
      </c>
      <c r="BL494" s="4">
        <v>0.6</v>
      </c>
      <c r="BM494" s="4">
        <v>0.56000000000000005</v>
      </c>
      <c r="BN494" s="4">
        <v>1301.818115</v>
      </c>
      <c r="BO494" s="4">
        <v>2.1999999999999999E-2</v>
      </c>
      <c r="BQ494" s="4" t="s">
        <v>307</v>
      </c>
      <c r="BR494" s="4">
        <v>0.9</v>
      </c>
      <c r="BS494" s="4">
        <v>0.5</v>
      </c>
      <c r="BT494" s="4">
        <v>0.6</v>
      </c>
      <c r="BU494" s="4">
        <v>0.33</v>
      </c>
      <c r="BV494" s="6">
        <v>1167.3831789999999</v>
      </c>
      <c r="BW494" s="4">
        <v>0.01</v>
      </c>
      <c r="BX494" s="5"/>
      <c r="BY494" s="5"/>
      <c r="BZ494" s="5"/>
      <c r="CA494" s="5"/>
    </row>
    <row r="495" spans="1:79" x14ac:dyDescent="0.3">
      <c r="A495" s="4" t="s">
        <v>308</v>
      </c>
      <c r="B495" s="4">
        <v>0.9</v>
      </c>
      <c r="C495" s="4">
        <v>0.5</v>
      </c>
      <c r="D495" s="4">
        <v>0.6</v>
      </c>
      <c r="E495" s="4">
        <v>0.77</v>
      </c>
      <c r="F495" s="4">
        <v>1087.588379</v>
      </c>
      <c r="G495" s="4">
        <v>2.4E-2</v>
      </c>
      <c r="I495" s="4" t="s">
        <v>308</v>
      </c>
      <c r="J495" s="4">
        <v>0.9</v>
      </c>
      <c r="K495" s="4">
        <v>0.5</v>
      </c>
      <c r="L495" s="4">
        <v>0.6</v>
      </c>
      <c r="M495" s="4">
        <v>0.34</v>
      </c>
      <c r="N495" s="6">
        <v>954.61773700000003</v>
      </c>
      <c r="O495" s="4">
        <v>4.0000000000000001E-3</v>
      </c>
      <c r="P495" s="5"/>
      <c r="Q495" s="5"/>
      <c r="R495" s="5"/>
      <c r="S495" s="5"/>
      <c r="U495" s="4" t="s">
        <v>308</v>
      </c>
      <c r="V495" s="4">
        <v>0.9</v>
      </c>
      <c r="W495" s="4">
        <v>0.5</v>
      </c>
      <c r="X495" s="4">
        <v>0.6</v>
      </c>
      <c r="Y495" s="4">
        <v>0.4</v>
      </c>
      <c r="Z495" s="4">
        <v>966.30835000000002</v>
      </c>
      <c r="AA495" s="4">
        <v>2.4E-2</v>
      </c>
      <c r="AC495" s="4" t="s">
        <v>308</v>
      </c>
      <c r="AD495" s="4">
        <v>0.9</v>
      </c>
      <c r="AE495" s="4">
        <v>0.5</v>
      </c>
      <c r="AF495" s="4">
        <v>0.6</v>
      </c>
      <c r="AG495" s="4">
        <v>0.32</v>
      </c>
      <c r="AH495" s="6">
        <v>931.02593999999999</v>
      </c>
      <c r="AI495" s="4">
        <v>4.0000000000000001E-3</v>
      </c>
      <c r="AJ495" s="5"/>
      <c r="AK495" s="5"/>
      <c r="AL495" s="5"/>
      <c r="AM495" s="5"/>
      <c r="AO495" s="4" t="s">
        <v>309</v>
      </c>
      <c r="AP495" s="4">
        <v>0.9</v>
      </c>
      <c r="AQ495" s="4">
        <v>0.5</v>
      </c>
      <c r="AR495" s="4">
        <v>0.6</v>
      </c>
      <c r="AS495" s="4">
        <v>0.43</v>
      </c>
      <c r="AT495" s="4">
        <v>1245.06897</v>
      </c>
      <c r="AU495" s="4">
        <v>2.8000000000000001E-2</v>
      </c>
      <c r="AW495" s="4" t="s">
        <v>309</v>
      </c>
      <c r="AX495" s="4">
        <v>0.9</v>
      </c>
      <c r="AY495" s="4">
        <v>0.5</v>
      </c>
      <c r="AZ495" s="4">
        <v>0.6</v>
      </c>
      <c r="BA495" s="4">
        <v>0.3</v>
      </c>
      <c r="BB495" s="6">
        <v>1154.349365</v>
      </c>
      <c r="BC495" s="4">
        <v>1.0999999999999999E-2</v>
      </c>
      <c r="BD495" s="5"/>
      <c r="BE495" s="5"/>
      <c r="BF495" s="5"/>
      <c r="BG495" s="5"/>
      <c r="BI495" s="4" t="s">
        <v>309</v>
      </c>
      <c r="BJ495" s="4">
        <v>0.9</v>
      </c>
      <c r="BK495" s="4">
        <v>0.5</v>
      </c>
      <c r="BL495" s="4">
        <v>0.6</v>
      </c>
      <c r="BM495" s="4">
        <v>0.76</v>
      </c>
      <c r="BN495" s="4">
        <v>1489.337524</v>
      </c>
      <c r="BO495" s="4">
        <v>1.9E-2</v>
      </c>
      <c r="BQ495" s="4" t="s">
        <v>309</v>
      </c>
      <c r="BR495" s="4">
        <v>0.9</v>
      </c>
      <c r="BS495" s="4">
        <v>0.5</v>
      </c>
      <c r="BT495" s="4">
        <v>0.6</v>
      </c>
      <c r="BU495" s="4">
        <v>0.33</v>
      </c>
      <c r="BV495" s="6">
        <v>1197.0397949999999</v>
      </c>
      <c r="BW495" s="4">
        <v>1.0999999999999999E-2</v>
      </c>
      <c r="BX495" s="5"/>
      <c r="BY495" s="5"/>
      <c r="BZ495" s="5"/>
      <c r="CA495" s="5"/>
    </row>
    <row r="496" spans="1:79" x14ac:dyDescent="0.3">
      <c r="A496" s="4" t="s">
        <v>310</v>
      </c>
      <c r="B496" s="4">
        <v>0.9</v>
      </c>
      <c r="C496" s="4">
        <v>0.5</v>
      </c>
      <c r="D496" s="4">
        <v>0.6</v>
      </c>
      <c r="E496" s="4">
        <v>0.03</v>
      </c>
      <c r="F496" s="6">
        <v>809.33795199999997</v>
      </c>
      <c r="G496" s="4">
        <v>1.2E-2</v>
      </c>
      <c r="I496" s="4" t="s">
        <v>310</v>
      </c>
      <c r="J496" s="4">
        <v>0.9</v>
      </c>
      <c r="K496" s="4">
        <v>0.5</v>
      </c>
      <c r="L496" s="4">
        <v>0.6</v>
      </c>
      <c r="M496" s="4">
        <v>0.3</v>
      </c>
      <c r="N496" s="4">
        <v>928.96258499999999</v>
      </c>
      <c r="O496" s="4">
        <v>8.0000000000000002E-3</v>
      </c>
      <c r="P496" s="5"/>
      <c r="Q496" s="5"/>
      <c r="R496" s="5"/>
      <c r="S496" s="5"/>
      <c r="U496" s="4" t="s">
        <v>310</v>
      </c>
      <c r="V496" s="4">
        <v>0.9</v>
      </c>
      <c r="W496" s="4">
        <v>0.5</v>
      </c>
      <c r="X496" s="4">
        <v>0.6</v>
      </c>
      <c r="Y496" s="4">
        <v>0.18</v>
      </c>
      <c r="Z496" s="6">
        <v>776.28375200000005</v>
      </c>
      <c r="AA496" s="4">
        <v>2.4E-2</v>
      </c>
      <c r="AC496" s="4" t="s">
        <v>310</v>
      </c>
      <c r="AD496" s="4">
        <v>0.9</v>
      </c>
      <c r="AE496" s="4">
        <v>0.5</v>
      </c>
      <c r="AF496" s="4">
        <v>0.6</v>
      </c>
      <c r="AG496" s="4">
        <v>0.33</v>
      </c>
      <c r="AH496" s="4">
        <v>908.57861300000002</v>
      </c>
      <c r="AI496" s="4">
        <v>4.0000000000000001E-3</v>
      </c>
      <c r="AJ496" s="5"/>
      <c r="AK496" s="5"/>
      <c r="AL496" s="5"/>
      <c r="AM496" s="5"/>
      <c r="AO496" s="4" t="s">
        <v>311</v>
      </c>
      <c r="AP496" s="4">
        <v>0.9</v>
      </c>
      <c r="AQ496" s="4">
        <v>0.5</v>
      </c>
      <c r="AR496" s="4">
        <v>0.6</v>
      </c>
      <c r="AS496" s="4">
        <v>0.28999999999999998</v>
      </c>
      <c r="AT496" s="6">
        <v>1191.434692</v>
      </c>
      <c r="AU496" s="4">
        <v>1.9E-2</v>
      </c>
      <c r="AW496" s="4" t="s">
        <v>311</v>
      </c>
      <c r="AX496" s="4">
        <v>0.9</v>
      </c>
      <c r="AY496" s="4">
        <v>0.5</v>
      </c>
      <c r="AZ496" s="4">
        <v>0.6</v>
      </c>
      <c r="BA496" s="4">
        <v>0.3</v>
      </c>
      <c r="BB496" s="4">
        <v>1223.0201420000001</v>
      </c>
      <c r="BC496" s="4">
        <v>0.01</v>
      </c>
      <c r="BD496" s="5"/>
      <c r="BE496" s="5"/>
      <c r="BF496" s="5"/>
      <c r="BG496" s="5"/>
      <c r="BI496" s="4" t="s">
        <v>311</v>
      </c>
      <c r="BJ496" s="4">
        <v>0.9</v>
      </c>
      <c r="BK496" s="4">
        <v>0.5</v>
      </c>
      <c r="BL496" s="4">
        <v>0.6</v>
      </c>
      <c r="BM496" s="4">
        <v>0.74</v>
      </c>
      <c r="BN496" s="4">
        <v>1463.5189210000001</v>
      </c>
      <c r="BO496" s="4">
        <v>0.03</v>
      </c>
      <c r="BQ496" s="4" t="s">
        <v>311</v>
      </c>
      <c r="BR496" s="4">
        <v>0.9</v>
      </c>
      <c r="BS496" s="4">
        <v>0.5</v>
      </c>
      <c r="BT496" s="4">
        <v>0.6</v>
      </c>
      <c r="BU496" s="4">
        <v>0.32</v>
      </c>
      <c r="BV496" s="6">
        <v>1228.051025</v>
      </c>
      <c r="BW496" s="4">
        <v>0.01</v>
      </c>
      <c r="BX496" s="5"/>
      <c r="BY496" s="5"/>
      <c r="BZ496" s="5"/>
      <c r="CA496" s="5"/>
    </row>
    <row r="497" spans="1:79" x14ac:dyDescent="0.3">
      <c r="A497" s="4" t="s">
        <v>312</v>
      </c>
      <c r="B497" s="4">
        <v>0.9</v>
      </c>
      <c r="C497" s="4">
        <v>0.5</v>
      </c>
      <c r="D497" s="4">
        <v>0.6</v>
      </c>
      <c r="E497" s="4">
        <v>0.04</v>
      </c>
      <c r="F497" s="6">
        <v>708.56121800000005</v>
      </c>
      <c r="G497" s="4">
        <v>2.7E-2</v>
      </c>
      <c r="I497" s="4" t="s">
        <v>312</v>
      </c>
      <c r="J497" s="4">
        <v>0.9</v>
      </c>
      <c r="K497" s="4">
        <v>0.5</v>
      </c>
      <c r="L497" s="4">
        <v>0.6</v>
      </c>
      <c r="M497" s="4">
        <v>0.3</v>
      </c>
      <c r="N497" s="4">
        <v>889.36700399999995</v>
      </c>
      <c r="O497" s="4">
        <v>6.0000000000000001E-3</v>
      </c>
      <c r="P497" s="5"/>
      <c r="Q497" s="5"/>
      <c r="R497" s="5"/>
      <c r="S497" s="5"/>
      <c r="U497" s="4" t="s">
        <v>312</v>
      </c>
      <c r="V497" s="4">
        <v>0.9</v>
      </c>
      <c r="W497" s="4">
        <v>0.5</v>
      </c>
      <c r="X497" s="4">
        <v>0.6</v>
      </c>
      <c r="Y497" s="4">
        <v>0.53</v>
      </c>
      <c r="Z497" s="4">
        <v>966.95788600000003</v>
      </c>
      <c r="AA497" s="4">
        <v>4.1000000000000002E-2</v>
      </c>
      <c r="AC497" s="4" t="s">
        <v>312</v>
      </c>
      <c r="AD497" s="4">
        <v>0.9</v>
      </c>
      <c r="AE497" s="4">
        <v>0.5</v>
      </c>
      <c r="AF497" s="4">
        <v>0.6</v>
      </c>
      <c r="AG497" s="4">
        <v>0.31</v>
      </c>
      <c r="AH497" s="6">
        <v>867.36395300000004</v>
      </c>
      <c r="AI497" s="4">
        <v>3.0000000000000001E-3</v>
      </c>
      <c r="AJ497" s="5"/>
      <c r="AK497" s="5"/>
      <c r="AL497" s="5"/>
      <c r="AM497" s="5"/>
      <c r="AO497" s="4" t="s">
        <v>313</v>
      </c>
      <c r="AP497" s="4">
        <v>0.9</v>
      </c>
      <c r="AQ497" s="4">
        <v>0.5</v>
      </c>
      <c r="AR497" s="4">
        <v>0.6</v>
      </c>
      <c r="AS497" s="4">
        <v>0.75</v>
      </c>
      <c r="AT497" s="4">
        <v>1429.7921140000001</v>
      </c>
      <c r="AU497" s="4">
        <v>1.6E-2</v>
      </c>
      <c r="AW497" s="4" t="s">
        <v>313</v>
      </c>
      <c r="AX497" s="4">
        <v>0.9</v>
      </c>
      <c r="AY497" s="4">
        <v>0.5</v>
      </c>
      <c r="AZ497" s="4">
        <v>0.6</v>
      </c>
      <c r="BA497" s="4">
        <v>0.31</v>
      </c>
      <c r="BB497" s="6">
        <v>1207.748169</v>
      </c>
      <c r="BC497" s="4">
        <v>8.9999999999999993E-3</v>
      </c>
      <c r="BD497" s="5"/>
      <c r="BE497" s="5"/>
      <c r="BF497" s="5"/>
      <c r="BG497" s="5"/>
      <c r="BI497" s="4" t="s">
        <v>313</v>
      </c>
      <c r="BJ497" s="4">
        <v>0.9</v>
      </c>
      <c r="BK497" s="4">
        <v>0.5</v>
      </c>
      <c r="BL497" s="4">
        <v>0.6</v>
      </c>
      <c r="BM497" s="4">
        <v>0.47</v>
      </c>
      <c r="BN497" s="4">
        <v>1278.543457</v>
      </c>
      <c r="BO497" s="4">
        <v>3.3000000000000002E-2</v>
      </c>
      <c r="BQ497" s="4" t="s">
        <v>313</v>
      </c>
      <c r="BR497" s="4">
        <v>0.9</v>
      </c>
      <c r="BS497" s="4">
        <v>0.5</v>
      </c>
      <c r="BT497" s="4">
        <v>0.6</v>
      </c>
      <c r="BU497" s="4">
        <v>0.3</v>
      </c>
      <c r="BV497" s="6">
        <v>1200.739624</v>
      </c>
      <c r="BW497" s="4">
        <v>8.9999999999999993E-3</v>
      </c>
      <c r="BX497" s="5"/>
      <c r="BY497" s="5"/>
      <c r="BZ497" s="5"/>
      <c r="CA497" s="5"/>
    </row>
    <row r="498" spans="1:79" x14ac:dyDescent="0.3">
      <c r="A498" s="14" t="s">
        <v>316</v>
      </c>
      <c r="E498" s="14">
        <f>AVERAGE(E468:E497)</f>
        <v>0.51466666666666661</v>
      </c>
      <c r="I498" s="14" t="s">
        <v>316</v>
      </c>
      <c r="M498" s="14">
        <f>AVERAGE(M468:M497)</f>
        <v>0.31599999999999995</v>
      </c>
      <c r="P498" s="5"/>
      <c r="Q498" s="5"/>
      <c r="R498" s="5"/>
      <c r="S498" s="5"/>
      <c r="U498" s="14" t="s">
        <v>316</v>
      </c>
      <c r="Y498" s="14">
        <f>AVERAGE(Y468:Y497)</f>
        <v>0.46633333333333327</v>
      </c>
      <c r="AC498" s="14" t="s">
        <v>316</v>
      </c>
      <c r="AG498" s="14">
        <f>AVERAGE(AG468:AG497)</f>
        <v>0.31766666666666665</v>
      </c>
      <c r="AJ498" s="5"/>
      <c r="AK498" s="5"/>
      <c r="AL498" s="5"/>
      <c r="AM498" s="5"/>
      <c r="AO498" s="14" t="s">
        <v>316</v>
      </c>
      <c r="AS498" s="14">
        <f>AVERAGE(AS468:AS497)</f>
        <v>0.53033333333333332</v>
      </c>
      <c r="AW498" s="14" t="s">
        <v>316</v>
      </c>
      <c r="BA498" s="14">
        <f>AVERAGE(BA468:BA497)</f>
        <v>0.30733333333333335</v>
      </c>
      <c r="BD498" s="5"/>
      <c r="BE498" s="5"/>
      <c r="BF498" s="5"/>
      <c r="BG498" s="5"/>
      <c r="BI498" s="14" t="s">
        <v>316</v>
      </c>
      <c r="BM498" s="14">
        <f>AVERAGE(BM468:BM497)</f>
        <v>0.39566666666666667</v>
      </c>
      <c r="BQ498" s="14" t="s">
        <v>316</v>
      </c>
      <c r="BU498" s="14">
        <f>AVERAGE(BU468:BU497)</f>
        <v>0.3166666666666666</v>
      </c>
      <c r="BX498" s="5"/>
      <c r="BY498" s="5"/>
      <c r="BZ498" s="5"/>
      <c r="CA498" s="5"/>
    </row>
    <row r="499" spans="1:79" x14ac:dyDescent="0.3">
      <c r="P499" s="5"/>
      <c r="Q499" s="5"/>
      <c r="R499" s="5"/>
      <c r="S499" s="5"/>
      <c r="AJ499" s="5"/>
      <c r="AK499" s="5"/>
      <c r="AL499" s="5"/>
      <c r="AM499" s="5"/>
      <c r="BD499" s="5"/>
      <c r="BE499" s="5"/>
      <c r="BF499" s="5"/>
      <c r="BG499" s="5"/>
      <c r="BX499" s="5"/>
      <c r="BY499" s="5"/>
      <c r="BZ499" s="5"/>
      <c r="CA499" s="5"/>
    </row>
    <row r="500" spans="1:79" x14ac:dyDescent="0.3">
      <c r="P500" s="5"/>
      <c r="Q500" s="5"/>
      <c r="R500" s="5"/>
      <c r="S500" s="5"/>
      <c r="AJ500" s="5"/>
      <c r="AK500" s="5"/>
      <c r="AL500" s="5"/>
      <c r="AM500" s="5"/>
      <c r="BD500" s="5"/>
      <c r="BE500" s="5"/>
      <c r="BF500" s="5"/>
      <c r="BG500" s="5"/>
      <c r="BX500" s="5"/>
      <c r="BY500" s="5"/>
      <c r="BZ500" s="5"/>
      <c r="CA500" s="5"/>
    </row>
    <row r="501" spans="1:79" x14ac:dyDescent="0.3">
      <c r="A501" s="24" t="s">
        <v>314</v>
      </c>
      <c r="B501" s="25"/>
      <c r="C501" s="25"/>
      <c r="D501" s="25"/>
      <c r="E501" s="25"/>
      <c r="F501" s="25"/>
      <c r="G501" s="26"/>
      <c r="I501" s="23" t="s">
        <v>314</v>
      </c>
      <c r="J501" s="23"/>
      <c r="K501" s="23"/>
      <c r="L501" s="23"/>
      <c r="M501" s="23"/>
      <c r="N501" s="23"/>
      <c r="O501" s="23"/>
      <c r="P501" s="11"/>
      <c r="Q501" s="11"/>
      <c r="R501" s="11"/>
      <c r="S501" s="11"/>
      <c r="U501" s="24" t="s">
        <v>314</v>
      </c>
      <c r="V501" s="25"/>
      <c r="W501" s="25"/>
      <c r="X501" s="25"/>
      <c r="Y501" s="25"/>
      <c r="Z501" s="25"/>
      <c r="AA501" s="26"/>
      <c r="AC501" s="23" t="s">
        <v>314</v>
      </c>
      <c r="AD501" s="23"/>
      <c r="AE501" s="23"/>
      <c r="AF501" s="23"/>
      <c r="AG501" s="23"/>
      <c r="AH501" s="23"/>
      <c r="AI501" s="23"/>
      <c r="AJ501" s="11"/>
      <c r="AK501" s="11"/>
      <c r="AL501" s="11"/>
      <c r="AM501" s="11"/>
      <c r="AO501" s="24" t="s">
        <v>314</v>
      </c>
      <c r="AP501" s="25"/>
      <c r="AQ501" s="25"/>
      <c r="AR501" s="25"/>
      <c r="AS501" s="25"/>
      <c r="AT501" s="25"/>
      <c r="AU501" s="26"/>
      <c r="AW501" s="23" t="s">
        <v>314</v>
      </c>
      <c r="AX501" s="23"/>
      <c r="AY501" s="23"/>
      <c r="AZ501" s="23"/>
      <c r="BA501" s="23"/>
      <c r="BB501" s="23"/>
      <c r="BC501" s="23"/>
      <c r="BD501" s="11"/>
      <c r="BE501" s="11"/>
      <c r="BF501" s="11"/>
      <c r="BG501" s="11"/>
      <c r="BI501" s="24" t="s">
        <v>314</v>
      </c>
      <c r="BJ501" s="25"/>
      <c r="BK501" s="25"/>
      <c r="BL501" s="25"/>
      <c r="BM501" s="25"/>
      <c r="BN501" s="25"/>
      <c r="BO501" s="26"/>
      <c r="BQ501" s="23" t="s">
        <v>314</v>
      </c>
      <c r="BR501" s="23"/>
      <c r="BS501" s="23"/>
      <c r="BT501" s="23"/>
      <c r="BU501" s="23"/>
      <c r="BV501" s="23"/>
      <c r="BW501" s="23"/>
      <c r="BX501" s="11"/>
      <c r="BY501" s="11"/>
      <c r="BZ501" s="11"/>
      <c r="CA501" s="11"/>
    </row>
    <row r="502" spans="1:79" x14ac:dyDescent="0.3">
      <c r="A502" s="4" t="s">
        <v>72</v>
      </c>
      <c r="B502" s="4"/>
      <c r="C502" s="4"/>
      <c r="D502" s="4"/>
      <c r="E502" s="4"/>
      <c r="F502" s="4"/>
      <c r="G502" s="4"/>
      <c r="I502" s="23" t="s">
        <v>72</v>
      </c>
      <c r="J502" s="23"/>
      <c r="K502" s="23"/>
      <c r="L502" s="23"/>
      <c r="M502" s="23"/>
      <c r="N502" s="23"/>
      <c r="O502" s="23"/>
      <c r="P502" s="5"/>
      <c r="Q502" s="5"/>
      <c r="R502" s="5"/>
      <c r="S502" s="5"/>
      <c r="U502" s="4" t="s">
        <v>73</v>
      </c>
      <c r="V502" s="4"/>
      <c r="W502" s="4"/>
      <c r="X502" s="4"/>
      <c r="Y502" s="4"/>
      <c r="Z502" s="4"/>
      <c r="AA502" s="4"/>
      <c r="AC502" s="23" t="s">
        <v>73</v>
      </c>
      <c r="AD502" s="23"/>
      <c r="AE502" s="23"/>
      <c r="AF502" s="23"/>
      <c r="AG502" s="23"/>
      <c r="AH502" s="23"/>
      <c r="AI502" s="23"/>
      <c r="AJ502" s="5"/>
      <c r="AK502" s="5"/>
      <c r="AL502" s="5"/>
      <c r="AM502" s="5"/>
      <c r="AO502" s="4" t="s">
        <v>72</v>
      </c>
      <c r="AP502" s="4"/>
      <c r="AQ502" s="4"/>
      <c r="AR502" s="4"/>
      <c r="AS502" s="4"/>
      <c r="AT502" s="4"/>
      <c r="AU502" s="4"/>
      <c r="AW502" s="23" t="s">
        <v>72</v>
      </c>
      <c r="AX502" s="23"/>
      <c r="AY502" s="23"/>
      <c r="AZ502" s="23"/>
      <c r="BA502" s="23"/>
      <c r="BB502" s="23"/>
      <c r="BC502" s="23"/>
      <c r="BD502" s="5"/>
      <c r="BE502" s="5"/>
      <c r="BF502" s="5"/>
      <c r="BG502" s="5"/>
      <c r="BI502" s="4" t="s">
        <v>73</v>
      </c>
      <c r="BJ502" s="4"/>
      <c r="BK502" s="4"/>
      <c r="BL502" s="4"/>
      <c r="BM502" s="4"/>
      <c r="BN502" s="4"/>
      <c r="BO502" s="4"/>
      <c r="BQ502" s="23" t="s">
        <v>73</v>
      </c>
      <c r="BR502" s="23"/>
      <c r="BS502" s="23"/>
      <c r="BT502" s="23"/>
      <c r="BU502" s="23"/>
      <c r="BV502" s="23"/>
      <c r="BW502" s="23"/>
      <c r="BX502" s="5"/>
      <c r="BY502" s="5"/>
      <c r="BZ502" s="5"/>
      <c r="CA502" s="5"/>
    </row>
    <row r="503" spans="1:79" x14ac:dyDescent="0.3">
      <c r="A503" s="4" t="s">
        <v>2</v>
      </c>
      <c r="B503" s="4" t="s">
        <v>3</v>
      </c>
      <c r="C503" s="4" t="s">
        <v>4</v>
      </c>
      <c r="D503" s="4" t="s">
        <v>5</v>
      </c>
      <c r="E503" s="4" t="s">
        <v>6</v>
      </c>
      <c r="F503" s="4" t="s">
        <v>7</v>
      </c>
      <c r="G503" s="4" t="s">
        <v>8</v>
      </c>
      <c r="I503" s="4" t="s">
        <v>2</v>
      </c>
      <c r="J503" s="4" t="s">
        <v>3</v>
      </c>
      <c r="K503" s="4" t="s">
        <v>4</v>
      </c>
      <c r="L503" s="4" t="s">
        <v>5</v>
      </c>
      <c r="M503" s="4" t="s">
        <v>6</v>
      </c>
      <c r="N503" s="4" t="s">
        <v>7</v>
      </c>
      <c r="O503" s="4" t="s">
        <v>8</v>
      </c>
      <c r="P503" s="3" t="s">
        <v>322</v>
      </c>
      <c r="Q503" s="3" t="s">
        <v>323</v>
      </c>
      <c r="R503" s="3" t="s">
        <v>322</v>
      </c>
      <c r="S503" s="3" t="s">
        <v>323</v>
      </c>
      <c r="U503" s="4" t="s">
        <v>2</v>
      </c>
      <c r="V503" s="4" t="s">
        <v>3</v>
      </c>
      <c r="W503" s="4" t="s">
        <v>4</v>
      </c>
      <c r="X503" s="4" t="s">
        <v>5</v>
      </c>
      <c r="Y503" s="4" t="s">
        <v>6</v>
      </c>
      <c r="Z503" s="4" t="s">
        <v>7</v>
      </c>
      <c r="AA503" s="4" t="s">
        <v>8</v>
      </c>
      <c r="AC503" s="4" t="s">
        <v>2</v>
      </c>
      <c r="AD503" s="4" t="s">
        <v>3</v>
      </c>
      <c r="AE503" s="4" t="s">
        <v>4</v>
      </c>
      <c r="AF503" s="4" t="s">
        <v>5</v>
      </c>
      <c r="AG503" s="4" t="s">
        <v>6</v>
      </c>
      <c r="AH503" s="4" t="s">
        <v>7</v>
      </c>
      <c r="AI503" s="4" t="s">
        <v>8</v>
      </c>
      <c r="AJ503" s="3" t="s">
        <v>322</v>
      </c>
      <c r="AK503" s="3" t="s">
        <v>323</v>
      </c>
      <c r="AL503" s="3" t="s">
        <v>322</v>
      </c>
      <c r="AM503" s="3" t="s">
        <v>323</v>
      </c>
      <c r="AO503" s="4" t="s">
        <v>2</v>
      </c>
      <c r="AP503" s="4" t="s">
        <v>3</v>
      </c>
      <c r="AQ503" s="4" t="s">
        <v>4</v>
      </c>
      <c r="AR503" s="4" t="s">
        <v>5</v>
      </c>
      <c r="AS503" s="4" t="s">
        <v>6</v>
      </c>
      <c r="AT503" s="4" t="s">
        <v>7</v>
      </c>
      <c r="AU503" s="4" t="s">
        <v>8</v>
      </c>
      <c r="AW503" s="4" t="s">
        <v>2</v>
      </c>
      <c r="AX503" s="4" t="s">
        <v>3</v>
      </c>
      <c r="AY503" s="4" t="s">
        <v>4</v>
      </c>
      <c r="AZ503" s="4" t="s">
        <v>5</v>
      </c>
      <c r="BA503" s="4" t="s">
        <v>6</v>
      </c>
      <c r="BB503" s="4" t="s">
        <v>7</v>
      </c>
      <c r="BC503" s="4" t="s">
        <v>8</v>
      </c>
      <c r="BD503" s="3" t="s">
        <v>322</v>
      </c>
      <c r="BE503" s="3" t="s">
        <v>323</v>
      </c>
      <c r="BF503" s="3" t="s">
        <v>322</v>
      </c>
      <c r="BG503" s="3" t="s">
        <v>323</v>
      </c>
      <c r="BI503" s="4" t="s">
        <v>2</v>
      </c>
      <c r="BJ503" s="4" t="s">
        <v>3</v>
      </c>
      <c r="BK503" s="4" t="s">
        <v>4</v>
      </c>
      <c r="BL503" s="4" t="s">
        <v>5</v>
      </c>
      <c r="BM503" s="4" t="s">
        <v>6</v>
      </c>
      <c r="BN503" s="4" t="s">
        <v>7</v>
      </c>
      <c r="BO503" s="4" t="s">
        <v>8</v>
      </c>
      <c r="BQ503" s="4" t="s">
        <v>2</v>
      </c>
      <c r="BR503" s="4" t="s">
        <v>3</v>
      </c>
      <c r="BS503" s="4" t="s">
        <v>4</v>
      </c>
      <c r="BT503" s="4" t="s">
        <v>5</v>
      </c>
      <c r="BU503" s="4" t="s">
        <v>6</v>
      </c>
      <c r="BV503" s="4" t="s">
        <v>7</v>
      </c>
      <c r="BW503" s="4" t="s">
        <v>8</v>
      </c>
      <c r="BX503" s="3" t="s">
        <v>322</v>
      </c>
      <c r="BY503" s="3" t="s">
        <v>323</v>
      </c>
      <c r="BZ503" s="3" t="s">
        <v>322</v>
      </c>
      <c r="CA503" s="3" t="s">
        <v>323</v>
      </c>
    </row>
    <row r="504" spans="1:79" x14ac:dyDescent="0.3">
      <c r="A504" s="4" t="s">
        <v>254</v>
      </c>
      <c r="B504" s="4">
        <v>0.9</v>
      </c>
      <c r="C504" s="4">
        <v>0.5</v>
      </c>
      <c r="D504" s="4">
        <v>0.6</v>
      </c>
      <c r="E504" s="4">
        <v>0.01</v>
      </c>
      <c r="F504" s="6">
        <v>626.76531999999997</v>
      </c>
      <c r="G504" s="4">
        <v>2.1000000000000001E-2</v>
      </c>
      <c r="I504" s="4" t="s">
        <v>254</v>
      </c>
      <c r="J504" s="4">
        <v>0.9</v>
      </c>
      <c r="K504" s="4">
        <v>0.5</v>
      </c>
      <c r="L504" s="4">
        <v>0.6</v>
      </c>
      <c r="M504" s="4">
        <v>0.3</v>
      </c>
      <c r="N504" s="4">
        <v>679.70611599999995</v>
      </c>
      <c r="O504" s="4">
        <v>2E-3</v>
      </c>
      <c r="P504" s="4" t="s">
        <v>327</v>
      </c>
      <c r="Q504" s="4" t="s">
        <v>327</v>
      </c>
      <c r="R504" s="4" t="s">
        <v>326</v>
      </c>
      <c r="S504" s="4" t="s">
        <v>326</v>
      </c>
      <c r="U504" s="4" t="s">
        <v>254</v>
      </c>
      <c r="V504" s="4">
        <v>0.9</v>
      </c>
      <c r="W504" s="4">
        <v>0.5</v>
      </c>
      <c r="X504" s="4">
        <v>0.6</v>
      </c>
      <c r="Y504" s="4">
        <v>0.01</v>
      </c>
      <c r="Z504" s="6">
        <v>613.77172900000005</v>
      </c>
      <c r="AA504" s="4">
        <v>0.01</v>
      </c>
      <c r="AC504" s="4" t="s">
        <v>254</v>
      </c>
      <c r="AD504" s="4">
        <v>0.9</v>
      </c>
      <c r="AE504" s="4">
        <v>0.5</v>
      </c>
      <c r="AF504" s="4">
        <v>0.6</v>
      </c>
      <c r="AG504" s="4">
        <v>0.32</v>
      </c>
      <c r="AH504" s="4">
        <v>679.07751499999995</v>
      </c>
      <c r="AI504" s="4">
        <v>4.0000000000000001E-3</v>
      </c>
      <c r="AJ504" s="4" t="s">
        <v>327</v>
      </c>
      <c r="AK504" s="4" t="s">
        <v>327</v>
      </c>
      <c r="AL504" s="4" t="s">
        <v>326</v>
      </c>
      <c r="AM504" s="4" t="s">
        <v>326</v>
      </c>
      <c r="AO504" s="4" t="s">
        <v>255</v>
      </c>
      <c r="AP504" s="4">
        <v>0.9</v>
      </c>
      <c r="AQ504" s="4">
        <v>0.5</v>
      </c>
      <c r="AR504" s="4">
        <v>0.6</v>
      </c>
      <c r="AS504" s="4">
        <v>0.01</v>
      </c>
      <c r="AT504" s="6">
        <v>861.04809599999999</v>
      </c>
      <c r="AU504" s="4">
        <v>3.3000000000000002E-2</v>
      </c>
      <c r="AW504" s="4" t="s">
        <v>255</v>
      </c>
      <c r="AX504" s="4">
        <v>0.9</v>
      </c>
      <c r="AY504" s="4">
        <v>0.5</v>
      </c>
      <c r="AZ504" s="4">
        <v>0.6</v>
      </c>
      <c r="BA504" s="4">
        <v>0.3</v>
      </c>
      <c r="BB504" s="4">
        <v>1054.5460210000001</v>
      </c>
      <c r="BC504" s="4">
        <v>8.0000000000000002E-3</v>
      </c>
      <c r="BD504" s="4" t="s">
        <v>327</v>
      </c>
      <c r="BE504" s="4" t="s">
        <v>327</v>
      </c>
      <c r="BF504" s="4" t="s">
        <v>326</v>
      </c>
      <c r="BG504" s="4" t="s">
        <v>326</v>
      </c>
      <c r="BI504" s="4" t="s">
        <v>255</v>
      </c>
      <c r="BJ504" s="4">
        <v>0.9</v>
      </c>
      <c r="BK504" s="4">
        <v>0.5</v>
      </c>
      <c r="BL504" s="4">
        <v>0.6</v>
      </c>
      <c r="BM504" s="4">
        <v>0.01</v>
      </c>
      <c r="BN504" s="6">
        <v>848.05395499999997</v>
      </c>
      <c r="BO504" s="4">
        <v>1.4E-2</v>
      </c>
      <c r="BQ504" s="4" t="s">
        <v>255</v>
      </c>
      <c r="BR504" s="4">
        <v>0.9</v>
      </c>
      <c r="BS504" s="4">
        <v>0.5</v>
      </c>
      <c r="BT504" s="4">
        <v>0.6</v>
      </c>
      <c r="BU504" s="4">
        <v>0.31</v>
      </c>
      <c r="BV504" s="4">
        <v>1032.615845</v>
      </c>
      <c r="BW504" s="4">
        <v>1.7000000000000001E-2</v>
      </c>
      <c r="BX504" s="4" t="s">
        <v>327</v>
      </c>
      <c r="BY504" s="4" t="s">
        <v>327</v>
      </c>
      <c r="BZ504" s="4" t="s">
        <v>326</v>
      </c>
      <c r="CA504" s="4" t="s">
        <v>326</v>
      </c>
    </row>
    <row r="505" spans="1:79" x14ac:dyDescent="0.3">
      <c r="A505" s="4" t="s">
        <v>256</v>
      </c>
      <c r="B505" s="4">
        <v>0.9</v>
      </c>
      <c r="C505" s="4">
        <v>0.5</v>
      </c>
      <c r="D505" s="4">
        <v>0.6</v>
      </c>
      <c r="E505" s="4">
        <v>0.45</v>
      </c>
      <c r="F505" s="4">
        <v>748.74060099999997</v>
      </c>
      <c r="G505" s="4">
        <v>2.9000000000000001E-2</v>
      </c>
      <c r="I505" s="4" t="s">
        <v>256</v>
      </c>
      <c r="J505" s="4">
        <v>0.9</v>
      </c>
      <c r="K505" s="4">
        <v>0.5</v>
      </c>
      <c r="L505" s="4">
        <v>0.6</v>
      </c>
      <c r="M505" s="4">
        <v>0.31</v>
      </c>
      <c r="N505" s="6">
        <v>710.54901099999995</v>
      </c>
      <c r="O505" s="4">
        <v>3.0000000000000001E-3</v>
      </c>
      <c r="P505" s="3">
        <f>COUNT(F504,F507,F511,F514,F516:F518,F520,F528:F530)</f>
        <v>11</v>
      </c>
      <c r="Q505" s="3">
        <f>30-P505</f>
        <v>19</v>
      </c>
      <c r="R505" s="3">
        <f>COUNT(N505:N506,N508:N510,N512:N513,N515,N519,N521:N527,N531:N533)</f>
        <v>19</v>
      </c>
      <c r="S505" s="3">
        <f>30-R505</f>
        <v>11</v>
      </c>
      <c r="U505" s="4" t="s">
        <v>256</v>
      </c>
      <c r="V505" s="4">
        <v>0.9</v>
      </c>
      <c r="W505" s="4">
        <v>0.5</v>
      </c>
      <c r="X505" s="4">
        <v>0.6</v>
      </c>
      <c r="Y505" s="4">
        <v>0.4</v>
      </c>
      <c r="Z505" s="4">
        <v>711.36724900000002</v>
      </c>
      <c r="AA505" s="4">
        <v>1.2999999999999999E-2</v>
      </c>
      <c r="AC505" s="4" t="s">
        <v>256</v>
      </c>
      <c r="AD505" s="4">
        <v>0.9</v>
      </c>
      <c r="AE505" s="4">
        <v>0.5</v>
      </c>
      <c r="AF505" s="4">
        <v>0.6</v>
      </c>
      <c r="AG505" s="4">
        <v>0.34</v>
      </c>
      <c r="AH505" s="6">
        <v>686.58764599999995</v>
      </c>
      <c r="AI505" s="4">
        <v>3.0000000000000001E-3</v>
      </c>
      <c r="AJ505" s="3">
        <f>COUNT(Z504,Z507:Z508,Z511:Z512,Z517,Z519,Z521,Z526,Z530:Z531)</f>
        <v>11</v>
      </c>
      <c r="AK505" s="3">
        <f>30-AJ505</f>
        <v>19</v>
      </c>
      <c r="AL505" s="3">
        <f>COUNT(AH505:AH506,AH509:AH511,AH513:AH516,AH518,AH520,AH522:AH525,AH527:AH529,AH532:AH533)</f>
        <v>20</v>
      </c>
      <c r="AM505" s="3">
        <f>30-AL505</f>
        <v>10</v>
      </c>
      <c r="AO505" s="4" t="s">
        <v>257</v>
      </c>
      <c r="AP505" s="4">
        <v>0.9</v>
      </c>
      <c r="AQ505" s="4">
        <v>0.5</v>
      </c>
      <c r="AR505" s="4">
        <v>0.6</v>
      </c>
      <c r="AS505" s="4">
        <v>0.93</v>
      </c>
      <c r="AT505" s="4">
        <v>1168.334717</v>
      </c>
      <c r="AU505" s="4">
        <v>3.3000000000000002E-2</v>
      </c>
      <c r="AW505" s="4" t="s">
        <v>257</v>
      </c>
      <c r="AX505" s="4">
        <v>0.9</v>
      </c>
      <c r="AY505" s="4">
        <v>0.5</v>
      </c>
      <c r="AZ505" s="4">
        <v>0.6</v>
      </c>
      <c r="BA505" s="4">
        <v>0.31</v>
      </c>
      <c r="BB505" s="6">
        <v>1014.87207</v>
      </c>
      <c r="BC505" s="4">
        <v>8.9999999999999993E-3</v>
      </c>
      <c r="BD505" s="3">
        <f>COUNT(AT504,AT506:AT507,AT511:AT512,AT517,AT522:AT524,AT528,AT532)</f>
        <v>11</v>
      </c>
      <c r="BE505" s="3">
        <f>30-BD505</f>
        <v>19</v>
      </c>
      <c r="BF505" s="3">
        <f>COUNT(BB505,BB508:BB510,BB513:BB516,BB518:BB521,BB525:BB527,BB529:BB531,BB533)</f>
        <v>19</v>
      </c>
      <c r="BG505" s="3">
        <f>30-BF505</f>
        <v>11</v>
      </c>
      <c r="BI505" s="4" t="s">
        <v>257</v>
      </c>
      <c r="BJ505" s="4">
        <v>0.9</v>
      </c>
      <c r="BK505" s="4">
        <v>0.5</v>
      </c>
      <c r="BL505" s="4">
        <v>0.6</v>
      </c>
      <c r="BM505" s="4">
        <v>0.34</v>
      </c>
      <c r="BN505" s="4">
        <v>1002.467773</v>
      </c>
      <c r="BO505" s="4">
        <v>2.7E-2</v>
      </c>
      <c r="BQ505" s="4" t="s">
        <v>257</v>
      </c>
      <c r="BR505" s="4">
        <v>0.9</v>
      </c>
      <c r="BS505" s="4">
        <v>0.5</v>
      </c>
      <c r="BT505" s="4">
        <v>0.6</v>
      </c>
      <c r="BU505" s="4">
        <v>0.31</v>
      </c>
      <c r="BV505" s="6">
        <v>986.72198500000002</v>
      </c>
      <c r="BW505" s="4">
        <v>0.01</v>
      </c>
      <c r="BX505" s="3">
        <f>COUNT(BN504,BN506,BN511:BN512,BN515:BN517,BN522,BN524,BN526,BN533)</f>
        <v>11</v>
      </c>
      <c r="BY505" s="3">
        <f>30-BX505</f>
        <v>19</v>
      </c>
      <c r="BZ505" s="3">
        <f>COUNT(BV505,BV507:BV510,BV513:BV514,BV518:BV521,BV523,BV525,BV527:BV532)</f>
        <v>19</v>
      </c>
      <c r="CA505" s="3">
        <f>30-BZ505</f>
        <v>11</v>
      </c>
    </row>
    <row r="506" spans="1:79" x14ac:dyDescent="0.3">
      <c r="A506" s="4" t="s">
        <v>258</v>
      </c>
      <c r="B506" s="4">
        <v>0.9</v>
      </c>
      <c r="C506" s="4">
        <v>0.5</v>
      </c>
      <c r="D506" s="4">
        <v>0.6</v>
      </c>
      <c r="E506" s="4">
        <v>0.41</v>
      </c>
      <c r="F506" s="4">
        <v>706.378784</v>
      </c>
      <c r="G506" s="4">
        <v>1.7000000000000001E-2</v>
      </c>
      <c r="I506" s="4" t="s">
        <v>258</v>
      </c>
      <c r="J506" s="4">
        <v>0.9</v>
      </c>
      <c r="K506" s="4">
        <v>0.5</v>
      </c>
      <c r="L506" s="4">
        <v>0.6</v>
      </c>
      <c r="M506" s="4">
        <v>0.3</v>
      </c>
      <c r="N506" s="6">
        <v>687.29931599999998</v>
      </c>
      <c r="O506" s="4">
        <v>4.0000000000000001E-3</v>
      </c>
      <c r="P506" s="5"/>
      <c r="Q506" s="5"/>
      <c r="R506" s="5"/>
      <c r="S506" s="5"/>
      <c r="U506" s="4" t="s">
        <v>258</v>
      </c>
      <c r="V506" s="4">
        <v>0.9</v>
      </c>
      <c r="W506" s="4">
        <v>0.5</v>
      </c>
      <c r="X506" s="4">
        <v>0.6</v>
      </c>
      <c r="Y506" s="4">
        <v>0.46</v>
      </c>
      <c r="Z506" s="4">
        <v>702.38140899999996</v>
      </c>
      <c r="AA506" s="4">
        <v>1.9E-2</v>
      </c>
      <c r="AC506" s="4" t="s">
        <v>258</v>
      </c>
      <c r="AD506" s="4">
        <v>0.9</v>
      </c>
      <c r="AE506" s="4">
        <v>0.5</v>
      </c>
      <c r="AF506" s="4">
        <v>0.6</v>
      </c>
      <c r="AG506" s="4">
        <v>0.31</v>
      </c>
      <c r="AH506" s="6">
        <v>670.76342799999998</v>
      </c>
      <c r="AI506" s="4">
        <v>3.0000000000000001E-3</v>
      </c>
      <c r="AJ506" s="5"/>
      <c r="AK506" s="5"/>
      <c r="AL506" s="5"/>
      <c r="AM506" s="5"/>
      <c r="AO506" s="4" t="s">
        <v>259</v>
      </c>
      <c r="AP506" s="4">
        <v>0.9</v>
      </c>
      <c r="AQ506" s="4">
        <v>0.5</v>
      </c>
      <c r="AR506" s="4">
        <v>0.6</v>
      </c>
      <c r="AS506" s="4">
        <v>0.25</v>
      </c>
      <c r="AT506" s="6">
        <v>976.71850600000005</v>
      </c>
      <c r="AU506" s="4">
        <v>3.1E-2</v>
      </c>
      <c r="AW506" s="4" t="s">
        <v>259</v>
      </c>
      <c r="AX506" s="4">
        <v>0.9</v>
      </c>
      <c r="AY506" s="4">
        <v>0.5</v>
      </c>
      <c r="AZ506" s="4">
        <v>0.6</v>
      </c>
      <c r="BA506" s="4">
        <v>0.3</v>
      </c>
      <c r="BB506" s="4">
        <v>1023.995911</v>
      </c>
      <c r="BC506" s="4">
        <v>8.0000000000000002E-3</v>
      </c>
      <c r="BD506" s="5"/>
      <c r="BE506" s="5"/>
      <c r="BF506" s="5"/>
      <c r="BG506" s="5"/>
      <c r="BI506" s="4" t="s">
        <v>259</v>
      </c>
      <c r="BJ506" s="4">
        <v>0.9</v>
      </c>
      <c r="BK506" s="4">
        <v>0.5</v>
      </c>
      <c r="BL506" s="4">
        <v>0.6</v>
      </c>
      <c r="BM506" s="4">
        <v>0.32</v>
      </c>
      <c r="BN506" s="6">
        <v>1009.043396</v>
      </c>
      <c r="BO506" s="4">
        <v>2.3E-2</v>
      </c>
      <c r="BQ506" s="4" t="s">
        <v>259</v>
      </c>
      <c r="BR506" s="4">
        <v>0.9</v>
      </c>
      <c r="BS506" s="4">
        <v>0.5</v>
      </c>
      <c r="BT506" s="4">
        <v>0.6</v>
      </c>
      <c r="BU506" s="4">
        <v>0.3</v>
      </c>
      <c r="BV506" s="4">
        <v>1029.0161129999999</v>
      </c>
      <c r="BW506" s="4">
        <v>0.01</v>
      </c>
      <c r="BX506" s="5"/>
      <c r="BY506" s="5"/>
      <c r="BZ506" s="5"/>
      <c r="CA506" s="5"/>
    </row>
    <row r="507" spans="1:79" x14ac:dyDescent="0.3">
      <c r="A507" s="4" t="s">
        <v>260</v>
      </c>
      <c r="B507" s="4">
        <v>0.9</v>
      </c>
      <c r="C507" s="4">
        <v>0.5</v>
      </c>
      <c r="D507" s="4">
        <v>0.6</v>
      </c>
      <c r="E507" s="4">
        <v>0.05</v>
      </c>
      <c r="F507" s="6">
        <v>654.51275599999997</v>
      </c>
      <c r="G507" s="4">
        <v>2.5000000000000001E-2</v>
      </c>
      <c r="I507" s="4" t="s">
        <v>260</v>
      </c>
      <c r="J507" s="4">
        <v>0.9</v>
      </c>
      <c r="K507" s="4">
        <v>0.5</v>
      </c>
      <c r="L507" s="4">
        <v>0.6</v>
      </c>
      <c r="M507" s="4">
        <v>0.35</v>
      </c>
      <c r="N507" s="4">
        <v>723.85162400000002</v>
      </c>
      <c r="O507" s="4">
        <v>3.0000000000000001E-3</v>
      </c>
      <c r="P507" s="5"/>
      <c r="Q507" s="5"/>
      <c r="R507" s="5"/>
      <c r="S507" s="5"/>
      <c r="U507" s="4" t="s">
        <v>260</v>
      </c>
      <c r="V507" s="4">
        <v>0.9</v>
      </c>
      <c r="W507" s="4">
        <v>0.5</v>
      </c>
      <c r="X507" s="4">
        <v>0.6</v>
      </c>
      <c r="Y507" s="4">
        <v>0.23</v>
      </c>
      <c r="Z507" s="6">
        <v>689.27209500000004</v>
      </c>
      <c r="AA507" s="4">
        <v>1.7999999999999999E-2</v>
      </c>
      <c r="AC507" s="4" t="s">
        <v>260</v>
      </c>
      <c r="AD507" s="4">
        <v>0.9</v>
      </c>
      <c r="AE507" s="4">
        <v>0.5</v>
      </c>
      <c r="AF507" s="4">
        <v>0.6</v>
      </c>
      <c r="AG507" s="4">
        <v>0.32</v>
      </c>
      <c r="AH507" s="4">
        <v>712.31542999999999</v>
      </c>
      <c r="AI507" s="4">
        <v>4.0000000000000001E-3</v>
      </c>
      <c r="AJ507" s="5"/>
      <c r="AK507" s="5"/>
      <c r="AL507" s="5"/>
      <c r="AM507" s="5"/>
      <c r="AO507" s="4" t="s">
        <v>261</v>
      </c>
      <c r="AP507" s="4">
        <v>0.9</v>
      </c>
      <c r="AQ507" s="4">
        <v>0.5</v>
      </c>
      <c r="AR507" s="4">
        <v>0.6</v>
      </c>
      <c r="AS507" s="4">
        <v>0.02</v>
      </c>
      <c r="AT507" s="6">
        <v>830.035889</v>
      </c>
      <c r="AU507" s="4">
        <v>1.7999999999999999E-2</v>
      </c>
      <c r="AW507" s="4" t="s">
        <v>261</v>
      </c>
      <c r="AX507" s="4">
        <v>0.9</v>
      </c>
      <c r="AY507" s="4">
        <v>0.5</v>
      </c>
      <c r="AZ507" s="4">
        <v>0.6</v>
      </c>
      <c r="BA507" s="4">
        <v>0.3</v>
      </c>
      <c r="BB507" s="4">
        <v>985.50390600000003</v>
      </c>
      <c r="BC507" s="4">
        <v>8.0000000000000002E-3</v>
      </c>
      <c r="BD507" s="5"/>
      <c r="BE507" s="5"/>
      <c r="BF507" s="5"/>
      <c r="BG507" s="5"/>
      <c r="BI507" s="4" t="s">
        <v>261</v>
      </c>
      <c r="BJ507" s="4">
        <v>0.9</v>
      </c>
      <c r="BK507" s="4">
        <v>0.5</v>
      </c>
      <c r="BL507" s="4">
        <v>0.6</v>
      </c>
      <c r="BM507" s="4">
        <v>0.64</v>
      </c>
      <c r="BN507" s="4">
        <v>1064.3355710000001</v>
      </c>
      <c r="BO507" s="4">
        <v>1.7000000000000001E-2</v>
      </c>
      <c r="BQ507" s="4" t="s">
        <v>261</v>
      </c>
      <c r="BR507" s="4">
        <v>0.9</v>
      </c>
      <c r="BS507" s="4">
        <v>0.5</v>
      </c>
      <c r="BT507" s="4">
        <v>0.6</v>
      </c>
      <c r="BU507" s="4">
        <v>0.3</v>
      </c>
      <c r="BV507" s="6">
        <v>980.40490699999998</v>
      </c>
      <c r="BW507" s="4">
        <v>1.2E-2</v>
      </c>
      <c r="BX507" s="5"/>
      <c r="BY507" s="5"/>
      <c r="BZ507" s="5"/>
      <c r="CA507" s="5"/>
    </row>
    <row r="508" spans="1:79" x14ac:dyDescent="0.3">
      <c r="A508" s="4" t="s">
        <v>262</v>
      </c>
      <c r="B508" s="4">
        <v>0.9</v>
      </c>
      <c r="C508" s="4">
        <v>0.5</v>
      </c>
      <c r="D508" s="4">
        <v>0.6</v>
      </c>
      <c r="E508" s="4">
        <v>0.54</v>
      </c>
      <c r="F508" s="4">
        <v>818.86920199999997</v>
      </c>
      <c r="G508" s="4">
        <v>6.2E-2</v>
      </c>
      <c r="I508" s="4" t="s">
        <v>262</v>
      </c>
      <c r="J508" s="4">
        <v>0.9</v>
      </c>
      <c r="K508" s="4">
        <v>0.5</v>
      </c>
      <c r="L508" s="4">
        <v>0.6</v>
      </c>
      <c r="M508" s="4">
        <v>0.31</v>
      </c>
      <c r="N508" s="6">
        <v>762.24292000000003</v>
      </c>
      <c r="O508" s="4">
        <v>4.0000000000000001E-3</v>
      </c>
      <c r="P508" s="5"/>
      <c r="Q508" s="5"/>
      <c r="R508" s="5"/>
      <c r="S508" s="5"/>
      <c r="U508" s="4" t="s">
        <v>262</v>
      </c>
      <c r="V508" s="4">
        <v>0.9</v>
      </c>
      <c r="W508" s="4">
        <v>0.5</v>
      </c>
      <c r="X508" s="4">
        <v>0.6</v>
      </c>
      <c r="Y508" s="4">
        <v>0.28000000000000003</v>
      </c>
      <c r="Z508" s="6">
        <v>731.99456799999996</v>
      </c>
      <c r="AA508" s="4">
        <v>7.0000000000000001E-3</v>
      </c>
      <c r="AC508" s="4" t="s">
        <v>262</v>
      </c>
      <c r="AD508" s="4">
        <v>0.9</v>
      </c>
      <c r="AE508" s="4">
        <v>0.5</v>
      </c>
      <c r="AF508" s="4">
        <v>0.6</v>
      </c>
      <c r="AG508" s="4">
        <v>0.33</v>
      </c>
      <c r="AH508" s="4">
        <v>752.30993699999999</v>
      </c>
      <c r="AI508" s="4">
        <v>6.0000000000000001E-3</v>
      </c>
      <c r="AJ508" s="5"/>
      <c r="AK508" s="5"/>
      <c r="AL508" s="5"/>
      <c r="AM508" s="5"/>
      <c r="AO508" s="4" t="s">
        <v>263</v>
      </c>
      <c r="AP508" s="4">
        <v>0.9</v>
      </c>
      <c r="AQ508" s="4">
        <v>0.5</v>
      </c>
      <c r="AR508" s="4">
        <v>0.6</v>
      </c>
      <c r="AS508" s="4">
        <v>0.93</v>
      </c>
      <c r="AT508" s="4">
        <v>1153.0916749999999</v>
      </c>
      <c r="AU508" s="4">
        <v>3.7999999999999999E-2</v>
      </c>
      <c r="AW508" s="4" t="s">
        <v>263</v>
      </c>
      <c r="AX508" s="4">
        <v>0.9</v>
      </c>
      <c r="AY508" s="4">
        <v>0.5</v>
      </c>
      <c r="AZ508" s="4">
        <v>0.6</v>
      </c>
      <c r="BA508" s="4">
        <v>0.3</v>
      </c>
      <c r="BB508" s="6">
        <v>1029.8436280000001</v>
      </c>
      <c r="BC508" s="4">
        <v>8.9999999999999993E-3</v>
      </c>
      <c r="BD508" s="5"/>
      <c r="BE508" s="5"/>
      <c r="BF508" s="5"/>
      <c r="BG508" s="5"/>
      <c r="BI508" s="4" t="s">
        <v>263</v>
      </c>
      <c r="BJ508" s="4">
        <v>0.9</v>
      </c>
      <c r="BK508" s="4">
        <v>0.5</v>
      </c>
      <c r="BL508" s="4">
        <v>0.6</v>
      </c>
      <c r="BM508" s="4">
        <v>0.89</v>
      </c>
      <c r="BN508" s="4">
        <v>1135.966064</v>
      </c>
      <c r="BO508" s="4">
        <v>1.2999999999999999E-2</v>
      </c>
      <c r="BQ508" s="4" t="s">
        <v>263</v>
      </c>
      <c r="BR508" s="4">
        <v>0.9</v>
      </c>
      <c r="BS508" s="4">
        <v>0.5</v>
      </c>
      <c r="BT508" s="4">
        <v>0.6</v>
      </c>
      <c r="BU508" s="4">
        <v>0.33</v>
      </c>
      <c r="BV508" s="6">
        <v>1009.391785</v>
      </c>
      <c r="BW508" s="4">
        <v>1.4E-2</v>
      </c>
      <c r="BX508" s="5"/>
      <c r="BY508" s="5"/>
      <c r="BZ508" s="5"/>
      <c r="CA508" s="5"/>
    </row>
    <row r="509" spans="1:79" x14ac:dyDescent="0.3">
      <c r="A509" s="4" t="s">
        <v>264</v>
      </c>
      <c r="B509" s="4">
        <v>0.9</v>
      </c>
      <c r="C509" s="4">
        <v>0.5</v>
      </c>
      <c r="D509" s="4">
        <v>0.6</v>
      </c>
      <c r="E509" s="4">
        <v>0.45</v>
      </c>
      <c r="F509" s="4">
        <v>782.74249299999997</v>
      </c>
      <c r="G509" s="4">
        <v>2.1999999999999999E-2</v>
      </c>
      <c r="I509" s="4" t="s">
        <v>264</v>
      </c>
      <c r="J509" s="4">
        <v>0.9</v>
      </c>
      <c r="K509" s="4">
        <v>0.5</v>
      </c>
      <c r="L509" s="4">
        <v>0.6</v>
      </c>
      <c r="M509" s="4">
        <v>0.35</v>
      </c>
      <c r="N509" s="6">
        <v>747.60601799999995</v>
      </c>
      <c r="O509" s="4">
        <v>3.0000000000000001E-3</v>
      </c>
      <c r="P509" s="5"/>
      <c r="Q509" s="5"/>
      <c r="R509" s="5"/>
      <c r="S509" s="5"/>
      <c r="U509" s="4" t="s">
        <v>264</v>
      </c>
      <c r="V509" s="4">
        <v>0.9</v>
      </c>
      <c r="W509" s="4">
        <v>0.5</v>
      </c>
      <c r="X509" s="4">
        <v>0.6</v>
      </c>
      <c r="Y509" s="4">
        <v>0.39</v>
      </c>
      <c r="Z509" s="4">
        <v>759.28961200000003</v>
      </c>
      <c r="AA509" s="4">
        <v>2.3E-2</v>
      </c>
      <c r="AC509" s="4" t="s">
        <v>264</v>
      </c>
      <c r="AD509" s="4">
        <v>0.9</v>
      </c>
      <c r="AE509" s="4">
        <v>0.5</v>
      </c>
      <c r="AF509" s="4">
        <v>0.6</v>
      </c>
      <c r="AG509" s="4">
        <v>0.3</v>
      </c>
      <c r="AH509" s="6">
        <v>728.92211899999995</v>
      </c>
      <c r="AI509" s="4">
        <v>4.0000000000000001E-3</v>
      </c>
      <c r="AJ509" s="5"/>
      <c r="AK509" s="5"/>
      <c r="AL509" s="5"/>
      <c r="AM509" s="5"/>
      <c r="AO509" s="4" t="s">
        <v>265</v>
      </c>
      <c r="AP509" s="4">
        <v>0.9</v>
      </c>
      <c r="AQ509" s="4">
        <v>0.5</v>
      </c>
      <c r="AR509" s="4">
        <v>0.6</v>
      </c>
      <c r="AS509" s="4">
        <v>0.96</v>
      </c>
      <c r="AT509" s="4">
        <v>1183.161621</v>
      </c>
      <c r="AU509" s="4">
        <v>2.1999999999999999E-2</v>
      </c>
      <c r="AW509" s="4" t="s">
        <v>265</v>
      </c>
      <c r="AX509" s="4">
        <v>0.9</v>
      </c>
      <c r="AY509" s="4">
        <v>0.5</v>
      </c>
      <c r="AZ509" s="4">
        <v>0.6</v>
      </c>
      <c r="BA509" s="4">
        <v>0.3</v>
      </c>
      <c r="BB509" s="6">
        <v>1011.1942749999999</v>
      </c>
      <c r="BC509" s="4">
        <v>0.01</v>
      </c>
      <c r="BD509" s="5"/>
      <c r="BE509" s="5"/>
      <c r="BF509" s="5"/>
      <c r="BG509" s="5"/>
      <c r="BI509" s="4" t="s">
        <v>265</v>
      </c>
      <c r="BJ509" s="4">
        <v>0.9</v>
      </c>
      <c r="BK509" s="4">
        <v>0.5</v>
      </c>
      <c r="BL509" s="4">
        <v>0.6</v>
      </c>
      <c r="BM509" s="4">
        <v>0.94</v>
      </c>
      <c r="BN509" s="4">
        <v>1164.587524</v>
      </c>
      <c r="BO509" s="4">
        <v>2.5999999999999999E-2</v>
      </c>
      <c r="BQ509" s="4" t="s">
        <v>265</v>
      </c>
      <c r="BR509" s="4">
        <v>0.9</v>
      </c>
      <c r="BS509" s="4">
        <v>0.5</v>
      </c>
      <c r="BT509" s="4">
        <v>0.6</v>
      </c>
      <c r="BU509" s="4">
        <v>0.3</v>
      </c>
      <c r="BV509" s="6">
        <v>998.01739499999996</v>
      </c>
      <c r="BW509" s="4">
        <v>1.0999999999999999E-2</v>
      </c>
      <c r="BX509" s="5"/>
      <c r="BY509" s="5"/>
      <c r="BZ509" s="5"/>
      <c r="CA509" s="5"/>
    </row>
    <row r="510" spans="1:79" x14ac:dyDescent="0.3">
      <c r="A510" s="4" t="s">
        <v>266</v>
      </c>
      <c r="B510" s="4">
        <v>0.9</v>
      </c>
      <c r="C510" s="4">
        <v>0.5</v>
      </c>
      <c r="D510" s="4">
        <v>0.6</v>
      </c>
      <c r="E510" s="4">
        <v>0.93</v>
      </c>
      <c r="F510" s="4">
        <v>730.35900900000001</v>
      </c>
      <c r="G510" s="4">
        <v>1.4999999999999999E-2</v>
      </c>
      <c r="I510" s="4" t="s">
        <v>266</v>
      </c>
      <c r="J510" s="4">
        <v>0.9</v>
      </c>
      <c r="K510" s="4">
        <v>0.5</v>
      </c>
      <c r="L510" s="4">
        <v>0.6</v>
      </c>
      <c r="M510" s="4">
        <v>0.31</v>
      </c>
      <c r="N510" s="6">
        <v>658.08770800000002</v>
      </c>
      <c r="O510" s="4">
        <v>2E-3</v>
      </c>
      <c r="P510" s="5"/>
      <c r="Q510" s="5"/>
      <c r="R510" s="5"/>
      <c r="S510" s="5"/>
      <c r="U510" s="4" t="s">
        <v>266</v>
      </c>
      <c r="V510" s="4">
        <v>0.9</v>
      </c>
      <c r="W510" s="4">
        <v>0.5</v>
      </c>
      <c r="X510" s="4">
        <v>0.6</v>
      </c>
      <c r="Y510" s="4">
        <v>0.99</v>
      </c>
      <c r="Z510" s="4">
        <v>708.16113299999995</v>
      </c>
      <c r="AA510" s="4">
        <v>1.4E-2</v>
      </c>
      <c r="AC510" s="4" t="s">
        <v>266</v>
      </c>
      <c r="AD510" s="4">
        <v>0.9</v>
      </c>
      <c r="AE510" s="4">
        <v>0.5</v>
      </c>
      <c r="AF510" s="4">
        <v>0.6</v>
      </c>
      <c r="AG510" s="4">
        <v>0.3</v>
      </c>
      <c r="AH510" s="6">
        <v>634.33019999999999</v>
      </c>
      <c r="AI510" s="4">
        <v>2E-3</v>
      </c>
      <c r="AJ510" s="5"/>
      <c r="AK510" s="5"/>
      <c r="AL510" s="5"/>
      <c r="AM510" s="5"/>
      <c r="AO510" s="4" t="s">
        <v>267</v>
      </c>
      <c r="AP510" s="4">
        <v>0.9</v>
      </c>
      <c r="AQ510" s="4">
        <v>0.5</v>
      </c>
      <c r="AR510" s="4">
        <v>0.6</v>
      </c>
      <c r="AS510" s="4">
        <v>0.72</v>
      </c>
      <c r="AT510" s="4">
        <v>1174.403442</v>
      </c>
      <c r="AU510" s="4">
        <v>2.5000000000000001E-2</v>
      </c>
      <c r="AW510" s="4" t="s">
        <v>267</v>
      </c>
      <c r="AX510" s="4">
        <v>0.9</v>
      </c>
      <c r="AY510" s="4">
        <v>0.5</v>
      </c>
      <c r="AZ510" s="4">
        <v>0.6</v>
      </c>
      <c r="BA510" s="4">
        <v>0.3</v>
      </c>
      <c r="BB510" s="6">
        <v>1058.125</v>
      </c>
      <c r="BC510" s="4">
        <v>8.9999999999999993E-3</v>
      </c>
      <c r="BD510" s="5"/>
      <c r="BE510" s="5"/>
      <c r="BF510" s="5"/>
      <c r="BG510" s="5"/>
      <c r="BI510" s="4" t="s">
        <v>267</v>
      </c>
      <c r="BJ510" s="4">
        <v>0.9</v>
      </c>
      <c r="BK510" s="4">
        <v>0.5</v>
      </c>
      <c r="BL510" s="4">
        <v>0.6</v>
      </c>
      <c r="BM510" s="4">
        <v>0.71</v>
      </c>
      <c r="BN510" s="4">
        <v>1152.9216309999999</v>
      </c>
      <c r="BO510" s="4">
        <v>1.4999999999999999E-2</v>
      </c>
      <c r="BQ510" s="4" t="s">
        <v>267</v>
      </c>
      <c r="BR510" s="4">
        <v>0.9</v>
      </c>
      <c r="BS510" s="4">
        <v>0.5</v>
      </c>
      <c r="BT510" s="4">
        <v>0.6</v>
      </c>
      <c r="BU510" s="4">
        <v>0.31</v>
      </c>
      <c r="BV510" s="6">
        <v>1033.338379</v>
      </c>
      <c r="BW510" s="4">
        <v>1.2E-2</v>
      </c>
      <c r="BX510" s="5"/>
      <c r="BY510" s="5"/>
      <c r="BZ510" s="5"/>
      <c r="CA510" s="5"/>
    </row>
    <row r="511" spans="1:79" x14ac:dyDescent="0.3">
      <c r="A511" s="4" t="s">
        <v>268</v>
      </c>
      <c r="B511" s="4">
        <v>0.9</v>
      </c>
      <c r="C511" s="4">
        <v>0.5</v>
      </c>
      <c r="D511" s="4">
        <v>0.6</v>
      </c>
      <c r="E511" s="4">
        <v>0.1</v>
      </c>
      <c r="F511" s="6">
        <v>671.13037099999997</v>
      </c>
      <c r="G511" s="4">
        <v>2.5999999999999999E-2</v>
      </c>
      <c r="I511" s="4" t="s">
        <v>268</v>
      </c>
      <c r="J511" s="4">
        <v>0.9</v>
      </c>
      <c r="K511" s="4">
        <v>0.5</v>
      </c>
      <c r="L511" s="4">
        <v>0.6</v>
      </c>
      <c r="M511" s="4">
        <v>0.31</v>
      </c>
      <c r="N511" s="4">
        <v>707.29949999999997</v>
      </c>
      <c r="O511" s="4">
        <v>3.0000000000000001E-3</v>
      </c>
      <c r="P511" s="5"/>
      <c r="Q511" s="5"/>
      <c r="R511" s="5"/>
      <c r="S511" s="5"/>
      <c r="U511" s="4" t="s">
        <v>268</v>
      </c>
      <c r="V511" s="4">
        <v>0.9</v>
      </c>
      <c r="W511" s="4">
        <v>0.5</v>
      </c>
      <c r="X511" s="4">
        <v>0.6</v>
      </c>
      <c r="Y511" s="4">
        <v>0.28999999999999998</v>
      </c>
      <c r="Z511" s="6">
        <v>716.06542999999999</v>
      </c>
      <c r="AA511" s="4">
        <v>1.2999999999999999E-2</v>
      </c>
      <c r="AC511" s="4" t="s">
        <v>268</v>
      </c>
      <c r="AD511" s="4">
        <v>0.9</v>
      </c>
      <c r="AE511" s="4">
        <v>0.5</v>
      </c>
      <c r="AF511" s="4">
        <v>0.6</v>
      </c>
      <c r="AG511" s="4">
        <v>0.3</v>
      </c>
      <c r="AH511" s="8">
        <v>716.982483</v>
      </c>
      <c r="AI511" s="4">
        <v>3.0000000000000001E-3</v>
      </c>
      <c r="AJ511" s="5"/>
      <c r="AK511" s="5"/>
      <c r="AL511" s="5"/>
      <c r="AM511" s="5"/>
      <c r="AO511" s="4" t="s">
        <v>269</v>
      </c>
      <c r="AP511" s="4">
        <v>0.9</v>
      </c>
      <c r="AQ511" s="4">
        <v>0.5</v>
      </c>
      <c r="AR511" s="4">
        <v>0.6</v>
      </c>
      <c r="AS511" s="4">
        <v>0.12</v>
      </c>
      <c r="AT511" s="6">
        <v>861.01367200000004</v>
      </c>
      <c r="AU511" s="4">
        <v>2.7E-2</v>
      </c>
      <c r="AW511" s="4" t="s">
        <v>269</v>
      </c>
      <c r="AX511" s="4">
        <v>0.9</v>
      </c>
      <c r="AY511" s="4">
        <v>0.5</v>
      </c>
      <c r="AZ511" s="4">
        <v>0.6</v>
      </c>
      <c r="BA511" s="4">
        <v>0.32</v>
      </c>
      <c r="BB511" s="4">
        <v>973.14160200000003</v>
      </c>
      <c r="BC511" s="4">
        <v>8.0000000000000002E-3</v>
      </c>
      <c r="BD511" s="5"/>
      <c r="BE511" s="5"/>
      <c r="BF511" s="5"/>
      <c r="BG511" s="5"/>
      <c r="BI511" s="4" t="s">
        <v>269</v>
      </c>
      <c r="BJ511" s="4">
        <v>0.9</v>
      </c>
      <c r="BK511" s="4">
        <v>0.5</v>
      </c>
      <c r="BL511" s="4">
        <v>0.6</v>
      </c>
      <c r="BM511" s="4">
        <v>0.26</v>
      </c>
      <c r="BN511" s="6">
        <v>939.637024</v>
      </c>
      <c r="BO511" s="4">
        <v>1.9E-2</v>
      </c>
      <c r="BQ511" s="4" t="s">
        <v>269</v>
      </c>
      <c r="BR511" s="4">
        <v>0.9</v>
      </c>
      <c r="BS511" s="4">
        <v>0.5</v>
      </c>
      <c r="BT511" s="4">
        <v>0.6</v>
      </c>
      <c r="BU511" s="4">
        <v>0.3</v>
      </c>
      <c r="BV511" s="4">
        <v>986.68414299999995</v>
      </c>
      <c r="BW511" s="4">
        <v>8.9999999999999993E-3</v>
      </c>
      <c r="BX511" s="5"/>
      <c r="BY511" s="5"/>
      <c r="BZ511" s="5"/>
      <c r="CA511" s="5"/>
    </row>
    <row r="512" spans="1:79" x14ac:dyDescent="0.3">
      <c r="A512" s="4" t="s">
        <v>270</v>
      </c>
      <c r="B512" s="4">
        <v>0.9</v>
      </c>
      <c r="C512" s="4">
        <v>0.5</v>
      </c>
      <c r="D512" s="4">
        <v>0.6</v>
      </c>
      <c r="E512" s="4">
        <v>0.5</v>
      </c>
      <c r="F512" s="4">
        <v>666.57696499999997</v>
      </c>
      <c r="G512" s="4">
        <v>2.5000000000000001E-2</v>
      </c>
      <c r="I512" s="4" t="s">
        <v>270</v>
      </c>
      <c r="J512" s="4">
        <v>0.9</v>
      </c>
      <c r="K512" s="4">
        <v>0.5</v>
      </c>
      <c r="L512" s="4">
        <v>0.6</v>
      </c>
      <c r="M512" s="4">
        <v>0.32</v>
      </c>
      <c r="N512" s="6">
        <v>627.78906199999994</v>
      </c>
      <c r="O512" s="4">
        <v>3.0000000000000001E-3</v>
      </c>
      <c r="P512" s="5"/>
      <c r="Q512" s="5"/>
      <c r="R512" s="5"/>
      <c r="S512" s="5"/>
      <c r="U512" s="4" t="s">
        <v>270</v>
      </c>
      <c r="V512" s="4">
        <v>0.9</v>
      </c>
      <c r="W512" s="4">
        <v>0.5</v>
      </c>
      <c r="X512" s="4">
        <v>0.6</v>
      </c>
      <c r="Y512" s="4">
        <v>0.12</v>
      </c>
      <c r="Z512" s="6">
        <v>566.63647500000002</v>
      </c>
      <c r="AA512" s="4">
        <v>1.6E-2</v>
      </c>
      <c r="AC512" s="4" t="s">
        <v>270</v>
      </c>
      <c r="AD512" s="4">
        <v>0.9</v>
      </c>
      <c r="AE512" s="4">
        <v>0.5</v>
      </c>
      <c r="AF512" s="4">
        <v>0.6</v>
      </c>
      <c r="AG512" s="4">
        <v>0.3</v>
      </c>
      <c r="AH512" s="4">
        <v>608.10400400000003</v>
      </c>
      <c r="AI512" s="4">
        <v>4.0000000000000001E-3</v>
      </c>
      <c r="AJ512" s="5"/>
      <c r="AK512" s="5"/>
      <c r="AL512" s="5"/>
      <c r="AM512" s="5"/>
      <c r="AO512" s="4" t="s">
        <v>271</v>
      </c>
      <c r="AP512" s="4">
        <v>0.9</v>
      </c>
      <c r="AQ512" s="4">
        <v>0.5</v>
      </c>
      <c r="AR512" s="4">
        <v>0.6</v>
      </c>
      <c r="AS512" s="4">
        <v>0.16</v>
      </c>
      <c r="AT512" s="6">
        <v>877.21551499999998</v>
      </c>
      <c r="AU512" s="4">
        <v>3.5999999999999997E-2</v>
      </c>
      <c r="AW512" s="4" t="s">
        <v>271</v>
      </c>
      <c r="AX512" s="4">
        <v>0.9</v>
      </c>
      <c r="AY512" s="4">
        <v>0.5</v>
      </c>
      <c r="AZ512" s="4">
        <v>0.6</v>
      </c>
      <c r="BA512" s="4">
        <v>0.3</v>
      </c>
      <c r="BB512" s="4">
        <v>984.66272000000004</v>
      </c>
      <c r="BC512" s="4">
        <v>8.0000000000000002E-3</v>
      </c>
      <c r="BD512" s="5"/>
      <c r="BE512" s="5"/>
      <c r="BF512" s="5"/>
      <c r="BG512" s="5"/>
      <c r="BI512" s="4" t="s">
        <v>271</v>
      </c>
      <c r="BJ512" s="4">
        <v>0.9</v>
      </c>
      <c r="BK512" s="4">
        <v>0.5</v>
      </c>
      <c r="BL512" s="4">
        <v>0.6</v>
      </c>
      <c r="BM512" s="4">
        <v>0.06</v>
      </c>
      <c r="BN512" s="6">
        <v>788.35638400000005</v>
      </c>
      <c r="BO512" s="4">
        <v>3.1E-2</v>
      </c>
      <c r="BQ512" s="4" t="s">
        <v>271</v>
      </c>
      <c r="BR512" s="4">
        <v>0.9</v>
      </c>
      <c r="BS512" s="4">
        <v>0.5</v>
      </c>
      <c r="BT512" s="4">
        <v>0.6</v>
      </c>
      <c r="BU512" s="4">
        <v>0.3</v>
      </c>
      <c r="BV512" s="4">
        <v>997.90954599999998</v>
      </c>
      <c r="BW512" s="4">
        <v>1.2999999999999999E-2</v>
      </c>
      <c r="BX512" s="5"/>
      <c r="BY512" s="5"/>
      <c r="BZ512" s="5"/>
      <c r="CA512" s="5"/>
    </row>
    <row r="513" spans="1:79" x14ac:dyDescent="0.3">
      <c r="A513" s="4" t="s">
        <v>272</v>
      </c>
      <c r="B513" s="4">
        <v>0.9</v>
      </c>
      <c r="C513" s="4">
        <v>0.5</v>
      </c>
      <c r="D513" s="4">
        <v>0.6</v>
      </c>
      <c r="E513" s="4">
        <v>0.87</v>
      </c>
      <c r="F513" s="4">
        <v>921.57562299999995</v>
      </c>
      <c r="G513" s="4">
        <v>0.06</v>
      </c>
      <c r="I513" s="4" t="s">
        <v>272</v>
      </c>
      <c r="J513" s="4">
        <v>0.9</v>
      </c>
      <c r="K513" s="4">
        <v>0.5</v>
      </c>
      <c r="L513" s="4">
        <v>0.6</v>
      </c>
      <c r="M513" s="4">
        <v>0.31</v>
      </c>
      <c r="N513" s="6">
        <v>773.11444100000006</v>
      </c>
      <c r="O513" s="4">
        <v>3.0000000000000001E-3</v>
      </c>
      <c r="P513" s="5"/>
      <c r="Q513" s="5"/>
      <c r="R513" s="5"/>
      <c r="S513" s="5"/>
      <c r="U513" s="4" t="s">
        <v>272</v>
      </c>
      <c r="V513" s="4">
        <v>0.9</v>
      </c>
      <c r="W513" s="4">
        <v>0.5</v>
      </c>
      <c r="X513" s="4">
        <v>0.6</v>
      </c>
      <c r="Y513" s="4">
        <v>0.62</v>
      </c>
      <c r="Z513" s="4">
        <v>874.59326199999998</v>
      </c>
      <c r="AA513" s="4">
        <v>2.1999999999999999E-2</v>
      </c>
      <c r="AC513" s="4" t="s">
        <v>272</v>
      </c>
      <c r="AD513" s="4">
        <v>0.9</v>
      </c>
      <c r="AE513" s="4">
        <v>0.5</v>
      </c>
      <c r="AF513" s="4">
        <v>0.6</v>
      </c>
      <c r="AG513" s="4">
        <v>0.36</v>
      </c>
      <c r="AH513" s="6">
        <v>779.08752400000003</v>
      </c>
      <c r="AI513" s="4">
        <v>6.0000000000000001E-3</v>
      </c>
      <c r="AJ513" s="5"/>
      <c r="AK513" s="5"/>
      <c r="AL513" s="5"/>
      <c r="AM513" s="5"/>
      <c r="AO513" s="4" t="s">
        <v>273</v>
      </c>
      <c r="AP513" s="4">
        <v>0.9</v>
      </c>
      <c r="AQ513" s="4">
        <v>0.5</v>
      </c>
      <c r="AR513" s="4">
        <v>0.6</v>
      </c>
      <c r="AS513" s="4">
        <v>0.68</v>
      </c>
      <c r="AT513" s="4">
        <v>1159.749634</v>
      </c>
      <c r="AU513" s="4">
        <v>2.1999999999999999E-2</v>
      </c>
      <c r="AW513" s="4" t="s">
        <v>273</v>
      </c>
      <c r="AX513" s="4">
        <v>0.9</v>
      </c>
      <c r="AY513" s="4">
        <v>0.5</v>
      </c>
      <c r="AZ513" s="4">
        <v>0.6</v>
      </c>
      <c r="BA513" s="4">
        <v>0.32</v>
      </c>
      <c r="BB513" s="6">
        <v>1040.2113039999999</v>
      </c>
      <c r="BC513" s="4">
        <v>8.0000000000000002E-3</v>
      </c>
      <c r="BD513" s="5"/>
      <c r="BE513" s="5"/>
      <c r="BF513" s="5"/>
      <c r="BG513" s="5"/>
      <c r="BI513" s="4" t="s">
        <v>273</v>
      </c>
      <c r="BJ513" s="4">
        <v>0.9</v>
      </c>
      <c r="BK513" s="4">
        <v>0.5</v>
      </c>
      <c r="BL513" s="4">
        <v>0.6</v>
      </c>
      <c r="BM513" s="4">
        <v>0.6</v>
      </c>
      <c r="BN513" s="4">
        <v>1127.4542240000001</v>
      </c>
      <c r="BO513" s="4">
        <v>2.1000000000000001E-2</v>
      </c>
      <c r="BQ513" s="4" t="s">
        <v>273</v>
      </c>
      <c r="BR513" s="4">
        <v>0.9</v>
      </c>
      <c r="BS513" s="4">
        <v>0.5</v>
      </c>
      <c r="BT513" s="4">
        <v>0.6</v>
      </c>
      <c r="BU513" s="4">
        <v>0.31</v>
      </c>
      <c r="BV513" s="6">
        <v>1034.6964109999999</v>
      </c>
      <c r="BW513" s="4">
        <v>1.2E-2</v>
      </c>
      <c r="BX513" s="5"/>
      <c r="BY513" s="5"/>
      <c r="BZ513" s="5"/>
      <c r="CA513" s="5"/>
    </row>
    <row r="514" spans="1:79" x14ac:dyDescent="0.3">
      <c r="A514" s="4" t="s">
        <v>274</v>
      </c>
      <c r="B514" s="4">
        <v>0.9</v>
      </c>
      <c r="C514" s="4">
        <v>0.5</v>
      </c>
      <c r="D514" s="4">
        <v>0.6</v>
      </c>
      <c r="E514" s="4">
        <v>7.0000000000000007E-2</v>
      </c>
      <c r="F514" s="6">
        <v>726.89935300000002</v>
      </c>
      <c r="G514" s="4">
        <v>2.8000000000000001E-2</v>
      </c>
      <c r="I514" s="4" t="s">
        <v>274</v>
      </c>
      <c r="J514" s="4">
        <v>0.9</v>
      </c>
      <c r="K514" s="4">
        <v>0.5</v>
      </c>
      <c r="L514" s="4">
        <v>0.6</v>
      </c>
      <c r="M514" s="4">
        <v>0.3</v>
      </c>
      <c r="N514" s="4">
        <v>841.65661599999999</v>
      </c>
      <c r="O514" s="4">
        <v>3.0000000000000001E-3</v>
      </c>
      <c r="P514" s="5"/>
      <c r="Q514" s="5"/>
      <c r="R514" s="5"/>
      <c r="S514" s="5"/>
      <c r="U514" s="4" t="s">
        <v>274</v>
      </c>
      <c r="V514" s="4">
        <v>0.9</v>
      </c>
      <c r="W514" s="4">
        <v>0.5</v>
      </c>
      <c r="X514" s="4">
        <v>0.6</v>
      </c>
      <c r="Y514" s="4">
        <v>0.59</v>
      </c>
      <c r="Z514" s="4">
        <v>933.52972399999999</v>
      </c>
      <c r="AA514" s="4">
        <v>2.5000000000000001E-2</v>
      </c>
      <c r="AC514" s="4" t="s">
        <v>274</v>
      </c>
      <c r="AD514" s="4">
        <v>0.9</v>
      </c>
      <c r="AE514" s="4">
        <v>0.5</v>
      </c>
      <c r="AF514" s="4">
        <v>0.6</v>
      </c>
      <c r="AG514" s="4">
        <v>0.3</v>
      </c>
      <c r="AH514" s="6">
        <v>832.49505599999998</v>
      </c>
      <c r="AI514" s="4">
        <v>4.0000000000000001E-3</v>
      </c>
      <c r="AJ514" s="5"/>
      <c r="AK514" s="5"/>
      <c r="AL514" s="5"/>
      <c r="AM514" s="5"/>
      <c r="AO514" s="4" t="s">
        <v>275</v>
      </c>
      <c r="AP514" s="4">
        <v>0.9</v>
      </c>
      <c r="AQ514" s="4">
        <v>0.5</v>
      </c>
      <c r="AR514" s="4">
        <v>0.6</v>
      </c>
      <c r="AS514" s="4">
        <v>0.61</v>
      </c>
      <c r="AT514" s="4">
        <v>1278.730591</v>
      </c>
      <c r="AU514" s="4">
        <v>2.5999999999999999E-2</v>
      </c>
      <c r="AW514" s="4" t="s">
        <v>275</v>
      </c>
      <c r="AX514" s="4">
        <v>0.9</v>
      </c>
      <c r="AY514" s="4">
        <v>0.5</v>
      </c>
      <c r="AZ514" s="4">
        <v>0.6</v>
      </c>
      <c r="BA514" s="4">
        <v>0.31</v>
      </c>
      <c r="BB514" s="6">
        <v>1132.8203120000001</v>
      </c>
      <c r="BC514" s="4">
        <v>0.01</v>
      </c>
      <c r="BD514" s="5"/>
      <c r="BE514" s="5"/>
      <c r="BF514" s="5"/>
      <c r="BG514" s="5"/>
      <c r="BI514" s="4" t="s">
        <v>275</v>
      </c>
      <c r="BJ514" s="4">
        <v>0.9</v>
      </c>
      <c r="BK514" s="4">
        <v>0.5</v>
      </c>
      <c r="BL514" s="4">
        <v>0.6</v>
      </c>
      <c r="BM514" s="4">
        <v>0.68</v>
      </c>
      <c r="BN514" s="4">
        <v>1275.309814</v>
      </c>
      <c r="BO514" s="4">
        <v>1.9E-2</v>
      </c>
      <c r="BQ514" s="4" t="s">
        <v>275</v>
      </c>
      <c r="BR514" s="4">
        <v>0.9</v>
      </c>
      <c r="BS514" s="4">
        <v>0.5</v>
      </c>
      <c r="BT514" s="4">
        <v>0.6</v>
      </c>
      <c r="BU514" s="4">
        <v>0.33</v>
      </c>
      <c r="BV514" s="6">
        <v>1135.067749</v>
      </c>
      <c r="BW514" s="4">
        <v>1.0999999999999999E-2</v>
      </c>
      <c r="BX514" s="5"/>
      <c r="BY514" s="5"/>
      <c r="BZ514" s="5"/>
      <c r="CA514" s="5"/>
    </row>
    <row r="515" spans="1:79" x14ac:dyDescent="0.3">
      <c r="A515" s="4" t="s">
        <v>276</v>
      </c>
      <c r="B515" s="4">
        <v>0.9</v>
      </c>
      <c r="C515" s="4">
        <v>0.5</v>
      </c>
      <c r="D515" s="4">
        <v>0.6</v>
      </c>
      <c r="E515" s="4">
        <v>0.57999999999999996</v>
      </c>
      <c r="F515" s="4">
        <v>819.82025099999998</v>
      </c>
      <c r="G515" s="4">
        <v>0.04</v>
      </c>
      <c r="I515" s="4" t="s">
        <v>276</v>
      </c>
      <c r="J515" s="4">
        <v>0.9</v>
      </c>
      <c r="K515" s="4">
        <v>0.5</v>
      </c>
      <c r="L515" s="4">
        <v>0.6</v>
      </c>
      <c r="M515" s="4">
        <v>0.3</v>
      </c>
      <c r="N515" s="6">
        <v>719.25231900000006</v>
      </c>
      <c r="O515" s="4">
        <v>3.0000000000000001E-3</v>
      </c>
      <c r="P515" s="5"/>
      <c r="Q515" s="5"/>
      <c r="R515" s="5"/>
      <c r="S515" s="5"/>
      <c r="U515" s="4" t="s">
        <v>276</v>
      </c>
      <c r="V515" s="4">
        <v>0.9</v>
      </c>
      <c r="W515" s="4">
        <v>0.5</v>
      </c>
      <c r="X515" s="4">
        <v>0.6</v>
      </c>
      <c r="Y515" s="4">
        <v>0.48</v>
      </c>
      <c r="Z515" s="4">
        <v>770.22997999999995</v>
      </c>
      <c r="AA515" s="4">
        <v>1.7999999999999999E-2</v>
      </c>
      <c r="AC515" s="4" t="s">
        <v>276</v>
      </c>
      <c r="AD515" s="4">
        <v>0.9</v>
      </c>
      <c r="AE515" s="4">
        <v>0.5</v>
      </c>
      <c r="AF515" s="4">
        <v>0.6</v>
      </c>
      <c r="AG515" s="4">
        <v>0.3</v>
      </c>
      <c r="AH515" s="6">
        <v>713.06512499999997</v>
      </c>
      <c r="AI515" s="4">
        <v>4.0000000000000001E-3</v>
      </c>
      <c r="AJ515" s="5"/>
      <c r="AK515" s="5"/>
      <c r="AL515" s="5"/>
      <c r="AM515" s="5"/>
      <c r="AO515" s="4" t="s">
        <v>277</v>
      </c>
      <c r="AP515" s="4">
        <v>0.9</v>
      </c>
      <c r="AQ515" s="4">
        <v>0.5</v>
      </c>
      <c r="AR515" s="4">
        <v>0.6</v>
      </c>
      <c r="AS515" s="4">
        <v>0.95</v>
      </c>
      <c r="AT515" s="4">
        <v>1246.0601810000001</v>
      </c>
      <c r="AU515" s="4">
        <v>1.9E-2</v>
      </c>
      <c r="AW515" s="4" t="s">
        <v>277</v>
      </c>
      <c r="AX515" s="4">
        <v>0.9</v>
      </c>
      <c r="AY515" s="4">
        <v>0.5</v>
      </c>
      <c r="AZ515" s="4">
        <v>0.6</v>
      </c>
      <c r="BA515" s="4">
        <v>0.3</v>
      </c>
      <c r="BB515" s="6">
        <v>1038.733154</v>
      </c>
      <c r="BC515" s="4">
        <v>0.01</v>
      </c>
      <c r="BD515" s="5"/>
      <c r="BE515" s="5"/>
      <c r="BF515" s="5"/>
      <c r="BG515" s="5"/>
      <c r="BI515" s="4" t="s">
        <v>277</v>
      </c>
      <c r="BJ515" s="4">
        <v>0.9</v>
      </c>
      <c r="BK515" s="4">
        <v>0.5</v>
      </c>
      <c r="BL515" s="4">
        <v>0.6</v>
      </c>
      <c r="BM515" s="4">
        <v>7.0000000000000007E-2</v>
      </c>
      <c r="BN515" s="6">
        <v>827.91296399999999</v>
      </c>
      <c r="BO515" s="4">
        <v>1.7999999999999999E-2</v>
      </c>
      <c r="BQ515" s="4" t="s">
        <v>277</v>
      </c>
      <c r="BR515" s="4">
        <v>0.9</v>
      </c>
      <c r="BS515" s="4">
        <v>0.5</v>
      </c>
      <c r="BT515" s="4">
        <v>0.6</v>
      </c>
      <c r="BU515" s="4">
        <v>0.3</v>
      </c>
      <c r="BV515" s="4">
        <v>1045.997192</v>
      </c>
      <c r="BW515" s="4">
        <v>1.2999999999999999E-2</v>
      </c>
      <c r="BX515" s="5"/>
      <c r="BY515" s="5"/>
      <c r="BZ515" s="5"/>
      <c r="CA515" s="5"/>
    </row>
    <row r="516" spans="1:79" x14ac:dyDescent="0.3">
      <c r="A516" s="4" t="s">
        <v>278</v>
      </c>
      <c r="B516" s="4">
        <v>0.9</v>
      </c>
      <c r="C516" s="4">
        <v>0.5</v>
      </c>
      <c r="D516" s="4">
        <v>0.6</v>
      </c>
      <c r="E516" s="4">
        <v>0.23</v>
      </c>
      <c r="F516" s="6">
        <v>648.762024</v>
      </c>
      <c r="G516" s="4">
        <v>1.2E-2</v>
      </c>
      <c r="I516" s="4" t="s">
        <v>278</v>
      </c>
      <c r="J516" s="4">
        <v>0.9</v>
      </c>
      <c r="K516" s="4">
        <v>0.5</v>
      </c>
      <c r="L516" s="4">
        <v>0.6</v>
      </c>
      <c r="M516" s="4">
        <v>0.31</v>
      </c>
      <c r="N516" s="4">
        <v>685.23809800000004</v>
      </c>
      <c r="O516" s="4">
        <v>3.0000000000000001E-3</v>
      </c>
      <c r="P516" s="5"/>
      <c r="Q516" s="5"/>
      <c r="R516" s="5"/>
      <c r="S516" s="5"/>
      <c r="U516" s="4" t="s">
        <v>278</v>
      </c>
      <c r="V516" s="4">
        <v>0.9</v>
      </c>
      <c r="W516" s="4">
        <v>0.5</v>
      </c>
      <c r="X516" s="4">
        <v>0.6</v>
      </c>
      <c r="Y516" s="4">
        <v>0.72</v>
      </c>
      <c r="Z516" s="4">
        <v>781.84491000000003</v>
      </c>
      <c r="AA516" s="4">
        <v>1.4999999999999999E-2</v>
      </c>
      <c r="AC516" s="4" t="s">
        <v>278</v>
      </c>
      <c r="AD516" s="4">
        <v>0.9</v>
      </c>
      <c r="AE516" s="4">
        <v>0.5</v>
      </c>
      <c r="AF516" s="4">
        <v>0.6</v>
      </c>
      <c r="AG516" s="4">
        <v>0.3</v>
      </c>
      <c r="AH516" s="6">
        <v>651.11669900000004</v>
      </c>
      <c r="AI516" s="4">
        <v>4.0000000000000001E-3</v>
      </c>
      <c r="AJ516" s="5"/>
      <c r="AK516" s="5"/>
      <c r="AL516" s="5"/>
      <c r="AM516" s="5"/>
      <c r="AO516" s="4" t="s">
        <v>279</v>
      </c>
      <c r="AP516" s="4">
        <v>0.9</v>
      </c>
      <c r="AQ516" s="4">
        <v>0.5</v>
      </c>
      <c r="AR516" s="4">
        <v>0.6</v>
      </c>
      <c r="AS516" s="4">
        <v>0.48</v>
      </c>
      <c r="AT516" s="4">
        <v>1205.722534</v>
      </c>
      <c r="AU516" s="4">
        <v>2.1000000000000001E-2</v>
      </c>
      <c r="AW516" s="4" t="s">
        <v>279</v>
      </c>
      <c r="AX516" s="4">
        <v>0.9</v>
      </c>
      <c r="AY516" s="4">
        <v>0.5</v>
      </c>
      <c r="AZ516" s="4">
        <v>0.6</v>
      </c>
      <c r="BA516" s="4">
        <v>0.3</v>
      </c>
      <c r="BB516" s="6">
        <v>1155.8629149999999</v>
      </c>
      <c r="BC516" s="4">
        <v>8.9999999999999993E-3</v>
      </c>
      <c r="BD516" s="5"/>
      <c r="BE516" s="5"/>
      <c r="BF516" s="5"/>
      <c r="BG516" s="5"/>
      <c r="BI516" s="4" t="s">
        <v>279</v>
      </c>
      <c r="BJ516" s="4">
        <v>0.9</v>
      </c>
      <c r="BK516" s="4">
        <v>0.5</v>
      </c>
      <c r="BL516" s="4">
        <v>0.6</v>
      </c>
      <c r="BM516" s="4">
        <v>0.08</v>
      </c>
      <c r="BN516" s="6">
        <v>950.36810300000002</v>
      </c>
      <c r="BO516" s="4">
        <v>1.7000000000000001E-2</v>
      </c>
      <c r="BQ516" s="4" t="s">
        <v>279</v>
      </c>
      <c r="BR516" s="4">
        <v>0.9</v>
      </c>
      <c r="BS516" s="4">
        <v>0.5</v>
      </c>
      <c r="BT516" s="4">
        <v>0.6</v>
      </c>
      <c r="BU516" s="4">
        <v>0.36</v>
      </c>
      <c r="BV516" s="4">
        <v>1156.5196530000001</v>
      </c>
      <c r="BW516" s="4">
        <v>0.01</v>
      </c>
      <c r="BX516" s="5"/>
      <c r="BY516" s="5"/>
      <c r="BZ516" s="5"/>
      <c r="CA516" s="5"/>
    </row>
    <row r="517" spans="1:79" x14ac:dyDescent="0.3">
      <c r="A517" s="4" t="s">
        <v>280</v>
      </c>
      <c r="B517" s="4">
        <v>0.9</v>
      </c>
      <c r="C517" s="4">
        <v>0.5</v>
      </c>
      <c r="D517" s="4">
        <v>0.6</v>
      </c>
      <c r="E517" s="4">
        <v>0.06</v>
      </c>
      <c r="F517" s="6">
        <v>760.55602999999996</v>
      </c>
      <c r="G517" s="4">
        <v>2.9000000000000001E-2</v>
      </c>
      <c r="I517" s="4" t="s">
        <v>280</v>
      </c>
      <c r="J517" s="4">
        <v>0.9</v>
      </c>
      <c r="K517" s="4">
        <v>0.5</v>
      </c>
      <c r="L517" s="4">
        <v>0.6</v>
      </c>
      <c r="M517" s="4">
        <v>0.34</v>
      </c>
      <c r="N517" s="4">
        <v>938.65411400000005</v>
      </c>
      <c r="O517" s="4">
        <v>3.0000000000000001E-3</v>
      </c>
      <c r="P517" s="5"/>
      <c r="Q517" s="5"/>
      <c r="R517" s="5"/>
      <c r="S517" s="5"/>
      <c r="U517" s="4" t="s">
        <v>280</v>
      </c>
      <c r="V517" s="4">
        <v>0.9</v>
      </c>
      <c r="W517" s="4">
        <v>0.5</v>
      </c>
      <c r="X517" s="4">
        <v>0.6</v>
      </c>
      <c r="Y517" s="4">
        <v>0.09</v>
      </c>
      <c r="Z517" s="6">
        <v>746.58203100000003</v>
      </c>
      <c r="AA517" s="4">
        <v>1.0999999999999999E-2</v>
      </c>
      <c r="AC517" s="4" t="s">
        <v>280</v>
      </c>
      <c r="AD517" s="4">
        <v>0.9</v>
      </c>
      <c r="AE517" s="4">
        <v>0.5</v>
      </c>
      <c r="AF517" s="4">
        <v>0.6</v>
      </c>
      <c r="AG517" s="4">
        <v>0.33</v>
      </c>
      <c r="AH517" s="4">
        <v>929.74395800000002</v>
      </c>
      <c r="AI517" s="4">
        <v>5.0000000000000001E-3</v>
      </c>
      <c r="AJ517" s="5"/>
      <c r="AK517" s="5"/>
      <c r="AL517" s="5"/>
      <c r="AM517" s="5"/>
      <c r="AO517" s="4" t="s">
        <v>281</v>
      </c>
      <c r="AP517" s="4">
        <v>0.9</v>
      </c>
      <c r="AQ517" s="4">
        <v>0.5</v>
      </c>
      <c r="AR517" s="4">
        <v>0.6</v>
      </c>
      <c r="AS517" s="4">
        <v>0.01</v>
      </c>
      <c r="AT517" s="6">
        <v>902.80865500000004</v>
      </c>
      <c r="AU517" s="4">
        <v>3.3000000000000002E-2</v>
      </c>
      <c r="AW517" s="4" t="s">
        <v>281</v>
      </c>
      <c r="AX517" s="4">
        <v>0.9</v>
      </c>
      <c r="AY517" s="4">
        <v>0.5</v>
      </c>
      <c r="AZ517" s="4">
        <v>0.6</v>
      </c>
      <c r="BA517" s="4">
        <v>0.3</v>
      </c>
      <c r="BB517" s="4">
        <v>1112.176514</v>
      </c>
      <c r="BC517" s="4">
        <v>8.9999999999999993E-3</v>
      </c>
      <c r="BD517" s="5"/>
      <c r="BE517" s="5"/>
      <c r="BF517" s="5"/>
      <c r="BG517" s="5"/>
      <c r="BI517" s="4" t="s">
        <v>281</v>
      </c>
      <c r="BJ517" s="4">
        <v>0.9</v>
      </c>
      <c r="BK517" s="4">
        <v>0.5</v>
      </c>
      <c r="BL517" s="4">
        <v>0.6</v>
      </c>
      <c r="BM517" s="4">
        <v>0.04</v>
      </c>
      <c r="BN517" s="6">
        <v>907.24761999999998</v>
      </c>
      <c r="BO517" s="4">
        <v>1.9E-2</v>
      </c>
      <c r="BQ517" s="4" t="s">
        <v>281</v>
      </c>
      <c r="BR517" s="4">
        <v>0.9</v>
      </c>
      <c r="BS517" s="4">
        <v>0.5</v>
      </c>
      <c r="BT517" s="4">
        <v>0.6</v>
      </c>
      <c r="BU517" s="4">
        <v>0.3</v>
      </c>
      <c r="BV517" s="4">
        <v>1084.362427</v>
      </c>
      <c r="BW517" s="4">
        <v>1.0999999999999999E-2</v>
      </c>
      <c r="BX517" s="5"/>
      <c r="BY517" s="5"/>
      <c r="BZ517" s="5"/>
      <c r="CA517" s="5"/>
    </row>
    <row r="518" spans="1:79" x14ac:dyDescent="0.3">
      <c r="A518" s="4" t="s">
        <v>282</v>
      </c>
      <c r="B518" s="4">
        <v>0.9</v>
      </c>
      <c r="C518" s="4">
        <v>0.5</v>
      </c>
      <c r="D518" s="4">
        <v>0.6</v>
      </c>
      <c r="E518" s="4">
        <v>0.33</v>
      </c>
      <c r="F518" s="6">
        <v>826.53698699999995</v>
      </c>
      <c r="G518" s="4">
        <v>8.9999999999999993E-3</v>
      </c>
      <c r="I518" s="4" t="s">
        <v>282</v>
      </c>
      <c r="J518" s="4">
        <v>0.9</v>
      </c>
      <c r="K518" s="4">
        <v>0.5</v>
      </c>
      <c r="L518" s="4">
        <v>0.6</v>
      </c>
      <c r="M518" s="4">
        <v>0.32</v>
      </c>
      <c r="N518" s="4">
        <v>830.69946300000004</v>
      </c>
      <c r="O518" s="4">
        <v>3.0000000000000001E-3</v>
      </c>
      <c r="P518" s="5"/>
      <c r="Q518" s="5"/>
      <c r="R518" s="5"/>
      <c r="S518" s="5"/>
      <c r="U518" s="4" t="s">
        <v>282</v>
      </c>
      <c r="V518" s="4">
        <v>0.9</v>
      </c>
      <c r="W518" s="4">
        <v>0.5</v>
      </c>
      <c r="X518" s="4">
        <v>0.6</v>
      </c>
      <c r="Y518" s="4">
        <v>0.75</v>
      </c>
      <c r="Z518" s="4">
        <v>999.69164999999998</v>
      </c>
      <c r="AA518" s="4">
        <v>1.4999999999999999E-2</v>
      </c>
      <c r="AC518" s="4" t="s">
        <v>282</v>
      </c>
      <c r="AD518" s="4">
        <v>0.9</v>
      </c>
      <c r="AE518" s="4">
        <v>0.5</v>
      </c>
      <c r="AF518" s="4">
        <v>0.6</v>
      </c>
      <c r="AG518" s="4">
        <v>0.35</v>
      </c>
      <c r="AH518" s="6">
        <v>824.240723</v>
      </c>
      <c r="AI518" s="4">
        <v>6.0000000000000001E-3</v>
      </c>
      <c r="AJ518" s="5"/>
      <c r="AK518" s="5"/>
      <c r="AL518" s="5"/>
      <c r="AM518" s="5"/>
      <c r="AO518" s="4" t="s">
        <v>283</v>
      </c>
      <c r="AP518" s="4">
        <v>0.9</v>
      </c>
      <c r="AQ518" s="4">
        <v>0.5</v>
      </c>
      <c r="AR518" s="4">
        <v>0.6</v>
      </c>
      <c r="AS518" s="4">
        <v>0.48</v>
      </c>
      <c r="AT518" s="4">
        <v>1135.8903809999999</v>
      </c>
      <c r="AU518" s="4">
        <v>2.5999999999999999E-2</v>
      </c>
      <c r="AW518" s="4" t="s">
        <v>283</v>
      </c>
      <c r="AX518" s="4">
        <v>0.9</v>
      </c>
      <c r="AY518" s="4">
        <v>0.5</v>
      </c>
      <c r="AZ518" s="4">
        <v>0.6</v>
      </c>
      <c r="BA518" s="4">
        <v>0.31</v>
      </c>
      <c r="BB518" s="6">
        <v>1061.742798</v>
      </c>
      <c r="BC518" s="4">
        <v>8.9999999999999993E-3</v>
      </c>
      <c r="BD518" s="5"/>
      <c r="BE518" s="5"/>
      <c r="BF518" s="5"/>
      <c r="BG518" s="5"/>
      <c r="BI518" s="4" t="s">
        <v>283</v>
      </c>
      <c r="BJ518" s="4">
        <v>0.9</v>
      </c>
      <c r="BK518" s="4">
        <v>0.5</v>
      </c>
      <c r="BL518" s="4">
        <v>0.6</v>
      </c>
      <c r="BM518" s="4">
        <v>0.68</v>
      </c>
      <c r="BN518" s="4">
        <v>1205.9456789999999</v>
      </c>
      <c r="BO518" s="4">
        <v>0.02</v>
      </c>
      <c r="BQ518" s="4" t="s">
        <v>283</v>
      </c>
      <c r="BR518" s="4">
        <v>0.9</v>
      </c>
      <c r="BS518" s="4">
        <v>0.5</v>
      </c>
      <c r="BT518" s="4">
        <v>0.6</v>
      </c>
      <c r="BU518" s="4">
        <v>0.32</v>
      </c>
      <c r="BV518" s="6">
        <v>1064.0543210000001</v>
      </c>
      <c r="BW518" s="4">
        <v>1.0999999999999999E-2</v>
      </c>
      <c r="BX518" s="5"/>
      <c r="BY518" s="5"/>
      <c r="BZ518" s="5"/>
      <c r="CA518" s="5"/>
    </row>
    <row r="519" spans="1:79" x14ac:dyDescent="0.3">
      <c r="A519" s="4" t="s">
        <v>284</v>
      </c>
      <c r="B519" s="4">
        <v>0.9</v>
      </c>
      <c r="C519" s="4">
        <v>0.5</v>
      </c>
      <c r="D519" s="4">
        <v>0.6</v>
      </c>
      <c r="E519" s="4">
        <v>0.78</v>
      </c>
      <c r="F519" s="4">
        <v>992.999146</v>
      </c>
      <c r="G519" s="4">
        <v>1.7000000000000001E-2</v>
      </c>
      <c r="I519" s="4" t="s">
        <v>284</v>
      </c>
      <c r="J519" s="4">
        <v>0.9</v>
      </c>
      <c r="K519" s="4">
        <v>0.5</v>
      </c>
      <c r="L519" s="4">
        <v>0.6</v>
      </c>
      <c r="M519" s="4">
        <v>0.34</v>
      </c>
      <c r="N519" s="6">
        <v>900.30566399999998</v>
      </c>
      <c r="O519" s="4">
        <v>4.0000000000000001E-3</v>
      </c>
      <c r="P519" s="5"/>
      <c r="Q519" s="5"/>
      <c r="R519" s="5"/>
      <c r="S519" s="5"/>
      <c r="U519" s="4" t="s">
        <v>284</v>
      </c>
      <c r="V519" s="4">
        <v>0.9</v>
      </c>
      <c r="W519" s="4">
        <v>0.5</v>
      </c>
      <c r="X519" s="4">
        <v>0.6</v>
      </c>
      <c r="Y519" s="4">
        <v>0.04</v>
      </c>
      <c r="Z519" s="6">
        <v>734.37616000000003</v>
      </c>
      <c r="AA519" s="4">
        <v>1.4999999999999999E-2</v>
      </c>
      <c r="AC519" s="4" t="s">
        <v>284</v>
      </c>
      <c r="AD519" s="4">
        <v>0.9</v>
      </c>
      <c r="AE519" s="4">
        <v>0.5</v>
      </c>
      <c r="AF519" s="4">
        <v>0.6</v>
      </c>
      <c r="AG519" s="4">
        <v>0.35</v>
      </c>
      <c r="AH519" s="4">
        <v>869.80798300000004</v>
      </c>
      <c r="AI519" s="4">
        <v>6.0000000000000001E-3</v>
      </c>
      <c r="AJ519" s="5"/>
      <c r="AK519" s="5"/>
      <c r="AL519" s="5"/>
      <c r="AM519" s="5"/>
      <c r="AO519" s="4" t="s">
        <v>285</v>
      </c>
      <c r="AP519" s="4">
        <v>0.9</v>
      </c>
      <c r="AQ519" s="4">
        <v>0.5</v>
      </c>
      <c r="AR519" s="4">
        <v>0.6</v>
      </c>
      <c r="AS519" s="4">
        <v>0.99</v>
      </c>
      <c r="AT519" s="4">
        <v>1413.1442870000001</v>
      </c>
      <c r="AU519" s="4">
        <v>2.7E-2</v>
      </c>
      <c r="AW519" s="4" t="s">
        <v>285</v>
      </c>
      <c r="AX519" s="4">
        <v>0.9</v>
      </c>
      <c r="AY519" s="4">
        <v>0.5</v>
      </c>
      <c r="AZ519" s="4">
        <v>0.6</v>
      </c>
      <c r="BA519" s="4">
        <v>0.32</v>
      </c>
      <c r="BB519" s="6">
        <v>1140.8946530000001</v>
      </c>
      <c r="BC519" s="4">
        <v>8.9999999999999993E-3</v>
      </c>
      <c r="BD519" s="5"/>
      <c r="BE519" s="5"/>
      <c r="BF519" s="5"/>
      <c r="BG519" s="5"/>
      <c r="BI519" s="4" t="s">
        <v>285</v>
      </c>
      <c r="BJ519" s="4">
        <v>0.9</v>
      </c>
      <c r="BK519" s="4">
        <v>0.5</v>
      </c>
      <c r="BL519" s="4">
        <v>0.6</v>
      </c>
      <c r="BM519" s="4">
        <v>0.67</v>
      </c>
      <c r="BN519" s="4">
        <v>1275.7585449999999</v>
      </c>
      <c r="BO519" s="4">
        <v>2.5999999999999999E-2</v>
      </c>
      <c r="BQ519" s="4" t="s">
        <v>285</v>
      </c>
      <c r="BR519" s="4">
        <v>0.9</v>
      </c>
      <c r="BS519" s="4">
        <v>0.5</v>
      </c>
      <c r="BT519" s="4">
        <v>0.6</v>
      </c>
      <c r="BU519" s="4">
        <v>0.3</v>
      </c>
      <c r="BV519" s="6">
        <v>1135.616211</v>
      </c>
      <c r="BW519" s="4">
        <v>1.0999999999999999E-2</v>
      </c>
      <c r="BX519" s="5"/>
      <c r="BY519" s="5"/>
      <c r="BZ519" s="5"/>
      <c r="CA519" s="5"/>
    </row>
    <row r="520" spans="1:79" x14ac:dyDescent="0.3">
      <c r="A520" s="4" t="s">
        <v>286</v>
      </c>
      <c r="B520" s="4">
        <v>0.9</v>
      </c>
      <c r="C520" s="4">
        <v>0.5</v>
      </c>
      <c r="D520" s="4">
        <v>0.6</v>
      </c>
      <c r="E520" s="4">
        <v>0.25</v>
      </c>
      <c r="F520" s="6">
        <v>704.66503899999998</v>
      </c>
      <c r="G520" s="4">
        <v>0.02</v>
      </c>
      <c r="I520" s="4" t="s">
        <v>286</v>
      </c>
      <c r="J520" s="4">
        <v>0.9</v>
      </c>
      <c r="K520" s="4">
        <v>0.5</v>
      </c>
      <c r="L520" s="4">
        <v>0.6</v>
      </c>
      <c r="M520" s="4">
        <v>0.3</v>
      </c>
      <c r="N520" s="4">
        <v>736.14825399999995</v>
      </c>
      <c r="O520" s="4">
        <v>3.0000000000000001E-3</v>
      </c>
      <c r="P520" s="5"/>
      <c r="Q520" s="5"/>
      <c r="R520" s="5"/>
      <c r="S520" s="5"/>
      <c r="U520" s="4" t="s">
        <v>286</v>
      </c>
      <c r="V520" s="4">
        <v>0.9</v>
      </c>
      <c r="W520" s="4">
        <v>0.5</v>
      </c>
      <c r="X520" s="4">
        <v>0.6</v>
      </c>
      <c r="Y520" s="4">
        <v>0.74</v>
      </c>
      <c r="Z520" s="4">
        <v>879.10705600000006</v>
      </c>
      <c r="AA520" s="4">
        <v>1.9E-2</v>
      </c>
      <c r="AC520" s="4" t="s">
        <v>286</v>
      </c>
      <c r="AD520" s="4">
        <v>0.9</v>
      </c>
      <c r="AE520" s="4">
        <v>0.5</v>
      </c>
      <c r="AF520" s="4">
        <v>0.6</v>
      </c>
      <c r="AG520" s="4">
        <v>0.32</v>
      </c>
      <c r="AH520" s="6">
        <v>738.36224400000003</v>
      </c>
      <c r="AI520" s="4">
        <v>4.0000000000000001E-3</v>
      </c>
      <c r="AJ520" s="5"/>
      <c r="AK520" s="5"/>
      <c r="AL520" s="5"/>
      <c r="AM520" s="5"/>
      <c r="AO520" s="4" t="s">
        <v>287</v>
      </c>
      <c r="AP520" s="4">
        <v>0.9</v>
      </c>
      <c r="AQ520" s="4">
        <v>0.5</v>
      </c>
      <c r="AR520" s="4">
        <v>0.6</v>
      </c>
      <c r="AS520" s="4">
        <v>0.84</v>
      </c>
      <c r="AT520" s="4">
        <v>1270.502686</v>
      </c>
      <c r="AU520" s="4">
        <v>2.5000000000000001E-2</v>
      </c>
      <c r="AW520" s="4" t="s">
        <v>287</v>
      </c>
      <c r="AX520" s="4">
        <v>0.9</v>
      </c>
      <c r="AY520" s="4">
        <v>0.5</v>
      </c>
      <c r="AZ520" s="4">
        <v>0.6</v>
      </c>
      <c r="BA520" s="4">
        <v>0.31</v>
      </c>
      <c r="BB520" s="6">
        <v>1060.9051509999999</v>
      </c>
      <c r="BC520" s="4">
        <v>1.0999999999999999E-2</v>
      </c>
      <c r="BD520" s="5"/>
      <c r="BE520" s="5"/>
      <c r="BF520" s="5"/>
      <c r="BG520" s="5"/>
      <c r="BI520" s="4" t="s">
        <v>287</v>
      </c>
      <c r="BJ520" s="4">
        <v>0.9</v>
      </c>
      <c r="BK520" s="4">
        <v>0.5</v>
      </c>
      <c r="BL520" s="4">
        <v>0.6</v>
      </c>
      <c r="BM520" s="4">
        <v>0.75</v>
      </c>
      <c r="BN520" s="4">
        <v>1230.458862</v>
      </c>
      <c r="BO520" s="4">
        <v>2.5999999999999999E-2</v>
      </c>
      <c r="BQ520" s="4" t="s">
        <v>287</v>
      </c>
      <c r="BR520" s="4">
        <v>0.9</v>
      </c>
      <c r="BS520" s="4">
        <v>0.5</v>
      </c>
      <c r="BT520" s="4">
        <v>0.6</v>
      </c>
      <c r="BU520" s="4">
        <v>0.32</v>
      </c>
      <c r="BV520" s="6">
        <v>1050.972168</v>
      </c>
      <c r="BW520" s="4">
        <v>1.2999999999999999E-2</v>
      </c>
      <c r="BX520" s="5"/>
      <c r="BY520" s="5"/>
      <c r="BZ520" s="5"/>
      <c r="CA520" s="5"/>
    </row>
    <row r="521" spans="1:79" x14ac:dyDescent="0.3">
      <c r="A521" s="4" t="s">
        <v>288</v>
      </c>
      <c r="B521" s="4">
        <v>0.9</v>
      </c>
      <c r="C521" s="4">
        <v>0.5</v>
      </c>
      <c r="D521" s="4">
        <v>0.6</v>
      </c>
      <c r="E521" s="4">
        <v>0.45</v>
      </c>
      <c r="F521" s="4">
        <v>813.38861099999997</v>
      </c>
      <c r="G521" s="4">
        <v>7.0000000000000001E-3</v>
      </c>
      <c r="I521" s="4" t="s">
        <v>288</v>
      </c>
      <c r="J521" s="4">
        <v>0.9</v>
      </c>
      <c r="K521" s="4">
        <v>0.5</v>
      </c>
      <c r="L521" s="4">
        <v>0.6</v>
      </c>
      <c r="M521" s="4">
        <v>0.3</v>
      </c>
      <c r="N521" s="6">
        <v>744.23571800000002</v>
      </c>
      <c r="O521" s="4">
        <v>3.0000000000000001E-3</v>
      </c>
      <c r="P521" s="5"/>
      <c r="Q521" s="5"/>
      <c r="R521" s="5"/>
      <c r="S521" s="5"/>
      <c r="U521" s="4" t="s">
        <v>288</v>
      </c>
      <c r="V521" s="4">
        <v>0.9</v>
      </c>
      <c r="W521" s="4">
        <v>0.5</v>
      </c>
      <c r="X521" s="4">
        <v>0.6</v>
      </c>
      <c r="Y521" s="4">
        <v>0.28000000000000003</v>
      </c>
      <c r="Z521" s="6">
        <v>711.12426800000003</v>
      </c>
      <c r="AA521" s="4">
        <v>1.9E-2</v>
      </c>
      <c r="AC521" s="4" t="s">
        <v>288</v>
      </c>
      <c r="AD521" s="4">
        <v>0.9</v>
      </c>
      <c r="AE521" s="4">
        <v>0.5</v>
      </c>
      <c r="AF521" s="4">
        <v>0.6</v>
      </c>
      <c r="AG521" s="4">
        <v>0.32</v>
      </c>
      <c r="AH521" s="4">
        <v>739.30731200000002</v>
      </c>
      <c r="AI521" s="4">
        <v>6.0000000000000001E-3</v>
      </c>
      <c r="AJ521" s="5"/>
      <c r="AK521" s="5"/>
      <c r="AL521" s="5"/>
      <c r="AM521" s="5"/>
      <c r="AO521" s="4" t="s">
        <v>289</v>
      </c>
      <c r="AP521" s="4">
        <v>0.9</v>
      </c>
      <c r="AQ521" s="4">
        <v>0.5</v>
      </c>
      <c r="AR521" s="4">
        <v>0.6</v>
      </c>
      <c r="AS521" s="4">
        <v>0.91</v>
      </c>
      <c r="AT521" s="4">
        <v>1435.5686040000001</v>
      </c>
      <c r="AU521" s="4">
        <v>2.4E-2</v>
      </c>
      <c r="AW521" s="4" t="s">
        <v>289</v>
      </c>
      <c r="AX521" s="4">
        <v>0.9</v>
      </c>
      <c r="AY521" s="4">
        <v>0.5</v>
      </c>
      <c r="AZ521" s="4">
        <v>0.6</v>
      </c>
      <c r="BA521" s="4">
        <v>0.31</v>
      </c>
      <c r="BB521" s="6">
        <v>1120.913086</v>
      </c>
      <c r="BC521" s="4">
        <v>0.01</v>
      </c>
      <c r="BD521" s="5"/>
      <c r="BE521" s="5"/>
      <c r="BF521" s="5"/>
      <c r="BG521" s="5"/>
      <c r="BI521" s="4" t="s">
        <v>289</v>
      </c>
      <c r="BJ521" s="4">
        <v>0.9</v>
      </c>
      <c r="BK521" s="4">
        <v>0.5</v>
      </c>
      <c r="BL521" s="4">
        <v>0.6</v>
      </c>
      <c r="BM521" s="4">
        <v>0.75</v>
      </c>
      <c r="BN521" s="4">
        <v>1368.7138669999999</v>
      </c>
      <c r="BO521" s="4">
        <v>2.8000000000000001E-2</v>
      </c>
      <c r="BQ521" s="4" t="s">
        <v>289</v>
      </c>
      <c r="BR521" s="4">
        <v>0.9</v>
      </c>
      <c r="BS521" s="4">
        <v>0.5</v>
      </c>
      <c r="BT521" s="4">
        <v>0.6</v>
      </c>
      <c r="BU521" s="4">
        <v>0.3</v>
      </c>
      <c r="BV521" s="6">
        <v>1139.3154300000001</v>
      </c>
      <c r="BW521" s="4">
        <v>1.7000000000000001E-2</v>
      </c>
      <c r="BX521" s="5"/>
      <c r="BY521" s="5"/>
      <c r="BZ521" s="5"/>
      <c r="CA521" s="5"/>
    </row>
    <row r="522" spans="1:79" x14ac:dyDescent="0.3">
      <c r="A522" s="4" t="s">
        <v>290</v>
      </c>
      <c r="B522" s="4">
        <v>0.9</v>
      </c>
      <c r="C522" s="4">
        <v>0.5</v>
      </c>
      <c r="D522" s="4">
        <v>0.6</v>
      </c>
      <c r="E522" s="4">
        <v>0.78</v>
      </c>
      <c r="F522" s="4">
        <v>908.53045699999996</v>
      </c>
      <c r="G522" s="4">
        <v>1.7000000000000001E-2</v>
      </c>
      <c r="I522" s="4" t="s">
        <v>290</v>
      </c>
      <c r="J522" s="4">
        <v>0.9</v>
      </c>
      <c r="K522" s="4">
        <v>0.5</v>
      </c>
      <c r="L522" s="4">
        <v>0.6</v>
      </c>
      <c r="M522" s="4">
        <v>0.34</v>
      </c>
      <c r="N522" s="6">
        <v>745.12347399999999</v>
      </c>
      <c r="O522" s="4">
        <v>3.0000000000000001E-3</v>
      </c>
      <c r="P522" s="5"/>
      <c r="Q522" s="5"/>
      <c r="R522" s="5"/>
      <c r="S522" s="5"/>
      <c r="U522" s="4" t="s">
        <v>290</v>
      </c>
      <c r="V522" s="4">
        <v>0.9</v>
      </c>
      <c r="W522" s="4">
        <v>0.5</v>
      </c>
      <c r="X522" s="4">
        <v>0.6</v>
      </c>
      <c r="Y522" s="4">
        <v>0.69</v>
      </c>
      <c r="Z522" s="4">
        <v>895.54467799999998</v>
      </c>
      <c r="AA522" s="4">
        <v>1.2999999999999999E-2</v>
      </c>
      <c r="AC522" s="4" t="s">
        <v>290</v>
      </c>
      <c r="AD522" s="4">
        <v>0.9</v>
      </c>
      <c r="AE522" s="4">
        <v>0.5</v>
      </c>
      <c r="AF522" s="4">
        <v>0.6</v>
      </c>
      <c r="AG522" s="4">
        <v>0.31</v>
      </c>
      <c r="AH522" s="6">
        <v>746.68963599999995</v>
      </c>
      <c r="AI522" s="4">
        <v>6.0000000000000001E-3</v>
      </c>
      <c r="AJ522" s="5"/>
      <c r="AK522" s="5"/>
      <c r="AL522" s="5"/>
      <c r="AM522" s="5"/>
      <c r="AO522" s="4" t="s">
        <v>291</v>
      </c>
      <c r="AP522" s="4">
        <v>0.9</v>
      </c>
      <c r="AQ522" s="4">
        <v>0.5</v>
      </c>
      <c r="AR522" s="4">
        <v>0.6</v>
      </c>
      <c r="AS522" s="4">
        <v>0.12</v>
      </c>
      <c r="AT522" s="6">
        <v>934.76898200000005</v>
      </c>
      <c r="AU522" s="4">
        <v>2.5999999999999999E-2</v>
      </c>
      <c r="AW522" s="4" t="s">
        <v>291</v>
      </c>
      <c r="AX522" s="4">
        <v>0.9</v>
      </c>
      <c r="AY522" s="4">
        <v>0.5</v>
      </c>
      <c r="AZ522" s="4">
        <v>0.6</v>
      </c>
      <c r="BA522" s="4">
        <v>0.3</v>
      </c>
      <c r="BB522" s="4">
        <v>1084.837769</v>
      </c>
      <c r="BC522" s="4">
        <v>8.9999999999999993E-3</v>
      </c>
      <c r="BD522" s="5"/>
      <c r="BE522" s="5"/>
      <c r="BF522" s="5"/>
      <c r="BG522" s="5"/>
      <c r="BI522" s="4" t="s">
        <v>291</v>
      </c>
      <c r="BJ522" s="4">
        <v>0.9</v>
      </c>
      <c r="BK522" s="4">
        <v>0.5</v>
      </c>
      <c r="BL522" s="4">
        <v>0.6</v>
      </c>
      <c r="BM522" s="4">
        <v>0.34</v>
      </c>
      <c r="BN522" s="6">
        <v>1082.255737</v>
      </c>
      <c r="BO522" s="4">
        <v>1.6E-2</v>
      </c>
      <c r="BQ522" s="4" t="s">
        <v>291</v>
      </c>
      <c r="BR522" s="4">
        <v>0.9</v>
      </c>
      <c r="BS522" s="4">
        <v>0.5</v>
      </c>
      <c r="BT522" s="4">
        <v>0.6</v>
      </c>
      <c r="BU522" s="4">
        <v>0.3</v>
      </c>
      <c r="BV522" s="4">
        <v>1089.849731</v>
      </c>
      <c r="BW522" s="4">
        <v>1.4E-2</v>
      </c>
      <c r="BX522" s="5"/>
      <c r="BY522" s="5"/>
      <c r="BZ522" s="5"/>
      <c r="CA522" s="5"/>
    </row>
    <row r="523" spans="1:79" x14ac:dyDescent="0.3">
      <c r="A523" s="4" t="s">
        <v>292</v>
      </c>
      <c r="B523" s="4">
        <v>0.9</v>
      </c>
      <c r="C523" s="4">
        <v>0.5</v>
      </c>
      <c r="D523" s="4">
        <v>0.6</v>
      </c>
      <c r="E523" s="4">
        <v>0.97</v>
      </c>
      <c r="F523" s="4">
        <v>1023.93927</v>
      </c>
      <c r="G523" s="4">
        <v>1.7000000000000001E-2</v>
      </c>
      <c r="I523" s="4" t="s">
        <v>292</v>
      </c>
      <c r="J523" s="4">
        <v>0.9</v>
      </c>
      <c r="K523" s="4">
        <v>0.5</v>
      </c>
      <c r="L523" s="4">
        <v>0.6</v>
      </c>
      <c r="M523" s="4">
        <v>0.32</v>
      </c>
      <c r="N523" s="6">
        <v>803.55395499999997</v>
      </c>
      <c r="O523" s="4">
        <v>3.0000000000000001E-3</v>
      </c>
      <c r="P523" s="5"/>
      <c r="Q523" s="5"/>
      <c r="R523" s="5"/>
      <c r="S523" s="5"/>
      <c r="U523" s="4" t="s">
        <v>292</v>
      </c>
      <c r="V523" s="4">
        <v>0.9</v>
      </c>
      <c r="W523" s="4">
        <v>0.5</v>
      </c>
      <c r="X523" s="4">
        <v>0.6</v>
      </c>
      <c r="Y523" s="4">
        <v>0.75</v>
      </c>
      <c r="Z523" s="4">
        <v>957.48394800000005</v>
      </c>
      <c r="AA523" s="4">
        <v>0.01</v>
      </c>
      <c r="AC523" s="4" t="s">
        <v>292</v>
      </c>
      <c r="AD523" s="4">
        <v>0.9</v>
      </c>
      <c r="AE523" s="4">
        <v>0.5</v>
      </c>
      <c r="AF523" s="4">
        <v>0.6</v>
      </c>
      <c r="AG523" s="4">
        <v>0.3</v>
      </c>
      <c r="AH523" s="6">
        <v>810.06994599999996</v>
      </c>
      <c r="AI523" s="4">
        <v>4.0000000000000001E-3</v>
      </c>
      <c r="AJ523" s="5"/>
      <c r="AK523" s="5"/>
      <c r="AL523" s="5"/>
      <c r="AM523" s="5"/>
      <c r="AO523" s="4" t="s">
        <v>293</v>
      </c>
      <c r="AP523" s="4">
        <v>0.9</v>
      </c>
      <c r="AQ523" s="4">
        <v>0.5</v>
      </c>
      <c r="AR523" s="4">
        <v>0.6</v>
      </c>
      <c r="AS523" s="4">
        <v>0.32</v>
      </c>
      <c r="AT523" s="6">
        <v>1128.5863039999999</v>
      </c>
      <c r="AU523" s="4">
        <v>2.7E-2</v>
      </c>
      <c r="AW523" s="4" t="s">
        <v>293</v>
      </c>
      <c r="AX523" s="4">
        <v>0.9</v>
      </c>
      <c r="AY523" s="4">
        <v>0.5</v>
      </c>
      <c r="AZ523" s="4">
        <v>0.6</v>
      </c>
      <c r="BA523" s="4">
        <v>0.32</v>
      </c>
      <c r="BB523" s="4">
        <v>1130.606567</v>
      </c>
      <c r="BC523" s="4">
        <v>0.01</v>
      </c>
      <c r="BD523" s="5"/>
      <c r="BE523" s="5"/>
      <c r="BF523" s="5"/>
      <c r="BG523" s="5"/>
      <c r="BI523" s="4" t="s">
        <v>293</v>
      </c>
      <c r="BJ523" s="4">
        <v>0.9</v>
      </c>
      <c r="BK523" s="4">
        <v>0.5</v>
      </c>
      <c r="BL523" s="4">
        <v>0.6</v>
      </c>
      <c r="BM523" s="4">
        <v>0.64</v>
      </c>
      <c r="BN523" s="4">
        <v>1334.6851810000001</v>
      </c>
      <c r="BO523" s="4">
        <v>3.4000000000000002E-2</v>
      </c>
      <c r="BQ523" s="4" t="s">
        <v>293</v>
      </c>
      <c r="BR523" s="4">
        <v>0.9</v>
      </c>
      <c r="BS523" s="4">
        <v>0.5</v>
      </c>
      <c r="BT523" s="4">
        <v>0.6</v>
      </c>
      <c r="BU523" s="4">
        <v>0.3</v>
      </c>
      <c r="BV523" s="6">
        <v>1146.1613769999999</v>
      </c>
      <c r="BW523" s="4">
        <v>0.02</v>
      </c>
      <c r="BX523" s="5"/>
      <c r="BY523" s="5"/>
      <c r="BZ523" s="5"/>
      <c r="CA523" s="5"/>
    </row>
    <row r="524" spans="1:79" x14ac:dyDescent="0.3">
      <c r="A524" s="4" t="s">
        <v>294</v>
      </c>
      <c r="B524" s="4">
        <v>0.9</v>
      </c>
      <c r="C524" s="4">
        <v>0.5</v>
      </c>
      <c r="D524" s="4">
        <v>0.6</v>
      </c>
      <c r="E524" s="4">
        <v>0.47</v>
      </c>
      <c r="F524" s="4">
        <v>1024.871948</v>
      </c>
      <c r="G524" s="4">
        <v>0.02</v>
      </c>
      <c r="I524" s="4" t="s">
        <v>294</v>
      </c>
      <c r="J524" s="4">
        <v>0.9</v>
      </c>
      <c r="K524" s="4">
        <v>0.5</v>
      </c>
      <c r="L524" s="4">
        <v>0.6</v>
      </c>
      <c r="M524" s="4">
        <v>0.32</v>
      </c>
      <c r="N524" s="6">
        <v>962.00006099999996</v>
      </c>
      <c r="O524" s="4">
        <v>4.0000000000000001E-3</v>
      </c>
      <c r="P524" s="5"/>
      <c r="Q524" s="5"/>
      <c r="R524" s="5"/>
      <c r="S524" s="5"/>
      <c r="U524" s="4" t="s">
        <v>294</v>
      </c>
      <c r="V524" s="4">
        <v>0.9</v>
      </c>
      <c r="W524" s="4">
        <v>0.5</v>
      </c>
      <c r="X524" s="4">
        <v>0.6</v>
      </c>
      <c r="Y524" s="4">
        <v>0.91</v>
      </c>
      <c r="Z524" s="4">
        <v>1134.599976</v>
      </c>
      <c r="AA524" s="4">
        <v>2.1000000000000001E-2</v>
      </c>
      <c r="AC524" s="4" t="s">
        <v>294</v>
      </c>
      <c r="AD524" s="4">
        <v>0.9</v>
      </c>
      <c r="AE524" s="4">
        <v>0.5</v>
      </c>
      <c r="AF524" s="4">
        <v>0.6</v>
      </c>
      <c r="AG524" s="4">
        <v>0.31</v>
      </c>
      <c r="AH524" s="6">
        <v>946.67114300000003</v>
      </c>
      <c r="AI524" s="4">
        <v>5.0000000000000001E-3</v>
      </c>
      <c r="AJ524" s="5"/>
      <c r="AK524" s="5"/>
      <c r="AL524" s="5"/>
      <c r="AM524" s="5"/>
      <c r="AO524" s="4" t="s">
        <v>295</v>
      </c>
      <c r="AP524" s="4">
        <v>0.9</v>
      </c>
      <c r="AQ524" s="4">
        <v>0.5</v>
      </c>
      <c r="AR524" s="4">
        <v>0.6</v>
      </c>
      <c r="AS524" s="4">
        <v>0.02</v>
      </c>
      <c r="AT524" s="6">
        <v>986.51397699999995</v>
      </c>
      <c r="AU524" s="4">
        <v>3.9E-2</v>
      </c>
      <c r="AW524" s="4" t="s">
        <v>295</v>
      </c>
      <c r="AX524" s="4">
        <v>0.9</v>
      </c>
      <c r="AY524" s="4">
        <v>0.5</v>
      </c>
      <c r="AZ524" s="4">
        <v>0.6</v>
      </c>
      <c r="BA524" s="4">
        <v>0.31</v>
      </c>
      <c r="BB524" s="4">
        <v>1218.6689449999999</v>
      </c>
      <c r="BC524" s="4">
        <v>1.0999999999999999E-2</v>
      </c>
      <c r="BD524" s="5"/>
      <c r="BE524" s="5"/>
      <c r="BF524" s="5"/>
      <c r="BG524" s="5"/>
      <c r="BI524" s="4" t="s">
        <v>295</v>
      </c>
      <c r="BJ524" s="4">
        <v>0.9</v>
      </c>
      <c r="BK524" s="4">
        <v>0.5</v>
      </c>
      <c r="BL524" s="4">
        <v>0.6</v>
      </c>
      <c r="BM524" s="4">
        <v>0.27</v>
      </c>
      <c r="BN524" s="6">
        <v>1172.852783</v>
      </c>
      <c r="BO524" s="4">
        <v>2.1000000000000001E-2</v>
      </c>
      <c r="BQ524" s="4" t="s">
        <v>295</v>
      </c>
      <c r="BR524" s="4">
        <v>0.9</v>
      </c>
      <c r="BS524" s="4">
        <v>0.5</v>
      </c>
      <c r="BT524" s="4">
        <v>0.6</v>
      </c>
      <c r="BU524" s="4">
        <v>0.32</v>
      </c>
      <c r="BV524" s="4">
        <v>1224.6313479999999</v>
      </c>
      <c r="BW524" s="4">
        <v>1.7000000000000001E-2</v>
      </c>
      <c r="BX524" s="5"/>
      <c r="BY524" s="5"/>
      <c r="BZ524" s="5"/>
      <c r="CA524" s="5"/>
    </row>
    <row r="525" spans="1:79" x14ac:dyDescent="0.3">
      <c r="A525" s="4" t="s">
        <v>296</v>
      </c>
      <c r="B525" s="4">
        <v>0.9</v>
      </c>
      <c r="C525" s="4">
        <v>0.5</v>
      </c>
      <c r="D525" s="4">
        <v>0.6</v>
      </c>
      <c r="E525" s="4">
        <v>0.25</v>
      </c>
      <c r="F525" s="4">
        <v>862.47668499999997</v>
      </c>
      <c r="G525" s="4">
        <v>1.2999999999999999E-2</v>
      </c>
      <c r="I525" s="4" t="s">
        <v>296</v>
      </c>
      <c r="J525" s="4">
        <v>0.9</v>
      </c>
      <c r="K525" s="4">
        <v>0.5</v>
      </c>
      <c r="L525" s="4">
        <v>0.6</v>
      </c>
      <c r="M525" s="4">
        <v>0.3</v>
      </c>
      <c r="N525" s="6">
        <v>925.25183100000004</v>
      </c>
      <c r="O525" s="4">
        <v>3.0000000000000001E-3</v>
      </c>
      <c r="P525" s="5"/>
      <c r="Q525" s="5"/>
      <c r="R525" s="5"/>
      <c r="S525" s="5"/>
      <c r="U525" s="4" t="s">
        <v>296</v>
      </c>
      <c r="V525" s="4">
        <v>0.9</v>
      </c>
      <c r="W525" s="4">
        <v>0.5</v>
      </c>
      <c r="X525" s="4">
        <v>0.6</v>
      </c>
      <c r="Y525" s="4">
        <v>0.61</v>
      </c>
      <c r="Z525" s="4">
        <v>1021.223938</v>
      </c>
      <c r="AA525" s="4">
        <v>1.7000000000000001E-2</v>
      </c>
      <c r="AC525" s="4" t="s">
        <v>296</v>
      </c>
      <c r="AD525" s="4">
        <v>0.9</v>
      </c>
      <c r="AE525" s="4">
        <v>0.5</v>
      </c>
      <c r="AF525" s="4">
        <v>0.6</v>
      </c>
      <c r="AG525" s="4">
        <v>0.31</v>
      </c>
      <c r="AH525" s="6">
        <v>949.22143600000004</v>
      </c>
      <c r="AI525" s="4">
        <v>7.0000000000000001E-3</v>
      </c>
      <c r="AJ525" s="5"/>
      <c r="AK525" s="5"/>
      <c r="AL525" s="5"/>
      <c r="AM525" s="5"/>
      <c r="AO525" s="4" t="s">
        <v>297</v>
      </c>
      <c r="AP525" s="4">
        <v>0.9</v>
      </c>
      <c r="AQ525" s="4">
        <v>0.5</v>
      </c>
      <c r="AR525" s="4">
        <v>0.6</v>
      </c>
      <c r="AS525" s="4">
        <v>0.88</v>
      </c>
      <c r="AT525" s="4">
        <v>1489.1455080000001</v>
      </c>
      <c r="AU525" s="4">
        <v>3.6999999999999998E-2</v>
      </c>
      <c r="AW525" s="4" t="s">
        <v>297</v>
      </c>
      <c r="AX525" s="4">
        <v>0.9</v>
      </c>
      <c r="AY525" s="4">
        <v>0.5</v>
      </c>
      <c r="AZ525" s="4">
        <v>0.6</v>
      </c>
      <c r="BA525" s="4">
        <v>0.32</v>
      </c>
      <c r="BB525" s="6">
        <v>1189.103638</v>
      </c>
      <c r="BC525" s="4">
        <v>8.9999999999999993E-3</v>
      </c>
      <c r="BD525" s="5"/>
      <c r="BE525" s="5"/>
      <c r="BF525" s="5"/>
      <c r="BG525" s="5"/>
      <c r="BI525" s="4" t="s">
        <v>297</v>
      </c>
      <c r="BJ525" s="4">
        <v>0.9</v>
      </c>
      <c r="BK525" s="4">
        <v>0.5</v>
      </c>
      <c r="BL525" s="4">
        <v>0.6</v>
      </c>
      <c r="BM525" s="4">
        <v>0.61</v>
      </c>
      <c r="BN525" s="4">
        <v>1391.044312</v>
      </c>
      <c r="BO525" s="4">
        <v>1.2999999999999999E-2</v>
      </c>
      <c r="BQ525" s="4" t="s">
        <v>297</v>
      </c>
      <c r="BR525" s="4">
        <v>0.9</v>
      </c>
      <c r="BS525" s="4">
        <v>0.5</v>
      </c>
      <c r="BT525" s="4">
        <v>0.6</v>
      </c>
      <c r="BU525" s="4">
        <v>0.3</v>
      </c>
      <c r="BV525" s="6">
        <v>1117.4776609999999</v>
      </c>
      <c r="BW525" s="4">
        <v>1.6E-2</v>
      </c>
      <c r="BX525" s="5"/>
      <c r="BY525" s="5"/>
      <c r="BZ525" s="5"/>
      <c r="CA525" s="5"/>
    </row>
    <row r="526" spans="1:79" x14ac:dyDescent="0.3">
      <c r="A526" s="4" t="s">
        <v>298</v>
      </c>
      <c r="B526" s="4">
        <v>0.9</v>
      </c>
      <c r="C526" s="4">
        <v>0.5</v>
      </c>
      <c r="D526" s="4">
        <v>0.6</v>
      </c>
      <c r="E526" s="4">
        <v>0.5</v>
      </c>
      <c r="F526" s="4">
        <v>902.97656199999994</v>
      </c>
      <c r="G526" s="4">
        <v>2.3E-2</v>
      </c>
      <c r="I526" s="4" t="s">
        <v>298</v>
      </c>
      <c r="J526" s="4">
        <v>0.9</v>
      </c>
      <c r="K526" s="4">
        <v>0.5</v>
      </c>
      <c r="L526" s="4">
        <v>0.6</v>
      </c>
      <c r="M526" s="4">
        <v>0.32</v>
      </c>
      <c r="N526" s="6">
        <v>795.98419200000001</v>
      </c>
      <c r="O526" s="4">
        <v>5.0000000000000001E-3</v>
      </c>
      <c r="P526" s="5"/>
      <c r="Q526" s="5"/>
      <c r="R526" s="5"/>
      <c r="S526" s="5"/>
      <c r="U526" s="4" t="s">
        <v>298</v>
      </c>
      <c r="V526" s="4">
        <v>0.9</v>
      </c>
      <c r="W526" s="4">
        <v>0.5</v>
      </c>
      <c r="X526" s="4">
        <v>0.6</v>
      </c>
      <c r="Y526" s="4">
        <v>0.24</v>
      </c>
      <c r="Z526" s="6">
        <v>742.66467299999999</v>
      </c>
      <c r="AA526" s="4">
        <v>8.9999999999999993E-3</v>
      </c>
      <c r="AC526" s="4" t="s">
        <v>298</v>
      </c>
      <c r="AD526" s="4">
        <v>0.9</v>
      </c>
      <c r="AE526" s="4">
        <v>0.5</v>
      </c>
      <c r="AF526" s="4">
        <v>0.6</v>
      </c>
      <c r="AG526" s="4">
        <v>0.3</v>
      </c>
      <c r="AH526" s="4">
        <v>797.88378899999998</v>
      </c>
      <c r="AI526" s="4">
        <v>5.0000000000000001E-3</v>
      </c>
      <c r="AJ526" s="5"/>
      <c r="AK526" s="5"/>
      <c r="AL526" s="5"/>
      <c r="AM526" s="5"/>
      <c r="AO526" s="4" t="s">
        <v>299</v>
      </c>
      <c r="AP526" s="4">
        <v>0.9</v>
      </c>
      <c r="AQ526" s="4">
        <v>0.5</v>
      </c>
      <c r="AR526" s="4">
        <v>0.6</v>
      </c>
      <c r="AS526" s="4">
        <v>0.86</v>
      </c>
      <c r="AT526" s="4">
        <v>1608.1096190000001</v>
      </c>
      <c r="AU526" s="4">
        <v>2.4E-2</v>
      </c>
      <c r="AW526" s="4" t="s">
        <v>299</v>
      </c>
      <c r="AX526" s="4">
        <v>0.9</v>
      </c>
      <c r="AY526" s="4">
        <v>0.5</v>
      </c>
      <c r="AZ526" s="4">
        <v>0.6</v>
      </c>
      <c r="BA526" s="4">
        <v>0.33</v>
      </c>
      <c r="BB526" s="6">
        <v>1195.5864260000001</v>
      </c>
      <c r="BC526" s="4">
        <v>0.01</v>
      </c>
      <c r="BD526" s="5"/>
      <c r="BE526" s="5"/>
      <c r="BF526" s="5"/>
      <c r="BG526" s="5"/>
      <c r="BI526" s="4" t="s">
        <v>299</v>
      </c>
      <c r="BJ526" s="4">
        <v>0.9</v>
      </c>
      <c r="BK526" s="4">
        <v>0.5</v>
      </c>
      <c r="BL526" s="4">
        <v>0.6</v>
      </c>
      <c r="BM526" s="4">
        <v>0.08</v>
      </c>
      <c r="BN526" s="6">
        <v>1013.579102</v>
      </c>
      <c r="BO526" s="4">
        <v>3.7999999999999999E-2</v>
      </c>
      <c r="BQ526" s="4" t="s">
        <v>299</v>
      </c>
      <c r="BR526" s="4">
        <v>0.9</v>
      </c>
      <c r="BS526" s="4">
        <v>0.5</v>
      </c>
      <c r="BT526" s="4">
        <v>0.6</v>
      </c>
      <c r="BU526" s="4">
        <v>0.3</v>
      </c>
      <c r="BV526" s="4">
        <v>1205.013672</v>
      </c>
      <c r="BW526" s="4">
        <v>1.2E-2</v>
      </c>
      <c r="BX526" s="5"/>
      <c r="BY526" s="5"/>
      <c r="BZ526" s="5"/>
      <c r="CA526" s="5"/>
    </row>
    <row r="527" spans="1:79" x14ac:dyDescent="0.3">
      <c r="A527" s="4" t="s">
        <v>300</v>
      </c>
      <c r="B527" s="4">
        <v>0.9</v>
      </c>
      <c r="C527" s="4">
        <v>0.5</v>
      </c>
      <c r="D527" s="4">
        <v>0.6</v>
      </c>
      <c r="E527" s="4">
        <v>0.88</v>
      </c>
      <c r="F527" s="4">
        <v>1003.011536</v>
      </c>
      <c r="G527" s="4">
        <v>1.0999999999999999E-2</v>
      </c>
      <c r="I527" s="4" t="s">
        <v>300</v>
      </c>
      <c r="J527" s="4">
        <v>0.9</v>
      </c>
      <c r="K527" s="4">
        <v>0.5</v>
      </c>
      <c r="L527" s="4">
        <v>0.6</v>
      </c>
      <c r="M527" s="4">
        <v>0.31</v>
      </c>
      <c r="N527" s="6">
        <v>859.44512899999995</v>
      </c>
      <c r="O527" s="4">
        <v>4.0000000000000001E-3</v>
      </c>
      <c r="P527" s="5"/>
      <c r="Q527" s="5"/>
      <c r="R527" s="5"/>
      <c r="S527" s="5"/>
      <c r="U527" s="4" t="s">
        <v>300</v>
      </c>
      <c r="V527" s="4">
        <v>0.9</v>
      </c>
      <c r="W527" s="4">
        <v>0.5</v>
      </c>
      <c r="X527" s="4">
        <v>0.6</v>
      </c>
      <c r="Y527" s="4">
        <v>0.77</v>
      </c>
      <c r="Z527" s="4">
        <v>996.54907200000002</v>
      </c>
      <c r="AA527" s="4">
        <v>0.02</v>
      </c>
      <c r="AC527" s="4" t="s">
        <v>300</v>
      </c>
      <c r="AD527" s="4">
        <v>0.9</v>
      </c>
      <c r="AE527" s="4">
        <v>0.5</v>
      </c>
      <c r="AF527" s="4">
        <v>0.6</v>
      </c>
      <c r="AG527" s="4">
        <v>0.35</v>
      </c>
      <c r="AH527" s="6">
        <v>832.82849099999999</v>
      </c>
      <c r="AI527" s="4">
        <v>3.0000000000000001E-3</v>
      </c>
      <c r="AJ527" s="5"/>
      <c r="AK527" s="5"/>
      <c r="AL527" s="5"/>
      <c r="AM527" s="5"/>
      <c r="AO527" s="4" t="s">
        <v>301</v>
      </c>
      <c r="AP527" s="4">
        <v>0.9</v>
      </c>
      <c r="AQ527" s="4">
        <v>0.5</v>
      </c>
      <c r="AR527" s="4">
        <v>0.6</v>
      </c>
      <c r="AS527" s="4">
        <v>0.45</v>
      </c>
      <c r="AT527" s="4">
        <v>1249.409302</v>
      </c>
      <c r="AU527" s="4">
        <v>1.9E-2</v>
      </c>
      <c r="AW527" s="4" t="s">
        <v>301</v>
      </c>
      <c r="AX527" s="4">
        <v>0.9</v>
      </c>
      <c r="AY527" s="4">
        <v>0.5</v>
      </c>
      <c r="AZ527" s="4">
        <v>0.6</v>
      </c>
      <c r="BA527" s="4">
        <v>0.3</v>
      </c>
      <c r="BB527" s="6">
        <v>1195.0170900000001</v>
      </c>
      <c r="BC527" s="4">
        <v>8.9999999999999993E-3</v>
      </c>
      <c r="BD527" s="5"/>
      <c r="BE527" s="5"/>
      <c r="BF527" s="5"/>
      <c r="BG527" s="5"/>
      <c r="BI527" s="4" t="s">
        <v>301</v>
      </c>
      <c r="BJ527" s="4">
        <v>0.9</v>
      </c>
      <c r="BK527" s="4">
        <v>0.5</v>
      </c>
      <c r="BL527" s="4">
        <v>0.6</v>
      </c>
      <c r="BM527" s="4">
        <v>0.9</v>
      </c>
      <c r="BN527" s="4">
        <v>1502.217529</v>
      </c>
      <c r="BO527" s="4">
        <v>2.1000000000000001E-2</v>
      </c>
      <c r="BQ527" s="4" t="s">
        <v>301</v>
      </c>
      <c r="BR527" s="4">
        <v>0.9</v>
      </c>
      <c r="BS527" s="4">
        <v>0.5</v>
      </c>
      <c r="BT527" s="4">
        <v>0.6</v>
      </c>
      <c r="BU527" s="4">
        <v>0.31</v>
      </c>
      <c r="BV527" s="6">
        <v>1159.2531739999999</v>
      </c>
      <c r="BW527" s="4">
        <v>1.6E-2</v>
      </c>
      <c r="BX527" s="5"/>
      <c r="BY527" s="5"/>
      <c r="BZ527" s="5"/>
      <c r="CA527" s="5"/>
    </row>
    <row r="528" spans="1:79" x14ac:dyDescent="0.3">
      <c r="A528" s="4" t="s">
        <v>302</v>
      </c>
      <c r="B528" s="4">
        <v>0.9</v>
      </c>
      <c r="C528" s="4">
        <v>0.5</v>
      </c>
      <c r="D528" s="4">
        <v>0.6</v>
      </c>
      <c r="E528" s="4">
        <v>0.09</v>
      </c>
      <c r="F528" s="6">
        <v>731.26531999999997</v>
      </c>
      <c r="G528" s="4">
        <v>1.2999999999999999E-2</v>
      </c>
      <c r="I528" s="4" t="s">
        <v>302</v>
      </c>
      <c r="J528" s="4">
        <v>0.9</v>
      </c>
      <c r="K528" s="4">
        <v>0.5</v>
      </c>
      <c r="L528" s="4">
        <v>0.6</v>
      </c>
      <c r="M528" s="4">
        <v>0.31</v>
      </c>
      <c r="N528" s="4">
        <v>838.38708499999996</v>
      </c>
      <c r="O528" s="4">
        <v>4.0000000000000001E-3</v>
      </c>
      <c r="P528" s="5"/>
      <c r="Q528" s="5"/>
      <c r="R528" s="5"/>
      <c r="S528" s="5"/>
      <c r="U528" s="4" t="s">
        <v>302</v>
      </c>
      <c r="V528" s="4">
        <v>0.9</v>
      </c>
      <c r="W528" s="4">
        <v>0.5</v>
      </c>
      <c r="X528" s="4">
        <v>0.6</v>
      </c>
      <c r="Y528" s="4">
        <v>0.38</v>
      </c>
      <c r="Z528" s="4">
        <v>862.02368200000001</v>
      </c>
      <c r="AA528" s="4">
        <v>0.01</v>
      </c>
      <c r="AC528" s="4" t="s">
        <v>302</v>
      </c>
      <c r="AD528" s="4">
        <v>0.9</v>
      </c>
      <c r="AE528" s="4">
        <v>0.5</v>
      </c>
      <c r="AF528" s="4">
        <v>0.6</v>
      </c>
      <c r="AG528" s="4">
        <v>0.3</v>
      </c>
      <c r="AH528" s="6">
        <v>830.33563200000003</v>
      </c>
      <c r="AI528" s="4">
        <v>7.0000000000000001E-3</v>
      </c>
      <c r="AJ528" s="5"/>
      <c r="AK528" s="5"/>
      <c r="AL528" s="5"/>
      <c r="AM528" s="5"/>
      <c r="AO528" s="4" t="s">
        <v>303</v>
      </c>
      <c r="AP528" s="4">
        <v>0.9</v>
      </c>
      <c r="AQ528" s="4">
        <v>0.5</v>
      </c>
      <c r="AR528" s="4">
        <v>0.6</v>
      </c>
      <c r="AS528" s="4">
        <v>0.08</v>
      </c>
      <c r="AT528" s="6">
        <v>989.67828399999996</v>
      </c>
      <c r="AU528" s="4">
        <v>3.2000000000000001E-2</v>
      </c>
      <c r="AW528" s="4" t="s">
        <v>303</v>
      </c>
      <c r="AX528" s="4">
        <v>0.9</v>
      </c>
      <c r="AY528" s="4">
        <v>0.5</v>
      </c>
      <c r="AZ528" s="4">
        <v>0.6</v>
      </c>
      <c r="BA528" s="4">
        <v>0.3</v>
      </c>
      <c r="BB528" s="4">
        <v>1161.1920170000001</v>
      </c>
      <c r="BC528" s="4">
        <v>0.01</v>
      </c>
      <c r="BD528" s="5"/>
      <c r="BE528" s="5"/>
      <c r="BF528" s="5"/>
      <c r="BG528" s="5"/>
      <c r="BI528" s="4" t="s">
        <v>303</v>
      </c>
      <c r="BJ528" s="4">
        <v>0.9</v>
      </c>
      <c r="BK528" s="4">
        <v>0.5</v>
      </c>
      <c r="BL528" s="4">
        <v>0.6</v>
      </c>
      <c r="BM528" s="4">
        <v>0.48</v>
      </c>
      <c r="BN528" s="4">
        <v>1220.93335</v>
      </c>
      <c r="BO528" s="4">
        <v>2.1999999999999999E-2</v>
      </c>
      <c r="BQ528" s="4" t="s">
        <v>303</v>
      </c>
      <c r="BR528" s="4">
        <v>0.9</v>
      </c>
      <c r="BS528" s="4">
        <v>0.5</v>
      </c>
      <c r="BT528" s="4">
        <v>0.6</v>
      </c>
      <c r="BU528" s="4">
        <v>0.31</v>
      </c>
      <c r="BV528" s="6">
        <v>1131.8514399999999</v>
      </c>
      <c r="BW528" s="4">
        <v>1.2E-2</v>
      </c>
      <c r="BX528" s="5"/>
      <c r="BY528" s="5"/>
      <c r="BZ528" s="5"/>
      <c r="CA528" s="5"/>
    </row>
    <row r="529" spans="1:79" x14ac:dyDescent="0.3">
      <c r="A529" s="4" t="s">
        <v>304</v>
      </c>
      <c r="B529" s="4">
        <v>0.9</v>
      </c>
      <c r="C529" s="4">
        <v>0.5</v>
      </c>
      <c r="D529" s="4">
        <v>0.6</v>
      </c>
      <c r="E529" s="4">
        <v>0.08</v>
      </c>
      <c r="F529" s="6">
        <v>792.81195100000002</v>
      </c>
      <c r="G529" s="4">
        <v>5.0000000000000001E-3</v>
      </c>
      <c r="I529" s="4" t="s">
        <v>304</v>
      </c>
      <c r="J529" s="4">
        <v>0.9</v>
      </c>
      <c r="K529" s="4">
        <v>0.5</v>
      </c>
      <c r="L529" s="4">
        <v>0.6</v>
      </c>
      <c r="M529" s="4">
        <v>0.31</v>
      </c>
      <c r="N529" s="4">
        <v>924.9375</v>
      </c>
      <c r="O529" s="4">
        <v>4.0000000000000001E-3</v>
      </c>
      <c r="P529" s="5"/>
      <c r="Q529" s="5"/>
      <c r="R529" s="5"/>
      <c r="S529" s="5"/>
      <c r="U529" s="4" t="s">
        <v>304</v>
      </c>
      <c r="V529" s="4">
        <v>0.9</v>
      </c>
      <c r="W529" s="4">
        <v>0.5</v>
      </c>
      <c r="X529" s="4">
        <v>0.6</v>
      </c>
      <c r="Y529" s="4">
        <v>0.54</v>
      </c>
      <c r="Z529" s="4">
        <v>1009.947449</v>
      </c>
      <c r="AA529" s="4">
        <v>1.2999999999999999E-2</v>
      </c>
      <c r="AC529" s="4" t="s">
        <v>304</v>
      </c>
      <c r="AD529" s="4">
        <v>0.9</v>
      </c>
      <c r="AE529" s="4">
        <v>0.5</v>
      </c>
      <c r="AF529" s="4">
        <v>0.6</v>
      </c>
      <c r="AG529" s="4">
        <v>0.33</v>
      </c>
      <c r="AH529" s="6">
        <v>926.47937000000002</v>
      </c>
      <c r="AI529" s="4">
        <v>4.0000000000000001E-3</v>
      </c>
      <c r="AJ529" s="5"/>
      <c r="AK529" s="5"/>
      <c r="AL529" s="5"/>
      <c r="AM529" s="5"/>
      <c r="AO529" s="4" t="s">
        <v>305</v>
      </c>
      <c r="AP529" s="4">
        <v>0.9</v>
      </c>
      <c r="AQ529" s="4">
        <v>0.5</v>
      </c>
      <c r="AR529" s="4">
        <v>0.6</v>
      </c>
      <c r="AS529" s="4">
        <v>0.6</v>
      </c>
      <c r="AT529" s="4">
        <v>1397.4261469999999</v>
      </c>
      <c r="AU529" s="4">
        <v>2.8000000000000001E-2</v>
      </c>
      <c r="AW529" s="4" t="s">
        <v>305</v>
      </c>
      <c r="AX529" s="4">
        <v>0.9</v>
      </c>
      <c r="AY529" s="4">
        <v>0.5</v>
      </c>
      <c r="AZ529" s="4">
        <v>0.6</v>
      </c>
      <c r="BA529" s="4">
        <v>0.3</v>
      </c>
      <c r="BB529" s="6">
        <v>1173.6026609999999</v>
      </c>
      <c r="BC529" s="4">
        <v>0.01</v>
      </c>
      <c r="BD529" s="5"/>
      <c r="BE529" s="5"/>
      <c r="BF529" s="5"/>
      <c r="BG529" s="5"/>
      <c r="BI529" s="4" t="s">
        <v>305</v>
      </c>
      <c r="BJ529" s="4">
        <v>0.9</v>
      </c>
      <c r="BK529" s="4">
        <v>0.5</v>
      </c>
      <c r="BL529" s="4">
        <v>0.6</v>
      </c>
      <c r="BM529" s="4">
        <v>0.88</v>
      </c>
      <c r="BN529" s="4">
        <v>1556.099976</v>
      </c>
      <c r="BO529" s="4">
        <v>0.03</v>
      </c>
      <c r="BQ529" s="4" t="s">
        <v>305</v>
      </c>
      <c r="BR529" s="4">
        <v>0.9</v>
      </c>
      <c r="BS529" s="4">
        <v>0.5</v>
      </c>
      <c r="BT529" s="4">
        <v>0.6</v>
      </c>
      <c r="BU529" s="4">
        <v>0.3</v>
      </c>
      <c r="BV529" s="6">
        <v>1186.466797</v>
      </c>
      <c r="BW529" s="4">
        <v>2.3E-2</v>
      </c>
      <c r="BX529" s="5"/>
      <c r="BY529" s="5"/>
      <c r="BZ529" s="5"/>
      <c r="CA529" s="5"/>
    </row>
    <row r="530" spans="1:79" x14ac:dyDescent="0.3">
      <c r="A530" s="4" t="s">
        <v>306</v>
      </c>
      <c r="B530" s="4">
        <v>0.9</v>
      </c>
      <c r="C530" s="4">
        <v>0.5</v>
      </c>
      <c r="D530" s="4">
        <v>0.6</v>
      </c>
      <c r="E530" s="4">
        <v>0.23</v>
      </c>
      <c r="F530" s="6">
        <v>911.19781499999999</v>
      </c>
      <c r="G530" s="4">
        <v>2.4E-2</v>
      </c>
      <c r="I530" s="4" t="s">
        <v>306</v>
      </c>
      <c r="J530" s="4">
        <v>0.9</v>
      </c>
      <c r="K530" s="4">
        <v>0.5</v>
      </c>
      <c r="L530" s="4">
        <v>0.6</v>
      </c>
      <c r="M530" s="4">
        <v>0.32</v>
      </c>
      <c r="N530" s="4">
        <v>953.01605199999995</v>
      </c>
      <c r="O530" s="4">
        <v>3.0000000000000001E-3</v>
      </c>
      <c r="P530" s="5"/>
      <c r="Q530" s="5"/>
      <c r="R530" s="5"/>
      <c r="S530" s="5"/>
      <c r="U530" s="4" t="s">
        <v>306</v>
      </c>
      <c r="V530" s="4">
        <v>0.9</v>
      </c>
      <c r="W530" s="4">
        <v>0.5</v>
      </c>
      <c r="X530" s="4">
        <v>0.6</v>
      </c>
      <c r="Y530" s="4">
        <v>0.1</v>
      </c>
      <c r="Z530" s="6">
        <v>826.36901899999998</v>
      </c>
      <c r="AA530" s="4">
        <v>1.2999999999999999E-2</v>
      </c>
      <c r="AC530" s="4" t="s">
        <v>306</v>
      </c>
      <c r="AD530" s="4">
        <v>0.9</v>
      </c>
      <c r="AE530" s="4">
        <v>0.5</v>
      </c>
      <c r="AF530" s="4">
        <v>0.6</v>
      </c>
      <c r="AG530" s="4">
        <v>0.3</v>
      </c>
      <c r="AH530" s="4">
        <v>973.77099599999997</v>
      </c>
      <c r="AI530" s="4">
        <v>5.0000000000000001E-3</v>
      </c>
      <c r="AJ530" s="5"/>
      <c r="AK530" s="5"/>
      <c r="AL530" s="5"/>
      <c r="AM530" s="5"/>
      <c r="AO530" s="4" t="s">
        <v>307</v>
      </c>
      <c r="AP530" s="4">
        <v>0.9</v>
      </c>
      <c r="AQ530" s="4">
        <v>0.5</v>
      </c>
      <c r="AR530" s="4">
        <v>0.6</v>
      </c>
      <c r="AS530" s="4">
        <v>0.45</v>
      </c>
      <c r="AT530" s="4">
        <v>1302.483154</v>
      </c>
      <c r="AU530" s="4">
        <v>2.3E-2</v>
      </c>
      <c r="AW530" s="4" t="s">
        <v>307</v>
      </c>
      <c r="AX530" s="4">
        <v>0.9</v>
      </c>
      <c r="AY530" s="4">
        <v>0.5</v>
      </c>
      <c r="AZ530" s="4">
        <v>0.6</v>
      </c>
      <c r="BA530" s="4">
        <v>0.31</v>
      </c>
      <c r="BB530" s="6">
        <v>1172.9764399999999</v>
      </c>
      <c r="BC530" s="4">
        <v>0.01</v>
      </c>
      <c r="BD530" s="5"/>
      <c r="BE530" s="5"/>
      <c r="BF530" s="5"/>
      <c r="BG530" s="5"/>
      <c r="BI530" s="4" t="s">
        <v>307</v>
      </c>
      <c r="BJ530" s="4">
        <v>0.9</v>
      </c>
      <c r="BK530" s="4">
        <v>0.5</v>
      </c>
      <c r="BL530" s="4">
        <v>0.6</v>
      </c>
      <c r="BM530" s="4">
        <v>0.57999999999999996</v>
      </c>
      <c r="BN530" s="4">
        <v>1357.399414</v>
      </c>
      <c r="BO530" s="4">
        <v>1.7000000000000001E-2</v>
      </c>
      <c r="BQ530" s="4" t="s">
        <v>307</v>
      </c>
      <c r="BR530" s="4">
        <v>0.9</v>
      </c>
      <c r="BS530" s="4">
        <v>0.5</v>
      </c>
      <c r="BT530" s="4">
        <v>0.6</v>
      </c>
      <c r="BU530" s="4">
        <v>0.31</v>
      </c>
      <c r="BV530" s="6">
        <v>1179.3845209999999</v>
      </c>
      <c r="BW530" s="4">
        <v>1.2E-2</v>
      </c>
      <c r="BX530" s="5"/>
      <c r="BY530" s="5"/>
      <c r="BZ530" s="5"/>
      <c r="CA530" s="5"/>
    </row>
    <row r="531" spans="1:79" x14ac:dyDescent="0.3">
      <c r="A531" s="4" t="s">
        <v>308</v>
      </c>
      <c r="B531" s="4">
        <v>0.9</v>
      </c>
      <c r="C531" s="4">
        <v>0.5</v>
      </c>
      <c r="D531" s="4">
        <v>0.6</v>
      </c>
      <c r="E531" s="4">
        <v>0.86</v>
      </c>
      <c r="F531" s="4">
        <v>1109.007202</v>
      </c>
      <c r="G531" s="4">
        <v>2.1999999999999999E-2</v>
      </c>
      <c r="I531" s="4" t="s">
        <v>308</v>
      </c>
      <c r="J531" s="4">
        <v>0.9</v>
      </c>
      <c r="K531" s="4">
        <v>0.5</v>
      </c>
      <c r="L531" s="4">
        <v>0.6</v>
      </c>
      <c r="M531" s="4">
        <v>0.31</v>
      </c>
      <c r="N531" s="6">
        <v>952.17028800000003</v>
      </c>
      <c r="O531" s="4">
        <v>5.0000000000000001E-3</v>
      </c>
      <c r="P531" s="5"/>
      <c r="Q531" s="5"/>
      <c r="R531" s="5"/>
      <c r="S531" s="5"/>
      <c r="U531" s="4" t="s">
        <v>308</v>
      </c>
      <c r="V531" s="4">
        <v>0.9</v>
      </c>
      <c r="W531" s="4">
        <v>0.5</v>
      </c>
      <c r="X531" s="4">
        <v>0.6</v>
      </c>
      <c r="Y531" s="4">
        <v>0.04</v>
      </c>
      <c r="Z531" s="6">
        <v>831.24279799999999</v>
      </c>
      <c r="AA531" s="4">
        <v>2.1000000000000001E-2</v>
      </c>
      <c r="AC531" s="4" t="s">
        <v>308</v>
      </c>
      <c r="AD531" s="4">
        <v>0.9</v>
      </c>
      <c r="AE531" s="4">
        <v>0.5</v>
      </c>
      <c r="AF531" s="4">
        <v>0.6</v>
      </c>
      <c r="AG531" s="4">
        <v>0.31</v>
      </c>
      <c r="AH531" s="4">
        <v>958.56872599999997</v>
      </c>
      <c r="AI531" s="4">
        <v>5.0000000000000001E-3</v>
      </c>
      <c r="AJ531" s="5"/>
      <c r="AK531" s="5"/>
      <c r="AL531" s="5"/>
      <c r="AM531" s="5"/>
      <c r="AO531" s="4" t="s">
        <v>309</v>
      </c>
      <c r="AP531" s="4">
        <v>0.9</v>
      </c>
      <c r="AQ531" s="4">
        <v>0.5</v>
      </c>
      <c r="AR531" s="4">
        <v>0.6</v>
      </c>
      <c r="AS531" s="4">
        <v>0.78</v>
      </c>
      <c r="AT531" s="4">
        <v>1537.7055660000001</v>
      </c>
      <c r="AU531" s="4">
        <v>1.7999999999999999E-2</v>
      </c>
      <c r="AW531" s="4" t="s">
        <v>309</v>
      </c>
      <c r="AX531" s="4">
        <v>0.9</v>
      </c>
      <c r="AY531" s="4">
        <v>0.5</v>
      </c>
      <c r="AZ531" s="4">
        <v>0.6</v>
      </c>
      <c r="BA531" s="4">
        <v>0.32</v>
      </c>
      <c r="BB531" s="6">
        <v>1164.185303</v>
      </c>
      <c r="BC531" s="4">
        <v>0.01</v>
      </c>
      <c r="BD531" s="5"/>
      <c r="BE531" s="5"/>
      <c r="BF531" s="5"/>
      <c r="BG531" s="5"/>
      <c r="BI531" s="4" t="s">
        <v>309</v>
      </c>
      <c r="BJ531" s="4">
        <v>0.9</v>
      </c>
      <c r="BK531" s="4">
        <v>0.5</v>
      </c>
      <c r="BL531" s="4">
        <v>0.6</v>
      </c>
      <c r="BM531" s="4">
        <v>0.44</v>
      </c>
      <c r="BN531" s="4">
        <v>1284.8204350000001</v>
      </c>
      <c r="BO531" s="4">
        <v>2.1000000000000001E-2</v>
      </c>
      <c r="BQ531" s="4" t="s">
        <v>309</v>
      </c>
      <c r="BR531" s="4">
        <v>0.9</v>
      </c>
      <c r="BS531" s="4">
        <v>0.5</v>
      </c>
      <c r="BT531" s="4">
        <v>0.6</v>
      </c>
      <c r="BU531" s="4">
        <v>0.31</v>
      </c>
      <c r="BV531" s="6">
        <v>1189.9210210000001</v>
      </c>
      <c r="BW531" s="4">
        <v>1.7999999999999999E-2</v>
      </c>
      <c r="BX531" s="5"/>
      <c r="BY531" s="5"/>
      <c r="BZ531" s="5"/>
      <c r="CA531" s="5"/>
    </row>
    <row r="532" spans="1:79" x14ac:dyDescent="0.3">
      <c r="A532" s="4" t="s">
        <v>310</v>
      </c>
      <c r="B532" s="4">
        <v>0.9</v>
      </c>
      <c r="C532" s="4">
        <v>0.5</v>
      </c>
      <c r="D532" s="4">
        <v>0.6</v>
      </c>
      <c r="E532" s="4">
        <v>0.93</v>
      </c>
      <c r="F532" s="4">
        <v>1117.249634</v>
      </c>
      <c r="G532" s="4">
        <v>1.4E-2</v>
      </c>
      <c r="I532" s="4" t="s">
        <v>310</v>
      </c>
      <c r="J532" s="4">
        <v>0.9</v>
      </c>
      <c r="K532" s="4">
        <v>0.5</v>
      </c>
      <c r="L532" s="4">
        <v>0.6</v>
      </c>
      <c r="M532" s="4">
        <v>0.3</v>
      </c>
      <c r="N532" s="6">
        <v>905.31243900000004</v>
      </c>
      <c r="O532" s="4">
        <v>4.0000000000000001E-3</v>
      </c>
      <c r="P532" s="5"/>
      <c r="Q532" s="5"/>
      <c r="R532" s="5"/>
      <c r="S532" s="5"/>
      <c r="U532" s="4" t="s">
        <v>310</v>
      </c>
      <c r="V532" s="4">
        <v>0.9</v>
      </c>
      <c r="W532" s="4">
        <v>0.5</v>
      </c>
      <c r="X532" s="4">
        <v>0.6</v>
      </c>
      <c r="Y532" s="4">
        <v>0.74</v>
      </c>
      <c r="Z532" s="4">
        <v>1062.9383539999999</v>
      </c>
      <c r="AA532" s="4">
        <v>1.7000000000000001E-2</v>
      </c>
      <c r="AC532" s="4" t="s">
        <v>310</v>
      </c>
      <c r="AD532" s="4">
        <v>0.9</v>
      </c>
      <c r="AE532" s="4">
        <v>0.5</v>
      </c>
      <c r="AF532" s="4">
        <v>0.6</v>
      </c>
      <c r="AG532" s="4">
        <v>0.33</v>
      </c>
      <c r="AH532" s="6">
        <v>926.10180700000001</v>
      </c>
      <c r="AI532" s="4">
        <v>6.0000000000000001E-3</v>
      </c>
      <c r="AJ532" s="5"/>
      <c r="AK532" s="5"/>
      <c r="AL532" s="5"/>
      <c r="AM532" s="5"/>
      <c r="AO532" s="4" t="s">
        <v>311</v>
      </c>
      <c r="AP532" s="4">
        <v>0.9</v>
      </c>
      <c r="AQ532" s="4">
        <v>0.5</v>
      </c>
      <c r="AR532" s="4">
        <v>0.6</v>
      </c>
      <c r="AS532" s="4">
        <v>0.26</v>
      </c>
      <c r="AT532" s="6">
        <v>1153.251831</v>
      </c>
      <c r="AU532" s="4">
        <v>3.4000000000000002E-2</v>
      </c>
      <c r="AW532" s="4" t="s">
        <v>311</v>
      </c>
      <c r="AX532" s="4">
        <v>0.9</v>
      </c>
      <c r="AY532" s="4">
        <v>0.5</v>
      </c>
      <c r="AZ532" s="4">
        <v>0.6</v>
      </c>
      <c r="BA532" s="4">
        <v>0.34</v>
      </c>
      <c r="BB532" s="4">
        <v>1197.119263</v>
      </c>
      <c r="BC532" s="4">
        <v>1.0999999999999999E-2</v>
      </c>
      <c r="BD532" s="5"/>
      <c r="BE532" s="5"/>
      <c r="BF532" s="5"/>
      <c r="BG532" s="5"/>
      <c r="BI532" s="4" t="s">
        <v>311</v>
      </c>
      <c r="BJ532" s="4">
        <v>0.9</v>
      </c>
      <c r="BK532" s="4">
        <v>0.5</v>
      </c>
      <c r="BL532" s="4">
        <v>0.6</v>
      </c>
      <c r="BM532" s="4">
        <v>0.56999999999999995</v>
      </c>
      <c r="BN532" s="4">
        <v>1406.0848390000001</v>
      </c>
      <c r="BO532" s="4">
        <v>2.1000000000000001E-2</v>
      </c>
      <c r="BQ532" s="4" t="s">
        <v>311</v>
      </c>
      <c r="BR532" s="4">
        <v>0.9</v>
      </c>
      <c r="BS532" s="4">
        <v>0.5</v>
      </c>
      <c r="BT532" s="4">
        <v>0.6</v>
      </c>
      <c r="BU532" s="4">
        <v>0.31</v>
      </c>
      <c r="BV532" s="6">
        <v>1181.4993899999999</v>
      </c>
      <c r="BW532" s="4">
        <v>1.2E-2</v>
      </c>
      <c r="BX532" s="5"/>
      <c r="BY532" s="5"/>
      <c r="BZ532" s="5"/>
      <c r="CA532" s="5"/>
    </row>
    <row r="533" spans="1:79" x14ac:dyDescent="0.3">
      <c r="A533" s="4" t="s">
        <v>312</v>
      </c>
      <c r="B533" s="4">
        <v>0.9</v>
      </c>
      <c r="C533" s="4">
        <v>0.5</v>
      </c>
      <c r="D533" s="4">
        <v>0.6</v>
      </c>
      <c r="E533" s="4">
        <v>0.91</v>
      </c>
      <c r="F533" s="4">
        <v>1061.974976</v>
      </c>
      <c r="G533" s="4">
        <v>2.4E-2</v>
      </c>
      <c r="I533" s="4" t="s">
        <v>312</v>
      </c>
      <c r="J533" s="4">
        <v>0.9</v>
      </c>
      <c r="K533" s="4">
        <v>0.5</v>
      </c>
      <c r="L533" s="4">
        <v>0.6</v>
      </c>
      <c r="M533" s="4">
        <v>0.42</v>
      </c>
      <c r="N533" s="6">
        <v>921.28192100000001</v>
      </c>
      <c r="O533" s="4">
        <v>6.0000000000000001E-3</v>
      </c>
      <c r="P533" s="5"/>
      <c r="Q533" s="5"/>
      <c r="R533" s="5"/>
      <c r="S533" s="5"/>
      <c r="U533" s="4" t="s">
        <v>312</v>
      </c>
      <c r="V533" s="4">
        <v>0.9</v>
      </c>
      <c r="W533" s="4">
        <v>0.5</v>
      </c>
      <c r="X533" s="4">
        <v>0.6</v>
      </c>
      <c r="Y533" s="4">
        <v>0.94</v>
      </c>
      <c r="Z533" s="4">
        <v>1057.0520019999999</v>
      </c>
      <c r="AA533" s="4">
        <v>2.1999999999999999E-2</v>
      </c>
      <c r="AC533" s="4" t="s">
        <v>312</v>
      </c>
      <c r="AD533" s="4">
        <v>0.9</v>
      </c>
      <c r="AE533" s="4">
        <v>0.5</v>
      </c>
      <c r="AF533" s="4">
        <v>0.6</v>
      </c>
      <c r="AG533" s="4">
        <v>0.37</v>
      </c>
      <c r="AH533" s="6">
        <v>906.011841</v>
      </c>
      <c r="AI533" s="4">
        <v>5.0000000000000001E-3</v>
      </c>
      <c r="AJ533" s="5"/>
      <c r="AK533" s="5"/>
      <c r="AL533" s="5"/>
      <c r="AM533" s="5"/>
      <c r="AO533" s="4" t="s">
        <v>313</v>
      </c>
      <c r="AP533" s="4">
        <v>0.9</v>
      </c>
      <c r="AQ533" s="4">
        <v>0.5</v>
      </c>
      <c r="AR533" s="4">
        <v>0.6</v>
      </c>
      <c r="AS533" s="4">
        <v>0.83</v>
      </c>
      <c r="AT533" s="4">
        <v>1448.3095699999999</v>
      </c>
      <c r="AU533" s="4">
        <v>3.9E-2</v>
      </c>
      <c r="AW533" s="4" t="s">
        <v>313</v>
      </c>
      <c r="AX533" s="4">
        <v>0.9</v>
      </c>
      <c r="AY533" s="4">
        <v>0.5</v>
      </c>
      <c r="AZ533" s="4">
        <v>0.6</v>
      </c>
      <c r="BA533" s="4">
        <v>0.39</v>
      </c>
      <c r="BB533" s="6">
        <v>1196.5538329999999</v>
      </c>
      <c r="BC533" s="4">
        <v>1.2E-2</v>
      </c>
      <c r="BD533" s="5"/>
      <c r="BE533" s="5"/>
      <c r="BF533" s="5"/>
      <c r="BG533" s="5"/>
      <c r="BI533" s="4" t="s">
        <v>313</v>
      </c>
      <c r="BJ533" s="4">
        <v>0.9</v>
      </c>
      <c r="BK533" s="4">
        <v>0.5</v>
      </c>
      <c r="BL533" s="4">
        <v>0.6</v>
      </c>
      <c r="BM533" s="4">
        <v>0.26</v>
      </c>
      <c r="BN533" s="6">
        <v>1121.5445560000001</v>
      </c>
      <c r="BO533" s="4">
        <v>2.3E-2</v>
      </c>
      <c r="BQ533" s="4" t="s">
        <v>313</v>
      </c>
      <c r="BR533" s="4">
        <v>0.9</v>
      </c>
      <c r="BS533" s="4">
        <v>0.5</v>
      </c>
      <c r="BT533" s="4">
        <v>0.6</v>
      </c>
      <c r="BU533" s="4">
        <v>0.32</v>
      </c>
      <c r="BV533" s="4">
        <v>1205.542725</v>
      </c>
      <c r="BW533" s="4">
        <v>1.6E-2</v>
      </c>
      <c r="BX533" s="5"/>
      <c r="BY533" s="5"/>
      <c r="BZ533" s="5"/>
      <c r="CA533" s="5"/>
    </row>
    <row r="534" spans="1:79" x14ac:dyDescent="0.3">
      <c r="A534" s="14" t="s">
        <v>316</v>
      </c>
      <c r="E534" s="14">
        <f>AVERAGE(E504:E533)</f>
        <v>0.46700000000000003</v>
      </c>
      <c r="I534" s="14" t="s">
        <v>316</v>
      </c>
      <c r="M534" s="14">
        <f>AVERAGE(M504:M533)</f>
        <v>0.31866666666666671</v>
      </c>
      <c r="U534" s="14" t="s">
        <v>316</v>
      </c>
      <c r="Y534" s="14">
        <f>AVERAGE(Y504:Y533)</f>
        <v>0.47299999999999998</v>
      </c>
      <c r="AC534" s="14" t="s">
        <v>316</v>
      </c>
      <c r="AG534" s="14">
        <f>AVERAGE(AG504:AG533)</f>
        <v>0.31899999999999989</v>
      </c>
      <c r="AO534" s="14" t="s">
        <v>316</v>
      </c>
      <c r="AS534" s="14">
        <f>AVERAGE(AS504:AS533)</f>
        <v>0.52333333333333321</v>
      </c>
      <c r="AW534" s="14" t="s">
        <v>316</v>
      </c>
      <c r="BA534" s="14">
        <f>AVERAGE(BA504:BA533)</f>
        <v>0.31166666666666659</v>
      </c>
      <c r="BI534" s="14" t="s">
        <v>316</v>
      </c>
      <c r="BM534" s="14">
        <f>AVERAGE(BM504:BM533)</f>
        <v>0.48466666666666663</v>
      </c>
      <c r="BQ534" s="14" t="s">
        <v>316</v>
      </c>
      <c r="BU534" s="14">
        <f>AVERAGE(BU504:BU533)</f>
        <v>0.3096666666666667</v>
      </c>
    </row>
  </sheetData>
  <mergeCells count="180">
    <mergeCell ref="A429:G429"/>
    <mergeCell ref="A465:G465"/>
    <mergeCell ref="A501:G501"/>
    <mergeCell ref="A287:G287"/>
    <mergeCell ref="A322:G322"/>
    <mergeCell ref="A358:G358"/>
    <mergeCell ref="A394:G394"/>
    <mergeCell ref="I430:O430"/>
    <mergeCell ref="I465:O465"/>
    <mergeCell ref="I466:O466"/>
    <mergeCell ref="I501:O501"/>
    <mergeCell ref="I1:O1"/>
    <mergeCell ref="I2:O2"/>
    <mergeCell ref="I37:O37"/>
    <mergeCell ref="I38:O38"/>
    <mergeCell ref="I73:O73"/>
    <mergeCell ref="I74:O74"/>
    <mergeCell ref="I108:O108"/>
    <mergeCell ref="A215:G215"/>
    <mergeCell ref="A251:G251"/>
    <mergeCell ref="A1:G1"/>
    <mergeCell ref="A37:G37"/>
    <mergeCell ref="A73:G73"/>
    <mergeCell ref="A108:G108"/>
    <mergeCell ref="A144:G144"/>
    <mergeCell ref="A180:G180"/>
    <mergeCell ref="I145:O145"/>
    <mergeCell ref="I180:O180"/>
    <mergeCell ref="I181:O181"/>
    <mergeCell ref="I215:O215"/>
    <mergeCell ref="I502:O502"/>
    <mergeCell ref="U1:AA1"/>
    <mergeCell ref="U37:AA37"/>
    <mergeCell ref="U73:AA73"/>
    <mergeCell ref="U108:AA108"/>
    <mergeCell ref="U144:AA144"/>
    <mergeCell ref="I323:O323"/>
    <mergeCell ref="I358:O358"/>
    <mergeCell ref="I359:O359"/>
    <mergeCell ref="I394:O394"/>
    <mergeCell ref="I395:O395"/>
    <mergeCell ref="I429:O429"/>
    <mergeCell ref="I216:O216"/>
    <mergeCell ref="I251:O251"/>
    <mergeCell ref="I252:O252"/>
    <mergeCell ref="I287:O287"/>
    <mergeCell ref="I288:O288"/>
    <mergeCell ref="I322:O322"/>
    <mergeCell ref="I109:O109"/>
    <mergeCell ref="I144:O144"/>
    <mergeCell ref="U501:AA501"/>
    <mergeCell ref="U287:AA287"/>
    <mergeCell ref="U322:AA322"/>
    <mergeCell ref="U358:AA358"/>
    <mergeCell ref="AC1:AI1"/>
    <mergeCell ref="AC2:AI2"/>
    <mergeCell ref="AC37:AI37"/>
    <mergeCell ref="AC38:AI38"/>
    <mergeCell ref="AC73:AI73"/>
    <mergeCell ref="AC74:AI74"/>
    <mergeCell ref="U180:AA180"/>
    <mergeCell ref="U215:AA215"/>
    <mergeCell ref="U251:AA251"/>
    <mergeCell ref="AC108:AI108"/>
    <mergeCell ref="AC109:AI109"/>
    <mergeCell ref="AC144:AI144"/>
    <mergeCell ref="AC145:AI145"/>
    <mergeCell ref="AC180:AI180"/>
    <mergeCell ref="AC181:AI181"/>
    <mergeCell ref="U394:AA394"/>
    <mergeCell ref="U429:AA429"/>
    <mergeCell ref="U465:AA465"/>
    <mergeCell ref="AO144:AU144"/>
    <mergeCell ref="AO180:AU180"/>
    <mergeCell ref="AC429:AI429"/>
    <mergeCell ref="AC430:AI430"/>
    <mergeCell ref="AC465:AI465"/>
    <mergeCell ref="AC466:AI466"/>
    <mergeCell ref="AC501:AI501"/>
    <mergeCell ref="AC502:AI502"/>
    <mergeCell ref="AC322:AI322"/>
    <mergeCell ref="AC323:AI323"/>
    <mergeCell ref="AC358:AI358"/>
    <mergeCell ref="AC359:AI359"/>
    <mergeCell ref="AC394:AI394"/>
    <mergeCell ref="AC395:AI395"/>
    <mergeCell ref="AC215:AI215"/>
    <mergeCell ref="AC216:AI216"/>
    <mergeCell ref="AC251:AI251"/>
    <mergeCell ref="AC252:AI252"/>
    <mergeCell ref="AC287:AI287"/>
    <mergeCell ref="AC288:AI288"/>
    <mergeCell ref="AW145:BC145"/>
    <mergeCell ref="AW180:BC180"/>
    <mergeCell ref="AW181:BC181"/>
    <mergeCell ref="AW215:BC215"/>
    <mergeCell ref="AO429:AU429"/>
    <mergeCell ref="AO465:AU465"/>
    <mergeCell ref="AO501:AU501"/>
    <mergeCell ref="AW1:BC1"/>
    <mergeCell ref="AW2:BC2"/>
    <mergeCell ref="AW37:BC37"/>
    <mergeCell ref="AW38:BC38"/>
    <mergeCell ref="AW73:BC73"/>
    <mergeCell ref="AW74:BC74"/>
    <mergeCell ref="AW108:BC108"/>
    <mergeCell ref="AO215:AU215"/>
    <mergeCell ref="AO251:AU251"/>
    <mergeCell ref="AO287:AU287"/>
    <mergeCell ref="AO322:AU322"/>
    <mergeCell ref="AO358:AU358"/>
    <mergeCell ref="AO394:AU394"/>
    <mergeCell ref="AO1:AU1"/>
    <mergeCell ref="AO37:AU37"/>
    <mergeCell ref="AO73:AU73"/>
    <mergeCell ref="AO108:AU108"/>
    <mergeCell ref="AW430:BC430"/>
    <mergeCell ref="AW465:BC465"/>
    <mergeCell ref="AW466:BC466"/>
    <mergeCell ref="AW501:BC501"/>
    <mergeCell ref="AW502:BC502"/>
    <mergeCell ref="BI1:BO1"/>
    <mergeCell ref="BI37:BO37"/>
    <mergeCell ref="BI73:BO73"/>
    <mergeCell ref="BI108:BO108"/>
    <mergeCell ref="BI144:BO144"/>
    <mergeCell ref="AW323:BC323"/>
    <mergeCell ref="AW358:BC358"/>
    <mergeCell ref="AW359:BC359"/>
    <mergeCell ref="AW394:BC394"/>
    <mergeCell ref="AW395:BC395"/>
    <mergeCell ref="AW429:BC429"/>
    <mergeCell ref="AW216:BC216"/>
    <mergeCell ref="AW251:BC251"/>
    <mergeCell ref="AW252:BC252"/>
    <mergeCell ref="AW287:BC287"/>
    <mergeCell ref="AW288:BC288"/>
    <mergeCell ref="AW322:BC322"/>
    <mergeCell ref="AW109:BC109"/>
    <mergeCell ref="AW144:BC144"/>
    <mergeCell ref="BI394:BO394"/>
    <mergeCell ref="BI429:BO429"/>
    <mergeCell ref="BI465:BO465"/>
    <mergeCell ref="BI501:BO501"/>
    <mergeCell ref="BQ1:BW1"/>
    <mergeCell ref="BQ2:BW2"/>
    <mergeCell ref="BQ37:BW37"/>
    <mergeCell ref="BQ38:BW38"/>
    <mergeCell ref="BQ73:BW73"/>
    <mergeCell ref="BQ74:BW74"/>
    <mergeCell ref="BI180:BO180"/>
    <mergeCell ref="BI215:BO215"/>
    <mergeCell ref="BI251:BO251"/>
    <mergeCell ref="BI287:BO287"/>
    <mergeCell ref="BI322:BO322"/>
    <mergeCell ref="BI358:BO358"/>
    <mergeCell ref="BQ215:BW215"/>
    <mergeCell ref="BQ216:BW216"/>
    <mergeCell ref="BQ251:BW251"/>
    <mergeCell ref="BQ252:BW252"/>
    <mergeCell ref="BQ287:BW287"/>
    <mergeCell ref="BQ288:BW288"/>
    <mergeCell ref="BQ108:BW108"/>
    <mergeCell ref="BQ109:BW109"/>
    <mergeCell ref="BQ502:BW502"/>
    <mergeCell ref="BQ322:BW322"/>
    <mergeCell ref="BQ323:BW323"/>
    <mergeCell ref="BQ358:BW358"/>
    <mergeCell ref="BQ359:BW359"/>
    <mergeCell ref="BQ394:BW394"/>
    <mergeCell ref="BQ395:BW395"/>
    <mergeCell ref="BQ144:BW144"/>
    <mergeCell ref="BQ145:BW145"/>
    <mergeCell ref="BQ180:BW180"/>
    <mergeCell ref="BQ181:BW181"/>
    <mergeCell ref="BQ429:BW429"/>
    <mergeCell ref="BQ430:BW430"/>
    <mergeCell ref="BQ465:BW465"/>
    <mergeCell ref="BQ466:BW466"/>
    <mergeCell ref="BQ501:BW501"/>
  </mergeCells>
  <pageMargins left="0.7" right="0.7" top="0.75" bottom="0.75" header="0.3" footer="0.3"/>
  <ignoredErrors>
    <ignoredError sqref="R5 R41 R77 R112 R148 R184 R219 R255 R291 R326 R362 R398 R433 R469 R505 AL505 AL469 AL433 AL398 AL362 AL326 AL291 AL255 AL219 AL184 AL148 AL112 AL77 AL41 AL5 BF5 BF41 BF77 BF112 BF148 BF184 BF219 BF255 BF291 BF326 BF362 BF398 BF433 BF469 BF505 BZ505 BZ469 BZ433 BZ398 BZ362 BZ326 BZ291 BZ255 BZ219 BZ184 BZ148 BZ112 BZ77 BZ41 BZ5"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26"/>
  <sheetViews>
    <sheetView topLeftCell="AY1" workbookViewId="0">
      <selection activeCell="A5" sqref="A5"/>
    </sheetView>
  </sheetViews>
  <sheetFormatPr baseColWidth="10" defaultRowHeight="14.4" x14ac:dyDescent="0.3"/>
  <cols>
    <col min="1" max="1" width="12" bestFit="1" customWidth="1"/>
    <col min="2" max="2" width="12.77734375" bestFit="1" customWidth="1"/>
    <col min="3" max="3" width="12" bestFit="1" customWidth="1"/>
    <col min="4" max="4" width="11.88671875" bestFit="1" customWidth="1"/>
    <col min="5" max="5" width="12" bestFit="1" customWidth="1"/>
    <col min="6" max="6" width="11.88671875" bestFit="1" customWidth="1"/>
    <col min="7" max="7" width="12" bestFit="1" customWidth="1"/>
    <col min="8" max="8" width="11.88671875" bestFit="1" customWidth="1"/>
    <col min="10" max="10" width="12" customWidth="1"/>
    <col min="11" max="11" width="11.88671875" customWidth="1"/>
    <col min="12" max="12" width="12" customWidth="1"/>
    <col min="13" max="13" width="11.88671875" customWidth="1"/>
    <col min="14" max="14" width="12" customWidth="1"/>
    <col min="15" max="15" width="11.88671875" customWidth="1"/>
    <col min="16" max="16" width="12" customWidth="1"/>
    <col min="17" max="17" width="11.88671875" customWidth="1"/>
    <col min="18" max="18" width="11.5546875" customWidth="1"/>
    <col min="19" max="19" width="12" customWidth="1"/>
    <col min="20" max="20" width="11.88671875" customWidth="1"/>
    <col min="21" max="21" width="12" customWidth="1"/>
    <col min="22" max="22" width="11.88671875" customWidth="1"/>
    <col min="23" max="23" width="12" customWidth="1"/>
    <col min="24" max="24" width="11.88671875" customWidth="1"/>
    <col min="25" max="25" width="12" customWidth="1"/>
    <col min="26" max="26" width="11.88671875" customWidth="1"/>
    <col min="27" max="27" width="11.5546875" customWidth="1"/>
    <col min="28" max="28" width="12" customWidth="1"/>
    <col min="29" max="29" width="11.88671875" customWidth="1"/>
    <col min="30" max="30" width="12" customWidth="1"/>
    <col min="31" max="31" width="11.88671875" customWidth="1"/>
    <col min="32" max="32" width="12" customWidth="1"/>
    <col min="33" max="33" width="11.88671875" customWidth="1"/>
    <col min="34" max="34" width="12" customWidth="1"/>
    <col min="35" max="35" width="11.88671875" customWidth="1"/>
    <col min="36" max="36" width="11.5546875" customWidth="1"/>
    <col min="37" max="37" width="12" customWidth="1"/>
    <col min="38" max="38" width="11.88671875" customWidth="1"/>
    <col min="39" max="39" width="12" customWidth="1"/>
    <col min="40" max="40" width="11.88671875" customWidth="1"/>
    <col min="41" max="41" width="12" customWidth="1"/>
    <col min="42" max="42" width="11.88671875" customWidth="1"/>
    <col min="43" max="43" width="12" customWidth="1"/>
    <col min="44" max="44" width="11.88671875" customWidth="1"/>
    <col min="45" max="45" width="11.5546875" customWidth="1"/>
    <col min="46" max="46" width="12" customWidth="1"/>
    <col min="47" max="47" width="11.88671875" customWidth="1"/>
    <col min="48" max="48" width="12" customWidth="1"/>
    <col min="49" max="49" width="11.88671875" customWidth="1"/>
    <col min="50" max="50" width="12" customWidth="1"/>
    <col min="51" max="51" width="11.88671875" customWidth="1"/>
    <col min="52" max="52" width="12" customWidth="1"/>
    <col min="53" max="53" width="11.88671875" customWidth="1"/>
  </cols>
  <sheetData>
    <row r="1" spans="1:73" x14ac:dyDescent="0.3">
      <c r="A1" s="19">
        <v>15</v>
      </c>
      <c r="B1" s="19"/>
      <c r="C1" s="19"/>
      <c r="D1" s="19"/>
      <c r="E1" s="19">
        <v>15</v>
      </c>
      <c r="F1" s="19"/>
      <c r="G1" s="19"/>
      <c r="H1" s="19"/>
      <c r="J1" s="19">
        <v>15</v>
      </c>
      <c r="K1" s="19"/>
      <c r="L1" s="19"/>
      <c r="M1" s="19"/>
      <c r="N1" s="19">
        <v>15</v>
      </c>
      <c r="O1" s="19"/>
      <c r="P1" s="19"/>
      <c r="Q1" s="19"/>
      <c r="S1" s="19">
        <v>15</v>
      </c>
      <c r="T1" s="19"/>
      <c r="U1" s="19"/>
      <c r="V1" s="19"/>
      <c r="W1" s="19">
        <v>15</v>
      </c>
      <c r="X1" s="19"/>
      <c r="Y1" s="19"/>
      <c r="Z1" s="19"/>
      <c r="AB1" s="19">
        <v>15</v>
      </c>
      <c r="AC1" s="19"/>
      <c r="AD1" s="19"/>
      <c r="AE1" s="19"/>
      <c r="AF1" s="19">
        <v>15</v>
      </c>
      <c r="AG1" s="19"/>
      <c r="AH1" s="19"/>
      <c r="AI1" s="19"/>
      <c r="AK1" s="19">
        <v>15</v>
      </c>
      <c r="AL1" s="19"/>
      <c r="AM1" s="19"/>
      <c r="AN1" s="19"/>
      <c r="AO1" s="19">
        <v>15</v>
      </c>
      <c r="AP1" s="19"/>
      <c r="AQ1" s="19"/>
      <c r="AR1" s="19"/>
      <c r="AT1" s="19">
        <v>15</v>
      </c>
      <c r="AU1" s="19"/>
      <c r="AV1" s="19"/>
      <c r="AW1" s="19"/>
      <c r="AX1" s="19">
        <v>15</v>
      </c>
      <c r="AY1" s="19"/>
      <c r="AZ1" s="19"/>
      <c r="BA1" s="19"/>
    </row>
    <row r="2" spans="1:73" x14ac:dyDescent="0.3">
      <c r="A2" s="19" t="s">
        <v>328</v>
      </c>
      <c r="B2" s="19"/>
      <c r="C2" s="19" t="s">
        <v>329</v>
      </c>
      <c r="D2" s="19"/>
      <c r="E2" s="19" t="s">
        <v>328</v>
      </c>
      <c r="F2" s="19"/>
      <c r="G2" s="19" t="s">
        <v>329</v>
      </c>
      <c r="H2" s="19"/>
      <c r="J2" s="19" t="s">
        <v>336</v>
      </c>
      <c r="K2" s="19"/>
      <c r="L2" s="19" t="s">
        <v>329</v>
      </c>
      <c r="M2" s="19"/>
      <c r="N2" s="19" t="s">
        <v>336</v>
      </c>
      <c r="O2" s="19"/>
      <c r="P2" s="19" t="s">
        <v>329</v>
      </c>
      <c r="Q2" s="19"/>
      <c r="S2" s="19" t="s">
        <v>337</v>
      </c>
      <c r="T2" s="19"/>
      <c r="U2" s="19" t="s">
        <v>338</v>
      </c>
      <c r="V2" s="19"/>
      <c r="W2" s="19" t="s">
        <v>337</v>
      </c>
      <c r="X2" s="19"/>
      <c r="Y2" s="19" t="s">
        <v>338</v>
      </c>
      <c r="Z2" s="19"/>
      <c r="AB2" s="19" t="s">
        <v>328</v>
      </c>
      <c r="AC2" s="19"/>
      <c r="AD2" s="19" t="s">
        <v>336</v>
      </c>
      <c r="AE2" s="19"/>
      <c r="AF2" s="19" t="s">
        <v>328</v>
      </c>
      <c r="AG2" s="19"/>
      <c r="AH2" s="19" t="s">
        <v>336</v>
      </c>
      <c r="AI2" s="19"/>
      <c r="AK2" s="19" t="s">
        <v>328</v>
      </c>
      <c r="AL2" s="19"/>
      <c r="AM2" s="19" t="s">
        <v>337</v>
      </c>
      <c r="AN2" s="19"/>
      <c r="AO2" s="19" t="s">
        <v>328</v>
      </c>
      <c r="AP2" s="19"/>
      <c r="AQ2" s="19" t="s">
        <v>337</v>
      </c>
      <c r="AR2" s="19"/>
      <c r="AT2" s="19" t="s">
        <v>337</v>
      </c>
      <c r="AU2" s="19"/>
      <c r="AV2" s="19" t="s">
        <v>336</v>
      </c>
      <c r="AW2" s="19"/>
      <c r="AX2" s="19" t="s">
        <v>337</v>
      </c>
      <c r="AY2" s="19"/>
      <c r="AZ2" s="19" t="s">
        <v>336</v>
      </c>
      <c r="BA2" s="19"/>
    </row>
    <row r="3" spans="1:73" x14ac:dyDescent="0.3">
      <c r="A3" s="19" t="s">
        <v>330</v>
      </c>
      <c r="B3" s="19"/>
      <c r="C3" s="19"/>
      <c r="D3" s="19"/>
      <c r="E3" s="19" t="s">
        <v>331</v>
      </c>
      <c r="F3" s="19"/>
      <c r="G3" s="19"/>
      <c r="H3" s="19"/>
      <c r="J3" s="19" t="s">
        <v>330</v>
      </c>
      <c r="K3" s="19"/>
      <c r="L3" s="19"/>
      <c r="M3" s="19"/>
      <c r="N3" s="19" t="s">
        <v>331</v>
      </c>
      <c r="O3" s="19"/>
      <c r="P3" s="19"/>
      <c r="Q3" s="19"/>
      <c r="S3" s="19" t="s">
        <v>330</v>
      </c>
      <c r="T3" s="19"/>
      <c r="U3" s="19"/>
      <c r="V3" s="19"/>
      <c r="W3" s="19" t="s">
        <v>331</v>
      </c>
      <c r="X3" s="19"/>
      <c r="Y3" s="19"/>
      <c r="Z3" s="19"/>
      <c r="AB3" s="19" t="s">
        <v>330</v>
      </c>
      <c r="AC3" s="19"/>
      <c r="AD3" s="19"/>
      <c r="AE3" s="19"/>
      <c r="AF3" s="19" t="s">
        <v>331</v>
      </c>
      <c r="AG3" s="19"/>
      <c r="AH3" s="19"/>
      <c r="AI3" s="19"/>
      <c r="AK3" s="19" t="s">
        <v>330</v>
      </c>
      <c r="AL3" s="19"/>
      <c r="AM3" s="19"/>
      <c r="AN3" s="19"/>
      <c r="AO3" s="19" t="s">
        <v>331</v>
      </c>
      <c r="AP3" s="19"/>
      <c r="AQ3" s="19"/>
      <c r="AR3" s="19"/>
      <c r="AT3" s="19" t="s">
        <v>330</v>
      </c>
      <c r="AU3" s="19"/>
      <c r="AV3" s="19"/>
      <c r="AW3" s="19"/>
      <c r="AX3" s="19" t="s">
        <v>331</v>
      </c>
      <c r="AY3" s="19"/>
      <c r="AZ3" s="19"/>
      <c r="BA3" s="19"/>
    </row>
    <row r="4" spans="1:73" x14ac:dyDescent="0.3">
      <c r="A4" s="3" t="str">
        <f>'Pcell vs GRASP est-rand'!N3</f>
        <v>Ganado</v>
      </c>
      <c r="B4" s="3" t="str">
        <f>'Pcell vs GRASP est-rand'!O3</f>
        <v>Perdido</v>
      </c>
      <c r="C4" s="3" t="str">
        <f>'Pcell vs GRASP est-rand'!P3</f>
        <v>Ganado</v>
      </c>
      <c r="D4" s="3" t="str">
        <f>'Pcell vs GRASP est-rand'!Q3</f>
        <v>Perdido</v>
      </c>
      <c r="E4" s="3" t="str">
        <f>'Pcell vs GRASP est-rand'!AF3</f>
        <v>Ganado</v>
      </c>
      <c r="F4" s="3" t="str">
        <f>'Pcell vs GRASP est-rand'!AG3</f>
        <v>Perdido</v>
      </c>
      <c r="G4" s="3" t="str">
        <f>'Pcell vs GRASP est-rand'!AH3</f>
        <v>Ganado</v>
      </c>
      <c r="H4" s="3" t="str">
        <f>'Pcell vs GRASP est-rand'!AI3</f>
        <v>Perdido</v>
      </c>
      <c r="J4" s="3" t="str">
        <f>'PCell vs GRASP random'!N3</f>
        <v>Ganado</v>
      </c>
      <c r="K4" s="3" t="str">
        <f>'PCell vs GRASP random'!O3</f>
        <v>Perdido</v>
      </c>
      <c r="L4" s="3" t="str">
        <f>'PCell vs GRASP random'!P3</f>
        <v>Ganado</v>
      </c>
      <c r="M4" s="3" t="str">
        <f>'PCell vs GRASP random'!Q3</f>
        <v>Perdido</v>
      </c>
      <c r="N4" s="3" t="str">
        <f>'PCell vs GRASP random'!AF3</f>
        <v>Ganado</v>
      </c>
      <c r="O4" s="3" t="str">
        <f>'PCell vs GRASP random'!AG3</f>
        <v>Perdido</v>
      </c>
      <c r="P4" s="3" t="str">
        <f>'PCell vs GRASP random'!AH3</f>
        <v>Ganado</v>
      </c>
      <c r="Q4" s="3" t="str">
        <f>'PCell vs GRASP random'!AI3</f>
        <v>Perdido</v>
      </c>
      <c r="S4" s="3" t="str">
        <f>'PCellRGRASP vs RGRASP'!N2</f>
        <v>Ganado</v>
      </c>
      <c r="T4" s="3" t="str">
        <f>'PCellRGRASP vs RGRASP'!O2</f>
        <v>Perdido</v>
      </c>
      <c r="U4" s="3" t="str">
        <f>'PCellRGRASP vs RGRASP'!P2</f>
        <v>Ganado</v>
      </c>
      <c r="V4" s="3" t="str">
        <f>'PCellRGRASP vs RGRASP'!Q2</f>
        <v>Perdido</v>
      </c>
      <c r="W4" s="3" t="str">
        <f>'PCellRGRASP vs RGRASP'!AF2</f>
        <v>Ganado</v>
      </c>
      <c r="X4" s="3" t="str">
        <f>'PCellRGRASP vs RGRASP'!AG2</f>
        <v>Perdido</v>
      </c>
      <c r="Y4" s="3" t="str">
        <f>'PCellRGRASP vs RGRASP'!AH2</f>
        <v>Ganado</v>
      </c>
      <c r="Z4" s="3" t="str">
        <f>'PCellRGRASP vs RGRASP'!AI2</f>
        <v>Perdido</v>
      </c>
      <c r="AB4" s="15" t="str">
        <f>'Pcell est vs Pcell rand'!P3</f>
        <v>Ganado</v>
      </c>
      <c r="AC4" s="15" t="str">
        <f>'Pcell est vs Pcell rand'!Q3</f>
        <v>Perdido</v>
      </c>
      <c r="AD4" s="15" t="str">
        <f>'Pcell est vs Pcell rand'!R3</f>
        <v>Ganado</v>
      </c>
      <c r="AE4" s="15" t="str">
        <f>'Pcell est vs Pcell rand'!S3</f>
        <v>Perdido</v>
      </c>
      <c r="AF4" s="15" t="str">
        <f>'Pcell est vs Pcell rand'!AJ3</f>
        <v>Ganado</v>
      </c>
      <c r="AG4" s="15" t="str">
        <f>'Pcell est vs Pcell rand'!AK3</f>
        <v>Perdido</v>
      </c>
      <c r="AH4" s="15" t="str">
        <f>'Pcell est vs Pcell rand'!AL3</f>
        <v>Ganado</v>
      </c>
      <c r="AI4" s="15" t="str">
        <f>'Pcell est vs Pcell rand'!AM3</f>
        <v>Perdido</v>
      </c>
      <c r="AK4" s="3" t="str">
        <f>'Pcell est vs PcellRGRASP'!P3</f>
        <v>Ganado</v>
      </c>
      <c r="AL4" s="3" t="str">
        <f>'Pcell est vs PcellRGRASP'!Q3</f>
        <v>Perdido</v>
      </c>
      <c r="AM4" s="3" t="str">
        <f>'Pcell est vs PcellRGRASP'!R3</f>
        <v>Ganado</v>
      </c>
      <c r="AN4" s="3" t="str">
        <f>'Pcell est vs PcellRGRASP'!S3</f>
        <v>Perdido</v>
      </c>
      <c r="AO4" s="3" t="str">
        <f>'Pcell est vs PcellRGRASP'!AJ3</f>
        <v>Ganado</v>
      </c>
      <c r="AP4" s="3" t="str">
        <f>'Pcell est vs PcellRGRASP'!AK3</f>
        <v>Perdido</v>
      </c>
      <c r="AQ4" s="3" t="str">
        <f>'Pcell est vs PcellRGRASP'!AL3</f>
        <v>Ganado</v>
      </c>
      <c r="AR4" s="3" t="str">
        <f>'Pcell est vs PcellRGRASP'!AM3</f>
        <v>Perdido</v>
      </c>
      <c r="AT4" s="3" t="str">
        <f>'PcellRGRASP vs Pcell rand'!P3</f>
        <v>Ganado</v>
      </c>
      <c r="AU4" s="3" t="str">
        <f>'PcellRGRASP vs Pcell rand'!Q3</f>
        <v>Perdido</v>
      </c>
      <c r="AV4" s="3" t="str">
        <f>'PcellRGRASP vs Pcell rand'!R3</f>
        <v>Ganado</v>
      </c>
      <c r="AW4" s="3" t="str">
        <f>'PcellRGRASP vs Pcell rand'!S3</f>
        <v>Perdido</v>
      </c>
      <c r="AX4" s="3" t="str">
        <f>'PcellRGRASP vs Pcell rand'!AJ3</f>
        <v>Ganado</v>
      </c>
      <c r="AY4" s="3" t="str">
        <f>'PcellRGRASP vs Pcell rand'!AK3</f>
        <v>Perdido</v>
      </c>
      <c r="AZ4" s="3" t="str">
        <f>'PcellRGRASP vs Pcell rand'!AL3</f>
        <v>Ganado</v>
      </c>
      <c r="BA4" s="3" t="str">
        <f>'PcellRGRASP vs Pcell rand'!AM3</f>
        <v>Perdido</v>
      </c>
    </row>
    <row r="5" spans="1:73" x14ac:dyDescent="0.3">
      <c r="A5" s="3">
        <f>'Pcell vs GRASP est-rand'!N5</f>
        <v>30</v>
      </c>
      <c r="B5" s="3">
        <f>'Pcell vs GRASP est-rand'!O5</f>
        <v>0</v>
      </c>
      <c r="C5" s="3">
        <f>'Pcell vs GRASP est-rand'!P5</f>
        <v>1</v>
      </c>
      <c r="D5" s="3">
        <f>'Pcell vs GRASP est-rand'!Q5</f>
        <v>29</v>
      </c>
      <c r="E5" s="3">
        <f>'Pcell vs GRASP est-rand'!AF5</f>
        <v>30</v>
      </c>
      <c r="F5" s="3">
        <f>'Pcell vs GRASP est-rand'!AG5</f>
        <v>0</v>
      </c>
      <c r="G5" s="3">
        <f>'Pcell vs GRASP est-rand'!AH5</f>
        <v>4</v>
      </c>
      <c r="H5" s="3">
        <f>'Pcell vs GRASP est-rand'!AI5</f>
        <v>26</v>
      </c>
      <c r="J5" s="3">
        <f>'PCell vs GRASP random'!N5</f>
        <v>22</v>
      </c>
      <c r="K5" s="3">
        <f>'PCell vs GRASP random'!O5</f>
        <v>8</v>
      </c>
      <c r="L5" s="3">
        <f>'PCell vs GRASP random'!P5</f>
        <v>16</v>
      </c>
      <c r="M5" s="3">
        <f>'PCell vs GRASP random'!Q5</f>
        <v>14</v>
      </c>
      <c r="N5" s="3">
        <f>'PCell vs GRASP random'!AF5</f>
        <v>23</v>
      </c>
      <c r="O5" s="3">
        <f>'PCell vs GRASP random'!AG5</f>
        <v>7</v>
      </c>
      <c r="P5" s="3">
        <f>'PCell vs GRASP random'!AH5</f>
        <v>22</v>
      </c>
      <c r="Q5" s="3">
        <f>'PCell vs GRASP random'!AI5</f>
        <v>8</v>
      </c>
      <c r="S5" s="3">
        <f>'PCellRGRASP vs RGRASP'!N4</f>
        <v>18</v>
      </c>
      <c r="T5" s="3">
        <f>'PCellRGRASP vs RGRASP'!O4</f>
        <v>12</v>
      </c>
      <c r="U5" s="3">
        <f>'PCellRGRASP vs RGRASP'!P4</f>
        <v>14</v>
      </c>
      <c r="V5" s="3">
        <f>'PCellRGRASP vs RGRASP'!Q4</f>
        <v>16</v>
      </c>
      <c r="W5" s="3">
        <f>'PCellRGRASP vs RGRASP'!AF4</f>
        <v>19</v>
      </c>
      <c r="X5" s="3">
        <f>'PCellRGRASP vs RGRASP'!AG4</f>
        <v>11</v>
      </c>
      <c r="Y5" s="3">
        <f>'PCellRGRASP vs RGRASP'!AH4</f>
        <v>15</v>
      </c>
      <c r="Z5" s="3">
        <f>'PCellRGRASP vs RGRASP'!AI4</f>
        <v>15</v>
      </c>
      <c r="AB5" s="15">
        <f>'Pcell est vs Pcell rand'!P5</f>
        <v>28</v>
      </c>
      <c r="AC5" s="15">
        <f>'Pcell est vs Pcell rand'!Q5</f>
        <v>2</v>
      </c>
      <c r="AD5" s="15">
        <f>'Pcell est vs Pcell rand'!R5</f>
        <v>3</v>
      </c>
      <c r="AE5" s="15">
        <f>'Pcell est vs Pcell rand'!S5</f>
        <v>27</v>
      </c>
      <c r="AF5" s="15">
        <f>'Pcell est vs Pcell rand'!AJ5</f>
        <v>0</v>
      </c>
      <c r="AG5" s="15">
        <f>'Pcell est vs Pcell rand'!AK5</f>
        <v>30</v>
      </c>
      <c r="AH5" s="15">
        <f>'Pcell est vs Pcell rand'!AL5</f>
        <v>0</v>
      </c>
      <c r="AI5" s="15">
        <f>'Pcell est vs Pcell rand'!AM5</f>
        <v>30</v>
      </c>
      <c r="AK5" s="3">
        <f>'Pcell est vs PcellRGRASP'!P5</f>
        <v>30</v>
      </c>
      <c r="AL5" s="3">
        <f>'Pcell est vs PcellRGRASP'!Q5</f>
        <v>0</v>
      </c>
      <c r="AM5" s="3">
        <f>'Pcell est vs PcellRGRASP'!R5</f>
        <v>0</v>
      </c>
      <c r="AN5" s="3">
        <f>'Pcell est vs PcellRGRASP'!S5</f>
        <v>30</v>
      </c>
      <c r="AO5" s="3">
        <f>'Pcell est vs PcellRGRASP'!AJ5</f>
        <v>30</v>
      </c>
      <c r="AP5" s="3">
        <f>'Pcell est vs PcellRGRASP'!AK5</f>
        <v>0</v>
      </c>
      <c r="AQ5" s="3">
        <f>'Pcell est vs PcellRGRASP'!AL5</f>
        <v>2</v>
      </c>
      <c r="AR5" s="3">
        <f>'Pcell est vs PcellRGRASP'!AM5</f>
        <v>28</v>
      </c>
      <c r="AT5" s="3">
        <f>'PcellRGRASP vs Pcell rand'!P5</f>
        <v>2</v>
      </c>
      <c r="AU5" s="3">
        <f>'PcellRGRASP vs Pcell rand'!Q5</f>
        <v>28</v>
      </c>
      <c r="AV5" s="3">
        <f>'PcellRGRASP vs Pcell rand'!R5</f>
        <v>30</v>
      </c>
      <c r="AW5" s="3">
        <f>'PcellRGRASP vs Pcell rand'!S5</f>
        <v>0</v>
      </c>
      <c r="AX5" s="3">
        <f>'PcellRGRASP vs Pcell rand'!AJ5</f>
        <v>4</v>
      </c>
      <c r="AY5" s="3">
        <f>'PcellRGRASP vs Pcell rand'!AK5</f>
        <v>26</v>
      </c>
      <c r="AZ5" s="3">
        <f>'PcellRGRASP vs Pcell rand'!AL5</f>
        <v>30</v>
      </c>
      <c r="BA5" s="3">
        <f>'PcellRGRASP vs Pcell rand'!AM5</f>
        <v>0</v>
      </c>
    </row>
    <row r="6" spans="1:73" x14ac:dyDescent="0.3">
      <c r="A6" s="19" t="s">
        <v>332</v>
      </c>
      <c r="B6" s="19"/>
      <c r="C6" s="19"/>
      <c r="D6" s="19"/>
      <c r="E6" s="19" t="s">
        <v>333</v>
      </c>
      <c r="F6" s="19"/>
      <c r="G6" s="19"/>
      <c r="H6" s="19"/>
      <c r="J6" s="19" t="s">
        <v>332</v>
      </c>
      <c r="K6" s="19"/>
      <c r="L6" s="19"/>
      <c r="M6" s="19"/>
      <c r="N6" s="19" t="s">
        <v>333</v>
      </c>
      <c r="O6" s="19"/>
      <c r="P6" s="19"/>
      <c r="Q6" s="19"/>
      <c r="S6" s="19" t="s">
        <v>332</v>
      </c>
      <c r="T6" s="19"/>
      <c r="U6" s="19"/>
      <c r="V6" s="19"/>
      <c r="W6" s="19" t="s">
        <v>333</v>
      </c>
      <c r="X6" s="19"/>
      <c r="Y6" s="19"/>
      <c r="Z6" s="19"/>
      <c r="AB6" s="19" t="s">
        <v>332</v>
      </c>
      <c r="AC6" s="19"/>
      <c r="AD6" s="19"/>
      <c r="AE6" s="19"/>
      <c r="AF6" s="19" t="s">
        <v>333</v>
      </c>
      <c r="AG6" s="19"/>
      <c r="AH6" s="19"/>
      <c r="AI6" s="19"/>
      <c r="AK6" s="19" t="s">
        <v>332</v>
      </c>
      <c r="AL6" s="19"/>
      <c r="AM6" s="19"/>
      <c r="AN6" s="19"/>
      <c r="AO6" s="19" t="s">
        <v>333</v>
      </c>
      <c r="AP6" s="19"/>
      <c r="AQ6" s="19"/>
      <c r="AR6" s="19"/>
      <c r="AT6" s="19" t="s">
        <v>332</v>
      </c>
      <c r="AU6" s="19"/>
      <c r="AV6" s="19"/>
      <c r="AW6" s="19"/>
      <c r="AX6" s="19" t="s">
        <v>333</v>
      </c>
      <c r="AY6" s="19"/>
      <c r="AZ6" s="19"/>
      <c r="BA6" s="19"/>
    </row>
    <row r="7" spans="1:73" x14ac:dyDescent="0.3">
      <c r="A7" s="3" t="str">
        <f>'Pcell vs GRASP est-rand'!N39</f>
        <v>Ganado</v>
      </c>
      <c r="B7" s="3" t="str">
        <f>'Pcell vs GRASP est-rand'!O39</f>
        <v>Perdido</v>
      </c>
      <c r="C7" s="3" t="str">
        <f>'Pcell vs GRASP est-rand'!P39</f>
        <v>Ganado</v>
      </c>
      <c r="D7" s="3" t="str">
        <f>'Pcell vs GRASP est-rand'!Q39</f>
        <v>Perdido</v>
      </c>
      <c r="E7" s="3" t="str">
        <f>'Pcell vs GRASP est-rand'!AF39</f>
        <v>Ganado</v>
      </c>
      <c r="F7" s="3" t="str">
        <f>'Pcell vs GRASP est-rand'!AG39</f>
        <v>Perdido</v>
      </c>
      <c r="G7" s="3" t="str">
        <f>'Pcell vs GRASP est-rand'!AH39</f>
        <v>Ganado</v>
      </c>
      <c r="H7" s="3" t="str">
        <f>'Pcell vs GRASP est-rand'!AI39</f>
        <v>Perdido</v>
      </c>
      <c r="J7" s="3" t="str">
        <f>'PCell vs GRASP random'!N39</f>
        <v>Ganado</v>
      </c>
      <c r="K7" s="3" t="str">
        <f>'PCell vs GRASP random'!O39</f>
        <v>Perdido</v>
      </c>
      <c r="L7" s="3" t="str">
        <f>'PCell vs GRASP random'!P39</f>
        <v>Ganado</v>
      </c>
      <c r="M7" s="3" t="str">
        <f>'PCell vs GRASP random'!Q39</f>
        <v>Perdido</v>
      </c>
      <c r="N7" s="3" t="str">
        <f>'PCell vs GRASP random'!AF39</f>
        <v>Ganado</v>
      </c>
      <c r="O7" s="3" t="str">
        <f>'PCell vs GRASP random'!AG39</f>
        <v>Perdido</v>
      </c>
      <c r="P7" s="3" t="str">
        <f>'PCell vs GRASP random'!AH39</f>
        <v>Ganado</v>
      </c>
      <c r="Q7" s="3" t="str">
        <f>'PCell vs GRASP random'!AI39</f>
        <v>Perdido</v>
      </c>
      <c r="S7" s="3" t="str">
        <f>'PCellRGRASP vs RGRASP'!N38</f>
        <v>Ganado</v>
      </c>
      <c r="T7" s="3" t="str">
        <f>'PCellRGRASP vs RGRASP'!O38</f>
        <v>Perdido</v>
      </c>
      <c r="U7" s="3" t="str">
        <f>'PCellRGRASP vs RGRASP'!P38</f>
        <v>Ganado</v>
      </c>
      <c r="V7" s="3" t="str">
        <f>'PCellRGRASP vs RGRASP'!Q38</f>
        <v>Perdido</v>
      </c>
      <c r="W7" s="3" t="str">
        <f>'PCellRGRASP vs RGRASP'!AF38</f>
        <v>Ganado</v>
      </c>
      <c r="X7" s="3" t="str">
        <f>'PCellRGRASP vs RGRASP'!AG38</f>
        <v>Perdido</v>
      </c>
      <c r="Y7" s="3" t="str">
        <f>'PCellRGRASP vs RGRASP'!AH38</f>
        <v>Ganado</v>
      </c>
      <c r="Z7" s="3" t="str">
        <f>'PCellRGRASP vs RGRASP'!AI38</f>
        <v>Perdido</v>
      </c>
      <c r="AB7" s="15" t="str">
        <f>'Pcell est vs Pcell rand'!P39</f>
        <v>Ganado</v>
      </c>
      <c r="AC7" s="15" t="str">
        <f>'Pcell est vs Pcell rand'!Q39</f>
        <v>Perdido</v>
      </c>
      <c r="AD7" s="15" t="str">
        <f>'Pcell est vs Pcell rand'!R39</f>
        <v>Ganado</v>
      </c>
      <c r="AE7" s="15" t="str">
        <f>'Pcell est vs Pcell rand'!S39</f>
        <v>Perdido</v>
      </c>
      <c r="AF7" s="15" t="str">
        <f>'Pcell est vs Pcell rand'!AJ39</f>
        <v>Ganado</v>
      </c>
      <c r="AG7" s="15" t="str">
        <f>'Pcell est vs Pcell rand'!AK39</f>
        <v>Perdido</v>
      </c>
      <c r="AH7" s="15" t="str">
        <f>'Pcell est vs Pcell rand'!AL39</f>
        <v>Ganado</v>
      </c>
      <c r="AI7" s="15" t="str">
        <f>'Pcell est vs Pcell rand'!AM39</f>
        <v>Perdido</v>
      </c>
      <c r="AK7" s="3" t="str">
        <f>'Pcell est vs PcellRGRASP'!P39</f>
        <v>Ganado</v>
      </c>
      <c r="AL7" s="3" t="str">
        <f>'Pcell est vs PcellRGRASP'!Q39</f>
        <v>Perdido</v>
      </c>
      <c r="AM7" s="3" t="str">
        <f>'Pcell est vs PcellRGRASP'!R39</f>
        <v>Ganado</v>
      </c>
      <c r="AN7" s="3" t="str">
        <f>'Pcell est vs PcellRGRASP'!S39</f>
        <v>Perdido</v>
      </c>
      <c r="AO7" s="3" t="str">
        <f>'Pcell est vs PcellRGRASP'!AJ39</f>
        <v>Ganado</v>
      </c>
      <c r="AP7" s="3" t="str">
        <f>'Pcell est vs PcellRGRASP'!AK39</f>
        <v>Perdido</v>
      </c>
      <c r="AQ7" s="3" t="str">
        <f>'Pcell est vs PcellRGRASP'!AL39</f>
        <v>Ganado</v>
      </c>
      <c r="AR7" s="3" t="str">
        <f>'Pcell est vs PcellRGRASP'!AM39</f>
        <v>Perdido</v>
      </c>
      <c r="AT7" s="3" t="str">
        <f>'PcellRGRASP vs Pcell rand'!P39</f>
        <v>Ganado</v>
      </c>
      <c r="AU7" s="3" t="str">
        <f>'PcellRGRASP vs Pcell rand'!Q39</f>
        <v>Perdido</v>
      </c>
      <c r="AV7" s="3" t="str">
        <f>'PcellRGRASP vs Pcell rand'!R39</f>
        <v>Ganado</v>
      </c>
      <c r="AW7" s="3" t="str">
        <f>'PcellRGRASP vs Pcell rand'!S39</f>
        <v>Perdido</v>
      </c>
      <c r="AX7" s="3" t="str">
        <f>'PcellRGRASP vs Pcell rand'!AJ39</f>
        <v>Ganado</v>
      </c>
      <c r="AY7" s="3" t="str">
        <f>'PcellRGRASP vs Pcell rand'!AK39</f>
        <v>Perdido</v>
      </c>
      <c r="AZ7" s="3" t="str">
        <f>'PcellRGRASP vs Pcell rand'!AL39</f>
        <v>Ganado</v>
      </c>
      <c r="BA7" s="3" t="str">
        <f>'PcellRGRASP vs Pcell rand'!AM39</f>
        <v>Perdido</v>
      </c>
      <c r="BG7" s="3" t="s">
        <v>346</v>
      </c>
      <c r="BH7" s="4" t="s">
        <v>354</v>
      </c>
      <c r="BI7" s="4" t="s">
        <v>355</v>
      </c>
      <c r="BJ7" s="2"/>
      <c r="BK7" s="3" t="s">
        <v>347</v>
      </c>
      <c r="BL7" s="4" t="s">
        <v>356</v>
      </c>
      <c r="BM7" s="4" t="s">
        <v>357</v>
      </c>
      <c r="BO7" s="3" t="s">
        <v>346</v>
      </c>
      <c r="BP7" s="4" t="s">
        <v>350</v>
      </c>
      <c r="BQ7" s="4" t="s">
        <v>358</v>
      </c>
      <c r="BS7" s="3" t="s">
        <v>347</v>
      </c>
      <c r="BT7" s="4" t="s">
        <v>352</v>
      </c>
      <c r="BU7" s="4" t="s">
        <v>359</v>
      </c>
    </row>
    <row r="8" spans="1:73" x14ac:dyDescent="0.3">
      <c r="A8" s="3">
        <f>'Pcell vs GRASP est-rand'!N41</f>
        <v>28</v>
      </c>
      <c r="B8" s="3">
        <f>'Pcell vs GRASP est-rand'!O41</f>
        <v>2</v>
      </c>
      <c r="C8" s="3">
        <f>'Pcell vs GRASP est-rand'!P41</f>
        <v>5</v>
      </c>
      <c r="D8" s="3">
        <f>'Pcell vs GRASP est-rand'!Q41</f>
        <v>25</v>
      </c>
      <c r="E8" s="3">
        <f>'Pcell vs GRASP est-rand'!AF41</f>
        <v>25</v>
      </c>
      <c r="F8" s="3">
        <f>'Pcell vs GRASP est-rand'!AG41</f>
        <v>5</v>
      </c>
      <c r="G8" s="3">
        <f>'Pcell vs GRASP est-rand'!AH41</f>
        <v>10</v>
      </c>
      <c r="H8" s="3">
        <f>'Pcell vs GRASP est-rand'!AI41</f>
        <v>20</v>
      </c>
      <c r="J8" s="3">
        <f>'PCell vs GRASP random'!N41</f>
        <v>21</v>
      </c>
      <c r="K8" s="3">
        <f>'PCell vs GRASP random'!O41</f>
        <v>9</v>
      </c>
      <c r="L8" s="3">
        <f>'PCell vs GRASP random'!P41</f>
        <v>18</v>
      </c>
      <c r="M8" s="3">
        <f>'PCell vs GRASP random'!Q41</f>
        <v>12</v>
      </c>
      <c r="N8" s="3">
        <f>'PCell vs GRASP random'!AF41</f>
        <v>21</v>
      </c>
      <c r="O8" s="3">
        <f>'PCell vs GRASP random'!AG41</f>
        <v>9</v>
      </c>
      <c r="P8" s="3">
        <f>'PCell vs GRASP random'!AH41</f>
        <v>22</v>
      </c>
      <c r="Q8" s="3">
        <f>'PCell vs GRASP random'!AI41</f>
        <v>8</v>
      </c>
      <c r="S8" s="3">
        <f>'PCellRGRASP vs RGRASP'!N40</f>
        <v>17</v>
      </c>
      <c r="T8" s="3">
        <f>'PCellRGRASP vs RGRASP'!O40</f>
        <v>13</v>
      </c>
      <c r="U8" s="3">
        <f>'PCellRGRASP vs RGRASP'!P40</f>
        <v>15</v>
      </c>
      <c r="V8" s="3">
        <f>'PCellRGRASP vs RGRASP'!Q40</f>
        <v>15</v>
      </c>
      <c r="W8" s="3">
        <f>'PCellRGRASP vs RGRASP'!AF40</f>
        <v>17</v>
      </c>
      <c r="X8" s="3">
        <f>'PCellRGRASP vs RGRASP'!AG40</f>
        <v>13</v>
      </c>
      <c r="Y8" s="3">
        <f>'PCellRGRASP vs RGRASP'!AH40</f>
        <v>16</v>
      </c>
      <c r="Z8" s="3">
        <f>'PCellRGRASP vs RGRASP'!AI40</f>
        <v>14</v>
      </c>
      <c r="AB8" s="15">
        <f>'Pcell est vs Pcell rand'!P41</f>
        <v>26</v>
      </c>
      <c r="AC8" s="15">
        <f>'Pcell est vs Pcell rand'!Q41</f>
        <v>4</v>
      </c>
      <c r="AD8" s="15">
        <f>'Pcell est vs Pcell rand'!R41</f>
        <v>8</v>
      </c>
      <c r="AE8" s="15">
        <f>'Pcell est vs Pcell rand'!S41</f>
        <v>22</v>
      </c>
      <c r="AF8" s="15">
        <f>'Pcell est vs Pcell rand'!AJ41</f>
        <v>0</v>
      </c>
      <c r="AG8" s="15">
        <f>'Pcell est vs Pcell rand'!AK41</f>
        <v>30</v>
      </c>
      <c r="AH8" s="15">
        <f>'Pcell est vs Pcell rand'!AL41</f>
        <v>5</v>
      </c>
      <c r="AI8" s="15">
        <f>'Pcell est vs Pcell rand'!AM41</f>
        <v>25</v>
      </c>
      <c r="AK8" s="3">
        <f>'Pcell est vs PcellRGRASP'!P41</f>
        <v>30</v>
      </c>
      <c r="AL8" s="3">
        <f>'Pcell est vs PcellRGRASP'!Q41</f>
        <v>0</v>
      </c>
      <c r="AM8" s="3">
        <f>'Pcell est vs PcellRGRASP'!R41</f>
        <v>1</v>
      </c>
      <c r="AN8" s="3">
        <f>'Pcell est vs PcellRGRASP'!S41</f>
        <v>29</v>
      </c>
      <c r="AO8" s="3">
        <f>'Pcell est vs PcellRGRASP'!AJ41</f>
        <v>29</v>
      </c>
      <c r="AP8" s="3">
        <f>'Pcell est vs PcellRGRASP'!AK41</f>
        <v>1</v>
      </c>
      <c r="AQ8" s="3">
        <f>'Pcell est vs PcellRGRASP'!AL41</f>
        <v>2</v>
      </c>
      <c r="AR8" s="3">
        <f>'Pcell est vs PcellRGRASP'!AM41</f>
        <v>28</v>
      </c>
      <c r="AT8" s="3">
        <f>'PcellRGRASP vs Pcell rand'!P41</f>
        <v>2</v>
      </c>
      <c r="AU8" s="3">
        <f>'PcellRGRASP vs Pcell rand'!Q41</f>
        <v>28</v>
      </c>
      <c r="AV8" s="3">
        <f>'PcellRGRASP vs Pcell rand'!R41</f>
        <v>30</v>
      </c>
      <c r="AW8" s="3">
        <f>'PcellRGRASP vs Pcell rand'!S41</f>
        <v>0</v>
      </c>
      <c r="AX8" s="3">
        <f>'PcellRGRASP vs Pcell rand'!AJ41</f>
        <v>1</v>
      </c>
      <c r="AY8" s="3">
        <f>'PcellRGRASP vs Pcell rand'!AK41</f>
        <v>29</v>
      </c>
      <c r="AZ8" s="3">
        <f>'PcellRGRASP vs Pcell rand'!AL41</f>
        <v>29</v>
      </c>
      <c r="BA8" s="3">
        <f>'PcellRGRASP vs Pcell rand'!AM41</f>
        <v>1</v>
      </c>
      <c r="BG8" s="3">
        <v>15</v>
      </c>
      <c r="BH8" s="3">
        <f>SUM(Resultados!$C$5,Resultados!$C$8,Resultados!$C$11)</f>
        <v>11</v>
      </c>
      <c r="BI8" s="3">
        <f>SUM(Resultados!$L$5,Resultados!$L$8,Resultados!$L$11)</f>
        <v>54</v>
      </c>
      <c r="BK8" s="3">
        <v>15</v>
      </c>
      <c r="BL8" s="3">
        <f>SUM(Resultados!$G$5,Resultados!$G$8,Resultados!$G$11)</f>
        <v>18</v>
      </c>
      <c r="BM8" s="3">
        <f>SUM(Resultados!$P$5,Resultados!$P$8,Resultados!$P$11)</f>
        <v>63</v>
      </c>
      <c r="BO8" s="3">
        <v>15</v>
      </c>
      <c r="BP8" s="3">
        <f>SUM(Resultados!$AB$5,Resultados!$AB$8,Resultados!$AB$11)</f>
        <v>80</v>
      </c>
      <c r="BQ8" s="3">
        <f>SUM(Resultados!$AD$5,Resultados!$AD$8,Resultados!$AD$11)</f>
        <v>25</v>
      </c>
      <c r="BS8" s="3">
        <v>15</v>
      </c>
      <c r="BT8" s="3">
        <f>SUM(Resultados!$AF$5,Resultados!$AF$8,Resultados!$AF$11)</f>
        <v>26</v>
      </c>
      <c r="BU8" s="3">
        <f>SUM(Resultados!$AH$5,Resultados!$AH$8,Resultados!$AH$11)</f>
        <v>24</v>
      </c>
    </row>
    <row r="9" spans="1:73" x14ac:dyDescent="0.3">
      <c r="A9" s="19" t="s">
        <v>334</v>
      </c>
      <c r="B9" s="19"/>
      <c r="C9" s="19"/>
      <c r="D9" s="19"/>
      <c r="E9" s="19" t="s">
        <v>335</v>
      </c>
      <c r="F9" s="19"/>
      <c r="G9" s="19"/>
      <c r="H9" s="19"/>
      <c r="J9" s="19" t="s">
        <v>334</v>
      </c>
      <c r="K9" s="19"/>
      <c r="L9" s="19"/>
      <c r="M9" s="19"/>
      <c r="N9" s="19" t="s">
        <v>335</v>
      </c>
      <c r="O9" s="19"/>
      <c r="P9" s="19"/>
      <c r="Q9" s="19"/>
      <c r="S9" s="19" t="s">
        <v>334</v>
      </c>
      <c r="T9" s="19"/>
      <c r="U9" s="19"/>
      <c r="V9" s="19"/>
      <c r="W9" s="19" t="s">
        <v>335</v>
      </c>
      <c r="X9" s="19"/>
      <c r="Y9" s="19"/>
      <c r="Z9" s="19"/>
      <c r="AB9" s="19" t="s">
        <v>334</v>
      </c>
      <c r="AC9" s="19"/>
      <c r="AD9" s="19"/>
      <c r="AE9" s="19"/>
      <c r="AF9" s="19" t="s">
        <v>335</v>
      </c>
      <c r="AG9" s="19"/>
      <c r="AH9" s="19"/>
      <c r="AI9" s="19"/>
      <c r="AK9" s="19" t="s">
        <v>334</v>
      </c>
      <c r="AL9" s="19"/>
      <c r="AM9" s="19"/>
      <c r="AN9" s="19"/>
      <c r="AO9" s="19" t="s">
        <v>335</v>
      </c>
      <c r="AP9" s="19"/>
      <c r="AQ9" s="19"/>
      <c r="AR9" s="19"/>
      <c r="AT9" s="19" t="s">
        <v>334</v>
      </c>
      <c r="AU9" s="19"/>
      <c r="AV9" s="19"/>
      <c r="AW9" s="19"/>
      <c r="AX9" s="19" t="s">
        <v>335</v>
      </c>
      <c r="AY9" s="19"/>
      <c r="AZ9" s="19"/>
      <c r="BA9" s="19"/>
      <c r="BG9" s="3">
        <v>20</v>
      </c>
      <c r="BH9" s="3">
        <f>SUM(Resultados!$C$17,Resultados!$C$20,Resultados!$C$23)</f>
        <v>27</v>
      </c>
      <c r="BI9" s="3">
        <f>SUM(Resultados!$L$17,Resultados!$L$20,Resultados!$L$23)</f>
        <v>50</v>
      </c>
      <c r="BK9" s="3">
        <v>20</v>
      </c>
      <c r="BL9" s="3">
        <f>SUM(Resultados!$G$17,Resultados!$G$20,Resultados!$G$23)</f>
        <v>30</v>
      </c>
      <c r="BM9" s="3">
        <f>SUM(Resultados!$P$17,Resultados!$P$20,Resultados!$P$23)</f>
        <v>44</v>
      </c>
      <c r="BO9" s="3">
        <v>20</v>
      </c>
      <c r="BP9" s="3">
        <f>SUM(Resultados!$AB$17,Resultados!$AB$20,Resultados!$AB$23)</f>
        <v>87</v>
      </c>
      <c r="BQ9" s="3">
        <f>SUM(Resultados!$AD$17,Resultados!$AD$20,Resultados!$AD$23)</f>
        <v>5</v>
      </c>
      <c r="BS9" s="3">
        <v>20</v>
      </c>
      <c r="BT9" s="3">
        <f>SUM(Resultados!$AF$17,Resultados!$AF$20,Resultados!$AF$23)</f>
        <v>83</v>
      </c>
      <c r="BU9" s="3">
        <f>SUM(Resultados!$AH$17,Resultados!$AH$20,Resultados!$AH$23)</f>
        <v>11</v>
      </c>
    </row>
    <row r="10" spans="1:73" x14ac:dyDescent="0.3">
      <c r="A10" s="3" t="str">
        <f>'Pcell vs GRASP est-rand'!N75</f>
        <v>Ganado</v>
      </c>
      <c r="B10" s="3" t="str">
        <f>'Pcell vs GRASP est-rand'!O75</f>
        <v>Perdido</v>
      </c>
      <c r="C10" s="3" t="str">
        <f>'Pcell vs GRASP est-rand'!P75</f>
        <v>Ganado</v>
      </c>
      <c r="D10" s="3" t="str">
        <f>'Pcell vs GRASP est-rand'!Q75</f>
        <v>Perdido</v>
      </c>
      <c r="E10" s="3" t="str">
        <f>'Pcell vs GRASP est-rand'!AF75</f>
        <v>Ganado</v>
      </c>
      <c r="F10" s="3" t="str">
        <f>'Pcell vs GRASP est-rand'!AG75</f>
        <v>Perdido</v>
      </c>
      <c r="G10" s="3" t="str">
        <f>'Pcell vs GRASP est-rand'!AH75</f>
        <v>Ganado</v>
      </c>
      <c r="H10" s="3" t="str">
        <f>'Pcell vs GRASP est-rand'!AI75</f>
        <v>Perdido</v>
      </c>
      <c r="J10" s="3" t="str">
        <f>'PCell vs GRASP random'!N75</f>
        <v>Ganado</v>
      </c>
      <c r="K10" s="3" t="str">
        <f>'PCell vs GRASP random'!O75</f>
        <v>Perdido</v>
      </c>
      <c r="L10" s="3" t="str">
        <f>'PCell vs GRASP random'!P75</f>
        <v>Ganado</v>
      </c>
      <c r="M10" s="3" t="str">
        <f>'PCell vs GRASP random'!Q75</f>
        <v>Perdido</v>
      </c>
      <c r="N10" s="3" t="str">
        <f>'PCell vs GRASP random'!AF75</f>
        <v>Ganado</v>
      </c>
      <c r="O10" s="3" t="str">
        <f>'PCell vs GRASP random'!AG75</f>
        <v>Perdido</v>
      </c>
      <c r="P10" s="3" t="str">
        <f>'PCell vs GRASP random'!AH75</f>
        <v>Ganado</v>
      </c>
      <c r="Q10" s="3" t="str">
        <f>'PCell vs GRASP random'!AI75</f>
        <v>Perdido</v>
      </c>
      <c r="S10" s="3" t="str">
        <f>'PCellRGRASP vs RGRASP'!N74</f>
        <v>Ganado</v>
      </c>
      <c r="T10" s="3" t="str">
        <f>'PCellRGRASP vs RGRASP'!O74</f>
        <v>Perdido</v>
      </c>
      <c r="U10" s="3" t="str">
        <f>'PCellRGRASP vs RGRASP'!P74</f>
        <v>Ganado</v>
      </c>
      <c r="V10" s="3" t="str">
        <f>'PCellRGRASP vs RGRASP'!Q74</f>
        <v>Perdido</v>
      </c>
      <c r="W10" s="3" t="str">
        <f>'PCellRGRASP vs RGRASP'!AF74</f>
        <v>Ganado</v>
      </c>
      <c r="X10" s="3" t="str">
        <f>'PCellRGRASP vs RGRASP'!AG74</f>
        <v>Perdido</v>
      </c>
      <c r="Y10" s="3" t="str">
        <f>'PCellRGRASP vs RGRASP'!AH74</f>
        <v>Ganado</v>
      </c>
      <c r="Z10" s="3" t="str">
        <f>'PCellRGRASP vs RGRASP'!AI74</f>
        <v>Perdido</v>
      </c>
      <c r="AB10" s="15" t="str">
        <f>'Pcell est vs Pcell rand'!P75</f>
        <v>Ganado</v>
      </c>
      <c r="AC10" s="15" t="str">
        <f>'Pcell est vs Pcell rand'!Q75</f>
        <v>Perdido</v>
      </c>
      <c r="AD10" s="15" t="str">
        <f>'Pcell est vs Pcell rand'!R75</f>
        <v>Ganado</v>
      </c>
      <c r="AE10" s="15" t="str">
        <f>'Pcell est vs Pcell rand'!S75</f>
        <v>Perdido</v>
      </c>
      <c r="AF10" s="15" t="str">
        <f>'Pcell est vs Pcell rand'!AJ75</f>
        <v>Ganado</v>
      </c>
      <c r="AG10" s="15" t="str">
        <f>'Pcell est vs Pcell rand'!AK75</f>
        <v>Perdido</v>
      </c>
      <c r="AH10" s="15" t="str">
        <f>'Pcell est vs Pcell rand'!AL75</f>
        <v>Ganado</v>
      </c>
      <c r="AI10" s="15" t="str">
        <f>'Pcell est vs Pcell rand'!AM75</f>
        <v>Perdido</v>
      </c>
      <c r="AK10" s="3" t="str">
        <f>'Pcell est vs PcellRGRASP'!P75</f>
        <v>Ganado</v>
      </c>
      <c r="AL10" s="3" t="str">
        <f>'Pcell est vs PcellRGRASP'!Q75</f>
        <v>Perdido</v>
      </c>
      <c r="AM10" s="3" t="str">
        <f>'Pcell est vs PcellRGRASP'!R75</f>
        <v>Ganado</v>
      </c>
      <c r="AN10" s="3" t="str">
        <f>'Pcell est vs PcellRGRASP'!S75</f>
        <v>Perdido</v>
      </c>
      <c r="AO10" s="3" t="str">
        <f>'Pcell est vs PcellRGRASP'!AJ75</f>
        <v>Ganado</v>
      </c>
      <c r="AP10" s="3" t="str">
        <f>'Pcell est vs PcellRGRASP'!AK75</f>
        <v>Perdido</v>
      </c>
      <c r="AQ10" s="3" t="str">
        <f>'Pcell est vs PcellRGRASP'!AL75</f>
        <v>Ganado</v>
      </c>
      <c r="AR10" s="3" t="str">
        <f>'Pcell est vs PcellRGRASP'!AM75</f>
        <v>Perdido</v>
      </c>
      <c r="AT10" s="3" t="str">
        <f>'PcellRGRASP vs Pcell rand'!P75</f>
        <v>Ganado</v>
      </c>
      <c r="AU10" s="3" t="str">
        <f>'PcellRGRASP vs Pcell rand'!Q75</f>
        <v>Perdido</v>
      </c>
      <c r="AV10" s="3" t="str">
        <f>'PcellRGRASP vs Pcell rand'!R75</f>
        <v>Ganado</v>
      </c>
      <c r="AW10" s="3" t="str">
        <f>'PcellRGRASP vs Pcell rand'!S75</f>
        <v>Perdido</v>
      </c>
      <c r="AX10" s="3" t="str">
        <f>'PcellRGRASP vs Pcell rand'!AJ75</f>
        <v>Ganado</v>
      </c>
      <c r="AY10" s="3" t="str">
        <f>'PcellRGRASP vs Pcell rand'!AK75</f>
        <v>Perdido</v>
      </c>
      <c r="AZ10" s="3" t="str">
        <f>'PcellRGRASP vs Pcell rand'!AL75</f>
        <v>Ganado</v>
      </c>
      <c r="BA10" s="3" t="str">
        <f>'PcellRGRASP vs Pcell rand'!AM75</f>
        <v>Perdido</v>
      </c>
      <c r="BG10" s="3">
        <v>25</v>
      </c>
      <c r="BH10" s="3">
        <f>SUM(Resultados!$C$29,Resultados!$C$32,Resultados!$C$35)</f>
        <v>37</v>
      </c>
      <c r="BI10" s="3">
        <f>SUM(Resultados!$L$29,Resultados!$L$32,Resultados!$L$35)</f>
        <v>43</v>
      </c>
      <c r="BK10" s="3">
        <v>25</v>
      </c>
      <c r="BL10" s="3">
        <f>SUM(Resultados!$G$29,Resultados!$G$32,Resultados!$G$35)</f>
        <v>28</v>
      </c>
      <c r="BM10" s="3">
        <f>SUM(Resultados!$P$29,Resultados!$P$32,Resultados!$P$35)</f>
        <v>41</v>
      </c>
      <c r="BO10" s="3">
        <v>25</v>
      </c>
      <c r="BP10" s="3">
        <f>SUM(Resultados!$AB$29,Resultados!$AB$32,Resultados!$AB$35)</f>
        <v>82</v>
      </c>
      <c r="BQ10" s="3">
        <f>SUM(Resultados!$AD$29,Resultados!$AD$32,Resultados!$AD$35)</f>
        <v>10</v>
      </c>
      <c r="BS10" s="3">
        <v>25</v>
      </c>
      <c r="BT10" s="3">
        <f>SUM(Resultados!$AF$29,Resultados!$AF$32,Resultados!$AF$35)</f>
        <v>86</v>
      </c>
      <c r="BU10" s="3">
        <f>SUM(Resultados!$AH$29,Resultados!$AH$32,Resultados!$AH$35)</f>
        <v>6</v>
      </c>
    </row>
    <row r="11" spans="1:73" x14ac:dyDescent="0.3">
      <c r="A11" s="3">
        <f>'Pcell vs GRASP est-rand'!N77</f>
        <v>28</v>
      </c>
      <c r="B11" s="3">
        <f>'Pcell vs GRASP est-rand'!O77</f>
        <v>2</v>
      </c>
      <c r="C11" s="3">
        <f>'Pcell vs GRASP est-rand'!P77</f>
        <v>5</v>
      </c>
      <c r="D11" s="3">
        <f>'Pcell vs GRASP est-rand'!Q77</f>
        <v>25</v>
      </c>
      <c r="E11" s="3">
        <f>'Pcell vs GRASP est-rand'!AF77</f>
        <v>28</v>
      </c>
      <c r="F11" s="3">
        <f>'Pcell vs GRASP est-rand'!AG77</f>
        <v>2</v>
      </c>
      <c r="G11" s="3">
        <f>'Pcell vs GRASP est-rand'!AH77</f>
        <v>4</v>
      </c>
      <c r="H11" s="3">
        <f>'Pcell vs GRASP est-rand'!AI77</f>
        <v>26</v>
      </c>
      <c r="J11" s="3">
        <f>'PCell vs GRASP random'!N77</f>
        <v>19</v>
      </c>
      <c r="K11" s="3">
        <f>'PCell vs GRASP random'!O77</f>
        <v>11</v>
      </c>
      <c r="L11" s="3">
        <f>'PCell vs GRASP random'!P77</f>
        <v>20</v>
      </c>
      <c r="M11" s="3">
        <f>'PCell vs GRASP random'!Q77</f>
        <v>10</v>
      </c>
      <c r="N11" s="3">
        <f>'PCell vs GRASP random'!AF77</f>
        <v>25</v>
      </c>
      <c r="O11" s="3">
        <f>'PCell vs GRASP random'!AG77</f>
        <v>5</v>
      </c>
      <c r="P11" s="3">
        <f>'PCell vs GRASP random'!AH77</f>
        <v>19</v>
      </c>
      <c r="Q11" s="3">
        <f>'PCell vs GRASP random'!AI77</f>
        <v>11</v>
      </c>
      <c r="S11" s="3">
        <f>'PCellRGRASP vs RGRASP'!N76</f>
        <v>20</v>
      </c>
      <c r="T11" s="3">
        <f>'PCellRGRASP vs RGRASP'!O76</f>
        <v>10</v>
      </c>
      <c r="U11" s="3">
        <f>'PCellRGRASP vs RGRASP'!P76</f>
        <v>17</v>
      </c>
      <c r="V11" s="3">
        <f>'PCellRGRASP vs RGRASP'!Q76</f>
        <v>13</v>
      </c>
      <c r="W11" s="3">
        <f>'PCellRGRASP vs RGRASP'!AF76</f>
        <v>19</v>
      </c>
      <c r="X11" s="3">
        <f>'PCellRGRASP vs RGRASP'!AG76</f>
        <v>11</v>
      </c>
      <c r="Y11" s="3">
        <f>'PCellRGRASP vs RGRASP'!AH76</f>
        <v>17</v>
      </c>
      <c r="Z11" s="3">
        <f>'PCellRGRASP vs RGRASP'!AI76</f>
        <v>13</v>
      </c>
      <c r="AB11" s="15">
        <f>'Pcell est vs Pcell rand'!P77</f>
        <v>26</v>
      </c>
      <c r="AC11" s="15">
        <f>'Pcell est vs Pcell rand'!Q77</f>
        <v>4</v>
      </c>
      <c r="AD11" s="15">
        <f>'Pcell est vs Pcell rand'!R77</f>
        <v>14</v>
      </c>
      <c r="AE11" s="15">
        <f>'Pcell est vs Pcell rand'!S77</f>
        <v>16</v>
      </c>
      <c r="AF11" s="15">
        <f>'Pcell est vs Pcell rand'!AJ77</f>
        <v>26</v>
      </c>
      <c r="AG11" s="15">
        <f>'Pcell est vs Pcell rand'!AK77</f>
        <v>4</v>
      </c>
      <c r="AH11" s="15">
        <f>'Pcell est vs Pcell rand'!AL77</f>
        <v>19</v>
      </c>
      <c r="AI11" s="15">
        <f>'Pcell est vs Pcell rand'!AM77</f>
        <v>11</v>
      </c>
      <c r="AK11" s="3">
        <f>'Pcell est vs PcellRGRASP'!P77</f>
        <v>29</v>
      </c>
      <c r="AL11" s="3">
        <f>'Pcell est vs PcellRGRASP'!Q77</f>
        <v>1</v>
      </c>
      <c r="AM11" s="3">
        <f>'Pcell est vs PcellRGRASP'!R77</f>
        <v>2</v>
      </c>
      <c r="AN11" s="3">
        <f>'Pcell est vs PcellRGRASP'!S77</f>
        <v>28</v>
      </c>
      <c r="AO11" s="3">
        <f>'Pcell est vs PcellRGRASP'!AJ77</f>
        <v>30</v>
      </c>
      <c r="AP11" s="3">
        <f>'Pcell est vs PcellRGRASP'!AK77</f>
        <v>0</v>
      </c>
      <c r="AQ11" s="3">
        <f>'Pcell est vs PcellRGRASP'!AL77</f>
        <v>3</v>
      </c>
      <c r="AR11" s="3">
        <f>'Pcell est vs PcellRGRASP'!AM77</f>
        <v>27</v>
      </c>
      <c r="AT11" s="3">
        <f>'PcellRGRASP vs Pcell rand'!P77</f>
        <v>3</v>
      </c>
      <c r="AU11" s="3">
        <f>'PcellRGRASP vs Pcell rand'!Q77</f>
        <v>27</v>
      </c>
      <c r="AV11" s="3">
        <f>'PcellRGRASP vs Pcell rand'!R77</f>
        <v>28</v>
      </c>
      <c r="AW11" s="3">
        <f>'PcellRGRASP vs Pcell rand'!S77</f>
        <v>2</v>
      </c>
      <c r="AX11" s="3">
        <f>'PcellRGRASP vs Pcell rand'!AJ77</f>
        <v>5</v>
      </c>
      <c r="AY11" s="3">
        <f>'PcellRGRASP vs Pcell rand'!AK77</f>
        <v>25</v>
      </c>
      <c r="AZ11" s="3">
        <f>'PcellRGRASP vs Pcell rand'!AL77</f>
        <v>30</v>
      </c>
      <c r="BA11" s="3">
        <f>'PcellRGRASP vs Pcell rand'!AM77</f>
        <v>0</v>
      </c>
      <c r="BG11" s="3">
        <v>30</v>
      </c>
      <c r="BH11" s="3">
        <f>SUM(Resultados!$C$41,Resultados!$C$44,Resultados!$C$47)</f>
        <v>30</v>
      </c>
      <c r="BI11" s="3">
        <f>SUM(Resultados!$L$41,Resultados!$L$44,Resultados!$L$47)</f>
        <v>43</v>
      </c>
      <c r="BK11" s="3">
        <v>30</v>
      </c>
      <c r="BL11" s="3">
        <f>SUM(Resultados!$G$41,Resultados!$G$44,Resultados!$G$47)</f>
        <v>24</v>
      </c>
      <c r="BM11" s="3">
        <f>SUM(Resultados!$P$41,Resultados!$P$44,Resultados!$P$47)</f>
        <v>41</v>
      </c>
      <c r="BO11" s="3">
        <v>30</v>
      </c>
      <c r="BP11" s="3">
        <f>SUM(Resultados!$AB$41,Resultados!$AB$44,Resultados!$AB$47)</f>
        <v>81</v>
      </c>
      <c r="BQ11" s="3">
        <f>SUM(Resultados!$AD$41,Resultados!$AD$44,Resultados!$AD$47)</f>
        <v>10</v>
      </c>
      <c r="BS11" s="3">
        <v>30</v>
      </c>
      <c r="BT11" s="3">
        <f>SUM(Resultados!$AF$41,Resultados!$AF$44,Resultados!$AF$47)</f>
        <v>77</v>
      </c>
      <c r="BU11" s="3">
        <f>SUM(Resultados!$AH$41,Resultados!$AH$44,Resultados!$AH$47)</f>
        <v>14</v>
      </c>
    </row>
    <row r="12" spans="1:73" x14ac:dyDescent="0.3">
      <c r="S12" s="5"/>
      <c r="T12" s="5"/>
      <c r="U12" s="5"/>
      <c r="V12" s="5"/>
      <c r="W12" s="5"/>
      <c r="X12" s="5"/>
      <c r="Y12" s="5"/>
      <c r="Z12" s="5"/>
      <c r="AB12" s="11"/>
      <c r="AC12" s="11"/>
      <c r="AD12" s="11"/>
      <c r="AE12" s="11"/>
      <c r="AF12" s="11"/>
      <c r="AG12" s="11"/>
      <c r="AH12" s="11"/>
      <c r="AI12" s="11"/>
      <c r="BG12" s="3">
        <v>35</v>
      </c>
      <c r="BH12" s="3">
        <f>SUM(Resultados!$C$53,Resultados!$C$56,Resultados!$C$59)</f>
        <v>33</v>
      </c>
      <c r="BI12" s="3">
        <f>SUM(Resultados!$L$53,Resultados!$L$56,Resultados!$L$59)</f>
        <v>44</v>
      </c>
      <c r="BK12" s="3">
        <v>35</v>
      </c>
      <c r="BL12" s="3">
        <f>SUM(Resultados!$G$53,Resultados!$G$56,Resultados!$G$59)</f>
        <v>30</v>
      </c>
      <c r="BM12" s="3">
        <f>SUM(Resultados!$P$53,Resultados!$P$56,Resultados!$P$59)</f>
        <v>44</v>
      </c>
      <c r="BO12" s="3">
        <v>35</v>
      </c>
      <c r="BP12" s="3">
        <f>SUM(Resultados!$AB$53,Resultados!$AB$56,Resultados!$AB$59)</f>
        <v>85</v>
      </c>
      <c r="BQ12" s="3">
        <f>SUM(Resultados!$AD$53,Resultados!$AD$56,Resultados!$AD$59)</f>
        <v>7</v>
      </c>
      <c r="BS12" s="3">
        <v>35</v>
      </c>
      <c r="BT12" s="3">
        <f>SUM(Resultados!$AF$53,Resultados!$AF$56,Resultados!$AF$59)</f>
        <v>86</v>
      </c>
      <c r="BU12" s="3">
        <f>SUM(Resultados!$AH$53,Resultados!$AH$56,Resultados!$AH$59)</f>
        <v>5</v>
      </c>
    </row>
    <row r="13" spans="1:73" x14ac:dyDescent="0.3">
      <c r="A13" s="19">
        <v>20</v>
      </c>
      <c r="B13" s="19"/>
      <c r="C13" s="19"/>
      <c r="D13" s="19"/>
      <c r="E13" s="19">
        <v>20</v>
      </c>
      <c r="F13" s="19"/>
      <c r="G13" s="19"/>
      <c r="H13" s="19"/>
      <c r="J13" s="19">
        <v>20</v>
      </c>
      <c r="K13" s="19"/>
      <c r="L13" s="19"/>
      <c r="M13" s="19"/>
      <c r="N13" s="19">
        <v>20</v>
      </c>
      <c r="O13" s="19"/>
      <c r="P13" s="19"/>
      <c r="Q13" s="19"/>
      <c r="S13" s="19">
        <v>20</v>
      </c>
      <c r="T13" s="19"/>
      <c r="U13" s="19"/>
      <c r="V13" s="19"/>
      <c r="W13" s="19">
        <v>20</v>
      </c>
      <c r="X13" s="19"/>
      <c r="Y13" s="19"/>
      <c r="Z13" s="19"/>
      <c r="AB13" s="19">
        <v>20</v>
      </c>
      <c r="AC13" s="19"/>
      <c r="AD13" s="19"/>
      <c r="AE13" s="19"/>
      <c r="AF13" s="19">
        <v>20</v>
      </c>
      <c r="AG13" s="19"/>
      <c r="AH13" s="19"/>
      <c r="AI13" s="19"/>
      <c r="AK13" s="19">
        <v>20</v>
      </c>
      <c r="AL13" s="19"/>
      <c r="AM13" s="19"/>
      <c r="AN13" s="19"/>
      <c r="AO13" s="19">
        <v>20</v>
      </c>
      <c r="AP13" s="19"/>
      <c r="AQ13" s="19"/>
      <c r="AR13" s="19"/>
      <c r="AT13" s="19">
        <v>20</v>
      </c>
      <c r="AU13" s="19"/>
      <c r="AV13" s="19"/>
      <c r="AW13" s="19"/>
      <c r="AX13" s="19">
        <v>20</v>
      </c>
      <c r="AY13" s="19"/>
      <c r="AZ13" s="19"/>
      <c r="BA13" s="19"/>
      <c r="BG13" s="3">
        <v>40</v>
      </c>
      <c r="BH13" s="3">
        <f>SUM(Resultados!$C$65,Resultados!$C$68,Resultados!$C$71)</f>
        <v>33</v>
      </c>
      <c r="BI13" s="3">
        <f>SUM(Resultados!$L$65,Resultados!$L$68,Resultados!$L$71)</f>
        <v>45</v>
      </c>
      <c r="BK13" s="3">
        <v>40</v>
      </c>
      <c r="BL13" s="3">
        <f>SUM(Resultados!$G$65,Resultados!$G$68,Resultados!$G$71)</f>
        <v>35</v>
      </c>
      <c r="BM13" s="3">
        <f>SUM(Resultados!$P$65,Resultados!$P$68,Resultados!$P$71)</f>
        <v>40</v>
      </c>
      <c r="BO13" s="3">
        <v>40</v>
      </c>
      <c r="BP13" s="3">
        <f>SUM(Resultados!$AB$65,Resultados!$AB$68,Resultados!$AB$71)</f>
        <v>30</v>
      </c>
      <c r="BQ13" s="3">
        <f>SUM(Resultados!$AD$65,Resultados!$AD$68,Resultados!$AD$71)</f>
        <v>5</v>
      </c>
      <c r="BS13" s="3">
        <v>40</v>
      </c>
      <c r="BT13" s="3">
        <f>SUM(Resultados!$AF$65,Resultados!$AF$68,Resultados!$AF$71)</f>
        <v>86</v>
      </c>
      <c r="BU13" s="3">
        <f>SUM(Resultados!$AH$65,Resultados!$AH$68,Resultados!$AH$71)</f>
        <v>5</v>
      </c>
    </row>
    <row r="14" spans="1:73" x14ac:dyDescent="0.3">
      <c r="A14" s="19" t="s">
        <v>328</v>
      </c>
      <c r="B14" s="19"/>
      <c r="C14" s="19" t="s">
        <v>329</v>
      </c>
      <c r="D14" s="19"/>
      <c r="E14" s="19" t="s">
        <v>328</v>
      </c>
      <c r="F14" s="19"/>
      <c r="G14" s="19" t="s">
        <v>329</v>
      </c>
      <c r="H14" s="19"/>
      <c r="J14" s="19" t="s">
        <v>336</v>
      </c>
      <c r="K14" s="19"/>
      <c r="L14" s="19" t="s">
        <v>329</v>
      </c>
      <c r="M14" s="19"/>
      <c r="N14" s="19" t="s">
        <v>336</v>
      </c>
      <c r="O14" s="19"/>
      <c r="P14" s="19" t="s">
        <v>329</v>
      </c>
      <c r="Q14" s="19"/>
      <c r="S14" s="19" t="s">
        <v>337</v>
      </c>
      <c r="T14" s="19"/>
      <c r="U14" s="19" t="s">
        <v>338</v>
      </c>
      <c r="V14" s="19"/>
      <c r="W14" s="19" t="s">
        <v>337</v>
      </c>
      <c r="X14" s="19"/>
      <c r="Y14" s="19" t="s">
        <v>338</v>
      </c>
      <c r="Z14" s="19"/>
      <c r="AB14" s="19" t="s">
        <v>328</v>
      </c>
      <c r="AC14" s="19"/>
      <c r="AD14" s="19" t="s">
        <v>336</v>
      </c>
      <c r="AE14" s="19"/>
      <c r="AF14" s="19" t="s">
        <v>328</v>
      </c>
      <c r="AG14" s="19"/>
      <c r="AH14" s="19" t="s">
        <v>336</v>
      </c>
      <c r="AI14" s="19"/>
      <c r="AK14" s="19" t="s">
        <v>328</v>
      </c>
      <c r="AL14" s="19"/>
      <c r="AM14" s="19" t="s">
        <v>337</v>
      </c>
      <c r="AN14" s="19"/>
      <c r="AO14" s="19" t="s">
        <v>328</v>
      </c>
      <c r="AP14" s="19"/>
      <c r="AQ14" s="19" t="s">
        <v>337</v>
      </c>
      <c r="AR14" s="19"/>
      <c r="AT14" s="19" t="s">
        <v>337</v>
      </c>
      <c r="AU14" s="19"/>
      <c r="AV14" s="19" t="s">
        <v>336</v>
      </c>
      <c r="AW14" s="19"/>
      <c r="AX14" s="19" t="s">
        <v>337</v>
      </c>
      <c r="AY14" s="19"/>
      <c r="AZ14" s="19" t="s">
        <v>336</v>
      </c>
      <c r="BA14" s="19"/>
      <c r="BG14" s="3">
        <v>45</v>
      </c>
      <c r="BH14" s="3">
        <f>SUM(Resultados!$C$77,Resultados!$C$80,Resultados!$C$83)</f>
        <v>23</v>
      </c>
      <c r="BI14" s="3">
        <f>SUM(Resultados!$L$77,Resultados!$L$80,Resultados!$L$83)</f>
        <v>37</v>
      </c>
      <c r="BK14" s="3">
        <v>45</v>
      </c>
      <c r="BL14" s="3">
        <f>SUM(Resultados!$G$77,Resultados!$G$80,Resultados!$G$83)</f>
        <v>27</v>
      </c>
      <c r="BM14" s="3">
        <f>SUM(Resultados!$P$77,Resultados!$P$80,Resultados!$P$83)</f>
        <v>46</v>
      </c>
      <c r="BO14" s="3">
        <v>45</v>
      </c>
      <c r="BP14" s="3">
        <f>SUM(Resultados!$AB$77,Resultados!$AB$80,Resultados!$AB$83)</f>
        <v>88</v>
      </c>
      <c r="BQ14" s="3">
        <f>SUM(Resultados!$AD$77,Resultados!$AD$80,Resultados!$AD$83)</f>
        <v>3</v>
      </c>
      <c r="BS14" s="3">
        <v>45</v>
      </c>
      <c r="BT14" s="3">
        <f>SUM(Resultados!$AF$77,Resultados!$AF$80,Resultados!$AF$83)</f>
        <v>88</v>
      </c>
      <c r="BU14" s="3">
        <f>SUM(Resultados!$AH$77,Resultados!$AH$80,Resultados!$AH$83)</f>
        <v>2</v>
      </c>
    </row>
    <row r="15" spans="1:73" x14ac:dyDescent="0.3">
      <c r="A15" s="19" t="s">
        <v>330</v>
      </c>
      <c r="B15" s="19"/>
      <c r="C15" s="19"/>
      <c r="D15" s="19"/>
      <c r="E15" s="19" t="s">
        <v>331</v>
      </c>
      <c r="F15" s="19"/>
      <c r="G15" s="19"/>
      <c r="H15" s="19"/>
      <c r="J15" s="19" t="s">
        <v>330</v>
      </c>
      <c r="K15" s="19"/>
      <c r="L15" s="19"/>
      <c r="M15" s="19"/>
      <c r="N15" s="19" t="s">
        <v>331</v>
      </c>
      <c r="O15" s="19"/>
      <c r="P15" s="19"/>
      <c r="Q15" s="19"/>
      <c r="S15" s="19" t="s">
        <v>330</v>
      </c>
      <c r="T15" s="19"/>
      <c r="U15" s="19"/>
      <c r="V15" s="19"/>
      <c r="W15" s="19" t="s">
        <v>331</v>
      </c>
      <c r="X15" s="19"/>
      <c r="Y15" s="19"/>
      <c r="Z15" s="19"/>
      <c r="AB15" s="19" t="s">
        <v>330</v>
      </c>
      <c r="AC15" s="19"/>
      <c r="AD15" s="19"/>
      <c r="AE15" s="19"/>
      <c r="AF15" s="19" t="s">
        <v>331</v>
      </c>
      <c r="AG15" s="19"/>
      <c r="AH15" s="19"/>
      <c r="AI15" s="19"/>
      <c r="AK15" s="19" t="s">
        <v>330</v>
      </c>
      <c r="AL15" s="19"/>
      <c r="AM15" s="19"/>
      <c r="AN15" s="19"/>
      <c r="AO15" s="19" t="s">
        <v>331</v>
      </c>
      <c r="AP15" s="19"/>
      <c r="AQ15" s="19"/>
      <c r="AR15" s="19"/>
      <c r="AT15" s="19" t="s">
        <v>330</v>
      </c>
      <c r="AU15" s="19"/>
      <c r="AV15" s="19"/>
      <c r="AW15" s="19"/>
      <c r="AX15" s="19" t="s">
        <v>331</v>
      </c>
      <c r="AY15" s="19"/>
      <c r="AZ15" s="19"/>
      <c r="BA15" s="19"/>
      <c r="BG15" s="3">
        <v>50</v>
      </c>
      <c r="BH15" s="3">
        <f>SUM(Resultados!$C$89,Resultados!$C$92,Resultados!$C$95)</f>
        <v>26</v>
      </c>
      <c r="BI15" s="3">
        <f>SUM(Resultados!$L$89,Resultados!$L$92,Resultados!$L$95)</f>
        <v>41</v>
      </c>
      <c r="BK15" s="3">
        <v>50</v>
      </c>
      <c r="BL15" s="3">
        <f>SUM(Resultados!$G$89,Resultados!$G$92,Resultados!$G$95)</f>
        <v>32</v>
      </c>
      <c r="BM15" s="3">
        <f>SUM(Resultados!$P$89,Resultados!$P$92,Resultados!$P$95)</f>
        <v>39</v>
      </c>
      <c r="BO15" s="3">
        <v>50</v>
      </c>
      <c r="BP15" s="3">
        <f>SUM(Resultados!$AB$89,Resultados!$AB$92,Resultados!$AB$95)</f>
        <v>87</v>
      </c>
      <c r="BQ15" s="3">
        <f>SUM(Resultados!$AD$89,Resultados!$AD$92,Resultados!$AD$95)</f>
        <v>4</v>
      </c>
      <c r="BS15" s="3">
        <v>50</v>
      </c>
      <c r="BT15" s="3">
        <f>SUM(Resultados!$AF$89,Resultados!$AF$92,Resultados!$AF$95)</f>
        <v>87</v>
      </c>
      <c r="BU15" s="3">
        <f>SUM(Resultados!$AH$89,Resultados!$AH$92,Resultados!$AH$95)</f>
        <v>5</v>
      </c>
    </row>
    <row r="16" spans="1:73" x14ac:dyDescent="0.3">
      <c r="A16" s="3" t="str">
        <f>'Pcell vs GRASP est-rand'!N110</f>
        <v>Ganado</v>
      </c>
      <c r="B16" s="3" t="str">
        <f>'Pcell vs GRASP est-rand'!O110</f>
        <v>Perdido</v>
      </c>
      <c r="C16" s="3" t="str">
        <f>'Pcell vs GRASP est-rand'!P110</f>
        <v>Ganado</v>
      </c>
      <c r="D16" s="3" t="str">
        <f>'Pcell vs GRASP est-rand'!Q110</f>
        <v>Perdido</v>
      </c>
      <c r="E16" s="3" t="str">
        <f>'Pcell vs GRASP est-rand'!AF110</f>
        <v>Ganado</v>
      </c>
      <c r="F16" s="3" t="str">
        <f>'Pcell vs GRASP est-rand'!AG110</f>
        <v>Perdido</v>
      </c>
      <c r="G16" s="3" t="str">
        <f>'Pcell vs GRASP est-rand'!AH110</f>
        <v>Ganado</v>
      </c>
      <c r="H16" s="3" t="str">
        <f>'Pcell vs GRASP est-rand'!AI110</f>
        <v>Perdido</v>
      </c>
      <c r="J16" s="3" t="str">
        <f>'PCell vs GRASP random'!N110</f>
        <v>Ganado</v>
      </c>
      <c r="K16" s="3" t="str">
        <f>'PCell vs GRASP random'!O110</f>
        <v>Perdido</v>
      </c>
      <c r="L16" s="3" t="str">
        <f>'PCell vs GRASP random'!P110</f>
        <v>Ganado</v>
      </c>
      <c r="M16" s="3" t="str">
        <f>'PCell vs GRASP random'!Q110</f>
        <v>Perdido</v>
      </c>
      <c r="N16" s="3" t="str">
        <f>'PCell vs GRASP random'!AF110</f>
        <v>Ganado</v>
      </c>
      <c r="O16" s="3" t="str">
        <f>'PCell vs GRASP random'!AG110</f>
        <v>Perdido</v>
      </c>
      <c r="P16" s="3" t="str">
        <f>'PCell vs GRASP random'!AH110</f>
        <v>Ganado</v>
      </c>
      <c r="Q16" s="3" t="str">
        <f>'PCell vs GRASP random'!AI110</f>
        <v>Perdido</v>
      </c>
      <c r="S16" s="3" t="str">
        <f>'PCellRGRASP vs RGRASP'!N109</f>
        <v>Ganado</v>
      </c>
      <c r="T16" s="3" t="str">
        <f>'PCellRGRASP vs RGRASP'!O109</f>
        <v>Perdido</v>
      </c>
      <c r="U16" s="3" t="str">
        <f>'PCellRGRASP vs RGRASP'!P109</f>
        <v>Ganado</v>
      </c>
      <c r="V16" s="3" t="str">
        <f>'PCellRGRASP vs RGRASP'!Q109</f>
        <v>Perdido</v>
      </c>
      <c r="W16" s="3" t="str">
        <f>'PCellRGRASP vs RGRASP'!AF109</f>
        <v>Ganado</v>
      </c>
      <c r="X16" s="3" t="str">
        <f>'PCellRGRASP vs RGRASP'!AG109</f>
        <v>Perdido</v>
      </c>
      <c r="Y16" s="3" t="str">
        <f>'PCellRGRASP vs RGRASP'!AH109</f>
        <v>Ganado</v>
      </c>
      <c r="Z16" s="3" t="str">
        <f>'PCellRGRASP vs RGRASP'!AI109</f>
        <v>Perdido</v>
      </c>
      <c r="AB16" s="15" t="str">
        <f>'Pcell est vs Pcell rand'!P110</f>
        <v>Ganado</v>
      </c>
      <c r="AC16" s="15" t="str">
        <f>'Pcell est vs Pcell rand'!Q110</f>
        <v>Perdido</v>
      </c>
      <c r="AD16" s="15" t="str">
        <f>'Pcell est vs Pcell rand'!R110</f>
        <v>Ganado</v>
      </c>
      <c r="AE16" s="15" t="str">
        <f>'Pcell est vs Pcell rand'!S110</f>
        <v>Perdido</v>
      </c>
      <c r="AF16" s="15" t="str">
        <f>'Pcell est vs Pcell rand'!AJ110</f>
        <v>Ganado</v>
      </c>
      <c r="AG16" s="15" t="str">
        <f>'Pcell est vs Pcell rand'!AK110</f>
        <v>Perdido</v>
      </c>
      <c r="AH16" s="15" t="str">
        <f>'Pcell est vs Pcell rand'!AL110</f>
        <v>Ganado</v>
      </c>
      <c r="AI16" s="15" t="str">
        <f>'Pcell est vs Pcell rand'!AM110</f>
        <v>Perdido</v>
      </c>
      <c r="AK16" s="3" t="str">
        <f>'Pcell est vs PcellRGRASP'!P110</f>
        <v>Ganado</v>
      </c>
      <c r="AL16" s="3" t="str">
        <f>'Pcell est vs PcellRGRASP'!Q110</f>
        <v>Perdido</v>
      </c>
      <c r="AM16" s="3" t="str">
        <f>'Pcell est vs PcellRGRASP'!R110</f>
        <v>Ganado</v>
      </c>
      <c r="AN16" s="3" t="str">
        <f>'Pcell est vs PcellRGRASP'!S110</f>
        <v>Perdido</v>
      </c>
      <c r="AO16" s="3" t="str">
        <f>'Pcell est vs PcellRGRASP'!AJ110</f>
        <v>Ganado</v>
      </c>
      <c r="AP16" s="3" t="str">
        <f>'Pcell est vs PcellRGRASP'!AK110</f>
        <v>Perdido</v>
      </c>
      <c r="AQ16" s="3" t="str">
        <f>'Pcell est vs PcellRGRASP'!AL110</f>
        <v>Ganado</v>
      </c>
      <c r="AR16" s="3" t="str">
        <f>'Pcell est vs PcellRGRASP'!AM110</f>
        <v>Perdido</v>
      </c>
      <c r="AT16" s="3" t="str">
        <f>'PcellRGRASP vs Pcell rand'!P110</f>
        <v>Ganado</v>
      </c>
      <c r="AU16" s="3" t="str">
        <f>'PcellRGRASP vs Pcell rand'!Q110</f>
        <v>Perdido</v>
      </c>
      <c r="AV16" s="3" t="str">
        <f>'PcellRGRASP vs Pcell rand'!R110</f>
        <v>Ganado</v>
      </c>
      <c r="AW16" s="3" t="str">
        <f>'PcellRGRASP vs Pcell rand'!S110</f>
        <v>Perdido</v>
      </c>
      <c r="AX16" s="3" t="str">
        <f>'PcellRGRASP vs Pcell rand'!AJ110</f>
        <v>Ganado</v>
      </c>
      <c r="AY16" s="3" t="str">
        <f>'PcellRGRASP vs Pcell rand'!AK110</f>
        <v>Perdido</v>
      </c>
      <c r="AZ16" s="3" t="str">
        <f>'PcellRGRASP vs Pcell rand'!AL110</f>
        <v>Ganado</v>
      </c>
      <c r="BA16" s="3" t="str">
        <f>'PcellRGRASP vs Pcell rand'!AM110</f>
        <v>Perdido</v>
      </c>
      <c r="BG16" s="3">
        <v>55</v>
      </c>
      <c r="BH16" s="3">
        <f>SUM(Resultados!$C$101,Resultados!$C$104,Resultados!$C$107)</f>
        <v>28</v>
      </c>
      <c r="BI16" s="3">
        <f>SUM(Resultados!$L$101,Resultados!$L$104,Resultados!$L$107)</f>
        <v>43</v>
      </c>
      <c r="BK16" s="3">
        <v>55</v>
      </c>
      <c r="BL16" s="3">
        <f>SUM(Resultados!$G$101,Resultados!$G$104,Resultados!$G$107)</f>
        <v>29</v>
      </c>
      <c r="BM16" s="3">
        <f>SUM(Resultados!$P$101,Resultados!$P$104,Resultados!$P$107)</f>
        <v>44</v>
      </c>
      <c r="BO16" s="3">
        <v>55</v>
      </c>
      <c r="BP16" s="3">
        <f>SUM(Resultados!$AB$101,Resultados!$AB$104,Resultados!$AB$107)</f>
        <v>85</v>
      </c>
      <c r="BQ16" s="3">
        <f>SUM(Resultados!$AD$101,Resultados!$AD$104,Resultados!$AD$107)</f>
        <v>6</v>
      </c>
      <c r="BS16" s="3">
        <v>55</v>
      </c>
      <c r="BT16" s="3">
        <f>SUM(Resultados!$AF$101,Resultados!$AF$104,Resultados!$AF$107)</f>
        <v>86</v>
      </c>
      <c r="BU16" s="3">
        <f>SUM(Resultados!$AH$101,Resultados!$AH$104,Resultados!$AH$107)</f>
        <v>5</v>
      </c>
    </row>
    <row r="17" spans="1:73" x14ac:dyDescent="0.3">
      <c r="A17" s="3">
        <f>'Pcell vs GRASP est-rand'!N112</f>
        <v>21</v>
      </c>
      <c r="B17" s="3">
        <f>'Pcell vs GRASP est-rand'!O112</f>
        <v>9</v>
      </c>
      <c r="C17" s="3">
        <f>'Pcell vs GRASP est-rand'!P112</f>
        <v>9</v>
      </c>
      <c r="D17" s="3">
        <f>'Pcell vs GRASP est-rand'!Q112</f>
        <v>21</v>
      </c>
      <c r="E17" s="3">
        <f>'Pcell vs GRASP est-rand'!AF112</f>
        <v>20</v>
      </c>
      <c r="F17" s="3">
        <f>'Pcell vs GRASP est-rand'!AG112</f>
        <v>10</v>
      </c>
      <c r="G17" s="3">
        <f>'Pcell vs GRASP est-rand'!AH112</f>
        <v>10</v>
      </c>
      <c r="H17" s="3">
        <f>'Pcell vs GRASP est-rand'!AI112</f>
        <v>20</v>
      </c>
      <c r="J17" s="3">
        <f>'PCell vs GRASP random'!N112</f>
        <v>16</v>
      </c>
      <c r="K17" s="3">
        <f>'PCell vs GRASP random'!O112</f>
        <v>14</v>
      </c>
      <c r="L17" s="3">
        <f>'PCell vs GRASP random'!P112</f>
        <v>16</v>
      </c>
      <c r="M17" s="3">
        <f>'PCell vs GRASP random'!Q112</f>
        <v>14</v>
      </c>
      <c r="N17" s="3">
        <f>'PCell vs GRASP random'!AF112</f>
        <v>16</v>
      </c>
      <c r="O17" s="3">
        <f>'PCell vs GRASP random'!AG112</f>
        <v>14</v>
      </c>
      <c r="P17" s="3">
        <f>'PCell vs GRASP random'!AH112</f>
        <v>17</v>
      </c>
      <c r="Q17" s="3">
        <f>'PCell vs GRASP random'!AI112</f>
        <v>13</v>
      </c>
      <c r="S17" s="3">
        <f>'PCellRGRASP vs RGRASP'!N111</f>
        <v>18</v>
      </c>
      <c r="T17" s="3">
        <f>'PCellRGRASP vs RGRASP'!O111</f>
        <v>12</v>
      </c>
      <c r="U17" s="3">
        <f>'PCellRGRASP vs RGRASP'!P111</f>
        <v>15</v>
      </c>
      <c r="V17" s="3">
        <f>'PCellRGRASP vs RGRASP'!Q111</f>
        <v>15</v>
      </c>
      <c r="W17" s="3">
        <f>'PCellRGRASP vs RGRASP'!AF111</f>
        <v>15</v>
      </c>
      <c r="X17" s="3">
        <f>'PCellRGRASP vs RGRASP'!AG111</f>
        <v>15</v>
      </c>
      <c r="Y17" s="3">
        <f>'PCellRGRASP vs RGRASP'!AH111</f>
        <v>17</v>
      </c>
      <c r="Z17" s="3">
        <f>'PCellRGRASP vs RGRASP'!AI111</f>
        <v>13</v>
      </c>
      <c r="AB17" s="15">
        <f>'Pcell est vs Pcell rand'!P112</f>
        <v>28</v>
      </c>
      <c r="AC17" s="15">
        <f>'Pcell est vs Pcell rand'!Q112</f>
        <v>2</v>
      </c>
      <c r="AD17" s="15">
        <f>'Pcell est vs Pcell rand'!R112</f>
        <v>3</v>
      </c>
      <c r="AE17" s="15">
        <f>'Pcell est vs Pcell rand'!S112</f>
        <v>27</v>
      </c>
      <c r="AF17" s="15">
        <f>'Pcell est vs Pcell rand'!AJ112</f>
        <v>25</v>
      </c>
      <c r="AG17" s="15">
        <f>'Pcell est vs Pcell rand'!AK112</f>
        <v>5</v>
      </c>
      <c r="AH17" s="15">
        <f>'Pcell est vs Pcell rand'!AL112</f>
        <v>7</v>
      </c>
      <c r="AI17" s="15">
        <f>'Pcell est vs Pcell rand'!AM112</f>
        <v>23</v>
      </c>
      <c r="AK17" s="3">
        <f>'Pcell est vs PcellRGRASP'!P112</f>
        <v>25</v>
      </c>
      <c r="AL17" s="3">
        <f>'Pcell est vs PcellRGRASP'!Q112</f>
        <v>5</v>
      </c>
      <c r="AM17" s="3">
        <f>'Pcell est vs PcellRGRASP'!R112</f>
        <v>7</v>
      </c>
      <c r="AN17" s="3">
        <f>'Pcell est vs PcellRGRASP'!S112</f>
        <v>23</v>
      </c>
      <c r="AO17" s="3">
        <f>'Pcell est vs PcellRGRASP'!AJ112</f>
        <v>28</v>
      </c>
      <c r="AP17" s="3">
        <f>'Pcell est vs PcellRGRASP'!AK112</f>
        <v>2</v>
      </c>
      <c r="AQ17" s="3">
        <f>'Pcell est vs PcellRGRASP'!AL112</f>
        <v>2</v>
      </c>
      <c r="AR17" s="3">
        <f>'Pcell est vs PcellRGRASP'!AM112</f>
        <v>28</v>
      </c>
      <c r="AT17" s="3">
        <f>'PcellRGRASP vs Pcell rand'!P112</f>
        <v>9</v>
      </c>
      <c r="AU17" s="3">
        <f>'PcellRGRASP vs Pcell rand'!Q112</f>
        <v>21</v>
      </c>
      <c r="AV17" s="3">
        <f>'PcellRGRASP vs Pcell rand'!R112</f>
        <v>21</v>
      </c>
      <c r="AW17" s="3">
        <f>'PcellRGRASP vs Pcell rand'!S112</f>
        <v>9</v>
      </c>
      <c r="AX17" s="3">
        <f>'PcellRGRASP vs Pcell rand'!AJ112</f>
        <v>2</v>
      </c>
      <c r="AY17" s="3">
        <f>'PcellRGRASP vs Pcell rand'!AK112</f>
        <v>28</v>
      </c>
      <c r="AZ17" s="3">
        <f>'PcellRGRASP vs Pcell rand'!AL112</f>
        <v>28</v>
      </c>
      <c r="BA17" s="3">
        <f>'PcellRGRASP vs Pcell rand'!AM112</f>
        <v>2</v>
      </c>
      <c r="BG17" s="3">
        <v>60</v>
      </c>
      <c r="BH17" s="3">
        <f>SUM(Resultados!$C$113,Resultados!$C$116,Resultados!$C$119)</f>
        <v>27</v>
      </c>
      <c r="BI17" s="3">
        <f>SUM(Resultados!$L$113,Resultados!$L$116,Resultados!$L$119)</f>
        <v>50</v>
      </c>
      <c r="BK17" s="3">
        <v>60</v>
      </c>
      <c r="BL17" s="3">
        <f>SUM(Resultados!$G$113,Resultados!$G$116,Resultados!$G$119)</f>
        <v>34</v>
      </c>
      <c r="BM17" s="3">
        <f>SUM(Resultados!$P$113,Resultados!$P$116,Resultados!$P$119)</f>
        <v>40</v>
      </c>
      <c r="BO17" s="3">
        <v>60</v>
      </c>
      <c r="BP17" s="3">
        <f>SUM(Resultados!$AB$113,Resultados!$AB$116,Resultados!$AB$119)</f>
        <v>87</v>
      </c>
      <c r="BQ17" s="3">
        <f>SUM(Resultados!$AD$113,Resultados!$AD$116,Resultados!$AD$119)</f>
        <v>3</v>
      </c>
      <c r="BS17" s="3">
        <v>60</v>
      </c>
      <c r="BT17" s="3">
        <f>SUM(Resultados!$AF$113,Resultados!$AF$116,Resultados!$AF$119)</f>
        <v>85</v>
      </c>
      <c r="BU17" s="3">
        <f>SUM(Resultados!$AH$113,Resultados!$AH$116,Resultados!$AH$119)</f>
        <v>4</v>
      </c>
    </row>
    <row r="18" spans="1:73" x14ac:dyDescent="0.3">
      <c r="A18" s="19" t="s">
        <v>332</v>
      </c>
      <c r="B18" s="19"/>
      <c r="C18" s="19"/>
      <c r="D18" s="19"/>
      <c r="E18" s="19" t="s">
        <v>333</v>
      </c>
      <c r="F18" s="19"/>
      <c r="G18" s="19"/>
      <c r="H18" s="19"/>
      <c r="J18" s="19" t="s">
        <v>332</v>
      </c>
      <c r="K18" s="19"/>
      <c r="L18" s="19"/>
      <c r="M18" s="19"/>
      <c r="N18" s="19" t="s">
        <v>333</v>
      </c>
      <c r="O18" s="19"/>
      <c r="P18" s="19"/>
      <c r="Q18" s="19"/>
      <c r="S18" s="19" t="s">
        <v>332</v>
      </c>
      <c r="T18" s="19"/>
      <c r="U18" s="19"/>
      <c r="V18" s="19"/>
      <c r="W18" s="19" t="s">
        <v>333</v>
      </c>
      <c r="X18" s="19"/>
      <c r="Y18" s="19"/>
      <c r="Z18" s="19"/>
      <c r="AB18" s="19" t="s">
        <v>332</v>
      </c>
      <c r="AC18" s="19"/>
      <c r="AD18" s="19"/>
      <c r="AE18" s="19"/>
      <c r="AF18" s="19" t="s">
        <v>333</v>
      </c>
      <c r="AG18" s="19"/>
      <c r="AH18" s="19"/>
      <c r="AI18" s="19"/>
      <c r="AK18" s="19" t="s">
        <v>332</v>
      </c>
      <c r="AL18" s="19"/>
      <c r="AM18" s="19"/>
      <c r="AN18" s="19"/>
      <c r="AO18" s="19" t="s">
        <v>333</v>
      </c>
      <c r="AP18" s="19"/>
      <c r="AQ18" s="19"/>
      <c r="AR18" s="19"/>
      <c r="AT18" s="19" t="s">
        <v>332</v>
      </c>
      <c r="AU18" s="19"/>
      <c r="AV18" s="19"/>
      <c r="AW18" s="19"/>
      <c r="AX18" s="19" t="s">
        <v>333</v>
      </c>
      <c r="AY18" s="19"/>
      <c r="AZ18" s="19"/>
      <c r="BA18" s="19"/>
    </row>
    <row r="19" spans="1:73" x14ac:dyDescent="0.3">
      <c r="A19" s="3" t="str">
        <f>'Pcell vs GRASP est-rand'!N146</f>
        <v>Ganado</v>
      </c>
      <c r="B19" s="3" t="str">
        <f>'Pcell vs GRASP est-rand'!O146</f>
        <v>Perdido</v>
      </c>
      <c r="C19" s="3" t="str">
        <f>'Pcell vs GRASP est-rand'!P146</f>
        <v>Ganado</v>
      </c>
      <c r="D19" s="3" t="str">
        <f>'Pcell vs GRASP est-rand'!Q146</f>
        <v>Perdido</v>
      </c>
      <c r="E19" s="3" t="str">
        <f>'Pcell vs GRASP est-rand'!AF146</f>
        <v>Ganado</v>
      </c>
      <c r="F19" s="3" t="str">
        <f>'Pcell vs GRASP est-rand'!AG146</f>
        <v>Perdido</v>
      </c>
      <c r="G19" s="3" t="str">
        <f>'Pcell vs GRASP est-rand'!AH146</f>
        <v>Ganado</v>
      </c>
      <c r="H19" s="3" t="str">
        <f>'Pcell vs GRASP est-rand'!AI146</f>
        <v>Perdido</v>
      </c>
      <c r="J19" s="3" t="str">
        <f>'PCell vs GRASP random'!N146</f>
        <v>Ganado</v>
      </c>
      <c r="K19" s="3" t="str">
        <f>'PCell vs GRASP random'!O146</f>
        <v>Perdido</v>
      </c>
      <c r="L19" s="3" t="str">
        <f>'PCell vs GRASP random'!P146</f>
        <v>Ganado</v>
      </c>
      <c r="M19" s="3" t="str">
        <f>'PCell vs GRASP random'!Q146</f>
        <v>Perdido</v>
      </c>
      <c r="N19" s="3" t="str">
        <f>'PCell vs GRASP random'!AF146</f>
        <v>Ganado</v>
      </c>
      <c r="O19" s="3" t="str">
        <f>'PCell vs GRASP random'!AG146</f>
        <v>Perdido</v>
      </c>
      <c r="P19" s="3" t="str">
        <f>'PCell vs GRASP random'!AH146</f>
        <v>Ganado</v>
      </c>
      <c r="Q19" s="3" t="str">
        <f>'PCell vs GRASP random'!AI146</f>
        <v>Perdido</v>
      </c>
      <c r="S19" s="3" t="str">
        <f>'PCellRGRASP vs RGRASP'!N146</f>
        <v>Ganado</v>
      </c>
      <c r="T19" s="3" t="str">
        <f>'PCellRGRASP vs RGRASP'!O146</f>
        <v>Perdido</v>
      </c>
      <c r="U19" s="3" t="str">
        <f>'PCellRGRASP vs RGRASP'!P146</f>
        <v>Ganado</v>
      </c>
      <c r="V19" s="3" t="str">
        <f>'PCellRGRASP vs RGRASP'!Q146</f>
        <v>Perdido</v>
      </c>
      <c r="W19" s="3" t="str">
        <f>'PCellRGRASP vs RGRASP'!AF145</f>
        <v>Ganado</v>
      </c>
      <c r="X19" s="3" t="str">
        <f>'PCellRGRASP vs RGRASP'!AG145</f>
        <v>Perdido</v>
      </c>
      <c r="Y19" s="3" t="str">
        <f>'PCellRGRASP vs RGRASP'!AH145</f>
        <v>Ganado</v>
      </c>
      <c r="Z19" s="3" t="str">
        <f>'PCellRGRASP vs RGRASP'!AI145</f>
        <v>Perdido</v>
      </c>
      <c r="AB19" s="15" t="str">
        <f>'Pcell est vs Pcell rand'!P146</f>
        <v>Ganado</v>
      </c>
      <c r="AC19" s="15" t="str">
        <f>'Pcell est vs Pcell rand'!Q146</f>
        <v>Perdido</v>
      </c>
      <c r="AD19" s="15" t="str">
        <f>'Pcell est vs Pcell rand'!R146</f>
        <v>Ganado</v>
      </c>
      <c r="AE19" s="15" t="str">
        <f>'Pcell est vs Pcell rand'!S146</f>
        <v>Perdido</v>
      </c>
      <c r="AF19" s="15" t="str">
        <f>'Pcell est vs Pcell rand'!AJ146</f>
        <v>Ganado</v>
      </c>
      <c r="AG19" s="15" t="str">
        <f>'Pcell est vs Pcell rand'!AK146</f>
        <v>Perdido</v>
      </c>
      <c r="AH19" s="15" t="str">
        <f>'Pcell est vs Pcell rand'!AL146</f>
        <v>Ganado</v>
      </c>
      <c r="AI19" s="15" t="str">
        <f>'Pcell est vs Pcell rand'!AM146</f>
        <v>Perdido</v>
      </c>
      <c r="AK19" s="3" t="str">
        <f>'Pcell est vs PcellRGRASP'!P146</f>
        <v>Ganado</v>
      </c>
      <c r="AL19" s="3" t="str">
        <f>'Pcell est vs PcellRGRASP'!Q146</f>
        <v>Perdido</v>
      </c>
      <c r="AM19" s="3" t="str">
        <f>'Pcell est vs PcellRGRASP'!R146</f>
        <v>Ganado</v>
      </c>
      <c r="AN19" s="3" t="str">
        <f>'Pcell est vs PcellRGRASP'!S146</f>
        <v>Perdido</v>
      </c>
      <c r="AO19" s="3" t="str">
        <f>'Pcell est vs PcellRGRASP'!AJ146</f>
        <v>Ganado</v>
      </c>
      <c r="AP19" s="3" t="str">
        <f>'Pcell est vs PcellRGRASP'!AK146</f>
        <v>Perdido</v>
      </c>
      <c r="AQ19" s="3" t="str">
        <f>'Pcell est vs PcellRGRASP'!AL146</f>
        <v>Ganado</v>
      </c>
      <c r="AR19" s="3" t="str">
        <f>'Pcell est vs PcellRGRASP'!AM146</f>
        <v>Perdido</v>
      </c>
      <c r="AT19" s="3" t="str">
        <f>'PcellRGRASP vs Pcell rand'!P146</f>
        <v>Ganado</v>
      </c>
      <c r="AU19" s="3" t="str">
        <f>'PcellRGRASP vs Pcell rand'!Q146</f>
        <v>Perdido</v>
      </c>
      <c r="AV19" s="3" t="str">
        <f>'PcellRGRASP vs Pcell rand'!R146</f>
        <v>Ganado</v>
      </c>
      <c r="AW19" s="3" t="str">
        <f>'PcellRGRASP vs Pcell rand'!S146</f>
        <v>Perdido</v>
      </c>
      <c r="AX19" s="3" t="str">
        <f>'PcellRGRASP vs Pcell rand'!AJ146</f>
        <v>Ganado</v>
      </c>
      <c r="AY19" s="3" t="str">
        <f>'PcellRGRASP vs Pcell rand'!AK146</f>
        <v>Perdido</v>
      </c>
      <c r="AZ19" s="3" t="str">
        <f>'PcellRGRASP vs Pcell rand'!AL146</f>
        <v>Ganado</v>
      </c>
      <c r="BA19" s="3" t="str">
        <f>'PcellRGRASP vs Pcell rand'!AM146</f>
        <v>Perdido</v>
      </c>
      <c r="BG19" s="3" t="s">
        <v>346</v>
      </c>
      <c r="BH19" s="4" t="s">
        <v>350</v>
      </c>
      <c r="BI19" s="4" t="s">
        <v>354</v>
      </c>
      <c r="BK19" s="3" t="s">
        <v>347</v>
      </c>
      <c r="BL19" s="4" t="s">
        <v>352</v>
      </c>
      <c r="BM19" s="4" t="s">
        <v>356</v>
      </c>
      <c r="BO19" s="3" t="s">
        <v>346</v>
      </c>
      <c r="BP19" s="4" t="s">
        <v>350</v>
      </c>
      <c r="BQ19" s="4" t="s">
        <v>355</v>
      </c>
      <c r="BS19" s="3" t="s">
        <v>347</v>
      </c>
      <c r="BT19" s="4" t="s">
        <v>352</v>
      </c>
      <c r="BU19" s="4" t="s">
        <v>357</v>
      </c>
    </row>
    <row r="20" spans="1:73" x14ac:dyDescent="0.3">
      <c r="A20" s="3">
        <f>'Pcell vs GRASP est-rand'!N148</f>
        <v>21</v>
      </c>
      <c r="B20" s="3">
        <f>'Pcell vs GRASP est-rand'!O148</f>
        <v>9</v>
      </c>
      <c r="C20" s="3">
        <f>'Pcell vs GRASP est-rand'!P148</f>
        <v>10</v>
      </c>
      <c r="D20" s="3">
        <f>'Pcell vs GRASP est-rand'!Q148</f>
        <v>20</v>
      </c>
      <c r="E20" s="3">
        <f>'Pcell vs GRASP est-rand'!AF148</f>
        <v>15</v>
      </c>
      <c r="F20" s="3">
        <f>'Pcell vs GRASP est-rand'!AG148</f>
        <v>15</v>
      </c>
      <c r="G20" s="3">
        <f>'Pcell vs GRASP est-rand'!AH148</f>
        <v>15</v>
      </c>
      <c r="H20" s="3">
        <f>'Pcell vs GRASP est-rand'!AI148</f>
        <v>15</v>
      </c>
      <c r="J20" s="3">
        <f>'PCell vs GRASP random'!N148</f>
        <v>15</v>
      </c>
      <c r="K20" s="3">
        <f>'PCell vs GRASP random'!O148</f>
        <v>15</v>
      </c>
      <c r="L20" s="3">
        <f>'PCell vs GRASP random'!P148</f>
        <v>17</v>
      </c>
      <c r="M20" s="3">
        <f>'PCell vs GRASP random'!Q148</f>
        <v>13</v>
      </c>
      <c r="N20" s="3">
        <f>'PCell vs GRASP random'!AF148</f>
        <v>17</v>
      </c>
      <c r="O20" s="3">
        <f>'PCell vs GRASP random'!AG148</f>
        <v>13</v>
      </c>
      <c r="P20" s="3">
        <f>'PCell vs GRASP random'!AH148</f>
        <v>14</v>
      </c>
      <c r="Q20" s="3">
        <f>'PCell vs GRASP random'!AI148</f>
        <v>16</v>
      </c>
      <c r="S20" s="3">
        <f>'PCellRGRASP vs RGRASP'!N148</f>
        <v>18</v>
      </c>
      <c r="T20" s="3">
        <f>'PCellRGRASP vs RGRASP'!O148</f>
        <v>12</v>
      </c>
      <c r="U20" s="3">
        <f>'PCellRGRASP vs RGRASP'!P148</f>
        <v>13</v>
      </c>
      <c r="V20" s="3">
        <f>'PCellRGRASP vs RGRASP'!Q148</f>
        <v>17</v>
      </c>
      <c r="W20" s="3">
        <f>'PCellRGRASP vs RGRASP'!AF147</f>
        <v>15</v>
      </c>
      <c r="X20" s="3">
        <f>'PCellRGRASP vs RGRASP'!AG147</f>
        <v>15</v>
      </c>
      <c r="Y20" s="3">
        <f>'PCellRGRASP vs RGRASP'!AH147</f>
        <v>16</v>
      </c>
      <c r="Z20" s="3">
        <f>'PCellRGRASP vs RGRASP'!AI147</f>
        <v>14</v>
      </c>
      <c r="AB20" s="15">
        <f>'Pcell est vs Pcell rand'!P148</f>
        <v>29</v>
      </c>
      <c r="AC20" s="15">
        <f>'Pcell est vs Pcell rand'!Q148</f>
        <v>1</v>
      </c>
      <c r="AD20" s="15">
        <f>'Pcell est vs Pcell rand'!R148</f>
        <v>1</v>
      </c>
      <c r="AE20" s="15">
        <f>'Pcell est vs Pcell rand'!S148</f>
        <v>29</v>
      </c>
      <c r="AF20" s="15">
        <f>'Pcell est vs Pcell rand'!AJ148</f>
        <v>30</v>
      </c>
      <c r="AG20" s="15">
        <f>'Pcell est vs Pcell rand'!AK148</f>
        <v>0</v>
      </c>
      <c r="AH20" s="15">
        <f>'Pcell est vs Pcell rand'!AL148</f>
        <v>0</v>
      </c>
      <c r="AI20" s="15">
        <f>'Pcell est vs Pcell rand'!AM148</f>
        <v>30</v>
      </c>
      <c r="AK20" s="3">
        <f>'Pcell est vs PcellRGRASP'!P148</f>
        <v>23</v>
      </c>
      <c r="AL20" s="3">
        <f>'Pcell est vs PcellRGRASP'!Q148</f>
        <v>7</v>
      </c>
      <c r="AM20" s="3">
        <f>'Pcell est vs PcellRGRASP'!R148</f>
        <v>7</v>
      </c>
      <c r="AN20" s="3">
        <f>'Pcell est vs PcellRGRASP'!S148</f>
        <v>23</v>
      </c>
      <c r="AO20" s="3">
        <f>'Pcell est vs PcellRGRASP'!AJ148</f>
        <v>25</v>
      </c>
      <c r="AP20" s="3">
        <f>'Pcell est vs PcellRGRASP'!AK148</f>
        <v>5</v>
      </c>
      <c r="AQ20" s="3">
        <f>'Pcell est vs PcellRGRASP'!AL148</f>
        <v>5</v>
      </c>
      <c r="AR20" s="3">
        <f>'Pcell est vs PcellRGRASP'!AM148</f>
        <v>25</v>
      </c>
      <c r="AT20" s="3">
        <f>'PcellRGRASP vs Pcell rand'!P148</f>
        <v>11</v>
      </c>
      <c r="AU20" s="3">
        <f>'PcellRGRASP vs Pcell rand'!Q148</f>
        <v>19</v>
      </c>
      <c r="AV20" s="3">
        <f>'PcellRGRASP vs Pcell rand'!R148</f>
        <v>19</v>
      </c>
      <c r="AW20" s="3">
        <f>'PcellRGRASP vs Pcell rand'!S148</f>
        <v>11</v>
      </c>
      <c r="AX20" s="3">
        <f>'PcellRGRASP vs Pcell rand'!AJ148</f>
        <v>8</v>
      </c>
      <c r="AY20" s="3">
        <f>'PcellRGRASP vs Pcell rand'!AK148</f>
        <v>22</v>
      </c>
      <c r="AZ20" s="3">
        <f>'PcellRGRASP vs Pcell rand'!AL148</f>
        <v>22</v>
      </c>
      <c r="BA20" s="3">
        <f>'PcellRGRASP vs Pcell rand'!AM148</f>
        <v>8</v>
      </c>
      <c r="BG20" s="3">
        <v>15</v>
      </c>
      <c r="BH20" s="3">
        <f>SUM(Resultados!$AB$5,Resultados!$AB$8,Resultados!$AB$11)</f>
        <v>80</v>
      </c>
      <c r="BI20" s="3">
        <f>SUM(Resultados!$C$5,Resultados!$C$8,Resultados!$C$11)</f>
        <v>11</v>
      </c>
      <c r="BK20" s="3">
        <v>15</v>
      </c>
      <c r="BL20" s="3">
        <f>SUM(Resultados!$AF$5,Resultados!$AF$8,Resultados!$AF$11)</f>
        <v>26</v>
      </c>
      <c r="BM20" s="3">
        <f>SUM(Resultados!$G$5,Resultados!$G$8,Resultados!$G$11)</f>
        <v>18</v>
      </c>
      <c r="BO20" s="3">
        <v>15</v>
      </c>
      <c r="BP20" s="3">
        <f>SUM(Resultados!$AB$5,Resultados!$AB$8,Resultados!$AB$11)</f>
        <v>80</v>
      </c>
      <c r="BQ20" s="3">
        <f>SUM(Resultados!$L$5,Resultados!$L$8,Resultados!$L$11)</f>
        <v>54</v>
      </c>
      <c r="BS20" s="3">
        <v>15</v>
      </c>
      <c r="BT20" s="3">
        <f>SUM(Resultados!$AB$5,Resultados!$AB$8,Resultados!$AB$11)</f>
        <v>80</v>
      </c>
      <c r="BU20" s="3">
        <f>SUM(Resultados!$P$5,Resultados!$P$8,Resultados!$P$11)</f>
        <v>63</v>
      </c>
    </row>
    <row r="21" spans="1:73" x14ac:dyDescent="0.3">
      <c r="A21" s="19" t="s">
        <v>334</v>
      </c>
      <c r="B21" s="19"/>
      <c r="C21" s="19"/>
      <c r="D21" s="19"/>
      <c r="E21" s="19" t="s">
        <v>335</v>
      </c>
      <c r="F21" s="19"/>
      <c r="G21" s="19"/>
      <c r="H21" s="19"/>
      <c r="J21" s="19" t="s">
        <v>334</v>
      </c>
      <c r="K21" s="19"/>
      <c r="L21" s="19"/>
      <c r="M21" s="19"/>
      <c r="N21" s="19" t="s">
        <v>335</v>
      </c>
      <c r="O21" s="19"/>
      <c r="P21" s="19"/>
      <c r="Q21" s="19"/>
      <c r="S21" s="19" t="s">
        <v>334</v>
      </c>
      <c r="T21" s="19"/>
      <c r="U21" s="19"/>
      <c r="V21" s="19"/>
      <c r="W21" s="19" t="s">
        <v>335</v>
      </c>
      <c r="X21" s="19"/>
      <c r="Y21" s="19"/>
      <c r="Z21" s="19"/>
      <c r="AB21" s="19" t="s">
        <v>334</v>
      </c>
      <c r="AC21" s="19"/>
      <c r="AD21" s="19"/>
      <c r="AE21" s="19"/>
      <c r="AF21" s="19" t="s">
        <v>335</v>
      </c>
      <c r="AG21" s="19"/>
      <c r="AH21" s="19"/>
      <c r="AI21" s="19"/>
      <c r="AK21" s="19" t="s">
        <v>334</v>
      </c>
      <c r="AL21" s="19"/>
      <c r="AM21" s="19"/>
      <c r="AN21" s="19"/>
      <c r="AO21" s="19" t="s">
        <v>335</v>
      </c>
      <c r="AP21" s="19"/>
      <c r="AQ21" s="19"/>
      <c r="AR21" s="19"/>
      <c r="AT21" s="19" t="s">
        <v>334</v>
      </c>
      <c r="AU21" s="19"/>
      <c r="AV21" s="19"/>
      <c r="AW21" s="19"/>
      <c r="AX21" s="19" t="s">
        <v>335</v>
      </c>
      <c r="AY21" s="19"/>
      <c r="AZ21" s="19"/>
      <c r="BA21" s="19"/>
      <c r="BG21" s="3">
        <v>20</v>
      </c>
      <c r="BH21" s="3">
        <f>SUM(Resultados!$AB$17,Resultados!$AB$20,Resultados!$AB$23)</f>
        <v>87</v>
      </c>
      <c r="BI21" s="3">
        <f>SUM(Resultados!$C$17,Resultados!$C$20,Resultados!$C$23)</f>
        <v>27</v>
      </c>
      <c r="BK21" s="3">
        <v>20</v>
      </c>
      <c r="BL21" s="3">
        <f>SUM(Resultados!$AF$17,Resultados!$AF$20,Resultados!$AF$23)</f>
        <v>83</v>
      </c>
      <c r="BM21" s="3">
        <f>SUM(Resultados!$G$17,Resultados!$G$20,Resultados!$G$23)</f>
        <v>30</v>
      </c>
      <c r="BO21" s="3">
        <v>20</v>
      </c>
      <c r="BP21" s="3">
        <f>SUM(Resultados!$AB$17,Resultados!$AB$20,Resultados!$AB$23)</f>
        <v>87</v>
      </c>
      <c r="BQ21" s="3">
        <f>SUM(Resultados!$L$17,Resultados!$L$20,Resultados!$L$23)</f>
        <v>50</v>
      </c>
      <c r="BS21" s="3">
        <v>20</v>
      </c>
      <c r="BT21" s="3">
        <f>SUM(Resultados!$AB$17,Resultados!$AB$20,Resultados!$AB$23)</f>
        <v>87</v>
      </c>
      <c r="BU21" s="3">
        <f>SUM(Resultados!$P$17,Resultados!$P$20,Resultados!$P$23)</f>
        <v>44</v>
      </c>
    </row>
    <row r="22" spans="1:73" x14ac:dyDescent="0.3">
      <c r="A22" s="3" t="str">
        <f>'Pcell vs GRASP est-rand'!N182</f>
        <v>Ganado</v>
      </c>
      <c r="B22" s="3" t="str">
        <f>'Pcell vs GRASP est-rand'!O182</f>
        <v>Perdido</v>
      </c>
      <c r="C22" s="3" t="str">
        <f>'Pcell vs GRASP est-rand'!P182</f>
        <v>Ganado</v>
      </c>
      <c r="D22" s="3" t="str">
        <f>'Pcell vs GRASP est-rand'!Q182</f>
        <v>Perdido</v>
      </c>
      <c r="E22" s="3" t="str">
        <f>'Pcell vs GRASP est-rand'!AF182</f>
        <v>Ganado</v>
      </c>
      <c r="F22" s="3" t="str">
        <f>'Pcell vs GRASP est-rand'!AG182</f>
        <v>Perdido</v>
      </c>
      <c r="G22" s="3" t="str">
        <f>'Pcell vs GRASP est-rand'!AH182</f>
        <v>Ganado</v>
      </c>
      <c r="H22" s="3" t="str">
        <f>'Pcell vs GRASP est-rand'!AI182</f>
        <v>Perdido</v>
      </c>
      <c r="J22" s="3" t="str">
        <f>'PCell vs GRASP random'!N182</f>
        <v>Ganado</v>
      </c>
      <c r="K22" s="3" t="str">
        <f>'PCell vs GRASP random'!O182</f>
        <v>Perdido</v>
      </c>
      <c r="L22" s="3" t="str">
        <f>'PCell vs GRASP random'!P182</f>
        <v>Ganado</v>
      </c>
      <c r="M22" s="3" t="str">
        <f>'PCell vs GRASP random'!Q182</f>
        <v>Perdido</v>
      </c>
      <c r="N22" s="3" t="str">
        <f>'PCell vs GRASP random'!AF182</f>
        <v>Ganado</v>
      </c>
      <c r="O22" s="3" t="str">
        <f>'PCell vs GRASP random'!AG182</f>
        <v>Perdido</v>
      </c>
      <c r="P22" s="3" t="str">
        <f>'PCell vs GRASP random'!AH182</f>
        <v>Ganado</v>
      </c>
      <c r="Q22" s="3" t="str">
        <f>'PCell vs GRASP random'!AI182</f>
        <v>Perdido</v>
      </c>
      <c r="S22" s="3" t="str">
        <f>'PCellRGRASP vs RGRASP'!N182</f>
        <v>Ganado</v>
      </c>
      <c r="T22" s="3" t="str">
        <f>'PCellRGRASP vs RGRASP'!O182</f>
        <v>Perdido</v>
      </c>
      <c r="U22" s="3" t="str">
        <f>'PCellRGRASP vs RGRASP'!P182</f>
        <v>Ganado</v>
      </c>
      <c r="V22" s="3" t="str">
        <f>'PCellRGRASP vs RGRASP'!Q182</f>
        <v>Perdido</v>
      </c>
      <c r="W22" s="3" t="str">
        <f>'PCellRGRASP vs RGRASP'!AF181</f>
        <v>Ganado</v>
      </c>
      <c r="X22" s="3" t="str">
        <f>'PCellRGRASP vs RGRASP'!AG181</f>
        <v>Perdido</v>
      </c>
      <c r="Y22" s="3" t="str">
        <f>'PCellRGRASP vs RGRASP'!AH181</f>
        <v>Ganado</v>
      </c>
      <c r="Z22" s="3" t="str">
        <f>'PCellRGRASP vs RGRASP'!AI181</f>
        <v>Perdido</v>
      </c>
      <c r="AB22" s="15" t="str">
        <f>'Pcell est vs Pcell rand'!P182</f>
        <v>Ganado</v>
      </c>
      <c r="AC22" s="15" t="str">
        <f>'Pcell est vs Pcell rand'!Q182</f>
        <v>Perdido</v>
      </c>
      <c r="AD22" s="15" t="str">
        <f>'Pcell est vs Pcell rand'!R182</f>
        <v>Ganado</v>
      </c>
      <c r="AE22" s="15" t="str">
        <f>'Pcell est vs Pcell rand'!S182</f>
        <v>Perdido</v>
      </c>
      <c r="AF22" s="15" t="str">
        <f>'Pcell est vs Pcell rand'!AJ182</f>
        <v>Ganado</v>
      </c>
      <c r="AG22" s="15" t="str">
        <f>'Pcell est vs Pcell rand'!AK182</f>
        <v>Perdido</v>
      </c>
      <c r="AH22" s="15" t="str">
        <f>'Pcell est vs Pcell rand'!AL182</f>
        <v>Ganado</v>
      </c>
      <c r="AI22" s="15" t="str">
        <f>'Pcell est vs Pcell rand'!AM182</f>
        <v>Perdido</v>
      </c>
      <c r="AK22" s="3" t="str">
        <f>'Pcell est vs PcellRGRASP'!P182</f>
        <v>Ganado</v>
      </c>
      <c r="AL22" s="3" t="str">
        <f>'Pcell est vs PcellRGRASP'!Q182</f>
        <v>Perdido</v>
      </c>
      <c r="AM22" s="3" t="str">
        <f>'Pcell est vs PcellRGRASP'!R182</f>
        <v>Ganado</v>
      </c>
      <c r="AN22" s="3" t="str">
        <f>'Pcell est vs PcellRGRASP'!S182</f>
        <v>Perdido</v>
      </c>
      <c r="AO22" s="3" t="str">
        <f>'Pcell est vs PcellRGRASP'!AJ182</f>
        <v>Ganado</v>
      </c>
      <c r="AP22" s="3" t="str">
        <f>'Pcell est vs PcellRGRASP'!AK182</f>
        <v>Perdido</v>
      </c>
      <c r="AQ22" s="3" t="str">
        <f>'Pcell est vs PcellRGRASP'!AL182</f>
        <v>Ganado</v>
      </c>
      <c r="AR22" s="3" t="str">
        <f>'Pcell est vs PcellRGRASP'!AM182</f>
        <v>Perdido</v>
      </c>
      <c r="AT22" s="3" t="str">
        <f>'PcellRGRASP vs Pcell rand'!P182</f>
        <v>Ganado</v>
      </c>
      <c r="AU22" s="3" t="str">
        <f>'PcellRGRASP vs Pcell rand'!Q182</f>
        <v>Perdido</v>
      </c>
      <c r="AV22" s="3" t="str">
        <f>'PcellRGRASP vs Pcell rand'!R182</f>
        <v>Ganado</v>
      </c>
      <c r="AW22" s="3" t="str">
        <f>'PcellRGRASP vs Pcell rand'!S182</f>
        <v>Perdido</v>
      </c>
      <c r="AX22" s="3" t="str">
        <f>'PcellRGRASP vs Pcell rand'!AJ182</f>
        <v>Ganado</v>
      </c>
      <c r="AY22" s="3" t="str">
        <f>'PcellRGRASP vs Pcell rand'!AK182</f>
        <v>Perdido</v>
      </c>
      <c r="AZ22" s="3" t="str">
        <f>'PcellRGRASP vs Pcell rand'!AL182</f>
        <v>Ganado</v>
      </c>
      <c r="BA22" s="3" t="str">
        <f>'PcellRGRASP vs Pcell rand'!AM182</f>
        <v>Perdido</v>
      </c>
      <c r="BG22" s="3">
        <v>25</v>
      </c>
      <c r="BH22" s="3">
        <f>SUM(Resultados!$AB$29,Resultados!$AB$32,Resultados!$AB$35)</f>
        <v>82</v>
      </c>
      <c r="BI22" s="3">
        <f>SUM(Resultados!$C$29,Resultados!$C$32,Resultados!$C$35)</f>
        <v>37</v>
      </c>
      <c r="BK22" s="3">
        <v>25</v>
      </c>
      <c r="BL22" s="3">
        <f>SUM(Resultados!$AF$29,Resultados!$AF$32,Resultados!$AF$35)</f>
        <v>86</v>
      </c>
      <c r="BM22" s="3">
        <f>SUM(Resultados!$G$29,Resultados!$G$32,Resultados!$G$35)</f>
        <v>28</v>
      </c>
      <c r="BO22" s="3">
        <v>25</v>
      </c>
      <c r="BP22" s="3">
        <f>SUM(Resultados!$AB$29,Resultados!$AB$32,Resultados!$AB$35)</f>
        <v>82</v>
      </c>
      <c r="BQ22" s="3">
        <f>SUM(Resultados!$L$29,Resultados!$L$32,Resultados!$L$35)</f>
        <v>43</v>
      </c>
      <c r="BS22" s="3">
        <v>25</v>
      </c>
      <c r="BT22" s="3">
        <f>SUM(Resultados!$AB$29,Resultados!$AB$32,Resultados!$AB$35)</f>
        <v>82</v>
      </c>
      <c r="BU22" s="3">
        <f>SUM(Resultados!$P$29,Resultados!$P$32,Resultados!$P$35)</f>
        <v>41</v>
      </c>
    </row>
    <row r="23" spans="1:73" x14ac:dyDescent="0.3">
      <c r="A23" s="3">
        <f>'Pcell vs GRASP est-rand'!N184</f>
        <v>23</v>
      </c>
      <c r="B23" s="3">
        <f>'Pcell vs GRASP est-rand'!O184</f>
        <v>7</v>
      </c>
      <c r="C23" s="3">
        <f>'Pcell vs GRASP est-rand'!P184</f>
        <v>8</v>
      </c>
      <c r="D23" s="3">
        <f>'Pcell vs GRASP est-rand'!Q184</f>
        <v>22</v>
      </c>
      <c r="E23" s="3">
        <f>'Pcell vs GRASP est-rand'!AF184</f>
        <v>25</v>
      </c>
      <c r="F23" s="3">
        <f>'Pcell vs GRASP est-rand'!AG184</f>
        <v>5</v>
      </c>
      <c r="G23" s="3">
        <f>'Pcell vs GRASP est-rand'!AH184</f>
        <v>5</v>
      </c>
      <c r="H23" s="3">
        <f>'Pcell vs GRASP est-rand'!AI184</f>
        <v>25</v>
      </c>
      <c r="J23" s="3">
        <f>'PCell vs GRASP random'!N184</f>
        <v>15</v>
      </c>
      <c r="K23" s="3">
        <f>'PCell vs GRASP random'!O184</f>
        <v>15</v>
      </c>
      <c r="L23" s="3">
        <f>'PCell vs GRASP random'!P184</f>
        <v>17</v>
      </c>
      <c r="M23" s="3">
        <f>'PCell vs GRASP random'!Q184</f>
        <v>13</v>
      </c>
      <c r="N23" s="3">
        <f>'PCell vs GRASP random'!AF184</f>
        <v>20</v>
      </c>
      <c r="O23" s="3">
        <f>'PCell vs GRASP random'!AG184</f>
        <v>10</v>
      </c>
      <c r="P23" s="3">
        <f>'PCell vs GRASP random'!AH184</f>
        <v>13</v>
      </c>
      <c r="Q23" s="3">
        <f>'PCell vs GRASP random'!AI184</f>
        <v>17</v>
      </c>
      <c r="S23" s="3">
        <f>'PCellRGRASP vs RGRASP'!N184</f>
        <v>15</v>
      </c>
      <c r="T23" s="3">
        <f>'PCellRGRASP vs RGRASP'!O184</f>
        <v>15</v>
      </c>
      <c r="U23" s="3">
        <f>'PCellRGRASP vs RGRASP'!P184</f>
        <v>16</v>
      </c>
      <c r="V23" s="3">
        <f>'PCellRGRASP vs RGRASP'!Q184</f>
        <v>14</v>
      </c>
      <c r="W23" s="3">
        <f>'PCellRGRASP vs RGRASP'!AF183</f>
        <v>14</v>
      </c>
      <c r="X23" s="3">
        <f>'PCellRGRASP vs RGRASP'!AG183</f>
        <v>16</v>
      </c>
      <c r="Y23" s="3">
        <f>'PCellRGRASP vs RGRASP'!AH183</f>
        <v>17</v>
      </c>
      <c r="Z23" s="3">
        <f>'PCellRGRASP vs RGRASP'!AI183</f>
        <v>13</v>
      </c>
      <c r="AB23" s="15">
        <f>'Pcell est vs Pcell rand'!P184</f>
        <v>30</v>
      </c>
      <c r="AC23" s="15">
        <f>'Pcell est vs Pcell rand'!Q184</f>
        <v>0</v>
      </c>
      <c r="AD23" s="15">
        <f>'Pcell est vs Pcell rand'!R184</f>
        <v>1</v>
      </c>
      <c r="AE23" s="15">
        <f>'Pcell est vs Pcell rand'!S184</f>
        <v>29</v>
      </c>
      <c r="AF23" s="15">
        <f>'Pcell est vs Pcell rand'!AJ184</f>
        <v>28</v>
      </c>
      <c r="AG23" s="15">
        <f>'Pcell est vs Pcell rand'!AK184</f>
        <v>2</v>
      </c>
      <c r="AH23" s="15">
        <f>'Pcell est vs Pcell rand'!AL184</f>
        <v>4</v>
      </c>
      <c r="AI23" s="15">
        <f>'Pcell est vs Pcell rand'!AM184</f>
        <v>26</v>
      </c>
      <c r="AK23" s="3">
        <f>'Pcell est vs PcellRGRASP'!P184</f>
        <v>27</v>
      </c>
      <c r="AL23" s="3">
        <f>'Pcell est vs PcellRGRASP'!Q184</f>
        <v>3</v>
      </c>
      <c r="AM23" s="3">
        <f>'Pcell est vs PcellRGRASP'!R184</f>
        <v>3</v>
      </c>
      <c r="AN23" s="3">
        <f>'Pcell est vs PcellRGRASP'!S184</f>
        <v>27</v>
      </c>
      <c r="AO23" s="3">
        <f>'Pcell est vs PcellRGRASP'!AJ184</f>
        <v>25</v>
      </c>
      <c r="AP23" s="3">
        <f>'Pcell est vs PcellRGRASP'!AK184</f>
        <v>5</v>
      </c>
      <c r="AQ23" s="3">
        <f>'Pcell est vs PcellRGRASP'!AL184</f>
        <v>5</v>
      </c>
      <c r="AR23" s="3">
        <f>'Pcell est vs PcellRGRASP'!AM184</f>
        <v>25</v>
      </c>
      <c r="AT23" s="3">
        <f>'PcellRGRASP vs Pcell rand'!P184</f>
        <v>5</v>
      </c>
      <c r="AU23" s="3">
        <f>'PcellRGRASP vs Pcell rand'!Q184</f>
        <v>25</v>
      </c>
      <c r="AV23" s="3">
        <f>'PcellRGRASP vs Pcell rand'!R184</f>
        <v>26</v>
      </c>
      <c r="AW23" s="3">
        <f>'PcellRGRASP vs Pcell rand'!S184</f>
        <v>4</v>
      </c>
      <c r="AX23" s="3">
        <f>'PcellRGRASP vs Pcell rand'!AJ184</f>
        <v>5</v>
      </c>
      <c r="AY23" s="3">
        <f>'PcellRGRASP vs Pcell rand'!AK184</f>
        <v>25</v>
      </c>
      <c r="AZ23" s="3">
        <f>'PcellRGRASP vs Pcell rand'!AL184</f>
        <v>25</v>
      </c>
      <c r="BA23" s="3">
        <f>'PcellRGRASP vs Pcell rand'!AM184</f>
        <v>5</v>
      </c>
      <c r="BG23" s="3">
        <v>30</v>
      </c>
      <c r="BH23" s="3">
        <f>SUM(Resultados!$AB$41,Resultados!$AB$44,Resultados!$AB$47)</f>
        <v>81</v>
      </c>
      <c r="BI23" s="3">
        <f>SUM(Resultados!$C$41,Resultados!$C$44,Resultados!$C$47)</f>
        <v>30</v>
      </c>
      <c r="BK23" s="3">
        <v>30</v>
      </c>
      <c r="BL23" s="3">
        <f>SUM(Resultados!$AF$41,Resultados!$AF$44,Resultados!$AF$47)</f>
        <v>77</v>
      </c>
      <c r="BM23" s="3">
        <f>SUM(Resultados!$G$41,Resultados!$G$44,Resultados!$G$47)</f>
        <v>24</v>
      </c>
      <c r="BO23" s="3">
        <v>30</v>
      </c>
      <c r="BP23" s="3">
        <f>SUM(Resultados!$AB$41,Resultados!$AB$44,Resultados!$AB$47)</f>
        <v>81</v>
      </c>
      <c r="BQ23" s="3">
        <f>SUM(Resultados!$L$41,Resultados!$L$44,Resultados!$L$47)</f>
        <v>43</v>
      </c>
      <c r="BS23" s="3">
        <v>30</v>
      </c>
      <c r="BT23" s="3">
        <f>SUM(Resultados!$AB$41,Resultados!$AB$44,Resultados!$AB$47)</f>
        <v>81</v>
      </c>
      <c r="BU23" s="3">
        <f>SUM(Resultados!$P$41,Resultados!$P$44,Resultados!$P$47)</f>
        <v>41</v>
      </c>
    </row>
    <row r="24" spans="1:73" x14ac:dyDescent="0.3">
      <c r="AB24" s="11"/>
      <c r="AC24" s="11"/>
      <c r="AD24" s="11"/>
      <c r="AE24" s="11"/>
      <c r="AF24" s="11"/>
      <c r="AG24" s="11"/>
      <c r="AH24" s="11"/>
      <c r="AI24" s="11"/>
      <c r="BG24" s="3">
        <v>35</v>
      </c>
      <c r="BH24" s="3">
        <f>SUM(Resultados!$AB$53,Resultados!$AB$56,Resultados!$AB$59)</f>
        <v>85</v>
      </c>
      <c r="BI24" s="3">
        <f>SUM(Resultados!$C$53,Resultados!$C$56,Resultados!$C$59)</f>
        <v>33</v>
      </c>
      <c r="BK24" s="3">
        <v>35</v>
      </c>
      <c r="BL24" s="3">
        <f>SUM(Resultados!$AF$53,Resultados!$AF$56,Resultados!$AF$59)</f>
        <v>86</v>
      </c>
      <c r="BM24" s="3">
        <f>SUM(Resultados!$G$53,Resultados!$G$56,Resultados!$G$59)</f>
        <v>30</v>
      </c>
      <c r="BO24" s="3">
        <v>35</v>
      </c>
      <c r="BP24" s="3">
        <f>SUM(Resultados!$AB$53,Resultados!$AB$56,Resultados!$AB$59)</f>
        <v>85</v>
      </c>
      <c r="BQ24" s="3">
        <f>SUM(Resultados!$L$53,Resultados!$L$56,Resultados!$L$59)</f>
        <v>44</v>
      </c>
      <c r="BS24" s="3">
        <v>35</v>
      </c>
      <c r="BT24" s="3">
        <f>SUM(Resultados!$AB$53,Resultados!$AB$56,Resultados!$AB$59)</f>
        <v>85</v>
      </c>
      <c r="BU24" s="3">
        <f>SUM(Resultados!$P$53,Resultados!$P$56,Resultados!$P$59)</f>
        <v>44</v>
      </c>
    </row>
    <row r="25" spans="1:73" x14ac:dyDescent="0.3">
      <c r="A25" s="19">
        <v>25</v>
      </c>
      <c r="B25" s="19"/>
      <c r="C25" s="19"/>
      <c r="D25" s="19"/>
      <c r="E25" s="19">
        <v>25</v>
      </c>
      <c r="F25" s="19"/>
      <c r="G25" s="19"/>
      <c r="H25" s="19"/>
      <c r="J25" s="19">
        <v>25</v>
      </c>
      <c r="K25" s="19"/>
      <c r="L25" s="19"/>
      <c r="M25" s="19"/>
      <c r="N25" s="19">
        <v>25</v>
      </c>
      <c r="O25" s="19"/>
      <c r="P25" s="19"/>
      <c r="Q25" s="19"/>
      <c r="S25" s="19">
        <v>25</v>
      </c>
      <c r="T25" s="19"/>
      <c r="U25" s="19"/>
      <c r="V25" s="19"/>
      <c r="W25" s="19">
        <v>25</v>
      </c>
      <c r="X25" s="19"/>
      <c r="Y25" s="19"/>
      <c r="Z25" s="19"/>
      <c r="AB25" s="19">
        <v>25</v>
      </c>
      <c r="AC25" s="19"/>
      <c r="AD25" s="19"/>
      <c r="AE25" s="19"/>
      <c r="AF25" s="19">
        <v>25</v>
      </c>
      <c r="AG25" s="19"/>
      <c r="AH25" s="19"/>
      <c r="AI25" s="19"/>
      <c r="AK25" s="19">
        <v>25</v>
      </c>
      <c r="AL25" s="19"/>
      <c r="AM25" s="19"/>
      <c r="AN25" s="19"/>
      <c r="AO25" s="19">
        <v>25</v>
      </c>
      <c r="AP25" s="19"/>
      <c r="AQ25" s="19"/>
      <c r="AR25" s="19"/>
      <c r="AT25" s="19">
        <v>25</v>
      </c>
      <c r="AU25" s="19"/>
      <c r="AV25" s="19"/>
      <c r="AW25" s="19"/>
      <c r="AX25" s="19">
        <v>25</v>
      </c>
      <c r="AY25" s="19"/>
      <c r="AZ25" s="19"/>
      <c r="BA25" s="19"/>
      <c r="BG25" s="3">
        <v>40</v>
      </c>
      <c r="BH25" s="3">
        <f>SUM(Resultados!$AB$65,Resultados!$AB$68,Resultados!$AB$71)</f>
        <v>30</v>
      </c>
      <c r="BI25" s="3">
        <f>SUM(Resultados!$C$65,Resultados!$C$68,Resultados!$C$71)</f>
        <v>33</v>
      </c>
      <c r="BK25" s="3">
        <v>40</v>
      </c>
      <c r="BL25" s="3">
        <f>SUM(Resultados!$AF$65,Resultados!$AF$68,Resultados!$AF$71)</f>
        <v>86</v>
      </c>
      <c r="BM25" s="3">
        <f>SUM(Resultados!$G$65,Resultados!$G$68,Resultados!$G$71)</f>
        <v>35</v>
      </c>
      <c r="BO25" s="3">
        <v>40</v>
      </c>
      <c r="BP25" s="3">
        <f>SUM(Resultados!$AB$65,Resultados!$AB$68,Resultados!$AB$71)</f>
        <v>30</v>
      </c>
      <c r="BQ25" s="3">
        <f>SUM(Resultados!$L$65,Resultados!$L$68,Resultados!$L$71)</f>
        <v>45</v>
      </c>
      <c r="BS25" s="3">
        <v>40</v>
      </c>
      <c r="BT25" s="3">
        <f>SUM(Resultados!$AB$65,Resultados!$AB$68,Resultados!$AB$71)</f>
        <v>30</v>
      </c>
      <c r="BU25" s="3">
        <f>SUM(Resultados!$P$65,Resultados!$P$68,Resultados!$P$71)</f>
        <v>40</v>
      </c>
    </row>
    <row r="26" spans="1:73" x14ac:dyDescent="0.3">
      <c r="A26" s="19" t="s">
        <v>328</v>
      </c>
      <c r="B26" s="19"/>
      <c r="C26" s="19" t="s">
        <v>329</v>
      </c>
      <c r="D26" s="19"/>
      <c r="E26" s="19" t="s">
        <v>328</v>
      </c>
      <c r="F26" s="19"/>
      <c r="G26" s="19" t="s">
        <v>329</v>
      </c>
      <c r="H26" s="19"/>
      <c r="J26" s="19" t="s">
        <v>336</v>
      </c>
      <c r="K26" s="19"/>
      <c r="L26" s="19" t="s">
        <v>329</v>
      </c>
      <c r="M26" s="19"/>
      <c r="N26" s="19" t="s">
        <v>336</v>
      </c>
      <c r="O26" s="19"/>
      <c r="P26" s="19" t="s">
        <v>329</v>
      </c>
      <c r="Q26" s="19"/>
      <c r="S26" s="19" t="s">
        <v>337</v>
      </c>
      <c r="T26" s="19"/>
      <c r="U26" s="19" t="s">
        <v>338</v>
      </c>
      <c r="V26" s="19"/>
      <c r="W26" s="19" t="s">
        <v>337</v>
      </c>
      <c r="X26" s="19"/>
      <c r="Y26" s="19" t="s">
        <v>338</v>
      </c>
      <c r="Z26" s="19"/>
      <c r="AB26" s="19" t="s">
        <v>328</v>
      </c>
      <c r="AC26" s="19"/>
      <c r="AD26" s="19" t="s">
        <v>336</v>
      </c>
      <c r="AE26" s="19"/>
      <c r="AF26" s="19" t="s">
        <v>328</v>
      </c>
      <c r="AG26" s="19"/>
      <c r="AH26" s="19" t="s">
        <v>336</v>
      </c>
      <c r="AI26" s="19"/>
      <c r="AK26" s="19" t="s">
        <v>328</v>
      </c>
      <c r="AL26" s="19"/>
      <c r="AM26" s="19" t="s">
        <v>337</v>
      </c>
      <c r="AN26" s="19"/>
      <c r="AO26" s="19" t="s">
        <v>328</v>
      </c>
      <c r="AP26" s="19"/>
      <c r="AQ26" s="19" t="s">
        <v>337</v>
      </c>
      <c r="AR26" s="19"/>
      <c r="AT26" s="20" t="s">
        <v>337</v>
      </c>
      <c r="AU26" s="22"/>
      <c r="AV26" s="19" t="s">
        <v>336</v>
      </c>
      <c r="AW26" s="19"/>
      <c r="AX26" s="19" t="s">
        <v>337</v>
      </c>
      <c r="AY26" s="19"/>
      <c r="AZ26" s="19" t="s">
        <v>336</v>
      </c>
      <c r="BA26" s="19"/>
      <c r="BG26" s="3">
        <v>45</v>
      </c>
      <c r="BH26" s="3">
        <f>SUM(Resultados!$AB$77,Resultados!$AB$80,Resultados!$AB$83)</f>
        <v>88</v>
      </c>
      <c r="BI26" s="3">
        <f>SUM(Resultados!$C$77,Resultados!$C$80,Resultados!$C$83)</f>
        <v>23</v>
      </c>
      <c r="BK26" s="3">
        <v>45</v>
      </c>
      <c r="BL26" s="3">
        <f>SUM(Resultados!$AF$77,Resultados!$AF$80,Resultados!$AF$83)</f>
        <v>88</v>
      </c>
      <c r="BM26" s="3">
        <f>SUM(Resultados!$G$77,Resultados!$G$80,Resultados!$G$83)</f>
        <v>27</v>
      </c>
      <c r="BO26" s="3">
        <v>45</v>
      </c>
      <c r="BP26" s="3">
        <f>SUM(Resultados!$AB$77,Resultados!$AB$80,Resultados!$AB$83)</f>
        <v>88</v>
      </c>
      <c r="BQ26" s="3">
        <f>SUM(Resultados!$L$77,Resultados!$L$80,Resultados!$L$83)</f>
        <v>37</v>
      </c>
      <c r="BS26" s="3">
        <v>45</v>
      </c>
      <c r="BT26" s="3">
        <f>SUM(Resultados!$AB$77,Resultados!$AB$80,Resultados!$AB$83)</f>
        <v>88</v>
      </c>
      <c r="BU26" s="3">
        <f>SUM(Resultados!$P$77,Resultados!$P$80,Resultados!$P$83)</f>
        <v>46</v>
      </c>
    </row>
    <row r="27" spans="1:73" x14ac:dyDescent="0.3">
      <c r="A27" s="19" t="s">
        <v>330</v>
      </c>
      <c r="B27" s="19"/>
      <c r="C27" s="19"/>
      <c r="D27" s="19"/>
      <c r="E27" s="19" t="s">
        <v>331</v>
      </c>
      <c r="F27" s="19"/>
      <c r="G27" s="19"/>
      <c r="H27" s="19"/>
      <c r="J27" s="19" t="s">
        <v>330</v>
      </c>
      <c r="K27" s="19"/>
      <c r="L27" s="19"/>
      <c r="M27" s="19"/>
      <c r="N27" s="19" t="s">
        <v>331</v>
      </c>
      <c r="O27" s="19"/>
      <c r="P27" s="19"/>
      <c r="Q27" s="19"/>
      <c r="S27" s="19" t="s">
        <v>330</v>
      </c>
      <c r="T27" s="19"/>
      <c r="U27" s="19"/>
      <c r="V27" s="19"/>
      <c r="W27" s="19" t="s">
        <v>331</v>
      </c>
      <c r="X27" s="19"/>
      <c r="Y27" s="19"/>
      <c r="Z27" s="19"/>
      <c r="AB27" s="19" t="s">
        <v>330</v>
      </c>
      <c r="AC27" s="19"/>
      <c r="AD27" s="19"/>
      <c r="AE27" s="19"/>
      <c r="AF27" s="19" t="s">
        <v>331</v>
      </c>
      <c r="AG27" s="19"/>
      <c r="AH27" s="19"/>
      <c r="AI27" s="19"/>
      <c r="AK27" s="19" t="s">
        <v>330</v>
      </c>
      <c r="AL27" s="19"/>
      <c r="AM27" s="19"/>
      <c r="AN27" s="19"/>
      <c r="AO27" s="19" t="s">
        <v>331</v>
      </c>
      <c r="AP27" s="19"/>
      <c r="AQ27" s="19"/>
      <c r="AR27" s="19"/>
      <c r="AT27" s="19" t="s">
        <v>330</v>
      </c>
      <c r="AU27" s="19"/>
      <c r="AV27" s="19"/>
      <c r="AW27" s="19"/>
      <c r="AX27" s="19" t="s">
        <v>331</v>
      </c>
      <c r="AY27" s="19"/>
      <c r="AZ27" s="19"/>
      <c r="BA27" s="19"/>
      <c r="BG27" s="3">
        <v>50</v>
      </c>
      <c r="BH27" s="3">
        <f>SUM(Resultados!$AB$89,Resultados!$AB$92,Resultados!$AB$95)</f>
        <v>87</v>
      </c>
      <c r="BI27" s="3">
        <f>SUM(Resultados!$C$89,Resultados!$C$92,Resultados!$C$95)</f>
        <v>26</v>
      </c>
      <c r="BK27" s="3">
        <v>50</v>
      </c>
      <c r="BL27" s="3">
        <f>SUM(Resultados!$AF$89,Resultados!$AF$92,Resultados!$AF$95)</f>
        <v>87</v>
      </c>
      <c r="BM27" s="3">
        <f>SUM(Resultados!$G$89,Resultados!$G$92,Resultados!$G$95)</f>
        <v>32</v>
      </c>
      <c r="BO27" s="3">
        <v>50</v>
      </c>
      <c r="BP27" s="3">
        <f>SUM(Resultados!$AB$89,Resultados!$AB$92,Resultados!$AB$95)</f>
        <v>87</v>
      </c>
      <c r="BQ27" s="3">
        <f>SUM(Resultados!$L$89,Resultados!$L$92,Resultados!$L$95)</f>
        <v>41</v>
      </c>
      <c r="BS27" s="3">
        <v>50</v>
      </c>
      <c r="BT27" s="3">
        <f>SUM(Resultados!$AB$89,Resultados!$AB$92,Resultados!$AB$95)</f>
        <v>87</v>
      </c>
      <c r="BU27" s="3">
        <f>SUM(Resultados!$P$89,Resultados!$P$92,Resultados!$P$95)</f>
        <v>39</v>
      </c>
    </row>
    <row r="28" spans="1:73" x14ac:dyDescent="0.3">
      <c r="A28" s="3" t="str">
        <f>'Pcell vs GRASP est-rand'!N217</f>
        <v>Ganado</v>
      </c>
      <c r="B28" s="3" t="str">
        <f>'Pcell vs GRASP est-rand'!O217</f>
        <v>Perdido</v>
      </c>
      <c r="C28" s="3" t="str">
        <f>'Pcell vs GRASP est-rand'!P217</f>
        <v>Ganado</v>
      </c>
      <c r="D28" s="3" t="str">
        <f>'Pcell vs GRASP est-rand'!Q217</f>
        <v>Perdido</v>
      </c>
      <c r="E28" s="3" t="str">
        <f>'Pcell vs GRASP est-rand'!AF217</f>
        <v>Ganado</v>
      </c>
      <c r="F28" s="3" t="str">
        <f>'Pcell vs GRASP est-rand'!AG217</f>
        <v>Perdido</v>
      </c>
      <c r="G28" s="3" t="str">
        <f>'Pcell vs GRASP est-rand'!AH217</f>
        <v>Ganado</v>
      </c>
      <c r="H28" s="3" t="str">
        <f>'Pcell vs GRASP est-rand'!AI217</f>
        <v>Perdido</v>
      </c>
      <c r="J28" s="3" t="str">
        <f>'PCell vs GRASP random'!N217</f>
        <v>Ganado</v>
      </c>
      <c r="K28" s="3" t="str">
        <f>'PCell vs GRASP random'!O217</f>
        <v>Perdido</v>
      </c>
      <c r="L28" s="3" t="str">
        <f>'PCell vs GRASP random'!P217</f>
        <v>Ganado</v>
      </c>
      <c r="M28" s="3" t="str">
        <f>'PCell vs GRASP random'!Q217</f>
        <v>Perdido</v>
      </c>
      <c r="N28" s="3" t="str">
        <f>'PCell vs GRASP random'!AF217</f>
        <v>Ganado</v>
      </c>
      <c r="O28" s="3" t="str">
        <f>'PCell vs GRASP random'!AG217</f>
        <v>Perdido</v>
      </c>
      <c r="P28" s="3" t="str">
        <f>'PCell vs GRASP random'!AH217</f>
        <v>Ganado</v>
      </c>
      <c r="Q28" s="3" t="str">
        <f>'PCell vs GRASP random'!AI217</f>
        <v>Perdido</v>
      </c>
      <c r="S28" s="15" t="str">
        <f>'PCellRGRASP vs RGRASP'!N217</f>
        <v>Ganado</v>
      </c>
      <c r="T28" s="15" t="str">
        <f>'PCellRGRASP vs RGRASP'!O217</f>
        <v>Perdido</v>
      </c>
      <c r="U28" s="15" t="str">
        <f>'PCellRGRASP vs RGRASP'!P217</f>
        <v>Ganado</v>
      </c>
      <c r="V28" s="15" t="str">
        <f>'PCellRGRASP vs RGRASP'!Q217</f>
        <v>Perdido</v>
      </c>
      <c r="W28" s="15" t="str">
        <f>'PCellRGRASP vs RGRASP'!AF217</f>
        <v>Ganado</v>
      </c>
      <c r="X28" s="15" t="str">
        <f>'PCellRGRASP vs RGRASP'!AG217</f>
        <v>Perdido</v>
      </c>
      <c r="Y28" s="15" t="str">
        <f>'PCellRGRASP vs RGRASP'!AH217</f>
        <v>Ganado</v>
      </c>
      <c r="Z28" s="15" t="str">
        <f>'PCellRGRASP vs RGRASP'!AI217</f>
        <v>Perdido</v>
      </c>
      <c r="AB28" s="15" t="str">
        <f>'Pcell est vs Pcell rand'!P217</f>
        <v>Ganado</v>
      </c>
      <c r="AC28" s="15" t="str">
        <f>'Pcell est vs Pcell rand'!Q217</f>
        <v>Perdido</v>
      </c>
      <c r="AD28" s="15" t="str">
        <f>'Pcell est vs Pcell rand'!R217</f>
        <v>Ganado</v>
      </c>
      <c r="AE28" s="15" t="str">
        <f>'Pcell est vs Pcell rand'!S217</f>
        <v>Perdido</v>
      </c>
      <c r="AF28" s="15" t="str">
        <f>'Pcell est vs Pcell rand'!AJ217</f>
        <v>Ganado</v>
      </c>
      <c r="AG28" s="15" t="str">
        <f>'Pcell est vs Pcell rand'!AK217</f>
        <v>Perdido</v>
      </c>
      <c r="AH28" s="15" t="str">
        <f>'Pcell est vs Pcell rand'!AL217</f>
        <v>Ganado</v>
      </c>
      <c r="AI28" s="15" t="str">
        <f>'Pcell est vs Pcell rand'!AM217</f>
        <v>Perdido</v>
      </c>
      <c r="AK28" s="3" t="str">
        <f>'Pcell est vs PcellRGRASP'!P217</f>
        <v>Ganado</v>
      </c>
      <c r="AL28" s="3" t="str">
        <f>'Pcell est vs PcellRGRASP'!Q217</f>
        <v>Perdido</v>
      </c>
      <c r="AM28" s="3" t="str">
        <f>'Pcell est vs PcellRGRASP'!R217</f>
        <v>Ganado</v>
      </c>
      <c r="AN28" s="3" t="str">
        <f>'Pcell est vs PcellRGRASP'!S217</f>
        <v>Perdido</v>
      </c>
      <c r="AO28" s="3" t="str">
        <f>'Pcell est vs PcellRGRASP'!AJ217</f>
        <v>Ganado</v>
      </c>
      <c r="AP28" s="3" t="str">
        <f>'Pcell est vs PcellRGRASP'!AK217</f>
        <v>Perdido</v>
      </c>
      <c r="AQ28" s="3" t="str">
        <f>'Pcell est vs PcellRGRASP'!AL217</f>
        <v>Ganado</v>
      </c>
      <c r="AR28" s="3" t="str">
        <f>'Pcell est vs PcellRGRASP'!AM217</f>
        <v>Perdido</v>
      </c>
      <c r="AT28" s="3" t="str">
        <f>'PcellRGRASP vs Pcell rand'!P217</f>
        <v>Ganado</v>
      </c>
      <c r="AU28" s="3" t="str">
        <f>'PcellRGRASP vs Pcell rand'!Q217</f>
        <v>Perdido</v>
      </c>
      <c r="AV28" s="3" t="str">
        <f>'PcellRGRASP vs Pcell rand'!R217</f>
        <v>Ganado</v>
      </c>
      <c r="AW28" s="3" t="str">
        <f>'PcellRGRASP vs Pcell rand'!S217</f>
        <v>Perdido</v>
      </c>
      <c r="AX28" s="3" t="str">
        <f>'PcellRGRASP vs Pcell rand'!AJ217</f>
        <v>Ganado</v>
      </c>
      <c r="AY28" s="3" t="str">
        <f>'PcellRGRASP vs Pcell rand'!AK217</f>
        <v>Perdido</v>
      </c>
      <c r="AZ28" s="3" t="str">
        <f>'PcellRGRASP vs Pcell rand'!AL217</f>
        <v>Ganado</v>
      </c>
      <c r="BA28" s="3" t="str">
        <f>'PcellRGRASP vs Pcell rand'!AM217</f>
        <v>Perdido</v>
      </c>
      <c r="BG28" s="3">
        <v>55</v>
      </c>
      <c r="BH28" s="3">
        <f>SUM(Resultados!$AB$101,Resultados!$AB$104,Resultados!$AB$107)</f>
        <v>85</v>
      </c>
      <c r="BI28" s="3">
        <f>SUM(Resultados!$C$101,Resultados!$C$104,Resultados!$C$107)</f>
        <v>28</v>
      </c>
      <c r="BK28" s="3">
        <v>55</v>
      </c>
      <c r="BL28" s="3">
        <f>SUM(Resultados!$AF$101,Resultados!$AF$104,Resultados!$AF$107)</f>
        <v>86</v>
      </c>
      <c r="BM28" s="3">
        <f>SUM(Resultados!$G$101,Resultados!$G$104,Resultados!$G$107)</f>
        <v>29</v>
      </c>
      <c r="BO28" s="3">
        <v>55</v>
      </c>
      <c r="BP28" s="3">
        <f>SUM(Resultados!$AB$101,Resultados!$AB$104,Resultados!$AB$107)</f>
        <v>85</v>
      </c>
      <c r="BQ28" s="3">
        <f>SUM(Resultados!$L$101,Resultados!$L$104,Resultados!$L$107)</f>
        <v>43</v>
      </c>
      <c r="BS28" s="3">
        <v>55</v>
      </c>
      <c r="BT28" s="3">
        <f>SUM(Resultados!$AB$101,Resultados!$AB$104,Resultados!$AB$107)</f>
        <v>85</v>
      </c>
      <c r="BU28" s="3">
        <f>SUM(Resultados!$P$101,Resultados!$P$104,Resultados!$P$107)</f>
        <v>44</v>
      </c>
    </row>
    <row r="29" spans="1:73" x14ac:dyDescent="0.3">
      <c r="A29" s="3">
        <f>'Pcell vs GRASP est-rand'!N219</f>
        <v>16</v>
      </c>
      <c r="B29" s="3">
        <f>'Pcell vs GRASP est-rand'!O219</f>
        <v>14</v>
      </c>
      <c r="C29" s="3">
        <f>'Pcell vs GRASP est-rand'!P219</f>
        <v>14</v>
      </c>
      <c r="D29" s="3">
        <f>'Pcell vs GRASP est-rand'!Q219</f>
        <v>16</v>
      </c>
      <c r="E29" s="3">
        <f>'Pcell vs GRASP est-rand'!AF219</f>
        <v>21</v>
      </c>
      <c r="F29" s="3">
        <f>'Pcell vs GRASP est-rand'!AG219</f>
        <v>9</v>
      </c>
      <c r="G29" s="3">
        <f>'Pcell vs GRASP est-rand'!AH219</f>
        <v>9</v>
      </c>
      <c r="H29" s="3">
        <f>'Pcell vs GRASP est-rand'!AI219</f>
        <v>21</v>
      </c>
      <c r="J29" s="3">
        <f>'PCell vs GRASP random'!N219</f>
        <v>18</v>
      </c>
      <c r="K29" s="3">
        <f>'PCell vs GRASP random'!O219</f>
        <v>12</v>
      </c>
      <c r="L29" s="3">
        <f>'PCell vs GRASP random'!P219</f>
        <v>12</v>
      </c>
      <c r="M29" s="3">
        <f>'PCell vs GRASP random'!Q219</f>
        <v>18</v>
      </c>
      <c r="N29" s="3">
        <f>'PCell vs GRASP random'!AF219</f>
        <v>19</v>
      </c>
      <c r="O29" s="3">
        <f>'PCell vs GRASP random'!AG219</f>
        <v>11</v>
      </c>
      <c r="P29" s="3">
        <f>'PCell vs GRASP random'!AH219</f>
        <v>13</v>
      </c>
      <c r="Q29" s="3">
        <f>'PCell vs GRASP random'!AI219</f>
        <v>17</v>
      </c>
      <c r="S29" s="15">
        <f>'PCellRGRASP vs RGRASP'!N219</f>
        <v>11</v>
      </c>
      <c r="T29" s="15">
        <f>'PCellRGRASP vs RGRASP'!O219</f>
        <v>19</v>
      </c>
      <c r="U29" s="15">
        <f>'PCellRGRASP vs RGRASP'!P219</f>
        <v>20</v>
      </c>
      <c r="V29" s="15">
        <f>'PCellRGRASP vs RGRASP'!Q219</f>
        <v>10</v>
      </c>
      <c r="W29" s="15">
        <f>'PCellRGRASP vs RGRASP'!AF219</f>
        <v>18</v>
      </c>
      <c r="X29" s="15">
        <f>'PCellRGRASP vs RGRASP'!AG219</f>
        <v>12</v>
      </c>
      <c r="Y29" s="15">
        <f>'PCellRGRASP vs RGRASP'!AH219</f>
        <v>14</v>
      </c>
      <c r="Z29" s="15">
        <f>'PCellRGRASP vs RGRASP'!AI219</f>
        <v>16</v>
      </c>
      <c r="AB29" s="15">
        <f>'Pcell est vs Pcell rand'!P219</f>
        <v>27</v>
      </c>
      <c r="AC29" s="15">
        <f>'Pcell est vs Pcell rand'!Q219</f>
        <v>3</v>
      </c>
      <c r="AD29" s="15">
        <f>'Pcell est vs Pcell rand'!R219</f>
        <v>3</v>
      </c>
      <c r="AE29" s="15">
        <f>'Pcell est vs Pcell rand'!S219</f>
        <v>27</v>
      </c>
      <c r="AF29" s="15">
        <f>'Pcell est vs Pcell rand'!AJ219</f>
        <v>29</v>
      </c>
      <c r="AG29" s="15">
        <f>'Pcell est vs Pcell rand'!AK219</f>
        <v>1</v>
      </c>
      <c r="AH29" s="15">
        <f>'Pcell est vs Pcell rand'!AL219</f>
        <v>3</v>
      </c>
      <c r="AI29" s="15">
        <f>'Pcell est vs Pcell rand'!AM219</f>
        <v>27</v>
      </c>
      <c r="AK29" s="3">
        <f>'Pcell est vs PcellRGRASP'!P219</f>
        <v>26</v>
      </c>
      <c r="AL29" s="3">
        <f>'Pcell est vs PcellRGRASP'!Q219</f>
        <v>4</v>
      </c>
      <c r="AM29" s="3">
        <f>'Pcell est vs PcellRGRASP'!R219</f>
        <v>4</v>
      </c>
      <c r="AN29" s="3">
        <f>'Pcell est vs PcellRGRASP'!S219</f>
        <v>26</v>
      </c>
      <c r="AO29" s="3">
        <f>'Pcell est vs PcellRGRASP'!AJ219</f>
        <v>22</v>
      </c>
      <c r="AP29" s="3">
        <f>'Pcell est vs PcellRGRASP'!AK219</f>
        <v>8</v>
      </c>
      <c r="AQ29" s="3">
        <f>'Pcell est vs PcellRGRASP'!AL219</f>
        <v>8</v>
      </c>
      <c r="AR29" s="3">
        <f>'Pcell est vs PcellRGRASP'!AM219</f>
        <v>22</v>
      </c>
      <c r="AT29" s="3">
        <f>'PcellRGRASP vs Pcell rand'!P219</f>
        <v>7</v>
      </c>
      <c r="AU29" s="3">
        <f>'PcellRGRASP vs Pcell rand'!Q219</f>
        <v>23</v>
      </c>
      <c r="AV29" s="3">
        <f>'PcellRGRASP vs Pcell rand'!R219</f>
        <v>24</v>
      </c>
      <c r="AW29" s="3">
        <f>'PcellRGRASP vs Pcell rand'!S219</f>
        <v>6</v>
      </c>
      <c r="AX29" s="3">
        <f>'PcellRGRASP vs Pcell rand'!AJ219</f>
        <v>13</v>
      </c>
      <c r="AY29" s="3">
        <f>'PcellRGRASP vs Pcell rand'!AK219</f>
        <v>17</v>
      </c>
      <c r="AZ29" s="3">
        <f>'PcellRGRASP vs Pcell rand'!AL219</f>
        <v>17</v>
      </c>
      <c r="BA29" s="3">
        <f>'PcellRGRASP vs Pcell rand'!AM219</f>
        <v>13</v>
      </c>
      <c r="BG29" s="3">
        <v>60</v>
      </c>
      <c r="BH29" s="3">
        <f>SUM(Resultados!$AB$113,Resultados!$AB$116,Resultados!$AB$119)</f>
        <v>87</v>
      </c>
      <c r="BI29" s="3">
        <f>SUM(Resultados!$C$113,Resultados!$C$116,Resultados!$C$119)</f>
        <v>27</v>
      </c>
      <c r="BK29" s="3">
        <v>60</v>
      </c>
      <c r="BL29" s="3">
        <f>SUM(Resultados!$AF$113,Resultados!$AF$116,Resultados!$AF$119)</f>
        <v>85</v>
      </c>
      <c r="BM29" s="3">
        <f>SUM(Resultados!$G$113,Resultados!$G$116,Resultados!$G$119)</f>
        <v>34</v>
      </c>
      <c r="BO29" s="3">
        <v>60</v>
      </c>
      <c r="BP29" s="3">
        <f>SUM(Resultados!$AB$113,Resultados!$AB$116,Resultados!$AB$119)</f>
        <v>87</v>
      </c>
      <c r="BQ29" s="3">
        <f>SUM(Resultados!$L$113,Resultados!$L$116,Resultados!$L$119)</f>
        <v>50</v>
      </c>
      <c r="BS29" s="3">
        <v>60</v>
      </c>
      <c r="BT29" s="3">
        <f>SUM(Resultados!$AB$113,Resultados!$AB$116,Resultados!$AB$119)</f>
        <v>87</v>
      </c>
      <c r="BU29" s="3">
        <f>SUM(Resultados!$P$113,Resultados!$P$116,Resultados!$P$119)</f>
        <v>40</v>
      </c>
    </row>
    <row r="30" spans="1:73" x14ac:dyDescent="0.3">
      <c r="A30" s="19" t="s">
        <v>332</v>
      </c>
      <c r="B30" s="19"/>
      <c r="C30" s="19"/>
      <c r="D30" s="19"/>
      <c r="E30" s="19" t="s">
        <v>333</v>
      </c>
      <c r="F30" s="19"/>
      <c r="G30" s="19"/>
      <c r="H30" s="19"/>
      <c r="J30" s="19" t="s">
        <v>332</v>
      </c>
      <c r="K30" s="19"/>
      <c r="L30" s="19"/>
      <c r="M30" s="19"/>
      <c r="N30" s="19" t="s">
        <v>333</v>
      </c>
      <c r="O30" s="19"/>
      <c r="P30" s="19"/>
      <c r="Q30" s="19"/>
      <c r="S30" s="19" t="s">
        <v>332</v>
      </c>
      <c r="T30" s="19"/>
      <c r="U30" s="19"/>
      <c r="V30" s="19"/>
      <c r="W30" s="19" t="s">
        <v>333</v>
      </c>
      <c r="X30" s="19"/>
      <c r="Y30" s="19"/>
      <c r="Z30" s="19"/>
      <c r="AB30" s="19" t="s">
        <v>332</v>
      </c>
      <c r="AC30" s="19"/>
      <c r="AD30" s="19"/>
      <c r="AE30" s="19"/>
      <c r="AF30" s="19" t="s">
        <v>333</v>
      </c>
      <c r="AG30" s="19"/>
      <c r="AH30" s="19"/>
      <c r="AI30" s="19"/>
      <c r="AK30" s="19" t="s">
        <v>332</v>
      </c>
      <c r="AL30" s="19"/>
      <c r="AM30" s="19"/>
      <c r="AN30" s="19"/>
      <c r="AO30" s="19" t="s">
        <v>333</v>
      </c>
      <c r="AP30" s="19"/>
      <c r="AQ30" s="19"/>
      <c r="AR30" s="19"/>
      <c r="AT30" s="19" t="s">
        <v>332</v>
      </c>
      <c r="AU30" s="19"/>
      <c r="AV30" s="19"/>
      <c r="AW30" s="19"/>
      <c r="AX30" s="19" t="s">
        <v>333</v>
      </c>
      <c r="AY30" s="19"/>
      <c r="AZ30" s="19"/>
      <c r="BA30" s="19"/>
    </row>
    <row r="31" spans="1:73" x14ac:dyDescent="0.3">
      <c r="A31" s="3" t="str">
        <f>'Pcell vs GRASP est-rand'!N253</f>
        <v>Ganado</v>
      </c>
      <c r="B31" s="3" t="str">
        <f>'Pcell vs GRASP est-rand'!O253</f>
        <v>Perdido</v>
      </c>
      <c r="C31" s="3" t="str">
        <f>'Pcell vs GRASP est-rand'!P253</f>
        <v>Ganado</v>
      </c>
      <c r="D31" s="3" t="str">
        <f>'Pcell vs GRASP est-rand'!Q253</f>
        <v>Perdido</v>
      </c>
      <c r="E31" s="3" t="str">
        <f>'Pcell vs GRASP est-rand'!AF253</f>
        <v>Ganado</v>
      </c>
      <c r="F31" s="3" t="str">
        <f>'Pcell vs GRASP est-rand'!AG253</f>
        <v>Perdido</v>
      </c>
      <c r="G31" s="3" t="str">
        <f>'Pcell vs GRASP est-rand'!AH253</f>
        <v>Ganado</v>
      </c>
      <c r="H31" s="3" t="str">
        <f>'Pcell vs GRASP est-rand'!AI253</f>
        <v>Perdido</v>
      </c>
      <c r="J31" s="3" t="str">
        <f>'PCell vs GRASP random'!N253</f>
        <v>Ganado</v>
      </c>
      <c r="K31" s="3" t="str">
        <f>'PCell vs GRASP random'!O253</f>
        <v>Perdido</v>
      </c>
      <c r="L31" s="3" t="str">
        <f>'PCell vs GRASP random'!P253</f>
        <v>Ganado</v>
      </c>
      <c r="M31" s="3" t="str">
        <f>'PCell vs GRASP random'!Q253</f>
        <v>Perdido</v>
      </c>
      <c r="N31" s="3" t="str">
        <f>'PCell vs GRASP random'!AF253</f>
        <v>Ganado</v>
      </c>
      <c r="O31" s="3" t="str">
        <f>'PCell vs GRASP random'!AG253</f>
        <v>Perdido</v>
      </c>
      <c r="P31" s="3" t="str">
        <f>'PCell vs GRASP random'!AH253</f>
        <v>Ganado</v>
      </c>
      <c r="Q31" s="3" t="str">
        <f>'PCell vs GRASP random'!AI253</f>
        <v>Perdido</v>
      </c>
      <c r="S31" s="15" t="str">
        <f>'PCellRGRASP vs RGRASP'!N253</f>
        <v>Ganado</v>
      </c>
      <c r="T31" s="15" t="str">
        <f>'PCellRGRASP vs RGRASP'!O253</f>
        <v>Perdido</v>
      </c>
      <c r="U31" s="15" t="str">
        <f>'PCellRGRASP vs RGRASP'!P253</f>
        <v>Ganado</v>
      </c>
      <c r="V31" s="15" t="str">
        <f>'PCellRGRASP vs RGRASP'!Q253</f>
        <v>Perdido</v>
      </c>
      <c r="W31" s="15" t="str">
        <f>'PCellRGRASP vs RGRASP'!AF253</f>
        <v>Ganado</v>
      </c>
      <c r="X31" s="15" t="str">
        <f>'PCellRGRASP vs RGRASP'!AG253</f>
        <v>Perdido</v>
      </c>
      <c r="Y31" s="15" t="str">
        <f>'PCellRGRASP vs RGRASP'!AH253</f>
        <v>Ganado</v>
      </c>
      <c r="Z31" s="15" t="str">
        <f>'PCellRGRASP vs RGRASP'!AI253</f>
        <v>Perdido</v>
      </c>
      <c r="AB31" s="15" t="str">
        <f>'Pcell est vs Pcell rand'!P253</f>
        <v>Ganado</v>
      </c>
      <c r="AC31" s="15" t="str">
        <f>'Pcell est vs Pcell rand'!Q253</f>
        <v>Perdido</v>
      </c>
      <c r="AD31" s="15" t="str">
        <f>'Pcell est vs Pcell rand'!R253</f>
        <v>Ganado</v>
      </c>
      <c r="AE31" s="15" t="str">
        <f>'Pcell est vs Pcell rand'!S253</f>
        <v>Perdido</v>
      </c>
      <c r="AF31" s="15" t="str">
        <f>'Pcell est vs Pcell rand'!AJ253</f>
        <v>Ganado</v>
      </c>
      <c r="AG31" s="15" t="str">
        <f>'Pcell est vs Pcell rand'!AK253</f>
        <v>Perdido</v>
      </c>
      <c r="AH31" s="15" t="str">
        <f>'Pcell est vs Pcell rand'!AL253</f>
        <v>Ganado</v>
      </c>
      <c r="AI31" s="15" t="str">
        <f>'Pcell est vs Pcell rand'!AM253</f>
        <v>Perdido</v>
      </c>
      <c r="AK31" s="3" t="str">
        <f>'Pcell est vs PcellRGRASP'!P253</f>
        <v>Ganado</v>
      </c>
      <c r="AL31" s="3" t="str">
        <f>'Pcell est vs PcellRGRASP'!Q253</f>
        <v>Perdido</v>
      </c>
      <c r="AM31" s="3" t="str">
        <f>'Pcell est vs PcellRGRASP'!R253</f>
        <v>Ganado</v>
      </c>
      <c r="AN31" s="3" t="str">
        <f>'Pcell est vs PcellRGRASP'!S253</f>
        <v>Perdido</v>
      </c>
      <c r="AO31" s="3" t="str">
        <f>'Pcell est vs PcellRGRASP'!AJ253</f>
        <v>Ganado</v>
      </c>
      <c r="AP31" s="3" t="str">
        <f>'Pcell est vs PcellRGRASP'!AK253</f>
        <v>Perdido</v>
      </c>
      <c r="AQ31" s="3" t="str">
        <f>'Pcell est vs PcellRGRASP'!AL253</f>
        <v>Ganado</v>
      </c>
      <c r="AR31" s="3" t="str">
        <f>'Pcell est vs PcellRGRASP'!AM253</f>
        <v>Perdido</v>
      </c>
      <c r="AT31" s="3" t="str">
        <f>'PcellRGRASP vs Pcell rand'!P253</f>
        <v>Ganado</v>
      </c>
      <c r="AU31" s="3" t="str">
        <f>'PcellRGRASP vs Pcell rand'!Q253</f>
        <v>Perdido</v>
      </c>
      <c r="AV31" s="3" t="str">
        <f>'PcellRGRASP vs Pcell rand'!R253</f>
        <v>Ganado</v>
      </c>
      <c r="AW31" s="3" t="str">
        <f>'PcellRGRASP vs Pcell rand'!S253</f>
        <v>Perdido</v>
      </c>
      <c r="AX31" s="3" t="str">
        <f>'PcellRGRASP vs Pcell rand'!AJ253</f>
        <v>Ganado</v>
      </c>
      <c r="AY31" s="3" t="str">
        <f>'PcellRGRASP vs Pcell rand'!AK253</f>
        <v>Perdido</v>
      </c>
      <c r="AZ31" s="3" t="str">
        <f>'PcellRGRASP vs Pcell rand'!AL253</f>
        <v>Ganado</v>
      </c>
      <c r="BA31" s="3" t="str">
        <f>'PcellRGRASP vs Pcell rand'!AM253</f>
        <v>Perdido</v>
      </c>
      <c r="BG31" s="3" t="s">
        <v>346</v>
      </c>
      <c r="BH31" s="4" t="s">
        <v>351</v>
      </c>
      <c r="BI31" s="4" t="s">
        <v>354</v>
      </c>
      <c r="BK31" s="3" t="s">
        <v>347</v>
      </c>
      <c r="BL31" s="4" t="s">
        <v>353</v>
      </c>
      <c r="BM31" s="4" t="s">
        <v>356</v>
      </c>
      <c r="BO31" s="3" t="s">
        <v>346</v>
      </c>
      <c r="BP31" s="4" t="s">
        <v>351</v>
      </c>
      <c r="BQ31" s="4" t="s">
        <v>355</v>
      </c>
      <c r="BS31" s="3" t="s">
        <v>347</v>
      </c>
      <c r="BT31" s="4" t="s">
        <v>353</v>
      </c>
      <c r="BU31" s="4" t="s">
        <v>357</v>
      </c>
    </row>
    <row r="32" spans="1:73" x14ac:dyDescent="0.3">
      <c r="A32" s="3">
        <f>'Pcell vs GRASP est-rand'!N255</f>
        <v>20</v>
      </c>
      <c r="B32" s="3">
        <f>'Pcell vs GRASP est-rand'!O255</f>
        <v>10</v>
      </c>
      <c r="C32" s="3">
        <f>'Pcell vs GRASP est-rand'!P255</f>
        <v>10</v>
      </c>
      <c r="D32" s="3">
        <f>'Pcell vs GRASP est-rand'!Q255</f>
        <v>20</v>
      </c>
      <c r="E32" s="3">
        <f>'Pcell vs GRASP est-rand'!AF255</f>
        <v>23</v>
      </c>
      <c r="F32" s="3">
        <f>'Pcell vs GRASP est-rand'!AG255</f>
        <v>7</v>
      </c>
      <c r="G32" s="3">
        <f>'Pcell vs GRASP est-rand'!AH255</f>
        <v>8</v>
      </c>
      <c r="H32" s="3">
        <f>'Pcell vs GRASP est-rand'!AI255</f>
        <v>22</v>
      </c>
      <c r="J32" s="3">
        <f>'PCell vs GRASP random'!N255</f>
        <v>17</v>
      </c>
      <c r="K32" s="3">
        <f>'PCell vs GRASP random'!O255</f>
        <v>13</v>
      </c>
      <c r="L32" s="3">
        <f>'PCell vs GRASP random'!P255</f>
        <v>14</v>
      </c>
      <c r="M32" s="3">
        <f>'PCell vs GRASP random'!Q255</f>
        <v>16</v>
      </c>
      <c r="N32" s="3">
        <f>'PCell vs GRASP random'!AF255</f>
        <v>14</v>
      </c>
      <c r="O32" s="3">
        <f>'PCell vs GRASP random'!AG255</f>
        <v>16</v>
      </c>
      <c r="P32" s="3">
        <f>'PCell vs GRASP random'!AH255</f>
        <v>16</v>
      </c>
      <c r="Q32" s="3">
        <f>'PCell vs GRASP random'!AI255</f>
        <v>14</v>
      </c>
      <c r="S32" s="3">
        <f>'PCellRGRASP vs RGRASP'!N255</f>
        <v>16</v>
      </c>
      <c r="T32" s="3">
        <f>'PCellRGRASP vs RGRASP'!O255</f>
        <v>14</v>
      </c>
      <c r="U32" s="3">
        <f>'PCellRGRASP vs RGRASP'!P255</f>
        <v>15</v>
      </c>
      <c r="V32" s="3">
        <f>'PCellRGRASP vs RGRASP'!Q255</f>
        <v>15</v>
      </c>
      <c r="W32" s="3">
        <f>'PCellRGRASP vs RGRASP'!AF255</f>
        <v>15</v>
      </c>
      <c r="X32" s="3">
        <f>'PCellRGRASP vs RGRASP'!AG255</f>
        <v>15</v>
      </c>
      <c r="Y32" s="3">
        <f>'PCellRGRASP vs RGRASP'!AH255</f>
        <v>17</v>
      </c>
      <c r="Z32" s="3">
        <f>'PCellRGRASP vs RGRASP'!AI255</f>
        <v>13</v>
      </c>
      <c r="AB32" s="15">
        <f>'Pcell est vs Pcell rand'!P255</f>
        <v>26</v>
      </c>
      <c r="AC32" s="15">
        <f>'Pcell est vs Pcell rand'!Q255</f>
        <v>4</v>
      </c>
      <c r="AD32" s="15">
        <f>'Pcell est vs Pcell rand'!R255</f>
        <v>6</v>
      </c>
      <c r="AE32" s="15">
        <f>'Pcell est vs Pcell rand'!S255</f>
        <v>24</v>
      </c>
      <c r="AF32" s="15">
        <f>'Pcell est vs Pcell rand'!AJ255</f>
        <v>29</v>
      </c>
      <c r="AG32" s="15">
        <f>'Pcell est vs Pcell rand'!AK255</f>
        <v>1</v>
      </c>
      <c r="AH32" s="15">
        <f>'Pcell est vs Pcell rand'!AL255</f>
        <v>1</v>
      </c>
      <c r="AI32" s="15">
        <f>'Pcell est vs Pcell rand'!AM255</f>
        <v>29</v>
      </c>
      <c r="AK32" s="3">
        <f>'Pcell est vs PcellRGRASP'!P255</f>
        <v>28</v>
      </c>
      <c r="AL32" s="3">
        <f>'Pcell est vs PcellRGRASP'!Q255</f>
        <v>2</v>
      </c>
      <c r="AM32" s="3">
        <f>'Pcell est vs PcellRGRASP'!R255</f>
        <v>2</v>
      </c>
      <c r="AN32" s="3">
        <f>'Pcell est vs PcellRGRASP'!S255</f>
        <v>28</v>
      </c>
      <c r="AO32" s="3">
        <f>'Pcell est vs PcellRGRASP'!AJ255</f>
        <v>23</v>
      </c>
      <c r="AP32" s="3">
        <f>'Pcell est vs PcellRGRASP'!AK255</f>
        <v>7</v>
      </c>
      <c r="AQ32" s="3">
        <f>'Pcell est vs PcellRGRASP'!AL255</f>
        <v>7</v>
      </c>
      <c r="AR32" s="3">
        <f>'Pcell est vs PcellRGRASP'!AM255</f>
        <v>23</v>
      </c>
      <c r="AT32" s="3">
        <f>'PcellRGRASP vs Pcell rand'!P255</f>
        <v>6</v>
      </c>
      <c r="AU32" s="3">
        <f>'PcellRGRASP vs Pcell rand'!Q255</f>
        <v>24</v>
      </c>
      <c r="AV32" s="3">
        <f>'PcellRGRASP vs Pcell rand'!R255</f>
        <v>24</v>
      </c>
      <c r="AW32" s="3">
        <f>'PcellRGRASP vs Pcell rand'!S255</f>
        <v>6</v>
      </c>
      <c r="AX32" s="3">
        <f>'PcellRGRASP vs Pcell rand'!AJ255</f>
        <v>10</v>
      </c>
      <c r="AY32" s="3">
        <f>'PcellRGRASP vs Pcell rand'!AK255</f>
        <v>20</v>
      </c>
      <c r="AZ32" s="3">
        <f>'PcellRGRASP vs Pcell rand'!AL255</f>
        <v>20</v>
      </c>
      <c r="BA32" s="3">
        <f>'PcellRGRASP vs Pcell rand'!AM255</f>
        <v>10</v>
      </c>
      <c r="BG32" s="3">
        <v>15</v>
      </c>
      <c r="BH32" s="3">
        <f>SUM(Resultados!$AD$5,Resultados!$AD$8,Resultados!$AD$11)</f>
        <v>25</v>
      </c>
      <c r="BI32" s="3">
        <f>SUM(Resultados!$C$5,Resultados!$C$8,Resultados!$C$11)</f>
        <v>11</v>
      </c>
      <c r="BK32" s="3">
        <v>15</v>
      </c>
      <c r="BL32" s="3">
        <f>SUM(Resultados!$AH$5,Resultados!$AH$8,Resultados!$AH$11)</f>
        <v>24</v>
      </c>
      <c r="BM32" s="3">
        <f>SUM(Resultados!$G$5,Resultados!$G$8,Resultados!$G$11)</f>
        <v>18</v>
      </c>
      <c r="BO32" s="3">
        <v>15</v>
      </c>
      <c r="BP32" s="3">
        <f>SUM(Resultados!$AD$5,Resultados!$AD$8,Resultados!$AD$11)</f>
        <v>25</v>
      </c>
      <c r="BQ32" s="3">
        <f>SUM(Resultados!$L$5,Resultados!$L$8,Resultados!$L$11)</f>
        <v>54</v>
      </c>
      <c r="BS32" s="3">
        <v>15</v>
      </c>
      <c r="BT32" s="3">
        <f>SUM(Resultados!$AD$5,Resultados!$AD$8,Resultados!$AD$11)</f>
        <v>25</v>
      </c>
      <c r="BU32" s="3">
        <f>SUM(Resultados!$P$5,Resultados!$P$8,Resultados!$P$11)</f>
        <v>63</v>
      </c>
    </row>
    <row r="33" spans="1:73" x14ac:dyDescent="0.3">
      <c r="A33" s="19" t="s">
        <v>334</v>
      </c>
      <c r="B33" s="19"/>
      <c r="C33" s="19"/>
      <c r="D33" s="19"/>
      <c r="E33" s="19" t="s">
        <v>335</v>
      </c>
      <c r="F33" s="19"/>
      <c r="G33" s="19"/>
      <c r="H33" s="19"/>
      <c r="J33" s="19" t="s">
        <v>334</v>
      </c>
      <c r="K33" s="19"/>
      <c r="L33" s="19"/>
      <c r="M33" s="19"/>
      <c r="N33" s="19" t="s">
        <v>335</v>
      </c>
      <c r="O33" s="19"/>
      <c r="P33" s="19"/>
      <c r="Q33" s="19"/>
      <c r="S33" s="19" t="s">
        <v>334</v>
      </c>
      <c r="T33" s="19"/>
      <c r="U33" s="19"/>
      <c r="V33" s="19"/>
      <c r="W33" s="19" t="s">
        <v>335</v>
      </c>
      <c r="X33" s="19"/>
      <c r="Y33" s="19"/>
      <c r="Z33" s="19"/>
      <c r="AB33" s="19" t="s">
        <v>334</v>
      </c>
      <c r="AC33" s="19"/>
      <c r="AD33" s="19"/>
      <c r="AE33" s="19"/>
      <c r="AF33" s="19" t="s">
        <v>335</v>
      </c>
      <c r="AG33" s="19"/>
      <c r="AH33" s="19"/>
      <c r="AI33" s="19"/>
      <c r="AK33" s="19" t="s">
        <v>334</v>
      </c>
      <c r="AL33" s="19"/>
      <c r="AM33" s="19"/>
      <c r="AN33" s="19"/>
      <c r="AO33" s="19" t="s">
        <v>335</v>
      </c>
      <c r="AP33" s="19"/>
      <c r="AQ33" s="19"/>
      <c r="AR33" s="19"/>
      <c r="AT33" s="19" t="s">
        <v>334</v>
      </c>
      <c r="AU33" s="19"/>
      <c r="AV33" s="19"/>
      <c r="AW33" s="19"/>
      <c r="AX33" s="19" t="s">
        <v>335</v>
      </c>
      <c r="AY33" s="19"/>
      <c r="AZ33" s="19"/>
      <c r="BA33" s="19"/>
      <c r="BG33" s="3">
        <v>20</v>
      </c>
      <c r="BH33" s="3">
        <f>SUM(Resultados!$AD$17,Resultados!$AD$20,Resultados!$AD$23)</f>
        <v>5</v>
      </c>
      <c r="BI33" s="3">
        <f>SUM(Resultados!$C$17,Resultados!$C$20,Resultados!$C$23)</f>
        <v>27</v>
      </c>
      <c r="BK33" s="3">
        <v>20</v>
      </c>
      <c r="BL33" s="3">
        <f>SUM(Resultados!$AH$17,Resultados!$AH$20,Resultados!$AH$23)</f>
        <v>11</v>
      </c>
      <c r="BM33" s="3">
        <f>SUM(Resultados!$G$17,Resultados!$G$20,Resultados!$G$23)</f>
        <v>30</v>
      </c>
      <c r="BO33" s="3">
        <v>20</v>
      </c>
      <c r="BP33" s="3">
        <f>SUM(Resultados!$AD$17,Resultados!$AD$20,Resultados!$AD$23)</f>
        <v>5</v>
      </c>
      <c r="BQ33" s="3">
        <f>SUM(Resultados!$L$17,Resultados!$L$20,Resultados!$L$23)</f>
        <v>50</v>
      </c>
      <c r="BS33" s="3">
        <v>20</v>
      </c>
      <c r="BT33" s="3">
        <f>SUM(Resultados!$AD$17,Resultados!$AD$20,Resultados!$AD$23)</f>
        <v>5</v>
      </c>
      <c r="BU33" s="3">
        <f>SUM(Resultados!$P$17,Resultados!$P$20,Resultados!$P$23)</f>
        <v>44</v>
      </c>
    </row>
    <row r="34" spans="1:73" x14ac:dyDescent="0.3">
      <c r="A34" s="3" t="str">
        <f>'Pcell vs GRASP est-rand'!N289</f>
        <v>Ganado</v>
      </c>
      <c r="B34" s="3" t="str">
        <f>'Pcell vs GRASP est-rand'!O289</f>
        <v>Perdido</v>
      </c>
      <c r="C34" s="3" t="str">
        <f>'Pcell vs GRASP est-rand'!P289</f>
        <v>Ganado</v>
      </c>
      <c r="D34" s="3" t="str">
        <f>'Pcell vs GRASP est-rand'!Q289</f>
        <v>Perdido</v>
      </c>
      <c r="E34" s="3" t="str">
        <f>'Pcell vs GRASP est-rand'!AF289</f>
        <v>Ganado</v>
      </c>
      <c r="F34" s="3" t="str">
        <f>'Pcell vs GRASP est-rand'!AG289</f>
        <v>Perdido</v>
      </c>
      <c r="G34" s="3" t="str">
        <f>'Pcell vs GRASP est-rand'!AH289</f>
        <v>Ganado</v>
      </c>
      <c r="H34" s="3" t="str">
        <f>'Pcell vs GRASP est-rand'!AI289</f>
        <v>Perdido</v>
      </c>
      <c r="J34" s="3" t="str">
        <f>'PCell vs GRASP random'!N289</f>
        <v>Ganado</v>
      </c>
      <c r="K34" s="3" t="str">
        <f>'PCell vs GRASP random'!O289</f>
        <v>Perdido</v>
      </c>
      <c r="L34" s="3" t="str">
        <f>'PCell vs GRASP random'!P289</f>
        <v>Ganado</v>
      </c>
      <c r="M34" s="3" t="str">
        <f>'PCell vs GRASP random'!Q289</f>
        <v>Perdido</v>
      </c>
      <c r="N34" s="3" t="str">
        <f>'PCell vs GRASP random'!AF289</f>
        <v>Ganado</v>
      </c>
      <c r="O34" s="3" t="str">
        <f>'PCell vs GRASP random'!AG289</f>
        <v>Perdido</v>
      </c>
      <c r="P34" s="3" t="str">
        <f>'PCell vs GRASP random'!AH289</f>
        <v>Ganado</v>
      </c>
      <c r="Q34" s="3" t="str">
        <f>'PCell vs GRASP random'!AI289</f>
        <v>Perdido</v>
      </c>
      <c r="S34" s="3" t="str">
        <f>'PCellRGRASP vs RGRASP'!N289</f>
        <v>Ganado</v>
      </c>
      <c r="T34" s="3" t="str">
        <f>'PCellRGRASP vs RGRASP'!O289</f>
        <v>Perdido</v>
      </c>
      <c r="U34" s="3" t="str">
        <f>'PCellRGRASP vs RGRASP'!P289</f>
        <v>Ganado</v>
      </c>
      <c r="V34" s="3" t="str">
        <f>'PCellRGRASP vs RGRASP'!Q289</f>
        <v>Perdido</v>
      </c>
      <c r="W34" s="3" t="str">
        <f>'PCellRGRASP vs RGRASP'!AF289</f>
        <v>Ganado</v>
      </c>
      <c r="X34" s="3" t="str">
        <f>'PCellRGRASP vs RGRASP'!AG289</f>
        <v>Perdido</v>
      </c>
      <c r="Y34" s="3" t="str">
        <f>'PCellRGRASP vs RGRASP'!AH289</f>
        <v>Ganado</v>
      </c>
      <c r="Z34" s="3" t="str">
        <f>'PCellRGRASP vs RGRASP'!AI289</f>
        <v>Perdido</v>
      </c>
      <c r="AB34" s="15" t="str">
        <f>'Pcell est vs Pcell rand'!P289</f>
        <v>Ganado</v>
      </c>
      <c r="AC34" s="15" t="str">
        <f>'Pcell est vs Pcell rand'!Q289</f>
        <v>Perdido</v>
      </c>
      <c r="AD34" s="15" t="str">
        <f>'Pcell est vs Pcell rand'!R289</f>
        <v>Ganado</v>
      </c>
      <c r="AE34" s="15" t="str">
        <f>'Pcell est vs Pcell rand'!S289</f>
        <v>Perdido</v>
      </c>
      <c r="AF34" s="15" t="str">
        <f>'Pcell est vs Pcell rand'!AJ289</f>
        <v>Ganado</v>
      </c>
      <c r="AG34" s="15" t="str">
        <f>'Pcell est vs Pcell rand'!AK289</f>
        <v>Perdido</v>
      </c>
      <c r="AH34" s="15" t="str">
        <f>'Pcell est vs Pcell rand'!AL289</f>
        <v>Ganado</v>
      </c>
      <c r="AI34" s="15" t="str">
        <f>'Pcell est vs Pcell rand'!AM289</f>
        <v>Perdido</v>
      </c>
      <c r="AK34" s="3" t="str">
        <f>'Pcell est vs PcellRGRASP'!P289</f>
        <v>Ganado</v>
      </c>
      <c r="AL34" s="3" t="str">
        <f>'Pcell est vs PcellRGRASP'!Q289</f>
        <v>Perdido</v>
      </c>
      <c r="AM34" s="3" t="str">
        <f>'Pcell est vs PcellRGRASP'!R289</f>
        <v>Ganado</v>
      </c>
      <c r="AN34" s="3" t="str">
        <f>'Pcell est vs PcellRGRASP'!S289</f>
        <v>Perdido</v>
      </c>
      <c r="AO34" s="3" t="str">
        <f>'Pcell est vs PcellRGRASP'!AJ289</f>
        <v>Ganado</v>
      </c>
      <c r="AP34" s="3" t="str">
        <f>'Pcell est vs PcellRGRASP'!AK289</f>
        <v>Perdido</v>
      </c>
      <c r="AQ34" s="3" t="str">
        <f>'Pcell est vs PcellRGRASP'!AL289</f>
        <v>Ganado</v>
      </c>
      <c r="AR34" s="3" t="str">
        <f>'Pcell est vs PcellRGRASP'!AM289</f>
        <v>Perdido</v>
      </c>
      <c r="AT34" s="3" t="str">
        <f>'PcellRGRASP vs Pcell rand'!P289</f>
        <v>Ganado</v>
      </c>
      <c r="AU34" s="3" t="str">
        <f>'PcellRGRASP vs Pcell rand'!Q289</f>
        <v>Perdido</v>
      </c>
      <c r="AV34" s="3" t="str">
        <f>'PcellRGRASP vs Pcell rand'!R289</f>
        <v>Ganado</v>
      </c>
      <c r="AW34" s="3" t="str">
        <f>'PcellRGRASP vs Pcell rand'!S289</f>
        <v>Perdido</v>
      </c>
      <c r="AX34" s="3" t="str">
        <f>'PcellRGRASP vs Pcell rand'!AJ289</f>
        <v>Ganado</v>
      </c>
      <c r="AY34" s="3" t="str">
        <f>'PcellRGRASP vs Pcell rand'!AK289</f>
        <v>Perdido</v>
      </c>
      <c r="AZ34" s="3" t="str">
        <f>'PcellRGRASP vs Pcell rand'!AL289</f>
        <v>Ganado</v>
      </c>
      <c r="BA34" s="3" t="str">
        <f>'PcellRGRASP vs Pcell rand'!AM289</f>
        <v>Perdido</v>
      </c>
      <c r="BG34" s="3">
        <v>25</v>
      </c>
      <c r="BH34" s="3">
        <f>SUM(Resultados!$AD$29,Resultados!$AD$32,Resultados!$AD$35)</f>
        <v>10</v>
      </c>
      <c r="BI34" s="3">
        <f>SUM(Resultados!$C$29,Resultados!$C$32,Resultados!$C$35)</f>
        <v>37</v>
      </c>
      <c r="BK34" s="3">
        <v>25</v>
      </c>
      <c r="BL34" s="3">
        <f>SUM(Resultados!$AH$29,Resultados!$AH$32,Resultados!$AH$35)</f>
        <v>6</v>
      </c>
      <c r="BM34" s="3">
        <f>SUM(Resultados!$G$29,Resultados!$G$32,Resultados!$G$35)</f>
        <v>28</v>
      </c>
      <c r="BO34" s="3">
        <v>25</v>
      </c>
      <c r="BP34" s="3">
        <f>SUM(Resultados!$AD$29,Resultados!$AD$32,Resultados!$AD$35)</f>
        <v>10</v>
      </c>
      <c r="BQ34" s="3">
        <f>SUM(Resultados!$L$29,Resultados!$L$32,Resultados!$L$35)</f>
        <v>43</v>
      </c>
      <c r="BS34" s="3">
        <v>25</v>
      </c>
      <c r="BT34" s="3">
        <f>SUM(Resultados!$AD$29,Resultados!$AD$32,Resultados!$AD$35)</f>
        <v>10</v>
      </c>
      <c r="BU34" s="3">
        <f>SUM(Resultados!$P$29,Resultados!$P$32,Resultados!$P$35)</f>
        <v>41</v>
      </c>
    </row>
    <row r="35" spans="1:73" x14ac:dyDescent="0.3">
      <c r="A35" s="3">
        <f>'Pcell vs GRASP est-rand'!N291</f>
        <v>17</v>
      </c>
      <c r="B35" s="3">
        <f>'Pcell vs GRASP est-rand'!O291</f>
        <v>13</v>
      </c>
      <c r="C35" s="3">
        <f>'Pcell vs GRASP est-rand'!P291</f>
        <v>13</v>
      </c>
      <c r="D35" s="3">
        <f>'Pcell vs GRASP est-rand'!Q291</f>
        <v>17</v>
      </c>
      <c r="E35" s="3">
        <f>'Pcell vs GRASP est-rand'!AF291</f>
        <v>19</v>
      </c>
      <c r="F35" s="3">
        <f>'Pcell vs GRASP est-rand'!AG291</f>
        <v>11</v>
      </c>
      <c r="G35" s="3">
        <f>'Pcell vs GRASP est-rand'!AH291</f>
        <v>11</v>
      </c>
      <c r="H35" s="3">
        <f>'Pcell vs GRASP est-rand'!AI291</f>
        <v>19</v>
      </c>
      <c r="J35" s="3">
        <f>'PCell vs GRASP random'!N291</f>
        <v>15</v>
      </c>
      <c r="K35" s="3">
        <f>'PCell vs GRASP random'!O291</f>
        <v>15</v>
      </c>
      <c r="L35" s="3">
        <f>'PCell vs GRASP random'!P291</f>
        <v>17</v>
      </c>
      <c r="M35" s="3">
        <f>'PCell vs GRASP random'!Q291</f>
        <v>13</v>
      </c>
      <c r="N35" s="3">
        <f>'PCell vs GRASP random'!AF291</f>
        <v>23</v>
      </c>
      <c r="O35" s="3">
        <f>'PCell vs GRASP random'!AG291</f>
        <v>7</v>
      </c>
      <c r="P35" s="3">
        <f>'PCell vs GRASP random'!AH291</f>
        <v>12</v>
      </c>
      <c r="Q35" s="3">
        <f>'PCell vs GRASP random'!AI291</f>
        <v>18</v>
      </c>
      <c r="S35" s="3">
        <f>'PCellRGRASP vs RGRASP'!N291</f>
        <v>18</v>
      </c>
      <c r="T35" s="3">
        <f>'PCellRGRASP vs RGRASP'!O291</f>
        <v>12</v>
      </c>
      <c r="U35" s="3">
        <f>'PCellRGRASP vs RGRASP'!P291</f>
        <v>14</v>
      </c>
      <c r="V35" s="3">
        <f>'PCellRGRASP vs RGRASP'!Q291</f>
        <v>16</v>
      </c>
      <c r="W35" s="3">
        <f>'PCellRGRASP vs RGRASP'!AF291</f>
        <v>18</v>
      </c>
      <c r="X35" s="3">
        <f>'PCellRGRASP vs RGRASP'!AG291</f>
        <v>12</v>
      </c>
      <c r="Y35" s="3">
        <f>'PCellRGRASP vs RGRASP'!AH291</f>
        <v>13</v>
      </c>
      <c r="Z35" s="3">
        <f>'PCellRGRASP vs RGRASP'!AI291</f>
        <v>17</v>
      </c>
      <c r="AB35" s="15">
        <f>'Pcell est vs Pcell rand'!P291</f>
        <v>29</v>
      </c>
      <c r="AC35" s="15">
        <f>'Pcell est vs Pcell rand'!Q291</f>
        <v>1</v>
      </c>
      <c r="AD35" s="15">
        <f>'Pcell est vs Pcell rand'!R291</f>
        <v>1</v>
      </c>
      <c r="AE35" s="15">
        <f>'Pcell est vs Pcell rand'!S291</f>
        <v>29</v>
      </c>
      <c r="AF35" s="15">
        <f>'Pcell est vs Pcell rand'!AJ291</f>
        <v>28</v>
      </c>
      <c r="AG35" s="15">
        <f>'Pcell est vs Pcell rand'!AK291</f>
        <v>2</v>
      </c>
      <c r="AH35" s="15">
        <f>'Pcell est vs Pcell rand'!AL291</f>
        <v>2</v>
      </c>
      <c r="AI35" s="15">
        <f>'Pcell est vs Pcell rand'!AM291</f>
        <v>28</v>
      </c>
      <c r="AK35" s="3">
        <f>'Pcell est vs PcellRGRASP'!P291</f>
        <v>20</v>
      </c>
      <c r="AL35" s="3">
        <f>'Pcell est vs PcellRGRASP'!Q291</f>
        <v>10</v>
      </c>
      <c r="AM35" s="3">
        <f>'Pcell est vs PcellRGRASP'!R291</f>
        <v>10</v>
      </c>
      <c r="AN35" s="3">
        <f>'Pcell est vs PcellRGRASP'!S291</f>
        <v>20</v>
      </c>
      <c r="AO35" s="3">
        <f>'Pcell est vs PcellRGRASP'!AJ291</f>
        <v>23</v>
      </c>
      <c r="AP35" s="3">
        <f>'Pcell est vs PcellRGRASP'!AK291</f>
        <v>7</v>
      </c>
      <c r="AQ35" s="3">
        <f>'Pcell est vs PcellRGRASP'!AL291</f>
        <v>7</v>
      </c>
      <c r="AR35" s="3">
        <f>'Pcell est vs PcellRGRASP'!AM291</f>
        <v>23</v>
      </c>
      <c r="AT35" s="3">
        <f>'PcellRGRASP vs Pcell rand'!P291</f>
        <v>13</v>
      </c>
      <c r="AU35" s="3">
        <f>'PcellRGRASP vs Pcell rand'!Q291</f>
        <v>17</v>
      </c>
      <c r="AV35" s="3">
        <f>'PcellRGRASP vs Pcell rand'!R291</f>
        <v>17</v>
      </c>
      <c r="AW35" s="3">
        <f>'PcellRGRASP vs Pcell rand'!S291</f>
        <v>13</v>
      </c>
      <c r="AX35" s="3">
        <f>'PcellRGRASP vs Pcell rand'!AJ291</f>
        <v>0</v>
      </c>
      <c r="AY35" s="3">
        <f>'PcellRGRASP vs Pcell rand'!AK291</f>
        <v>30</v>
      </c>
      <c r="AZ35" s="3">
        <f>'PcellRGRASP vs Pcell rand'!AL291</f>
        <v>22</v>
      </c>
      <c r="BA35" s="3">
        <f>'PcellRGRASP vs Pcell rand'!AM291</f>
        <v>8</v>
      </c>
      <c r="BG35" s="3">
        <v>30</v>
      </c>
      <c r="BH35" s="3">
        <f>SUM(Resultados!$AD$41,Resultados!$AD$44,Resultados!$AD$47)</f>
        <v>10</v>
      </c>
      <c r="BI35" s="3">
        <f>SUM(Resultados!$C$41,Resultados!$C$44,Resultados!$C$47)</f>
        <v>30</v>
      </c>
      <c r="BK35" s="3">
        <v>30</v>
      </c>
      <c r="BL35" s="3">
        <f>SUM(Resultados!$AH$41,Resultados!$AH$44,Resultados!$AH$47)</f>
        <v>14</v>
      </c>
      <c r="BM35" s="3">
        <f>SUM(Resultados!$G$41,Resultados!$G$44,Resultados!$G$47)</f>
        <v>24</v>
      </c>
      <c r="BO35" s="3">
        <v>30</v>
      </c>
      <c r="BP35" s="3">
        <f>SUM(Resultados!$AD$41,Resultados!$AD$44,Resultados!$AD$47)</f>
        <v>10</v>
      </c>
      <c r="BQ35" s="3">
        <f>SUM(Resultados!$L$41,Resultados!$L$44,Resultados!$L$47)</f>
        <v>43</v>
      </c>
      <c r="BS35" s="3">
        <v>30</v>
      </c>
      <c r="BT35" s="3">
        <f>SUM(Resultados!$AD$41,Resultados!$AD$44,Resultados!$AD$47)</f>
        <v>10</v>
      </c>
      <c r="BU35" s="3">
        <f>SUM(Resultados!$P$41,Resultados!$P$44,Resultados!$P$47)</f>
        <v>41</v>
      </c>
    </row>
    <row r="36" spans="1:73" x14ac:dyDescent="0.3">
      <c r="AB36" s="11"/>
      <c r="AC36" s="11"/>
      <c r="AD36" s="11"/>
      <c r="AE36" s="11"/>
      <c r="AF36" s="11"/>
      <c r="AG36" s="11"/>
      <c r="AH36" s="11"/>
      <c r="AI36" s="11"/>
      <c r="BG36" s="3">
        <v>35</v>
      </c>
      <c r="BH36" s="3">
        <f>SUM(Resultados!$AD$53,Resultados!$AD$56,Resultados!$AD$59)</f>
        <v>7</v>
      </c>
      <c r="BI36" s="3">
        <f>SUM(Resultados!$C$53,Resultados!$C$56,Resultados!$C$59)</f>
        <v>33</v>
      </c>
      <c r="BK36" s="3">
        <v>35</v>
      </c>
      <c r="BL36" s="3">
        <f>SUM(Resultados!$AH$53,Resultados!$AH$56,Resultados!$AH$59)</f>
        <v>5</v>
      </c>
      <c r="BM36" s="3">
        <f>SUM(Resultados!$G$53,Resultados!$G$56,Resultados!$G$59)</f>
        <v>30</v>
      </c>
      <c r="BO36" s="3">
        <v>35</v>
      </c>
      <c r="BP36" s="3">
        <f>SUM(Resultados!$AD$53,Resultados!$AD$56,Resultados!$AD$59)</f>
        <v>7</v>
      </c>
      <c r="BQ36" s="3">
        <f>SUM(Resultados!$L$53,Resultados!$L$56,Resultados!$L$59)</f>
        <v>44</v>
      </c>
      <c r="BS36" s="3">
        <v>35</v>
      </c>
      <c r="BT36" s="3">
        <f>SUM(Resultados!$AD$53,Resultados!$AD$56,Resultados!$AD$59)</f>
        <v>7</v>
      </c>
      <c r="BU36" s="3">
        <f>SUM(Resultados!$P$53,Resultados!$P$56,Resultados!$P$59)</f>
        <v>44</v>
      </c>
    </row>
    <row r="37" spans="1:73" x14ac:dyDescent="0.3">
      <c r="A37" s="19">
        <v>30</v>
      </c>
      <c r="B37" s="19"/>
      <c r="C37" s="19"/>
      <c r="D37" s="19"/>
      <c r="E37" s="19">
        <v>30</v>
      </c>
      <c r="F37" s="19"/>
      <c r="G37" s="19"/>
      <c r="H37" s="19"/>
      <c r="J37" s="19">
        <v>30</v>
      </c>
      <c r="K37" s="19"/>
      <c r="L37" s="19"/>
      <c r="M37" s="19"/>
      <c r="N37" s="19">
        <v>30</v>
      </c>
      <c r="O37" s="19"/>
      <c r="P37" s="19"/>
      <c r="Q37" s="19"/>
      <c r="S37" s="19">
        <v>30</v>
      </c>
      <c r="T37" s="19"/>
      <c r="U37" s="19"/>
      <c r="V37" s="19"/>
      <c r="W37" s="19">
        <v>30</v>
      </c>
      <c r="X37" s="19"/>
      <c r="Y37" s="19"/>
      <c r="Z37" s="19"/>
      <c r="AB37" s="19">
        <v>30</v>
      </c>
      <c r="AC37" s="19"/>
      <c r="AD37" s="19"/>
      <c r="AE37" s="19"/>
      <c r="AF37" s="19">
        <v>30</v>
      </c>
      <c r="AG37" s="19"/>
      <c r="AH37" s="19"/>
      <c r="AI37" s="19"/>
      <c r="AK37" s="19">
        <v>30</v>
      </c>
      <c r="AL37" s="19"/>
      <c r="AM37" s="19"/>
      <c r="AN37" s="19"/>
      <c r="AO37" s="19">
        <v>30</v>
      </c>
      <c r="AP37" s="19"/>
      <c r="AQ37" s="19"/>
      <c r="AR37" s="19"/>
      <c r="AT37" s="19">
        <v>30</v>
      </c>
      <c r="AU37" s="19"/>
      <c r="AV37" s="19"/>
      <c r="AW37" s="19"/>
      <c r="AX37" s="19">
        <v>30</v>
      </c>
      <c r="AY37" s="19"/>
      <c r="AZ37" s="19"/>
      <c r="BA37" s="19"/>
      <c r="BG37" s="3">
        <v>40</v>
      </c>
      <c r="BH37" s="3">
        <f>SUM(Resultados!$AD$65,Resultados!$AD$68,Resultados!$AD$71)</f>
        <v>5</v>
      </c>
      <c r="BI37" s="3">
        <f>SUM(Resultados!$C$65,Resultados!$C$68,Resultados!$C$71)</f>
        <v>33</v>
      </c>
      <c r="BK37" s="3">
        <v>40</v>
      </c>
      <c r="BL37" s="3">
        <f>SUM(Resultados!$AH$65,Resultados!$AH$68,Resultados!$AH$71)</f>
        <v>5</v>
      </c>
      <c r="BM37" s="3">
        <f>SUM(Resultados!$G$65,Resultados!$G$68,Resultados!$G$71)</f>
        <v>35</v>
      </c>
      <c r="BO37" s="3">
        <v>40</v>
      </c>
      <c r="BP37" s="3">
        <f>SUM(Resultados!$AD$65,Resultados!$AD$68,Resultados!$AD$71)</f>
        <v>5</v>
      </c>
      <c r="BQ37" s="3">
        <f>SUM(Resultados!$L$65,Resultados!$L$68,Resultados!$L$71)</f>
        <v>45</v>
      </c>
      <c r="BS37" s="3">
        <v>40</v>
      </c>
      <c r="BT37" s="3">
        <f>SUM(Resultados!$AD$65,Resultados!$AD$68,Resultados!$AD$71)</f>
        <v>5</v>
      </c>
      <c r="BU37" s="3">
        <f>SUM(Resultados!$P$65,Resultados!$P$68,Resultados!$P$71)</f>
        <v>40</v>
      </c>
    </row>
    <row r="38" spans="1:73" x14ac:dyDescent="0.3">
      <c r="A38" s="19" t="s">
        <v>328</v>
      </c>
      <c r="B38" s="19"/>
      <c r="C38" s="19" t="s">
        <v>329</v>
      </c>
      <c r="D38" s="19"/>
      <c r="E38" s="19" t="s">
        <v>328</v>
      </c>
      <c r="F38" s="19"/>
      <c r="G38" s="19" t="s">
        <v>329</v>
      </c>
      <c r="H38" s="19"/>
      <c r="J38" s="19" t="s">
        <v>336</v>
      </c>
      <c r="K38" s="19"/>
      <c r="L38" s="19" t="s">
        <v>329</v>
      </c>
      <c r="M38" s="19"/>
      <c r="N38" s="19" t="s">
        <v>336</v>
      </c>
      <c r="O38" s="19"/>
      <c r="P38" s="19" t="s">
        <v>329</v>
      </c>
      <c r="Q38" s="19"/>
      <c r="S38" s="19" t="s">
        <v>339</v>
      </c>
      <c r="T38" s="19"/>
      <c r="U38" s="19" t="s">
        <v>340</v>
      </c>
      <c r="V38" s="19"/>
      <c r="W38" s="19" t="s">
        <v>339</v>
      </c>
      <c r="X38" s="19"/>
      <c r="Y38" s="19" t="s">
        <v>340</v>
      </c>
      <c r="Z38" s="19"/>
      <c r="AB38" s="19" t="s">
        <v>328</v>
      </c>
      <c r="AC38" s="19"/>
      <c r="AD38" s="19" t="s">
        <v>336</v>
      </c>
      <c r="AE38" s="19"/>
      <c r="AF38" s="19" t="s">
        <v>328</v>
      </c>
      <c r="AG38" s="19"/>
      <c r="AH38" s="19" t="s">
        <v>336</v>
      </c>
      <c r="AI38" s="19"/>
      <c r="AK38" s="19" t="s">
        <v>328</v>
      </c>
      <c r="AL38" s="19"/>
      <c r="AM38" s="19" t="s">
        <v>337</v>
      </c>
      <c r="AN38" s="19"/>
      <c r="AO38" s="19" t="s">
        <v>328</v>
      </c>
      <c r="AP38" s="19"/>
      <c r="AQ38" s="19" t="s">
        <v>337</v>
      </c>
      <c r="AR38" s="19"/>
      <c r="AT38" s="20" t="s">
        <v>337</v>
      </c>
      <c r="AU38" s="22"/>
      <c r="AV38" s="19" t="s">
        <v>336</v>
      </c>
      <c r="AW38" s="19"/>
      <c r="AX38" s="20" t="s">
        <v>337</v>
      </c>
      <c r="AY38" s="22"/>
      <c r="AZ38" s="19" t="s">
        <v>336</v>
      </c>
      <c r="BA38" s="19"/>
      <c r="BG38" s="3">
        <v>45</v>
      </c>
      <c r="BH38" s="3">
        <f>SUM(Resultados!$AD$77,Resultados!$AD$80,Resultados!$AD$83)</f>
        <v>3</v>
      </c>
      <c r="BI38" s="3">
        <f>SUM(Resultados!$C$77,Resultados!$C$80,Resultados!$C$83)</f>
        <v>23</v>
      </c>
      <c r="BK38" s="3">
        <v>45</v>
      </c>
      <c r="BL38" s="3">
        <f>SUM(Resultados!$AH$77,Resultados!$AH$80,Resultados!$AH$83)</f>
        <v>2</v>
      </c>
      <c r="BM38" s="3">
        <f>SUM(Resultados!$G$77,Resultados!$G$80,Resultados!$G$83)</f>
        <v>27</v>
      </c>
      <c r="BO38" s="3">
        <v>45</v>
      </c>
      <c r="BP38" s="3">
        <f>SUM(Resultados!$AD$77,Resultados!$AD$80,Resultados!$AD$83)</f>
        <v>3</v>
      </c>
      <c r="BQ38" s="3">
        <f>SUM(Resultados!$L$77,Resultados!$L$80,Resultados!$L$83)</f>
        <v>37</v>
      </c>
      <c r="BS38" s="3">
        <v>45</v>
      </c>
      <c r="BT38" s="3">
        <f>SUM(Resultados!$AD$77,Resultados!$AD$80,Resultados!$AD$83)</f>
        <v>3</v>
      </c>
      <c r="BU38" s="3">
        <f>SUM(Resultados!$P$77,Resultados!$P$80,Resultados!$P$83)</f>
        <v>46</v>
      </c>
    </row>
    <row r="39" spans="1:73" x14ac:dyDescent="0.3">
      <c r="A39" s="19" t="s">
        <v>330</v>
      </c>
      <c r="B39" s="19"/>
      <c r="C39" s="19"/>
      <c r="D39" s="19"/>
      <c r="E39" s="19" t="s">
        <v>331</v>
      </c>
      <c r="F39" s="19"/>
      <c r="G39" s="19"/>
      <c r="H39" s="19"/>
      <c r="J39" s="19" t="s">
        <v>330</v>
      </c>
      <c r="K39" s="19"/>
      <c r="L39" s="19"/>
      <c r="M39" s="19"/>
      <c r="N39" s="19" t="s">
        <v>331</v>
      </c>
      <c r="O39" s="19"/>
      <c r="P39" s="19"/>
      <c r="Q39" s="19"/>
      <c r="S39" s="19" t="s">
        <v>330</v>
      </c>
      <c r="T39" s="19"/>
      <c r="U39" s="19"/>
      <c r="V39" s="19"/>
      <c r="W39" s="19" t="s">
        <v>331</v>
      </c>
      <c r="X39" s="19"/>
      <c r="Y39" s="19"/>
      <c r="Z39" s="19"/>
      <c r="AB39" s="19" t="s">
        <v>330</v>
      </c>
      <c r="AC39" s="19"/>
      <c r="AD39" s="19"/>
      <c r="AE39" s="19"/>
      <c r="AF39" s="19" t="s">
        <v>331</v>
      </c>
      <c r="AG39" s="19"/>
      <c r="AH39" s="19"/>
      <c r="AI39" s="19"/>
      <c r="AK39" s="19" t="s">
        <v>330</v>
      </c>
      <c r="AL39" s="19"/>
      <c r="AM39" s="19"/>
      <c r="AN39" s="19"/>
      <c r="AO39" s="19" t="s">
        <v>331</v>
      </c>
      <c r="AP39" s="19"/>
      <c r="AQ39" s="19"/>
      <c r="AR39" s="19"/>
      <c r="AT39" s="19" t="s">
        <v>330</v>
      </c>
      <c r="AU39" s="19"/>
      <c r="AV39" s="19"/>
      <c r="AW39" s="19"/>
      <c r="AX39" s="19" t="s">
        <v>331</v>
      </c>
      <c r="AY39" s="19"/>
      <c r="AZ39" s="19"/>
      <c r="BA39" s="19"/>
      <c r="BG39" s="3">
        <v>50</v>
      </c>
      <c r="BH39" s="3">
        <f>SUM(Resultados!$AD$89,Resultados!$AD$92,Resultados!$AD$95)</f>
        <v>4</v>
      </c>
      <c r="BI39" s="3">
        <f>SUM(Resultados!$C$89,Resultados!$C$92,Resultados!$C$95)</f>
        <v>26</v>
      </c>
      <c r="BK39" s="3">
        <v>50</v>
      </c>
      <c r="BL39" s="3">
        <f>SUM(Resultados!$AH$89,Resultados!$AH$92,Resultados!$AH$95)</f>
        <v>5</v>
      </c>
      <c r="BM39" s="3">
        <f>SUM(Resultados!$G$89,Resultados!$G$92,Resultados!$G$95)</f>
        <v>32</v>
      </c>
      <c r="BO39" s="3">
        <v>50</v>
      </c>
      <c r="BP39" s="3">
        <f>SUM(Resultados!$AD$89,Resultados!$AD$92,Resultados!$AD$95)</f>
        <v>4</v>
      </c>
      <c r="BQ39" s="3">
        <f>SUM(Resultados!$L$89,Resultados!$L$92,Resultados!$L$95)</f>
        <v>41</v>
      </c>
      <c r="BS39" s="3">
        <v>50</v>
      </c>
      <c r="BT39" s="3">
        <f>SUM(Resultados!$AD$89,Resultados!$AD$92,Resultados!$AD$95)</f>
        <v>4</v>
      </c>
      <c r="BU39" s="3">
        <f>SUM(Resultados!$P$89,Resultados!$P$92,Resultados!$P$95)</f>
        <v>39</v>
      </c>
    </row>
    <row r="40" spans="1:73" x14ac:dyDescent="0.3">
      <c r="A40" s="3" t="str">
        <f>'Pcell vs GRASP est-rand'!N324</f>
        <v>Ganado</v>
      </c>
      <c r="B40" s="3" t="str">
        <f>'Pcell vs GRASP est-rand'!O324</f>
        <v>Perdido</v>
      </c>
      <c r="C40" s="3" t="str">
        <f>'Pcell vs GRASP est-rand'!P324</f>
        <v>Ganado</v>
      </c>
      <c r="D40" s="3" t="str">
        <f>'Pcell vs GRASP est-rand'!Q324</f>
        <v>Perdido</v>
      </c>
      <c r="E40" s="3" t="str">
        <f>'Pcell vs GRASP est-rand'!AF324</f>
        <v>Ganado</v>
      </c>
      <c r="F40" s="3" t="str">
        <f>'Pcell vs GRASP est-rand'!AG324</f>
        <v>Perdido</v>
      </c>
      <c r="G40" s="3" t="str">
        <f>'Pcell vs GRASP est-rand'!AH324</f>
        <v>Ganado</v>
      </c>
      <c r="H40" s="3" t="str">
        <f>'Pcell vs GRASP est-rand'!AI324</f>
        <v>Perdido</v>
      </c>
      <c r="J40" s="3" t="s">
        <v>322</v>
      </c>
      <c r="K40" s="3" t="s">
        <v>323</v>
      </c>
      <c r="L40" s="3" t="s">
        <v>322</v>
      </c>
      <c r="M40" s="3" t="s">
        <v>323</v>
      </c>
      <c r="N40" s="3" t="s">
        <v>322</v>
      </c>
      <c r="O40" s="3" t="s">
        <v>323</v>
      </c>
      <c r="P40" s="3" t="s">
        <v>322</v>
      </c>
      <c r="Q40" s="3" t="s">
        <v>323</v>
      </c>
      <c r="S40" s="3" t="str">
        <f>'PCellRGRASP vs RGRASP'!N324</f>
        <v>Ganado</v>
      </c>
      <c r="T40" s="3" t="str">
        <f>'PCellRGRASP vs RGRASP'!O324</f>
        <v>Perdido</v>
      </c>
      <c r="U40" s="3" t="str">
        <f>'PCellRGRASP vs RGRASP'!P324</f>
        <v>Ganado</v>
      </c>
      <c r="V40" s="3" t="str">
        <f>'PCellRGRASP vs RGRASP'!Q324</f>
        <v>Perdido</v>
      </c>
      <c r="W40" s="3" t="str">
        <f>'PCellRGRASP vs RGRASP'!AF324</f>
        <v>Ganado</v>
      </c>
      <c r="X40" s="3" t="str">
        <f>'PCellRGRASP vs RGRASP'!AG324</f>
        <v>Perdido</v>
      </c>
      <c r="Y40" s="3" t="str">
        <f>'PCellRGRASP vs RGRASP'!AH324</f>
        <v>Ganado</v>
      </c>
      <c r="Z40" s="3" t="str">
        <f>'PCellRGRASP vs RGRASP'!AI324</f>
        <v>Perdido</v>
      </c>
      <c r="AB40" s="15" t="str">
        <f>'Pcell est vs Pcell rand'!P324</f>
        <v>Ganado</v>
      </c>
      <c r="AC40" s="15" t="str">
        <f>'Pcell est vs Pcell rand'!Q324</f>
        <v>Perdido</v>
      </c>
      <c r="AD40" s="15" t="str">
        <f>'Pcell est vs Pcell rand'!R324</f>
        <v>Ganado</v>
      </c>
      <c r="AE40" s="15" t="str">
        <f>'Pcell est vs Pcell rand'!S324</f>
        <v>Perdido</v>
      </c>
      <c r="AF40" s="15" t="str">
        <f>'Pcell est vs Pcell rand'!AJ324</f>
        <v>Ganado</v>
      </c>
      <c r="AG40" s="15" t="str">
        <f>'Pcell est vs Pcell rand'!AK324</f>
        <v>Perdido</v>
      </c>
      <c r="AH40" s="15" t="str">
        <f>'Pcell est vs Pcell rand'!AL324</f>
        <v>Ganado</v>
      </c>
      <c r="AI40" s="15" t="str">
        <f>'Pcell est vs Pcell rand'!AM324</f>
        <v>Perdido</v>
      </c>
      <c r="AK40" s="3" t="str">
        <f>'Pcell est vs PcellRGRASP'!P324</f>
        <v>Ganado</v>
      </c>
      <c r="AL40" s="3" t="str">
        <f>'Pcell est vs PcellRGRASP'!Q324</f>
        <v>Perdido</v>
      </c>
      <c r="AM40" s="3" t="str">
        <f>'Pcell est vs PcellRGRASP'!R324</f>
        <v>Ganado</v>
      </c>
      <c r="AN40" s="3" t="str">
        <f>'Pcell est vs PcellRGRASP'!S324</f>
        <v>Perdido</v>
      </c>
      <c r="AO40" s="3" t="str">
        <f>'Pcell est vs PcellRGRASP'!AJ324</f>
        <v>Ganado</v>
      </c>
      <c r="AP40" s="3" t="str">
        <f>'Pcell est vs PcellRGRASP'!AK324</f>
        <v>Perdido</v>
      </c>
      <c r="AQ40" s="3" t="str">
        <f>'Pcell est vs PcellRGRASP'!AL324</f>
        <v>Ganado</v>
      </c>
      <c r="AR40" s="3" t="str">
        <f>'Pcell est vs PcellRGRASP'!AM324</f>
        <v>Perdido</v>
      </c>
      <c r="AT40" s="3" t="str">
        <f>'PcellRGRASP vs Pcell rand'!P324</f>
        <v>Ganado</v>
      </c>
      <c r="AU40" s="3" t="str">
        <f>'PcellRGRASP vs Pcell rand'!Q324</f>
        <v>Perdido</v>
      </c>
      <c r="AV40" s="3" t="str">
        <f>'PcellRGRASP vs Pcell rand'!R324</f>
        <v>Ganado</v>
      </c>
      <c r="AW40" s="3" t="str">
        <f>'PcellRGRASP vs Pcell rand'!S324</f>
        <v>Perdido</v>
      </c>
      <c r="AX40" s="3" t="str">
        <f>'PcellRGRASP vs Pcell rand'!AJ324</f>
        <v>Ganado</v>
      </c>
      <c r="AY40" s="3" t="str">
        <f>'PcellRGRASP vs Pcell rand'!AK324</f>
        <v>Perdido</v>
      </c>
      <c r="AZ40" s="3" t="str">
        <f>'PcellRGRASP vs Pcell rand'!AL324</f>
        <v>Ganado</v>
      </c>
      <c r="BA40" s="3" t="str">
        <f>'PcellRGRASP vs Pcell rand'!AM324</f>
        <v>Perdido</v>
      </c>
      <c r="BG40" s="3">
        <v>55</v>
      </c>
      <c r="BH40" s="3">
        <f>SUM(Resultados!$AD$101,Resultados!$AD$104,Resultados!$AD$107)</f>
        <v>6</v>
      </c>
      <c r="BI40" s="3">
        <f>SUM(Resultados!$C$101,Resultados!$C$104,Resultados!$C$107)</f>
        <v>28</v>
      </c>
      <c r="BK40" s="3">
        <v>55</v>
      </c>
      <c r="BL40" s="3">
        <f>SUM(Resultados!$AH$101,Resultados!$AH$104,Resultados!$AH$107)</f>
        <v>5</v>
      </c>
      <c r="BM40" s="3">
        <f>SUM(Resultados!$G$101,Resultados!$G$104,Resultados!$G$107)</f>
        <v>29</v>
      </c>
      <c r="BO40" s="3">
        <v>55</v>
      </c>
      <c r="BP40" s="3">
        <f>SUM(Resultados!$AD$101,Resultados!$AD$104,Resultados!$AD$107)</f>
        <v>6</v>
      </c>
      <c r="BQ40" s="3">
        <f>SUM(Resultados!$L$101,Resultados!$L$104,Resultados!$L$107)</f>
        <v>43</v>
      </c>
      <c r="BS40" s="3">
        <v>55</v>
      </c>
      <c r="BT40" s="3">
        <f>SUM(Resultados!$AD$101,Resultados!$AD$104,Resultados!$AD$107)</f>
        <v>6</v>
      </c>
      <c r="BU40" s="3">
        <f>SUM(Resultados!$P$101,Resultados!$P$104,Resultados!$P$107)</f>
        <v>44</v>
      </c>
    </row>
    <row r="41" spans="1:73" x14ac:dyDescent="0.3">
      <c r="A41" s="3">
        <f>'Pcell vs GRASP est-rand'!N326</f>
        <v>23</v>
      </c>
      <c r="B41" s="3">
        <f>'Pcell vs GRASP est-rand'!O326</f>
        <v>7</v>
      </c>
      <c r="C41" s="3">
        <f>'Pcell vs GRASP est-rand'!P326</f>
        <v>7</v>
      </c>
      <c r="D41" s="3">
        <f>'Pcell vs GRASP est-rand'!Q326</f>
        <v>23</v>
      </c>
      <c r="E41" s="3">
        <f>'Pcell vs GRASP est-rand'!AF326</f>
        <v>22</v>
      </c>
      <c r="F41" s="3">
        <f>'Pcell vs GRASP est-rand'!AG326</f>
        <v>8</v>
      </c>
      <c r="G41" s="3">
        <f>'Pcell vs GRASP est-rand'!AH326</f>
        <v>8</v>
      </c>
      <c r="H41" s="3">
        <f>'Pcell vs GRASP est-rand'!AI326</f>
        <v>22</v>
      </c>
      <c r="J41" s="3">
        <v>16</v>
      </c>
      <c r="K41" s="3">
        <v>14</v>
      </c>
      <c r="L41" s="3">
        <v>16</v>
      </c>
      <c r="M41" s="3">
        <v>14</v>
      </c>
      <c r="N41" s="3">
        <v>19</v>
      </c>
      <c r="O41" s="3">
        <v>11</v>
      </c>
      <c r="P41" s="3">
        <v>12</v>
      </c>
      <c r="Q41" s="3">
        <v>18</v>
      </c>
      <c r="S41" s="3">
        <f>'PCellRGRASP vs RGRASP'!N326</f>
        <v>17</v>
      </c>
      <c r="T41" s="3">
        <f>'PCellRGRASP vs RGRASP'!O326</f>
        <v>13</v>
      </c>
      <c r="U41" s="3">
        <f>'PCellRGRASP vs RGRASP'!P326</f>
        <v>15</v>
      </c>
      <c r="V41" s="3">
        <f>'PCellRGRASP vs RGRASP'!Q326</f>
        <v>15</v>
      </c>
      <c r="W41" s="3">
        <f>'PCellRGRASP vs RGRASP'!AF326</f>
        <v>15</v>
      </c>
      <c r="X41" s="3">
        <f>'PCellRGRASP vs RGRASP'!AG326</f>
        <v>15</v>
      </c>
      <c r="Y41" s="3">
        <f>'PCellRGRASP vs RGRASP'!AH326</f>
        <v>16</v>
      </c>
      <c r="Z41" s="3">
        <f>'PCellRGRASP vs RGRASP'!AI326</f>
        <v>14</v>
      </c>
      <c r="AB41" s="15">
        <f>'Pcell est vs Pcell rand'!P326</f>
        <v>25</v>
      </c>
      <c r="AC41" s="15">
        <f>'Pcell est vs Pcell rand'!Q326</f>
        <v>5</v>
      </c>
      <c r="AD41" s="15">
        <f>'Pcell est vs Pcell rand'!R326</f>
        <v>5</v>
      </c>
      <c r="AE41" s="15">
        <f>'Pcell est vs Pcell rand'!S326</f>
        <v>25</v>
      </c>
      <c r="AF41" s="15">
        <f>'Pcell est vs Pcell rand'!AJ326</f>
        <v>26</v>
      </c>
      <c r="AG41" s="15">
        <f>'Pcell est vs Pcell rand'!AK326</f>
        <v>4</v>
      </c>
      <c r="AH41" s="15">
        <f>'Pcell est vs Pcell rand'!AL326</f>
        <v>5</v>
      </c>
      <c r="AI41" s="15">
        <f>'Pcell est vs Pcell rand'!AM326</f>
        <v>25</v>
      </c>
      <c r="AK41" s="3">
        <f>'Pcell est vs PcellRGRASP'!P326</f>
        <v>22</v>
      </c>
      <c r="AL41" s="3">
        <f>'Pcell est vs PcellRGRASP'!Q326</f>
        <v>8</v>
      </c>
      <c r="AM41" s="3">
        <f>'Pcell est vs PcellRGRASP'!R326</f>
        <v>8</v>
      </c>
      <c r="AN41" s="3">
        <f>'Pcell est vs PcellRGRASP'!S326</f>
        <v>22</v>
      </c>
      <c r="AO41" s="3">
        <f>'Pcell est vs PcellRGRASP'!AJ326</f>
        <v>23</v>
      </c>
      <c r="AP41" s="3">
        <f>'Pcell est vs PcellRGRASP'!AK326</f>
        <v>7</v>
      </c>
      <c r="AQ41" s="3">
        <f>'Pcell est vs PcellRGRASP'!AL326</f>
        <v>7</v>
      </c>
      <c r="AR41" s="3">
        <f>'Pcell est vs PcellRGRASP'!AM326</f>
        <v>23</v>
      </c>
      <c r="AT41" s="3">
        <f>'PcellRGRASP vs Pcell rand'!P326</f>
        <v>17</v>
      </c>
      <c r="AU41" s="3">
        <f>'PcellRGRASP vs Pcell rand'!Q326</f>
        <v>13</v>
      </c>
      <c r="AV41" s="3">
        <f>'PcellRGRASP vs Pcell rand'!R326</f>
        <v>13</v>
      </c>
      <c r="AW41" s="3">
        <f>'PcellRGRASP vs Pcell rand'!S326</f>
        <v>17</v>
      </c>
      <c r="AX41" s="3">
        <f>'PcellRGRASP vs Pcell rand'!AJ326</f>
        <v>8</v>
      </c>
      <c r="AY41" s="3">
        <f>'PcellRGRASP vs Pcell rand'!AK326</f>
        <v>22</v>
      </c>
      <c r="AZ41" s="3">
        <f>'PcellRGRASP vs Pcell rand'!AL326</f>
        <v>22</v>
      </c>
      <c r="BA41" s="3">
        <f>'PcellRGRASP vs Pcell rand'!AM326</f>
        <v>8</v>
      </c>
      <c r="BG41" s="3">
        <v>60</v>
      </c>
      <c r="BH41" s="3">
        <f>SUM(Resultados!$AD$113,Resultados!$AD$116,Resultados!$AD$119)</f>
        <v>3</v>
      </c>
      <c r="BI41" s="3">
        <f>SUM(Resultados!$C$113,Resultados!$C$116,Resultados!$C$119)</f>
        <v>27</v>
      </c>
      <c r="BK41" s="3">
        <v>60</v>
      </c>
      <c r="BL41" s="3">
        <f>SUM(Resultados!$AH$113,Resultados!$AH$116,Resultados!$AH$119)</f>
        <v>4</v>
      </c>
      <c r="BM41" s="3">
        <f>SUM(Resultados!$G$113,Resultados!$G$116,Resultados!$G$119)</f>
        <v>34</v>
      </c>
      <c r="BO41" s="3">
        <v>60</v>
      </c>
      <c r="BP41" s="3">
        <f>SUM(Resultados!$AD$113,Resultados!$AD$116,Resultados!$AD$119)</f>
        <v>3</v>
      </c>
      <c r="BQ41" s="3">
        <f>SUM(Resultados!$L$113,Resultados!$L$116,Resultados!$L$119)</f>
        <v>50</v>
      </c>
      <c r="BS41" s="3">
        <v>60</v>
      </c>
      <c r="BT41" s="3">
        <f>SUM(Resultados!$AD$113,Resultados!$AD$116,Resultados!$AD$119)</f>
        <v>3</v>
      </c>
      <c r="BU41" s="3">
        <f>SUM(Resultados!$P$113,Resultados!$P$116,Resultados!$P$119)</f>
        <v>40</v>
      </c>
    </row>
    <row r="42" spans="1:73" x14ac:dyDescent="0.3">
      <c r="A42" s="19" t="s">
        <v>332</v>
      </c>
      <c r="B42" s="19"/>
      <c r="C42" s="19"/>
      <c r="D42" s="19"/>
      <c r="E42" s="19" t="s">
        <v>333</v>
      </c>
      <c r="F42" s="19"/>
      <c r="G42" s="19"/>
      <c r="H42" s="19"/>
      <c r="J42" s="19" t="s">
        <v>332</v>
      </c>
      <c r="K42" s="19"/>
      <c r="L42" s="19"/>
      <c r="M42" s="19"/>
      <c r="N42" s="19" t="s">
        <v>333</v>
      </c>
      <c r="O42" s="19"/>
      <c r="P42" s="19"/>
      <c r="Q42" s="19"/>
      <c r="S42" s="19" t="s">
        <v>332</v>
      </c>
      <c r="T42" s="19"/>
      <c r="U42" s="19"/>
      <c r="V42" s="19"/>
      <c r="W42" s="19" t="s">
        <v>333</v>
      </c>
      <c r="X42" s="19"/>
      <c r="Y42" s="19"/>
      <c r="Z42" s="19"/>
      <c r="AB42" s="19" t="s">
        <v>332</v>
      </c>
      <c r="AC42" s="19"/>
      <c r="AD42" s="19"/>
      <c r="AE42" s="19"/>
      <c r="AF42" s="19" t="s">
        <v>333</v>
      </c>
      <c r="AG42" s="19"/>
      <c r="AH42" s="19"/>
      <c r="AI42" s="19"/>
      <c r="AK42" s="19" t="s">
        <v>332</v>
      </c>
      <c r="AL42" s="19"/>
      <c r="AM42" s="19"/>
      <c r="AN42" s="19"/>
      <c r="AO42" s="19" t="s">
        <v>333</v>
      </c>
      <c r="AP42" s="19"/>
      <c r="AQ42" s="19"/>
      <c r="AR42" s="19"/>
      <c r="AT42" s="19" t="s">
        <v>332</v>
      </c>
      <c r="AU42" s="19"/>
      <c r="AV42" s="19"/>
      <c r="AW42" s="19"/>
      <c r="AX42" s="19" t="s">
        <v>333</v>
      </c>
      <c r="AY42" s="19"/>
      <c r="AZ42" s="19"/>
      <c r="BA42" s="19"/>
    </row>
    <row r="43" spans="1:73" x14ac:dyDescent="0.3">
      <c r="A43" s="3" t="str">
        <f>'Pcell vs GRASP est-rand'!N360</f>
        <v>Ganado</v>
      </c>
      <c r="B43" s="3" t="str">
        <f>'Pcell vs GRASP est-rand'!O360</f>
        <v>Perdido</v>
      </c>
      <c r="C43" s="3" t="str">
        <f>'Pcell vs GRASP est-rand'!P360</f>
        <v>Ganado</v>
      </c>
      <c r="D43" s="3" t="str">
        <f>'Pcell vs GRASP est-rand'!Q360</f>
        <v>Perdido</v>
      </c>
      <c r="E43" s="3" t="str">
        <f>'Pcell vs GRASP est-rand'!AF360</f>
        <v>Ganado</v>
      </c>
      <c r="F43" s="3" t="str">
        <f>'Pcell vs GRASP est-rand'!AG360</f>
        <v>Perdido</v>
      </c>
      <c r="G43" s="3" t="str">
        <f>'Pcell vs GRASP est-rand'!AH360</f>
        <v>Ganado</v>
      </c>
      <c r="H43" s="3" t="str">
        <f>'Pcell vs GRASP est-rand'!AI360</f>
        <v>Perdido</v>
      </c>
      <c r="J43" s="3" t="s">
        <v>322</v>
      </c>
      <c r="K43" s="3" t="s">
        <v>323</v>
      </c>
      <c r="L43" s="3" t="s">
        <v>322</v>
      </c>
      <c r="M43" s="3" t="s">
        <v>323</v>
      </c>
      <c r="N43" s="3" t="s">
        <v>322</v>
      </c>
      <c r="O43" s="3" t="s">
        <v>323</v>
      </c>
      <c r="P43" s="3" t="s">
        <v>322</v>
      </c>
      <c r="Q43" s="3" t="s">
        <v>323</v>
      </c>
      <c r="S43" s="3" t="str">
        <f>'PCellRGRASP vs RGRASP'!N360</f>
        <v>Ganado</v>
      </c>
      <c r="T43" s="3" t="str">
        <f>'PCellRGRASP vs RGRASP'!O360</f>
        <v>Perdido</v>
      </c>
      <c r="U43" s="3" t="str">
        <f>'PCellRGRASP vs RGRASP'!P360</f>
        <v>Ganado</v>
      </c>
      <c r="V43" s="3" t="str">
        <f>'PCellRGRASP vs RGRASP'!Q360</f>
        <v>Perdido</v>
      </c>
      <c r="W43" s="3" t="str">
        <f>'PCellRGRASP vs RGRASP'!AF360</f>
        <v>Ganado</v>
      </c>
      <c r="X43" s="3" t="str">
        <f>'PCellRGRASP vs RGRASP'!AG360</f>
        <v>Perdido</v>
      </c>
      <c r="Y43" s="3" t="str">
        <f>'PCellRGRASP vs RGRASP'!AH360</f>
        <v>Ganado</v>
      </c>
      <c r="Z43" s="3" t="str">
        <f>'PCellRGRASP vs RGRASP'!AI360</f>
        <v>Perdido</v>
      </c>
      <c r="AB43" s="15" t="str">
        <f>'Pcell est vs Pcell rand'!P360</f>
        <v>Ganado</v>
      </c>
      <c r="AC43" s="15" t="str">
        <f>'Pcell est vs Pcell rand'!Q360</f>
        <v>Perdido</v>
      </c>
      <c r="AD43" s="15" t="str">
        <f>'Pcell est vs Pcell rand'!R360</f>
        <v>Ganado</v>
      </c>
      <c r="AE43" s="15" t="str">
        <f>'Pcell est vs Pcell rand'!S360</f>
        <v>Perdido</v>
      </c>
      <c r="AF43" s="15" t="str">
        <f>'Pcell est vs Pcell rand'!AJ360</f>
        <v>Ganado</v>
      </c>
      <c r="AG43" s="15" t="str">
        <f>'Pcell est vs Pcell rand'!AK360</f>
        <v>Perdido</v>
      </c>
      <c r="AH43" s="15" t="str">
        <f>'Pcell est vs Pcell rand'!AL360</f>
        <v>Ganado</v>
      </c>
      <c r="AI43" s="15" t="str">
        <f>'Pcell est vs Pcell rand'!AM360</f>
        <v>Perdido</v>
      </c>
      <c r="AK43" s="3" t="str">
        <f>'Pcell est vs PcellRGRASP'!P360</f>
        <v>Ganado</v>
      </c>
      <c r="AL43" s="3" t="str">
        <f>'Pcell est vs PcellRGRASP'!Q360</f>
        <v>Perdido</v>
      </c>
      <c r="AM43" s="3" t="str">
        <f>'Pcell est vs PcellRGRASP'!R360</f>
        <v>Ganado</v>
      </c>
      <c r="AN43" s="3" t="str">
        <f>'Pcell est vs PcellRGRASP'!S360</f>
        <v>Perdido</v>
      </c>
      <c r="AO43" s="3" t="str">
        <f>'Pcell est vs PcellRGRASP'!AJ360</f>
        <v>Ganado</v>
      </c>
      <c r="AP43" s="3" t="str">
        <f>'Pcell est vs PcellRGRASP'!AK360</f>
        <v>Perdido</v>
      </c>
      <c r="AQ43" s="3" t="str">
        <f>'Pcell est vs PcellRGRASP'!AL360</f>
        <v>Ganado</v>
      </c>
      <c r="AR43" s="3" t="str">
        <f>'Pcell est vs PcellRGRASP'!AM360</f>
        <v>Perdido</v>
      </c>
      <c r="AT43" s="3" t="str">
        <f>'PcellRGRASP vs Pcell rand'!P360</f>
        <v>Ganado</v>
      </c>
      <c r="AU43" s="3" t="str">
        <f>'PcellRGRASP vs Pcell rand'!Q360</f>
        <v>Perdido</v>
      </c>
      <c r="AV43" s="3" t="str">
        <f>'PcellRGRASP vs Pcell rand'!R360</f>
        <v>Ganado</v>
      </c>
      <c r="AW43" s="3" t="str">
        <f>'PcellRGRASP vs Pcell rand'!S360</f>
        <v>Perdido</v>
      </c>
      <c r="AX43" s="3" t="str">
        <f>'PcellRGRASP vs Pcell rand'!AJ360</f>
        <v>Ganado</v>
      </c>
      <c r="AY43" s="3" t="str">
        <f>'PcellRGRASP vs Pcell rand'!AK360</f>
        <v>Perdido</v>
      </c>
      <c r="AZ43" s="3" t="str">
        <f>'PcellRGRASP vs Pcell rand'!AL360</f>
        <v>Ganado</v>
      </c>
      <c r="BA43" s="3" t="str">
        <f>'PcellRGRASP vs Pcell rand'!AM360</f>
        <v>Perdido</v>
      </c>
    </row>
    <row r="44" spans="1:73" x14ac:dyDescent="0.3">
      <c r="A44" s="3">
        <f>'Pcell vs GRASP est-rand'!N362</f>
        <v>20</v>
      </c>
      <c r="B44" s="3">
        <f>'Pcell vs GRASP est-rand'!O362</f>
        <v>10</v>
      </c>
      <c r="C44" s="3">
        <f>'Pcell vs GRASP est-rand'!P362</f>
        <v>10</v>
      </c>
      <c r="D44" s="3">
        <f>'Pcell vs GRASP est-rand'!Q362</f>
        <v>20</v>
      </c>
      <c r="E44" s="3">
        <f>'Pcell vs GRASP est-rand'!AF362</f>
        <v>23</v>
      </c>
      <c r="F44" s="3">
        <f>'Pcell vs GRASP est-rand'!AG362</f>
        <v>7</v>
      </c>
      <c r="G44" s="3">
        <f>'Pcell vs GRASP est-rand'!AH362</f>
        <v>8</v>
      </c>
      <c r="H44" s="3">
        <f>'Pcell vs GRASP est-rand'!AI362</f>
        <v>22</v>
      </c>
      <c r="J44" s="3">
        <v>14</v>
      </c>
      <c r="K44" s="3">
        <v>16</v>
      </c>
      <c r="L44" s="3">
        <v>17</v>
      </c>
      <c r="M44" s="3">
        <v>13</v>
      </c>
      <c r="N44" s="3">
        <v>17</v>
      </c>
      <c r="O44" s="3">
        <v>13</v>
      </c>
      <c r="P44" s="3">
        <v>15</v>
      </c>
      <c r="Q44" s="3">
        <v>15</v>
      </c>
      <c r="S44" s="3">
        <f>'PCellRGRASP vs RGRASP'!N362</f>
        <v>16</v>
      </c>
      <c r="T44" s="3">
        <f>'PCellRGRASP vs RGRASP'!O362</f>
        <v>13</v>
      </c>
      <c r="U44" s="3">
        <f>'PCellRGRASP vs RGRASP'!P362</f>
        <v>15</v>
      </c>
      <c r="V44" s="3">
        <f>'PCellRGRASP vs RGRASP'!Q362</f>
        <v>15</v>
      </c>
      <c r="W44" s="3">
        <f>'PCellRGRASP vs RGRASP'!AF362</f>
        <v>15</v>
      </c>
      <c r="X44" s="3">
        <f>'PCellRGRASP vs RGRASP'!AG362</f>
        <v>15</v>
      </c>
      <c r="Y44" s="3">
        <f>'PCellRGRASP vs RGRASP'!AH362</f>
        <v>18</v>
      </c>
      <c r="Z44" s="3">
        <f>'PCellRGRASP vs RGRASP'!AI362</f>
        <v>12</v>
      </c>
      <c r="AB44" s="15">
        <f>'Pcell est vs Pcell rand'!P362</f>
        <v>28</v>
      </c>
      <c r="AC44" s="15">
        <f>'Pcell est vs Pcell rand'!Q362</f>
        <v>2</v>
      </c>
      <c r="AD44" s="15">
        <f>'Pcell est vs Pcell rand'!R362</f>
        <v>2</v>
      </c>
      <c r="AE44" s="15">
        <f>'Pcell est vs Pcell rand'!S362</f>
        <v>28</v>
      </c>
      <c r="AF44" s="15">
        <f>'Pcell est vs Pcell rand'!AJ362</f>
        <v>25</v>
      </c>
      <c r="AG44" s="15">
        <f>'Pcell est vs Pcell rand'!AK362</f>
        <v>5</v>
      </c>
      <c r="AH44" s="15">
        <f>'Pcell est vs Pcell rand'!AL362</f>
        <v>5</v>
      </c>
      <c r="AI44" s="15">
        <f>'Pcell est vs Pcell rand'!AM362</f>
        <v>25</v>
      </c>
      <c r="AK44" s="3">
        <f>'Pcell est vs PcellRGRASP'!P362</f>
        <v>24</v>
      </c>
      <c r="AL44" s="3">
        <f>'Pcell est vs PcellRGRASP'!Q362</f>
        <v>6</v>
      </c>
      <c r="AM44" s="3">
        <f>'Pcell est vs PcellRGRASP'!R362</f>
        <v>7</v>
      </c>
      <c r="AN44" s="3">
        <f>'Pcell est vs PcellRGRASP'!S362</f>
        <v>23</v>
      </c>
      <c r="AO44" s="3">
        <f>'Pcell est vs PcellRGRASP'!AJ362</f>
        <v>28</v>
      </c>
      <c r="AP44" s="3">
        <f>'Pcell est vs PcellRGRASP'!AK362</f>
        <v>2</v>
      </c>
      <c r="AQ44" s="3">
        <f>'Pcell est vs PcellRGRASP'!AL362</f>
        <v>2</v>
      </c>
      <c r="AR44" s="3">
        <f>'Pcell est vs PcellRGRASP'!AM362</f>
        <v>28</v>
      </c>
      <c r="AT44" s="3">
        <f>'PcellRGRASP vs Pcell rand'!P362</f>
        <v>7</v>
      </c>
      <c r="AU44" s="3">
        <f>'PcellRGRASP vs Pcell rand'!Q362</f>
        <v>23</v>
      </c>
      <c r="AV44" s="3">
        <f>'PcellRGRASP vs Pcell rand'!R362</f>
        <v>23</v>
      </c>
      <c r="AW44" s="3">
        <f>'PcellRGRASP vs Pcell rand'!S362</f>
        <v>7</v>
      </c>
      <c r="AX44" s="3">
        <f>'PcellRGRASP vs Pcell rand'!AJ362</f>
        <v>5</v>
      </c>
      <c r="AY44" s="3">
        <f>'PcellRGRASP vs Pcell rand'!AK362</f>
        <v>25</v>
      </c>
      <c r="AZ44" s="3">
        <f>'PcellRGRASP vs Pcell rand'!AL362</f>
        <v>25</v>
      </c>
      <c r="BA44" s="3">
        <f>'PcellRGRASP vs Pcell rand'!AM362</f>
        <v>5</v>
      </c>
    </row>
    <row r="45" spans="1:73" x14ac:dyDescent="0.3">
      <c r="A45" s="19" t="s">
        <v>334</v>
      </c>
      <c r="B45" s="19"/>
      <c r="C45" s="19"/>
      <c r="D45" s="19"/>
      <c r="E45" s="19" t="s">
        <v>335</v>
      </c>
      <c r="F45" s="19"/>
      <c r="G45" s="19"/>
      <c r="H45" s="19"/>
      <c r="J45" s="19" t="s">
        <v>334</v>
      </c>
      <c r="K45" s="19"/>
      <c r="L45" s="19"/>
      <c r="M45" s="19"/>
      <c r="N45" s="19" t="s">
        <v>335</v>
      </c>
      <c r="O45" s="19"/>
      <c r="P45" s="19"/>
      <c r="Q45" s="19"/>
      <c r="S45" s="19" t="s">
        <v>334</v>
      </c>
      <c r="T45" s="19"/>
      <c r="U45" s="19"/>
      <c r="V45" s="19"/>
      <c r="W45" s="19" t="s">
        <v>335</v>
      </c>
      <c r="X45" s="19"/>
      <c r="Y45" s="19"/>
      <c r="Z45" s="19"/>
      <c r="AB45" s="19" t="s">
        <v>334</v>
      </c>
      <c r="AC45" s="19"/>
      <c r="AD45" s="19"/>
      <c r="AE45" s="19"/>
      <c r="AF45" s="19" t="s">
        <v>335</v>
      </c>
      <c r="AG45" s="19"/>
      <c r="AH45" s="19"/>
      <c r="AI45" s="19"/>
      <c r="AK45" s="19" t="s">
        <v>334</v>
      </c>
      <c r="AL45" s="19"/>
      <c r="AM45" s="19"/>
      <c r="AN45" s="19"/>
      <c r="AO45" s="19" t="s">
        <v>335</v>
      </c>
      <c r="AP45" s="19"/>
      <c r="AQ45" s="19"/>
      <c r="AR45" s="19"/>
      <c r="AT45" s="19" t="s">
        <v>334</v>
      </c>
      <c r="AU45" s="19"/>
      <c r="AV45" s="19"/>
      <c r="AW45" s="19"/>
      <c r="AX45" s="19" t="s">
        <v>335</v>
      </c>
      <c r="AY45" s="19"/>
      <c r="AZ45" s="19"/>
      <c r="BA45" s="19"/>
    </row>
    <row r="46" spans="1:73" x14ac:dyDescent="0.3">
      <c r="A46" s="3" t="str">
        <f>'Pcell vs GRASP est-rand'!N396</f>
        <v>Ganado</v>
      </c>
      <c r="B46" s="3" t="str">
        <f>'Pcell vs GRASP est-rand'!O396</f>
        <v>Perdido</v>
      </c>
      <c r="C46" s="3" t="str">
        <f>'Pcell vs GRASP est-rand'!P396</f>
        <v>Ganado</v>
      </c>
      <c r="D46" s="3" t="str">
        <f>'Pcell vs GRASP est-rand'!Q396</f>
        <v>Perdido</v>
      </c>
      <c r="E46" s="3" t="str">
        <f>'Pcell vs GRASP est-rand'!AF396</f>
        <v>Ganado</v>
      </c>
      <c r="F46" s="3" t="str">
        <f>'Pcell vs GRASP est-rand'!AG396</f>
        <v>Perdido</v>
      </c>
      <c r="G46" s="3" t="str">
        <f>'Pcell vs GRASP est-rand'!AH396</f>
        <v>Ganado</v>
      </c>
      <c r="H46" s="3" t="str">
        <f>'Pcell vs GRASP est-rand'!AI396</f>
        <v>Perdido</v>
      </c>
      <c r="J46" s="3" t="s">
        <v>322</v>
      </c>
      <c r="K46" s="3" t="s">
        <v>323</v>
      </c>
      <c r="L46" s="3" t="s">
        <v>322</v>
      </c>
      <c r="M46" s="3" t="s">
        <v>323</v>
      </c>
      <c r="N46" s="3" t="s">
        <v>322</v>
      </c>
      <c r="O46" s="3" t="s">
        <v>323</v>
      </c>
      <c r="P46" s="3" t="s">
        <v>322</v>
      </c>
      <c r="Q46" s="3" t="s">
        <v>323</v>
      </c>
      <c r="S46" s="3" t="str">
        <f>'PCellRGRASP vs RGRASP'!N396</f>
        <v>Ganado</v>
      </c>
      <c r="T46" s="3" t="str">
        <f>'PCellRGRASP vs RGRASP'!O396</f>
        <v>Perdido</v>
      </c>
      <c r="U46" s="3" t="str">
        <f>'PCellRGRASP vs RGRASP'!P396</f>
        <v>Ganado</v>
      </c>
      <c r="V46" s="3" t="str">
        <f>'PCellRGRASP vs RGRASP'!Q396</f>
        <v>Perdido</v>
      </c>
      <c r="W46" s="3" t="str">
        <f>'PCellRGRASP vs RGRASP'!AF396</f>
        <v>Ganado</v>
      </c>
      <c r="X46" s="3" t="str">
        <f>'PCellRGRASP vs RGRASP'!AG396</f>
        <v>Perdido</v>
      </c>
      <c r="Y46" s="3" t="str">
        <f>'PCellRGRASP vs RGRASP'!AH396</f>
        <v>Ganado</v>
      </c>
      <c r="Z46" s="3" t="str">
        <f>'PCellRGRASP vs RGRASP'!AI396</f>
        <v>Perdido</v>
      </c>
      <c r="AB46" s="15" t="str">
        <f>'Pcell est vs Pcell rand'!P396</f>
        <v>Ganado</v>
      </c>
      <c r="AC46" s="15" t="str">
        <f>'Pcell est vs Pcell rand'!Q396</f>
        <v>Perdido</v>
      </c>
      <c r="AD46" s="15" t="str">
        <f>'Pcell est vs Pcell rand'!R396</f>
        <v>Ganado</v>
      </c>
      <c r="AE46" s="15" t="str">
        <f>'Pcell est vs Pcell rand'!S396</f>
        <v>Perdido</v>
      </c>
      <c r="AF46" s="15" t="str">
        <f>'Pcell est vs Pcell rand'!AJ396</f>
        <v>Ganado</v>
      </c>
      <c r="AG46" s="15" t="str">
        <f>'Pcell est vs Pcell rand'!AK396</f>
        <v>Perdido</v>
      </c>
      <c r="AH46" s="15" t="str">
        <f>'Pcell est vs Pcell rand'!AL396</f>
        <v>Ganado</v>
      </c>
      <c r="AI46" s="15" t="str">
        <f>'Pcell est vs Pcell rand'!AM396</f>
        <v>Perdido</v>
      </c>
      <c r="AK46" s="3" t="str">
        <f>'Pcell est vs PcellRGRASP'!P396</f>
        <v>Ganado</v>
      </c>
      <c r="AL46" s="3" t="str">
        <f>'Pcell est vs PcellRGRASP'!Q396</f>
        <v>Perdido</v>
      </c>
      <c r="AM46" s="3" t="str">
        <f>'Pcell est vs PcellRGRASP'!R396</f>
        <v>Ganado</v>
      </c>
      <c r="AN46" s="3" t="str">
        <f>'Pcell est vs PcellRGRASP'!S396</f>
        <v>Perdido</v>
      </c>
      <c r="AO46" s="3" t="str">
        <f>'Pcell est vs PcellRGRASP'!AJ396</f>
        <v>Ganado</v>
      </c>
      <c r="AP46" s="3" t="str">
        <f>'Pcell est vs PcellRGRASP'!AK396</f>
        <v>Perdido</v>
      </c>
      <c r="AQ46" s="3" t="str">
        <f>'Pcell est vs PcellRGRASP'!AL396</f>
        <v>Ganado</v>
      </c>
      <c r="AR46" s="3" t="str">
        <f>'Pcell est vs PcellRGRASP'!AM396</f>
        <v>Perdido</v>
      </c>
      <c r="AT46" s="3" t="str">
        <f>'PcellRGRASP vs Pcell rand'!P396</f>
        <v>Ganado</v>
      </c>
      <c r="AU46" s="3" t="str">
        <f>'PcellRGRASP vs Pcell rand'!Q396</f>
        <v>Perdido</v>
      </c>
      <c r="AV46" s="3" t="str">
        <f>'PcellRGRASP vs Pcell rand'!R396</f>
        <v>Ganado</v>
      </c>
      <c r="AW46" s="3" t="str">
        <f>'PcellRGRASP vs Pcell rand'!S396</f>
        <v>Perdido</v>
      </c>
      <c r="AX46" s="3" t="str">
        <f>'PcellRGRASP vs Pcell rand'!AJ396</f>
        <v>Ganado</v>
      </c>
      <c r="AY46" s="3" t="str">
        <f>'PcellRGRASP vs Pcell rand'!AK396</f>
        <v>Perdido</v>
      </c>
      <c r="AZ46" s="3" t="str">
        <f>'PcellRGRASP vs Pcell rand'!AL396</f>
        <v>Ganado</v>
      </c>
      <c r="BA46" s="3" t="str">
        <f>'PcellRGRASP vs Pcell rand'!AM396</f>
        <v>Perdido</v>
      </c>
    </row>
    <row r="47" spans="1:73" x14ac:dyDescent="0.3">
      <c r="A47" s="3">
        <f>'Pcell vs GRASP est-rand'!N398</f>
        <v>17</v>
      </c>
      <c r="B47" s="3">
        <f>'Pcell vs GRASP est-rand'!O398</f>
        <v>13</v>
      </c>
      <c r="C47" s="3">
        <f>'Pcell vs GRASP est-rand'!P398</f>
        <v>13</v>
      </c>
      <c r="D47" s="3">
        <f>'Pcell vs GRASP est-rand'!Q398</f>
        <v>17</v>
      </c>
      <c r="E47" s="3">
        <f>'Pcell vs GRASP est-rand'!AF398</f>
        <v>22</v>
      </c>
      <c r="F47" s="3">
        <f>'Pcell vs GRASP est-rand'!AG398</f>
        <v>8</v>
      </c>
      <c r="G47" s="3">
        <f>'Pcell vs GRASP est-rand'!AH398</f>
        <v>8</v>
      </c>
      <c r="H47" s="3">
        <f>'Pcell vs GRASP est-rand'!AI398</f>
        <v>22</v>
      </c>
      <c r="J47" s="3">
        <v>22</v>
      </c>
      <c r="K47" s="3">
        <v>8</v>
      </c>
      <c r="L47" s="3">
        <v>10</v>
      </c>
      <c r="M47" s="3">
        <v>20</v>
      </c>
      <c r="N47" s="3">
        <v>19</v>
      </c>
      <c r="O47" s="3">
        <v>11</v>
      </c>
      <c r="P47" s="3">
        <v>14</v>
      </c>
      <c r="Q47" s="3">
        <v>16</v>
      </c>
      <c r="S47" s="3">
        <f>'PCellRGRASP vs RGRASP'!N398</f>
        <v>15</v>
      </c>
      <c r="T47" s="3">
        <f>'PCellRGRASP vs RGRASP'!O398</f>
        <v>15</v>
      </c>
      <c r="U47" s="3">
        <f>'PCellRGRASP vs RGRASP'!P398</f>
        <v>17</v>
      </c>
      <c r="V47" s="3">
        <f>'PCellRGRASP vs RGRASP'!Q398</f>
        <v>13</v>
      </c>
      <c r="W47" s="3">
        <f>'PCellRGRASP vs RGRASP'!AF398</f>
        <v>17</v>
      </c>
      <c r="X47" s="3">
        <f>'PCellRGRASP vs RGRASP'!AG398</f>
        <v>13</v>
      </c>
      <c r="Y47" s="3">
        <f>'PCellRGRASP vs RGRASP'!AH398</f>
        <v>14</v>
      </c>
      <c r="Z47" s="3">
        <f>'PCellRGRASP vs RGRASP'!AI398</f>
        <v>16</v>
      </c>
      <c r="AB47" s="15">
        <f>'Pcell est vs Pcell rand'!P398</f>
        <v>28</v>
      </c>
      <c r="AC47" s="15">
        <f>'Pcell est vs Pcell rand'!Q398</f>
        <v>2</v>
      </c>
      <c r="AD47" s="15">
        <f>'Pcell est vs Pcell rand'!R398</f>
        <v>3</v>
      </c>
      <c r="AE47" s="15">
        <f>'Pcell est vs Pcell rand'!S398</f>
        <v>27</v>
      </c>
      <c r="AF47" s="15">
        <f>'Pcell est vs Pcell rand'!AJ398</f>
        <v>26</v>
      </c>
      <c r="AG47" s="15">
        <f>'Pcell est vs Pcell rand'!AK398</f>
        <v>4</v>
      </c>
      <c r="AH47" s="15">
        <f>'Pcell est vs Pcell rand'!AL398</f>
        <v>4</v>
      </c>
      <c r="AI47" s="15">
        <f>'Pcell est vs Pcell rand'!AM398</f>
        <v>26</v>
      </c>
      <c r="AK47" s="3">
        <f>'Pcell est vs PcellRGRASP'!P398</f>
        <v>23</v>
      </c>
      <c r="AL47" s="3">
        <f>'Pcell est vs PcellRGRASP'!Q398</f>
        <v>7</v>
      </c>
      <c r="AM47" s="3">
        <f>'Pcell est vs PcellRGRASP'!R398</f>
        <v>7</v>
      </c>
      <c r="AN47" s="3">
        <f>'Pcell est vs PcellRGRASP'!S398</f>
        <v>23</v>
      </c>
      <c r="AO47" s="3">
        <f>'Pcell est vs PcellRGRASP'!AJ398</f>
        <v>26</v>
      </c>
      <c r="AP47" s="3">
        <f>'Pcell est vs PcellRGRASP'!AK398</f>
        <v>4</v>
      </c>
      <c r="AQ47" s="3">
        <f>'Pcell est vs PcellRGRASP'!AL398</f>
        <v>4</v>
      </c>
      <c r="AR47" s="3">
        <f>'Pcell est vs PcellRGRASP'!AM398</f>
        <v>26</v>
      </c>
      <c r="AT47" s="3">
        <f>'PcellRGRASP vs Pcell rand'!P398</f>
        <v>10</v>
      </c>
      <c r="AU47" s="3">
        <f>'PcellRGRASP vs Pcell rand'!Q398</f>
        <v>20</v>
      </c>
      <c r="AV47" s="3">
        <f>'PcellRGRASP vs Pcell rand'!R398</f>
        <v>20</v>
      </c>
      <c r="AW47" s="3">
        <f>'PcellRGRASP vs Pcell rand'!S398</f>
        <v>10</v>
      </c>
      <c r="AX47" s="3">
        <f>'PcellRGRASP vs Pcell rand'!AJ398</f>
        <v>7</v>
      </c>
      <c r="AY47" s="3">
        <f>'PcellRGRASP vs Pcell rand'!AK398</f>
        <v>23</v>
      </c>
      <c r="AZ47" s="3">
        <f>'PcellRGRASP vs Pcell rand'!AL398</f>
        <v>23</v>
      </c>
      <c r="BA47" s="3">
        <f>'PcellRGRASP vs Pcell rand'!AM398</f>
        <v>7</v>
      </c>
    </row>
    <row r="48" spans="1:73" x14ac:dyDescent="0.3">
      <c r="AB48" s="11"/>
      <c r="AC48" s="11"/>
      <c r="AD48" s="11"/>
      <c r="AE48" s="11"/>
      <c r="AF48" s="11"/>
      <c r="AG48" s="11"/>
      <c r="AH48" s="11"/>
      <c r="AI48" s="11"/>
    </row>
    <row r="49" spans="1:53" x14ac:dyDescent="0.3">
      <c r="A49" s="19">
        <v>35</v>
      </c>
      <c r="B49" s="19"/>
      <c r="C49" s="19"/>
      <c r="D49" s="19"/>
      <c r="E49" s="19">
        <v>35</v>
      </c>
      <c r="F49" s="19"/>
      <c r="G49" s="19"/>
      <c r="H49" s="19"/>
      <c r="J49" s="19">
        <v>35</v>
      </c>
      <c r="K49" s="19"/>
      <c r="L49" s="19"/>
      <c r="M49" s="19"/>
      <c r="N49" s="19">
        <v>35</v>
      </c>
      <c r="O49" s="19"/>
      <c r="P49" s="19"/>
      <c r="Q49" s="19"/>
      <c r="S49" s="19">
        <v>35</v>
      </c>
      <c r="T49" s="19"/>
      <c r="U49" s="19"/>
      <c r="V49" s="19"/>
      <c r="W49" s="19">
        <v>35</v>
      </c>
      <c r="X49" s="19"/>
      <c r="Y49" s="19"/>
      <c r="Z49" s="19"/>
      <c r="AB49" s="19">
        <v>35</v>
      </c>
      <c r="AC49" s="19"/>
      <c r="AD49" s="19"/>
      <c r="AE49" s="19"/>
      <c r="AF49" s="19">
        <v>35</v>
      </c>
      <c r="AG49" s="19"/>
      <c r="AH49" s="19"/>
      <c r="AI49" s="19"/>
      <c r="AK49" s="19">
        <v>35</v>
      </c>
      <c r="AL49" s="19"/>
      <c r="AM49" s="19"/>
      <c r="AN49" s="19"/>
      <c r="AO49" s="19">
        <v>35</v>
      </c>
      <c r="AP49" s="19"/>
      <c r="AQ49" s="19"/>
      <c r="AR49" s="19"/>
      <c r="AT49" s="19">
        <v>35</v>
      </c>
      <c r="AU49" s="19"/>
      <c r="AV49" s="19"/>
      <c r="AW49" s="19"/>
      <c r="AX49" s="19">
        <v>35</v>
      </c>
      <c r="AY49" s="19"/>
      <c r="AZ49" s="19"/>
      <c r="BA49" s="19"/>
    </row>
    <row r="50" spans="1:53" x14ac:dyDescent="0.3">
      <c r="A50" s="19" t="s">
        <v>328</v>
      </c>
      <c r="B50" s="19"/>
      <c r="C50" s="19" t="s">
        <v>329</v>
      </c>
      <c r="D50" s="19"/>
      <c r="E50" s="19" t="s">
        <v>328</v>
      </c>
      <c r="F50" s="19"/>
      <c r="G50" s="19" t="s">
        <v>329</v>
      </c>
      <c r="H50" s="19"/>
      <c r="J50" s="19" t="s">
        <v>336</v>
      </c>
      <c r="K50" s="19"/>
      <c r="L50" s="19" t="s">
        <v>329</v>
      </c>
      <c r="M50" s="19"/>
      <c r="N50" s="19" t="s">
        <v>336</v>
      </c>
      <c r="O50" s="19"/>
      <c r="P50" s="19" t="s">
        <v>329</v>
      </c>
      <c r="Q50" s="19"/>
      <c r="S50" s="19" t="s">
        <v>339</v>
      </c>
      <c r="T50" s="19"/>
      <c r="U50" s="19" t="s">
        <v>340</v>
      </c>
      <c r="V50" s="19"/>
      <c r="W50" s="19" t="s">
        <v>339</v>
      </c>
      <c r="X50" s="19"/>
      <c r="Y50" s="19" t="s">
        <v>340</v>
      </c>
      <c r="Z50" s="19"/>
      <c r="AB50" s="19" t="s">
        <v>328</v>
      </c>
      <c r="AC50" s="19"/>
      <c r="AD50" s="19" t="s">
        <v>336</v>
      </c>
      <c r="AE50" s="19"/>
      <c r="AF50" s="19" t="s">
        <v>328</v>
      </c>
      <c r="AG50" s="19"/>
      <c r="AH50" s="19" t="s">
        <v>336</v>
      </c>
      <c r="AI50" s="19"/>
      <c r="AK50" s="19" t="s">
        <v>328</v>
      </c>
      <c r="AL50" s="19"/>
      <c r="AM50" s="19" t="s">
        <v>337</v>
      </c>
      <c r="AN50" s="19"/>
      <c r="AO50" s="19" t="s">
        <v>328</v>
      </c>
      <c r="AP50" s="19"/>
      <c r="AQ50" s="19" t="s">
        <v>337</v>
      </c>
      <c r="AR50" s="19"/>
      <c r="AT50" s="20" t="s">
        <v>337</v>
      </c>
      <c r="AU50" s="22"/>
      <c r="AV50" s="19" t="s">
        <v>336</v>
      </c>
      <c r="AW50" s="19"/>
      <c r="AX50" s="20" t="s">
        <v>337</v>
      </c>
      <c r="AY50" s="22"/>
      <c r="AZ50" s="19" t="s">
        <v>336</v>
      </c>
      <c r="BA50" s="19"/>
    </row>
    <row r="51" spans="1:53" x14ac:dyDescent="0.3">
      <c r="A51" s="19" t="s">
        <v>330</v>
      </c>
      <c r="B51" s="19"/>
      <c r="C51" s="19"/>
      <c r="D51" s="19"/>
      <c r="E51" s="19" t="s">
        <v>331</v>
      </c>
      <c r="F51" s="19"/>
      <c r="G51" s="19"/>
      <c r="H51" s="19"/>
      <c r="J51" s="19" t="s">
        <v>330</v>
      </c>
      <c r="K51" s="19"/>
      <c r="L51" s="19"/>
      <c r="M51" s="19"/>
      <c r="N51" s="19" t="s">
        <v>331</v>
      </c>
      <c r="O51" s="19"/>
      <c r="P51" s="19"/>
      <c r="Q51" s="19"/>
      <c r="S51" s="19" t="s">
        <v>330</v>
      </c>
      <c r="T51" s="19"/>
      <c r="U51" s="19"/>
      <c r="V51" s="19"/>
      <c r="W51" s="19" t="s">
        <v>331</v>
      </c>
      <c r="X51" s="19"/>
      <c r="Y51" s="19"/>
      <c r="Z51" s="19"/>
      <c r="AB51" s="19" t="s">
        <v>330</v>
      </c>
      <c r="AC51" s="19"/>
      <c r="AD51" s="19"/>
      <c r="AE51" s="19"/>
      <c r="AF51" s="19" t="s">
        <v>331</v>
      </c>
      <c r="AG51" s="19"/>
      <c r="AH51" s="19"/>
      <c r="AI51" s="19"/>
      <c r="AK51" s="19" t="s">
        <v>330</v>
      </c>
      <c r="AL51" s="19"/>
      <c r="AM51" s="19"/>
      <c r="AN51" s="19"/>
      <c r="AO51" s="19" t="s">
        <v>331</v>
      </c>
      <c r="AP51" s="19"/>
      <c r="AQ51" s="19"/>
      <c r="AR51" s="19"/>
      <c r="AT51" s="19" t="s">
        <v>330</v>
      </c>
      <c r="AU51" s="19"/>
      <c r="AV51" s="19"/>
      <c r="AW51" s="19"/>
      <c r="AX51" s="19" t="s">
        <v>331</v>
      </c>
      <c r="AY51" s="19"/>
      <c r="AZ51" s="19"/>
      <c r="BA51" s="19"/>
    </row>
    <row r="52" spans="1:53" x14ac:dyDescent="0.3">
      <c r="A52" s="3" t="str">
        <f>'Pcell vs GRASP est-rand'!N431</f>
        <v>Ganado</v>
      </c>
      <c r="B52" s="3" t="str">
        <f>'Pcell vs GRASP est-rand'!O431</f>
        <v>Perdido</v>
      </c>
      <c r="C52" s="3" t="str">
        <f>'Pcell vs GRASP est-rand'!P431</f>
        <v>Ganado</v>
      </c>
      <c r="D52" s="3" t="str">
        <f>'Pcell vs GRASP est-rand'!Q431</f>
        <v>Perdido</v>
      </c>
      <c r="E52" s="3" t="str">
        <f>'Pcell vs GRASP est-rand'!AF431</f>
        <v>Ganado</v>
      </c>
      <c r="F52" s="3" t="str">
        <f>'Pcell vs GRASP est-rand'!AG431</f>
        <v>Perdido</v>
      </c>
      <c r="G52" s="3" t="str">
        <f>'Pcell vs GRASP est-rand'!AH431</f>
        <v>Ganado</v>
      </c>
      <c r="H52" s="3" t="str">
        <f>'Pcell vs GRASP est-rand'!AI431</f>
        <v>Perdido</v>
      </c>
      <c r="J52" s="3" t="s">
        <v>322</v>
      </c>
      <c r="K52" s="3" t="s">
        <v>323</v>
      </c>
      <c r="L52" s="3" t="s">
        <v>322</v>
      </c>
      <c r="M52" s="3" t="s">
        <v>323</v>
      </c>
      <c r="N52" s="3" t="s">
        <v>322</v>
      </c>
      <c r="O52" s="3" t="s">
        <v>323</v>
      </c>
      <c r="P52" s="3" t="s">
        <v>322</v>
      </c>
      <c r="Q52" s="3" t="s">
        <v>323</v>
      </c>
      <c r="S52" s="3" t="str">
        <f>'PCellRGRASP vs RGRASP'!N431</f>
        <v>Ganado</v>
      </c>
      <c r="T52" s="3" t="str">
        <f>'PCellRGRASP vs RGRASP'!O431</f>
        <v>Perdido</v>
      </c>
      <c r="U52" s="3" t="str">
        <f>'PCellRGRASP vs RGRASP'!P431</f>
        <v>Ganado</v>
      </c>
      <c r="V52" s="3" t="str">
        <f>'PCellRGRASP vs RGRASP'!Q431</f>
        <v>Perdido</v>
      </c>
      <c r="W52" s="3" t="str">
        <f>'PCellRGRASP vs RGRASP'!AF431</f>
        <v>Ganado</v>
      </c>
      <c r="X52" s="3" t="str">
        <f>'PCellRGRASP vs RGRASP'!AG431</f>
        <v>Perdido</v>
      </c>
      <c r="Y52" s="3" t="str">
        <f>'PCellRGRASP vs RGRASP'!AH431</f>
        <v>Ganado</v>
      </c>
      <c r="Z52" s="3" t="str">
        <f>'PCellRGRASP vs RGRASP'!AI431</f>
        <v>Perdido</v>
      </c>
      <c r="AB52" s="15" t="str">
        <f>'Pcell est vs Pcell rand'!P431</f>
        <v>Ganado</v>
      </c>
      <c r="AC52" s="15" t="str">
        <f>'Pcell est vs Pcell rand'!Q431</f>
        <v>Perdido</v>
      </c>
      <c r="AD52" s="15" t="str">
        <f>'Pcell est vs Pcell rand'!R431</f>
        <v>Ganado</v>
      </c>
      <c r="AE52" s="15" t="str">
        <f>'Pcell est vs Pcell rand'!S431</f>
        <v>Perdido</v>
      </c>
      <c r="AF52" s="15" t="str">
        <f>'Pcell est vs Pcell rand'!AJ431</f>
        <v>Ganado</v>
      </c>
      <c r="AG52" s="15" t="str">
        <f>'Pcell est vs Pcell rand'!AK431</f>
        <v>Perdido</v>
      </c>
      <c r="AH52" s="15" t="str">
        <f>'Pcell est vs Pcell rand'!AL431</f>
        <v>Ganado</v>
      </c>
      <c r="AI52" s="15" t="str">
        <f>'Pcell est vs Pcell rand'!AM431</f>
        <v>Perdido</v>
      </c>
      <c r="AK52" s="3" t="str">
        <f>'Pcell est vs PcellRGRASP'!P431</f>
        <v>Ganado</v>
      </c>
      <c r="AL52" s="3" t="str">
        <f>'Pcell est vs PcellRGRASP'!Q431</f>
        <v>Perdido</v>
      </c>
      <c r="AM52" s="3" t="str">
        <f>'Pcell est vs PcellRGRASP'!R431</f>
        <v>Ganado</v>
      </c>
      <c r="AN52" s="3" t="str">
        <f>'Pcell est vs PcellRGRASP'!S431</f>
        <v>Perdido</v>
      </c>
      <c r="AO52" s="3" t="str">
        <f>'Pcell est vs PcellRGRASP'!AJ431</f>
        <v>Ganado</v>
      </c>
      <c r="AP52" s="3" t="str">
        <f>'Pcell est vs PcellRGRASP'!AK431</f>
        <v>Perdido</v>
      </c>
      <c r="AQ52" s="3" t="str">
        <f>'Pcell est vs PcellRGRASP'!AL431</f>
        <v>Ganado</v>
      </c>
      <c r="AR52" s="3" t="str">
        <f>'Pcell est vs PcellRGRASP'!AM431</f>
        <v>Perdido</v>
      </c>
      <c r="AT52" s="3" t="str">
        <f>'PcellRGRASP vs Pcell rand'!P431</f>
        <v>Ganado</v>
      </c>
      <c r="AU52" s="3" t="str">
        <f>'PcellRGRASP vs Pcell rand'!Q431</f>
        <v>Perdido</v>
      </c>
      <c r="AV52" s="3" t="str">
        <f>'PcellRGRASP vs Pcell rand'!R431</f>
        <v>Ganado</v>
      </c>
      <c r="AW52" s="3" t="str">
        <f>'PcellRGRASP vs Pcell rand'!S431</f>
        <v>Perdido</v>
      </c>
      <c r="AX52" s="3" t="str">
        <f>'PcellRGRASP vs Pcell rand'!AJ431</f>
        <v>Ganado</v>
      </c>
      <c r="AY52" s="3" t="str">
        <f>'PcellRGRASP vs Pcell rand'!AK431</f>
        <v>Perdido</v>
      </c>
      <c r="AZ52" s="3" t="str">
        <f>'PcellRGRASP vs Pcell rand'!AL431</f>
        <v>Ganado</v>
      </c>
      <c r="BA52" s="3" t="str">
        <f>'PcellRGRASP vs Pcell rand'!AM431</f>
        <v>Perdido</v>
      </c>
    </row>
    <row r="53" spans="1:53" x14ac:dyDescent="0.3">
      <c r="A53" s="3">
        <f>'Pcell vs GRASP est-rand'!N433</f>
        <v>19</v>
      </c>
      <c r="B53" s="3">
        <f>'Pcell vs GRASP est-rand'!O433</f>
        <v>11</v>
      </c>
      <c r="C53" s="3">
        <f>'Pcell vs GRASP est-rand'!P433</f>
        <v>11</v>
      </c>
      <c r="D53" s="3">
        <f>'Pcell vs GRASP est-rand'!Q433</f>
        <v>19</v>
      </c>
      <c r="E53" s="3">
        <f>'Pcell vs GRASP est-rand'!AF433</f>
        <v>21</v>
      </c>
      <c r="F53" s="3">
        <f>'Pcell vs GRASP est-rand'!AG433</f>
        <v>9</v>
      </c>
      <c r="G53" s="3">
        <f>'Pcell vs GRASP est-rand'!AH433</f>
        <v>9</v>
      </c>
      <c r="H53" s="3">
        <f>'Pcell vs GRASP est-rand'!AI433</f>
        <v>21</v>
      </c>
      <c r="J53" s="3">
        <v>19</v>
      </c>
      <c r="K53" s="3">
        <v>11</v>
      </c>
      <c r="L53" s="3">
        <v>13</v>
      </c>
      <c r="M53" s="3">
        <v>17</v>
      </c>
      <c r="N53" s="3">
        <v>17</v>
      </c>
      <c r="O53" s="3">
        <v>13</v>
      </c>
      <c r="P53" s="3">
        <v>13</v>
      </c>
      <c r="Q53" s="3">
        <v>17</v>
      </c>
      <c r="S53" s="3">
        <f>'PCellRGRASP vs RGRASP'!N433</f>
        <v>15</v>
      </c>
      <c r="T53" s="3">
        <f>'PCellRGRASP vs RGRASP'!O433</f>
        <v>15</v>
      </c>
      <c r="U53" s="3">
        <f>'PCellRGRASP vs RGRASP'!P433</f>
        <v>16</v>
      </c>
      <c r="V53" s="3">
        <f>'PCellRGRASP vs RGRASP'!Q433</f>
        <v>14</v>
      </c>
      <c r="W53" s="3">
        <f>'PCellRGRASP vs RGRASP'!AF433</f>
        <v>14</v>
      </c>
      <c r="X53" s="3">
        <f>'PCellRGRASP vs RGRASP'!AG433</f>
        <v>16</v>
      </c>
      <c r="Y53" s="3">
        <f>'PCellRGRASP vs RGRASP'!AH433</f>
        <v>18</v>
      </c>
      <c r="Z53" s="3">
        <f>'PCellRGRASP vs RGRASP'!AI433</f>
        <v>12</v>
      </c>
      <c r="AB53" s="15">
        <f>'Pcell est vs Pcell rand'!P433</f>
        <v>26</v>
      </c>
      <c r="AC53" s="15">
        <f>'Pcell est vs Pcell rand'!Q433</f>
        <v>4</v>
      </c>
      <c r="AD53" s="15">
        <f>'Pcell est vs Pcell rand'!R433</f>
        <v>5</v>
      </c>
      <c r="AE53" s="15">
        <f>'Pcell est vs Pcell rand'!S433</f>
        <v>25</v>
      </c>
      <c r="AF53" s="15">
        <f>'Pcell est vs Pcell rand'!AJ433</f>
        <v>29</v>
      </c>
      <c r="AG53" s="15">
        <f>'Pcell est vs Pcell rand'!AK433</f>
        <v>1</v>
      </c>
      <c r="AH53" s="15">
        <f>'Pcell est vs Pcell rand'!AL433</f>
        <v>1</v>
      </c>
      <c r="AI53" s="15">
        <f>'Pcell est vs Pcell rand'!AM433</f>
        <v>29</v>
      </c>
      <c r="AK53" s="3">
        <f>'Pcell est vs PcellRGRASP'!P433</f>
        <v>24</v>
      </c>
      <c r="AL53" s="3">
        <f>'Pcell est vs PcellRGRASP'!Q433</f>
        <v>6</v>
      </c>
      <c r="AM53" s="3">
        <f>'Pcell est vs PcellRGRASP'!R433</f>
        <v>6</v>
      </c>
      <c r="AN53" s="3">
        <f>'Pcell est vs PcellRGRASP'!S433</f>
        <v>24</v>
      </c>
      <c r="AO53" s="3">
        <f>'Pcell est vs PcellRGRASP'!AJ433</f>
        <v>23</v>
      </c>
      <c r="AP53" s="3">
        <f>'Pcell est vs PcellRGRASP'!AK433</f>
        <v>7</v>
      </c>
      <c r="AQ53" s="3">
        <f>'Pcell est vs PcellRGRASP'!AL433</f>
        <v>7</v>
      </c>
      <c r="AR53" s="3">
        <f>'Pcell est vs PcellRGRASP'!AM433</f>
        <v>23</v>
      </c>
      <c r="AT53" s="3">
        <f>'PcellRGRASP vs Pcell rand'!P433</f>
        <v>7</v>
      </c>
      <c r="AU53" s="3">
        <f>'PcellRGRASP vs Pcell rand'!Q433</f>
        <v>23</v>
      </c>
      <c r="AV53" s="3">
        <f>'PcellRGRASP vs Pcell rand'!R433</f>
        <v>23</v>
      </c>
      <c r="AW53" s="3">
        <f>'PcellRGRASP vs Pcell rand'!S433</f>
        <v>7</v>
      </c>
      <c r="AX53" s="3">
        <f>'PcellRGRASP vs Pcell rand'!AJ433</f>
        <v>8</v>
      </c>
      <c r="AY53" s="3">
        <f>'PcellRGRASP vs Pcell rand'!AK433</f>
        <v>22</v>
      </c>
      <c r="AZ53" s="3">
        <f>'PcellRGRASP vs Pcell rand'!AL433</f>
        <v>22</v>
      </c>
      <c r="BA53" s="3">
        <f>'PcellRGRASP vs Pcell rand'!AM433</f>
        <v>8</v>
      </c>
    </row>
    <row r="54" spans="1:53" x14ac:dyDescent="0.3">
      <c r="A54" s="19" t="s">
        <v>332</v>
      </c>
      <c r="B54" s="19"/>
      <c r="C54" s="19"/>
      <c r="D54" s="19"/>
      <c r="E54" s="19" t="s">
        <v>333</v>
      </c>
      <c r="F54" s="19"/>
      <c r="G54" s="19"/>
      <c r="H54" s="19"/>
      <c r="J54" s="19" t="s">
        <v>332</v>
      </c>
      <c r="K54" s="19"/>
      <c r="L54" s="19"/>
      <c r="M54" s="19"/>
      <c r="N54" s="19" t="s">
        <v>333</v>
      </c>
      <c r="O54" s="19"/>
      <c r="P54" s="19"/>
      <c r="Q54" s="19"/>
      <c r="S54" s="19" t="s">
        <v>332</v>
      </c>
      <c r="T54" s="19"/>
      <c r="U54" s="19"/>
      <c r="V54" s="19"/>
      <c r="W54" s="19" t="s">
        <v>333</v>
      </c>
      <c r="X54" s="19"/>
      <c r="Y54" s="19"/>
      <c r="Z54" s="19"/>
      <c r="AB54" s="19" t="s">
        <v>332</v>
      </c>
      <c r="AC54" s="19"/>
      <c r="AD54" s="19"/>
      <c r="AE54" s="19"/>
      <c r="AF54" s="19" t="s">
        <v>333</v>
      </c>
      <c r="AG54" s="19"/>
      <c r="AH54" s="19"/>
      <c r="AI54" s="19"/>
      <c r="AK54" s="19" t="s">
        <v>332</v>
      </c>
      <c r="AL54" s="19"/>
      <c r="AM54" s="19"/>
      <c r="AN54" s="19"/>
      <c r="AO54" s="19" t="s">
        <v>333</v>
      </c>
      <c r="AP54" s="19"/>
      <c r="AQ54" s="19"/>
      <c r="AR54" s="19"/>
      <c r="AT54" s="19" t="s">
        <v>332</v>
      </c>
      <c r="AU54" s="19"/>
      <c r="AV54" s="19"/>
      <c r="AW54" s="19"/>
      <c r="AX54" s="19" t="s">
        <v>333</v>
      </c>
      <c r="AY54" s="19"/>
      <c r="AZ54" s="19"/>
      <c r="BA54" s="19"/>
    </row>
    <row r="55" spans="1:53" x14ac:dyDescent="0.3">
      <c r="A55" s="3" t="str">
        <f>'Pcell vs GRASP est-rand'!N467</f>
        <v>Ganado</v>
      </c>
      <c r="B55" s="3" t="str">
        <f>'Pcell vs GRASP est-rand'!O467</f>
        <v>Perdido</v>
      </c>
      <c r="C55" s="3" t="str">
        <f>'Pcell vs GRASP est-rand'!P467</f>
        <v>Ganado</v>
      </c>
      <c r="D55" s="3" t="str">
        <f>'Pcell vs GRASP est-rand'!Q467</f>
        <v>Perdido</v>
      </c>
      <c r="E55" s="3" t="str">
        <f>'Pcell vs GRASP est-rand'!AF467</f>
        <v>Ganado</v>
      </c>
      <c r="F55" s="3" t="str">
        <f>'Pcell vs GRASP est-rand'!AG467</f>
        <v>Perdido</v>
      </c>
      <c r="G55" s="3" t="str">
        <f>'Pcell vs GRASP est-rand'!AH467</f>
        <v>Ganado</v>
      </c>
      <c r="H55" s="3" t="str">
        <f>'Pcell vs GRASP est-rand'!AI467</f>
        <v>Perdido</v>
      </c>
      <c r="J55" s="3" t="s">
        <v>322</v>
      </c>
      <c r="K55" s="3" t="s">
        <v>323</v>
      </c>
      <c r="L55" s="3" t="s">
        <v>322</v>
      </c>
      <c r="M55" s="3" t="s">
        <v>323</v>
      </c>
      <c r="N55" s="3" t="s">
        <v>322</v>
      </c>
      <c r="O55" s="3" t="s">
        <v>323</v>
      </c>
      <c r="P55" s="3" t="s">
        <v>322</v>
      </c>
      <c r="Q55" s="3" t="s">
        <v>323</v>
      </c>
      <c r="S55" s="3" t="str">
        <f>'PCellRGRASP vs RGRASP'!N467</f>
        <v>Ganado</v>
      </c>
      <c r="T55" s="3" t="str">
        <f>'PCellRGRASP vs RGRASP'!O467</f>
        <v>Perdido</v>
      </c>
      <c r="U55" s="3" t="str">
        <f>'PCellRGRASP vs RGRASP'!P467</f>
        <v>Ganado</v>
      </c>
      <c r="V55" s="3" t="str">
        <f>'PCellRGRASP vs RGRASP'!Q467</f>
        <v>Perdido</v>
      </c>
      <c r="W55" s="3" t="str">
        <f>'PCellRGRASP vs RGRASP'!AF467</f>
        <v>Ganado</v>
      </c>
      <c r="X55" s="3" t="str">
        <f>'PCellRGRASP vs RGRASP'!AG467</f>
        <v>Perdido</v>
      </c>
      <c r="Y55" s="3" t="str">
        <f>'PCellRGRASP vs RGRASP'!AH467</f>
        <v>Ganado</v>
      </c>
      <c r="Z55" s="3" t="str">
        <f>'PCellRGRASP vs RGRASP'!AI467</f>
        <v>Perdido</v>
      </c>
      <c r="AB55" s="15" t="str">
        <f>'Pcell est vs Pcell rand'!P467</f>
        <v>Ganado</v>
      </c>
      <c r="AC55" s="15" t="str">
        <f>'Pcell est vs Pcell rand'!Q467</f>
        <v>Perdido</v>
      </c>
      <c r="AD55" s="15" t="str">
        <f>'Pcell est vs Pcell rand'!R467</f>
        <v>Ganado</v>
      </c>
      <c r="AE55" s="15" t="str">
        <f>'Pcell est vs Pcell rand'!S467</f>
        <v>Perdido</v>
      </c>
      <c r="AF55" s="15" t="str">
        <f>'Pcell est vs Pcell rand'!AJ467</f>
        <v>Ganado</v>
      </c>
      <c r="AG55" s="15" t="str">
        <f>'Pcell est vs Pcell rand'!AK467</f>
        <v>Perdido</v>
      </c>
      <c r="AH55" s="15" t="str">
        <f>'Pcell est vs Pcell rand'!AL467</f>
        <v>Ganado</v>
      </c>
      <c r="AI55" s="15" t="str">
        <f>'Pcell est vs Pcell rand'!AM467</f>
        <v>Perdido</v>
      </c>
      <c r="AK55" s="3" t="str">
        <f>'Pcell est vs PcellRGRASP'!P467</f>
        <v>Ganado</v>
      </c>
      <c r="AL55" s="3" t="str">
        <f>'Pcell est vs PcellRGRASP'!Q467</f>
        <v>Perdido</v>
      </c>
      <c r="AM55" s="3" t="str">
        <f>'Pcell est vs PcellRGRASP'!R467</f>
        <v>Ganado</v>
      </c>
      <c r="AN55" s="3" t="str">
        <f>'Pcell est vs PcellRGRASP'!S467</f>
        <v>Perdido</v>
      </c>
      <c r="AO55" s="3" t="str">
        <f>'Pcell est vs PcellRGRASP'!AJ467</f>
        <v>Ganado</v>
      </c>
      <c r="AP55" s="3" t="str">
        <f>'Pcell est vs PcellRGRASP'!AK467</f>
        <v>Perdido</v>
      </c>
      <c r="AQ55" s="3" t="str">
        <f>'Pcell est vs PcellRGRASP'!AL467</f>
        <v>Ganado</v>
      </c>
      <c r="AR55" s="3" t="str">
        <f>'Pcell est vs PcellRGRASP'!AM467</f>
        <v>Perdido</v>
      </c>
      <c r="AT55" s="3" t="str">
        <f>'PcellRGRASP vs Pcell rand'!P467</f>
        <v>Ganado</v>
      </c>
      <c r="AU55" s="3" t="str">
        <f>'PcellRGRASP vs Pcell rand'!Q467</f>
        <v>Perdido</v>
      </c>
      <c r="AV55" s="3" t="str">
        <f>'PcellRGRASP vs Pcell rand'!R467</f>
        <v>Ganado</v>
      </c>
      <c r="AW55" s="3" t="str">
        <f>'PcellRGRASP vs Pcell rand'!S467</f>
        <v>Perdido</v>
      </c>
      <c r="AX55" s="3" t="str">
        <f>'PcellRGRASP vs Pcell rand'!AJ467</f>
        <v>Ganado</v>
      </c>
      <c r="AY55" s="3" t="str">
        <f>'PcellRGRASP vs Pcell rand'!AK467</f>
        <v>Perdido</v>
      </c>
      <c r="AZ55" s="3" t="str">
        <f>'PcellRGRASP vs Pcell rand'!AL467</f>
        <v>Ganado</v>
      </c>
      <c r="BA55" s="3" t="str">
        <f>'PcellRGRASP vs Pcell rand'!AM467</f>
        <v>Perdido</v>
      </c>
    </row>
    <row r="56" spans="1:53" x14ac:dyDescent="0.3">
      <c r="A56" s="3">
        <f>'Pcell vs GRASP est-rand'!N469</f>
        <v>20</v>
      </c>
      <c r="B56" s="3">
        <f>'Pcell vs GRASP est-rand'!O469</f>
        <v>10</v>
      </c>
      <c r="C56" s="3">
        <f>'Pcell vs GRASP est-rand'!P469</f>
        <v>10</v>
      </c>
      <c r="D56" s="3">
        <f>'Pcell vs GRASP est-rand'!Q469</f>
        <v>20</v>
      </c>
      <c r="E56" s="3">
        <f>'Pcell vs GRASP est-rand'!AF469</f>
        <v>19</v>
      </c>
      <c r="F56" s="3">
        <f>'Pcell vs GRASP est-rand'!AG469</f>
        <v>11</v>
      </c>
      <c r="G56" s="3">
        <f>'Pcell vs GRASP est-rand'!AH469</f>
        <v>11</v>
      </c>
      <c r="H56" s="3">
        <f>'Pcell vs GRASP est-rand'!AI469</f>
        <v>19</v>
      </c>
      <c r="J56" s="3">
        <v>15</v>
      </c>
      <c r="K56" s="3">
        <v>15</v>
      </c>
      <c r="L56" s="3">
        <v>17</v>
      </c>
      <c r="M56" s="3">
        <v>13</v>
      </c>
      <c r="N56" s="3">
        <v>17</v>
      </c>
      <c r="O56" s="3">
        <v>13</v>
      </c>
      <c r="P56" s="3">
        <v>13</v>
      </c>
      <c r="Q56" s="3">
        <v>17</v>
      </c>
      <c r="S56" s="3">
        <f>'PCellRGRASP vs RGRASP'!N469</f>
        <v>16</v>
      </c>
      <c r="T56" s="3">
        <f>'PCellRGRASP vs RGRASP'!O469</f>
        <v>14</v>
      </c>
      <c r="U56" s="3">
        <f>'PCellRGRASP vs RGRASP'!P469</f>
        <v>15</v>
      </c>
      <c r="V56" s="3">
        <f>'PCellRGRASP vs RGRASP'!Q469</f>
        <v>15</v>
      </c>
      <c r="W56" s="3">
        <f>'PCellRGRASP vs RGRASP'!AF469</f>
        <v>15</v>
      </c>
      <c r="X56" s="3">
        <f>'PCellRGRASP vs RGRASP'!AG469</f>
        <v>15</v>
      </c>
      <c r="Y56" s="3">
        <f>'PCellRGRASP vs RGRASP'!AH469</f>
        <v>15</v>
      </c>
      <c r="Z56" s="3">
        <f>'PCellRGRASP vs RGRASP'!AI469</f>
        <v>15</v>
      </c>
      <c r="AB56" s="15">
        <f>'Pcell est vs Pcell rand'!P469</f>
        <v>30</v>
      </c>
      <c r="AC56" s="15">
        <f>'Pcell est vs Pcell rand'!Q469</f>
        <v>0</v>
      </c>
      <c r="AD56" s="15">
        <f>'Pcell est vs Pcell rand'!R469</f>
        <v>1</v>
      </c>
      <c r="AE56" s="15">
        <f>'Pcell est vs Pcell rand'!S469</f>
        <v>29</v>
      </c>
      <c r="AF56" s="15">
        <f>'Pcell est vs Pcell rand'!AJ469</f>
        <v>28</v>
      </c>
      <c r="AG56" s="15">
        <f>'Pcell est vs Pcell rand'!AK469</f>
        <v>2</v>
      </c>
      <c r="AH56" s="15">
        <f>'Pcell est vs Pcell rand'!AL469</f>
        <v>2</v>
      </c>
      <c r="AI56" s="15">
        <f>'Pcell est vs Pcell rand'!AM469</f>
        <v>28</v>
      </c>
      <c r="AK56" s="3">
        <f>'Pcell est vs PcellRGRASP'!P469</f>
        <v>21</v>
      </c>
      <c r="AL56" s="3">
        <f>'Pcell est vs PcellRGRASP'!Q469</f>
        <v>9</v>
      </c>
      <c r="AM56" s="3">
        <f>'Pcell est vs PcellRGRASP'!R469</f>
        <v>9</v>
      </c>
      <c r="AN56" s="3">
        <f>'Pcell est vs PcellRGRASP'!S469</f>
        <v>21</v>
      </c>
      <c r="AO56" s="3">
        <f>'Pcell est vs PcellRGRASP'!AJ469</f>
        <v>21</v>
      </c>
      <c r="AP56" s="3">
        <f>'Pcell est vs PcellRGRASP'!AK469</f>
        <v>9</v>
      </c>
      <c r="AQ56" s="3">
        <f>'Pcell est vs PcellRGRASP'!AL469</f>
        <v>9</v>
      </c>
      <c r="AR56" s="3">
        <f>'Pcell est vs PcellRGRASP'!AM469</f>
        <v>21</v>
      </c>
      <c r="AT56" s="3">
        <f>'PcellRGRASP vs Pcell rand'!P469</f>
        <v>10</v>
      </c>
      <c r="AU56" s="3">
        <f>'PcellRGRASP vs Pcell rand'!Q469</f>
        <v>20</v>
      </c>
      <c r="AV56" s="3">
        <f>'PcellRGRASP vs Pcell rand'!R469</f>
        <v>20</v>
      </c>
      <c r="AW56" s="3">
        <f>'PcellRGRASP vs Pcell rand'!S469</f>
        <v>10</v>
      </c>
      <c r="AX56" s="3">
        <f>'PcellRGRASP vs Pcell rand'!AJ469</f>
        <v>8</v>
      </c>
      <c r="AY56" s="3">
        <f>'PcellRGRASP vs Pcell rand'!AK469</f>
        <v>22</v>
      </c>
      <c r="AZ56" s="3">
        <f>'PcellRGRASP vs Pcell rand'!AL469</f>
        <v>22</v>
      </c>
      <c r="BA56" s="3">
        <f>'PcellRGRASP vs Pcell rand'!AM469</f>
        <v>8</v>
      </c>
    </row>
    <row r="57" spans="1:53" x14ac:dyDescent="0.3">
      <c r="A57" s="19" t="s">
        <v>334</v>
      </c>
      <c r="B57" s="19"/>
      <c r="C57" s="19"/>
      <c r="D57" s="19"/>
      <c r="E57" s="19" t="s">
        <v>335</v>
      </c>
      <c r="F57" s="19"/>
      <c r="G57" s="19"/>
      <c r="H57" s="19"/>
      <c r="J57" s="19" t="s">
        <v>334</v>
      </c>
      <c r="K57" s="19"/>
      <c r="L57" s="19"/>
      <c r="M57" s="19"/>
      <c r="N57" s="19" t="s">
        <v>335</v>
      </c>
      <c r="O57" s="19"/>
      <c r="P57" s="19"/>
      <c r="Q57" s="19"/>
      <c r="S57" s="19" t="s">
        <v>334</v>
      </c>
      <c r="T57" s="19"/>
      <c r="U57" s="19"/>
      <c r="V57" s="19"/>
      <c r="W57" s="19" t="s">
        <v>335</v>
      </c>
      <c r="X57" s="19"/>
      <c r="Y57" s="19"/>
      <c r="Z57" s="19"/>
      <c r="AB57" s="19" t="s">
        <v>334</v>
      </c>
      <c r="AC57" s="19"/>
      <c r="AD57" s="19"/>
      <c r="AE57" s="19"/>
      <c r="AF57" s="19" t="s">
        <v>335</v>
      </c>
      <c r="AG57" s="19"/>
      <c r="AH57" s="19"/>
      <c r="AI57" s="19"/>
      <c r="AK57" s="19" t="s">
        <v>334</v>
      </c>
      <c r="AL57" s="19"/>
      <c r="AM57" s="19"/>
      <c r="AN57" s="19"/>
      <c r="AO57" s="19" t="s">
        <v>335</v>
      </c>
      <c r="AP57" s="19"/>
      <c r="AQ57" s="19"/>
      <c r="AR57" s="19"/>
      <c r="AT57" s="19" t="s">
        <v>334</v>
      </c>
      <c r="AU57" s="19"/>
      <c r="AV57" s="19"/>
      <c r="AW57" s="19"/>
      <c r="AX57" s="19" t="s">
        <v>335</v>
      </c>
      <c r="AY57" s="19"/>
      <c r="AZ57" s="19"/>
      <c r="BA57" s="19"/>
    </row>
    <row r="58" spans="1:53" x14ac:dyDescent="0.3">
      <c r="A58" s="3" t="str">
        <f>'Pcell vs GRASP est-rand'!N503</f>
        <v>Ganado</v>
      </c>
      <c r="B58" s="3" t="str">
        <f>'Pcell vs GRASP est-rand'!O503</f>
        <v>Perdido</v>
      </c>
      <c r="C58" s="3" t="str">
        <f>'Pcell vs GRASP est-rand'!P503</f>
        <v>Ganado</v>
      </c>
      <c r="D58" s="3" t="str">
        <f>'Pcell vs GRASP est-rand'!Q503</f>
        <v>Perdido</v>
      </c>
      <c r="E58" s="3" t="str">
        <f>'Pcell vs GRASP est-rand'!AF503</f>
        <v>Ganado</v>
      </c>
      <c r="F58" s="3" t="str">
        <f>'Pcell vs GRASP est-rand'!AG503</f>
        <v>Perdido</v>
      </c>
      <c r="G58" s="3" t="str">
        <f>'Pcell vs GRASP est-rand'!AH503</f>
        <v>Ganado</v>
      </c>
      <c r="H58" s="3" t="str">
        <f>'Pcell vs GRASP est-rand'!AI503</f>
        <v>Perdido</v>
      </c>
      <c r="J58" s="3" t="s">
        <v>322</v>
      </c>
      <c r="K58" s="3" t="s">
        <v>323</v>
      </c>
      <c r="L58" s="3" t="s">
        <v>322</v>
      </c>
      <c r="M58" s="3" t="s">
        <v>323</v>
      </c>
      <c r="N58" s="3" t="s">
        <v>322</v>
      </c>
      <c r="O58" s="3" t="s">
        <v>323</v>
      </c>
      <c r="P58" s="3" t="s">
        <v>322</v>
      </c>
      <c r="Q58" s="3" t="s">
        <v>323</v>
      </c>
      <c r="S58" s="3" t="str">
        <f>'PCellRGRASP vs RGRASP'!N503</f>
        <v>Ganado</v>
      </c>
      <c r="T58" s="3" t="str">
        <f>'PCellRGRASP vs RGRASP'!O503</f>
        <v>Perdido</v>
      </c>
      <c r="U58" s="3" t="str">
        <f>'PCellRGRASP vs RGRASP'!P503</f>
        <v>Ganado</v>
      </c>
      <c r="V58" s="3" t="str">
        <f>'PCellRGRASP vs RGRASP'!Q503</f>
        <v>Perdido</v>
      </c>
      <c r="W58" s="3" t="str">
        <f>'PCellRGRASP vs RGRASP'!AF503</f>
        <v>Ganado</v>
      </c>
      <c r="X58" s="3" t="str">
        <f>'PCellRGRASP vs RGRASP'!AG503</f>
        <v>Perdido</v>
      </c>
      <c r="Y58" s="3" t="str">
        <f>'PCellRGRASP vs RGRASP'!AH503</f>
        <v>Ganado</v>
      </c>
      <c r="Z58" s="3" t="str">
        <f>'PCellRGRASP vs RGRASP'!AI503</f>
        <v>Perdido</v>
      </c>
      <c r="AB58" s="15" t="str">
        <f>'Pcell est vs Pcell rand'!P503</f>
        <v>Ganado</v>
      </c>
      <c r="AC58" s="15" t="str">
        <f>'Pcell est vs Pcell rand'!Q503</f>
        <v>Perdido</v>
      </c>
      <c r="AD58" s="15" t="str">
        <f>'Pcell est vs Pcell rand'!R503</f>
        <v>Ganado</v>
      </c>
      <c r="AE58" s="15" t="str">
        <f>'Pcell est vs Pcell rand'!S503</f>
        <v>Perdido</v>
      </c>
      <c r="AF58" s="15" t="str">
        <f>'Pcell est vs Pcell rand'!AJ503</f>
        <v>Ganado</v>
      </c>
      <c r="AG58" s="15" t="str">
        <f>'Pcell est vs Pcell rand'!AK503</f>
        <v>Perdido</v>
      </c>
      <c r="AH58" s="15" t="str">
        <f>'Pcell est vs Pcell rand'!AL503</f>
        <v>Ganado</v>
      </c>
      <c r="AI58" s="15" t="str">
        <f>'Pcell est vs Pcell rand'!AM503</f>
        <v>Perdido</v>
      </c>
      <c r="AK58" s="3" t="str">
        <f>'Pcell est vs PcellRGRASP'!P503</f>
        <v>Ganado</v>
      </c>
      <c r="AL58" s="3" t="str">
        <f>'Pcell est vs PcellRGRASP'!Q503</f>
        <v>Perdido</v>
      </c>
      <c r="AM58" s="3" t="str">
        <f>'Pcell est vs PcellRGRASP'!R503</f>
        <v>Ganado</v>
      </c>
      <c r="AN58" s="3" t="str">
        <f>'Pcell est vs PcellRGRASP'!S503</f>
        <v>Perdido</v>
      </c>
      <c r="AO58" s="3" t="str">
        <f>'Pcell est vs PcellRGRASP'!AJ503</f>
        <v>Ganado</v>
      </c>
      <c r="AP58" s="3" t="str">
        <f>'Pcell est vs PcellRGRASP'!AK503</f>
        <v>Perdido</v>
      </c>
      <c r="AQ58" s="3" t="str">
        <f>'Pcell est vs PcellRGRASP'!AL503</f>
        <v>Ganado</v>
      </c>
      <c r="AR58" s="3" t="str">
        <f>'Pcell est vs PcellRGRASP'!AM503</f>
        <v>Perdido</v>
      </c>
      <c r="AT58" s="3" t="str">
        <f>'PcellRGRASP vs Pcell rand'!P503</f>
        <v>Ganado</v>
      </c>
      <c r="AU58" s="3" t="str">
        <f>'PcellRGRASP vs Pcell rand'!Q503</f>
        <v>Perdido</v>
      </c>
      <c r="AV58" s="3" t="str">
        <f>'PcellRGRASP vs Pcell rand'!R503</f>
        <v>Ganado</v>
      </c>
      <c r="AW58" s="3" t="str">
        <f>'PcellRGRASP vs Pcell rand'!S503</f>
        <v>Perdido</v>
      </c>
      <c r="AX58" s="3" t="str">
        <f>'PcellRGRASP vs Pcell rand'!AJ503</f>
        <v>Ganado</v>
      </c>
      <c r="AY58" s="3" t="str">
        <f>'PcellRGRASP vs Pcell rand'!AK503</f>
        <v>Perdido</v>
      </c>
      <c r="AZ58" s="3" t="str">
        <f>'PcellRGRASP vs Pcell rand'!AL503</f>
        <v>Ganado</v>
      </c>
      <c r="BA58" s="3" t="str">
        <f>'PcellRGRASP vs Pcell rand'!AM503</f>
        <v>Perdido</v>
      </c>
    </row>
    <row r="59" spans="1:53" x14ac:dyDescent="0.3">
      <c r="A59" s="3">
        <f>'Pcell vs GRASP est-rand'!N505</f>
        <v>19</v>
      </c>
      <c r="B59" s="3">
        <f>'Pcell vs GRASP est-rand'!O505</f>
        <v>11</v>
      </c>
      <c r="C59" s="3">
        <f>'Pcell vs GRASP est-rand'!P505</f>
        <v>12</v>
      </c>
      <c r="D59" s="3">
        <f>'Pcell vs GRASP est-rand'!Q505</f>
        <v>18</v>
      </c>
      <c r="E59" s="3">
        <f>'Pcell vs GRASP est-rand'!AF505</f>
        <v>20</v>
      </c>
      <c r="F59" s="3">
        <f>'Pcell vs GRASP est-rand'!AG505</f>
        <v>10</v>
      </c>
      <c r="G59" s="3">
        <f>'Pcell vs GRASP est-rand'!AH505</f>
        <v>10</v>
      </c>
      <c r="H59" s="3">
        <f>'Pcell vs GRASP est-rand'!AI505</f>
        <v>20</v>
      </c>
      <c r="J59" s="3">
        <v>17</v>
      </c>
      <c r="K59" s="3">
        <v>13</v>
      </c>
      <c r="L59" s="3">
        <v>14</v>
      </c>
      <c r="M59" s="3">
        <v>16</v>
      </c>
      <c r="N59" s="3">
        <v>13</v>
      </c>
      <c r="O59" s="3">
        <v>17</v>
      </c>
      <c r="P59" s="3">
        <v>18</v>
      </c>
      <c r="Q59" s="3">
        <v>12</v>
      </c>
      <c r="S59" s="3">
        <f>'PCellRGRASP vs RGRASP'!N505</f>
        <v>16</v>
      </c>
      <c r="T59" s="3">
        <f>'PCellRGRASP vs RGRASP'!O505</f>
        <v>14</v>
      </c>
      <c r="U59" s="3">
        <f>'PCellRGRASP vs RGRASP'!P505</f>
        <v>17</v>
      </c>
      <c r="V59" s="3">
        <f>'PCellRGRASP vs RGRASP'!Q505</f>
        <v>13</v>
      </c>
      <c r="W59" s="3">
        <f>'PCellRGRASP vs RGRASP'!AF505</f>
        <v>16</v>
      </c>
      <c r="X59" s="3">
        <f>'PCellRGRASP vs RGRASP'!AG505</f>
        <v>14</v>
      </c>
      <c r="Y59" s="3">
        <f>'PCellRGRASP vs RGRASP'!AH505</f>
        <v>15</v>
      </c>
      <c r="Z59" s="3">
        <f>'PCellRGRASP vs RGRASP'!AI505</f>
        <v>15</v>
      </c>
      <c r="AB59" s="15">
        <f>'Pcell est vs Pcell rand'!P505</f>
        <v>29</v>
      </c>
      <c r="AC59" s="15">
        <f>'Pcell est vs Pcell rand'!Q505</f>
        <v>1</v>
      </c>
      <c r="AD59" s="15">
        <f>'Pcell est vs Pcell rand'!R505</f>
        <v>1</v>
      </c>
      <c r="AE59" s="15">
        <f>'Pcell est vs Pcell rand'!S505</f>
        <v>29</v>
      </c>
      <c r="AF59" s="15">
        <f>'Pcell est vs Pcell rand'!AJ505</f>
        <v>29</v>
      </c>
      <c r="AG59" s="15">
        <f>'Pcell est vs Pcell rand'!AK505</f>
        <v>1</v>
      </c>
      <c r="AH59" s="15">
        <f>'Pcell est vs Pcell rand'!AL505</f>
        <v>2</v>
      </c>
      <c r="AI59" s="15">
        <f>'Pcell est vs Pcell rand'!AM505</f>
        <v>28</v>
      </c>
      <c r="AK59" s="3">
        <f>'Pcell est vs PcellRGRASP'!P505</f>
        <v>19</v>
      </c>
      <c r="AL59" s="3">
        <f>'Pcell est vs PcellRGRASP'!Q505</f>
        <v>11</v>
      </c>
      <c r="AM59" s="3">
        <f>'Pcell est vs PcellRGRASP'!R505</f>
        <v>11</v>
      </c>
      <c r="AN59" s="3">
        <f>'Pcell est vs PcellRGRASP'!S505</f>
        <v>19</v>
      </c>
      <c r="AO59" s="3">
        <f>'Pcell est vs PcellRGRASP'!AJ505</f>
        <v>22</v>
      </c>
      <c r="AP59" s="3">
        <f>'Pcell est vs PcellRGRASP'!AK505</f>
        <v>8</v>
      </c>
      <c r="AQ59" s="3">
        <f>'Pcell est vs PcellRGRASP'!AL505</f>
        <v>9</v>
      </c>
      <c r="AR59" s="3">
        <f>'Pcell est vs PcellRGRASP'!AM505</f>
        <v>21</v>
      </c>
      <c r="AT59" s="3">
        <f>'PcellRGRASP vs Pcell rand'!P505</f>
        <v>11</v>
      </c>
      <c r="AU59" s="3">
        <f>'PcellRGRASP vs Pcell rand'!Q505</f>
        <v>19</v>
      </c>
      <c r="AV59" s="3">
        <f>'PcellRGRASP vs Pcell rand'!R505</f>
        <v>19</v>
      </c>
      <c r="AW59" s="3">
        <f>'PcellRGRASP vs Pcell rand'!S505</f>
        <v>11</v>
      </c>
      <c r="AX59" s="3">
        <f>'PcellRGRASP vs Pcell rand'!AJ505</f>
        <v>11</v>
      </c>
      <c r="AY59" s="3">
        <f>'PcellRGRASP vs Pcell rand'!AK505</f>
        <v>19</v>
      </c>
      <c r="AZ59" s="3">
        <f>'PcellRGRASP vs Pcell rand'!AL505</f>
        <v>20</v>
      </c>
      <c r="BA59" s="3">
        <f>'PcellRGRASP vs Pcell rand'!AM505</f>
        <v>10</v>
      </c>
    </row>
    <row r="60" spans="1:53" x14ac:dyDescent="0.3">
      <c r="AB60" s="11"/>
      <c r="AC60" s="11"/>
      <c r="AD60" s="11"/>
      <c r="AE60" s="11"/>
      <c r="AF60" s="11"/>
      <c r="AG60" s="11"/>
      <c r="AH60" s="11"/>
      <c r="AI60" s="11"/>
    </row>
    <row r="61" spans="1:53" x14ac:dyDescent="0.3">
      <c r="A61" s="19">
        <v>40</v>
      </c>
      <c r="B61" s="19"/>
      <c r="C61" s="19"/>
      <c r="D61" s="19"/>
      <c r="E61" s="19">
        <v>40</v>
      </c>
      <c r="F61" s="19"/>
      <c r="G61" s="19"/>
      <c r="H61" s="19"/>
      <c r="J61" s="19">
        <v>40</v>
      </c>
      <c r="K61" s="19"/>
      <c r="L61" s="19"/>
      <c r="M61" s="19"/>
      <c r="N61" s="19">
        <v>40</v>
      </c>
      <c r="O61" s="19"/>
      <c r="P61" s="19"/>
      <c r="Q61" s="19"/>
      <c r="S61" s="19">
        <v>40</v>
      </c>
      <c r="T61" s="19"/>
      <c r="U61" s="19"/>
      <c r="V61" s="19"/>
      <c r="W61" s="19">
        <v>40</v>
      </c>
      <c r="X61" s="19"/>
      <c r="Y61" s="19"/>
      <c r="Z61" s="19"/>
      <c r="AB61" s="19">
        <v>40</v>
      </c>
      <c r="AC61" s="19"/>
      <c r="AD61" s="19"/>
      <c r="AE61" s="19"/>
      <c r="AF61" s="19">
        <v>40</v>
      </c>
      <c r="AG61" s="19"/>
      <c r="AH61" s="19"/>
      <c r="AI61" s="19"/>
      <c r="AK61" s="19">
        <v>40</v>
      </c>
      <c r="AL61" s="19"/>
      <c r="AM61" s="19"/>
      <c r="AN61" s="19"/>
      <c r="AO61" s="19">
        <v>40</v>
      </c>
      <c r="AP61" s="19"/>
      <c r="AQ61" s="19"/>
      <c r="AR61" s="19"/>
      <c r="AT61" s="19">
        <v>40</v>
      </c>
      <c r="AU61" s="19"/>
      <c r="AV61" s="19"/>
      <c r="AW61" s="19"/>
      <c r="AX61" s="19">
        <v>40</v>
      </c>
      <c r="AY61" s="19"/>
      <c r="AZ61" s="19"/>
      <c r="BA61" s="19"/>
    </row>
    <row r="62" spans="1:53" x14ac:dyDescent="0.3">
      <c r="A62" s="19" t="s">
        <v>328</v>
      </c>
      <c r="B62" s="19"/>
      <c r="C62" s="19" t="s">
        <v>329</v>
      </c>
      <c r="D62" s="19"/>
      <c r="E62" s="19" t="s">
        <v>328</v>
      </c>
      <c r="F62" s="19"/>
      <c r="G62" s="19" t="s">
        <v>329</v>
      </c>
      <c r="H62" s="19"/>
      <c r="J62" s="19" t="s">
        <v>336</v>
      </c>
      <c r="K62" s="19"/>
      <c r="L62" s="19" t="s">
        <v>329</v>
      </c>
      <c r="M62" s="19"/>
      <c r="N62" s="19" t="s">
        <v>336</v>
      </c>
      <c r="O62" s="19"/>
      <c r="P62" s="19" t="s">
        <v>329</v>
      </c>
      <c r="Q62" s="19"/>
      <c r="S62" s="19" t="s">
        <v>339</v>
      </c>
      <c r="T62" s="19"/>
      <c r="U62" s="19" t="s">
        <v>340</v>
      </c>
      <c r="V62" s="19"/>
      <c r="W62" s="19" t="s">
        <v>339</v>
      </c>
      <c r="X62" s="19"/>
      <c r="Y62" s="19" t="s">
        <v>340</v>
      </c>
      <c r="Z62" s="19"/>
      <c r="AB62" s="19" t="s">
        <v>328</v>
      </c>
      <c r="AC62" s="19"/>
      <c r="AD62" s="19" t="s">
        <v>336</v>
      </c>
      <c r="AE62" s="19"/>
      <c r="AF62" s="19" t="s">
        <v>328</v>
      </c>
      <c r="AG62" s="19"/>
      <c r="AH62" s="19" t="s">
        <v>336</v>
      </c>
      <c r="AI62" s="19"/>
      <c r="AK62" s="19" t="s">
        <v>328</v>
      </c>
      <c r="AL62" s="19"/>
      <c r="AM62" s="19" t="s">
        <v>337</v>
      </c>
      <c r="AN62" s="19"/>
      <c r="AO62" s="19" t="s">
        <v>328</v>
      </c>
      <c r="AP62" s="19"/>
      <c r="AQ62" s="19" t="s">
        <v>337</v>
      </c>
      <c r="AR62" s="19"/>
      <c r="AT62" s="20" t="s">
        <v>337</v>
      </c>
      <c r="AU62" s="22"/>
      <c r="AV62" s="19" t="s">
        <v>336</v>
      </c>
      <c r="AW62" s="19"/>
      <c r="AX62" s="20" t="s">
        <v>337</v>
      </c>
      <c r="AY62" s="22"/>
      <c r="AZ62" s="19" t="s">
        <v>336</v>
      </c>
      <c r="BA62" s="19"/>
    </row>
    <row r="63" spans="1:53" x14ac:dyDescent="0.3">
      <c r="A63" s="19" t="s">
        <v>330</v>
      </c>
      <c r="B63" s="19"/>
      <c r="C63" s="19"/>
      <c r="D63" s="19"/>
      <c r="E63" s="19" t="s">
        <v>331</v>
      </c>
      <c r="F63" s="19"/>
      <c r="G63" s="19"/>
      <c r="H63" s="19"/>
      <c r="J63" s="19" t="s">
        <v>330</v>
      </c>
      <c r="K63" s="19"/>
      <c r="L63" s="19"/>
      <c r="M63" s="19"/>
      <c r="N63" s="19" t="s">
        <v>331</v>
      </c>
      <c r="O63" s="19"/>
      <c r="P63" s="19"/>
      <c r="Q63" s="19"/>
      <c r="S63" s="19" t="s">
        <v>330</v>
      </c>
      <c r="T63" s="19"/>
      <c r="U63" s="19"/>
      <c r="V63" s="19"/>
      <c r="W63" s="19" t="s">
        <v>331</v>
      </c>
      <c r="X63" s="19"/>
      <c r="Y63" s="19"/>
      <c r="Z63" s="19"/>
      <c r="AB63" s="19" t="s">
        <v>330</v>
      </c>
      <c r="AC63" s="19"/>
      <c r="AD63" s="19"/>
      <c r="AE63" s="19"/>
      <c r="AF63" s="19" t="s">
        <v>331</v>
      </c>
      <c r="AG63" s="19"/>
      <c r="AH63" s="19"/>
      <c r="AI63" s="19"/>
      <c r="AK63" s="19" t="s">
        <v>330</v>
      </c>
      <c r="AL63" s="19"/>
      <c r="AM63" s="19"/>
      <c r="AN63" s="19"/>
      <c r="AO63" s="19" t="s">
        <v>331</v>
      </c>
      <c r="AP63" s="19"/>
      <c r="AQ63" s="19"/>
      <c r="AR63" s="19"/>
      <c r="AT63" s="19" t="s">
        <v>330</v>
      </c>
      <c r="AU63" s="19"/>
      <c r="AV63" s="19"/>
      <c r="AW63" s="19"/>
      <c r="AX63" s="19" t="s">
        <v>331</v>
      </c>
      <c r="AY63" s="19"/>
      <c r="AZ63" s="19"/>
      <c r="BA63" s="19"/>
    </row>
    <row r="64" spans="1:53" x14ac:dyDescent="0.3">
      <c r="A64" s="3" t="str">
        <f>'Pcell vs GRASP est-rand'!AX3</f>
        <v>Ganado</v>
      </c>
      <c r="B64" s="3" t="str">
        <f>'Pcell vs GRASP est-rand'!AY3</f>
        <v>Perdido</v>
      </c>
      <c r="C64" s="3" t="str">
        <f>'Pcell vs GRASP est-rand'!AZ3</f>
        <v>Ganado</v>
      </c>
      <c r="D64" s="3" t="str">
        <f>'Pcell vs GRASP est-rand'!BA3</f>
        <v>Perdido</v>
      </c>
      <c r="E64" s="3" t="str">
        <f>'Pcell vs GRASP est-rand'!BP3</f>
        <v>Ganado</v>
      </c>
      <c r="F64" s="3" t="str">
        <f>'Pcell vs GRASP est-rand'!BQ3</f>
        <v>Perdido</v>
      </c>
      <c r="G64" s="3" t="str">
        <f>'Pcell vs GRASP est-rand'!BR3</f>
        <v>Ganado</v>
      </c>
      <c r="H64" s="3" t="str">
        <f>'Pcell vs GRASP est-rand'!BS3</f>
        <v>Perdido</v>
      </c>
      <c r="J64" s="3" t="s">
        <v>322</v>
      </c>
      <c r="K64" s="3" t="s">
        <v>323</v>
      </c>
      <c r="L64" s="3" t="s">
        <v>322</v>
      </c>
      <c r="M64" s="3" t="s">
        <v>323</v>
      </c>
      <c r="N64" s="3" t="s">
        <v>322</v>
      </c>
      <c r="O64" s="3" t="s">
        <v>323</v>
      </c>
      <c r="P64" s="3" t="s">
        <v>322</v>
      </c>
      <c r="Q64" s="3" t="s">
        <v>323</v>
      </c>
      <c r="S64" s="3" t="str">
        <f>'PCellRGRASP vs RGRASP'!AX2</f>
        <v>Ganado</v>
      </c>
      <c r="T64" s="3" t="str">
        <f>'PCellRGRASP vs RGRASP'!AY2</f>
        <v>Perdido</v>
      </c>
      <c r="U64" s="3" t="str">
        <f>'PCellRGRASP vs RGRASP'!AZ2</f>
        <v>Ganado</v>
      </c>
      <c r="V64" s="3" t="str">
        <f>'PCellRGRASP vs RGRASP'!BA2</f>
        <v>Perdido</v>
      </c>
      <c r="W64" s="3" t="str">
        <f>'PCellRGRASP vs RGRASP'!BP2</f>
        <v>Ganado</v>
      </c>
      <c r="X64" s="3" t="str">
        <f>'PCellRGRASP vs RGRASP'!BQ2</f>
        <v>Perdido</v>
      </c>
      <c r="Y64" s="3" t="str">
        <f>'PCellRGRASP vs RGRASP'!BR2</f>
        <v>Ganado</v>
      </c>
      <c r="Z64" s="3" t="str">
        <f>'PCellRGRASP vs RGRASP'!BS2</f>
        <v>Perdido</v>
      </c>
      <c r="AB64" s="15" t="str">
        <f>'Pcell est vs Pcell rand'!BD3</f>
        <v>Ganado</v>
      </c>
      <c r="AC64" s="15" t="str">
        <f>'Pcell est vs Pcell rand'!BE3</f>
        <v>Perdido</v>
      </c>
      <c r="AD64" s="15" t="str">
        <f>'Pcell est vs Pcell rand'!BF3</f>
        <v>Ganado</v>
      </c>
      <c r="AE64" s="15" t="str">
        <f>'Pcell est vs Pcell rand'!BG3</f>
        <v>Perdido</v>
      </c>
      <c r="AF64" s="15" t="str">
        <f>'Pcell est vs Pcell rand'!BX3</f>
        <v>Ganado</v>
      </c>
      <c r="AG64" s="15" t="str">
        <f>'Pcell est vs Pcell rand'!BY3</f>
        <v>Perdido</v>
      </c>
      <c r="AH64" s="15" t="str">
        <f>'Pcell est vs Pcell rand'!BZ3</f>
        <v>Ganado</v>
      </c>
      <c r="AI64" s="15" t="str">
        <f>'Pcell est vs Pcell rand'!CA3</f>
        <v>Perdido</v>
      </c>
      <c r="AK64" s="3" t="str">
        <f>'Pcell est vs PcellRGRASP'!BD3</f>
        <v>Ganado</v>
      </c>
      <c r="AL64" s="3" t="str">
        <f>'Pcell est vs PcellRGRASP'!BE3</f>
        <v>Perdido</v>
      </c>
      <c r="AM64" s="3" t="str">
        <f>'Pcell est vs PcellRGRASP'!BF3</f>
        <v>Ganado</v>
      </c>
      <c r="AN64" s="3" t="str">
        <f>'Pcell est vs PcellRGRASP'!BG3</f>
        <v>Perdido</v>
      </c>
      <c r="AO64" s="3" t="str">
        <f>'Pcell est vs PcellRGRASP'!BX3</f>
        <v>Ganado</v>
      </c>
      <c r="AP64" s="3" t="str">
        <f>'Pcell est vs PcellRGRASP'!BY3</f>
        <v>Perdido</v>
      </c>
      <c r="AQ64" s="3" t="str">
        <f>'Pcell est vs PcellRGRASP'!BZ3</f>
        <v>Ganado</v>
      </c>
      <c r="AR64" s="3" t="str">
        <f>'Pcell est vs PcellRGRASP'!CA3</f>
        <v>Perdido</v>
      </c>
      <c r="AT64" s="3" t="str">
        <f>'PcellRGRASP vs Pcell rand'!BD3</f>
        <v>Ganado</v>
      </c>
      <c r="AU64" s="3" t="str">
        <f>'PcellRGRASP vs Pcell rand'!BE3</f>
        <v>Perdido</v>
      </c>
      <c r="AV64" s="3" t="str">
        <f>'PcellRGRASP vs Pcell rand'!BF3</f>
        <v>Ganado</v>
      </c>
      <c r="AW64" s="3" t="str">
        <f>'PcellRGRASP vs Pcell rand'!BG3</f>
        <v>Perdido</v>
      </c>
      <c r="AX64" s="3" t="str">
        <f>'PcellRGRASP vs Pcell rand'!BX3</f>
        <v>Ganado</v>
      </c>
      <c r="AY64" s="3" t="str">
        <f>'PcellRGRASP vs Pcell rand'!BY3</f>
        <v>Perdido</v>
      </c>
      <c r="AZ64" s="3" t="str">
        <f>'PcellRGRASP vs Pcell rand'!BZ3</f>
        <v>Ganado</v>
      </c>
      <c r="BA64" s="3" t="str">
        <f>'PcellRGRASP vs Pcell rand'!CA3</f>
        <v>Perdido</v>
      </c>
    </row>
    <row r="65" spans="1:53" x14ac:dyDescent="0.3">
      <c r="A65" s="3">
        <f>'Pcell vs GRASP est-rand'!AX5</f>
        <v>20</v>
      </c>
      <c r="B65" s="3">
        <f>'Pcell vs GRASP est-rand'!AY5</f>
        <v>10</v>
      </c>
      <c r="C65" s="3">
        <f>'Pcell vs GRASP est-rand'!AZ5</f>
        <v>10</v>
      </c>
      <c r="D65" s="3">
        <f>'Pcell vs GRASP est-rand'!BA5</f>
        <v>20</v>
      </c>
      <c r="E65" s="3">
        <f>'Pcell vs GRASP est-rand'!BP5</f>
        <v>16</v>
      </c>
      <c r="F65" s="3">
        <f>'Pcell vs GRASP est-rand'!BQ5</f>
        <v>14</v>
      </c>
      <c r="G65" s="3">
        <f>'Pcell vs GRASP est-rand'!BR5</f>
        <v>15</v>
      </c>
      <c r="H65" s="3">
        <f>'Pcell vs GRASP est-rand'!BS5</f>
        <v>15</v>
      </c>
      <c r="J65" s="3">
        <v>19</v>
      </c>
      <c r="K65" s="3">
        <v>11</v>
      </c>
      <c r="L65" s="3">
        <v>12</v>
      </c>
      <c r="M65" s="3">
        <v>18</v>
      </c>
      <c r="N65" s="3">
        <v>13</v>
      </c>
      <c r="O65" s="3">
        <v>17</v>
      </c>
      <c r="P65" s="3">
        <v>12</v>
      </c>
      <c r="Q65" s="3">
        <v>18</v>
      </c>
      <c r="S65" s="3">
        <f>'PCellRGRASP vs RGRASP'!AX4</f>
        <v>14</v>
      </c>
      <c r="T65" s="3">
        <f>'PCellRGRASP vs RGRASP'!AY4</f>
        <v>16</v>
      </c>
      <c r="U65" s="3">
        <f>'PCellRGRASP vs RGRASP'!AZ4</f>
        <v>17</v>
      </c>
      <c r="V65" s="3">
        <f>'PCellRGRASP vs RGRASP'!BA4</f>
        <v>13</v>
      </c>
      <c r="W65" s="3">
        <f>'PCellRGRASP vs RGRASP'!BP4</f>
        <v>19</v>
      </c>
      <c r="X65" s="3">
        <f>'PCellRGRASP vs RGRASP'!BQ4</f>
        <v>11</v>
      </c>
      <c r="Y65" s="3">
        <f>'PCellRGRASP vs RGRASP'!BR4</f>
        <v>13</v>
      </c>
      <c r="Z65" s="3">
        <f>'PCellRGRASP vs RGRASP'!BS4</f>
        <v>17</v>
      </c>
      <c r="AB65" s="3">
        <f>'Pcell est vs Pcell rand'!BD5</f>
        <v>0</v>
      </c>
      <c r="AC65" s="3">
        <f>'Pcell est vs Pcell rand'!BE5</f>
        <v>30</v>
      </c>
      <c r="AD65" s="3">
        <f>'Pcell est vs Pcell rand'!BF5</f>
        <v>0</v>
      </c>
      <c r="AE65" s="3">
        <f>'Pcell est vs Pcell rand'!BG5</f>
        <v>30</v>
      </c>
      <c r="AF65" s="3">
        <f>'Pcell est vs Pcell rand'!BX5</f>
        <v>30</v>
      </c>
      <c r="AG65" s="3">
        <f>'Pcell est vs Pcell rand'!BY5</f>
        <v>0</v>
      </c>
      <c r="AH65" s="3">
        <f>'Pcell est vs Pcell rand'!BZ5</f>
        <v>1</v>
      </c>
      <c r="AI65" s="3">
        <f>'Pcell est vs Pcell rand'!CA5</f>
        <v>29</v>
      </c>
      <c r="AK65" s="3">
        <f>'Pcell est vs PcellRGRASP'!BD5</f>
        <v>21</v>
      </c>
      <c r="AL65" s="3">
        <f>'Pcell est vs PcellRGRASP'!BE5</f>
        <v>9</v>
      </c>
      <c r="AM65" s="3">
        <f>'Pcell est vs PcellRGRASP'!BF5</f>
        <v>9</v>
      </c>
      <c r="AN65" s="3">
        <f>'Pcell est vs PcellRGRASP'!BG5</f>
        <v>21</v>
      </c>
      <c r="AO65" s="3">
        <f>'Pcell est vs PcellRGRASP'!BX5</f>
        <v>17</v>
      </c>
      <c r="AP65" s="3">
        <f>'Pcell est vs PcellRGRASP'!BY5</f>
        <v>13</v>
      </c>
      <c r="AQ65" s="3">
        <f>'Pcell est vs PcellRGRASP'!BZ5</f>
        <v>13</v>
      </c>
      <c r="AR65" s="3">
        <f>'Pcell est vs PcellRGRASP'!CA5</f>
        <v>17</v>
      </c>
      <c r="AT65" s="3">
        <f>'PcellRGRASP vs Pcell rand'!BD5</f>
        <v>11</v>
      </c>
      <c r="AU65" s="3">
        <f>'PcellRGRASP vs Pcell rand'!BE5</f>
        <v>19</v>
      </c>
      <c r="AV65" s="3">
        <f>'PcellRGRASP vs Pcell rand'!BF5</f>
        <v>19</v>
      </c>
      <c r="AW65" s="3">
        <f>'PcellRGRASP vs Pcell rand'!BG5</f>
        <v>11</v>
      </c>
      <c r="AX65" s="3">
        <f>'PcellRGRASP vs Pcell rand'!BX5</f>
        <v>15</v>
      </c>
      <c r="AY65" s="3">
        <f>'PcellRGRASP vs Pcell rand'!BY5</f>
        <v>15</v>
      </c>
      <c r="AZ65" s="3">
        <f>'PcellRGRASP vs Pcell rand'!BZ5</f>
        <v>15</v>
      </c>
      <c r="BA65" s="3">
        <f>'PcellRGRASP vs Pcell rand'!CA5</f>
        <v>15</v>
      </c>
    </row>
    <row r="66" spans="1:53" x14ac:dyDescent="0.3">
      <c r="A66" s="19" t="s">
        <v>332</v>
      </c>
      <c r="B66" s="19"/>
      <c r="C66" s="19"/>
      <c r="D66" s="19"/>
      <c r="E66" s="19" t="s">
        <v>333</v>
      </c>
      <c r="F66" s="19"/>
      <c r="G66" s="19"/>
      <c r="H66" s="19"/>
      <c r="J66" s="19" t="s">
        <v>332</v>
      </c>
      <c r="K66" s="19"/>
      <c r="L66" s="19"/>
      <c r="M66" s="19"/>
      <c r="N66" s="19" t="s">
        <v>333</v>
      </c>
      <c r="O66" s="19"/>
      <c r="P66" s="19"/>
      <c r="Q66" s="19"/>
      <c r="S66" s="19" t="s">
        <v>332</v>
      </c>
      <c r="T66" s="19"/>
      <c r="U66" s="19"/>
      <c r="V66" s="19"/>
      <c r="W66" s="19" t="s">
        <v>333</v>
      </c>
      <c r="X66" s="19"/>
      <c r="Y66" s="19"/>
      <c r="Z66" s="19"/>
      <c r="AB66" s="19" t="s">
        <v>332</v>
      </c>
      <c r="AC66" s="19"/>
      <c r="AD66" s="19"/>
      <c r="AE66" s="19"/>
      <c r="AF66" s="19" t="s">
        <v>333</v>
      </c>
      <c r="AG66" s="19"/>
      <c r="AH66" s="19"/>
      <c r="AI66" s="19"/>
      <c r="AK66" s="19" t="s">
        <v>332</v>
      </c>
      <c r="AL66" s="19"/>
      <c r="AM66" s="19"/>
      <c r="AN66" s="19"/>
      <c r="AO66" s="19" t="s">
        <v>333</v>
      </c>
      <c r="AP66" s="19"/>
      <c r="AQ66" s="19"/>
      <c r="AR66" s="19"/>
      <c r="AT66" s="19" t="s">
        <v>332</v>
      </c>
      <c r="AU66" s="19"/>
      <c r="AV66" s="19"/>
      <c r="AW66" s="19"/>
      <c r="AX66" s="19" t="s">
        <v>333</v>
      </c>
      <c r="AY66" s="19"/>
      <c r="AZ66" s="19"/>
      <c r="BA66" s="19"/>
    </row>
    <row r="67" spans="1:53" x14ac:dyDescent="0.3">
      <c r="A67" s="3" t="str">
        <f>'Pcell vs GRASP est-rand'!AX39</f>
        <v>Ganado</v>
      </c>
      <c r="B67" s="3" t="str">
        <f>'Pcell vs GRASP est-rand'!AY39</f>
        <v>Perdido</v>
      </c>
      <c r="C67" s="3" t="str">
        <f>'Pcell vs GRASP est-rand'!AZ39</f>
        <v>Ganado</v>
      </c>
      <c r="D67" s="3" t="str">
        <f>'Pcell vs GRASP est-rand'!BA39</f>
        <v>Perdido</v>
      </c>
      <c r="E67" s="3" t="str">
        <f>'Pcell vs GRASP est-rand'!BP39</f>
        <v>Ganado</v>
      </c>
      <c r="F67" s="3" t="str">
        <f>'Pcell vs GRASP est-rand'!BQ39</f>
        <v>Perdido</v>
      </c>
      <c r="G67" s="3" t="str">
        <f>'Pcell vs GRASP est-rand'!BR39</f>
        <v>Ganado</v>
      </c>
      <c r="H67" s="3" t="str">
        <f>'Pcell vs GRASP est-rand'!BS39</f>
        <v>Perdido</v>
      </c>
      <c r="J67" s="3" t="s">
        <v>322</v>
      </c>
      <c r="K67" s="3" t="s">
        <v>323</v>
      </c>
      <c r="L67" s="3" t="s">
        <v>322</v>
      </c>
      <c r="M67" s="3" t="s">
        <v>323</v>
      </c>
      <c r="N67" s="3" t="s">
        <v>322</v>
      </c>
      <c r="O67" s="3" t="s">
        <v>323</v>
      </c>
      <c r="P67" s="3" t="s">
        <v>322</v>
      </c>
      <c r="Q67" s="3" t="s">
        <v>323</v>
      </c>
      <c r="S67" s="3" t="str">
        <f>'PCellRGRASP vs RGRASP'!AX38</f>
        <v>Ganado</v>
      </c>
      <c r="T67" s="3" t="str">
        <f>'PCellRGRASP vs RGRASP'!AY38</f>
        <v>Perdido</v>
      </c>
      <c r="U67" s="3" t="str">
        <f>'PCellRGRASP vs RGRASP'!AZ38</f>
        <v>Ganado</v>
      </c>
      <c r="V67" s="3" t="str">
        <f>'PCellRGRASP vs RGRASP'!BA38</f>
        <v>Perdido</v>
      </c>
      <c r="W67" s="3" t="str">
        <f>'PCellRGRASP vs RGRASP'!BP38</f>
        <v>Ganado</v>
      </c>
      <c r="X67" s="3" t="str">
        <f>'PCellRGRASP vs RGRASP'!BQ38</f>
        <v>Perdido</v>
      </c>
      <c r="Y67" s="3" t="str">
        <f>'PCellRGRASP vs RGRASP'!BR38</f>
        <v>Ganado</v>
      </c>
      <c r="Z67" s="3" t="str">
        <f>'PCellRGRASP vs RGRASP'!BS38</f>
        <v>Perdido</v>
      </c>
      <c r="AB67" s="3" t="str">
        <f>'Pcell est vs Pcell rand'!BD39</f>
        <v>Ganado</v>
      </c>
      <c r="AC67" s="3" t="str">
        <f>'Pcell est vs Pcell rand'!BE39</f>
        <v>Perdido</v>
      </c>
      <c r="AD67" s="3" t="str">
        <f>'Pcell est vs Pcell rand'!BF39</f>
        <v>Ganado</v>
      </c>
      <c r="AE67" s="3" t="str">
        <f>'Pcell est vs Pcell rand'!BG39</f>
        <v>Perdido</v>
      </c>
      <c r="AF67" s="3" t="str">
        <f>'Pcell est vs Pcell rand'!BX39</f>
        <v>Ganado</v>
      </c>
      <c r="AG67" s="3" t="str">
        <f>'Pcell est vs Pcell rand'!BY39</f>
        <v>Perdido</v>
      </c>
      <c r="AH67" s="3" t="str">
        <f>'Pcell est vs Pcell rand'!BZ39</f>
        <v>Ganado</v>
      </c>
      <c r="AI67" s="3" t="str">
        <f>'Pcell est vs Pcell rand'!CA39</f>
        <v>Perdido</v>
      </c>
      <c r="AK67" s="3" t="str">
        <f>'Pcell est vs PcellRGRASP'!BD39</f>
        <v>Ganado</v>
      </c>
      <c r="AL67" s="3" t="str">
        <f>'Pcell est vs PcellRGRASP'!BE39</f>
        <v>Perdido</v>
      </c>
      <c r="AM67" s="3" t="str">
        <f>'Pcell est vs PcellRGRASP'!BF39</f>
        <v>Ganado</v>
      </c>
      <c r="AN67" s="3" t="str">
        <f>'Pcell est vs PcellRGRASP'!BG39</f>
        <v>Perdido</v>
      </c>
      <c r="AO67" s="3" t="str">
        <f>'Pcell est vs PcellRGRASP'!BX39</f>
        <v>Ganado</v>
      </c>
      <c r="AP67" s="3" t="str">
        <f>'Pcell est vs PcellRGRASP'!BY39</f>
        <v>Perdido</v>
      </c>
      <c r="AQ67" s="3" t="str">
        <f>'Pcell est vs PcellRGRASP'!BZ39</f>
        <v>Ganado</v>
      </c>
      <c r="AR67" s="3" t="str">
        <f>'Pcell est vs PcellRGRASP'!CA39</f>
        <v>Perdido</v>
      </c>
      <c r="AT67" s="3" t="str">
        <f>'PcellRGRASP vs Pcell rand'!BD39</f>
        <v>Ganado</v>
      </c>
      <c r="AU67" s="3" t="str">
        <f>'PcellRGRASP vs Pcell rand'!BE39</f>
        <v>Perdido</v>
      </c>
      <c r="AV67" s="3" t="str">
        <f>'PcellRGRASP vs Pcell rand'!BF39</f>
        <v>Ganado</v>
      </c>
      <c r="AW67" s="3" t="str">
        <f>'PcellRGRASP vs Pcell rand'!BG39</f>
        <v>Perdido</v>
      </c>
      <c r="AX67" s="3" t="str">
        <f>'PcellRGRASP vs Pcell rand'!BX39</f>
        <v>Ganado</v>
      </c>
      <c r="AY67" s="3" t="str">
        <f>'PcellRGRASP vs Pcell rand'!BY39</f>
        <v>Perdido</v>
      </c>
      <c r="AZ67" s="3" t="str">
        <f>'PcellRGRASP vs Pcell rand'!BZ39</f>
        <v>Ganado</v>
      </c>
      <c r="BA67" s="3" t="str">
        <f>'PcellRGRASP vs Pcell rand'!CA39</f>
        <v>Perdido</v>
      </c>
    </row>
    <row r="68" spans="1:53" x14ac:dyDescent="0.3">
      <c r="A68" s="3">
        <f>'Pcell vs GRASP est-rand'!AX41</f>
        <v>19</v>
      </c>
      <c r="B68" s="3">
        <f>'Pcell vs GRASP est-rand'!AY41</f>
        <v>11</v>
      </c>
      <c r="C68" s="3">
        <f>'Pcell vs GRASP est-rand'!AZ41</f>
        <v>11</v>
      </c>
      <c r="D68" s="3">
        <f>'Pcell vs GRASP est-rand'!BA41</f>
        <v>19</v>
      </c>
      <c r="E68" s="3">
        <f>'Pcell vs GRASP est-rand'!BP41</f>
        <v>21</v>
      </c>
      <c r="F68" s="3">
        <f>'Pcell vs GRASP est-rand'!BQ41</f>
        <v>9</v>
      </c>
      <c r="G68" s="3">
        <f>'Pcell vs GRASP est-rand'!BR41</f>
        <v>9</v>
      </c>
      <c r="H68" s="3">
        <f>'Pcell vs GRASP est-rand'!BS41</f>
        <v>21</v>
      </c>
      <c r="J68" s="3">
        <v>14</v>
      </c>
      <c r="K68" s="3">
        <v>16</v>
      </c>
      <c r="L68" s="3">
        <v>16</v>
      </c>
      <c r="M68" s="3">
        <v>14</v>
      </c>
      <c r="N68" s="3">
        <v>17</v>
      </c>
      <c r="O68" s="3">
        <v>13</v>
      </c>
      <c r="P68" s="3">
        <v>14</v>
      </c>
      <c r="Q68" s="3">
        <v>16</v>
      </c>
      <c r="S68" s="3">
        <f>'PCellRGRASP vs RGRASP'!AX40</f>
        <v>17</v>
      </c>
      <c r="T68" s="3">
        <f>'PCellRGRASP vs RGRASP'!AY40</f>
        <v>13</v>
      </c>
      <c r="U68" s="3">
        <f>'PCellRGRASP vs RGRASP'!AZ40</f>
        <v>14</v>
      </c>
      <c r="V68" s="3">
        <f>'PCellRGRASP vs RGRASP'!BA40</f>
        <v>16</v>
      </c>
      <c r="W68" s="3">
        <f>'PCellRGRASP vs RGRASP'!BP40</f>
        <v>20</v>
      </c>
      <c r="X68" s="3">
        <f>'PCellRGRASP vs RGRASP'!BQ40</f>
        <v>10</v>
      </c>
      <c r="Y68" s="3">
        <f>'PCellRGRASP vs RGRASP'!BR40</f>
        <v>12</v>
      </c>
      <c r="Z68" s="3">
        <f>'PCellRGRASP vs RGRASP'!BS40</f>
        <v>18</v>
      </c>
      <c r="AB68" s="3">
        <f>'Pcell est vs Pcell rand'!BD41</f>
        <v>0</v>
      </c>
      <c r="AC68" s="3">
        <f>'Pcell est vs Pcell rand'!BE41</f>
        <v>30</v>
      </c>
      <c r="AD68" s="3">
        <f>'Pcell est vs Pcell rand'!BF41</f>
        <v>5</v>
      </c>
      <c r="AE68" s="3">
        <f>'Pcell est vs Pcell rand'!BG41</f>
        <v>25</v>
      </c>
      <c r="AF68" s="3">
        <f>'Pcell est vs Pcell rand'!BX41</f>
        <v>29</v>
      </c>
      <c r="AG68" s="3">
        <f>'Pcell est vs Pcell rand'!BY41</f>
        <v>1</v>
      </c>
      <c r="AH68" s="3">
        <f>'Pcell est vs Pcell rand'!BZ41</f>
        <v>1</v>
      </c>
      <c r="AI68" s="3">
        <f>'Pcell est vs Pcell rand'!CA41</f>
        <v>29</v>
      </c>
      <c r="AK68" s="3">
        <f>'Pcell est vs PcellRGRASP'!BD41</f>
        <v>22</v>
      </c>
      <c r="AL68" s="3">
        <f>'Pcell est vs PcellRGRASP'!BE41</f>
        <v>8</v>
      </c>
      <c r="AM68" s="3">
        <f>'Pcell est vs PcellRGRASP'!BF41</f>
        <v>8</v>
      </c>
      <c r="AN68" s="3">
        <f>'Pcell est vs PcellRGRASP'!BG41</f>
        <v>22</v>
      </c>
      <c r="AO68" s="3">
        <f>'Pcell est vs PcellRGRASP'!BX41</f>
        <v>19</v>
      </c>
      <c r="AP68" s="3">
        <f>'Pcell est vs PcellRGRASP'!BY41</f>
        <v>11</v>
      </c>
      <c r="AQ68" s="3">
        <f>'Pcell est vs PcellRGRASP'!BZ41</f>
        <v>11</v>
      </c>
      <c r="AR68" s="3">
        <f>'Pcell est vs PcellRGRASP'!CA41</f>
        <v>19</v>
      </c>
      <c r="AT68" s="3">
        <f>'PcellRGRASP vs Pcell rand'!BD41</f>
        <v>10</v>
      </c>
      <c r="AU68" s="3">
        <f>'PcellRGRASP vs Pcell rand'!BE41</f>
        <v>20</v>
      </c>
      <c r="AV68" s="3">
        <f>'PcellRGRASP vs Pcell rand'!BF41</f>
        <v>20</v>
      </c>
      <c r="AW68" s="3">
        <f>'PcellRGRASP vs Pcell rand'!BG41</f>
        <v>10</v>
      </c>
      <c r="AX68" s="3">
        <f>'PcellRGRASP vs Pcell rand'!BX41</f>
        <v>12</v>
      </c>
      <c r="AY68" s="3">
        <f>'PcellRGRASP vs Pcell rand'!BY41</f>
        <v>18</v>
      </c>
      <c r="AZ68" s="3">
        <f>'PcellRGRASP vs Pcell rand'!BZ41</f>
        <v>18</v>
      </c>
      <c r="BA68" s="3">
        <f>'PcellRGRASP vs Pcell rand'!CA41</f>
        <v>12</v>
      </c>
    </row>
    <row r="69" spans="1:53" x14ac:dyDescent="0.3">
      <c r="A69" s="19" t="s">
        <v>334</v>
      </c>
      <c r="B69" s="19"/>
      <c r="C69" s="19"/>
      <c r="D69" s="19"/>
      <c r="E69" s="19" t="s">
        <v>335</v>
      </c>
      <c r="F69" s="19"/>
      <c r="G69" s="19"/>
      <c r="H69" s="19"/>
      <c r="J69" s="19" t="s">
        <v>334</v>
      </c>
      <c r="K69" s="19"/>
      <c r="L69" s="19"/>
      <c r="M69" s="19"/>
      <c r="N69" s="19" t="s">
        <v>335</v>
      </c>
      <c r="O69" s="19"/>
      <c r="P69" s="19"/>
      <c r="Q69" s="19"/>
      <c r="S69" s="19" t="s">
        <v>334</v>
      </c>
      <c r="T69" s="19"/>
      <c r="U69" s="19"/>
      <c r="V69" s="19"/>
      <c r="W69" s="19" t="s">
        <v>335</v>
      </c>
      <c r="X69" s="19"/>
      <c r="Y69" s="19"/>
      <c r="Z69" s="19"/>
      <c r="AB69" s="19" t="s">
        <v>334</v>
      </c>
      <c r="AC69" s="19"/>
      <c r="AD69" s="19"/>
      <c r="AE69" s="19"/>
      <c r="AF69" s="19" t="s">
        <v>335</v>
      </c>
      <c r="AG69" s="19"/>
      <c r="AH69" s="19"/>
      <c r="AI69" s="19"/>
      <c r="AK69" s="19" t="s">
        <v>334</v>
      </c>
      <c r="AL69" s="19"/>
      <c r="AM69" s="19"/>
      <c r="AN69" s="19"/>
      <c r="AO69" s="19" t="s">
        <v>335</v>
      </c>
      <c r="AP69" s="19"/>
      <c r="AQ69" s="19"/>
      <c r="AR69" s="19"/>
      <c r="AT69" s="19" t="s">
        <v>334</v>
      </c>
      <c r="AU69" s="19"/>
      <c r="AV69" s="19"/>
      <c r="AW69" s="19"/>
      <c r="AX69" s="19" t="s">
        <v>335</v>
      </c>
      <c r="AY69" s="19"/>
      <c r="AZ69" s="19"/>
      <c r="BA69" s="19"/>
    </row>
    <row r="70" spans="1:53" x14ac:dyDescent="0.3">
      <c r="A70" s="3" t="str">
        <f>'Pcell vs GRASP est-rand'!AX75</f>
        <v>Ganado</v>
      </c>
      <c r="B70" s="3" t="str">
        <f>'Pcell vs GRASP est-rand'!AY75</f>
        <v>Perdido</v>
      </c>
      <c r="C70" s="3" t="str">
        <f>'Pcell vs GRASP est-rand'!AZ75</f>
        <v>Ganado</v>
      </c>
      <c r="D70" s="3" t="str">
        <f>'Pcell vs GRASP est-rand'!BA75</f>
        <v>Perdido</v>
      </c>
      <c r="E70" s="3" t="str">
        <f>'Pcell vs GRASP est-rand'!BP75</f>
        <v>Ganado</v>
      </c>
      <c r="F70" s="3" t="str">
        <f>'Pcell vs GRASP est-rand'!BQ75</f>
        <v>Perdido</v>
      </c>
      <c r="G70" s="3" t="str">
        <f>'Pcell vs GRASP est-rand'!BR75</f>
        <v>Ganado</v>
      </c>
      <c r="H70" s="3" t="str">
        <f>'Pcell vs GRASP est-rand'!BS75</f>
        <v>Perdido</v>
      </c>
      <c r="J70" s="3" t="s">
        <v>322</v>
      </c>
      <c r="K70" s="3" t="s">
        <v>323</v>
      </c>
      <c r="L70" s="3" t="s">
        <v>322</v>
      </c>
      <c r="M70" s="3" t="s">
        <v>323</v>
      </c>
      <c r="N70" s="3" t="s">
        <v>322</v>
      </c>
      <c r="O70" s="3" t="s">
        <v>323</v>
      </c>
      <c r="P70" s="3" t="s">
        <v>322</v>
      </c>
      <c r="Q70" s="3" t="s">
        <v>323</v>
      </c>
      <c r="S70" s="3" t="str">
        <f>'PCellRGRASP vs RGRASP'!AX74</f>
        <v>Ganado</v>
      </c>
      <c r="T70" s="3" t="str">
        <f>'PCellRGRASP vs RGRASP'!AY74</f>
        <v>Perdido</v>
      </c>
      <c r="U70" s="3" t="str">
        <f>'PCellRGRASP vs RGRASP'!AZ74</f>
        <v>Ganado</v>
      </c>
      <c r="V70" s="3" t="str">
        <f>'PCellRGRASP vs RGRASP'!BA74</f>
        <v>Perdido</v>
      </c>
      <c r="W70" s="3" t="str">
        <f>'PCellRGRASP vs RGRASP'!BP74</f>
        <v>Ganado</v>
      </c>
      <c r="X70" s="3" t="str">
        <f>'PCellRGRASP vs RGRASP'!BQ74</f>
        <v>Perdido</v>
      </c>
      <c r="Y70" s="3" t="str">
        <f>'PCellRGRASP vs RGRASP'!BR74</f>
        <v>Ganado</v>
      </c>
      <c r="Z70" s="3" t="str">
        <f>'PCellRGRASP vs RGRASP'!BS74</f>
        <v>Perdido</v>
      </c>
      <c r="AB70" s="3" t="str">
        <f>'Pcell est vs Pcell rand'!BD75</f>
        <v>Ganado</v>
      </c>
      <c r="AC70" s="3" t="str">
        <f>'Pcell est vs Pcell rand'!BE75</f>
        <v>Perdido</v>
      </c>
      <c r="AD70" s="3" t="str">
        <f>'Pcell est vs Pcell rand'!BF75</f>
        <v>Ganado</v>
      </c>
      <c r="AE70" s="3" t="str">
        <f>'Pcell est vs Pcell rand'!BG75</f>
        <v>Perdido</v>
      </c>
      <c r="AF70" s="3" t="str">
        <f>'Pcell est vs Pcell rand'!BX75</f>
        <v>Ganado</v>
      </c>
      <c r="AG70" s="3" t="str">
        <f>'Pcell est vs Pcell rand'!BY75</f>
        <v>Perdido</v>
      </c>
      <c r="AH70" s="3" t="str">
        <f>'Pcell est vs Pcell rand'!BZ75</f>
        <v>Ganado</v>
      </c>
      <c r="AI70" s="3" t="str">
        <f>'Pcell est vs Pcell rand'!CA75</f>
        <v>Perdido</v>
      </c>
      <c r="AK70" s="3" t="str">
        <f>'Pcell est vs PcellRGRASP'!BD75</f>
        <v>Ganado</v>
      </c>
      <c r="AL70" s="3" t="str">
        <f>'Pcell est vs PcellRGRASP'!BE75</f>
        <v>Perdido</v>
      </c>
      <c r="AM70" s="3" t="str">
        <f>'Pcell est vs PcellRGRASP'!BF75</f>
        <v>Ganado</v>
      </c>
      <c r="AN70" s="3" t="str">
        <f>'Pcell est vs PcellRGRASP'!BG75</f>
        <v>Perdido</v>
      </c>
      <c r="AO70" s="3" t="str">
        <f>'Pcell est vs PcellRGRASP'!BX75</f>
        <v>Ganado</v>
      </c>
      <c r="AP70" s="3" t="str">
        <f>'Pcell est vs PcellRGRASP'!BY75</f>
        <v>Perdido</v>
      </c>
      <c r="AQ70" s="3" t="str">
        <f>'Pcell est vs PcellRGRASP'!BZ75</f>
        <v>Ganado</v>
      </c>
      <c r="AR70" s="3" t="str">
        <f>'Pcell est vs PcellRGRASP'!CA75</f>
        <v>Perdido</v>
      </c>
      <c r="AT70" s="3" t="str">
        <f>'PcellRGRASP vs Pcell rand'!BD75</f>
        <v>Ganado</v>
      </c>
      <c r="AU70" s="3" t="str">
        <f>'PcellRGRASP vs Pcell rand'!BE75</f>
        <v>Perdido</v>
      </c>
      <c r="AV70" s="3" t="str">
        <f>'PcellRGRASP vs Pcell rand'!BF75</f>
        <v>Ganado</v>
      </c>
      <c r="AW70" s="3" t="str">
        <f>'PcellRGRASP vs Pcell rand'!BG75</f>
        <v>Perdido</v>
      </c>
      <c r="AX70" s="3" t="str">
        <f>'PcellRGRASP vs Pcell rand'!BX75</f>
        <v>Ganado</v>
      </c>
      <c r="AY70" s="3" t="str">
        <f>'PcellRGRASP vs Pcell rand'!BY75</f>
        <v>Perdido</v>
      </c>
      <c r="AZ70" s="3" t="str">
        <f>'PcellRGRASP vs Pcell rand'!BZ75</f>
        <v>Ganado</v>
      </c>
      <c r="BA70" s="3" t="str">
        <f>'PcellRGRASP vs Pcell rand'!CA75</f>
        <v>Perdido</v>
      </c>
    </row>
    <row r="71" spans="1:53" x14ac:dyDescent="0.3">
      <c r="A71" s="3">
        <f>'Pcell vs GRASP est-rand'!AX77</f>
        <v>18</v>
      </c>
      <c r="B71" s="3">
        <f>'Pcell vs GRASP est-rand'!AY77</f>
        <v>12</v>
      </c>
      <c r="C71" s="3">
        <f>'Pcell vs GRASP est-rand'!AZ77</f>
        <v>12</v>
      </c>
      <c r="D71" s="3">
        <f>'Pcell vs GRASP est-rand'!BA77</f>
        <v>18</v>
      </c>
      <c r="E71" s="3">
        <f>'Pcell vs GRASP est-rand'!BP77</f>
        <v>20</v>
      </c>
      <c r="F71" s="3">
        <f>'Pcell vs GRASP est-rand'!BQ77</f>
        <v>10</v>
      </c>
      <c r="G71" s="3">
        <f>'Pcell vs GRASP est-rand'!BR77</f>
        <v>11</v>
      </c>
      <c r="H71" s="3">
        <f>'Pcell vs GRASP est-rand'!BS77</f>
        <v>19</v>
      </c>
      <c r="J71" s="3">
        <v>14</v>
      </c>
      <c r="K71" s="3">
        <v>16</v>
      </c>
      <c r="L71" s="3">
        <v>17</v>
      </c>
      <c r="M71" s="3">
        <v>13</v>
      </c>
      <c r="N71" s="3">
        <v>17</v>
      </c>
      <c r="O71" s="3">
        <v>13</v>
      </c>
      <c r="P71" s="3">
        <v>14</v>
      </c>
      <c r="Q71" s="3">
        <v>16</v>
      </c>
      <c r="S71" s="3">
        <f>'PCellRGRASP vs RGRASP'!AX76</f>
        <v>19</v>
      </c>
      <c r="T71" s="3">
        <f>'PCellRGRASP vs RGRASP'!AY76</f>
        <v>11</v>
      </c>
      <c r="U71" s="3">
        <f>'PCellRGRASP vs RGRASP'!AZ76</f>
        <v>12</v>
      </c>
      <c r="V71" s="3">
        <f>'PCellRGRASP vs RGRASP'!BA76</f>
        <v>18</v>
      </c>
      <c r="W71" s="3">
        <f>'PCellRGRASP vs RGRASP'!BP76</f>
        <v>17</v>
      </c>
      <c r="X71" s="3">
        <f>'PCellRGRASP vs RGRASP'!BQ76</f>
        <v>13</v>
      </c>
      <c r="Y71" s="3">
        <f>'PCellRGRASP vs RGRASP'!BR76</f>
        <v>15</v>
      </c>
      <c r="Z71" s="3">
        <f>'PCellRGRASP vs RGRASP'!BS76</f>
        <v>15</v>
      </c>
      <c r="AB71" s="3">
        <f>'Pcell est vs Pcell rand'!BD77</f>
        <v>30</v>
      </c>
      <c r="AC71" s="3">
        <f>'Pcell est vs Pcell rand'!BE77</f>
        <v>0</v>
      </c>
      <c r="AD71" s="3">
        <f>'Pcell est vs Pcell rand'!BF77</f>
        <v>0</v>
      </c>
      <c r="AE71" s="3">
        <f>'Pcell est vs Pcell rand'!BG77</f>
        <v>30</v>
      </c>
      <c r="AF71" s="3">
        <f>'Pcell est vs Pcell rand'!BX77</f>
        <v>27</v>
      </c>
      <c r="AG71" s="3">
        <f>'Pcell est vs Pcell rand'!BY77</f>
        <v>3</v>
      </c>
      <c r="AH71" s="3">
        <f>'Pcell est vs Pcell rand'!BZ77</f>
        <v>3</v>
      </c>
      <c r="AI71" s="3">
        <f>'Pcell est vs Pcell rand'!CA77</f>
        <v>27</v>
      </c>
      <c r="AK71" s="3">
        <f>'Pcell est vs PcellRGRASP'!BD77</f>
        <v>21</v>
      </c>
      <c r="AL71" s="3">
        <f>'Pcell est vs PcellRGRASP'!BE77</f>
        <v>9</v>
      </c>
      <c r="AM71" s="3">
        <f>'Pcell est vs PcellRGRASP'!BF77</f>
        <v>9</v>
      </c>
      <c r="AN71" s="3">
        <f>'Pcell est vs PcellRGRASP'!BG77</f>
        <v>21</v>
      </c>
      <c r="AO71" s="3">
        <f>'Pcell est vs PcellRGRASP'!BX77</f>
        <v>18</v>
      </c>
      <c r="AP71" s="3">
        <f>'Pcell est vs PcellRGRASP'!BY77</f>
        <v>12</v>
      </c>
      <c r="AQ71" s="3">
        <f>'Pcell est vs PcellRGRASP'!BZ77</f>
        <v>12</v>
      </c>
      <c r="AR71" s="3">
        <f>'Pcell est vs PcellRGRASP'!CA77</f>
        <v>18</v>
      </c>
      <c r="AT71" s="3">
        <f>'PcellRGRASP vs Pcell rand'!BD77</f>
        <v>11</v>
      </c>
      <c r="AU71" s="3">
        <f>'PcellRGRASP vs Pcell rand'!BE77</f>
        <v>19</v>
      </c>
      <c r="AV71" s="3">
        <f>'PcellRGRASP vs Pcell rand'!BF77</f>
        <v>19</v>
      </c>
      <c r="AW71" s="3">
        <f>'PcellRGRASP vs Pcell rand'!BG77</f>
        <v>11</v>
      </c>
      <c r="AX71" s="3">
        <f>'PcellRGRASP vs Pcell rand'!BX77</f>
        <v>15</v>
      </c>
      <c r="AY71" s="3">
        <f>'PcellRGRASP vs Pcell rand'!BY77</f>
        <v>15</v>
      </c>
      <c r="AZ71" s="3">
        <f>'PcellRGRASP vs Pcell rand'!BZ77</f>
        <v>15</v>
      </c>
      <c r="BA71" s="3">
        <f>'PcellRGRASP vs Pcell rand'!CA77</f>
        <v>15</v>
      </c>
    </row>
    <row r="73" spans="1:53" x14ac:dyDescent="0.3">
      <c r="A73" s="19">
        <v>45</v>
      </c>
      <c r="B73" s="19"/>
      <c r="C73" s="19"/>
      <c r="D73" s="19"/>
      <c r="E73" s="19">
        <v>45</v>
      </c>
      <c r="F73" s="19"/>
      <c r="G73" s="19"/>
      <c r="H73" s="19"/>
      <c r="J73" s="19">
        <v>45</v>
      </c>
      <c r="K73" s="19"/>
      <c r="L73" s="19"/>
      <c r="M73" s="19"/>
      <c r="N73" s="19">
        <v>45</v>
      </c>
      <c r="O73" s="19"/>
      <c r="P73" s="19"/>
      <c r="Q73" s="19"/>
      <c r="S73" s="19">
        <v>45</v>
      </c>
      <c r="T73" s="19"/>
      <c r="U73" s="19"/>
      <c r="V73" s="19"/>
      <c r="W73" s="19">
        <v>45</v>
      </c>
      <c r="X73" s="19"/>
      <c r="Y73" s="19"/>
      <c r="Z73" s="19"/>
      <c r="AB73" s="19">
        <v>45</v>
      </c>
      <c r="AC73" s="19"/>
      <c r="AD73" s="19"/>
      <c r="AE73" s="19"/>
      <c r="AF73" s="19">
        <v>45</v>
      </c>
      <c r="AG73" s="19"/>
      <c r="AH73" s="19"/>
      <c r="AI73" s="19"/>
      <c r="AK73" s="19">
        <v>45</v>
      </c>
      <c r="AL73" s="19"/>
      <c r="AM73" s="19"/>
      <c r="AN73" s="19"/>
      <c r="AO73" s="19">
        <v>45</v>
      </c>
      <c r="AP73" s="19"/>
      <c r="AQ73" s="19"/>
      <c r="AR73" s="19"/>
      <c r="AT73" s="19">
        <v>45</v>
      </c>
      <c r="AU73" s="19"/>
      <c r="AV73" s="19"/>
      <c r="AW73" s="19"/>
      <c r="AX73" s="19">
        <v>45</v>
      </c>
      <c r="AY73" s="19"/>
      <c r="AZ73" s="19"/>
      <c r="BA73" s="19"/>
    </row>
    <row r="74" spans="1:53" x14ac:dyDescent="0.3">
      <c r="A74" s="19" t="s">
        <v>328</v>
      </c>
      <c r="B74" s="19"/>
      <c r="C74" s="19" t="s">
        <v>329</v>
      </c>
      <c r="D74" s="19"/>
      <c r="E74" s="19" t="s">
        <v>328</v>
      </c>
      <c r="F74" s="19"/>
      <c r="G74" s="19" t="s">
        <v>329</v>
      </c>
      <c r="H74" s="19"/>
      <c r="J74" s="19" t="s">
        <v>336</v>
      </c>
      <c r="K74" s="19"/>
      <c r="L74" s="19" t="s">
        <v>329</v>
      </c>
      <c r="M74" s="19"/>
      <c r="N74" s="19" t="s">
        <v>336</v>
      </c>
      <c r="O74" s="19"/>
      <c r="P74" s="19" t="s">
        <v>329</v>
      </c>
      <c r="Q74" s="19"/>
      <c r="S74" s="19" t="s">
        <v>339</v>
      </c>
      <c r="T74" s="19"/>
      <c r="U74" s="19" t="s">
        <v>340</v>
      </c>
      <c r="V74" s="19"/>
      <c r="W74" s="19" t="s">
        <v>339</v>
      </c>
      <c r="X74" s="19"/>
      <c r="Y74" s="19" t="s">
        <v>340</v>
      </c>
      <c r="Z74" s="19"/>
      <c r="AB74" s="19" t="s">
        <v>328</v>
      </c>
      <c r="AC74" s="19"/>
      <c r="AD74" s="19" t="s">
        <v>336</v>
      </c>
      <c r="AE74" s="19"/>
      <c r="AF74" s="19" t="s">
        <v>328</v>
      </c>
      <c r="AG74" s="19"/>
      <c r="AH74" s="19" t="s">
        <v>336</v>
      </c>
      <c r="AI74" s="19"/>
      <c r="AK74" s="19" t="s">
        <v>328</v>
      </c>
      <c r="AL74" s="19"/>
      <c r="AM74" s="19" t="s">
        <v>337</v>
      </c>
      <c r="AN74" s="19"/>
      <c r="AO74" s="19" t="s">
        <v>328</v>
      </c>
      <c r="AP74" s="19"/>
      <c r="AQ74" s="19" t="s">
        <v>337</v>
      </c>
      <c r="AR74" s="19"/>
      <c r="AT74" s="20" t="s">
        <v>337</v>
      </c>
      <c r="AU74" s="22"/>
      <c r="AV74" s="19" t="s">
        <v>336</v>
      </c>
      <c r="AW74" s="19"/>
      <c r="AX74" s="20" t="s">
        <v>337</v>
      </c>
      <c r="AY74" s="22"/>
      <c r="AZ74" s="19" t="s">
        <v>336</v>
      </c>
      <c r="BA74" s="19"/>
    </row>
    <row r="75" spans="1:53" x14ac:dyDescent="0.3">
      <c r="A75" s="19" t="s">
        <v>330</v>
      </c>
      <c r="B75" s="19"/>
      <c r="C75" s="19"/>
      <c r="D75" s="19"/>
      <c r="E75" s="19" t="s">
        <v>331</v>
      </c>
      <c r="F75" s="19"/>
      <c r="G75" s="19"/>
      <c r="H75" s="19"/>
      <c r="J75" s="19" t="s">
        <v>330</v>
      </c>
      <c r="K75" s="19"/>
      <c r="L75" s="19"/>
      <c r="M75" s="19"/>
      <c r="N75" s="19" t="s">
        <v>331</v>
      </c>
      <c r="O75" s="19"/>
      <c r="P75" s="19"/>
      <c r="Q75" s="19"/>
      <c r="S75" s="19" t="s">
        <v>330</v>
      </c>
      <c r="T75" s="19"/>
      <c r="U75" s="19"/>
      <c r="V75" s="19"/>
      <c r="W75" s="19" t="s">
        <v>331</v>
      </c>
      <c r="X75" s="19"/>
      <c r="Y75" s="19"/>
      <c r="Z75" s="19"/>
      <c r="AB75" s="19" t="s">
        <v>330</v>
      </c>
      <c r="AC75" s="19"/>
      <c r="AD75" s="19"/>
      <c r="AE75" s="19"/>
      <c r="AF75" s="19" t="s">
        <v>331</v>
      </c>
      <c r="AG75" s="19"/>
      <c r="AH75" s="19"/>
      <c r="AI75" s="19"/>
      <c r="AK75" s="19" t="s">
        <v>330</v>
      </c>
      <c r="AL75" s="19"/>
      <c r="AM75" s="19"/>
      <c r="AN75" s="19"/>
      <c r="AO75" s="19" t="s">
        <v>331</v>
      </c>
      <c r="AP75" s="19"/>
      <c r="AQ75" s="19"/>
      <c r="AR75" s="19"/>
      <c r="AT75" s="19" t="s">
        <v>330</v>
      </c>
      <c r="AU75" s="19"/>
      <c r="AV75" s="19"/>
      <c r="AW75" s="19"/>
      <c r="AX75" s="19" t="s">
        <v>331</v>
      </c>
      <c r="AY75" s="19"/>
      <c r="AZ75" s="19"/>
      <c r="BA75" s="19"/>
    </row>
    <row r="76" spans="1:53" x14ac:dyDescent="0.3">
      <c r="A76" s="3" t="s">
        <v>322</v>
      </c>
      <c r="B76" s="3" t="s">
        <v>323</v>
      </c>
      <c r="C76" s="3" t="s">
        <v>322</v>
      </c>
      <c r="D76" s="3" t="s">
        <v>323</v>
      </c>
      <c r="E76" s="3" t="s">
        <v>322</v>
      </c>
      <c r="F76" s="3" t="s">
        <v>323</v>
      </c>
      <c r="G76" s="3" t="s">
        <v>322</v>
      </c>
      <c r="H76" s="3" t="s">
        <v>323</v>
      </c>
      <c r="J76" s="3" t="s">
        <v>322</v>
      </c>
      <c r="K76" s="3" t="s">
        <v>323</v>
      </c>
      <c r="L76" s="3" t="s">
        <v>322</v>
      </c>
      <c r="M76" s="3" t="s">
        <v>323</v>
      </c>
      <c r="N76" s="3" t="s">
        <v>322</v>
      </c>
      <c r="O76" s="3" t="s">
        <v>323</v>
      </c>
      <c r="P76" s="3" t="s">
        <v>322</v>
      </c>
      <c r="Q76" s="3" t="s">
        <v>323</v>
      </c>
      <c r="S76" s="15" t="str">
        <f>'PCellRGRASP vs RGRASP'!AX109</f>
        <v>Ganado</v>
      </c>
      <c r="T76" s="15" t="str">
        <f>'PCellRGRASP vs RGRASP'!AY109</f>
        <v>Perdido</v>
      </c>
      <c r="U76" s="15" t="str">
        <f>'PCellRGRASP vs RGRASP'!AZ109</f>
        <v>Ganado</v>
      </c>
      <c r="V76" s="15" t="str">
        <f>'PCellRGRASP vs RGRASP'!BA109</f>
        <v>Perdido</v>
      </c>
      <c r="W76" s="15" t="str">
        <f>'PCellRGRASP vs RGRASP'!BP109</f>
        <v>Ganado</v>
      </c>
      <c r="X76" s="15" t="str">
        <f>'PCellRGRASP vs RGRASP'!BQ109</f>
        <v>Perdido</v>
      </c>
      <c r="Y76" s="15" t="str">
        <f>'PCellRGRASP vs RGRASP'!BR109</f>
        <v>Ganado</v>
      </c>
      <c r="Z76" s="15" t="str">
        <f>'PCellRGRASP vs RGRASP'!BS109</f>
        <v>Perdido</v>
      </c>
      <c r="AB76" s="15" t="str">
        <f>'Pcell est vs Pcell rand'!BD110</f>
        <v>Ganado</v>
      </c>
      <c r="AC76" s="15" t="str">
        <f>'Pcell est vs Pcell rand'!BE110</f>
        <v>Perdido</v>
      </c>
      <c r="AD76" s="15" t="str">
        <f>'Pcell est vs Pcell rand'!BF110</f>
        <v>Ganado</v>
      </c>
      <c r="AE76" s="15" t="str">
        <f>'Pcell est vs Pcell rand'!BG110</f>
        <v>Perdido</v>
      </c>
      <c r="AF76" s="15" t="str">
        <f>'Pcell est vs Pcell rand'!BX110</f>
        <v>Ganado</v>
      </c>
      <c r="AG76" s="15" t="str">
        <f>'Pcell est vs Pcell rand'!BY110</f>
        <v>Perdido</v>
      </c>
      <c r="AH76" s="15" t="str">
        <f>'Pcell est vs Pcell rand'!BZ110</f>
        <v>Ganado</v>
      </c>
      <c r="AI76" s="15" t="str">
        <f>'Pcell est vs Pcell rand'!CA110</f>
        <v>Perdido</v>
      </c>
      <c r="AK76" s="3" t="str">
        <f>'Pcell est vs PcellRGRASP'!BD110</f>
        <v>Ganado</v>
      </c>
      <c r="AL76" s="3" t="str">
        <f>'Pcell est vs PcellRGRASP'!BE110</f>
        <v>Perdido</v>
      </c>
      <c r="AM76" s="3" t="str">
        <f>'Pcell est vs PcellRGRASP'!BF110</f>
        <v>Ganado</v>
      </c>
      <c r="AN76" s="3" t="str">
        <f>'Pcell est vs PcellRGRASP'!BG110</f>
        <v>Perdido</v>
      </c>
      <c r="AO76" s="3" t="str">
        <f>'Pcell est vs PcellRGRASP'!BX110</f>
        <v>Ganado</v>
      </c>
      <c r="AP76" s="3" t="str">
        <f>'Pcell est vs PcellRGRASP'!BY110</f>
        <v>Perdido</v>
      </c>
      <c r="AQ76" s="3" t="str">
        <f>'Pcell est vs PcellRGRASP'!BZ110</f>
        <v>Ganado</v>
      </c>
      <c r="AR76" s="3" t="str">
        <f>'Pcell est vs PcellRGRASP'!CA110</f>
        <v>Perdido</v>
      </c>
      <c r="AT76" s="3" t="str">
        <f>'PcellRGRASP vs Pcell rand'!BD110</f>
        <v>Ganado</v>
      </c>
      <c r="AU76" s="3" t="str">
        <f>'PcellRGRASP vs Pcell rand'!BE110</f>
        <v>Perdido</v>
      </c>
      <c r="AV76" s="3" t="str">
        <f>'PcellRGRASP vs Pcell rand'!BF110</f>
        <v>Ganado</v>
      </c>
      <c r="AW76" s="3" t="str">
        <f>'PcellRGRASP vs Pcell rand'!BG110</f>
        <v>Perdido</v>
      </c>
      <c r="AX76" s="3" t="str">
        <f>'PcellRGRASP vs Pcell rand'!BX110</f>
        <v>Ganado</v>
      </c>
      <c r="AY76" s="3" t="str">
        <f>'PcellRGRASP vs Pcell rand'!BY110</f>
        <v>Perdido</v>
      </c>
      <c r="AZ76" s="3" t="str">
        <f>'PcellRGRASP vs Pcell rand'!BZ110</f>
        <v>Ganado</v>
      </c>
      <c r="BA76" s="3" t="str">
        <f>'PcellRGRASP vs Pcell rand'!CA110</f>
        <v>Perdido</v>
      </c>
    </row>
    <row r="77" spans="1:53" x14ac:dyDescent="0.3">
      <c r="A77" s="3">
        <v>22</v>
      </c>
      <c r="B77" s="3">
        <v>8</v>
      </c>
      <c r="C77" s="3">
        <v>8</v>
      </c>
      <c r="D77" s="3">
        <v>22</v>
      </c>
      <c r="E77" s="3">
        <v>23</v>
      </c>
      <c r="F77" s="3">
        <v>7</v>
      </c>
      <c r="G77" s="3">
        <v>8</v>
      </c>
      <c r="H77" s="3">
        <v>22</v>
      </c>
      <c r="J77" s="3">
        <v>18</v>
      </c>
      <c r="K77" s="3">
        <v>12</v>
      </c>
      <c r="L77" s="3">
        <v>13</v>
      </c>
      <c r="M77" s="3">
        <v>17</v>
      </c>
      <c r="N77" s="3">
        <v>16</v>
      </c>
      <c r="O77" s="3">
        <v>14</v>
      </c>
      <c r="P77" s="3">
        <v>15</v>
      </c>
      <c r="Q77" s="3">
        <v>15</v>
      </c>
      <c r="S77" s="15">
        <f>'PCellRGRASP vs RGRASP'!AX111</f>
        <v>10</v>
      </c>
      <c r="T77" s="15">
        <f>'PCellRGRASP vs RGRASP'!AY111</f>
        <v>20</v>
      </c>
      <c r="U77" s="15">
        <f>'PCellRGRASP vs RGRASP'!AZ111</f>
        <v>21</v>
      </c>
      <c r="V77" s="15">
        <f>'PCellRGRASP vs RGRASP'!BA111</f>
        <v>9</v>
      </c>
      <c r="W77" s="15">
        <f>'PCellRGRASP vs RGRASP'!BP111</f>
        <v>13</v>
      </c>
      <c r="X77" s="15">
        <f>'PCellRGRASP vs RGRASP'!BQ111</f>
        <v>17</v>
      </c>
      <c r="Y77" s="15">
        <f>'PCellRGRASP vs RGRASP'!BR111</f>
        <v>18</v>
      </c>
      <c r="Z77" s="15">
        <f>'PCellRGRASP vs RGRASP'!BS111</f>
        <v>12</v>
      </c>
      <c r="AB77" s="15">
        <f>'Pcell est vs Pcell rand'!BD112</f>
        <v>29</v>
      </c>
      <c r="AC77" s="15">
        <f>'Pcell est vs Pcell rand'!BE112</f>
        <v>1</v>
      </c>
      <c r="AD77" s="15">
        <f>'Pcell est vs Pcell rand'!BF112</f>
        <v>1</v>
      </c>
      <c r="AE77" s="15">
        <f>'Pcell est vs Pcell rand'!BG112</f>
        <v>29</v>
      </c>
      <c r="AF77" s="15">
        <f>'Pcell est vs Pcell rand'!BX112</f>
        <v>30</v>
      </c>
      <c r="AG77" s="15">
        <f>'Pcell est vs Pcell rand'!BY112</f>
        <v>0</v>
      </c>
      <c r="AH77" s="15">
        <f>'Pcell est vs Pcell rand'!BZ112</f>
        <v>0</v>
      </c>
      <c r="AI77" s="15">
        <f>'Pcell est vs Pcell rand'!CA112</f>
        <v>30</v>
      </c>
      <c r="AK77" s="3">
        <f>'Pcell est vs PcellRGRASP'!BD112</f>
        <v>26</v>
      </c>
      <c r="AL77" s="3">
        <f>'Pcell est vs PcellRGRASP'!BE112</f>
        <v>4</v>
      </c>
      <c r="AM77" s="3">
        <f>'Pcell est vs PcellRGRASP'!BF112</f>
        <v>4</v>
      </c>
      <c r="AN77" s="3">
        <f>'Pcell est vs PcellRGRASP'!BG112</f>
        <v>26</v>
      </c>
      <c r="AO77" s="3">
        <f>'Pcell est vs PcellRGRASP'!BX112</f>
        <v>22</v>
      </c>
      <c r="AP77" s="3">
        <f>'Pcell est vs PcellRGRASP'!BY112</f>
        <v>8</v>
      </c>
      <c r="AQ77" s="3">
        <f>'Pcell est vs PcellRGRASP'!BZ112</f>
        <v>8</v>
      </c>
      <c r="AR77" s="3">
        <f>'Pcell est vs PcellRGRASP'!CA112</f>
        <v>22</v>
      </c>
      <c r="AT77" s="3">
        <f>'PcellRGRASP vs Pcell rand'!BD112</f>
        <v>7</v>
      </c>
      <c r="AU77" s="3">
        <f>'PcellRGRASP vs Pcell rand'!BE112</f>
        <v>23</v>
      </c>
      <c r="AV77" s="3">
        <f>'PcellRGRASP vs Pcell rand'!BF112</f>
        <v>23</v>
      </c>
      <c r="AW77" s="3">
        <f>'PcellRGRASP vs Pcell rand'!BG112</f>
        <v>7</v>
      </c>
      <c r="AX77" s="3">
        <f>'PcellRGRASP vs Pcell rand'!BX112</f>
        <v>8</v>
      </c>
      <c r="AY77" s="3">
        <f>'PcellRGRASP vs Pcell rand'!BY112</f>
        <v>22</v>
      </c>
      <c r="AZ77" s="3">
        <f>'PcellRGRASP vs Pcell rand'!BZ112</f>
        <v>22</v>
      </c>
      <c r="BA77" s="3">
        <f>'PcellRGRASP vs Pcell rand'!CA112</f>
        <v>8</v>
      </c>
    </row>
    <row r="78" spans="1:53" x14ac:dyDescent="0.3">
      <c r="A78" s="20" t="s">
        <v>332</v>
      </c>
      <c r="B78" s="21"/>
      <c r="C78" s="21"/>
      <c r="D78" s="22"/>
      <c r="E78" s="20" t="s">
        <v>333</v>
      </c>
      <c r="F78" s="21"/>
      <c r="G78" s="21"/>
      <c r="H78" s="22"/>
      <c r="J78" s="19" t="s">
        <v>332</v>
      </c>
      <c r="K78" s="19"/>
      <c r="L78" s="19"/>
      <c r="M78" s="19"/>
      <c r="N78" s="19" t="s">
        <v>333</v>
      </c>
      <c r="O78" s="19"/>
      <c r="P78" s="19"/>
      <c r="Q78" s="19"/>
      <c r="S78" s="19" t="s">
        <v>332</v>
      </c>
      <c r="T78" s="19"/>
      <c r="U78" s="19"/>
      <c r="V78" s="19"/>
      <c r="W78" s="19" t="s">
        <v>333</v>
      </c>
      <c r="X78" s="19"/>
      <c r="Y78" s="19"/>
      <c r="Z78" s="19"/>
      <c r="AB78" s="19" t="s">
        <v>332</v>
      </c>
      <c r="AC78" s="19"/>
      <c r="AD78" s="19"/>
      <c r="AE78" s="19"/>
      <c r="AF78" s="19" t="s">
        <v>333</v>
      </c>
      <c r="AG78" s="19"/>
      <c r="AH78" s="19"/>
      <c r="AI78" s="19"/>
      <c r="AK78" s="19" t="s">
        <v>332</v>
      </c>
      <c r="AL78" s="19"/>
      <c r="AM78" s="19"/>
      <c r="AN78" s="19"/>
      <c r="AO78" s="19" t="s">
        <v>333</v>
      </c>
      <c r="AP78" s="19"/>
      <c r="AQ78" s="19"/>
      <c r="AR78" s="19"/>
      <c r="AT78" s="19" t="s">
        <v>332</v>
      </c>
      <c r="AU78" s="19"/>
      <c r="AV78" s="19"/>
      <c r="AW78" s="19"/>
      <c r="AX78" s="19" t="s">
        <v>333</v>
      </c>
      <c r="AY78" s="19"/>
      <c r="AZ78" s="19"/>
      <c r="BA78" s="19"/>
    </row>
    <row r="79" spans="1:53" x14ac:dyDescent="0.3">
      <c r="A79" s="3" t="s">
        <v>322</v>
      </c>
      <c r="B79" s="3" t="s">
        <v>323</v>
      </c>
      <c r="C79" s="3" t="s">
        <v>322</v>
      </c>
      <c r="D79" s="3" t="s">
        <v>323</v>
      </c>
      <c r="E79" s="3" t="s">
        <v>322</v>
      </c>
      <c r="F79" s="3" t="s">
        <v>323</v>
      </c>
      <c r="G79" s="3" t="s">
        <v>322</v>
      </c>
      <c r="H79" s="3" t="s">
        <v>323</v>
      </c>
      <c r="J79" s="3" t="s">
        <v>322</v>
      </c>
      <c r="K79" s="3" t="s">
        <v>323</v>
      </c>
      <c r="L79" s="3" t="s">
        <v>322</v>
      </c>
      <c r="M79" s="3" t="s">
        <v>323</v>
      </c>
      <c r="N79" s="3" t="s">
        <v>322</v>
      </c>
      <c r="O79" s="3" t="s">
        <v>323</v>
      </c>
      <c r="P79" s="3" t="s">
        <v>322</v>
      </c>
      <c r="Q79" s="3" t="s">
        <v>323</v>
      </c>
      <c r="S79" s="15" t="str">
        <f>'PCellRGRASP vs RGRASP'!AX145</f>
        <v>Ganado</v>
      </c>
      <c r="T79" s="15" t="str">
        <f>'PCellRGRASP vs RGRASP'!AY145</f>
        <v>Perdido</v>
      </c>
      <c r="U79" s="15" t="str">
        <f>'PCellRGRASP vs RGRASP'!AZ145</f>
        <v>Ganado</v>
      </c>
      <c r="V79" s="15" t="str">
        <f>'PCellRGRASP vs RGRASP'!BA145</f>
        <v>Perdido</v>
      </c>
      <c r="W79" s="15" t="str">
        <f>'PCellRGRASP vs RGRASP'!BP145</f>
        <v>Ganado</v>
      </c>
      <c r="X79" s="15" t="str">
        <f>'PCellRGRASP vs RGRASP'!BQ145</f>
        <v>Perdido</v>
      </c>
      <c r="Y79" s="15" t="str">
        <f>'PCellRGRASP vs RGRASP'!BR145</f>
        <v>Ganado</v>
      </c>
      <c r="Z79" s="15" t="str">
        <f>'PCellRGRASP vs RGRASP'!BS145</f>
        <v>Perdido</v>
      </c>
      <c r="AB79" s="15" t="str">
        <f>'Pcell est vs Pcell rand'!BD146</f>
        <v>Ganado</v>
      </c>
      <c r="AC79" s="15" t="str">
        <f>'Pcell est vs Pcell rand'!BE146</f>
        <v>Perdido</v>
      </c>
      <c r="AD79" s="15" t="str">
        <f>'Pcell est vs Pcell rand'!BF146</f>
        <v>Ganado</v>
      </c>
      <c r="AE79" s="15" t="str">
        <f>'Pcell est vs Pcell rand'!BG146</f>
        <v>Perdido</v>
      </c>
      <c r="AF79" s="15" t="str">
        <f>'Pcell est vs Pcell rand'!BX146</f>
        <v>Ganado</v>
      </c>
      <c r="AG79" s="15" t="str">
        <f>'Pcell est vs Pcell rand'!BY146</f>
        <v>Perdido</v>
      </c>
      <c r="AH79" s="15" t="str">
        <f>'Pcell est vs Pcell rand'!BZ146</f>
        <v>Ganado</v>
      </c>
      <c r="AI79" s="15" t="str">
        <f>'Pcell est vs Pcell rand'!CA146</f>
        <v>Perdido</v>
      </c>
      <c r="AK79" s="3" t="str">
        <f>'Pcell est vs PcellRGRASP'!BD146</f>
        <v>Ganado</v>
      </c>
      <c r="AL79" s="3" t="str">
        <f>'Pcell est vs PcellRGRASP'!BE146</f>
        <v>Perdido</v>
      </c>
      <c r="AM79" s="3" t="str">
        <f>'Pcell est vs PcellRGRASP'!BF146</f>
        <v>Ganado</v>
      </c>
      <c r="AN79" s="3" t="str">
        <f>'Pcell est vs PcellRGRASP'!BG146</f>
        <v>Perdido</v>
      </c>
      <c r="AO79" s="3" t="str">
        <f>'Pcell est vs PcellRGRASP'!BX146</f>
        <v>Ganado</v>
      </c>
      <c r="AP79" s="3" t="str">
        <f>'Pcell est vs PcellRGRASP'!BY146</f>
        <v>Perdido</v>
      </c>
      <c r="AQ79" s="3" t="str">
        <f>'Pcell est vs PcellRGRASP'!BZ146</f>
        <v>Ganado</v>
      </c>
      <c r="AR79" s="3" t="str">
        <f>'Pcell est vs PcellRGRASP'!CA146</f>
        <v>Perdido</v>
      </c>
      <c r="AT79" s="3" t="str">
        <f>'PcellRGRASP vs Pcell rand'!BD146</f>
        <v>Ganado</v>
      </c>
      <c r="AU79" s="3" t="str">
        <f>'PcellRGRASP vs Pcell rand'!BE146</f>
        <v>Perdido</v>
      </c>
      <c r="AV79" s="3" t="str">
        <f>'PcellRGRASP vs Pcell rand'!BF146</f>
        <v>Ganado</v>
      </c>
      <c r="AW79" s="3" t="str">
        <f>'PcellRGRASP vs Pcell rand'!BG146</f>
        <v>Perdido</v>
      </c>
      <c r="AX79" s="3" t="str">
        <f>'PcellRGRASP vs Pcell rand'!BX146</f>
        <v>Ganado</v>
      </c>
      <c r="AY79" s="3" t="str">
        <f>'PcellRGRASP vs Pcell rand'!BY146</f>
        <v>Perdido</v>
      </c>
      <c r="AZ79" s="3" t="str">
        <f>'PcellRGRASP vs Pcell rand'!BZ146</f>
        <v>Ganado</v>
      </c>
      <c r="BA79" s="3" t="str">
        <f>'PcellRGRASP vs Pcell rand'!CA146</f>
        <v>Perdido</v>
      </c>
    </row>
    <row r="80" spans="1:53" x14ac:dyDescent="0.3">
      <c r="A80" s="3">
        <v>21</v>
      </c>
      <c r="B80" s="3">
        <v>9</v>
      </c>
      <c r="C80" s="3">
        <v>9</v>
      </c>
      <c r="D80" s="3">
        <v>21</v>
      </c>
      <c r="E80" s="3">
        <v>21</v>
      </c>
      <c r="F80" s="3">
        <v>9</v>
      </c>
      <c r="G80" s="3">
        <v>9</v>
      </c>
      <c r="H80" s="3">
        <v>21</v>
      </c>
      <c r="J80" s="3">
        <v>20</v>
      </c>
      <c r="K80" s="3">
        <v>10</v>
      </c>
      <c r="L80" s="3">
        <v>11</v>
      </c>
      <c r="M80" s="3">
        <v>19</v>
      </c>
      <c r="N80" s="3">
        <v>14</v>
      </c>
      <c r="O80" s="3">
        <v>16</v>
      </c>
      <c r="P80" s="3">
        <v>16</v>
      </c>
      <c r="Q80" s="3">
        <v>14</v>
      </c>
      <c r="S80" s="3">
        <f>'PCellRGRASP vs RGRASP'!AX147</f>
        <v>15</v>
      </c>
      <c r="T80" s="3">
        <f>'PCellRGRASP vs RGRASP'!AY147</f>
        <v>15</v>
      </c>
      <c r="U80" s="3">
        <f>'PCellRGRASP vs RGRASP'!AZ147</f>
        <v>16</v>
      </c>
      <c r="V80" s="3">
        <f>'PCellRGRASP vs RGRASP'!BA147</f>
        <v>14</v>
      </c>
      <c r="W80" s="3">
        <f>'PCellRGRASP vs RGRASP'!BP147</f>
        <v>20</v>
      </c>
      <c r="X80" s="3">
        <f>'PCellRGRASP vs RGRASP'!BQ147</f>
        <v>10</v>
      </c>
      <c r="Y80" s="3">
        <f>'PCellRGRASP vs RGRASP'!BR147</f>
        <v>11</v>
      </c>
      <c r="Z80" s="3">
        <f>'PCellRGRASP vs RGRASP'!BS147</f>
        <v>19</v>
      </c>
      <c r="AB80" s="15">
        <f>'Pcell est vs Pcell rand'!BD148</f>
        <v>29</v>
      </c>
      <c r="AC80" s="15">
        <f>'Pcell est vs Pcell rand'!BE148</f>
        <v>1</v>
      </c>
      <c r="AD80" s="15">
        <f>'Pcell est vs Pcell rand'!BF148</f>
        <v>2</v>
      </c>
      <c r="AE80" s="15">
        <f>'Pcell est vs Pcell rand'!BG148</f>
        <v>28</v>
      </c>
      <c r="AF80" s="15">
        <f>'Pcell est vs Pcell rand'!BX148</f>
        <v>28</v>
      </c>
      <c r="AG80" s="15">
        <f>'Pcell est vs Pcell rand'!BY148</f>
        <v>2</v>
      </c>
      <c r="AH80" s="15">
        <f>'Pcell est vs Pcell rand'!BZ148</f>
        <v>2</v>
      </c>
      <c r="AI80" s="15">
        <f>'Pcell est vs Pcell rand'!CA148</f>
        <v>28</v>
      </c>
      <c r="AK80" s="3">
        <f>'Pcell est vs PcellRGRASP'!BD148</f>
        <v>22</v>
      </c>
      <c r="AL80" s="3">
        <f>'Pcell est vs PcellRGRASP'!BE148</f>
        <v>8</v>
      </c>
      <c r="AM80" s="3">
        <f>'Pcell est vs PcellRGRASP'!BF148</f>
        <v>8</v>
      </c>
      <c r="AN80" s="3">
        <f>'Pcell est vs PcellRGRASP'!BG148</f>
        <v>22</v>
      </c>
      <c r="AO80" s="3">
        <f>'Pcell est vs PcellRGRASP'!BX148</f>
        <v>17</v>
      </c>
      <c r="AP80" s="3">
        <f>'Pcell est vs PcellRGRASP'!BY148</f>
        <v>13</v>
      </c>
      <c r="AQ80" s="3">
        <f>'Pcell est vs PcellRGRASP'!BZ148</f>
        <v>13</v>
      </c>
      <c r="AR80" s="3">
        <f>'Pcell est vs PcellRGRASP'!CA148</f>
        <v>17</v>
      </c>
      <c r="AT80" s="3">
        <f>'PcellRGRASP vs Pcell rand'!BD148</f>
        <v>9</v>
      </c>
      <c r="AU80" s="3">
        <f>'PcellRGRASP vs Pcell rand'!BE148</f>
        <v>21</v>
      </c>
      <c r="AV80" s="3">
        <f>'PcellRGRASP vs Pcell rand'!BF148</f>
        <v>21</v>
      </c>
      <c r="AW80" s="3">
        <f>'PcellRGRASP vs Pcell rand'!BG148</f>
        <v>9</v>
      </c>
      <c r="AX80" s="3">
        <f>'PcellRGRASP vs Pcell rand'!BX148</f>
        <v>13</v>
      </c>
      <c r="AY80" s="3">
        <f>'PcellRGRASP vs Pcell rand'!BY148</f>
        <v>17</v>
      </c>
      <c r="AZ80" s="3">
        <f>'PcellRGRASP vs Pcell rand'!BZ148</f>
        <v>17</v>
      </c>
      <c r="BA80" s="3">
        <f>'PcellRGRASP vs Pcell rand'!CA148</f>
        <v>13</v>
      </c>
    </row>
    <row r="81" spans="1:53" x14ac:dyDescent="0.3">
      <c r="A81" s="19" t="s">
        <v>334</v>
      </c>
      <c r="B81" s="19"/>
      <c r="C81" s="19"/>
      <c r="D81" s="19"/>
      <c r="E81" s="19" t="s">
        <v>335</v>
      </c>
      <c r="F81" s="19"/>
      <c r="G81" s="19"/>
      <c r="H81" s="19"/>
      <c r="J81" s="19" t="s">
        <v>334</v>
      </c>
      <c r="K81" s="19"/>
      <c r="L81" s="19"/>
      <c r="M81" s="19"/>
      <c r="N81" s="19" t="s">
        <v>335</v>
      </c>
      <c r="O81" s="19"/>
      <c r="P81" s="19"/>
      <c r="Q81" s="19"/>
      <c r="S81" s="19" t="s">
        <v>334</v>
      </c>
      <c r="T81" s="19"/>
      <c r="U81" s="19"/>
      <c r="V81" s="19"/>
      <c r="W81" s="19" t="s">
        <v>335</v>
      </c>
      <c r="X81" s="19"/>
      <c r="Y81" s="19"/>
      <c r="Z81" s="19"/>
      <c r="AB81" s="19" t="s">
        <v>334</v>
      </c>
      <c r="AC81" s="19"/>
      <c r="AD81" s="19"/>
      <c r="AE81" s="19"/>
      <c r="AF81" s="19" t="s">
        <v>335</v>
      </c>
      <c r="AG81" s="19"/>
      <c r="AH81" s="19"/>
      <c r="AI81" s="19"/>
      <c r="AK81" s="19" t="s">
        <v>334</v>
      </c>
      <c r="AL81" s="19"/>
      <c r="AM81" s="19"/>
      <c r="AN81" s="19"/>
      <c r="AO81" s="19" t="s">
        <v>335</v>
      </c>
      <c r="AP81" s="19"/>
      <c r="AQ81" s="19"/>
      <c r="AR81" s="19"/>
      <c r="AT81" s="19" t="s">
        <v>334</v>
      </c>
      <c r="AU81" s="19"/>
      <c r="AV81" s="19"/>
      <c r="AW81" s="19"/>
      <c r="AX81" s="19" t="s">
        <v>335</v>
      </c>
      <c r="AY81" s="19"/>
      <c r="AZ81" s="19"/>
      <c r="BA81" s="19"/>
    </row>
    <row r="82" spans="1:53" x14ac:dyDescent="0.3">
      <c r="A82" s="3" t="s">
        <v>322</v>
      </c>
      <c r="B82" s="3" t="s">
        <v>323</v>
      </c>
      <c r="C82" s="3" t="s">
        <v>322</v>
      </c>
      <c r="D82" s="3" t="s">
        <v>323</v>
      </c>
      <c r="E82" s="3" t="s">
        <v>322</v>
      </c>
      <c r="F82" s="3" t="s">
        <v>323</v>
      </c>
      <c r="G82" s="3" t="s">
        <v>322</v>
      </c>
      <c r="H82" s="3" t="s">
        <v>323</v>
      </c>
      <c r="J82" s="3" t="s">
        <v>322</v>
      </c>
      <c r="K82" s="3" t="s">
        <v>323</v>
      </c>
      <c r="L82" s="3" t="s">
        <v>322</v>
      </c>
      <c r="M82" s="3" t="s">
        <v>323</v>
      </c>
      <c r="N82" s="3" t="s">
        <v>322</v>
      </c>
      <c r="O82" s="3" t="s">
        <v>323</v>
      </c>
      <c r="P82" s="3" t="s">
        <v>322</v>
      </c>
      <c r="Q82" s="3" t="s">
        <v>323</v>
      </c>
      <c r="S82" s="3" t="str">
        <f>'PCellRGRASP vs RGRASP'!AX181</f>
        <v>Ganado</v>
      </c>
      <c r="T82" s="3" t="str">
        <f>'PCellRGRASP vs RGRASP'!AY181</f>
        <v>Perdido</v>
      </c>
      <c r="U82" s="3" t="str">
        <f>'PCellRGRASP vs RGRASP'!AZ181</f>
        <v>Ganado</v>
      </c>
      <c r="V82" s="3" t="str">
        <f>'PCellRGRASP vs RGRASP'!BA181</f>
        <v>Perdido</v>
      </c>
      <c r="W82" s="3" t="str">
        <f>'PCellRGRASP vs RGRASP'!BP181</f>
        <v>Ganado</v>
      </c>
      <c r="X82" s="3" t="str">
        <f>'PCellRGRASP vs RGRASP'!BQ181</f>
        <v>Perdido</v>
      </c>
      <c r="Y82" s="3" t="str">
        <f>'PCellRGRASP vs RGRASP'!BR181</f>
        <v>Ganado</v>
      </c>
      <c r="Z82" s="3" t="str">
        <f>'PCellRGRASP vs RGRASP'!BS181</f>
        <v>Perdido</v>
      </c>
      <c r="AB82" s="15" t="str">
        <f>'Pcell est vs Pcell rand'!BD182</f>
        <v>Ganado</v>
      </c>
      <c r="AC82" s="15" t="str">
        <f>'Pcell est vs Pcell rand'!BE182</f>
        <v>Perdido</v>
      </c>
      <c r="AD82" s="15" t="str">
        <f>'Pcell est vs Pcell rand'!BF182</f>
        <v>Ganado</v>
      </c>
      <c r="AE82" s="15" t="str">
        <f>'Pcell est vs Pcell rand'!BG182</f>
        <v>Perdido</v>
      </c>
      <c r="AF82" s="15" t="str">
        <f>'Pcell est vs Pcell rand'!BX182</f>
        <v>Ganado</v>
      </c>
      <c r="AG82" s="15" t="str">
        <f>'Pcell est vs Pcell rand'!BY182</f>
        <v>Perdido</v>
      </c>
      <c r="AH82" s="15" t="str">
        <f>'Pcell est vs Pcell rand'!BZ182</f>
        <v>Ganado</v>
      </c>
      <c r="AI82" s="15" t="str">
        <f>'Pcell est vs Pcell rand'!CA182</f>
        <v>Perdido</v>
      </c>
      <c r="AK82" s="3" t="str">
        <f>'Pcell est vs PcellRGRASP'!BD182</f>
        <v>Ganado</v>
      </c>
      <c r="AL82" s="3" t="str">
        <f>'Pcell est vs PcellRGRASP'!BE182</f>
        <v>Perdido</v>
      </c>
      <c r="AM82" s="3" t="str">
        <f>'Pcell est vs PcellRGRASP'!BF182</f>
        <v>Ganado</v>
      </c>
      <c r="AN82" s="3" t="str">
        <f>'Pcell est vs PcellRGRASP'!BG182</f>
        <v>Perdido</v>
      </c>
      <c r="AO82" s="3" t="str">
        <f>'Pcell est vs PcellRGRASP'!BX182</f>
        <v>Ganado</v>
      </c>
      <c r="AP82" s="3" t="str">
        <f>'Pcell est vs PcellRGRASP'!BY182</f>
        <v>Perdido</v>
      </c>
      <c r="AQ82" s="3" t="str">
        <f>'Pcell est vs PcellRGRASP'!BZ182</f>
        <v>Ganado</v>
      </c>
      <c r="AR82" s="3" t="str">
        <f>'Pcell est vs PcellRGRASP'!CA182</f>
        <v>Perdido</v>
      </c>
      <c r="AT82" s="3" t="str">
        <f>'PcellRGRASP vs Pcell rand'!BD182</f>
        <v>Ganado</v>
      </c>
      <c r="AU82" s="3" t="str">
        <f>'PcellRGRASP vs Pcell rand'!BE182</f>
        <v>Perdido</v>
      </c>
      <c r="AV82" s="3" t="str">
        <f>'PcellRGRASP vs Pcell rand'!BF182</f>
        <v>Ganado</v>
      </c>
      <c r="AW82" s="3" t="str">
        <f>'PcellRGRASP vs Pcell rand'!BG182</f>
        <v>Perdido</v>
      </c>
      <c r="AX82" s="3" t="str">
        <f>'PcellRGRASP vs Pcell rand'!BX182</f>
        <v>Ganado</v>
      </c>
      <c r="AY82" s="3" t="str">
        <f>'PcellRGRASP vs Pcell rand'!BY182</f>
        <v>Perdido</v>
      </c>
      <c r="AZ82" s="3" t="str">
        <f>'PcellRGRASP vs Pcell rand'!BZ182</f>
        <v>Ganado</v>
      </c>
      <c r="BA82" s="3" t="str">
        <f>'PcellRGRASP vs Pcell rand'!CA182</f>
        <v>Perdido</v>
      </c>
    </row>
    <row r="83" spans="1:53" x14ac:dyDescent="0.3">
      <c r="A83" s="3">
        <v>24</v>
      </c>
      <c r="B83" s="3">
        <v>6</v>
      </c>
      <c r="C83" s="3">
        <v>6</v>
      </c>
      <c r="D83" s="3">
        <v>24</v>
      </c>
      <c r="E83" s="3">
        <v>20</v>
      </c>
      <c r="F83" s="3">
        <v>10</v>
      </c>
      <c r="G83" s="3">
        <v>10</v>
      </c>
      <c r="H83" s="3">
        <v>20</v>
      </c>
      <c r="J83" s="3">
        <v>19</v>
      </c>
      <c r="K83" s="3">
        <v>11</v>
      </c>
      <c r="L83" s="3">
        <v>13</v>
      </c>
      <c r="M83" s="3">
        <v>17</v>
      </c>
      <c r="N83" s="3">
        <v>14</v>
      </c>
      <c r="O83" s="3">
        <v>16</v>
      </c>
      <c r="P83" s="3">
        <v>15</v>
      </c>
      <c r="Q83" s="3">
        <v>15</v>
      </c>
      <c r="S83" s="3">
        <f>'PCellRGRASP vs RGRASP'!AX183</f>
        <v>13</v>
      </c>
      <c r="T83" s="3">
        <f>'PCellRGRASP vs RGRASP'!AY183</f>
        <v>17</v>
      </c>
      <c r="U83" s="3">
        <f>'PCellRGRASP vs RGRASP'!AZ183</f>
        <v>18</v>
      </c>
      <c r="V83" s="3">
        <f>'PCellRGRASP vs RGRASP'!BA183</f>
        <v>12</v>
      </c>
      <c r="W83" s="3">
        <f>'PCellRGRASP vs RGRASP'!BP183</f>
        <v>12</v>
      </c>
      <c r="X83" s="3">
        <f>'PCellRGRASP vs RGRASP'!BQ183</f>
        <v>18</v>
      </c>
      <c r="Y83" s="3">
        <f>'PCellRGRASP vs RGRASP'!BR183</f>
        <v>19</v>
      </c>
      <c r="Z83" s="3">
        <f>'PCellRGRASP vs RGRASP'!BS183</f>
        <v>11</v>
      </c>
      <c r="AB83" s="15">
        <f>'Pcell est vs Pcell rand'!BD184</f>
        <v>30</v>
      </c>
      <c r="AC83" s="15">
        <f>'Pcell est vs Pcell rand'!BE184</f>
        <v>0</v>
      </c>
      <c r="AD83" s="15">
        <f>'Pcell est vs Pcell rand'!BF184</f>
        <v>0</v>
      </c>
      <c r="AE83" s="15">
        <f>'Pcell est vs Pcell rand'!BG184</f>
        <v>30</v>
      </c>
      <c r="AF83" s="15">
        <f>'Pcell est vs Pcell rand'!BX184</f>
        <v>30</v>
      </c>
      <c r="AG83" s="15">
        <f>'Pcell est vs Pcell rand'!BY184</f>
        <v>0</v>
      </c>
      <c r="AH83" s="15">
        <f>'Pcell est vs Pcell rand'!BZ184</f>
        <v>0</v>
      </c>
      <c r="AI83" s="15">
        <f>'Pcell est vs Pcell rand'!CA184</f>
        <v>30</v>
      </c>
      <c r="AK83" s="3">
        <f>'Pcell est vs PcellRGRASP'!BD184</f>
        <v>22</v>
      </c>
      <c r="AL83" s="3">
        <f>'Pcell est vs PcellRGRASP'!BE184</f>
        <v>8</v>
      </c>
      <c r="AM83" s="3">
        <f>'Pcell est vs PcellRGRASP'!BF184</f>
        <v>8</v>
      </c>
      <c r="AN83" s="3">
        <f>'Pcell est vs PcellRGRASP'!BG184</f>
        <v>22</v>
      </c>
      <c r="AO83" s="3">
        <f>'Pcell est vs PcellRGRASP'!BX184</f>
        <v>20</v>
      </c>
      <c r="AP83" s="3">
        <f>'Pcell est vs PcellRGRASP'!BY184</f>
        <v>10</v>
      </c>
      <c r="AQ83" s="3">
        <f>'Pcell est vs PcellRGRASP'!BZ184</f>
        <v>10</v>
      </c>
      <c r="AR83" s="3">
        <f>'Pcell est vs PcellRGRASP'!CA184</f>
        <v>20</v>
      </c>
      <c r="AT83" s="3">
        <f>'PcellRGRASP vs Pcell rand'!BD184</f>
        <v>11</v>
      </c>
      <c r="AU83" s="3">
        <f>'PcellRGRASP vs Pcell rand'!BE184</f>
        <v>19</v>
      </c>
      <c r="AV83" s="3">
        <f>'PcellRGRASP vs Pcell rand'!BF184</f>
        <v>20</v>
      </c>
      <c r="AW83" s="3">
        <f>'PcellRGRASP vs Pcell rand'!BG184</f>
        <v>10</v>
      </c>
      <c r="AX83" s="3">
        <f>'PcellRGRASP vs Pcell rand'!BX184</f>
        <v>11</v>
      </c>
      <c r="AY83" s="3">
        <f>'PcellRGRASP vs Pcell rand'!BY184</f>
        <v>19</v>
      </c>
      <c r="AZ83" s="3">
        <f>'PcellRGRASP vs Pcell rand'!BZ184</f>
        <v>19</v>
      </c>
      <c r="BA83" s="3">
        <f>'PcellRGRASP vs Pcell rand'!CA184</f>
        <v>11</v>
      </c>
    </row>
    <row r="84" spans="1:53" x14ac:dyDescent="0.3">
      <c r="AB84" s="11"/>
      <c r="AC84" s="11"/>
      <c r="AD84" s="11"/>
      <c r="AE84" s="11"/>
      <c r="AF84" s="11"/>
      <c r="AG84" s="11"/>
      <c r="AH84" s="11"/>
      <c r="AI84" s="11"/>
    </row>
    <row r="85" spans="1:53" x14ac:dyDescent="0.3">
      <c r="A85" s="19">
        <v>50</v>
      </c>
      <c r="B85" s="19"/>
      <c r="C85" s="19"/>
      <c r="D85" s="19"/>
      <c r="E85" s="19">
        <v>50</v>
      </c>
      <c r="F85" s="19"/>
      <c r="G85" s="19"/>
      <c r="H85" s="19"/>
      <c r="J85" s="19">
        <v>50</v>
      </c>
      <c r="K85" s="19"/>
      <c r="L85" s="19"/>
      <c r="M85" s="19"/>
      <c r="N85" s="19">
        <v>50</v>
      </c>
      <c r="O85" s="19"/>
      <c r="P85" s="19"/>
      <c r="Q85" s="19"/>
      <c r="S85" s="19">
        <v>50</v>
      </c>
      <c r="T85" s="19"/>
      <c r="U85" s="19"/>
      <c r="V85" s="19"/>
      <c r="W85" s="19">
        <v>50</v>
      </c>
      <c r="X85" s="19"/>
      <c r="Y85" s="19"/>
      <c r="Z85" s="19"/>
      <c r="AB85" s="19">
        <v>50</v>
      </c>
      <c r="AC85" s="19"/>
      <c r="AD85" s="19"/>
      <c r="AE85" s="19"/>
      <c r="AF85" s="19">
        <v>50</v>
      </c>
      <c r="AG85" s="19"/>
      <c r="AH85" s="19"/>
      <c r="AI85" s="19"/>
      <c r="AK85" s="19">
        <v>50</v>
      </c>
      <c r="AL85" s="19"/>
      <c r="AM85" s="19"/>
      <c r="AN85" s="19"/>
      <c r="AO85" s="19">
        <v>50</v>
      </c>
      <c r="AP85" s="19"/>
      <c r="AQ85" s="19"/>
      <c r="AR85" s="19"/>
      <c r="AT85" s="19">
        <v>50</v>
      </c>
      <c r="AU85" s="19"/>
      <c r="AV85" s="19"/>
      <c r="AW85" s="19"/>
      <c r="AX85" s="19">
        <v>50</v>
      </c>
      <c r="AY85" s="19"/>
      <c r="AZ85" s="19"/>
      <c r="BA85" s="19"/>
    </row>
    <row r="86" spans="1:53" x14ac:dyDescent="0.3">
      <c r="A86" s="19" t="s">
        <v>328</v>
      </c>
      <c r="B86" s="19"/>
      <c r="C86" s="19" t="s">
        <v>329</v>
      </c>
      <c r="D86" s="19"/>
      <c r="E86" s="19" t="s">
        <v>328</v>
      </c>
      <c r="F86" s="19"/>
      <c r="G86" s="19" t="s">
        <v>329</v>
      </c>
      <c r="H86" s="19"/>
      <c r="J86" s="19" t="s">
        <v>336</v>
      </c>
      <c r="K86" s="19"/>
      <c r="L86" s="19" t="s">
        <v>329</v>
      </c>
      <c r="M86" s="19"/>
      <c r="N86" s="19" t="s">
        <v>336</v>
      </c>
      <c r="O86" s="19"/>
      <c r="P86" s="19" t="s">
        <v>329</v>
      </c>
      <c r="Q86" s="19"/>
      <c r="S86" s="19" t="s">
        <v>339</v>
      </c>
      <c r="T86" s="19"/>
      <c r="U86" s="19" t="s">
        <v>340</v>
      </c>
      <c r="V86" s="19"/>
      <c r="W86" s="19" t="s">
        <v>339</v>
      </c>
      <c r="X86" s="19"/>
      <c r="Y86" s="19" t="s">
        <v>340</v>
      </c>
      <c r="Z86" s="19"/>
      <c r="AB86" s="19" t="s">
        <v>328</v>
      </c>
      <c r="AC86" s="19"/>
      <c r="AD86" s="19" t="s">
        <v>336</v>
      </c>
      <c r="AE86" s="19"/>
      <c r="AF86" s="19" t="s">
        <v>328</v>
      </c>
      <c r="AG86" s="19"/>
      <c r="AH86" s="19" t="s">
        <v>336</v>
      </c>
      <c r="AI86" s="19"/>
      <c r="AK86" s="19" t="s">
        <v>328</v>
      </c>
      <c r="AL86" s="19"/>
      <c r="AM86" s="19" t="s">
        <v>337</v>
      </c>
      <c r="AN86" s="19"/>
      <c r="AO86" s="19" t="s">
        <v>328</v>
      </c>
      <c r="AP86" s="19"/>
      <c r="AQ86" s="19" t="s">
        <v>337</v>
      </c>
      <c r="AR86" s="19"/>
      <c r="AT86" s="20" t="s">
        <v>337</v>
      </c>
      <c r="AU86" s="22"/>
      <c r="AV86" s="19" t="s">
        <v>336</v>
      </c>
      <c r="AW86" s="19"/>
      <c r="AX86" s="20" t="s">
        <v>337</v>
      </c>
      <c r="AY86" s="22"/>
      <c r="AZ86" s="19" t="s">
        <v>336</v>
      </c>
      <c r="BA86" s="19"/>
    </row>
    <row r="87" spans="1:53" x14ac:dyDescent="0.3">
      <c r="A87" s="19" t="s">
        <v>330</v>
      </c>
      <c r="B87" s="19"/>
      <c r="C87" s="19"/>
      <c r="D87" s="19"/>
      <c r="E87" s="19" t="s">
        <v>331</v>
      </c>
      <c r="F87" s="19"/>
      <c r="G87" s="19"/>
      <c r="H87" s="19"/>
      <c r="J87" s="19" t="s">
        <v>330</v>
      </c>
      <c r="K87" s="19"/>
      <c r="L87" s="19"/>
      <c r="M87" s="19"/>
      <c r="N87" s="19" t="s">
        <v>331</v>
      </c>
      <c r="O87" s="19"/>
      <c r="P87" s="19"/>
      <c r="Q87" s="19"/>
      <c r="S87" s="19" t="s">
        <v>330</v>
      </c>
      <c r="T87" s="19"/>
      <c r="U87" s="19"/>
      <c r="V87" s="19"/>
      <c r="W87" s="19" t="s">
        <v>331</v>
      </c>
      <c r="X87" s="19"/>
      <c r="Y87" s="19"/>
      <c r="Z87" s="19"/>
      <c r="AB87" s="19" t="s">
        <v>330</v>
      </c>
      <c r="AC87" s="19"/>
      <c r="AD87" s="19"/>
      <c r="AE87" s="19"/>
      <c r="AF87" s="19" t="s">
        <v>331</v>
      </c>
      <c r="AG87" s="19"/>
      <c r="AH87" s="19"/>
      <c r="AI87" s="19"/>
      <c r="AK87" s="19" t="s">
        <v>330</v>
      </c>
      <c r="AL87" s="19"/>
      <c r="AM87" s="19"/>
      <c r="AN87" s="19"/>
      <c r="AO87" s="19" t="s">
        <v>331</v>
      </c>
      <c r="AP87" s="19"/>
      <c r="AQ87" s="19"/>
      <c r="AR87" s="19"/>
      <c r="AT87" s="19" t="s">
        <v>330</v>
      </c>
      <c r="AU87" s="19"/>
      <c r="AV87" s="19"/>
      <c r="AW87" s="19"/>
      <c r="AX87" s="19" t="s">
        <v>331</v>
      </c>
      <c r="AY87" s="19"/>
      <c r="AZ87" s="19"/>
      <c r="BA87" s="19"/>
    </row>
    <row r="88" spans="1:53" x14ac:dyDescent="0.3">
      <c r="A88" s="3" t="s">
        <v>322</v>
      </c>
      <c r="B88" s="3" t="s">
        <v>323</v>
      </c>
      <c r="C88" s="3" t="s">
        <v>322</v>
      </c>
      <c r="D88" s="3" t="s">
        <v>323</v>
      </c>
      <c r="E88" s="3" t="s">
        <v>322</v>
      </c>
      <c r="F88" s="3" t="s">
        <v>323</v>
      </c>
      <c r="G88" s="3" t="s">
        <v>322</v>
      </c>
      <c r="H88" s="3" t="s">
        <v>323</v>
      </c>
      <c r="J88" s="3" t="str">
        <f>'PCell vs GRASP random'!AX217</f>
        <v>Ganado</v>
      </c>
      <c r="K88" s="3" t="str">
        <f>'PCell vs GRASP random'!AY217</f>
        <v>Perdido</v>
      </c>
      <c r="L88" s="3" t="str">
        <f>'PCell vs GRASP random'!AZ217</f>
        <v>Ganado</v>
      </c>
      <c r="M88" s="3" t="str">
        <f>'PCell vs GRASP random'!BA217</f>
        <v>Perdido</v>
      </c>
      <c r="N88" s="3" t="str">
        <f>'PCell vs GRASP random'!BP217</f>
        <v>Ganado</v>
      </c>
      <c r="O88" s="3" t="str">
        <f>'PCell vs GRASP random'!BQ217</f>
        <v>Perdido</v>
      </c>
      <c r="P88" s="3" t="str">
        <f>'PCell vs GRASP random'!BR217</f>
        <v>Ganado</v>
      </c>
      <c r="Q88" s="3" t="str">
        <f>'PCell vs GRASP random'!BS217</f>
        <v>Perdido</v>
      </c>
      <c r="S88" s="3" t="str">
        <f>'PCellRGRASP vs RGRASP'!AX216</f>
        <v>Ganado</v>
      </c>
      <c r="T88" s="3" t="str">
        <f>'PCellRGRASP vs RGRASP'!AY216</f>
        <v>Perdido</v>
      </c>
      <c r="U88" s="3" t="str">
        <f>'PCellRGRASP vs RGRASP'!AZ216</f>
        <v>Ganado</v>
      </c>
      <c r="V88" s="3" t="str">
        <f>'PCellRGRASP vs RGRASP'!BA216</f>
        <v>Perdido</v>
      </c>
      <c r="W88" s="3" t="str">
        <f>'PCellRGRASP vs RGRASP'!BP216</f>
        <v>Ganado</v>
      </c>
      <c r="X88" s="3" t="str">
        <f>'PCellRGRASP vs RGRASP'!BQ216</f>
        <v>Perdido</v>
      </c>
      <c r="Y88" s="3" t="str">
        <f>'PCellRGRASP vs RGRASP'!BR216</f>
        <v>Ganado</v>
      </c>
      <c r="Z88" s="3" t="str">
        <f>'PCellRGRASP vs RGRASP'!BS216</f>
        <v>Perdido</v>
      </c>
      <c r="AB88" s="15" t="str">
        <f>'Pcell est vs Pcell rand'!BD217</f>
        <v>Ganado</v>
      </c>
      <c r="AC88" s="15" t="str">
        <f>'Pcell est vs Pcell rand'!BE217</f>
        <v>Perdido</v>
      </c>
      <c r="AD88" s="15" t="str">
        <f>'Pcell est vs Pcell rand'!BF217</f>
        <v>Ganado</v>
      </c>
      <c r="AE88" s="15" t="str">
        <f>'Pcell est vs Pcell rand'!BG217</f>
        <v>Perdido</v>
      </c>
      <c r="AF88" s="15" t="str">
        <f>'Pcell est vs Pcell rand'!BX217</f>
        <v>Ganado</v>
      </c>
      <c r="AG88" s="15" t="str">
        <f>'Pcell est vs Pcell rand'!BY217</f>
        <v>Perdido</v>
      </c>
      <c r="AH88" s="15" t="str">
        <f>'Pcell est vs Pcell rand'!BZ217</f>
        <v>Ganado</v>
      </c>
      <c r="AI88" s="15" t="str">
        <f>'Pcell est vs Pcell rand'!CA217</f>
        <v>Perdido</v>
      </c>
      <c r="AK88" s="3" t="str">
        <f>'Pcell est vs PcellRGRASP'!BD217</f>
        <v>Ganado</v>
      </c>
      <c r="AL88" s="3" t="str">
        <f>'Pcell est vs PcellRGRASP'!BE217</f>
        <v>Perdido</v>
      </c>
      <c r="AM88" s="3" t="str">
        <f>'Pcell est vs PcellRGRASP'!BF217</f>
        <v>Ganado</v>
      </c>
      <c r="AN88" s="3" t="str">
        <f>'Pcell est vs PcellRGRASP'!BG217</f>
        <v>Perdido</v>
      </c>
      <c r="AO88" s="3" t="str">
        <f>'Pcell est vs PcellRGRASP'!BX217</f>
        <v>Ganado</v>
      </c>
      <c r="AP88" s="3" t="str">
        <f>'Pcell est vs PcellRGRASP'!BY217</f>
        <v>Perdido</v>
      </c>
      <c r="AQ88" s="3" t="str">
        <f>'Pcell est vs PcellRGRASP'!BZ217</f>
        <v>Ganado</v>
      </c>
      <c r="AR88" s="3" t="str">
        <f>'Pcell est vs PcellRGRASP'!CA217</f>
        <v>Perdido</v>
      </c>
      <c r="AT88" s="3" t="str">
        <f>'PcellRGRASP vs Pcell rand'!BD217</f>
        <v>Ganado</v>
      </c>
      <c r="AU88" s="3" t="str">
        <f>'PcellRGRASP vs Pcell rand'!BE217</f>
        <v>Perdido</v>
      </c>
      <c r="AV88" s="3" t="str">
        <f>'PcellRGRASP vs Pcell rand'!BF217</f>
        <v>Ganado</v>
      </c>
      <c r="AW88" s="3" t="str">
        <f>'PcellRGRASP vs Pcell rand'!BG217</f>
        <v>Perdido</v>
      </c>
      <c r="AX88" s="3" t="str">
        <f>'PcellRGRASP vs Pcell rand'!BX217</f>
        <v>Ganado</v>
      </c>
      <c r="AY88" s="3" t="str">
        <f>'PcellRGRASP vs Pcell rand'!BY217</f>
        <v>Perdido</v>
      </c>
      <c r="AZ88" s="3" t="str">
        <f>'PcellRGRASP vs Pcell rand'!BZ217</f>
        <v>Ganado</v>
      </c>
      <c r="BA88" s="3" t="str">
        <f>'PcellRGRASP vs Pcell rand'!CA217</f>
        <v>Perdido</v>
      </c>
    </row>
    <row r="89" spans="1:53" x14ac:dyDescent="0.3">
      <c r="A89" s="3">
        <v>21</v>
      </c>
      <c r="B89" s="3">
        <v>9</v>
      </c>
      <c r="C89" s="3">
        <v>9</v>
      </c>
      <c r="D89" s="3">
        <v>21</v>
      </c>
      <c r="E89" s="3">
        <v>19</v>
      </c>
      <c r="F89" s="3">
        <v>11</v>
      </c>
      <c r="G89" s="3">
        <v>11</v>
      </c>
      <c r="H89" s="3">
        <v>19</v>
      </c>
      <c r="J89" s="3">
        <f>'PCell vs GRASP random'!AX219</f>
        <v>19</v>
      </c>
      <c r="K89" s="3">
        <f>'PCell vs GRASP random'!AY219</f>
        <v>11</v>
      </c>
      <c r="L89" s="3">
        <f>'PCell vs GRASP random'!AZ219</f>
        <v>12</v>
      </c>
      <c r="M89" s="3">
        <f>'PCell vs GRASP random'!BA219</f>
        <v>18</v>
      </c>
      <c r="N89" s="3">
        <f>'PCell vs GRASP random'!BP219</f>
        <v>20</v>
      </c>
      <c r="O89" s="3">
        <f>'PCell vs GRASP random'!BQ219</f>
        <v>10</v>
      </c>
      <c r="P89" s="3">
        <f>'PCell vs GRASP random'!BR219</f>
        <v>11</v>
      </c>
      <c r="Q89" s="3">
        <f>'PCell vs GRASP random'!BS219</f>
        <v>19</v>
      </c>
      <c r="S89" s="3">
        <f>'PCellRGRASP vs RGRASP'!AX218</f>
        <v>18</v>
      </c>
      <c r="T89" s="3">
        <f>'PCellRGRASP vs RGRASP'!AY218</f>
        <v>12</v>
      </c>
      <c r="U89" s="3">
        <f>'PCellRGRASP vs RGRASP'!AZ218</f>
        <v>14</v>
      </c>
      <c r="V89" s="3">
        <f>'PCellRGRASP vs RGRASP'!BA218</f>
        <v>16</v>
      </c>
      <c r="W89" s="3">
        <f>'PCellRGRASP vs RGRASP'!BP218</f>
        <v>15</v>
      </c>
      <c r="X89" s="3">
        <f>'PCellRGRASP vs RGRASP'!BQ218</f>
        <v>15</v>
      </c>
      <c r="Y89" s="3">
        <f>'PCellRGRASP vs RGRASP'!BR218</f>
        <v>16</v>
      </c>
      <c r="Z89" s="3">
        <f>'PCellRGRASP vs RGRASP'!BS218</f>
        <v>14</v>
      </c>
      <c r="AB89" s="15">
        <f>'Pcell est vs Pcell rand'!BD219</f>
        <v>29</v>
      </c>
      <c r="AC89" s="15">
        <f>'Pcell est vs Pcell rand'!BE219</f>
        <v>1</v>
      </c>
      <c r="AD89" s="15">
        <f>'Pcell est vs Pcell rand'!BF219</f>
        <v>1</v>
      </c>
      <c r="AE89" s="15">
        <f>'Pcell est vs Pcell rand'!BG219</f>
        <v>29</v>
      </c>
      <c r="AF89" s="15">
        <f>'Pcell est vs Pcell rand'!BX219</f>
        <v>29</v>
      </c>
      <c r="AG89" s="15">
        <f>'Pcell est vs Pcell rand'!BY219</f>
        <v>1</v>
      </c>
      <c r="AH89" s="15">
        <f>'Pcell est vs Pcell rand'!BZ219</f>
        <v>2</v>
      </c>
      <c r="AI89" s="15">
        <f>'Pcell est vs Pcell rand'!CA219</f>
        <v>28</v>
      </c>
      <c r="AK89" s="3">
        <f>'Pcell est vs PcellRGRASP'!BD219</f>
        <v>24</v>
      </c>
      <c r="AL89" s="3">
        <f>'Pcell est vs PcellRGRASP'!BE219</f>
        <v>6</v>
      </c>
      <c r="AM89" s="3">
        <f>'Pcell est vs PcellRGRASP'!BF219</f>
        <v>6</v>
      </c>
      <c r="AN89" s="3">
        <f>'Pcell est vs PcellRGRASP'!BG219</f>
        <v>24</v>
      </c>
      <c r="AO89" s="3">
        <f>'Pcell est vs PcellRGRASP'!BX219</f>
        <v>21</v>
      </c>
      <c r="AP89" s="3">
        <f>'Pcell est vs PcellRGRASP'!BY219</f>
        <v>9</v>
      </c>
      <c r="AQ89" s="3">
        <f>'Pcell est vs PcellRGRASP'!BZ219</f>
        <v>9</v>
      </c>
      <c r="AR89" s="3">
        <f>'Pcell est vs PcellRGRASP'!CA219</f>
        <v>21</v>
      </c>
      <c r="AT89" s="3">
        <f>'PcellRGRASP vs Pcell rand'!BD219</f>
        <v>6</v>
      </c>
      <c r="AU89" s="3">
        <f>'PcellRGRASP vs Pcell rand'!BE219</f>
        <v>24</v>
      </c>
      <c r="AV89" s="3">
        <f>'PcellRGRASP vs Pcell rand'!BF219</f>
        <v>24</v>
      </c>
      <c r="AW89" s="3">
        <f>'PcellRGRASP vs Pcell rand'!BG219</f>
        <v>6</v>
      </c>
      <c r="AX89" s="3">
        <f>'PcellRGRASP vs Pcell rand'!BX219</f>
        <v>9</v>
      </c>
      <c r="AY89" s="3">
        <f>'PcellRGRASP vs Pcell rand'!BY219</f>
        <v>21</v>
      </c>
      <c r="AZ89" s="3">
        <f>'PcellRGRASP vs Pcell rand'!BZ219</f>
        <v>21</v>
      </c>
      <c r="BA89" s="3">
        <f>'PcellRGRASP vs Pcell rand'!CA219</f>
        <v>9</v>
      </c>
    </row>
    <row r="90" spans="1:53" x14ac:dyDescent="0.3">
      <c r="A90" s="20" t="s">
        <v>332</v>
      </c>
      <c r="B90" s="21"/>
      <c r="C90" s="21"/>
      <c r="D90" s="22"/>
      <c r="E90" s="20" t="s">
        <v>333</v>
      </c>
      <c r="F90" s="21"/>
      <c r="G90" s="21"/>
      <c r="H90" s="22"/>
      <c r="J90" s="19" t="s">
        <v>332</v>
      </c>
      <c r="K90" s="19"/>
      <c r="L90" s="19"/>
      <c r="M90" s="19"/>
      <c r="N90" s="19" t="s">
        <v>333</v>
      </c>
      <c r="O90" s="19"/>
      <c r="P90" s="19"/>
      <c r="Q90" s="19"/>
      <c r="S90" s="19" t="s">
        <v>332</v>
      </c>
      <c r="T90" s="19"/>
      <c r="U90" s="19"/>
      <c r="V90" s="19"/>
      <c r="W90" s="19" t="s">
        <v>333</v>
      </c>
      <c r="X90" s="19"/>
      <c r="Y90" s="19"/>
      <c r="Z90" s="19"/>
      <c r="AB90" s="19" t="s">
        <v>332</v>
      </c>
      <c r="AC90" s="19"/>
      <c r="AD90" s="19"/>
      <c r="AE90" s="19"/>
      <c r="AF90" s="19" t="s">
        <v>333</v>
      </c>
      <c r="AG90" s="19"/>
      <c r="AH90" s="19"/>
      <c r="AI90" s="19"/>
      <c r="AK90" s="19" t="s">
        <v>332</v>
      </c>
      <c r="AL90" s="19"/>
      <c r="AM90" s="19"/>
      <c r="AN90" s="19"/>
      <c r="AO90" s="19" t="s">
        <v>333</v>
      </c>
      <c r="AP90" s="19"/>
      <c r="AQ90" s="19"/>
      <c r="AR90" s="19"/>
      <c r="AT90" s="19" t="s">
        <v>332</v>
      </c>
      <c r="AU90" s="19"/>
      <c r="AV90" s="19"/>
      <c r="AW90" s="19"/>
      <c r="AX90" s="19" t="s">
        <v>333</v>
      </c>
      <c r="AY90" s="19"/>
      <c r="AZ90" s="19"/>
      <c r="BA90" s="19"/>
    </row>
    <row r="91" spans="1:53" x14ac:dyDescent="0.3">
      <c r="A91" s="3" t="s">
        <v>322</v>
      </c>
      <c r="B91" s="3" t="s">
        <v>323</v>
      </c>
      <c r="C91" s="3" t="s">
        <v>322</v>
      </c>
      <c r="D91" s="3" t="s">
        <v>323</v>
      </c>
      <c r="E91" s="3" t="s">
        <v>322</v>
      </c>
      <c r="F91" s="3" t="s">
        <v>323</v>
      </c>
      <c r="G91" s="3" t="s">
        <v>322</v>
      </c>
      <c r="H91" s="3" t="s">
        <v>323</v>
      </c>
      <c r="J91" s="3" t="str">
        <f>'PCell vs GRASP random'!AX253</f>
        <v>Ganado</v>
      </c>
      <c r="K91" s="3" t="str">
        <f>'PCell vs GRASP random'!AY253</f>
        <v>Perdido</v>
      </c>
      <c r="L91" s="3" t="str">
        <f>'PCell vs GRASP random'!AZ253</f>
        <v>Ganado</v>
      </c>
      <c r="M91" s="3" t="str">
        <f>'PCell vs GRASP random'!BA253</f>
        <v>Perdido</v>
      </c>
      <c r="N91" s="3" t="str">
        <f>'PCell vs GRASP random'!BP253</f>
        <v>Ganado</v>
      </c>
      <c r="O91" s="3" t="str">
        <f>'PCell vs GRASP random'!BQ253</f>
        <v>Perdido</v>
      </c>
      <c r="P91" s="3" t="str">
        <f>'PCell vs GRASP random'!BR253</f>
        <v>Ganado</v>
      </c>
      <c r="Q91" s="3" t="str">
        <f>'PCell vs GRASP random'!BS253</f>
        <v>Perdido</v>
      </c>
      <c r="S91" s="3" t="str">
        <f>'PCellRGRASP vs RGRASP'!AX252</f>
        <v>Ganado</v>
      </c>
      <c r="T91" s="3" t="str">
        <f>'PCellRGRASP vs RGRASP'!AY252</f>
        <v>Perdido</v>
      </c>
      <c r="U91" s="3" t="str">
        <f>'PCellRGRASP vs RGRASP'!AZ252</f>
        <v>Ganado</v>
      </c>
      <c r="V91" s="3" t="str">
        <f>'PCellRGRASP vs RGRASP'!BA252</f>
        <v>Perdido</v>
      </c>
      <c r="W91" s="3" t="str">
        <f>'PCellRGRASP vs RGRASP'!BP252</f>
        <v>Ganado</v>
      </c>
      <c r="X91" s="3" t="str">
        <f>'PCellRGRASP vs RGRASP'!BQ252</f>
        <v>Perdido</v>
      </c>
      <c r="Y91" s="3" t="str">
        <f>'PCellRGRASP vs RGRASP'!BR252</f>
        <v>Ganado</v>
      </c>
      <c r="Z91" s="3" t="str">
        <f>'PCellRGRASP vs RGRASP'!BS252</f>
        <v>Perdido</v>
      </c>
      <c r="AB91" s="15" t="str">
        <f>'Pcell est vs Pcell rand'!BD253</f>
        <v>Ganado</v>
      </c>
      <c r="AC91" s="15" t="str">
        <f>'Pcell est vs Pcell rand'!BE253</f>
        <v>Perdido</v>
      </c>
      <c r="AD91" s="15" t="str">
        <f>'Pcell est vs Pcell rand'!BF253</f>
        <v>Ganado</v>
      </c>
      <c r="AE91" s="15" t="str">
        <f>'Pcell est vs Pcell rand'!BG253</f>
        <v>Perdido</v>
      </c>
      <c r="AF91" s="15" t="str">
        <f>'Pcell est vs Pcell rand'!BX253</f>
        <v>Ganado</v>
      </c>
      <c r="AG91" s="15" t="str">
        <f>'Pcell est vs Pcell rand'!BY253</f>
        <v>Perdido</v>
      </c>
      <c r="AH91" s="15" t="str">
        <f>'Pcell est vs Pcell rand'!BZ253</f>
        <v>Ganado</v>
      </c>
      <c r="AI91" s="15" t="str">
        <f>'Pcell est vs Pcell rand'!CA253</f>
        <v>Perdido</v>
      </c>
      <c r="AK91" s="3" t="str">
        <f>'Pcell est vs PcellRGRASP'!BD253</f>
        <v>Ganado</v>
      </c>
      <c r="AL91" s="3" t="str">
        <f>'Pcell est vs PcellRGRASP'!BE253</f>
        <v>Perdido</v>
      </c>
      <c r="AM91" s="3" t="str">
        <f>'Pcell est vs PcellRGRASP'!BF253</f>
        <v>Ganado</v>
      </c>
      <c r="AN91" s="3" t="str">
        <f>'Pcell est vs PcellRGRASP'!BG253</f>
        <v>Perdido</v>
      </c>
      <c r="AO91" s="3" t="str">
        <f>'Pcell est vs PcellRGRASP'!BX253</f>
        <v>Ganado</v>
      </c>
      <c r="AP91" s="3" t="str">
        <f>'Pcell est vs PcellRGRASP'!BY253</f>
        <v>Perdido</v>
      </c>
      <c r="AQ91" s="3" t="str">
        <f>'Pcell est vs PcellRGRASP'!BZ253</f>
        <v>Ganado</v>
      </c>
      <c r="AR91" s="3" t="str">
        <f>'Pcell est vs PcellRGRASP'!CA253</f>
        <v>Perdido</v>
      </c>
      <c r="AT91" s="3" t="str">
        <f>'PcellRGRASP vs Pcell rand'!BD253</f>
        <v>Ganado</v>
      </c>
      <c r="AU91" s="3" t="str">
        <f>'PcellRGRASP vs Pcell rand'!BE253</f>
        <v>Perdido</v>
      </c>
      <c r="AV91" s="3" t="str">
        <f>'PcellRGRASP vs Pcell rand'!BF253</f>
        <v>Ganado</v>
      </c>
      <c r="AW91" s="3" t="str">
        <f>'PcellRGRASP vs Pcell rand'!BG253</f>
        <v>Perdido</v>
      </c>
      <c r="AX91" s="3" t="str">
        <f>'PcellRGRASP vs Pcell rand'!BX253</f>
        <v>Ganado</v>
      </c>
      <c r="AY91" s="3" t="str">
        <f>'PcellRGRASP vs Pcell rand'!BY253</f>
        <v>Perdido</v>
      </c>
      <c r="AZ91" s="3" t="str">
        <f>'PcellRGRASP vs Pcell rand'!BZ253</f>
        <v>Ganado</v>
      </c>
      <c r="BA91" s="3" t="str">
        <f>'PcellRGRASP vs Pcell rand'!CA253</f>
        <v>Perdido</v>
      </c>
    </row>
    <row r="92" spans="1:53" x14ac:dyDescent="0.3">
      <c r="A92" s="3">
        <v>18</v>
      </c>
      <c r="B92" s="3">
        <v>12</v>
      </c>
      <c r="C92" s="3">
        <v>12</v>
      </c>
      <c r="D92" s="3">
        <v>18</v>
      </c>
      <c r="E92" s="3">
        <v>21</v>
      </c>
      <c r="F92" s="3">
        <v>9</v>
      </c>
      <c r="G92" s="3">
        <v>9</v>
      </c>
      <c r="H92" s="3">
        <v>21</v>
      </c>
      <c r="J92" s="3">
        <f>'PCell vs GRASP random'!AX255</f>
        <v>15</v>
      </c>
      <c r="K92" s="3">
        <f>'PCell vs GRASP random'!AY255</f>
        <v>15</v>
      </c>
      <c r="L92" s="3">
        <f>'PCell vs GRASP random'!AZ255</f>
        <v>15</v>
      </c>
      <c r="M92" s="3">
        <f>'PCell vs GRASP random'!BA255</f>
        <v>15</v>
      </c>
      <c r="N92" s="3">
        <f>'PCell vs GRASP random'!BP255</f>
        <v>15</v>
      </c>
      <c r="O92" s="3">
        <f>'PCell vs GRASP random'!BQ255</f>
        <v>15</v>
      </c>
      <c r="P92" s="3">
        <f>'PCell vs GRASP random'!BR255</f>
        <v>15</v>
      </c>
      <c r="Q92" s="3">
        <f>'PCell vs GRASP random'!BS255</f>
        <v>15</v>
      </c>
      <c r="S92" s="3">
        <f>'PCellRGRASP vs RGRASP'!AX254</f>
        <v>13</v>
      </c>
      <c r="T92" s="3">
        <f>'PCellRGRASP vs RGRASP'!AY254</f>
        <v>17</v>
      </c>
      <c r="U92" s="3">
        <f>'PCellRGRASP vs RGRASP'!AZ254</f>
        <v>18</v>
      </c>
      <c r="V92" s="3">
        <f>'PCellRGRASP vs RGRASP'!BA254</f>
        <v>12</v>
      </c>
      <c r="W92" s="3">
        <f>'PCellRGRASP vs RGRASP'!BP254</f>
        <v>19</v>
      </c>
      <c r="X92" s="3">
        <f>'PCellRGRASP vs RGRASP'!BQ254</f>
        <v>11</v>
      </c>
      <c r="Y92" s="3">
        <f>'PCellRGRASP vs RGRASP'!BR254</f>
        <v>13</v>
      </c>
      <c r="Z92" s="3">
        <f>'PCellRGRASP vs RGRASP'!BS254</f>
        <v>17</v>
      </c>
      <c r="AB92" s="15">
        <f>'Pcell est vs Pcell rand'!BD255</f>
        <v>30</v>
      </c>
      <c r="AC92" s="15">
        <f>'Pcell est vs Pcell rand'!BE255</f>
        <v>0</v>
      </c>
      <c r="AD92" s="15">
        <f>'Pcell est vs Pcell rand'!BF255</f>
        <v>1</v>
      </c>
      <c r="AE92" s="15">
        <f>'Pcell est vs Pcell rand'!BG255</f>
        <v>29</v>
      </c>
      <c r="AF92" s="15">
        <f>'Pcell est vs Pcell rand'!BX255</f>
        <v>28</v>
      </c>
      <c r="AG92" s="15">
        <f>'Pcell est vs Pcell rand'!BY255</f>
        <v>2</v>
      </c>
      <c r="AH92" s="15">
        <f>'Pcell est vs Pcell rand'!BZ255</f>
        <v>2</v>
      </c>
      <c r="AI92" s="15">
        <f>'Pcell est vs Pcell rand'!CA255</f>
        <v>28</v>
      </c>
      <c r="AK92" s="3">
        <f>'Pcell est vs PcellRGRASP'!BD255</f>
        <v>23</v>
      </c>
      <c r="AL92" s="3">
        <f>'Pcell est vs PcellRGRASP'!BE255</f>
        <v>7</v>
      </c>
      <c r="AM92" s="3">
        <f>'Pcell est vs PcellRGRASP'!BF255</f>
        <v>7</v>
      </c>
      <c r="AN92" s="3">
        <f>'Pcell est vs PcellRGRASP'!BG255</f>
        <v>23</v>
      </c>
      <c r="AO92" s="3">
        <f>'Pcell est vs PcellRGRASP'!BX255</f>
        <v>22</v>
      </c>
      <c r="AP92" s="3">
        <f>'Pcell est vs PcellRGRASP'!BY255</f>
        <v>8</v>
      </c>
      <c r="AQ92" s="3">
        <f>'Pcell est vs PcellRGRASP'!BZ255</f>
        <v>8</v>
      </c>
      <c r="AR92" s="3">
        <f>'Pcell est vs PcellRGRASP'!CA255</f>
        <v>22</v>
      </c>
      <c r="AT92" s="3">
        <f>'PcellRGRASP vs Pcell rand'!BD255</f>
        <v>11</v>
      </c>
      <c r="AU92" s="3">
        <f>'PcellRGRASP vs Pcell rand'!BE255</f>
        <v>19</v>
      </c>
      <c r="AV92" s="3">
        <f>'PcellRGRASP vs Pcell rand'!BF255</f>
        <v>19</v>
      </c>
      <c r="AW92" s="3">
        <f>'PcellRGRASP vs Pcell rand'!BG255</f>
        <v>11</v>
      </c>
      <c r="AX92" s="3">
        <f>'PcellRGRASP vs Pcell rand'!BX255</f>
        <v>10</v>
      </c>
      <c r="AY92" s="3">
        <f>'PcellRGRASP vs Pcell rand'!BY255</f>
        <v>20</v>
      </c>
      <c r="AZ92" s="3">
        <f>'PcellRGRASP vs Pcell rand'!BZ255</f>
        <v>21</v>
      </c>
      <c r="BA92" s="3">
        <f>'PcellRGRASP vs Pcell rand'!CA255</f>
        <v>9</v>
      </c>
    </row>
    <row r="93" spans="1:53" x14ac:dyDescent="0.3">
      <c r="A93" s="19" t="s">
        <v>334</v>
      </c>
      <c r="B93" s="19"/>
      <c r="C93" s="19"/>
      <c r="D93" s="19"/>
      <c r="E93" s="19" t="s">
        <v>335</v>
      </c>
      <c r="F93" s="19"/>
      <c r="G93" s="19"/>
      <c r="H93" s="19"/>
      <c r="J93" s="19" t="s">
        <v>334</v>
      </c>
      <c r="K93" s="19"/>
      <c r="L93" s="19"/>
      <c r="M93" s="19"/>
      <c r="N93" s="19" t="s">
        <v>335</v>
      </c>
      <c r="O93" s="19"/>
      <c r="P93" s="19"/>
      <c r="Q93" s="19"/>
      <c r="S93" s="19" t="s">
        <v>334</v>
      </c>
      <c r="T93" s="19"/>
      <c r="U93" s="19"/>
      <c r="V93" s="19"/>
      <c r="W93" s="19" t="s">
        <v>335</v>
      </c>
      <c r="X93" s="19"/>
      <c r="Y93" s="19"/>
      <c r="Z93" s="19"/>
      <c r="AB93" s="19" t="s">
        <v>334</v>
      </c>
      <c r="AC93" s="19"/>
      <c r="AD93" s="19"/>
      <c r="AE93" s="19"/>
      <c r="AF93" s="19" t="s">
        <v>335</v>
      </c>
      <c r="AG93" s="19"/>
      <c r="AH93" s="19"/>
      <c r="AI93" s="19"/>
      <c r="AK93" s="19" t="s">
        <v>334</v>
      </c>
      <c r="AL93" s="19"/>
      <c r="AM93" s="19"/>
      <c r="AN93" s="19"/>
      <c r="AO93" s="19" t="s">
        <v>335</v>
      </c>
      <c r="AP93" s="19"/>
      <c r="AQ93" s="19"/>
      <c r="AR93" s="19"/>
      <c r="AT93" s="19" t="s">
        <v>334</v>
      </c>
      <c r="AU93" s="19"/>
      <c r="AV93" s="19"/>
      <c r="AW93" s="19"/>
      <c r="AX93" s="19" t="s">
        <v>335</v>
      </c>
      <c r="AY93" s="19"/>
      <c r="AZ93" s="19"/>
      <c r="BA93" s="19"/>
    </row>
    <row r="94" spans="1:53" x14ac:dyDescent="0.3">
      <c r="A94" s="3" t="s">
        <v>322</v>
      </c>
      <c r="B94" s="3" t="s">
        <v>323</v>
      </c>
      <c r="C94" s="3" t="s">
        <v>322</v>
      </c>
      <c r="D94" s="3" t="s">
        <v>323</v>
      </c>
      <c r="E94" s="3" t="s">
        <v>322</v>
      </c>
      <c r="F94" s="3" t="s">
        <v>323</v>
      </c>
      <c r="G94" s="3" t="s">
        <v>322</v>
      </c>
      <c r="H94" s="3" t="s">
        <v>323</v>
      </c>
      <c r="J94" s="3" t="str">
        <f>'PCell vs GRASP random'!AX289</f>
        <v>Ganado</v>
      </c>
      <c r="K94" s="3" t="str">
        <f>'PCell vs GRASP random'!AY289</f>
        <v>Perdido</v>
      </c>
      <c r="L94" s="3" t="str">
        <f>'PCell vs GRASP random'!AZ289</f>
        <v>Ganado</v>
      </c>
      <c r="M94" s="3" t="str">
        <f>'PCell vs GRASP random'!BA289</f>
        <v>Perdido</v>
      </c>
      <c r="N94" s="3" t="str">
        <f>'PCell vs GRASP random'!BP289</f>
        <v>Ganado</v>
      </c>
      <c r="O94" s="3" t="str">
        <f>'PCell vs GRASP random'!BQ289</f>
        <v>Perdido</v>
      </c>
      <c r="P94" s="3" t="str">
        <f>'PCell vs GRASP random'!BR289</f>
        <v>Ganado</v>
      </c>
      <c r="Q94" s="3" t="str">
        <f>'PCell vs GRASP random'!BS289</f>
        <v>Perdido</v>
      </c>
      <c r="S94" s="3" t="str">
        <f>'PCellRGRASP vs RGRASP'!AX288</f>
        <v>Ganado</v>
      </c>
      <c r="T94" s="3" t="str">
        <f>'PCellRGRASP vs RGRASP'!AY288</f>
        <v>Perdido</v>
      </c>
      <c r="U94" s="3" t="str">
        <f>'PCellRGRASP vs RGRASP'!AZ288</f>
        <v>Ganado</v>
      </c>
      <c r="V94" s="3" t="str">
        <f>'PCellRGRASP vs RGRASP'!BA288</f>
        <v>Perdido</v>
      </c>
      <c r="W94" s="3" t="str">
        <f>'PCellRGRASP vs RGRASP'!BP288</f>
        <v>Ganado</v>
      </c>
      <c r="X94" s="3" t="str">
        <f>'PCellRGRASP vs RGRASP'!BQ288</f>
        <v>Perdido</v>
      </c>
      <c r="Y94" s="3" t="str">
        <f>'PCellRGRASP vs RGRASP'!BR288</f>
        <v>Ganado</v>
      </c>
      <c r="Z94" s="3" t="str">
        <f>'PCellRGRASP vs RGRASP'!BS288</f>
        <v>Perdido</v>
      </c>
      <c r="AB94" s="15" t="str">
        <f>'Pcell est vs Pcell rand'!BD289</f>
        <v>Ganado</v>
      </c>
      <c r="AC94" s="15" t="str">
        <f>'Pcell est vs Pcell rand'!BE289</f>
        <v>Perdido</v>
      </c>
      <c r="AD94" s="15" t="str">
        <f>'Pcell est vs Pcell rand'!BF289</f>
        <v>Ganado</v>
      </c>
      <c r="AE94" s="15" t="str">
        <f>'Pcell est vs Pcell rand'!BG289</f>
        <v>Perdido</v>
      </c>
      <c r="AF94" s="15" t="str">
        <f>'Pcell est vs Pcell rand'!BX289</f>
        <v>Ganado</v>
      </c>
      <c r="AG94" s="15" t="str">
        <f>'Pcell est vs Pcell rand'!BY289</f>
        <v>Perdido</v>
      </c>
      <c r="AH94" s="15" t="str">
        <f>'Pcell est vs Pcell rand'!BZ289</f>
        <v>Ganado</v>
      </c>
      <c r="AI94" s="15" t="str">
        <f>'Pcell est vs Pcell rand'!CA289</f>
        <v>Perdido</v>
      </c>
      <c r="AK94" s="3" t="str">
        <f>'Pcell est vs PcellRGRASP'!BD289</f>
        <v>Ganado</v>
      </c>
      <c r="AL94" s="3" t="str">
        <f>'Pcell est vs PcellRGRASP'!BE289</f>
        <v>Perdido</v>
      </c>
      <c r="AM94" s="3" t="str">
        <f>'Pcell est vs PcellRGRASP'!BF289</f>
        <v>Ganado</v>
      </c>
      <c r="AN94" s="3" t="str">
        <f>'Pcell est vs PcellRGRASP'!BG289</f>
        <v>Perdido</v>
      </c>
      <c r="AO94" s="3" t="str">
        <f>'Pcell est vs PcellRGRASP'!BX289</f>
        <v>Ganado</v>
      </c>
      <c r="AP94" s="3" t="str">
        <f>'Pcell est vs PcellRGRASP'!BY289</f>
        <v>Perdido</v>
      </c>
      <c r="AQ94" s="3" t="str">
        <f>'Pcell est vs PcellRGRASP'!BZ289</f>
        <v>Ganado</v>
      </c>
      <c r="AR94" s="3" t="str">
        <f>'Pcell est vs PcellRGRASP'!CA289</f>
        <v>Perdido</v>
      </c>
      <c r="AT94" s="3" t="str">
        <f>'PcellRGRASP vs Pcell rand'!BD289</f>
        <v>Ganado</v>
      </c>
      <c r="AU94" s="3" t="str">
        <f>'PcellRGRASP vs Pcell rand'!BE289</f>
        <v>Perdido</v>
      </c>
      <c r="AV94" s="3" t="str">
        <f>'PcellRGRASP vs Pcell rand'!BF289</f>
        <v>Ganado</v>
      </c>
      <c r="AW94" s="3" t="str">
        <f>'PcellRGRASP vs Pcell rand'!BG289</f>
        <v>Perdido</v>
      </c>
      <c r="AX94" s="3" t="str">
        <f>'PcellRGRASP vs Pcell rand'!BX289</f>
        <v>Ganado</v>
      </c>
      <c r="AY94" s="3" t="str">
        <f>'PcellRGRASP vs Pcell rand'!BY289</f>
        <v>Perdido</v>
      </c>
      <c r="AZ94" s="3" t="str">
        <f>'PcellRGRASP vs Pcell rand'!BZ289</f>
        <v>Ganado</v>
      </c>
      <c r="BA94" s="3" t="str">
        <f>'PcellRGRASP vs Pcell rand'!CA289</f>
        <v>Perdido</v>
      </c>
    </row>
    <row r="95" spans="1:53" x14ac:dyDescent="0.3">
      <c r="A95" s="3">
        <v>25</v>
      </c>
      <c r="B95" s="3">
        <v>5</v>
      </c>
      <c r="C95" s="3">
        <v>5</v>
      </c>
      <c r="D95" s="3">
        <v>25</v>
      </c>
      <c r="E95" s="3">
        <v>18</v>
      </c>
      <c r="F95" s="3">
        <v>12</v>
      </c>
      <c r="G95" s="3">
        <v>12</v>
      </c>
      <c r="H95" s="3">
        <v>18</v>
      </c>
      <c r="J95" s="3">
        <f>'PCell vs GRASP random'!AX291</f>
        <v>16</v>
      </c>
      <c r="K95" s="3">
        <f>'PCell vs GRASP random'!AY291</f>
        <v>14</v>
      </c>
      <c r="L95" s="3">
        <f>'PCell vs GRASP random'!AZ291</f>
        <v>14</v>
      </c>
      <c r="M95" s="3">
        <f>'PCell vs GRASP random'!BA291</f>
        <v>16</v>
      </c>
      <c r="N95" s="3">
        <f>'PCell vs GRASP random'!BP291</f>
        <v>17</v>
      </c>
      <c r="O95" s="3">
        <f>'PCell vs GRASP random'!BQ291</f>
        <v>13</v>
      </c>
      <c r="P95" s="3">
        <f>'PCell vs GRASP random'!BR291</f>
        <v>13</v>
      </c>
      <c r="Q95" s="3">
        <f>'PCell vs GRASP random'!BS291</f>
        <v>17</v>
      </c>
      <c r="S95" s="3">
        <f>'PCellRGRASP vs RGRASP'!AX290</f>
        <v>15</v>
      </c>
      <c r="T95" s="3">
        <f>'PCellRGRASP vs RGRASP'!AY290</f>
        <v>15</v>
      </c>
      <c r="U95" s="3">
        <f>'PCellRGRASP vs RGRASP'!AZ290</f>
        <v>16</v>
      </c>
      <c r="V95" s="3">
        <f>'PCellRGRASP vs RGRASP'!BA290</f>
        <v>14</v>
      </c>
      <c r="W95" s="3">
        <f>'PCellRGRASP vs RGRASP'!BP290</f>
        <v>20</v>
      </c>
      <c r="X95" s="3">
        <f>'PCellRGRASP vs RGRASP'!BQ290</f>
        <v>10</v>
      </c>
      <c r="Y95" s="3">
        <f>'PCellRGRASP vs RGRASP'!BR290</f>
        <v>11</v>
      </c>
      <c r="Z95" s="3">
        <f>'PCellRGRASP vs RGRASP'!BS290</f>
        <v>19</v>
      </c>
      <c r="AB95" s="15">
        <f>'Pcell est vs Pcell rand'!BD291</f>
        <v>28</v>
      </c>
      <c r="AC95" s="15">
        <f>'Pcell est vs Pcell rand'!BE291</f>
        <v>2</v>
      </c>
      <c r="AD95" s="15">
        <f>'Pcell est vs Pcell rand'!BF291</f>
        <v>2</v>
      </c>
      <c r="AE95" s="15">
        <f>'Pcell est vs Pcell rand'!BG291</f>
        <v>28</v>
      </c>
      <c r="AF95" s="15">
        <f>'Pcell est vs Pcell rand'!BX291</f>
        <v>30</v>
      </c>
      <c r="AG95" s="15">
        <f>'Pcell est vs Pcell rand'!BY291</f>
        <v>0</v>
      </c>
      <c r="AH95" s="15">
        <f>'Pcell est vs Pcell rand'!BZ291</f>
        <v>1</v>
      </c>
      <c r="AI95" s="15">
        <f>'Pcell est vs Pcell rand'!CA291</f>
        <v>29</v>
      </c>
      <c r="AK95" s="3">
        <f>'Pcell est vs PcellRGRASP'!BD291</f>
        <v>23</v>
      </c>
      <c r="AL95" s="3">
        <f>'Pcell est vs PcellRGRASP'!BE291</f>
        <v>7</v>
      </c>
      <c r="AM95" s="3">
        <f>'Pcell est vs PcellRGRASP'!BF291</f>
        <v>7</v>
      </c>
      <c r="AN95" s="3">
        <f>'Pcell est vs PcellRGRASP'!BG291</f>
        <v>23</v>
      </c>
      <c r="AO95" s="3">
        <f>'Pcell est vs PcellRGRASP'!BX291</f>
        <v>17</v>
      </c>
      <c r="AP95" s="3">
        <f>'Pcell est vs PcellRGRASP'!BY291</f>
        <v>13</v>
      </c>
      <c r="AQ95" s="3">
        <f>'Pcell est vs PcellRGRASP'!BZ291</f>
        <v>13</v>
      </c>
      <c r="AR95" s="3">
        <f>'Pcell est vs PcellRGRASP'!CA291</f>
        <v>17</v>
      </c>
      <c r="AT95" s="3">
        <f>'PcellRGRASP vs Pcell rand'!BD291</f>
        <v>9</v>
      </c>
      <c r="AU95" s="3">
        <f>'PcellRGRASP vs Pcell rand'!BE291</f>
        <v>21</v>
      </c>
      <c r="AV95" s="3">
        <f>'PcellRGRASP vs Pcell rand'!BF291</f>
        <v>21</v>
      </c>
      <c r="AW95" s="3">
        <f>'PcellRGRASP vs Pcell rand'!BG291</f>
        <v>9</v>
      </c>
      <c r="AX95" s="3">
        <f>'PcellRGRASP vs Pcell rand'!BX291</f>
        <v>14</v>
      </c>
      <c r="AY95" s="3">
        <f>'PcellRGRASP vs Pcell rand'!BY291</f>
        <v>16</v>
      </c>
      <c r="AZ95" s="3">
        <f>'PcellRGRASP vs Pcell rand'!BZ291</f>
        <v>16</v>
      </c>
      <c r="BA95" s="3">
        <f>'PcellRGRASP vs Pcell rand'!CA291</f>
        <v>14</v>
      </c>
    </row>
    <row r="96" spans="1:53" x14ac:dyDescent="0.3">
      <c r="AB96" s="11"/>
      <c r="AC96" s="11"/>
      <c r="AD96" s="11"/>
      <c r="AE96" s="11"/>
      <c r="AF96" s="11"/>
      <c r="AG96" s="11"/>
      <c r="AH96" s="11"/>
      <c r="AI96" s="11"/>
    </row>
    <row r="97" spans="1:53" x14ac:dyDescent="0.3">
      <c r="A97" s="19">
        <v>55</v>
      </c>
      <c r="B97" s="19"/>
      <c r="C97" s="19"/>
      <c r="D97" s="19"/>
      <c r="E97" s="19">
        <v>55</v>
      </c>
      <c r="F97" s="19"/>
      <c r="G97" s="19"/>
      <c r="H97" s="19"/>
      <c r="J97" s="19">
        <v>55</v>
      </c>
      <c r="K97" s="19"/>
      <c r="L97" s="19"/>
      <c r="M97" s="19"/>
      <c r="N97" s="19">
        <v>55</v>
      </c>
      <c r="O97" s="19"/>
      <c r="P97" s="19"/>
      <c r="Q97" s="19"/>
      <c r="S97" s="19">
        <v>55</v>
      </c>
      <c r="T97" s="19"/>
      <c r="U97" s="19"/>
      <c r="V97" s="19"/>
      <c r="W97" s="19">
        <v>55</v>
      </c>
      <c r="X97" s="19"/>
      <c r="Y97" s="19"/>
      <c r="Z97" s="19"/>
      <c r="AB97" s="19">
        <v>55</v>
      </c>
      <c r="AC97" s="19"/>
      <c r="AD97" s="19"/>
      <c r="AE97" s="19"/>
      <c r="AF97" s="19">
        <v>55</v>
      </c>
      <c r="AG97" s="19"/>
      <c r="AH97" s="19"/>
      <c r="AI97" s="19"/>
      <c r="AK97" s="19">
        <v>55</v>
      </c>
      <c r="AL97" s="19"/>
      <c r="AM97" s="19"/>
      <c r="AN97" s="19"/>
      <c r="AO97" s="19">
        <v>55</v>
      </c>
      <c r="AP97" s="19"/>
      <c r="AQ97" s="19"/>
      <c r="AR97" s="19"/>
      <c r="AT97" s="19">
        <v>55</v>
      </c>
      <c r="AU97" s="19"/>
      <c r="AV97" s="19"/>
      <c r="AW97" s="19"/>
      <c r="AX97" s="19">
        <v>55</v>
      </c>
      <c r="AY97" s="19"/>
      <c r="AZ97" s="19"/>
      <c r="BA97" s="19"/>
    </row>
    <row r="98" spans="1:53" x14ac:dyDescent="0.3">
      <c r="A98" s="19" t="s">
        <v>328</v>
      </c>
      <c r="B98" s="19"/>
      <c r="C98" s="19" t="s">
        <v>329</v>
      </c>
      <c r="D98" s="19"/>
      <c r="E98" s="19" t="s">
        <v>328</v>
      </c>
      <c r="F98" s="19"/>
      <c r="G98" s="19" t="s">
        <v>329</v>
      </c>
      <c r="H98" s="19"/>
      <c r="J98" s="19" t="s">
        <v>336</v>
      </c>
      <c r="K98" s="19"/>
      <c r="L98" s="19" t="s">
        <v>329</v>
      </c>
      <c r="M98" s="19"/>
      <c r="N98" s="19" t="s">
        <v>336</v>
      </c>
      <c r="O98" s="19"/>
      <c r="P98" s="19" t="s">
        <v>329</v>
      </c>
      <c r="Q98" s="19"/>
      <c r="S98" s="19" t="s">
        <v>339</v>
      </c>
      <c r="T98" s="19"/>
      <c r="U98" s="19" t="s">
        <v>340</v>
      </c>
      <c r="V98" s="19"/>
      <c r="W98" s="19" t="s">
        <v>339</v>
      </c>
      <c r="X98" s="19"/>
      <c r="Y98" s="19" t="s">
        <v>340</v>
      </c>
      <c r="Z98" s="19"/>
      <c r="AB98" s="19" t="s">
        <v>328</v>
      </c>
      <c r="AC98" s="19"/>
      <c r="AD98" s="19" t="s">
        <v>336</v>
      </c>
      <c r="AE98" s="19"/>
      <c r="AF98" s="19" t="s">
        <v>328</v>
      </c>
      <c r="AG98" s="19"/>
      <c r="AH98" s="19" t="s">
        <v>336</v>
      </c>
      <c r="AI98" s="19"/>
      <c r="AK98" s="19" t="s">
        <v>328</v>
      </c>
      <c r="AL98" s="19"/>
      <c r="AM98" s="19" t="s">
        <v>337</v>
      </c>
      <c r="AN98" s="19"/>
      <c r="AO98" s="19" t="s">
        <v>328</v>
      </c>
      <c r="AP98" s="19"/>
      <c r="AQ98" s="19" t="s">
        <v>337</v>
      </c>
      <c r="AR98" s="19"/>
      <c r="AT98" s="20" t="s">
        <v>337</v>
      </c>
      <c r="AU98" s="22"/>
      <c r="AV98" s="19" t="s">
        <v>336</v>
      </c>
      <c r="AW98" s="19"/>
      <c r="AX98" s="20" t="s">
        <v>337</v>
      </c>
      <c r="AY98" s="22"/>
      <c r="AZ98" s="19" t="s">
        <v>336</v>
      </c>
      <c r="BA98" s="19"/>
    </row>
    <row r="99" spans="1:53" x14ac:dyDescent="0.3">
      <c r="A99" s="19" t="s">
        <v>330</v>
      </c>
      <c r="B99" s="19"/>
      <c r="C99" s="19"/>
      <c r="D99" s="19"/>
      <c r="E99" s="19" t="s">
        <v>331</v>
      </c>
      <c r="F99" s="19"/>
      <c r="G99" s="19"/>
      <c r="H99" s="19"/>
      <c r="J99" s="19" t="s">
        <v>330</v>
      </c>
      <c r="K99" s="19"/>
      <c r="L99" s="19"/>
      <c r="M99" s="19"/>
      <c r="N99" s="19" t="s">
        <v>331</v>
      </c>
      <c r="O99" s="19"/>
      <c r="P99" s="19"/>
      <c r="Q99" s="19"/>
      <c r="S99" s="19" t="s">
        <v>330</v>
      </c>
      <c r="T99" s="19"/>
      <c r="U99" s="19"/>
      <c r="V99" s="19"/>
      <c r="W99" s="19" t="s">
        <v>331</v>
      </c>
      <c r="X99" s="19"/>
      <c r="Y99" s="19"/>
      <c r="Z99" s="19"/>
      <c r="AB99" s="19" t="s">
        <v>330</v>
      </c>
      <c r="AC99" s="19"/>
      <c r="AD99" s="19"/>
      <c r="AE99" s="19"/>
      <c r="AF99" s="19" t="s">
        <v>331</v>
      </c>
      <c r="AG99" s="19"/>
      <c r="AH99" s="19"/>
      <c r="AI99" s="19"/>
      <c r="AK99" s="19" t="s">
        <v>330</v>
      </c>
      <c r="AL99" s="19"/>
      <c r="AM99" s="19"/>
      <c r="AN99" s="19"/>
      <c r="AO99" s="19" t="s">
        <v>331</v>
      </c>
      <c r="AP99" s="19"/>
      <c r="AQ99" s="19"/>
      <c r="AR99" s="19"/>
      <c r="AT99" s="19" t="s">
        <v>330</v>
      </c>
      <c r="AU99" s="19"/>
      <c r="AV99" s="19"/>
      <c r="AW99" s="19"/>
      <c r="AX99" s="19" t="s">
        <v>331</v>
      </c>
      <c r="AY99" s="19"/>
      <c r="AZ99" s="19"/>
      <c r="BA99" s="19"/>
    </row>
    <row r="100" spans="1:53" x14ac:dyDescent="0.3">
      <c r="A100" s="3" t="str">
        <f>'Pcell vs GRASP est-rand'!AX324</f>
        <v>Ganado</v>
      </c>
      <c r="B100" s="3" t="str">
        <f>'Pcell vs GRASP est-rand'!AY324</f>
        <v>Perdido</v>
      </c>
      <c r="C100" s="3" t="str">
        <f>'Pcell vs GRASP est-rand'!AZ324</f>
        <v>Ganado</v>
      </c>
      <c r="D100" s="3" t="str">
        <f>'Pcell vs GRASP est-rand'!BA324</f>
        <v>Perdido</v>
      </c>
      <c r="E100" s="3" t="str">
        <f>'Pcell vs GRASP est-rand'!BP324</f>
        <v>Ganado</v>
      </c>
      <c r="F100" s="3" t="str">
        <f>'Pcell vs GRASP est-rand'!BQ324</f>
        <v>Perdido</v>
      </c>
      <c r="G100" s="3" t="str">
        <f>'Pcell vs GRASP est-rand'!BR324</f>
        <v>Ganado</v>
      </c>
      <c r="H100" s="3" t="str">
        <f>'Pcell vs GRASP est-rand'!BS324</f>
        <v>Perdido</v>
      </c>
      <c r="J100" s="3" t="str">
        <f>'PCell vs GRASP random'!AX324</f>
        <v>Ganado</v>
      </c>
      <c r="K100" s="3" t="str">
        <f>'PCell vs GRASP random'!AY324</f>
        <v>Perdido</v>
      </c>
      <c r="L100" s="3" t="str">
        <f>'PCell vs GRASP random'!AZ324</f>
        <v>Ganado</v>
      </c>
      <c r="M100" s="3" t="str">
        <f>'PCell vs GRASP random'!BA324</f>
        <v>Perdido</v>
      </c>
      <c r="N100" s="3" t="str">
        <f>'PCell vs GRASP random'!BP324</f>
        <v>Ganado</v>
      </c>
      <c r="O100" s="3" t="str">
        <f>'PCell vs GRASP random'!BQ324</f>
        <v>Perdido</v>
      </c>
      <c r="P100" s="3" t="str">
        <f>'PCell vs GRASP random'!BR324</f>
        <v>Ganado</v>
      </c>
      <c r="Q100" s="3" t="str">
        <f>'PCell vs GRASP random'!BS324</f>
        <v>Perdido</v>
      </c>
      <c r="S100" s="3" t="str">
        <f>'PCellRGRASP vs RGRASP'!AX323</f>
        <v>Ganado</v>
      </c>
      <c r="T100" s="3" t="str">
        <f>'PCellRGRASP vs RGRASP'!AY323</f>
        <v>Perdido</v>
      </c>
      <c r="U100" s="3" t="str">
        <f>'PCellRGRASP vs RGRASP'!AZ323</f>
        <v>Ganado</v>
      </c>
      <c r="V100" s="3" t="str">
        <f>'PCellRGRASP vs RGRASP'!BA323</f>
        <v>Perdido</v>
      </c>
      <c r="W100" s="3" t="str">
        <f>'PCellRGRASP vs RGRASP'!BP323</f>
        <v>Ganado</v>
      </c>
      <c r="X100" s="3" t="str">
        <f>'PCellRGRASP vs RGRASP'!BQ323</f>
        <v>Perdido</v>
      </c>
      <c r="Y100" s="3" t="str">
        <f>'PCellRGRASP vs RGRASP'!BR323</f>
        <v>Ganado</v>
      </c>
      <c r="Z100" s="3" t="str">
        <f>'PCellRGRASP vs RGRASP'!BS323</f>
        <v>Perdido</v>
      </c>
      <c r="AB100" s="15" t="str">
        <f>'Pcell est vs Pcell rand'!BD324</f>
        <v>Ganado</v>
      </c>
      <c r="AC100" s="15" t="str">
        <f>'Pcell est vs Pcell rand'!BE324</f>
        <v>Perdido</v>
      </c>
      <c r="AD100" s="15" t="str">
        <f>'Pcell est vs Pcell rand'!BF324</f>
        <v>Ganado</v>
      </c>
      <c r="AE100" s="15" t="str">
        <f>'Pcell est vs Pcell rand'!BG324</f>
        <v>Perdido</v>
      </c>
      <c r="AF100" s="15" t="str">
        <f>'Pcell est vs Pcell rand'!BX324</f>
        <v>Ganado</v>
      </c>
      <c r="AG100" s="15" t="str">
        <f>'Pcell est vs Pcell rand'!BY324</f>
        <v>Perdido</v>
      </c>
      <c r="AH100" s="15" t="str">
        <f>'Pcell est vs Pcell rand'!BZ324</f>
        <v>Ganado</v>
      </c>
      <c r="AI100" s="15" t="str">
        <f>'Pcell est vs Pcell rand'!CA324</f>
        <v>Perdido</v>
      </c>
      <c r="AK100" s="3" t="str">
        <f>'Pcell est vs PcellRGRASP'!BD324</f>
        <v>Ganado</v>
      </c>
      <c r="AL100" s="3" t="str">
        <f>'Pcell est vs PcellRGRASP'!BE324</f>
        <v>Perdido</v>
      </c>
      <c r="AM100" s="3" t="str">
        <f>'Pcell est vs PcellRGRASP'!BF324</f>
        <v>Ganado</v>
      </c>
      <c r="AN100" s="3" t="str">
        <f>'Pcell est vs PcellRGRASP'!BG324</f>
        <v>Perdido</v>
      </c>
      <c r="AO100" s="3" t="str">
        <f>'Pcell est vs PcellRGRASP'!BX324</f>
        <v>Ganado</v>
      </c>
      <c r="AP100" s="3" t="str">
        <f>'Pcell est vs PcellRGRASP'!BY324</f>
        <v>Perdido</v>
      </c>
      <c r="AQ100" s="3" t="str">
        <f>'Pcell est vs PcellRGRASP'!BZ324</f>
        <v>Ganado</v>
      </c>
      <c r="AR100" s="3" t="str">
        <f>'Pcell est vs PcellRGRASP'!CA324</f>
        <v>Perdido</v>
      </c>
      <c r="AT100" s="3" t="str">
        <f>'PcellRGRASP vs Pcell rand'!BD324</f>
        <v>Ganado</v>
      </c>
      <c r="AU100" s="3" t="str">
        <f>'PcellRGRASP vs Pcell rand'!BE324</f>
        <v>Perdido</v>
      </c>
      <c r="AV100" s="3" t="str">
        <f>'PcellRGRASP vs Pcell rand'!BF324</f>
        <v>Ganado</v>
      </c>
      <c r="AW100" s="3" t="str">
        <f>'PcellRGRASP vs Pcell rand'!BG324</f>
        <v>Perdido</v>
      </c>
      <c r="AX100" s="3" t="str">
        <f>'PcellRGRASP vs Pcell rand'!BX324</f>
        <v>Ganado</v>
      </c>
      <c r="AY100" s="3" t="str">
        <f>'PcellRGRASP vs Pcell rand'!BY324</f>
        <v>Perdido</v>
      </c>
      <c r="AZ100" s="3" t="str">
        <f>'PcellRGRASP vs Pcell rand'!BZ324</f>
        <v>Ganado</v>
      </c>
      <c r="BA100" s="3" t="str">
        <f>'PcellRGRASP vs Pcell rand'!CA324</f>
        <v>Perdido</v>
      </c>
    </row>
    <row r="101" spans="1:53" x14ac:dyDescent="0.3">
      <c r="A101" s="3">
        <f>'Pcell vs GRASP est-rand'!AX326</f>
        <v>20</v>
      </c>
      <c r="B101" s="3">
        <f>'Pcell vs GRASP est-rand'!AY326</f>
        <v>10</v>
      </c>
      <c r="C101" s="3">
        <f>'Pcell vs GRASP est-rand'!AZ326</f>
        <v>10</v>
      </c>
      <c r="D101" s="3">
        <f>'Pcell vs GRASP est-rand'!BA326</f>
        <v>20</v>
      </c>
      <c r="E101" s="3">
        <f>'Pcell vs GRASP est-rand'!BP326</f>
        <v>21</v>
      </c>
      <c r="F101" s="3">
        <f>'Pcell vs GRASP est-rand'!BQ326</f>
        <v>9</v>
      </c>
      <c r="G101" s="3">
        <f>'Pcell vs GRASP est-rand'!BR326</f>
        <v>9</v>
      </c>
      <c r="H101" s="3">
        <f>'Pcell vs GRASP est-rand'!BS326</f>
        <v>21</v>
      </c>
      <c r="J101" s="3">
        <f>'PCell vs GRASP random'!AX326</f>
        <v>16</v>
      </c>
      <c r="K101" s="3">
        <f>'PCell vs GRASP random'!AY326</f>
        <v>14</v>
      </c>
      <c r="L101" s="3">
        <f>'PCell vs GRASP random'!AZ326</f>
        <v>14</v>
      </c>
      <c r="M101" s="3">
        <f>'PCell vs GRASP random'!BA326</f>
        <v>16</v>
      </c>
      <c r="N101" s="3">
        <f>'PCell vs GRASP random'!BP326</f>
        <v>15</v>
      </c>
      <c r="O101" s="3">
        <f>'PCell vs GRASP random'!BQ326</f>
        <v>15</v>
      </c>
      <c r="P101" s="3">
        <f>'PCell vs GRASP random'!BR326</f>
        <v>15</v>
      </c>
      <c r="Q101" s="3">
        <f>'PCell vs GRASP random'!BS326</f>
        <v>15</v>
      </c>
      <c r="S101" s="3">
        <f>'PCellRGRASP vs RGRASP'!AX325</f>
        <v>14</v>
      </c>
      <c r="T101" s="3">
        <f>'PCellRGRASP vs RGRASP'!AY325</f>
        <v>16</v>
      </c>
      <c r="U101" s="3">
        <f>'PCellRGRASP vs RGRASP'!AZ325</f>
        <v>17</v>
      </c>
      <c r="V101" s="3">
        <f>'PCellRGRASP vs RGRASP'!BA325</f>
        <v>13</v>
      </c>
      <c r="W101" s="3">
        <f>'PCellRGRASP vs RGRASP'!BP325</f>
        <v>21</v>
      </c>
      <c r="X101" s="3">
        <f>'PCellRGRASP vs RGRASP'!BQ325</f>
        <v>9</v>
      </c>
      <c r="Y101" s="3">
        <f>'PCellRGRASP vs RGRASP'!BR325</f>
        <v>10</v>
      </c>
      <c r="Z101" s="3">
        <f>'PCellRGRASP vs RGRASP'!BS325</f>
        <v>20</v>
      </c>
      <c r="AB101" s="15">
        <f>'Pcell est vs Pcell rand'!BD326</f>
        <v>28</v>
      </c>
      <c r="AC101" s="15">
        <f>'Pcell est vs Pcell rand'!BE326</f>
        <v>2</v>
      </c>
      <c r="AD101" s="15">
        <f>'Pcell est vs Pcell rand'!BF326</f>
        <v>2</v>
      </c>
      <c r="AE101" s="15">
        <f>'Pcell est vs Pcell rand'!BG326</f>
        <v>28</v>
      </c>
      <c r="AF101" s="15">
        <f>'Pcell est vs Pcell rand'!BX326</f>
        <v>29</v>
      </c>
      <c r="AG101" s="15">
        <f>'Pcell est vs Pcell rand'!BY326</f>
        <v>1</v>
      </c>
      <c r="AH101" s="15">
        <f>'Pcell est vs Pcell rand'!BZ326</f>
        <v>1</v>
      </c>
      <c r="AI101" s="15">
        <f>'Pcell est vs Pcell rand'!CA326</f>
        <v>29</v>
      </c>
      <c r="AK101" s="3">
        <f>'Pcell est vs PcellRGRASP'!BD326</f>
        <v>20</v>
      </c>
      <c r="AL101" s="3">
        <f>'Pcell est vs PcellRGRASP'!BE326</f>
        <v>10</v>
      </c>
      <c r="AM101" s="3">
        <f>'Pcell est vs PcellRGRASP'!BF326</f>
        <v>10</v>
      </c>
      <c r="AN101" s="3">
        <f>'Pcell est vs PcellRGRASP'!BG326</f>
        <v>20</v>
      </c>
      <c r="AO101" s="3">
        <f>'Pcell est vs PcellRGRASP'!BX326</f>
        <v>22</v>
      </c>
      <c r="AP101" s="3">
        <f>'Pcell est vs PcellRGRASP'!BY326</f>
        <v>8</v>
      </c>
      <c r="AQ101" s="3">
        <f>'Pcell est vs PcellRGRASP'!BZ326</f>
        <v>8</v>
      </c>
      <c r="AR101" s="3">
        <f>'Pcell est vs PcellRGRASP'!CA326</f>
        <v>22</v>
      </c>
      <c r="AT101" s="3">
        <f>'PcellRGRASP vs Pcell rand'!BD326</f>
        <v>11</v>
      </c>
      <c r="AU101" s="3">
        <f>'PcellRGRASP vs Pcell rand'!BE326</f>
        <v>19</v>
      </c>
      <c r="AV101" s="3">
        <f>'PcellRGRASP vs Pcell rand'!BF326</f>
        <v>19</v>
      </c>
      <c r="AW101" s="3">
        <f>'PcellRGRASP vs Pcell rand'!BG326</f>
        <v>11</v>
      </c>
      <c r="AX101" s="3">
        <f>'PcellRGRASP vs Pcell rand'!BX326</f>
        <v>10</v>
      </c>
      <c r="AY101" s="3">
        <f>'PcellRGRASP vs Pcell rand'!BY326</f>
        <v>20</v>
      </c>
      <c r="AZ101" s="3">
        <f>'PcellRGRASP vs Pcell rand'!BZ326</f>
        <v>20</v>
      </c>
      <c r="BA101" s="3">
        <f>'PcellRGRASP vs Pcell rand'!CA326</f>
        <v>10</v>
      </c>
    </row>
    <row r="102" spans="1:53" x14ac:dyDescent="0.3">
      <c r="A102" s="19" t="s">
        <v>332</v>
      </c>
      <c r="B102" s="19"/>
      <c r="C102" s="19"/>
      <c r="D102" s="19"/>
      <c r="E102" s="19" t="s">
        <v>333</v>
      </c>
      <c r="F102" s="19"/>
      <c r="G102" s="19"/>
      <c r="H102" s="19"/>
      <c r="J102" s="19" t="s">
        <v>332</v>
      </c>
      <c r="K102" s="19"/>
      <c r="L102" s="19"/>
      <c r="M102" s="19"/>
      <c r="N102" s="19" t="s">
        <v>333</v>
      </c>
      <c r="O102" s="19"/>
      <c r="P102" s="19"/>
      <c r="Q102" s="19"/>
      <c r="S102" s="19" t="s">
        <v>332</v>
      </c>
      <c r="T102" s="19"/>
      <c r="U102" s="19"/>
      <c r="V102" s="19"/>
      <c r="W102" s="19" t="s">
        <v>333</v>
      </c>
      <c r="X102" s="19"/>
      <c r="Y102" s="19"/>
      <c r="Z102" s="19"/>
      <c r="AB102" s="19" t="s">
        <v>332</v>
      </c>
      <c r="AC102" s="19"/>
      <c r="AD102" s="19"/>
      <c r="AE102" s="19"/>
      <c r="AF102" s="19" t="s">
        <v>333</v>
      </c>
      <c r="AG102" s="19"/>
      <c r="AH102" s="19"/>
      <c r="AI102" s="19"/>
      <c r="AK102" s="19" t="s">
        <v>332</v>
      </c>
      <c r="AL102" s="19"/>
      <c r="AM102" s="19"/>
      <c r="AN102" s="19"/>
      <c r="AO102" s="19" t="s">
        <v>333</v>
      </c>
      <c r="AP102" s="19"/>
      <c r="AQ102" s="19"/>
      <c r="AR102" s="19"/>
      <c r="AT102" s="19" t="s">
        <v>332</v>
      </c>
      <c r="AU102" s="19"/>
      <c r="AV102" s="19"/>
      <c r="AW102" s="19"/>
      <c r="AX102" s="19" t="s">
        <v>333</v>
      </c>
      <c r="AY102" s="19"/>
      <c r="AZ102" s="19"/>
      <c r="BA102" s="19"/>
    </row>
    <row r="103" spans="1:53" x14ac:dyDescent="0.3">
      <c r="A103" s="3" t="str">
        <f>'Pcell vs GRASP est-rand'!AX360</f>
        <v>Ganado</v>
      </c>
      <c r="B103" s="3" t="str">
        <f>'Pcell vs GRASP est-rand'!AY360</f>
        <v>Perdido</v>
      </c>
      <c r="C103" s="3" t="str">
        <f>'Pcell vs GRASP est-rand'!AZ360</f>
        <v>Ganado</v>
      </c>
      <c r="D103" s="3" t="str">
        <f>'Pcell vs GRASP est-rand'!BA360</f>
        <v>Perdido</v>
      </c>
      <c r="E103" s="3" t="str">
        <f>'Pcell vs GRASP est-rand'!BP360</f>
        <v>Ganado</v>
      </c>
      <c r="F103" s="3" t="str">
        <f>'Pcell vs GRASP est-rand'!BQ360</f>
        <v>Perdido</v>
      </c>
      <c r="G103" s="3" t="str">
        <f>'Pcell vs GRASP est-rand'!BR360</f>
        <v>Ganado</v>
      </c>
      <c r="H103" s="3" t="str">
        <f>'Pcell vs GRASP est-rand'!BS360</f>
        <v>Perdido</v>
      </c>
      <c r="J103" s="3" t="str">
        <f>'PCell vs GRASP random'!AX360</f>
        <v>Ganado</v>
      </c>
      <c r="K103" s="3" t="str">
        <f>'PCell vs GRASP random'!AY360</f>
        <v>Perdido</v>
      </c>
      <c r="L103" s="3" t="str">
        <f>'PCell vs GRASP random'!AZ360</f>
        <v>Ganado</v>
      </c>
      <c r="M103" s="3" t="str">
        <f>'PCell vs GRASP random'!BA360</f>
        <v>Perdido</v>
      </c>
      <c r="N103" s="3" t="str">
        <f>'PCell vs GRASP random'!BP360</f>
        <v>Ganado</v>
      </c>
      <c r="O103" s="3" t="str">
        <f>'PCell vs GRASP random'!BQ360</f>
        <v>Perdido</v>
      </c>
      <c r="P103" s="3" t="str">
        <f>'PCell vs GRASP random'!BR360</f>
        <v>Ganado</v>
      </c>
      <c r="Q103" s="3" t="str">
        <f>'PCell vs GRASP random'!BS360</f>
        <v>Perdido</v>
      </c>
      <c r="S103" s="3" t="str">
        <f>'PCellRGRASP vs RGRASP'!AX359</f>
        <v>Ganado</v>
      </c>
      <c r="T103" s="3" t="str">
        <f>'PCellRGRASP vs RGRASP'!AY359</f>
        <v>Perdido</v>
      </c>
      <c r="U103" s="3" t="str">
        <f>'PCellRGRASP vs RGRASP'!AZ359</f>
        <v>Ganado</v>
      </c>
      <c r="V103" s="3" t="str">
        <f>'PCellRGRASP vs RGRASP'!BA359</f>
        <v>Perdido</v>
      </c>
      <c r="W103" s="3" t="str">
        <f>'PCellRGRASP vs RGRASP'!BP359</f>
        <v>Ganado</v>
      </c>
      <c r="X103" s="3" t="str">
        <f>'PCellRGRASP vs RGRASP'!BQ359</f>
        <v>Perdido</v>
      </c>
      <c r="Y103" s="3" t="str">
        <f>'PCellRGRASP vs RGRASP'!BR359</f>
        <v>Ganado</v>
      </c>
      <c r="Z103" s="3" t="str">
        <f>'PCellRGRASP vs RGRASP'!BS359</f>
        <v>Perdido</v>
      </c>
      <c r="AB103" s="15" t="str">
        <f>'Pcell est vs Pcell rand'!BD360</f>
        <v>Ganado</v>
      </c>
      <c r="AC103" s="15" t="str">
        <f>'Pcell est vs Pcell rand'!BE360</f>
        <v>Perdido</v>
      </c>
      <c r="AD103" s="15" t="str">
        <f>'Pcell est vs Pcell rand'!BF360</f>
        <v>Ganado</v>
      </c>
      <c r="AE103" s="15" t="str">
        <f>'Pcell est vs Pcell rand'!BG360</f>
        <v>Perdido</v>
      </c>
      <c r="AF103" s="15" t="str">
        <f>'Pcell est vs Pcell rand'!BX360</f>
        <v>Ganado</v>
      </c>
      <c r="AG103" s="15" t="str">
        <f>'Pcell est vs Pcell rand'!BY360</f>
        <v>Perdido</v>
      </c>
      <c r="AH103" s="15" t="str">
        <f>'Pcell est vs Pcell rand'!BZ360</f>
        <v>Ganado</v>
      </c>
      <c r="AI103" s="15" t="str">
        <f>'Pcell est vs Pcell rand'!CA360</f>
        <v>Perdido</v>
      </c>
      <c r="AK103" s="3" t="str">
        <f>'Pcell est vs PcellRGRASP'!BD360</f>
        <v>Ganado</v>
      </c>
      <c r="AL103" s="3" t="str">
        <f>'Pcell est vs PcellRGRASP'!BE360</f>
        <v>Perdido</v>
      </c>
      <c r="AM103" s="3" t="str">
        <f>'Pcell est vs PcellRGRASP'!BF360</f>
        <v>Ganado</v>
      </c>
      <c r="AN103" s="3" t="str">
        <f>'Pcell est vs PcellRGRASP'!BG360</f>
        <v>Perdido</v>
      </c>
      <c r="AO103" s="3" t="str">
        <f>'Pcell est vs PcellRGRASP'!BX360</f>
        <v>Ganado</v>
      </c>
      <c r="AP103" s="3" t="str">
        <f>'Pcell est vs PcellRGRASP'!BY360</f>
        <v>Perdido</v>
      </c>
      <c r="AQ103" s="3" t="str">
        <f>'Pcell est vs PcellRGRASP'!BZ360</f>
        <v>Ganado</v>
      </c>
      <c r="AR103" s="3" t="str">
        <f>'Pcell est vs PcellRGRASP'!CA360</f>
        <v>Perdido</v>
      </c>
      <c r="AT103" s="3" t="str">
        <f>'PcellRGRASP vs Pcell rand'!BD360</f>
        <v>Ganado</v>
      </c>
      <c r="AU103" s="3" t="str">
        <f>'PcellRGRASP vs Pcell rand'!BE360</f>
        <v>Perdido</v>
      </c>
      <c r="AV103" s="3" t="str">
        <f>'PcellRGRASP vs Pcell rand'!BF360</f>
        <v>Ganado</v>
      </c>
      <c r="AW103" s="3" t="str">
        <f>'PcellRGRASP vs Pcell rand'!BG360</f>
        <v>Perdido</v>
      </c>
      <c r="AX103" s="3" t="str">
        <f>'PcellRGRASP vs Pcell rand'!BX360</f>
        <v>Ganado</v>
      </c>
      <c r="AY103" s="3" t="str">
        <f>'PcellRGRASP vs Pcell rand'!BY360</f>
        <v>Perdido</v>
      </c>
      <c r="AZ103" s="3" t="str">
        <f>'PcellRGRASP vs Pcell rand'!BZ360</f>
        <v>Ganado</v>
      </c>
      <c r="BA103" s="3" t="str">
        <f>'PcellRGRASP vs Pcell rand'!CA360</f>
        <v>Perdido</v>
      </c>
    </row>
    <row r="104" spans="1:53" x14ac:dyDescent="0.3">
      <c r="A104" s="3">
        <f>'Pcell vs GRASP est-rand'!AX362</f>
        <v>20</v>
      </c>
      <c r="B104" s="3">
        <f>'Pcell vs GRASP est-rand'!AY362</f>
        <v>10</v>
      </c>
      <c r="C104" s="3">
        <f>'Pcell vs GRASP est-rand'!AZ362</f>
        <v>10</v>
      </c>
      <c r="D104" s="3">
        <f>'Pcell vs GRASP est-rand'!BA362</f>
        <v>20</v>
      </c>
      <c r="E104" s="3">
        <f>'Pcell vs GRASP est-rand'!BP362</f>
        <v>23</v>
      </c>
      <c r="F104" s="3">
        <f>'Pcell vs GRASP est-rand'!BQ362</f>
        <v>7</v>
      </c>
      <c r="G104" s="3">
        <f>'Pcell vs GRASP est-rand'!BR362</f>
        <v>7</v>
      </c>
      <c r="H104" s="3">
        <f>'Pcell vs GRASP est-rand'!BS362</f>
        <v>23</v>
      </c>
      <c r="J104" s="3">
        <f>'PCell vs GRASP random'!AX362</f>
        <v>17</v>
      </c>
      <c r="K104" s="3">
        <f>'PCell vs GRASP random'!AY362</f>
        <v>13</v>
      </c>
      <c r="L104" s="3">
        <f>'PCell vs GRASP random'!AZ362</f>
        <v>13</v>
      </c>
      <c r="M104" s="3">
        <f>'PCell vs GRASP random'!BA362</f>
        <v>17</v>
      </c>
      <c r="N104" s="3">
        <f>'PCell vs GRASP random'!BP362</f>
        <v>17</v>
      </c>
      <c r="O104" s="3">
        <f>'PCell vs GRASP random'!BQ362</f>
        <v>13</v>
      </c>
      <c r="P104" s="3">
        <f>'PCell vs GRASP random'!BR362</f>
        <v>15</v>
      </c>
      <c r="Q104" s="3">
        <f>'PCell vs GRASP random'!BS362</f>
        <v>15</v>
      </c>
      <c r="S104" s="3">
        <f>'PCellRGRASP vs RGRASP'!AX361</f>
        <v>16</v>
      </c>
      <c r="T104" s="3">
        <f>'PCellRGRASP vs RGRASP'!AY361</f>
        <v>14</v>
      </c>
      <c r="U104" s="3">
        <f>'PCellRGRASP vs RGRASP'!AZ361</f>
        <v>15</v>
      </c>
      <c r="V104" s="3">
        <f>'PCellRGRASP vs RGRASP'!BA361</f>
        <v>15</v>
      </c>
      <c r="W104" s="3">
        <f>'PCellRGRASP vs RGRASP'!BP361</f>
        <v>20</v>
      </c>
      <c r="X104" s="3">
        <f>'PCellRGRASP vs RGRASP'!BQ361</f>
        <v>10</v>
      </c>
      <c r="Y104" s="3">
        <f>'PCellRGRASP vs RGRASP'!BR361</f>
        <v>12</v>
      </c>
      <c r="Z104" s="3">
        <f>'PCellRGRASP vs RGRASP'!BS361</f>
        <v>18</v>
      </c>
      <c r="AB104" s="15">
        <f>'Pcell est vs Pcell rand'!BD362</f>
        <v>28</v>
      </c>
      <c r="AC104" s="15">
        <f>'Pcell est vs Pcell rand'!BE362</f>
        <v>2</v>
      </c>
      <c r="AD104" s="15">
        <f>'Pcell est vs Pcell rand'!BF362</f>
        <v>3</v>
      </c>
      <c r="AE104" s="15">
        <f>'Pcell est vs Pcell rand'!BG362</f>
        <v>27</v>
      </c>
      <c r="AF104" s="15">
        <f>'Pcell est vs Pcell rand'!BX362</f>
        <v>28</v>
      </c>
      <c r="AG104" s="15">
        <f>'Pcell est vs Pcell rand'!BY362</f>
        <v>2</v>
      </c>
      <c r="AH104" s="15">
        <f>'Pcell est vs Pcell rand'!BZ362</f>
        <v>3</v>
      </c>
      <c r="AI104" s="15">
        <f>'Pcell est vs Pcell rand'!CA362</f>
        <v>27</v>
      </c>
      <c r="AK104" s="3">
        <f>'Pcell est vs PcellRGRASP'!BD362</f>
        <v>19</v>
      </c>
      <c r="AL104" s="3">
        <f>'Pcell est vs PcellRGRASP'!BE362</f>
        <v>11</v>
      </c>
      <c r="AM104" s="3">
        <f>'Pcell est vs PcellRGRASP'!BF362</f>
        <v>11</v>
      </c>
      <c r="AN104" s="3">
        <f>'Pcell est vs PcellRGRASP'!BG362</f>
        <v>19</v>
      </c>
      <c r="AO104" s="3">
        <f>'Pcell est vs PcellRGRASP'!BX362</f>
        <v>19</v>
      </c>
      <c r="AP104" s="3">
        <f>'Pcell est vs PcellRGRASP'!BY362</f>
        <v>11</v>
      </c>
      <c r="AQ104" s="3">
        <f>'Pcell est vs PcellRGRASP'!BZ362</f>
        <v>11</v>
      </c>
      <c r="AR104" s="3">
        <f>'Pcell est vs PcellRGRASP'!CA362</f>
        <v>19</v>
      </c>
      <c r="AT104" s="3">
        <f>'PcellRGRASP vs Pcell rand'!BD362</f>
        <v>9</v>
      </c>
      <c r="AU104" s="3">
        <f>'PcellRGRASP vs Pcell rand'!BE362</f>
        <v>21</v>
      </c>
      <c r="AV104" s="3">
        <f>'PcellRGRASP vs Pcell rand'!BF362</f>
        <v>21</v>
      </c>
      <c r="AW104" s="3">
        <f>'PcellRGRASP vs Pcell rand'!BG362</f>
        <v>9</v>
      </c>
      <c r="AX104" s="3">
        <f>'PcellRGRASP vs Pcell rand'!BX362</f>
        <v>12</v>
      </c>
      <c r="AY104" s="3">
        <f>'PcellRGRASP vs Pcell rand'!BY362</f>
        <v>18</v>
      </c>
      <c r="AZ104" s="3">
        <f>'PcellRGRASP vs Pcell rand'!BZ362</f>
        <v>18</v>
      </c>
      <c r="BA104" s="3">
        <f>'PcellRGRASP vs Pcell rand'!CA362</f>
        <v>12</v>
      </c>
    </row>
    <row r="105" spans="1:53" x14ac:dyDescent="0.3">
      <c r="A105" s="19" t="s">
        <v>334</v>
      </c>
      <c r="B105" s="19"/>
      <c r="C105" s="19"/>
      <c r="D105" s="19"/>
      <c r="E105" s="19" t="s">
        <v>335</v>
      </c>
      <c r="F105" s="19"/>
      <c r="G105" s="19"/>
      <c r="H105" s="19"/>
      <c r="J105" s="19" t="s">
        <v>334</v>
      </c>
      <c r="K105" s="19"/>
      <c r="L105" s="19"/>
      <c r="M105" s="19"/>
      <c r="N105" s="19" t="s">
        <v>335</v>
      </c>
      <c r="O105" s="19"/>
      <c r="P105" s="19"/>
      <c r="Q105" s="19"/>
      <c r="S105" s="19" t="s">
        <v>334</v>
      </c>
      <c r="T105" s="19"/>
      <c r="U105" s="19"/>
      <c r="V105" s="19"/>
      <c r="W105" s="19" t="s">
        <v>335</v>
      </c>
      <c r="X105" s="19"/>
      <c r="Y105" s="19"/>
      <c r="Z105" s="19"/>
      <c r="AB105" s="19" t="s">
        <v>334</v>
      </c>
      <c r="AC105" s="19"/>
      <c r="AD105" s="19"/>
      <c r="AE105" s="19"/>
      <c r="AF105" s="19" t="s">
        <v>335</v>
      </c>
      <c r="AG105" s="19"/>
      <c r="AH105" s="19"/>
      <c r="AI105" s="19"/>
      <c r="AK105" s="19" t="s">
        <v>334</v>
      </c>
      <c r="AL105" s="19"/>
      <c r="AM105" s="19"/>
      <c r="AN105" s="19"/>
      <c r="AO105" s="19" t="s">
        <v>335</v>
      </c>
      <c r="AP105" s="19"/>
      <c r="AQ105" s="19"/>
      <c r="AR105" s="19"/>
      <c r="AT105" s="19" t="s">
        <v>334</v>
      </c>
      <c r="AU105" s="19"/>
      <c r="AV105" s="19"/>
      <c r="AW105" s="19"/>
      <c r="AX105" s="19" t="s">
        <v>335</v>
      </c>
      <c r="AY105" s="19"/>
      <c r="AZ105" s="19"/>
      <c r="BA105" s="19"/>
    </row>
    <row r="106" spans="1:53" x14ac:dyDescent="0.3">
      <c r="A106" s="3" t="str">
        <f>'Pcell vs GRASP est-rand'!AX396</f>
        <v>Ganado</v>
      </c>
      <c r="B106" s="3" t="str">
        <f>'Pcell vs GRASP est-rand'!AY396</f>
        <v>Perdido</v>
      </c>
      <c r="C106" s="3" t="str">
        <f>'Pcell vs GRASP est-rand'!AZ396</f>
        <v>Ganado</v>
      </c>
      <c r="D106" s="3" t="str">
        <f>'Pcell vs GRASP est-rand'!BA396</f>
        <v>Perdido</v>
      </c>
      <c r="E106" s="3" t="str">
        <f>'Pcell vs GRASP est-rand'!BP396</f>
        <v>Ganado</v>
      </c>
      <c r="F106" s="3" t="str">
        <f>'Pcell vs GRASP est-rand'!BQ396</f>
        <v>Perdido</v>
      </c>
      <c r="G106" s="3" t="str">
        <f>'Pcell vs GRASP est-rand'!BR396</f>
        <v>Ganado</v>
      </c>
      <c r="H106" s="3" t="str">
        <f>'Pcell vs GRASP est-rand'!BS396</f>
        <v>Perdido</v>
      </c>
      <c r="J106" s="3" t="str">
        <f>'PCell vs GRASP random'!AX396</f>
        <v>Ganado</v>
      </c>
      <c r="K106" s="3" t="str">
        <f>'PCell vs GRASP random'!AY396</f>
        <v>Perdido</v>
      </c>
      <c r="L106" s="3" t="str">
        <f>'PCell vs GRASP random'!AZ396</f>
        <v>Ganado</v>
      </c>
      <c r="M106" s="3" t="str">
        <f>'PCell vs GRASP random'!BA396</f>
        <v>Perdido</v>
      </c>
      <c r="N106" s="3" t="str">
        <f>'PCell vs GRASP random'!BP396</f>
        <v>Ganado</v>
      </c>
      <c r="O106" s="3" t="str">
        <f>'PCell vs GRASP random'!BQ396</f>
        <v>Perdido</v>
      </c>
      <c r="P106" s="3" t="str">
        <f>'PCell vs GRASP random'!BR396</f>
        <v>Ganado</v>
      </c>
      <c r="Q106" s="3" t="str">
        <f>'PCell vs GRASP random'!BS396</f>
        <v>Perdido</v>
      </c>
      <c r="S106" s="3" t="str">
        <f>'PCellRGRASP vs RGRASP'!AX395</f>
        <v>Ganado</v>
      </c>
      <c r="T106" s="3" t="str">
        <f>'PCellRGRASP vs RGRASP'!AY395</f>
        <v>Perdido</v>
      </c>
      <c r="U106" s="3" t="str">
        <f>'PCellRGRASP vs RGRASP'!AZ395</f>
        <v>Ganado</v>
      </c>
      <c r="V106" s="3" t="str">
        <f>'PCellRGRASP vs RGRASP'!BA395</f>
        <v>Perdido</v>
      </c>
      <c r="W106" s="3" t="str">
        <f>'PCellRGRASP vs RGRASP'!BP395</f>
        <v>Ganado</v>
      </c>
      <c r="X106" s="3" t="str">
        <f>'PCellRGRASP vs RGRASP'!BQ395</f>
        <v>Perdido</v>
      </c>
      <c r="Y106" s="3" t="str">
        <f>'PCellRGRASP vs RGRASP'!BR395</f>
        <v>Ganado</v>
      </c>
      <c r="Z106" s="3" t="str">
        <f>'PCellRGRASP vs RGRASP'!BS395</f>
        <v>Perdido</v>
      </c>
      <c r="AB106" s="15" t="str">
        <f>'Pcell est vs Pcell rand'!BD396</f>
        <v>Ganado</v>
      </c>
      <c r="AC106" s="15" t="str">
        <f>'Pcell est vs Pcell rand'!BE396</f>
        <v>Perdido</v>
      </c>
      <c r="AD106" s="15" t="str">
        <f>'Pcell est vs Pcell rand'!BF396</f>
        <v>Ganado</v>
      </c>
      <c r="AE106" s="15" t="str">
        <f>'Pcell est vs Pcell rand'!BG396</f>
        <v>Perdido</v>
      </c>
      <c r="AF106" s="15" t="str">
        <f>'Pcell est vs Pcell rand'!BX396</f>
        <v>Ganado</v>
      </c>
      <c r="AG106" s="15" t="str">
        <f>'Pcell est vs Pcell rand'!BY396</f>
        <v>Perdido</v>
      </c>
      <c r="AH106" s="15" t="str">
        <f>'Pcell est vs Pcell rand'!BZ396</f>
        <v>Ganado</v>
      </c>
      <c r="AI106" s="15" t="str">
        <f>'Pcell est vs Pcell rand'!CA396</f>
        <v>Perdido</v>
      </c>
      <c r="AK106" s="3" t="str">
        <f>'Pcell est vs PcellRGRASP'!BD396</f>
        <v>Ganado</v>
      </c>
      <c r="AL106" s="3" t="str">
        <f>'Pcell est vs PcellRGRASP'!BE396</f>
        <v>Perdido</v>
      </c>
      <c r="AM106" s="3" t="str">
        <f>'Pcell est vs PcellRGRASP'!BF396</f>
        <v>Ganado</v>
      </c>
      <c r="AN106" s="3" t="str">
        <f>'Pcell est vs PcellRGRASP'!BG396</f>
        <v>Perdido</v>
      </c>
      <c r="AO106" s="3" t="str">
        <f>'Pcell est vs PcellRGRASP'!BX396</f>
        <v>Ganado</v>
      </c>
      <c r="AP106" s="3" t="str">
        <f>'Pcell est vs PcellRGRASP'!BY396</f>
        <v>Perdido</v>
      </c>
      <c r="AQ106" s="3" t="str">
        <f>'Pcell est vs PcellRGRASP'!BZ396</f>
        <v>Ganado</v>
      </c>
      <c r="AR106" s="3" t="str">
        <f>'Pcell est vs PcellRGRASP'!CA396</f>
        <v>Perdido</v>
      </c>
      <c r="AT106" s="3" t="str">
        <f>'PcellRGRASP vs Pcell rand'!BD396</f>
        <v>Ganado</v>
      </c>
      <c r="AU106" s="3" t="str">
        <f>'PcellRGRASP vs Pcell rand'!BE396</f>
        <v>Perdido</v>
      </c>
      <c r="AV106" s="3" t="str">
        <f>'PcellRGRASP vs Pcell rand'!BF396</f>
        <v>Ganado</v>
      </c>
      <c r="AW106" s="3" t="str">
        <f>'PcellRGRASP vs Pcell rand'!BG396</f>
        <v>Perdido</v>
      </c>
      <c r="AX106" s="3" t="str">
        <f>'PcellRGRASP vs Pcell rand'!BX396</f>
        <v>Ganado</v>
      </c>
      <c r="AY106" s="3" t="str">
        <f>'PcellRGRASP vs Pcell rand'!BY396</f>
        <v>Perdido</v>
      </c>
      <c r="AZ106" s="3" t="str">
        <f>'PcellRGRASP vs Pcell rand'!BZ396</f>
        <v>Ganado</v>
      </c>
      <c r="BA106" s="3" t="str">
        <f>'PcellRGRASP vs Pcell rand'!CA396</f>
        <v>Perdido</v>
      </c>
    </row>
    <row r="107" spans="1:53" x14ac:dyDescent="0.3">
      <c r="A107" s="3">
        <f>'Pcell vs GRASP est-rand'!AX398</f>
        <v>22</v>
      </c>
      <c r="B107" s="3">
        <f>'Pcell vs GRASP est-rand'!AY398</f>
        <v>8</v>
      </c>
      <c r="C107" s="3">
        <f>'Pcell vs GRASP est-rand'!AZ398</f>
        <v>8</v>
      </c>
      <c r="D107" s="3">
        <f>'Pcell vs GRASP est-rand'!BA398</f>
        <v>22</v>
      </c>
      <c r="E107" s="3">
        <f>'Pcell vs GRASP est-rand'!BP398</f>
        <v>16</v>
      </c>
      <c r="F107" s="3">
        <f>'Pcell vs GRASP est-rand'!BQ398</f>
        <v>14</v>
      </c>
      <c r="G107" s="3">
        <f>'Pcell vs GRASP est-rand'!BR398</f>
        <v>13</v>
      </c>
      <c r="H107" s="3">
        <f>'Pcell vs GRASP est-rand'!BS398</f>
        <v>17</v>
      </c>
      <c r="J107" s="3">
        <f>'PCell vs GRASP random'!AX398</f>
        <v>16</v>
      </c>
      <c r="K107" s="3">
        <f>'PCell vs GRASP random'!AY398</f>
        <v>14</v>
      </c>
      <c r="L107" s="3">
        <f>'PCell vs GRASP random'!AZ398</f>
        <v>16</v>
      </c>
      <c r="M107" s="3">
        <f>'PCell vs GRASP random'!BA398</f>
        <v>14</v>
      </c>
      <c r="N107" s="3">
        <f>'PCell vs GRASP random'!BP398</f>
        <v>16</v>
      </c>
      <c r="O107" s="3">
        <f>'PCell vs GRASP random'!BQ398</f>
        <v>14</v>
      </c>
      <c r="P107" s="3">
        <f>'PCell vs GRASP random'!BR398</f>
        <v>14</v>
      </c>
      <c r="Q107" s="3">
        <f>'PCell vs GRASP random'!BS398</f>
        <v>16</v>
      </c>
      <c r="S107" s="3">
        <f>'PCellRGRASP vs RGRASP'!AX397</f>
        <v>16</v>
      </c>
      <c r="T107" s="3">
        <f>'PCellRGRASP vs RGRASP'!AY397</f>
        <v>14</v>
      </c>
      <c r="U107" s="3">
        <f>'PCellRGRASP vs RGRASP'!AZ397</f>
        <v>15</v>
      </c>
      <c r="V107" s="3">
        <f>'PCellRGRASP vs RGRASP'!BA397</f>
        <v>15</v>
      </c>
      <c r="W107" s="3">
        <f>'PCellRGRASP vs RGRASP'!BP397</f>
        <v>18</v>
      </c>
      <c r="X107" s="3">
        <f>'PCellRGRASP vs RGRASP'!BQ397</f>
        <v>12</v>
      </c>
      <c r="Y107" s="3">
        <f>'PCellRGRASP vs RGRASP'!BR397</f>
        <v>13</v>
      </c>
      <c r="Z107" s="3">
        <f>'PCellRGRASP vs RGRASP'!BS397</f>
        <v>17</v>
      </c>
      <c r="AB107" s="15">
        <f>'Pcell est vs Pcell rand'!BD398</f>
        <v>29</v>
      </c>
      <c r="AC107" s="15">
        <f>'Pcell est vs Pcell rand'!BE398</f>
        <v>1</v>
      </c>
      <c r="AD107" s="15">
        <f>'Pcell est vs Pcell rand'!BF398</f>
        <v>1</v>
      </c>
      <c r="AE107" s="15">
        <f>'Pcell est vs Pcell rand'!BG398</f>
        <v>29</v>
      </c>
      <c r="AF107" s="15">
        <f>'Pcell est vs Pcell rand'!BX398</f>
        <v>29</v>
      </c>
      <c r="AG107" s="15">
        <f>'Pcell est vs Pcell rand'!BY398</f>
        <v>1</v>
      </c>
      <c r="AH107" s="15">
        <f>'Pcell est vs Pcell rand'!BZ398</f>
        <v>1</v>
      </c>
      <c r="AI107" s="15">
        <f>'Pcell est vs Pcell rand'!CA398</f>
        <v>29</v>
      </c>
      <c r="AK107" s="3">
        <f>'Pcell est vs PcellRGRASP'!BD398</f>
        <v>16</v>
      </c>
      <c r="AL107" s="3">
        <f>'Pcell est vs PcellRGRASP'!BE398</f>
        <v>14</v>
      </c>
      <c r="AM107" s="3">
        <f>'Pcell est vs PcellRGRASP'!BF398</f>
        <v>14</v>
      </c>
      <c r="AN107" s="3">
        <f>'Pcell est vs PcellRGRASP'!BG398</f>
        <v>16</v>
      </c>
      <c r="AO107" s="3">
        <f>'Pcell est vs PcellRGRASP'!BX398</f>
        <v>20</v>
      </c>
      <c r="AP107" s="3">
        <f>'Pcell est vs PcellRGRASP'!BY398</f>
        <v>10</v>
      </c>
      <c r="AQ107" s="3">
        <f>'Pcell est vs PcellRGRASP'!BZ398</f>
        <v>10</v>
      </c>
      <c r="AR107" s="3">
        <f>'Pcell est vs PcellRGRASP'!CA398</f>
        <v>20</v>
      </c>
      <c r="AT107" s="3">
        <f>'PcellRGRASP vs Pcell rand'!BD398</f>
        <v>16</v>
      </c>
      <c r="AU107" s="3">
        <f>'PcellRGRASP vs Pcell rand'!BE398</f>
        <v>14</v>
      </c>
      <c r="AV107" s="3">
        <f>'PcellRGRASP vs Pcell rand'!BF398</f>
        <v>15</v>
      </c>
      <c r="AW107" s="3">
        <f>'PcellRGRASP vs Pcell rand'!BG398</f>
        <v>15</v>
      </c>
      <c r="AX107" s="3">
        <f>'PcellRGRASP vs Pcell rand'!BX398</f>
        <v>12</v>
      </c>
      <c r="AY107" s="3">
        <f>'PcellRGRASP vs Pcell rand'!BY398</f>
        <v>18</v>
      </c>
      <c r="AZ107" s="3">
        <f>'PcellRGRASP vs Pcell rand'!BZ398</f>
        <v>19</v>
      </c>
      <c r="BA107" s="3">
        <f>'PcellRGRASP vs Pcell rand'!CA398</f>
        <v>11</v>
      </c>
    </row>
    <row r="109" spans="1:53" x14ac:dyDescent="0.3">
      <c r="A109" s="20" t="s">
        <v>345</v>
      </c>
      <c r="B109" s="21"/>
      <c r="C109" s="21"/>
      <c r="D109" s="21"/>
      <c r="E109" s="21"/>
      <c r="F109" s="21"/>
      <c r="G109" s="21"/>
      <c r="H109" s="22"/>
      <c r="J109" s="20" t="s">
        <v>345</v>
      </c>
      <c r="K109" s="21"/>
      <c r="L109" s="21"/>
      <c r="M109" s="21"/>
      <c r="N109" s="21"/>
      <c r="O109" s="21"/>
      <c r="P109" s="21"/>
      <c r="Q109" s="22"/>
      <c r="S109" s="20" t="s">
        <v>345</v>
      </c>
      <c r="T109" s="21"/>
      <c r="U109" s="21"/>
      <c r="V109" s="21"/>
      <c r="W109" s="21"/>
      <c r="X109" s="21"/>
      <c r="Y109" s="21"/>
      <c r="Z109" s="22"/>
      <c r="AB109" s="19">
        <v>60</v>
      </c>
      <c r="AC109" s="19"/>
      <c r="AD109" s="19"/>
      <c r="AE109" s="19"/>
      <c r="AF109" s="19">
        <v>60</v>
      </c>
      <c r="AG109" s="19"/>
      <c r="AH109" s="19"/>
      <c r="AI109" s="19"/>
      <c r="AK109" s="19">
        <v>60</v>
      </c>
      <c r="AL109" s="19"/>
      <c r="AM109" s="19"/>
      <c r="AN109" s="19"/>
      <c r="AO109" s="19">
        <v>60</v>
      </c>
      <c r="AP109" s="19"/>
      <c r="AQ109" s="19"/>
      <c r="AR109" s="19"/>
      <c r="AT109" s="19">
        <v>60</v>
      </c>
      <c r="AU109" s="19"/>
      <c r="AV109" s="19"/>
      <c r="AW109" s="19"/>
      <c r="AX109" s="19">
        <v>60</v>
      </c>
      <c r="AY109" s="19"/>
      <c r="AZ109" s="19"/>
      <c r="BA109" s="19"/>
    </row>
    <row r="110" spans="1:53" x14ac:dyDescent="0.3">
      <c r="A110" s="29" t="s">
        <v>328</v>
      </c>
      <c r="B110" s="29"/>
      <c r="C110" s="29" t="s">
        <v>329</v>
      </c>
      <c r="D110" s="29"/>
      <c r="E110" s="29" t="s">
        <v>328</v>
      </c>
      <c r="F110" s="29"/>
      <c r="G110" s="29" t="s">
        <v>329</v>
      </c>
      <c r="H110" s="29"/>
      <c r="J110" s="29" t="s">
        <v>336</v>
      </c>
      <c r="K110" s="29"/>
      <c r="L110" s="29" t="s">
        <v>329</v>
      </c>
      <c r="M110" s="29"/>
      <c r="N110" s="29" t="s">
        <v>336</v>
      </c>
      <c r="O110" s="29"/>
      <c r="P110" s="29" t="s">
        <v>329</v>
      </c>
      <c r="Q110" s="29"/>
      <c r="S110" s="29" t="s">
        <v>339</v>
      </c>
      <c r="T110" s="29"/>
      <c r="U110" s="29" t="s">
        <v>340</v>
      </c>
      <c r="V110" s="29"/>
      <c r="W110" s="29" t="s">
        <v>339</v>
      </c>
      <c r="X110" s="29"/>
      <c r="Y110" s="29" t="s">
        <v>340</v>
      </c>
      <c r="Z110" s="29"/>
      <c r="AB110" s="29" t="s">
        <v>328</v>
      </c>
      <c r="AC110" s="29"/>
      <c r="AD110" s="29" t="s">
        <v>336</v>
      </c>
      <c r="AE110" s="29"/>
      <c r="AF110" s="29" t="s">
        <v>328</v>
      </c>
      <c r="AG110" s="29"/>
      <c r="AH110" s="29" t="s">
        <v>336</v>
      </c>
      <c r="AI110" s="29"/>
      <c r="AK110" s="29" t="s">
        <v>328</v>
      </c>
      <c r="AL110" s="29"/>
      <c r="AM110" s="29" t="s">
        <v>337</v>
      </c>
      <c r="AN110" s="29"/>
      <c r="AO110" s="29" t="s">
        <v>328</v>
      </c>
      <c r="AP110" s="29"/>
      <c r="AQ110" s="29" t="s">
        <v>337</v>
      </c>
      <c r="AR110" s="29"/>
      <c r="AT110" s="27" t="s">
        <v>337</v>
      </c>
      <c r="AU110" s="28"/>
      <c r="AV110" s="29" t="s">
        <v>336</v>
      </c>
      <c r="AW110" s="29"/>
      <c r="AX110" s="27" t="s">
        <v>337</v>
      </c>
      <c r="AY110" s="28"/>
      <c r="AZ110" s="29" t="s">
        <v>336</v>
      </c>
      <c r="BA110" s="29"/>
    </row>
    <row r="111" spans="1:53" x14ac:dyDescent="0.3">
      <c r="A111" s="19" t="s">
        <v>330</v>
      </c>
      <c r="B111" s="19"/>
      <c r="C111" s="19"/>
      <c r="D111" s="19"/>
      <c r="E111" s="19" t="s">
        <v>331</v>
      </c>
      <c r="F111" s="19"/>
      <c r="G111" s="19"/>
      <c r="H111" s="19"/>
      <c r="J111" s="19" t="s">
        <v>330</v>
      </c>
      <c r="K111" s="19"/>
      <c r="L111" s="19"/>
      <c r="M111" s="19"/>
      <c r="N111" s="19" t="s">
        <v>331</v>
      </c>
      <c r="O111" s="19"/>
      <c r="P111" s="19"/>
      <c r="Q111" s="19"/>
      <c r="S111" s="19" t="s">
        <v>330</v>
      </c>
      <c r="T111" s="19"/>
      <c r="U111" s="19"/>
      <c r="V111" s="19"/>
      <c r="W111" s="19" t="s">
        <v>331</v>
      </c>
      <c r="X111" s="19"/>
      <c r="Y111" s="19"/>
      <c r="Z111" s="19"/>
      <c r="AB111" s="19" t="s">
        <v>330</v>
      </c>
      <c r="AC111" s="19"/>
      <c r="AD111" s="19"/>
      <c r="AE111" s="19"/>
      <c r="AF111" s="19" t="s">
        <v>331</v>
      </c>
      <c r="AG111" s="19"/>
      <c r="AH111" s="19"/>
      <c r="AI111" s="19"/>
      <c r="AK111" s="19" t="s">
        <v>330</v>
      </c>
      <c r="AL111" s="19"/>
      <c r="AM111" s="19"/>
      <c r="AN111" s="19"/>
      <c r="AO111" s="19" t="s">
        <v>331</v>
      </c>
      <c r="AP111" s="19"/>
      <c r="AQ111" s="19"/>
      <c r="AR111" s="19"/>
      <c r="AT111" s="19" t="s">
        <v>330</v>
      </c>
      <c r="AU111" s="19"/>
      <c r="AV111" s="19"/>
      <c r="AW111" s="19"/>
      <c r="AX111" s="19" t="s">
        <v>331</v>
      </c>
      <c r="AY111" s="19"/>
      <c r="AZ111" s="19"/>
      <c r="BA111" s="19"/>
    </row>
    <row r="112" spans="1:53" x14ac:dyDescent="0.3">
      <c r="A112" s="3" t="str">
        <f>'Pcell vs GRASP est-rand'!AX431</f>
        <v>Ganado</v>
      </c>
      <c r="B112" s="3" t="str">
        <f>'Pcell vs GRASP est-rand'!AY431</f>
        <v>Perdido</v>
      </c>
      <c r="C112" s="3" t="str">
        <f>'Pcell vs GRASP est-rand'!AZ431</f>
        <v>Ganado</v>
      </c>
      <c r="D112" s="3" t="str">
        <f>'Pcell vs GRASP est-rand'!BA431</f>
        <v>Perdido</v>
      </c>
      <c r="E112" s="3" t="str">
        <f>'Pcell vs GRASP est-rand'!BP431</f>
        <v>Ganado</v>
      </c>
      <c r="F112" s="3" t="str">
        <f>'Pcell vs GRASP est-rand'!BQ431</f>
        <v>Perdido</v>
      </c>
      <c r="G112" s="3" t="str">
        <f>'Pcell vs GRASP est-rand'!BR431</f>
        <v>Ganado</v>
      </c>
      <c r="H112" s="3" t="str">
        <f>'Pcell vs GRASP est-rand'!BS431</f>
        <v>Perdido</v>
      </c>
      <c r="J112" s="3" t="str">
        <f>'PCell vs GRASP random'!AX431</f>
        <v>Ganado</v>
      </c>
      <c r="K112" s="3" t="str">
        <f>'PCell vs GRASP random'!AY431</f>
        <v>Perdido</v>
      </c>
      <c r="L112" s="3" t="str">
        <f>'PCell vs GRASP random'!AZ431</f>
        <v>Ganado</v>
      </c>
      <c r="M112" s="3" t="str">
        <f>'PCell vs GRASP random'!BA431</f>
        <v>Perdido</v>
      </c>
      <c r="N112" s="3" t="str">
        <f>'PCell vs GRASP random'!BP431</f>
        <v>Ganado</v>
      </c>
      <c r="O112" s="3" t="str">
        <f>'PCell vs GRASP random'!BQ431</f>
        <v>Perdido</v>
      </c>
      <c r="P112" s="3" t="str">
        <f>'PCell vs GRASP random'!BR431</f>
        <v>Ganado</v>
      </c>
      <c r="Q112" s="3" t="str">
        <f>'PCell vs GRASP random'!BS431</f>
        <v>Perdido</v>
      </c>
      <c r="S112" s="3" t="str">
        <f>'PCellRGRASP vs RGRASP'!AX430</f>
        <v>Ganado</v>
      </c>
      <c r="T112" s="3" t="str">
        <f>'PCellRGRASP vs RGRASP'!AY430</f>
        <v>Perdido</v>
      </c>
      <c r="U112" s="3" t="str">
        <f>'PCellRGRASP vs RGRASP'!AZ430</f>
        <v>Ganado</v>
      </c>
      <c r="V112" s="3" t="str">
        <f>'PCellRGRASP vs RGRASP'!BA430</f>
        <v>Perdido</v>
      </c>
      <c r="W112" s="3" t="str">
        <f>'PCellRGRASP vs RGRASP'!BP430</f>
        <v>Ganado</v>
      </c>
      <c r="X112" s="3" t="str">
        <f>'PCellRGRASP vs RGRASP'!BQ430</f>
        <v>Perdido</v>
      </c>
      <c r="Y112" s="3" t="str">
        <f>'PCellRGRASP vs RGRASP'!BR430</f>
        <v>Ganado</v>
      </c>
      <c r="Z112" s="3" t="str">
        <f>'PCellRGRASP vs RGRASP'!BS430</f>
        <v>Perdido</v>
      </c>
      <c r="AB112" s="3" t="str">
        <f>'Pcell est vs Pcell rand'!BD431</f>
        <v>Ganado</v>
      </c>
      <c r="AC112" s="3" t="str">
        <f>'Pcell est vs Pcell rand'!BE431</f>
        <v>Perdido</v>
      </c>
      <c r="AD112" s="3" t="str">
        <f>'Pcell est vs Pcell rand'!BF431</f>
        <v>Ganado</v>
      </c>
      <c r="AE112" s="3" t="str">
        <f>'Pcell est vs Pcell rand'!BG431</f>
        <v>Perdido</v>
      </c>
      <c r="AF112" s="3" t="str">
        <f>'Pcell est vs Pcell rand'!BX431</f>
        <v>Ganado</v>
      </c>
      <c r="AG112" s="3" t="str">
        <f>'Pcell est vs Pcell rand'!BY431</f>
        <v>Perdido</v>
      </c>
      <c r="AH112" s="3" t="str">
        <f>'Pcell est vs Pcell rand'!BZ431</f>
        <v>Ganado</v>
      </c>
      <c r="AI112" s="3" t="str">
        <f>'Pcell est vs Pcell rand'!CA431</f>
        <v>Perdido</v>
      </c>
      <c r="AK112" s="3" t="str">
        <f>'Pcell est vs PcellRGRASP'!BD431</f>
        <v>Ganado</v>
      </c>
      <c r="AL112" s="3" t="str">
        <f>'Pcell est vs PcellRGRASP'!BE431</f>
        <v>Perdido</v>
      </c>
      <c r="AM112" s="3" t="str">
        <f>'Pcell est vs PcellRGRASP'!BF431</f>
        <v>Ganado</v>
      </c>
      <c r="AN112" s="3" t="str">
        <f>'Pcell est vs PcellRGRASP'!BG431</f>
        <v>Perdido</v>
      </c>
      <c r="AO112" s="3" t="str">
        <f>'Pcell est vs PcellRGRASP'!BX431</f>
        <v>Ganado</v>
      </c>
      <c r="AP112" s="3" t="str">
        <f>'Pcell est vs PcellRGRASP'!BY431</f>
        <v>Perdido</v>
      </c>
      <c r="AQ112" s="3" t="str">
        <f>'Pcell est vs PcellRGRASP'!BZ431</f>
        <v>Ganado</v>
      </c>
      <c r="AR112" s="3" t="str">
        <f>'Pcell est vs PcellRGRASP'!CA431</f>
        <v>Perdido</v>
      </c>
      <c r="AT112" s="3" t="str">
        <f>'PcellRGRASP vs Pcell rand'!BD431</f>
        <v>Ganado</v>
      </c>
      <c r="AU112" s="3" t="str">
        <f>'PcellRGRASP vs Pcell rand'!BE431</f>
        <v>Perdido</v>
      </c>
      <c r="AV112" s="3" t="str">
        <f>'PcellRGRASP vs Pcell rand'!BF431</f>
        <v>Ganado</v>
      </c>
      <c r="AW112" s="3" t="str">
        <f>'PcellRGRASP vs Pcell rand'!BG431</f>
        <v>Perdido</v>
      </c>
      <c r="AX112" s="3" t="str">
        <f>'PcellRGRASP vs Pcell rand'!BX431</f>
        <v>Ganado</v>
      </c>
      <c r="AY112" s="3" t="str">
        <f>'PcellRGRASP vs Pcell rand'!BY431</f>
        <v>Perdido</v>
      </c>
      <c r="AZ112" s="3" t="str">
        <f>'PcellRGRASP vs Pcell rand'!BZ431</f>
        <v>Ganado</v>
      </c>
      <c r="BA112" s="3" t="str">
        <f>'PcellRGRASP vs Pcell rand'!CA431</f>
        <v>Perdido</v>
      </c>
    </row>
    <row r="113" spans="1:53" x14ac:dyDescent="0.3">
      <c r="A113" s="3">
        <f>'Pcell vs GRASP est-rand'!AX433</f>
        <v>20</v>
      </c>
      <c r="B113" s="3">
        <f>'Pcell vs GRASP est-rand'!AY433</f>
        <v>10</v>
      </c>
      <c r="C113" s="3">
        <f>'Pcell vs GRASP est-rand'!AZ433</f>
        <v>10</v>
      </c>
      <c r="D113" s="3">
        <f>'Pcell vs GRASP est-rand'!BA433</f>
        <v>20</v>
      </c>
      <c r="E113" s="3">
        <f>'Pcell vs GRASP est-rand'!BP433</f>
        <v>20</v>
      </c>
      <c r="F113" s="3">
        <f>'Pcell vs GRASP est-rand'!BQ433</f>
        <v>10</v>
      </c>
      <c r="G113" s="3">
        <f>'Pcell vs GRASP est-rand'!BR433</f>
        <v>10</v>
      </c>
      <c r="H113" s="3">
        <f>'Pcell vs GRASP est-rand'!BS433</f>
        <v>20</v>
      </c>
      <c r="J113" s="3">
        <f>'PCell vs GRASP random'!AX433</f>
        <v>11</v>
      </c>
      <c r="K113" s="3">
        <f>'PCell vs GRASP random'!AY433</f>
        <v>19</v>
      </c>
      <c r="L113" s="3">
        <f>'PCell vs GRASP random'!AZ433</f>
        <v>21</v>
      </c>
      <c r="M113" s="3">
        <f>'PCell vs GRASP random'!BA433</f>
        <v>9</v>
      </c>
      <c r="N113" s="3">
        <f>'PCell vs GRASP random'!BP433</f>
        <v>18</v>
      </c>
      <c r="O113" s="3">
        <f>'PCell vs GRASP random'!BQ433</f>
        <v>12</v>
      </c>
      <c r="P113" s="3">
        <f>'PCell vs GRASP random'!BR433</f>
        <v>12</v>
      </c>
      <c r="Q113" s="3">
        <f>'PCell vs GRASP random'!BS433</f>
        <v>18</v>
      </c>
      <c r="S113" s="3">
        <f>'PCellRGRASP vs RGRASP'!AX432</f>
        <v>16</v>
      </c>
      <c r="T113" s="3">
        <f>'PCellRGRASP vs RGRASP'!AY432</f>
        <v>14</v>
      </c>
      <c r="U113" s="3">
        <f>'PCellRGRASP vs RGRASP'!AZ432</f>
        <v>14</v>
      </c>
      <c r="V113" s="3">
        <f>'PCellRGRASP vs RGRASP'!BA432</f>
        <v>16</v>
      </c>
      <c r="W113" s="3">
        <f>'PCellRGRASP vs RGRASP'!BP432</f>
        <v>18</v>
      </c>
      <c r="X113" s="3">
        <f>'PCellRGRASP vs RGRASP'!BQ432</f>
        <v>12</v>
      </c>
      <c r="Y113" s="3">
        <f>'PCellRGRASP vs RGRASP'!BR432</f>
        <v>13</v>
      </c>
      <c r="Z113" s="3">
        <f>'PCellRGRASP vs RGRASP'!BS432</f>
        <v>17</v>
      </c>
      <c r="AB113" s="3">
        <f>'Pcell est vs Pcell rand'!BD433</f>
        <v>29</v>
      </c>
      <c r="AC113" s="3">
        <f>'Pcell est vs Pcell rand'!BE433</f>
        <v>1</v>
      </c>
      <c r="AD113" s="3">
        <f>'Pcell est vs Pcell rand'!BF433</f>
        <v>1</v>
      </c>
      <c r="AE113" s="3">
        <f>'Pcell est vs Pcell rand'!BG433</f>
        <v>29</v>
      </c>
      <c r="AF113" s="3">
        <f>'Pcell est vs Pcell rand'!BX433</f>
        <v>29</v>
      </c>
      <c r="AG113" s="3">
        <f>'Pcell est vs Pcell rand'!BY433</f>
        <v>1</v>
      </c>
      <c r="AH113" s="3">
        <f>'Pcell est vs Pcell rand'!BZ433</f>
        <v>1</v>
      </c>
      <c r="AI113" s="3">
        <f>'Pcell est vs Pcell rand'!CA433</f>
        <v>29</v>
      </c>
      <c r="AK113" s="3">
        <f>'Pcell est vs PcellRGRASP'!BD433</f>
        <v>21</v>
      </c>
      <c r="AL113" s="3">
        <f>'Pcell est vs PcellRGRASP'!BE433</f>
        <v>9</v>
      </c>
      <c r="AM113" s="3">
        <f>'Pcell est vs PcellRGRASP'!BF433</f>
        <v>9</v>
      </c>
      <c r="AN113" s="3">
        <f>'Pcell est vs PcellRGRASP'!BG433</f>
        <v>21</v>
      </c>
      <c r="AO113" s="3">
        <f>'Pcell est vs PcellRGRASP'!BX433</f>
        <v>23</v>
      </c>
      <c r="AP113" s="3">
        <f>'Pcell est vs PcellRGRASP'!BY433</f>
        <v>7</v>
      </c>
      <c r="AQ113" s="3">
        <f>'Pcell est vs PcellRGRASP'!BZ433</f>
        <v>8</v>
      </c>
      <c r="AR113" s="3">
        <f>'Pcell est vs PcellRGRASP'!CA433</f>
        <v>22</v>
      </c>
      <c r="AT113" s="3">
        <f>'PcellRGRASP vs Pcell rand'!BD433</f>
        <v>12</v>
      </c>
      <c r="AU113" s="3">
        <f>'PcellRGRASP vs Pcell rand'!BE433</f>
        <v>18</v>
      </c>
      <c r="AV113" s="3">
        <f>'PcellRGRASP vs Pcell rand'!BF433</f>
        <v>18</v>
      </c>
      <c r="AW113" s="3">
        <f>'PcellRGRASP vs Pcell rand'!BG433</f>
        <v>12</v>
      </c>
      <c r="AX113" s="3">
        <f>'PcellRGRASP vs Pcell rand'!BX433</f>
        <v>9</v>
      </c>
      <c r="AY113" s="3">
        <f>'PcellRGRASP vs Pcell rand'!BY433</f>
        <v>21</v>
      </c>
      <c r="AZ113" s="3">
        <f>'PcellRGRASP vs Pcell rand'!BZ433</f>
        <v>21</v>
      </c>
      <c r="BA113" s="3">
        <f>'PcellRGRASP vs Pcell rand'!CA433</f>
        <v>9</v>
      </c>
    </row>
    <row r="114" spans="1:53" x14ac:dyDescent="0.3">
      <c r="A114" s="19" t="s">
        <v>332</v>
      </c>
      <c r="B114" s="19"/>
      <c r="C114" s="19"/>
      <c r="D114" s="19"/>
      <c r="E114" s="19" t="s">
        <v>333</v>
      </c>
      <c r="F114" s="19"/>
      <c r="G114" s="19"/>
      <c r="H114" s="19"/>
      <c r="J114" s="19" t="s">
        <v>332</v>
      </c>
      <c r="K114" s="19"/>
      <c r="L114" s="19"/>
      <c r="M114" s="19"/>
      <c r="N114" s="19" t="s">
        <v>333</v>
      </c>
      <c r="O114" s="19"/>
      <c r="P114" s="19"/>
      <c r="Q114" s="19"/>
      <c r="S114" s="19" t="s">
        <v>332</v>
      </c>
      <c r="T114" s="19"/>
      <c r="U114" s="19"/>
      <c r="V114" s="19"/>
      <c r="W114" s="19" t="s">
        <v>333</v>
      </c>
      <c r="X114" s="19"/>
      <c r="Y114" s="19"/>
      <c r="Z114" s="19"/>
      <c r="AB114" s="19" t="s">
        <v>332</v>
      </c>
      <c r="AC114" s="19"/>
      <c r="AD114" s="19"/>
      <c r="AE114" s="19"/>
      <c r="AF114" s="19" t="s">
        <v>333</v>
      </c>
      <c r="AG114" s="19"/>
      <c r="AH114" s="19"/>
      <c r="AI114" s="19"/>
      <c r="AK114" s="19" t="s">
        <v>332</v>
      </c>
      <c r="AL114" s="19"/>
      <c r="AM114" s="19"/>
      <c r="AN114" s="19"/>
      <c r="AO114" s="19" t="s">
        <v>333</v>
      </c>
      <c r="AP114" s="19"/>
      <c r="AQ114" s="19"/>
      <c r="AR114" s="19"/>
      <c r="AT114" s="19" t="s">
        <v>332</v>
      </c>
      <c r="AU114" s="19"/>
      <c r="AV114" s="19"/>
      <c r="AW114" s="19"/>
      <c r="AX114" s="19" t="s">
        <v>333</v>
      </c>
      <c r="AY114" s="19"/>
      <c r="AZ114" s="19"/>
      <c r="BA114" s="19"/>
    </row>
    <row r="115" spans="1:53" x14ac:dyDescent="0.3">
      <c r="A115" s="3" t="str">
        <f>'Pcell vs GRASP est-rand'!AX467</f>
        <v>Ganado</v>
      </c>
      <c r="B115" s="3" t="str">
        <f>'Pcell vs GRASP est-rand'!AY467</f>
        <v>Perdido</v>
      </c>
      <c r="C115" s="3" t="str">
        <f>'Pcell vs GRASP est-rand'!AZ467</f>
        <v>Ganado</v>
      </c>
      <c r="D115" s="3" t="str">
        <f>'Pcell vs GRASP est-rand'!BA467</f>
        <v>Perdido</v>
      </c>
      <c r="E115" s="3" t="str">
        <f>'Pcell vs GRASP est-rand'!BP467</f>
        <v>Ganado</v>
      </c>
      <c r="F115" s="3" t="str">
        <f>'Pcell vs GRASP est-rand'!BQ467</f>
        <v>Perdido</v>
      </c>
      <c r="G115" s="3" t="str">
        <f>'Pcell vs GRASP est-rand'!BR467</f>
        <v>Ganado</v>
      </c>
      <c r="H115" s="3" t="str">
        <f>'Pcell vs GRASP est-rand'!BS467</f>
        <v>Perdido</v>
      </c>
      <c r="J115" s="3" t="str">
        <f>'PCell vs GRASP random'!AX467</f>
        <v>Ganado</v>
      </c>
      <c r="K115" s="3" t="str">
        <f>'PCell vs GRASP random'!AY467</f>
        <v>Perdido</v>
      </c>
      <c r="L115" s="3" t="str">
        <f>'PCell vs GRASP random'!AZ467</f>
        <v>Ganado</v>
      </c>
      <c r="M115" s="3" t="str">
        <f>'PCell vs GRASP random'!BA467</f>
        <v>Perdido</v>
      </c>
      <c r="N115" s="3" t="str">
        <f>'PCell vs GRASP random'!BP467</f>
        <v>Ganado</v>
      </c>
      <c r="O115" s="3" t="str">
        <f>'PCell vs GRASP random'!BQ467</f>
        <v>Perdido</v>
      </c>
      <c r="P115" s="3" t="str">
        <f>'PCell vs GRASP random'!BR467</f>
        <v>Ganado</v>
      </c>
      <c r="Q115" s="3" t="str">
        <f>'PCell vs GRASP random'!BS467</f>
        <v>Perdido</v>
      </c>
      <c r="S115" s="3" t="str">
        <f>'PCellRGRASP vs RGRASP'!AX466</f>
        <v>Ganado</v>
      </c>
      <c r="T115" s="3" t="str">
        <f>'PCellRGRASP vs RGRASP'!AY466</f>
        <v>Perdido</v>
      </c>
      <c r="U115" s="3" t="str">
        <f>'PCellRGRASP vs RGRASP'!AZ466</f>
        <v>Ganado</v>
      </c>
      <c r="V115" s="3" t="str">
        <f>'PCellRGRASP vs RGRASP'!BA466</f>
        <v>Perdido</v>
      </c>
      <c r="W115" s="3" t="str">
        <f>'PCellRGRASP vs RGRASP'!BP466</f>
        <v>Ganado</v>
      </c>
      <c r="X115" s="3" t="str">
        <f>'PCellRGRASP vs RGRASP'!BQ466</f>
        <v>Perdido</v>
      </c>
      <c r="Y115" s="3" t="str">
        <f>'PCellRGRASP vs RGRASP'!BR466</f>
        <v>Ganado</v>
      </c>
      <c r="Z115" s="3" t="str">
        <f>'PCellRGRASP vs RGRASP'!BS466</f>
        <v>Perdido</v>
      </c>
      <c r="AB115" s="3" t="str">
        <f>'Pcell est vs Pcell rand'!BD467</f>
        <v>Ganado</v>
      </c>
      <c r="AC115" s="3" t="str">
        <f>'Pcell est vs Pcell rand'!BE467</f>
        <v>Perdido</v>
      </c>
      <c r="AD115" s="3" t="str">
        <f>'Pcell est vs Pcell rand'!BF467</f>
        <v>Ganado</v>
      </c>
      <c r="AE115" s="3" t="str">
        <f>'Pcell est vs Pcell rand'!BG467</f>
        <v>Perdido</v>
      </c>
      <c r="AF115" s="3" t="str">
        <f>'Pcell est vs Pcell rand'!BX467</f>
        <v>Ganado</v>
      </c>
      <c r="AG115" s="3" t="str">
        <f>'Pcell est vs Pcell rand'!BY467</f>
        <v>Perdido</v>
      </c>
      <c r="AH115" s="3" t="str">
        <f>'Pcell est vs Pcell rand'!BZ467</f>
        <v>Ganado</v>
      </c>
      <c r="AI115" s="3" t="str">
        <f>'Pcell est vs Pcell rand'!CA467</f>
        <v>Perdido</v>
      </c>
      <c r="AK115" s="3" t="str">
        <f>'Pcell est vs PcellRGRASP'!BD467</f>
        <v>Ganado</v>
      </c>
      <c r="AL115" s="3" t="str">
        <f>'Pcell est vs PcellRGRASP'!BE467</f>
        <v>Perdido</v>
      </c>
      <c r="AM115" s="3" t="str">
        <f>'Pcell est vs PcellRGRASP'!BF467</f>
        <v>Ganado</v>
      </c>
      <c r="AN115" s="3" t="str">
        <f>'Pcell est vs PcellRGRASP'!BG467</f>
        <v>Perdido</v>
      </c>
      <c r="AO115" s="3" t="str">
        <f>'Pcell est vs PcellRGRASP'!BX467</f>
        <v>Ganado</v>
      </c>
      <c r="AP115" s="3" t="str">
        <f>'Pcell est vs PcellRGRASP'!BY467</f>
        <v>Perdido</v>
      </c>
      <c r="AQ115" s="3" t="str">
        <f>'Pcell est vs PcellRGRASP'!BZ467</f>
        <v>Ganado</v>
      </c>
      <c r="AR115" s="3" t="str">
        <f>'Pcell est vs PcellRGRASP'!CA467</f>
        <v>Perdido</v>
      </c>
      <c r="AT115" s="3" t="str">
        <f>'PcellRGRASP vs Pcell rand'!BD467</f>
        <v>Ganado</v>
      </c>
      <c r="AU115" s="3" t="str">
        <f>'PcellRGRASP vs Pcell rand'!BE467</f>
        <v>Perdido</v>
      </c>
      <c r="AV115" s="3" t="str">
        <f>'PcellRGRASP vs Pcell rand'!BF467</f>
        <v>Ganado</v>
      </c>
      <c r="AW115" s="3" t="str">
        <f>'PcellRGRASP vs Pcell rand'!BG467</f>
        <v>Perdido</v>
      </c>
      <c r="AX115" s="3" t="str">
        <f>'PcellRGRASP vs Pcell rand'!BX467</f>
        <v>Ganado</v>
      </c>
      <c r="AY115" s="3" t="str">
        <f>'PcellRGRASP vs Pcell rand'!BY467</f>
        <v>Perdido</v>
      </c>
      <c r="AZ115" s="3" t="str">
        <f>'PcellRGRASP vs Pcell rand'!BZ467</f>
        <v>Ganado</v>
      </c>
      <c r="BA115" s="3" t="str">
        <f>'PcellRGRASP vs Pcell rand'!CA467</f>
        <v>Perdido</v>
      </c>
    </row>
    <row r="116" spans="1:53" x14ac:dyDescent="0.3">
      <c r="A116" s="3">
        <f>'Pcell vs GRASP est-rand'!AX469</f>
        <v>21</v>
      </c>
      <c r="B116" s="3">
        <f>'Pcell vs GRASP est-rand'!AY469</f>
        <v>9</v>
      </c>
      <c r="C116" s="3">
        <f>'Pcell vs GRASP est-rand'!AZ469</f>
        <v>9</v>
      </c>
      <c r="D116" s="3">
        <f>'Pcell vs GRASP est-rand'!BA469</f>
        <v>21</v>
      </c>
      <c r="E116" s="3">
        <f>'Pcell vs GRASP est-rand'!BP469</f>
        <v>14</v>
      </c>
      <c r="F116" s="3">
        <f>'Pcell vs GRASP est-rand'!BQ469</f>
        <v>16</v>
      </c>
      <c r="G116" s="3">
        <f>'Pcell vs GRASP est-rand'!BR469</f>
        <v>16</v>
      </c>
      <c r="H116" s="3">
        <f>'Pcell vs GRASP est-rand'!BS469</f>
        <v>14</v>
      </c>
      <c r="J116" s="3">
        <f>'PCell vs GRASP random'!AX469</f>
        <v>15</v>
      </c>
      <c r="K116" s="3">
        <f>'PCell vs GRASP random'!AY469</f>
        <v>15</v>
      </c>
      <c r="L116" s="3">
        <f>'PCell vs GRASP random'!AZ469</f>
        <v>15</v>
      </c>
      <c r="M116" s="3">
        <f>'PCell vs GRASP random'!BA469</f>
        <v>15</v>
      </c>
      <c r="N116" s="3">
        <f>'PCell vs GRASP random'!BP469</f>
        <v>16</v>
      </c>
      <c r="O116" s="3">
        <f>'PCell vs GRASP random'!BQ469</f>
        <v>14</v>
      </c>
      <c r="P116" s="3">
        <f>'PCell vs GRASP random'!BR469</f>
        <v>14</v>
      </c>
      <c r="Q116" s="3">
        <f>'PCell vs GRASP random'!BS469</f>
        <v>16</v>
      </c>
      <c r="S116" s="3">
        <f>'PCellRGRASP vs RGRASP'!AX468</f>
        <v>13</v>
      </c>
      <c r="T116" s="3">
        <f>'PCellRGRASP vs RGRASP'!AY468</f>
        <v>17</v>
      </c>
      <c r="U116" s="3">
        <f>'PCellRGRASP vs RGRASP'!AZ468</f>
        <v>18</v>
      </c>
      <c r="V116" s="3">
        <f>'PCellRGRASP vs RGRASP'!BA468</f>
        <v>12</v>
      </c>
      <c r="W116" s="3">
        <f>'PCellRGRASP vs RGRASP'!BP468</f>
        <v>18</v>
      </c>
      <c r="X116" s="3">
        <f>'PCellRGRASP vs RGRASP'!BQ468</f>
        <v>12</v>
      </c>
      <c r="Y116" s="3">
        <f>'PCellRGRASP vs RGRASP'!BR468</f>
        <v>13</v>
      </c>
      <c r="Z116" s="3">
        <f>'PCellRGRASP vs RGRASP'!BS468</f>
        <v>17</v>
      </c>
      <c r="AB116" s="3">
        <f>'Pcell est vs Pcell rand'!BD469</f>
        <v>28</v>
      </c>
      <c r="AC116" s="3">
        <f>'Pcell est vs Pcell rand'!BE469</f>
        <v>2</v>
      </c>
      <c r="AD116" s="3">
        <f>'Pcell est vs Pcell rand'!BF469</f>
        <v>2</v>
      </c>
      <c r="AE116" s="3">
        <f>'Pcell est vs Pcell rand'!BG469</f>
        <v>28</v>
      </c>
      <c r="AF116" s="3">
        <f>'Pcell est vs Pcell rand'!BX469</f>
        <v>29</v>
      </c>
      <c r="AG116" s="3">
        <f>'Pcell est vs Pcell rand'!BY469</f>
        <v>1</v>
      </c>
      <c r="AH116" s="3">
        <f>'Pcell est vs Pcell rand'!BZ469</f>
        <v>1</v>
      </c>
      <c r="AI116" s="3">
        <f>'Pcell est vs Pcell rand'!CA469</f>
        <v>29</v>
      </c>
      <c r="AK116" s="3">
        <f>'Pcell est vs PcellRGRASP'!BD469</f>
        <v>22</v>
      </c>
      <c r="AL116" s="3">
        <f>'Pcell est vs PcellRGRASP'!BE469</f>
        <v>8</v>
      </c>
      <c r="AM116" s="3">
        <f>'Pcell est vs PcellRGRASP'!BF469</f>
        <v>8</v>
      </c>
      <c r="AN116" s="3">
        <f>'Pcell est vs PcellRGRASP'!BG469</f>
        <v>22</v>
      </c>
      <c r="AO116" s="3">
        <f>'Pcell est vs PcellRGRASP'!BX469</f>
        <v>18</v>
      </c>
      <c r="AP116" s="3">
        <f>'Pcell est vs PcellRGRASP'!BY469</f>
        <v>12</v>
      </c>
      <c r="AQ116" s="3">
        <f>'Pcell est vs PcellRGRASP'!BZ469</f>
        <v>12</v>
      </c>
      <c r="AR116" s="3">
        <f>'Pcell est vs PcellRGRASP'!CA469</f>
        <v>18</v>
      </c>
      <c r="AT116" s="3">
        <f>'PcellRGRASP vs Pcell rand'!BD469</f>
        <v>10</v>
      </c>
      <c r="AU116" s="3">
        <f>'PcellRGRASP vs Pcell rand'!BE469</f>
        <v>20</v>
      </c>
      <c r="AV116" s="3">
        <f>'PcellRGRASP vs Pcell rand'!BF469</f>
        <v>20</v>
      </c>
      <c r="AW116" s="3">
        <f>'PcellRGRASP vs Pcell rand'!BG469</f>
        <v>10</v>
      </c>
      <c r="AX116" s="3">
        <f>'PcellRGRASP vs Pcell rand'!BX469</f>
        <v>13</v>
      </c>
      <c r="AY116" s="3">
        <f>'PcellRGRASP vs Pcell rand'!BY469</f>
        <v>17</v>
      </c>
      <c r="AZ116" s="3">
        <f>'PcellRGRASP vs Pcell rand'!BZ469</f>
        <v>17</v>
      </c>
      <c r="BA116" s="3">
        <f>'PcellRGRASP vs Pcell rand'!CA469</f>
        <v>13</v>
      </c>
    </row>
    <row r="117" spans="1:53" x14ac:dyDescent="0.3">
      <c r="A117" s="19" t="s">
        <v>334</v>
      </c>
      <c r="B117" s="19"/>
      <c r="C117" s="19"/>
      <c r="D117" s="19"/>
      <c r="E117" s="19" t="s">
        <v>335</v>
      </c>
      <c r="F117" s="19"/>
      <c r="G117" s="19"/>
      <c r="H117" s="19"/>
      <c r="J117" s="19" t="s">
        <v>334</v>
      </c>
      <c r="K117" s="19"/>
      <c r="L117" s="19"/>
      <c r="M117" s="19"/>
      <c r="N117" s="19" t="s">
        <v>335</v>
      </c>
      <c r="O117" s="19"/>
      <c r="P117" s="19"/>
      <c r="Q117" s="19"/>
      <c r="S117" s="19" t="s">
        <v>334</v>
      </c>
      <c r="T117" s="19"/>
      <c r="U117" s="19"/>
      <c r="V117" s="19"/>
      <c r="W117" s="19" t="s">
        <v>335</v>
      </c>
      <c r="X117" s="19"/>
      <c r="Y117" s="19"/>
      <c r="Z117" s="19"/>
      <c r="AB117" s="19" t="s">
        <v>334</v>
      </c>
      <c r="AC117" s="19"/>
      <c r="AD117" s="19"/>
      <c r="AE117" s="19"/>
      <c r="AF117" s="19" t="s">
        <v>335</v>
      </c>
      <c r="AG117" s="19"/>
      <c r="AH117" s="19"/>
      <c r="AI117" s="19"/>
      <c r="AK117" s="19" t="s">
        <v>334</v>
      </c>
      <c r="AL117" s="19"/>
      <c r="AM117" s="19"/>
      <c r="AN117" s="19"/>
      <c r="AO117" s="19" t="s">
        <v>335</v>
      </c>
      <c r="AP117" s="19"/>
      <c r="AQ117" s="19"/>
      <c r="AR117" s="19"/>
      <c r="AT117" s="19" t="s">
        <v>334</v>
      </c>
      <c r="AU117" s="19"/>
      <c r="AV117" s="19"/>
      <c r="AW117" s="19"/>
      <c r="AX117" s="19" t="s">
        <v>335</v>
      </c>
      <c r="AY117" s="19"/>
      <c r="AZ117" s="19"/>
      <c r="BA117" s="19"/>
    </row>
    <row r="118" spans="1:53" x14ac:dyDescent="0.3">
      <c r="A118" s="3" t="str">
        <f>'Pcell vs GRASP est-rand'!AX503</f>
        <v>Ganado</v>
      </c>
      <c r="B118" s="3" t="str">
        <f>'Pcell vs GRASP est-rand'!AY503</f>
        <v>Perdido</v>
      </c>
      <c r="C118" s="3" t="str">
        <f>'Pcell vs GRASP est-rand'!AZ503</f>
        <v>Ganado</v>
      </c>
      <c r="D118" s="3" t="str">
        <f>'Pcell vs GRASP est-rand'!BA503</f>
        <v>Perdido</v>
      </c>
      <c r="E118" s="3" t="str">
        <f>'Pcell vs GRASP est-rand'!BP503</f>
        <v>Ganado</v>
      </c>
      <c r="F118" s="3" t="str">
        <f>'Pcell vs GRASP est-rand'!BQ503</f>
        <v>Perdido</v>
      </c>
      <c r="G118" s="3" t="str">
        <f>'Pcell vs GRASP est-rand'!BR503</f>
        <v>Ganado</v>
      </c>
      <c r="H118" s="3" t="str">
        <f>'Pcell vs GRASP est-rand'!BS503</f>
        <v>Perdido</v>
      </c>
      <c r="J118" s="3" t="str">
        <f>'PCell vs GRASP random'!AX503</f>
        <v>Ganado</v>
      </c>
      <c r="K118" s="3" t="str">
        <f>'PCell vs GRASP random'!AY503</f>
        <v>Perdido</v>
      </c>
      <c r="L118" s="3" t="str">
        <f>'PCell vs GRASP random'!AZ503</f>
        <v>Ganado</v>
      </c>
      <c r="M118" s="3" t="str">
        <f>'PCell vs GRASP random'!BA503</f>
        <v>Perdido</v>
      </c>
      <c r="N118" s="3" t="str">
        <f>'PCell vs GRASP random'!BP503</f>
        <v>Ganado</v>
      </c>
      <c r="O118" s="3" t="str">
        <f>'PCell vs GRASP random'!BQ503</f>
        <v>Perdido</v>
      </c>
      <c r="P118" s="3" t="str">
        <f>'PCell vs GRASP random'!BR503</f>
        <v>Ganado</v>
      </c>
      <c r="Q118" s="3" t="str">
        <f>'PCell vs GRASP random'!BS503</f>
        <v>Perdido</v>
      </c>
      <c r="S118" s="3" t="str">
        <f>'PCellRGRASP vs RGRASP'!AX502</f>
        <v>Ganado</v>
      </c>
      <c r="T118" s="3" t="str">
        <f>'PCellRGRASP vs RGRASP'!AY502</f>
        <v>Perdido</v>
      </c>
      <c r="U118" s="3" t="str">
        <f>'PCellRGRASP vs RGRASP'!AZ502</f>
        <v>Ganado</v>
      </c>
      <c r="V118" s="3" t="str">
        <f>'PCellRGRASP vs RGRASP'!BA502</f>
        <v>Perdido</v>
      </c>
      <c r="W118" s="3" t="str">
        <f>'PCellRGRASP vs RGRASP'!BP502</f>
        <v>Ganado</v>
      </c>
      <c r="X118" s="3" t="str">
        <f>'PCellRGRASP vs RGRASP'!BQ502</f>
        <v>Perdido</v>
      </c>
      <c r="Y118" s="3" t="str">
        <f>'PCellRGRASP vs RGRASP'!BR502</f>
        <v>Ganado</v>
      </c>
      <c r="Z118" s="3" t="str">
        <f>'PCellRGRASP vs RGRASP'!BS502</f>
        <v>Perdido</v>
      </c>
      <c r="AB118" s="3" t="str">
        <f>'Pcell est vs Pcell rand'!BD503</f>
        <v>Ganado</v>
      </c>
      <c r="AC118" s="3" t="str">
        <f>'Pcell est vs Pcell rand'!BE503</f>
        <v>Perdido</v>
      </c>
      <c r="AD118" s="3" t="str">
        <f>'Pcell est vs Pcell rand'!BF503</f>
        <v>Ganado</v>
      </c>
      <c r="AE118" s="3" t="str">
        <f>'Pcell est vs Pcell rand'!BG503</f>
        <v>Perdido</v>
      </c>
      <c r="AF118" s="3" t="str">
        <f>'Pcell est vs Pcell rand'!BX503</f>
        <v>Ganado</v>
      </c>
      <c r="AG118" s="3" t="str">
        <f>'Pcell est vs Pcell rand'!BY503</f>
        <v>Perdido</v>
      </c>
      <c r="AH118" s="3" t="str">
        <f>'Pcell est vs Pcell rand'!BZ503</f>
        <v>Ganado</v>
      </c>
      <c r="AI118" s="3" t="str">
        <f>'Pcell est vs Pcell rand'!CA503</f>
        <v>Perdido</v>
      </c>
      <c r="AK118" s="3" t="str">
        <f>'Pcell est vs PcellRGRASP'!BD503</f>
        <v>Ganado</v>
      </c>
      <c r="AL118" s="3" t="str">
        <f>'Pcell est vs PcellRGRASP'!BE503</f>
        <v>Perdido</v>
      </c>
      <c r="AM118" s="3" t="str">
        <f>'Pcell est vs PcellRGRASP'!BF503</f>
        <v>Ganado</v>
      </c>
      <c r="AN118" s="3" t="str">
        <f>'Pcell est vs PcellRGRASP'!BG503</f>
        <v>Perdido</v>
      </c>
      <c r="AO118" s="3" t="str">
        <f>'Pcell est vs PcellRGRASP'!BX503</f>
        <v>Ganado</v>
      </c>
      <c r="AP118" s="3" t="str">
        <f>'Pcell est vs PcellRGRASP'!BY503</f>
        <v>Perdido</v>
      </c>
      <c r="AQ118" s="3" t="str">
        <f>'Pcell est vs PcellRGRASP'!BZ503</f>
        <v>Ganado</v>
      </c>
      <c r="AR118" s="3" t="str">
        <f>'Pcell est vs PcellRGRASP'!CA503</f>
        <v>Perdido</v>
      </c>
      <c r="AT118" s="3" t="str">
        <f>'PcellRGRASP vs Pcell rand'!BD503</f>
        <v>Ganado</v>
      </c>
      <c r="AU118" s="3" t="str">
        <f>'PcellRGRASP vs Pcell rand'!BE503</f>
        <v>Perdido</v>
      </c>
      <c r="AV118" s="3" t="str">
        <f>'PcellRGRASP vs Pcell rand'!BF503</f>
        <v>Ganado</v>
      </c>
      <c r="AW118" s="3" t="str">
        <f>'PcellRGRASP vs Pcell rand'!BG503</f>
        <v>Perdido</v>
      </c>
      <c r="AX118" s="3" t="str">
        <f>'PcellRGRASP vs Pcell rand'!BX503</f>
        <v>Ganado</v>
      </c>
      <c r="AY118" s="3" t="str">
        <f>'PcellRGRASP vs Pcell rand'!BY503</f>
        <v>Perdido</v>
      </c>
      <c r="AZ118" s="3" t="str">
        <f>'PcellRGRASP vs Pcell rand'!BZ503</f>
        <v>Ganado</v>
      </c>
      <c r="BA118" s="3" t="str">
        <f>'PcellRGRASP vs Pcell rand'!CA503</f>
        <v>Perdido</v>
      </c>
    </row>
    <row r="119" spans="1:53" x14ac:dyDescent="0.3">
      <c r="A119" s="3">
        <f>'Pcell vs GRASP est-rand'!AX505</f>
        <v>22</v>
      </c>
      <c r="B119" s="3">
        <f>'Pcell vs GRASP est-rand'!AY505</f>
        <v>8</v>
      </c>
      <c r="C119" s="3">
        <f>'Pcell vs GRASP est-rand'!AZ505</f>
        <v>8</v>
      </c>
      <c r="D119" s="3">
        <f>'Pcell vs GRASP est-rand'!BA505</f>
        <v>22</v>
      </c>
      <c r="E119" s="3">
        <f>'Pcell vs GRASP est-rand'!BP505</f>
        <v>22</v>
      </c>
      <c r="F119" s="3">
        <f>'Pcell vs GRASP est-rand'!BQ505</f>
        <v>8</v>
      </c>
      <c r="G119" s="3">
        <f>'Pcell vs GRASP est-rand'!BR505</f>
        <v>8</v>
      </c>
      <c r="H119" s="3">
        <f>'Pcell vs GRASP est-rand'!BS505</f>
        <v>22</v>
      </c>
      <c r="J119" s="3">
        <f>'PCell vs GRASP random'!AX505</f>
        <v>16</v>
      </c>
      <c r="K119" s="3">
        <f>'PCell vs GRASP random'!AY505</f>
        <v>14</v>
      </c>
      <c r="L119" s="3">
        <f>'PCell vs GRASP random'!AZ505</f>
        <v>14</v>
      </c>
      <c r="M119" s="3">
        <f>'PCell vs GRASP random'!BA505</f>
        <v>16</v>
      </c>
      <c r="N119" s="3">
        <f>'PCell vs GRASP random'!BP505</f>
        <v>16</v>
      </c>
      <c r="O119" s="3">
        <f>'PCell vs GRASP random'!BQ505</f>
        <v>14</v>
      </c>
      <c r="P119" s="3">
        <f>'PCell vs GRASP random'!BR505</f>
        <v>14</v>
      </c>
      <c r="Q119" s="3">
        <f>'PCell vs GRASP random'!BS505</f>
        <v>16</v>
      </c>
      <c r="S119" s="3">
        <f>'PCellRGRASP vs RGRASP'!AX504</f>
        <v>14</v>
      </c>
      <c r="T119" s="3">
        <f>'PCellRGRASP vs RGRASP'!AY504</f>
        <v>16</v>
      </c>
      <c r="U119" s="3">
        <f>'PCellRGRASP vs RGRASP'!AZ504</f>
        <v>17</v>
      </c>
      <c r="V119" s="3">
        <f>'PCellRGRASP vs RGRASP'!BA504</f>
        <v>13</v>
      </c>
      <c r="W119" s="3">
        <f>'PCellRGRASP vs RGRASP'!BP504</f>
        <v>17</v>
      </c>
      <c r="X119" s="3">
        <f>'PCellRGRASP vs RGRASP'!BQ504</f>
        <v>13</v>
      </c>
      <c r="Y119" s="3">
        <f>'PCellRGRASP vs RGRASP'!BR504</f>
        <v>14</v>
      </c>
      <c r="Z119" s="3">
        <f>'PCellRGRASP vs RGRASP'!BS504</f>
        <v>16</v>
      </c>
      <c r="AB119" s="3">
        <f>'Pcell est vs Pcell rand'!BD505</f>
        <v>30</v>
      </c>
      <c r="AC119" s="3">
        <f>'Pcell est vs Pcell rand'!BE505</f>
        <v>0</v>
      </c>
      <c r="AD119" s="3">
        <f>'Pcell est vs Pcell rand'!BF505</f>
        <v>0</v>
      </c>
      <c r="AE119" s="3">
        <f>'Pcell est vs Pcell rand'!BG505</f>
        <v>30</v>
      </c>
      <c r="AF119" s="3">
        <f>'Pcell est vs Pcell rand'!BX505</f>
        <v>27</v>
      </c>
      <c r="AG119" s="3">
        <f>'Pcell est vs Pcell rand'!BY505</f>
        <v>3</v>
      </c>
      <c r="AH119" s="3">
        <f>'Pcell est vs Pcell rand'!BZ505</f>
        <v>2</v>
      </c>
      <c r="AI119" s="3">
        <f>'Pcell est vs Pcell rand'!CA505</f>
        <v>28</v>
      </c>
      <c r="AK119" s="3">
        <f>'Pcell est vs PcellRGRASP'!BD505</f>
        <v>21</v>
      </c>
      <c r="AL119" s="3">
        <f>'Pcell est vs PcellRGRASP'!BE505</f>
        <v>9</v>
      </c>
      <c r="AM119" s="3">
        <f>'Pcell est vs PcellRGRASP'!BF505</f>
        <v>9</v>
      </c>
      <c r="AN119" s="3">
        <f>'Pcell est vs PcellRGRASP'!BG505</f>
        <v>21</v>
      </c>
      <c r="AO119" s="3">
        <f>'Pcell est vs PcellRGRASP'!BX505</f>
        <v>21</v>
      </c>
      <c r="AP119" s="3">
        <f>'Pcell est vs PcellRGRASP'!BY505</f>
        <v>9</v>
      </c>
      <c r="AQ119" s="3">
        <f>'Pcell est vs PcellRGRASP'!BZ505</f>
        <v>10</v>
      </c>
      <c r="AR119" s="3">
        <f>'Pcell est vs PcellRGRASP'!CA505</f>
        <v>20</v>
      </c>
      <c r="AT119" s="3">
        <f>'PcellRGRASP vs Pcell rand'!BD505</f>
        <v>11</v>
      </c>
      <c r="AU119" s="3">
        <f>'PcellRGRASP vs Pcell rand'!BE505</f>
        <v>19</v>
      </c>
      <c r="AV119" s="3">
        <f>'PcellRGRASP vs Pcell rand'!BF505</f>
        <v>19</v>
      </c>
      <c r="AW119" s="3">
        <f>'PcellRGRASP vs Pcell rand'!BG505</f>
        <v>11</v>
      </c>
      <c r="AX119" s="3">
        <f>'PcellRGRASP vs Pcell rand'!BX505</f>
        <v>11</v>
      </c>
      <c r="AY119" s="3">
        <f>'PcellRGRASP vs Pcell rand'!BY505</f>
        <v>19</v>
      </c>
      <c r="AZ119" s="3">
        <f>'PcellRGRASP vs Pcell rand'!BZ505</f>
        <v>19</v>
      </c>
      <c r="BA119" s="3">
        <f>'PcellRGRASP vs Pcell rand'!CA505</f>
        <v>11</v>
      </c>
    </row>
    <row r="120" spans="1:53" x14ac:dyDescent="0.3">
      <c r="A120" s="5"/>
      <c r="B120" s="5"/>
      <c r="C120" s="5"/>
      <c r="D120" s="5"/>
      <c r="E120" s="5"/>
      <c r="F120" s="5"/>
      <c r="G120" s="5"/>
      <c r="H120" s="5"/>
      <c r="J120" s="5"/>
      <c r="K120" s="5"/>
      <c r="L120" s="5"/>
      <c r="M120" s="5"/>
      <c r="N120" s="5"/>
      <c r="O120" s="5"/>
      <c r="P120" s="5"/>
      <c r="Q120" s="5"/>
      <c r="S120" s="5"/>
      <c r="T120" s="5"/>
      <c r="U120" s="5"/>
      <c r="V120" s="5"/>
      <c r="W120" s="5"/>
      <c r="X120" s="5"/>
      <c r="Y120" s="5"/>
      <c r="Z120" s="5"/>
      <c r="AB120" s="5"/>
      <c r="AC120" s="5"/>
      <c r="AD120" s="5"/>
      <c r="AE120" s="5"/>
      <c r="AF120" s="5"/>
      <c r="AG120" s="5"/>
      <c r="AH120" s="5"/>
      <c r="AI120" s="5"/>
      <c r="AK120" s="5"/>
      <c r="AL120" s="5"/>
      <c r="AM120" s="5"/>
      <c r="AN120" s="5"/>
      <c r="AO120" s="5"/>
      <c r="AP120" s="5"/>
      <c r="AQ120" s="5"/>
      <c r="AR120" s="5"/>
      <c r="AT120" s="5"/>
      <c r="AU120" s="5"/>
      <c r="AV120" s="5"/>
      <c r="AW120" s="5"/>
      <c r="AX120" s="5"/>
      <c r="AY120" s="5"/>
      <c r="AZ120" s="5"/>
      <c r="BA120" s="5"/>
    </row>
    <row r="121" spans="1:53" x14ac:dyDescent="0.3">
      <c r="A121" s="6" t="s">
        <v>341</v>
      </c>
      <c r="B121" s="3" t="s">
        <v>342</v>
      </c>
      <c r="C121" s="8" t="s">
        <v>341</v>
      </c>
      <c r="D121" s="3" t="s">
        <v>342</v>
      </c>
      <c r="E121" s="6" t="s">
        <v>341</v>
      </c>
      <c r="F121" s="3" t="s">
        <v>342</v>
      </c>
      <c r="G121" s="8" t="s">
        <v>341</v>
      </c>
      <c r="H121" s="3" t="s">
        <v>342</v>
      </c>
      <c r="J121" s="6" t="s">
        <v>341</v>
      </c>
      <c r="K121" s="3" t="s">
        <v>342</v>
      </c>
      <c r="L121" s="8" t="s">
        <v>341</v>
      </c>
      <c r="M121" s="3" t="s">
        <v>342</v>
      </c>
      <c r="N121" s="6" t="s">
        <v>341</v>
      </c>
      <c r="O121" s="3" t="s">
        <v>342</v>
      </c>
      <c r="P121" s="8" t="s">
        <v>341</v>
      </c>
      <c r="Q121" s="3" t="s">
        <v>342</v>
      </c>
      <c r="S121" s="8" t="s">
        <v>341</v>
      </c>
      <c r="T121" s="3" t="s">
        <v>342</v>
      </c>
      <c r="U121" s="6" t="s">
        <v>341</v>
      </c>
      <c r="V121" s="3" t="s">
        <v>342</v>
      </c>
      <c r="W121" s="6" t="s">
        <v>341</v>
      </c>
      <c r="X121" s="3" t="s">
        <v>342</v>
      </c>
      <c r="Y121" s="8" t="s">
        <v>341</v>
      </c>
      <c r="Z121" s="3" t="s">
        <v>342</v>
      </c>
      <c r="AB121" s="6" t="s">
        <v>341</v>
      </c>
      <c r="AC121" s="3" t="s">
        <v>342</v>
      </c>
      <c r="AD121" s="8" t="s">
        <v>341</v>
      </c>
      <c r="AE121" s="3" t="s">
        <v>342</v>
      </c>
      <c r="AF121" s="6" t="s">
        <v>341</v>
      </c>
      <c r="AG121" s="3" t="s">
        <v>342</v>
      </c>
      <c r="AH121" s="8" t="s">
        <v>341</v>
      </c>
      <c r="AI121" s="3" t="s">
        <v>342</v>
      </c>
      <c r="AK121" s="6" t="s">
        <v>341</v>
      </c>
      <c r="AL121" s="3" t="s">
        <v>342</v>
      </c>
      <c r="AM121" s="8" t="s">
        <v>341</v>
      </c>
      <c r="AN121" s="3" t="s">
        <v>342</v>
      </c>
      <c r="AO121" s="6" t="s">
        <v>341</v>
      </c>
      <c r="AP121" s="3" t="s">
        <v>342</v>
      </c>
      <c r="AQ121" s="8" t="s">
        <v>341</v>
      </c>
      <c r="AR121" s="3" t="s">
        <v>342</v>
      </c>
      <c r="AT121" s="8" t="s">
        <v>341</v>
      </c>
      <c r="AU121" s="3" t="s">
        <v>342</v>
      </c>
      <c r="AV121" s="6" t="s">
        <v>341</v>
      </c>
      <c r="AW121" s="3" t="s">
        <v>342</v>
      </c>
      <c r="AX121" s="8" t="s">
        <v>341</v>
      </c>
      <c r="AY121" s="3" t="s">
        <v>342</v>
      </c>
      <c r="AZ121" s="6" t="s">
        <v>341</v>
      </c>
      <c r="BA121" s="3" t="s">
        <v>342</v>
      </c>
    </row>
    <row r="122" spans="1:53" x14ac:dyDescent="0.3">
      <c r="A122" s="6">
        <f t="shared" ref="A122:H122" si="0">SUM(A5,A8,A11,A17,A20,A23,A29,A32,A35,A41,A44,A47,A53,A56,A59,A65,A68,A71,A77,A80,A83,A89,A92,A95,A101,A104,A107,A113,A116,A119)</f>
        <v>635</v>
      </c>
      <c r="B122" s="3">
        <f t="shared" si="0"/>
        <v>265</v>
      </c>
      <c r="C122" s="8">
        <f t="shared" si="0"/>
        <v>275</v>
      </c>
      <c r="D122" s="3">
        <f t="shared" si="0"/>
        <v>625</v>
      </c>
      <c r="E122" s="6">
        <f t="shared" si="0"/>
        <v>628</v>
      </c>
      <c r="F122" s="3">
        <f t="shared" si="0"/>
        <v>272</v>
      </c>
      <c r="G122" s="8">
        <f t="shared" si="0"/>
        <v>287</v>
      </c>
      <c r="H122" s="3">
        <f t="shared" si="0"/>
        <v>613</v>
      </c>
      <c r="J122" s="6">
        <f t="shared" ref="J122:Q122" si="1">SUM(J5,J8,J11,J17,J20,J23,J29,J32,J35,J41,J44,J47,J53,J56,J59,J65,J68,J71,J77,J80,J83,J89,J92,J95,J101,J104,J107,J113,J116,J119)</f>
        <v>506</v>
      </c>
      <c r="K122" s="3">
        <f t="shared" si="1"/>
        <v>394</v>
      </c>
      <c r="L122" s="8">
        <f t="shared" si="1"/>
        <v>450</v>
      </c>
      <c r="M122" s="3">
        <f t="shared" si="1"/>
        <v>450</v>
      </c>
      <c r="N122" s="6">
        <f t="shared" si="1"/>
        <v>521</v>
      </c>
      <c r="O122" s="3">
        <f t="shared" si="1"/>
        <v>379</v>
      </c>
      <c r="P122" s="8">
        <f t="shared" si="1"/>
        <v>442</v>
      </c>
      <c r="Q122" s="3">
        <f t="shared" si="1"/>
        <v>458</v>
      </c>
      <c r="S122" s="8">
        <f t="shared" ref="S122:Z122" si="2">SUM(S5,S8,S11,S17,S20,S23,S29,S32,S35,S41,S44,S47,S53,S56,S59,S65,S68,S71,S77,S80,S83,S89,S92,S95,S101,S104,S107,S113,S116,S119)</f>
        <v>469</v>
      </c>
      <c r="T122" s="3">
        <f t="shared" si="2"/>
        <v>430</v>
      </c>
      <c r="U122" s="6">
        <f t="shared" si="2"/>
        <v>476</v>
      </c>
      <c r="V122" s="3">
        <f t="shared" si="2"/>
        <v>424</v>
      </c>
      <c r="W122" s="6">
        <f t="shared" si="2"/>
        <v>509</v>
      </c>
      <c r="X122" s="3">
        <f t="shared" si="2"/>
        <v>391</v>
      </c>
      <c r="Y122" s="8">
        <f t="shared" si="2"/>
        <v>441</v>
      </c>
      <c r="Z122" s="3">
        <f t="shared" si="2"/>
        <v>459</v>
      </c>
      <c r="AB122" s="6">
        <f t="shared" ref="AB122:AI122" si="3">SUM(AB5,AB8,AB11,AB17,AB20,AB23,AB29,AB32,AB35,AB41,AB44,AB47,AB53,AB56,AB59,AB65,AB68,AB71,AB77,AB80,AB83,AB89,AB92,AB95,AB101,AB104,AB107,AB113,AB116,AB119)</f>
        <v>792</v>
      </c>
      <c r="AC122" s="3">
        <f t="shared" si="3"/>
        <v>108</v>
      </c>
      <c r="AD122" s="8">
        <f t="shared" si="3"/>
        <v>78</v>
      </c>
      <c r="AE122" s="3">
        <f t="shared" si="3"/>
        <v>822</v>
      </c>
      <c r="AF122" s="6">
        <f t="shared" si="3"/>
        <v>790</v>
      </c>
      <c r="AG122" s="3">
        <f t="shared" si="3"/>
        <v>110</v>
      </c>
      <c r="AH122" s="8">
        <f t="shared" si="3"/>
        <v>81</v>
      </c>
      <c r="AI122" s="3">
        <f t="shared" si="3"/>
        <v>819</v>
      </c>
      <c r="AK122" s="6">
        <f t="shared" ref="AK122:AR122" si="4">SUM(AK5,AK8,AK11,AK17,AK20,AK23,AK29,AK32,AK35,AK41,AK44,AK47,AK53,AK56,AK59,AK65,AK68,AK71,AK77,AK80,AK83,AK89,AK92,AK95,AK101,AK104,AK107,AK113,AK116,AK119)</f>
        <v>694</v>
      </c>
      <c r="AL122" s="3">
        <f t="shared" si="4"/>
        <v>206</v>
      </c>
      <c r="AM122" s="8">
        <f t="shared" si="4"/>
        <v>211</v>
      </c>
      <c r="AN122" s="3">
        <f t="shared" si="4"/>
        <v>689</v>
      </c>
      <c r="AO122" s="6">
        <f t="shared" si="4"/>
        <v>674</v>
      </c>
      <c r="AP122" s="3">
        <f t="shared" si="4"/>
        <v>226</v>
      </c>
      <c r="AQ122" s="8">
        <f t="shared" si="4"/>
        <v>235</v>
      </c>
      <c r="AR122" s="3">
        <f t="shared" si="4"/>
        <v>665</v>
      </c>
      <c r="AT122" s="8">
        <f t="shared" ref="AT122:BA122" si="5">SUM(AT5,AT8,AT11,AT17,AT20,AT23,AT29,AT32,AT35,AT41,AT44,AT47,AT53,AT56,AT59,AT65,AT68,AT71,AT77,AT80,AT83,AT89,AT92,AT95,AT101,AT104,AT107,AT113,AT116,AT119)</f>
        <v>274</v>
      </c>
      <c r="AU122" s="3">
        <f t="shared" si="5"/>
        <v>626</v>
      </c>
      <c r="AV122" s="6">
        <f t="shared" si="5"/>
        <v>635</v>
      </c>
      <c r="AW122" s="3">
        <f t="shared" si="5"/>
        <v>265</v>
      </c>
      <c r="AX122" s="8">
        <f t="shared" si="5"/>
        <v>269</v>
      </c>
      <c r="AY122" s="3">
        <f t="shared" si="5"/>
        <v>631</v>
      </c>
      <c r="AZ122" s="6">
        <f t="shared" si="5"/>
        <v>635</v>
      </c>
      <c r="BA122" s="3">
        <f t="shared" si="5"/>
        <v>265</v>
      </c>
    </row>
    <row r="125" spans="1:53" x14ac:dyDescent="0.3">
      <c r="A125" s="17"/>
      <c r="B125" t="s">
        <v>343</v>
      </c>
    </row>
    <row r="126" spans="1:53" x14ac:dyDescent="0.3">
      <c r="A126" s="16"/>
      <c r="B126" t="s">
        <v>344</v>
      </c>
    </row>
  </sheetData>
  <mergeCells count="717">
    <mergeCell ref="A109:H109"/>
    <mergeCell ref="J109:Q109"/>
    <mergeCell ref="S109:Z109"/>
    <mergeCell ref="A13:D13"/>
    <mergeCell ref="E13:H13"/>
    <mergeCell ref="A14:B14"/>
    <mergeCell ref="C14:D14"/>
    <mergeCell ref="E14:F14"/>
    <mergeCell ref="G14:H14"/>
    <mergeCell ref="A39:D39"/>
    <mergeCell ref="E39:H39"/>
    <mergeCell ref="A25:D25"/>
    <mergeCell ref="E25:H25"/>
    <mergeCell ref="A26:B26"/>
    <mergeCell ref="C26:D26"/>
    <mergeCell ref="E26:F26"/>
    <mergeCell ref="G26:H26"/>
    <mergeCell ref="A21:D21"/>
    <mergeCell ref="E21:H21"/>
    <mergeCell ref="A33:D33"/>
    <mergeCell ref="E33:H33"/>
    <mergeCell ref="A37:D37"/>
    <mergeCell ref="E37:H37"/>
    <mergeCell ref="A38:B38"/>
    <mergeCell ref="A1:D1"/>
    <mergeCell ref="A2:B2"/>
    <mergeCell ref="C2:D2"/>
    <mergeCell ref="E2:F2"/>
    <mergeCell ref="G2:H2"/>
    <mergeCell ref="E1:H1"/>
    <mergeCell ref="A3:D3"/>
    <mergeCell ref="E3:H3"/>
    <mergeCell ref="A6:D6"/>
    <mergeCell ref="E6:H6"/>
    <mergeCell ref="A9:D9"/>
    <mergeCell ref="E9:H9"/>
    <mergeCell ref="A18:D18"/>
    <mergeCell ref="E18:H18"/>
    <mergeCell ref="A30:D30"/>
    <mergeCell ref="E30:H30"/>
    <mergeCell ref="A61:D61"/>
    <mergeCell ref="E61:H61"/>
    <mergeCell ref="A62:B62"/>
    <mergeCell ref="C62:D62"/>
    <mergeCell ref="E62:F62"/>
    <mergeCell ref="G62:H62"/>
    <mergeCell ref="A49:D49"/>
    <mergeCell ref="E49:H49"/>
    <mergeCell ref="A50:B50"/>
    <mergeCell ref="C50:D50"/>
    <mergeCell ref="E50:F50"/>
    <mergeCell ref="G50:H50"/>
    <mergeCell ref="A42:D42"/>
    <mergeCell ref="E42:H42"/>
    <mergeCell ref="A15:D15"/>
    <mergeCell ref="E15:H15"/>
    <mergeCell ref="A27:D27"/>
    <mergeCell ref="E27:H27"/>
    <mergeCell ref="C38:D38"/>
    <mergeCell ref="E38:F38"/>
    <mergeCell ref="G38:H38"/>
    <mergeCell ref="A45:D45"/>
    <mergeCell ref="E45:H45"/>
    <mergeCell ref="A51:D51"/>
    <mergeCell ref="E51:H51"/>
    <mergeCell ref="A63:D63"/>
    <mergeCell ref="E63:H63"/>
    <mergeCell ref="A57:D57"/>
    <mergeCell ref="E57:H57"/>
    <mergeCell ref="A85:D85"/>
    <mergeCell ref="E85:H85"/>
    <mergeCell ref="A74:B74"/>
    <mergeCell ref="C74:D74"/>
    <mergeCell ref="E74:F74"/>
    <mergeCell ref="G74:H74"/>
    <mergeCell ref="A75:D75"/>
    <mergeCell ref="E75:H75"/>
    <mergeCell ref="J1:M1"/>
    <mergeCell ref="J27:M27"/>
    <mergeCell ref="J39:M39"/>
    <mergeCell ref="J51:M51"/>
    <mergeCell ref="J63:M63"/>
    <mergeCell ref="J75:M75"/>
    <mergeCell ref="A69:D69"/>
    <mergeCell ref="E69:H69"/>
    <mergeCell ref="A73:D73"/>
    <mergeCell ref="E73:H73"/>
    <mergeCell ref="A54:D54"/>
    <mergeCell ref="E54:H54"/>
    <mergeCell ref="A66:D66"/>
    <mergeCell ref="E66:H66"/>
    <mergeCell ref="A81:D81"/>
    <mergeCell ref="E81:H81"/>
    <mergeCell ref="N1:Q1"/>
    <mergeCell ref="J2:K2"/>
    <mergeCell ref="L2:M2"/>
    <mergeCell ref="N2:O2"/>
    <mergeCell ref="P2:Q2"/>
    <mergeCell ref="A110:B110"/>
    <mergeCell ref="C110:D110"/>
    <mergeCell ref="E110:F110"/>
    <mergeCell ref="G110:H110"/>
    <mergeCell ref="A102:D102"/>
    <mergeCell ref="E102:H102"/>
    <mergeCell ref="A105:D105"/>
    <mergeCell ref="E105:H105"/>
    <mergeCell ref="A98:B98"/>
    <mergeCell ref="C98:D98"/>
    <mergeCell ref="E98:F98"/>
    <mergeCell ref="G98:H98"/>
    <mergeCell ref="A99:D99"/>
    <mergeCell ref="E99:H99"/>
    <mergeCell ref="A90:D90"/>
    <mergeCell ref="E90:H90"/>
    <mergeCell ref="J3:M3"/>
    <mergeCell ref="N3:Q3"/>
    <mergeCell ref="J6:M6"/>
    <mergeCell ref="N6:Q6"/>
    <mergeCell ref="J9:M9"/>
    <mergeCell ref="N9:Q9"/>
    <mergeCell ref="A114:D114"/>
    <mergeCell ref="E114:H114"/>
    <mergeCell ref="A117:D117"/>
    <mergeCell ref="E117:H117"/>
    <mergeCell ref="A111:D111"/>
    <mergeCell ref="E111:H111"/>
    <mergeCell ref="A93:D93"/>
    <mergeCell ref="E93:H93"/>
    <mergeCell ref="A97:D97"/>
    <mergeCell ref="E97:H97"/>
    <mergeCell ref="A86:B86"/>
    <mergeCell ref="C86:D86"/>
    <mergeCell ref="E86:F86"/>
    <mergeCell ref="G86:H86"/>
    <mergeCell ref="A87:D87"/>
    <mergeCell ref="E87:H87"/>
    <mergeCell ref="A78:D78"/>
    <mergeCell ref="E78:H78"/>
    <mergeCell ref="J15:M15"/>
    <mergeCell ref="N15:Q15"/>
    <mergeCell ref="J18:M18"/>
    <mergeCell ref="N18:Q18"/>
    <mergeCell ref="J21:M21"/>
    <mergeCell ref="N21:Q21"/>
    <mergeCell ref="J13:M13"/>
    <mergeCell ref="N13:Q13"/>
    <mergeCell ref="J14:K14"/>
    <mergeCell ref="L14:M14"/>
    <mergeCell ref="N14:O14"/>
    <mergeCell ref="P14:Q14"/>
    <mergeCell ref="N27:Q27"/>
    <mergeCell ref="J30:M30"/>
    <mergeCell ref="N30:Q30"/>
    <mergeCell ref="J33:M33"/>
    <mergeCell ref="N33:Q33"/>
    <mergeCell ref="J25:M25"/>
    <mergeCell ref="N25:Q25"/>
    <mergeCell ref="J26:K26"/>
    <mergeCell ref="L26:M26"/>
    <mergeCell ref="N26:O26"/>
    <mergeCell ref="P26:Q26"/>
    <mergeCell ref="N39:Q39"/>
    <mergeCell ref="J42:M42"/>
    <mergeCell ref="N42:Q42"/>
    <mergeCell ref="J45:M45"/>
    <mergeCell ref="N45:Q45"/>
    <mergeCell ref="J37:M37"/>
    <mergeCell ref="N37:Q37"/>
    <mergeCell ref="J38:K38"/>
    <mergeCell ref="L38:M38"/>
    <mergeCell ref="N38:O38"/>
    <mergeCell ref="P38:Q38"/>
    <mergeCell ref="N51:Q51"/>
    <mergeCell ref="J54:M54"/>
    <mergeCell ref="N54:Q54"/>
    <mergeCell ref="J57:M57"/>
    <mergeCell ref="N57:Q57"/>
    <mergeCell ref="J49:M49"/>
    <mergeCell ref="N49:Q49"/>
    <mergeCell ref="J50:K50"/>
    <mergeCell ref="L50:M50"/>
    <mergeCell ref="N50:O50"/>
    <mergeCell ref="P50:Q50"/>
    <mergeCell ref="N63:Q63"/>
    <mergeCell ref="J66:M66"/>
    <mergeCell ref="N66:Q66"/>
    <mergeCell ref="J69:M69"/>
    <mergeCell ref="N69:Q69"/>
    <mergeCell ref="J61:M61"/>
    <mergeCell ref="N61:Q61"/>
    <mergeCell ref="J62:K62"/>
    <mergeCell ref="L62:M62"/>
    <mergeCell ref="N62:O62"/>
    <mergeCell ref="P62:Q62"/>
    <mergeCell ref="N75:Q75"/>
    <mergeCell ref="J78:M78"/>
    <mergeCell ref="N78:Q78"/>
    <mergeCell ref="J81:M81"/>
    <mergeCell ref="N81:Q81"/>
    <mergeCell ref="J73:M73"/>
    <mergeCell ref="N73:Q73"/>
    <mergeCell ref="J74:K74"/>
    <mergeCell ref="L74:M74"/>
    <mergeCell ref="N74:O74"/>
    <mergeCell ref="P74:Q74"/>
    <mergeCell ref="J87:M87"/>
    <mergeCell ref="N87:Q87"/>
    <mergeCell ref="J90:M90"/>
    <mergeCell ref="N90:Q90"/>
    <mergeCell ref="J93:M93"/>
    <mergeCell ref="N93:Q93"/>
    <mergeCell ref="J85:M85"/>
    <mergeCell ref="N85:Q85"/>
    <mergeCell ref="J86:K86"/>
    <mergeCell ref="L86:M86"/>
    <mergeCell ref="N86:O86"/>
    <mergeCell ref="P86:Q86"/>
    <mergeCell ref="J99:M99"/>
    <mergeCell ref="N99:Q99"/>
    <mergeCell ref="J102:M102"/>
    <mergeCell ref="N102:Q102"/>
    <mergeCell ref="J105:M105"/>
    <mergeCell ref="N105:Q105"/>
    <mergeCell ref="J97:M97"/>
    <mergeCell ref="N97:Q97"/>
    <mergeCell ref="J98:K98"/>
    <mergeCell ref="L98:M98"/>
    <mergeCell ref="N98:O98"/>
    <mergeCell ref="P98:Q98"/>
    <mergeCell ref="J111:M111"/>
    <mergeCell ref="N111:Q111"/>
    <mergeCell ref="J114:M114"/>
    <mergeCell ref="N114:Q114"/>
    <mergeCell ref="J117:M117"/>
    <mergeCell ref="N117:Q117"/>
    <mergeCell ref="J110:K110"/>
    <mergeCell ref="L110:M110"/>
    <mergeCell ref="N110:O110"/>
    <mergeCell ref="P110:Q110"/>
    <mergeCell ref="S117:V117"/>
    <mergeCell ref="W117:Z117"/>
    <mergeCell ref="S114:V114"/>
    <mergeCell ref="W114:Z114"/>
    <mergeCell ref="S69:V69"/>
    <mergeCell ref="W69:Z69"/>
    <mergeCell ref="S81:V81"/>
    <mergeCell ref="W81:Z81"/>
    <mergeCell ref="S105:V105"/>
    <mergeCell ref="W105:Z105"/>
    <mergeCell ref="S110:T110"/>
    <mergeCell ref="U110:V110"/>
    <mergeCell ref="W110:X110"/>
    <mergeCell ref="Y110:Z110"/>
    <mergeCell ref="S102:V102"/>
    <mergeCell ref="W102:Z102"/>
    <mergeCell ref="S111:V111"/>
    <mergeCell ref="W111:Z111"/>
    <mergeCell ref="S99:V99"/>
    <mergeCell ref="W99:Z99"/>
    <mergeCell ref="W74:X74"/>
    <mergeCell ref="Y74:Z74"/>
    <mergeCell ref="S98:T98"/>
    <mergeCell ref="U98:V98"/>
    <mergeCell ref="W98:X98"/>
    <mergeCell ref="Y98:Z98"/>
    <mergeCell ref="S90:V90"/>
    <mergeCell ref="W90:Z90"/>
    <mergeCell ref="S86:T86"/>
    <mergeCell ref="U86:V86"/>
    <mergeCell ref="W86:X86"/>
    <mergeCell ref="Y86:Z86"/>
    <mergeCell ref="S87:V87"/>
    <mergeCell ref="W87:Z87"/>
    <mergeCell ref="S97:V97"/>
    <mergeCell ref="W97:Z97"/>
    <mergeCell ref="S93:V93"/>
    <mergeCell ref="W93:Z93"/>
    <mergeCell ref="S85:V85"/>
    <mergeCell ref="W85:Z85"/>
    <mergeCell ref="S62:T62"/>
    <mergeCell ref="U62:V62"/>
    <mergeCell ref="W62:X62"/>
    <mergeCell ref="Y62:Z62"/>
    <mergeCell ref="S33:V33"/>
    <mergeCell ref="W33:Z33"/>
    <mergeCell ref="S45:V45"/>
    <mergeCell ref="W45:Z45"/>
    <mergeCell ref="S39:V39"/>
    <mergeCell ref="W39:Z39"/>
    <mergeCell ref="S78:V78"/>
    <mergeCell ref="W78:Z78"/>
    <mergeCell ref="S74:T74"/>
    <mergeCell ref="U74:V74"/>
    <mergeCell ref="S73:V73"/>
    <mergeCell ref="W73:Z73"/>
    <mergeCell ref="S49:V49"/>
    <mergeCell ref="W49:Z49"/>
    <mergeCell ref="S50:T50"/>
    <mergeCell ref="U50:V50"/>
    <mergeCell ref="S51:V51"/>
    <mergeCell ref="W51:Z51"/>
    <mergeCell ref="S61:V61"/>
    <mergeCell ref="W61:Z61"/>
    <mergeCell ref="S54:V54"/>
    <mergeCell ref="W54:Z54"/>
    <mergeCell ref="S66:V66"/>
    <mergeCell ref="W66:Z66"/>
    <mergeCell ref="S75:V75"/>
    <mergeCell ref="W75:Z75"/>
    <mergeCell ref="S27:V27"/>
    <mergeCell ref="W27:Z27"/>
    <mergeCell ref="S1:V1"/>
    <mergeCell ref="W1:Z1"/>
    <mergeCell ref="S57:V57"/>
    <mergeCell ref="W57:Z57"/>
    <mergeCell ref="S63:V63"/>
    <mergeCell ref="W63:Z63"/>
    <mergeCell ref="S6:V6"/>
    <mergeCell ref="W6:Z6"/>
    <mergeCell ref="S9:V9"/>
    <mergeCell ref="W9:Z9"/>
    <mergeCell ref="S30:V30"/>
    <mergeCell ref="W30:Z30"/>
    <mergeCell ref="S18:V18"/>
    <mergeCell ref="W18:Z18"/>
    <mergeCell ref="S21:V21"/>
    <mergeCell ref="W21:Z21"/>
    <mergeCell ref="S26:T26"/>
    <mergeCell ref="U26:V26"/>
    <mergeCell ref="W26:X26"/>
    <mergeCell ref="Y26:Z26"/>
    <mergeCell ref="W50:X50"/>
    <mergeCell ref="Y50:Z50"/>
    <mergeCell ref="S42:V42"/>
    <mergeCell ref="W42:Z42"/>
    <mergeCell ref="S13:V13"/>
    <mergeCell ref="W13:Z13"/>
    <mergeCell ref="S2:T2"/>
    <mergeCell ref="U2:V2"/>
    <mergeCell ref="W2:X2"/>
    <mergeCell ref="Y2:Z2"/>
    <mergeCell ref="S3:V3"/>
    <mergeCell ref="W3:Z3"/>
    <mergeCell ref="S14:T14"/>
    <mergeCell ref="U14:V14"/>
    <mergeCell ref="W14:X14"/>
    <mergeCell ref="Y14:Z14"/>
    <mergeCell ref="S15:V15"/>
    <mergeCell ref="W15:Z15"/>
    <mergeCell ref="S25:V25"/>
    <mergeCell ref="W25:Z25"/>
    <mergeCell ref="S37:V37"/>
    <mergeCell ref="W37:Z37"/>
    <mergeCell ref="S38:T38"/>
    <mergeCell ref="U38:V38"/>
    <mergeCell ref="W38:X38"/>
    <mergeCell ref="Y38:Z38"/>
    <mergeCell ref="AB117:AE117"/>
    <mergeCell ref="AF117:AI117"/>
    <mergeCell ref="AB114:AE114"/>
    <mergeCell ref="AF114:AI114"/>
    <mergeCell ref="AB69:AE69"/>
    <mergeCell ref="AF69:AI69"/>
    <mergeCell ref="AB81:AE81"/>
    <mergeCell ref="AF81:AI81"/>
    <mergeCell ref="AB93:AE93"/>
    <mergeCell ref="AF93:AI93"/>
    <mergeCell ref="AF74:AG74"/>
    <mergeCell ref="AH74:AI74"/>
    <mergeCell ref="AB73:AE73"/>
    <mergeCell ref="AF73:AI73"/>
    <mergeCell ref="AB74:AC74"/>
    <mergeCell ref="AD74:AE74"/>
    <mergeCell ref="AB109:AE109"/>
    <mergeCell ref="AF109:AI109"/>
    <mergeCell ref="AB6:AE6"/>
    <mergeCell ref="AF6:AI6"/>
    <mergeCell ref="AB9:AE9"/>
    <mergeCell ref="AF9:AI9"/>
    <mergeCell ref="AB18:AE18"/>
    <mergeCell ref="AF18:AI18"/>
    <mergeCell ref="AB105:AE105"/>
    <mergeCell ref="AF105:AI105"/>
    <mergeCell ref="AB21:AE21"/>
    <mergeCell ref="AF21:AI21"/>
    <mergeCell ref="AB33:AE33"/>
    <mergeCell ref="AF33:AI33"/>
    <mergeCell ref="AB45:AE45"/>
    <mergeCell ref="AF45:AI45"/>
    <mergeCell ref="AF86:AG86"/>
    <mergeCell ref="AH86:AI86"/>
    <mergeCell ref="AB13:AE13"/>
    <mergeCell ref="AF13:AI13"/>
    <mergeCell ref="AB14:AC14"/>
    <mergeCell ref="AD14:AE14"/>
    <mergeCell ref="AF14:AG14"/>
    <mergeCell ref="AH14:AI14"/>
    <mergeCell ref="AB25:AE25"/>
    <mergeCell ref="AF25:AI25"/>
    <mergeCell ref="AB66:AE66"/>
    <mergeCell ref="AF66:AI66"/>
    <mergeCell ref="AB37:AE37"/>
    <mergeCell ref="AF37:AI37"/>
    <mergeCell ref="AB38:AC38"/>
    <mergeCell ref="AD38:AE38"/>
    <mergeCell ref="AF38:AG38"/>
    <mergeCell ref="AH38:AI38"/>
    <mergeCell ref="AF62:AG62"/>
    <mergeCell ref="AH62:AI62"/>
    <mergeCell ref="AB54:AE54"/>
    <mergeCell ref="AF54:AI54"/>
    <mergeCell ref="AB30:AE30"/>
    <mergeCell ref="AF30:AI30"/>
    <mergeCell ref="AB78:AE78"/>
    <mergeCell ref="AF78:AI78"/>
    <mergeCell ref="AB75:AE75"/>
    <mergeCell ref="AF75:AI75"/>
    <mergeCell ref="AB85:AE85"/>
    <mergeCell ref="AF85:AI85"/>
    <mergeCell ref="AB111:AE111"/>
    <mergeCell ref="AF111:AI111"/>
    <mergeCell ref="AB63:AE63"/>
    <mergeCell ref="AF63:AI63"/>
    <mergeCell ref="AB90:AE90"/>
    <mergeCell ref="AF90:AI90"/>
    <mergeCell ref="AB99:AE99"/>
    <mergeCell ref="AF99:AI99"/>
    <mergeCell ref="AB110:AC110"/>
    <mergeCell ref="AD110:AE110"/>
    <mergeCell ref="AB86:AC86"/>
    <mergeCell ref="AD86:AE86"/>
    <mergeCell ref="AB102:AE102"/>
    <mergeCell ref="AF102:AI102"/>
    <mergeCell ref="AB87:AE87"/>
    <mergeCell ref="AF87:AI87"/>
    <mergeCell ref="AB1:AE1"/>
    <mergeCell ref="AF1:AI1"/>
    <mergeCell ref="AB57:AE57"/>
    <mergeCell ref="AF57:AI57"/>
    <mergeCell ref="AB42:AE42"/>
    <mergeCell ref="AF42:AI42"/>
    <mergeCell ref="AB49:AE49"/>
    <mergeCell ref="AF49:AI49"/>
    <mergeCell ref="AB2:AC2"/>
    <mergeCell ref="AD2:AE2"/>
    <mergeCell ref="AF2:AG2"/>
    <mergeCell ref="AH2:AI2"/>
    <mergeCell ref="AB3:AE3"/>
    <mergeCell ref="AF3:AI3"/>
    <mergeCell ref="AB50:AC50"/>
    <mergeCell ref="AD50:AE50"/>
    <mergeCell ref="AF50:AG50"/>
    <mergeCell ref="AH50:AI50"/>
    <mergeCell ref="AB51:AE51"/>
    <mergeCell ref="AF51:AI51"/>
    <mergeCell ref="AB15:AE15"/>
    <mergeCell ref="AF15:AI15"/>
    <mergeCell ref="AB27:AE27"/>
    <mergeCell ref="AF27:AI27"/>
    <mergeCell ref="AB26:AC26"/>
    <mergeCell ref="AD26:AE26"/>
    <mergeCell ref="AF26:AG26"/>
    <mergeCell ref="AH26:AI26"/>
    <mergeCell ref="AK117:AN117"/>
    <mergeCell ref="AO117:AR117"/>
    <mergeCell ref="AK45:AN45"/>
    <mergeCell ref="AO45:AR45"/>
    <mergeCell ref="AK110:AL110"/>
    <mergeCell ref="AM110:AN110"/>
    <mergeCell ref="AF110:AG110"/>
    <mergeCell ref="AH110:AI110"/>
    <mergeCell ref="AB61:AE61"/>
    <mergeCell ref="AF61:AI61"/>
    <mergeCell ref="AB62:AC62"/>
    <mergeCell ref="AD62:AE62"/>
    <mergeCell ref="AB39:AE39"/>
    <mergeCell ref="AF39:AI39"/>
    <mergeCell ref="AB97:AE97"/>
    <mergeCell ref="AF97:AI97"/>
    <mergeCell ref="AB98:AC98"/>
    <mergeCell ref="AD98:AE98"/>
    <mergeCell ref="AF98:AG98"/>
    <mergeCell ref="AH98:AI98"/>
    <mergeCell ref="AO86:AP86"/>
    <mergeCell ref="AQ86:AR86"/>
    <mergeCell ref="AK18:AN18"/>
    <mergeCell ref="AO18:AR18"/>
    <mergeCell ref="AK21:AN21"/>
    <mergeCell ref="AO21:AR21"/>
    <mergeCell ref="AK33:AN33"/>
    <mergeCell ref="AO33:AR33"/>
    <mergeCell ref="AK25:AN25"/>
    <mergeCell ref="AO25:AR25"/>
    <mergeCell ref="AO26:AP26"/>
    <mergeCell ref="AQ26:AR26"/>
    <mergeCell ref="AO38:AP38"/>
    <mergeCell ref="AQ38:AR38"/>
    <mergeCell ref="AK73:AN73"/>
    <mergeCell ref="AO73:AR73"/>
    <mergeCell ref="AK74:AL74"/>
    <mergeCell ref="AM74:AN74"/>
    <mergeCell ref="AO74:AP74"/>
    <mergeCell ref="AQ74:AR74"/>
    <mergeCell ref="AK63:AN63"/>
    <mergeCell ref="AO63:AR63"/>
    <mergeCell ref="AK26:AL26"/>
    <mergeCell ref="AM26:AN26"/>
    <mergeCell ref="AK15:AN15"/>
    <mergeCell ref="AO15:AR15"/>
    <mergeCell ref="AK27:AN27"/>
    <mergeCell ref="AO27:AR27"/>
    <mergeCell ref="AK6:AN6"/>
    <mergeCell ref="AO6:AR6"/>
    <mergeCell ref="AK9:AN9"/>
    <mergeCell ref="AO9:AR9"/>
    <mergeCell ref="AK57:AN57"/>
    <mergeCell ref="AO57:AR57"/>
    <mergeCell ref="AK13:AN13"/>
    <mergeCell ref="AO13:AR13"/>
    <mergeCell ref="AK14:AL14"/>
    <mergeCell ref="AM14:AN14"/>
    <mergeCell ref="AO14:AP14"/>
    <mergeCell ref="AQ14:AR14"/>
    <mergeCell ref="AK50:AL50"/>
    <mergeCell ref="AM50:AN50"/>
    <mergeCell ref="AO50:AP50"/>
    <mergeCell ref="AQ50:AR50"/>
    <mergeCell ref="AK37:AN37"/>
    <mergeCell ref="AO37:AR37"/>
    <mergeCell ref="AK38:AL38"/>
    <mergeCell ref="AM38:AN38"/>
    <mergeCell ref="AO98:AP98"/>
    <mergeCell ref="AQ98:AR98"/>
    <mergeCell ref="AK97:AN97"/>
    <mergeCell ref="AO97:AR97"/>
    <mergeCell ref="AK78:AN78"/>
    <mergeCell ref="AO78:AR78"/>
    <mergeCell ref="AK51:AN51"/>
    <mergeCell ref="AO51:AR51"/>
    <mergeCell ref="AK66:AN66"/>
    <mergeCell ref="AO66:AR66"/>
    <mergeCell ref="AK87:AN87"/>
    <mergeCell ref="AO87:AR87"/>
    <mergeCell ref="AK90:AN90"/>
    <mergeCell ref="AO90:AR90"/>
    <mergeCell ref="AK93:AN93"/>
    <mergeCell ref="AO93:AR93"/>
    <mergeCell ref="AK86:AL86"/>
    <mergeCell ref="AM86:AN86"/>
    <mergeCell ref="AK69:AN69"/>
    <mergeCell ref="AO69:AR69"/>
    <mergeCell ref="AK61:AN61"/>
    <mergeCell ref="AO61:AR61"/>
    <mergeCell ref="AK62:AL62"/>
    <mergeCell ref="AM62:AN62"/>
    <mergeCell ref="AK85:AN85"/>
    <mergeCell ref="AO85:AR85"/>
    <mergeCell ref="AT117:AW117"/>
    <mergeCell ref="AX117:BA117"/>
    <mergeCell ref="AT111:AW111"/>
    <mergeCell ref="AX111:BA111"/>
    <mergeCell ref="AT114:AW114"/>
    <mergeCell ref="AX114:BA114"/>
    <mergeCell ref="AK99:AN99"/>
    <mergeCell ref="AO99:AR99"/>
    <mergeCell ref="AK111:AN111"/>
    <mergeCell ref="AO111:AR111"/>
    <mergeCell ref="AK114:AN114"/>
    <mergeCell ref="AO114:AR114"/>
    <mergeCell ref="AK105:AN105"/>
    <mergeCell ref="AO105:AR105"/>
    <mergeCell ref="AK109:AN109"/>
    <mergeCell ref="AO109:AR109"/>
    <mergeCell ref="AK102:AN102"/>
    <mergeCell ref="AO102:AR102"/>
    <mergeCell ref="AO110:AP110"/>
    <mergeCell ref="AQ110:AR110"/>
    <mergeCell ref="AK98:AL98"/>
    <mergeCell ref="AM98:AN98"/>
    <mergeCell ref="AK1:AN1"/>
    <mergeCell ref="AO1:AR1"/>
    <mergeCell ref="AK81:AN81"/>
    <mergeCell ref="AO81:AR81"/>
    <mergeCell ref="AK54:AN54"/>
    <mergeCell ref="AO54:AR54"/>
    <mergeCell ref="AK2:AL2"/>
    <mergeCell ref="AM2:AN2"/>
    <mergeCell ref="AO2:AP2"/>
    <mergeCell ref="AQ2:AR2"/>
    <mergeCell ref="AK3:AN3"/>
    <mergeCell ref="AO3:AR3"/>
    <mergeCell ref="AK42:AN42"/>
    <mergeCell ref="AO42:AR42"/>
    <mergeCell ref="AK75:AN75"/>
    <mergeCell ref="AO75:AR75"/>
    <mergeCell ref="AK30:AN30"/>
    <mergeCell ref="AO30:AR30"/>
    <mergeCell ref="AK49:AN49"/>
    <mergeCell ref="AO49:AR49"/>
    <mergeCell ref="AK39:AN39"/>
    <mergeCell ref="AO39:AR39"/>
    <mergeCell ref="AO62:AP62"/>
    <mergeCell ref="AQ62:AR62"/>
    <mergeCell ref="AT99:AW99"/>
    <mergeCell ref="AX99:BA99"/>
    <mergeCell ref="AT109:AW109"/>
    <mergeCell ref="AX109:BA109"/>
    <mergeCell ref="AT110:AU110"/>
    <mergeCell ref="AV110:AW110"/>
    <mergeCell ref="AX110:AY110"/>
    <mergeCell ref="AZ110:BA110"/>
    <mergeCell ref="AT102:AW102"/>
    <mergeCell ref="AX102:BA102"/>
    <mergeCell ref="AT105:AW105"/>
    <mergeCell ref="AX105:BA105"/>
    <mergeCell ref="AT87:AW87"/>
    <mergeCell ref="AX87:BA87"/>
    <mergeCell ref="AT97:AW97"/>
    <mergeCell ref="AX97:BA97"/>
    <mergeCell ref="AT98:AU98"/>
    <mergeCell ref="AV98:AW98"/>
    <mergeCell ref="AX98:AY98"/>
    <mergeCell ref="AZ98:BA98"/>
    <mergeCell ref="AT90:AW90"/>
    <mergeCell ref="AX90:BA90"/>
    <mergeCell ref="AT93:AW93"/>
    <mergeCell ref="AX93:BA93"/>
    <mergeCell ref="AT75:AW75"/>
    <mergeCell ref="AX75:BA75"/>
    <mergeCell ref="AT85:AW85"/>
    <mergeCell ref="AX85:BA85"/>
    <mergeCell ref="AT86:AU86"/>
    <mergeCell ref="AV86:AW86"/>
    <mergeCell ref="AX86:AY86"/>
    <mergeCell ref="AZ86:BA86"/>
    <mergeCell ref="AT81:AW81"/>
    <mergeCell ref="AX81:BA81"/>
    <mergeCell ref="AT78:AW78"/>
    <mergeCell ref="AX78:BA78"/>
    <mergeCell ref="AT63:AW63"/>
    <mergeCell ref="AX63:BA63"/>
    <mergeCell ref="AT73:AW73"/>
    <mergeCell ref="AX73:BA73"/>
    <mergeCell ref="AT74:AU74"/>
    <mergeCell ref="AV74:AW74"/>
    <mergeCell ref="AX74:AY74"/>
    <mergeCell ref="AZ74:BA74"/>
    <mergeCell ref="AT69:AW69"/>
    <mergeCell ref="AX69:BA69"/>
    <mergeCell ref="AT66:AW66"/>
    <mergeCell ref="AX66:BA66"/>
    <mergeCell ref="AX50:AY50"/>
    <mergeCell ref="AZ50:BA50"/>
    <mergeCell ref="AT42:AW42"/>
    <mergeCell ref="AX42:BA42"/>
    <mergeCell ref="AT51:AW51"/>
    <mergeCell ref="AX51:BA51"/>
    <mergeCell ref="AT61:AW61"/>
    <mergeCell ref="AX61:BA61"/>
    <mergeCell ref="AT62:AU62"/>
    <mergeCell ref="AV62:AW62"/>
    <mergeCell ref="AX62:AY62"/>
    <mergeCell ref="AZ62:BA62"/>
    <mergeCell ref="AT54:AW54"/>
    <mergeCell ref="AX54:BA54"/>
    <mergeCell ref="AT57:AW57"/>
    <mergeCell ref="AX57:BA57"/>
    <mergeCell ref="AT3:AW3"/>
    <mergeCell ref="AX3:BA3"/>
    <mergeCell ref="AT1:AW1"/>
    <mergeCell ref="AX1:BA1"/>
    <mergeCell ref="AT2:AU2"/>
    <mergeCell ref="AV2:AW2"/>
    <mergeCell ref="AX2:AY2"/>
    <mergeCell ref="AZ2:BA2"/>
    <mergeCell ref="AT13:AW13"/>
    <mergeCell ref="AX13:BA13"/>
    <mergeCell ref="AT6:AW6"/>
    <mergeCell ref="AX6:BA6"/>
    <mergeCell ref="AT9:AW9"/>
    <mergeCell ref="AX9:BA9"/>
    <mergeCell ref="AT14:AU14"/>
    <mergeCell ref="AV14:AW14"/>
    <mergeCell ref="AX14:AY14"/>
    <mergeCell ref="AZ14:BA14"/>
    <mergeCell ref="AT15:AW15"/>
    <mergeCell ref="AX15:BA15"/>
    <mergeCell ref="AT25:AW25"/>
    <mergeCell ref="AX25:BA25"/>
    <mergeCell ref="AT26:AU26"/>
    <mergeCell ref="AV26:AW26"/>
    <mergeCell ref="AX26:AY26"/>
    <mergeCell ref="AZ26:BA26"/>
    <mergeCell ref="AT27:AW27"/>
    <mergeCell ref="AX27:BA27"/>
    <mergeCell ref="AT45:AW45"/>
    <mergeCell ref="AX45:BA45"/>
    <mergeCell ref="AT18:AW18"/>
    <mergeCell ref="AX18:BA18"/>
    <mergeCell ref="AT49:AW49"/>
    <mergeCell ref="AX49:BA49"/>
    <mergeCell ref="AT50:AU50"/>
    <mergeCell ref="AV50:AW50"/>
    <mergeCell ref="AT21:AW21"/>
    <mergeCell ref="AX21:BA21"/>
    <mergeCell ref="AT37:AW37"/>
    <mergeCell ref="AX37:BA37"/>
    <mergeCell ref="AT38:AU38"/>
    <mergeCell ref="AV38:AW38"/>
    <mergeCell ref="AX38:AY38"/>
    <mergeCell ref="AZ38:BA38"/>
    <mergeCell ref="AT33:AW33"/>
    <mergeCell ref="AX33:BA33"/>
    <mergeCell ref="AT39:AW39"/>
    <mergeCell ref="AX39:BA39"/>
    <mergeCell ref="AT30:AW30"/>
    <mergeCell ref="AX30:BA3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G906"/>
  <sheetViews>
    <sheetView tabSelected="1" topLeftCell="H1" workbookViewId="0">
      <selection activeCell="J2" sqref="J2"/>
    </sheetView>
  </sheetViews>
  <sheetFormatPr baseColWidth="10" defaultRowHeight="14.4" x14ac:dyDescent="0.3"/>
  <cols>
    <col min="1" max="1" width="14.33203125" bestFit="1" customWidth="1"/>
    <col min="2" max="2" width="11.5546875" style="2"/>
    <col min="3" max="4" width="14.33203125" style="2" bestFit="1" customWidth="1"/>
    <col min="9" max="9" width="14.33203125" bestFit="1" customWidth="1"/>
    <col min="10" max="10" width="11.5546875" style="2"/>
    <col min="11" max="12" width="14.33203125" style="2" bestFit="1" customWidth="1"/>
    <col min="13" max="13" width="14.33203125" style="2" customWidth="1"/>
    <col min="15" max="15" width="14.33203125" bestFit="1" customWidth="1"/>
    <col min="16" max="16" width="11.5546875" style="2"/>
    <col min="21" max="21" width="14.33203125" bestFit="1" customWidth="1"/>
    <col min="22" max="22" width="11.5546875" style="2"/>
    <col min="39" max="39" width="7.88671875" bestFit="1" customWidth="1"/>
    <col min="40" max="40" width="10.44140625" bestFit="1" customWidth="1"/>
    <col min="41" max="41" width="14.33203125" bestFit="1" customWidth="1"/>
    <col min="43" max="44" width="11" bestFit="1" customWidth="1"/>
    <col min="45" max="45" width="8.44140625" bestFit="1" customWidth="1"/>
    <col min="46" max="46" width="14.33203125" bestFit="1" customWidth="1"/>
    <col min="47" max="49" width="11" bestFit="1" customWidth="1"/>
    <col min="50" max="50" width="10.44140625" customWidth="1"/>
    <col min="51" max="51" width="14.33203125" bestFit="1" customWidth="1"/>
    <col min="56" max="56" width="14.33203125" bestFit="1" customWidth="1"/>
  </cols>
  <sheetData>
    <row r="2" spans="1:59" x14ac:dyDescent="0.3">
      <c r="A2" t="s">
        <v>330</v>
      </c>
      <c r="B2" s="2" t="s">
        <v>350</v>
      </c>
      <c r="C2" s="2" t="s">
        <v>358</v>
      </c>
      <c r="D2" s="2" t="s">
        <v>360</v>
      </c>
      <c r="I2" t="s">
        <v>331</v>
      </c>
      <c r="J2" s="2" t="s">
        <v>352</v>
      </c>
      <c r="K2" s="2" t="s">
        <v>359</v>
      </c>
      <c r="L2" s="2" t="s">
        <v>361</v>
      </c>
      <c r="O2" t="s">
        <v>330</v>
      </c>
      <c r="P2" s="2" t="s">
        <v>354</v>
      </c>
      <c r="Q2" s="2" t="s">
        <v>355</v>
      </c>
      <c r="R2" s="2" t="s">
        <v>348</v>
      </c>
      <c r="U2" t="s">
        <v>331</v>
      </c>
      <c r="V2" s="2" t="s">
        <v>356</v>
      </c>
      <c r="W2" s="2" t="s">
        <v>357</v>
      </c>
      <c r="X2" s="2" t="s">
        <v>349</v>
      </c>
      <c r="AO2" t="s">
        <v>330</v>
      </c>
      <c r="AP2" s="2" t="s">
        <v>350</v>
      </c>
      <c r="AQ2" s="2" t="s">
        <v>354</v>
      </c>
      <c r="AR2" s="2" t="s">
        <v>355</v>
      </c>
      <c r="AT2" t="s">
        <v>331</v>
      </c>
      <c r="AU2" s="2" t="s">
        <v>352</v>
      </c>
      <c r="AV2" s="2" t="s">
        <v>356</v>
      </c>
      <c r="AW2" s="2" t="s">
        <v>357</v>
      </c>
      <c r="AY2" t="s">
        <v>330</v>
      </c>
      <c r="AZ2" s="2" t="s">
        <v>358</v>
      </c>
      <c r="BA2" s="2" t="s">
        <v>354</v>
      </c>
      <c r="BB2" s="2" t="s">
        <v>355</v>
      </c>
      <c r="BD2" t="s">
        <v>331</v>
      </c>
      <c r="BE2" s="2" t="s">
        <v>359</v>
      </c>
      <c r="BF2" s="2" t="s">
        <v>356</v>
      </c>
      <c r="BG2" s="2" t="s">
        <v>357</v>
      </c>
    </row>
    <row r="3" spans="1:59" x14ac:dyDescent="0.3">
      <c r="A3" s="3" t="s">
        <v>10</v>
      </c>
      <c r="B3" s="4">
        <v>382.83227499999998</v>
      </c>
      <c r="C3" s="4">
        <v>376.96539300000001</v>
      </c>
      <c r="D3" s="4">
        <v>469.01501500000001</v>
      </c>
      <c r="I3" s="3" t="s">
        <v>10</v>
      </c>
      <c r="J3" s="4">
        <v>356.94982900000002</v>
      </c>
      <c r="K3" s="4">
        <v>364.59973100000002</v>
      </c>
      <c r="L3" s="4">
        <v>431.67184400000002</v>
      </c>
      <c r="M3" s="12"/>
      <c r="O3" s="3" t="s">
        <v>10</v>
      </c>
      <c r="P3" s="4">
        <v>469.01501500000001</v>
      </c>
      <c r="Q3" s="4">
        <v>386.70614599999999</v>
      </c>
      <c r="R3" s="4">
        <v>469.01501500000001</v>
      </c>
      <c r="U3" s="3" t="s">
        <v>10</v>
      </c>
      <c r="V3" s="4">
        <v>431.67184400000002</v>
      </c>
      <c r="W3" s="4">
        <v>357.26953099999997</v>
      </c>
      <c r="X3" s="4">
        <v>431.67184400000002</v>
      </c>
      <c r="AO3" s="3" t="s">
        <v>10</v>
      </c>
      <c r="AP3" s="4">
        <v>382.83227499999998</v>
      </c>
      <c r="AQ3" s="4">
        <v>469.01501500000001</v>
      </c>
      <c r="AR3" s="4">
        <v>386.70614599999999</v>
      </c>
      <c r="AT3" s="3" t="s">
        <v>10</v>
      </c>
      <c r="AU3" s="4">
        <v>356.94982900000002</v>
      </c>
      <c r="AV3" s="4">
        <v>431.67184400000002</v>
      </c>
      <c r="AW3" s="4">
        <v>357.26953099999997</v>
      </c>
      <c r="AY3" s="3" t="s">
        <v>10</v>
      </c>
      <c r="AZ3" s="4">
        <v>376.96539300000001</v>
      </c>
      <c r="BA3" s="4">
        <v>469.01501500000001</v>
      </c>
      <c r="BB3" s="4">
        <v>386.70614599999999</v>
      </c>
      <c r="BD3" s="3" t="s">
        <v>10</v>
      </c>
      <c r="BE3" s="4">
        <v>364.59973100000002</v>
      </c>
      <c r="BF3" s="4">
        <v>431.67184400000002</v>
      </c>
      <c r="BG3" s="4">
        <v>357.26953099999997</v>
      </c>
    </row>
    <row r="4" spans="1:59" x14ac:dyDescent="0.3">
      <c r="A4" s="3" t="s">
        <v>12</v>
      </c>
      <c r="B4" s="4">
        <v>414.58303799999999</v>
      </c>
      <c r="C4" s="4">
        <v>424.229218</v>
      </c>
      <c r="D4" s="4">
        <v>427.772583</v>
      </c>
      <c r="I4" s="3" t="s">
        <v>12</v>
      </c>
      <c r="J4" s="4">
        <v>400.56689499999999</v>
      </c>
      <c r="K4" s="4">
        <v>405.06506300000001</v>
      </c>
      <c r="L4" s="4">
        <v>404.93225100000001</v>
      </c>
      <c r="M4" s="12"/>
      <c r="O4" s="3" t="s">
        <v>12</v>
      </c>
      <c r="P4" s="4">
        <v>420.17394999999999</v>
      </c>
      <c r="Q4" s="4">
        <v>416.98718300000002</v>
      </c>
      <c r="R4" s="4">
        <v>467.93060300000002</v>
      </c>
      <c r="U4" s="3" t="s">
        <v>12</v>
      </c>
      <c r="V4" s="4">
        <v>404.57049599999999</v>
      </c>
      <c r="W4" s="4">
        <v>405.9375</v>
      </c>
      <c r="X4" s="4">
        <v>408.94638099999997</v>
      </c>
      <c r="AO4" s="3" t="s">
        <v>12</v>
      </c>
      <c r="AP4" s="4">
        <v>414.58303799999999</v>
      </c>
      <c r="AQ4" s="4">
        <v>420.17394999999999</v>
      </c>
      <c r="AR4" s="4">
        <v>416.98718300000002</v>
      </c>
      <c r="AT4" s="3" t="s">
        <v>12</v>
      </c>
      <c r="AU4" s="4">
        <v>400.56689499999999</v>
      </c>
      <c r="AV4" s="4">
        <v>404.57049599999999</v>
      </c>
      <c r="AW4" s="4">
        <v>405.9375</v>
      </c>
      <c r="AY4" s="3" t="s">
        <v>12</v>
      </c>
      <c r="AZ4" s="4">
        <v>424.229218</v>
      </c>
      <c r="BA4" s="4">
        <v>420.17394999999999</v>
      </c>
      <c r="BB4" s="4">
        <v>416.98718300000002</v>
      </c>
      <c r="BD4" s="3" t="s">
        <v>12</v>
      </c>
      <c r="BE4" s="4">
        <v>405.06506300000001</v>
      </c>
      <c r="BF4" s="4">
        <v>404.57049599999999</v>
      </c>
      <c r="BG4" s="4">
        <v>405.9375</v>
      </c>
    </row>
    <row r="5" spans="1:59" x14ac:dyDescent="0.3">
      <c r="A5" s="3" t="s">
        <v>14</v>
      </c>
      <c r="B5" s="4">
        <v>359.89016700000002</v>
      </c>
      <c r="C5" s="4">
        <v>365.81158399999998</v>
      </c>
      <c r="D5" s="4">
        <v>368.59149200000002</v>
      </c>
      <c r="I5" s="3" t="s">
        <v>14</v>
      </c>
      <c r="J5" s="4">
        <v>335.153503</v>
      </c>
      <c r="K5" s="4">
        <v>337.63259900000003</v>
      </c>
      <c r="L5" s="4">
        <v>338.09899899999999</v>
      </c>
      <c r="M5" s="12"/>
      <c r="O5" s="3" t="s">
        <v>14</v>
      </c>
      <c r="P5" s="4">
        <v>380.14367700000003</v>
      </c>
      <c r="Q5" s="4">
        <v>368.59149200000002</v>
      </c>
      <c r="R5" s="4">
        <v>370.78454599999998</v>
      </c>
      <c r="U5" s="3" t="s">
        <v>14</v>
      </c>
      <c r="V5" s="4">
        <v>335.08850100000001</v>
      </c>
      <c r="W5" s="4">
        <v>335.11968999999999</v>
      </c>
      <c r="X5" s="4">
        <v>344.15121499999998</v>
      </c>
      <c r="AO5" s="3" t="s">
        <v>14</v>
      </c>
      <c r="AP5" s="4">
        <v>359.89016700000002</v>
      </c>
      <c r="AQ5" s="4">
        <v>380.14367700000003</v>
      </c>
      <c r="AR5" s="4">
        <v>368.59149200000002</v>
      </c>
      <c r="AT5" s="3" t="s">
        <v>14</v>
      </c>
      <c r="AU5" s="4">
        <v>335.153503</v>
      </c>
      <c r="AV5" s="4">
        <v>335.08850100000001</v>
      </c>
      <c r="AW5" s="4">
        <v>335.11968999999999</v>
      </c>
      <c r="AY5" s="3" t="s">
        <v>14</v>
      </c>
      <c r="AZ5" s="4">
        <v>365.81158399999998</v>
      </c>
      <c r="BA5" s="4">
        <v>380.14367700000003</v>
      </c>
      <c r="BB5" s="4">
        <v>368.59149200000002</v>
      </c>
      <c r="BD5" s="3" t="s">
        <v>14</v>
      </c>
      <c r="BE5" s="4">
        <v>337.63259900000003</v>
      </c>
      <c r="BF5" s="4">
        <v>335.08850100000001</v>
      </c>
      <c r="BG5" s="4">
        <v>335.11968999999999</v>
      </c>
    </row>
    <row r="6" spans="1:59" x14ac:dyDescent="0.3">
      <c r="A6" s="3" t="s">
        <v>16</v>
      </c>
      <c r="B6" s="4">
        <v>386.27529900000002</v>
      </c>
      <c r="C6" s="4">
        <v>395.05444299999999</v>
      </c>
      <c r="D6" s="4">
        <v>401.51928700000002</v>
      </c>
      <c r="I6" s="3" t="s">
        <v>16</v>
      </c>
      <c r="J6" s="4">
        <v>368.649719</v>
      </c>
      <c r="K6" s="4">
        <v>370.94268799999998</v>
      </c>
      <c r="L6" s="4">
        <v>398.96127300000001</v>
      </c>
      <c r="M6" s="12"/>
      <c r="O6" s="3" t="s">
        <v>16</v>
      </c>
      <c r="P6" s="4">
        <v>402.66372699999999</v>
      </c>
      <c r="Q6" s="4">
        <v>391.01776100000001</v>
      </c>
      <c r="R6" s="4">
        <v>409.18640099999999</v>
      </c>
      <c r="U6" s="3" t="s">
        <v>16</v>
      </c>
      <c r="V6" s="4">
        <v>373.07678199999998</v>
      </c>
      <c r="W6" s="4">
        <v>371.38262900000001</v>
      </c>
      <c r="X6" s="4">
        <v>383.53454599999998</v>
      </c>
      <c r="AO6" s="3" t="s">
        <v>16</v>
      </c>
      <c r="AP6" s="4">
        <v>386.27529900000002</v>
      </c>
      <c r="AQ6" s="4">
        <v>402.66372699999999</v>
      </c>
      <c r="AR6" s="4">
        <v>391.01776100000001</v>
      </c>
      <c r="AT6" s="3" t="s">
        <v>16</v>
      </c>
      <c r="AU6" s="4">
        <v>368.649719</v>
      </c>
      <c r="AV6" s="4">
        <v>373.07678199999998</v>
      </c>
      <c r="AW6" s="4">
        <v>371.38262900000001</v>
      </c>
      <c r="AY6" s="3" t="s">
        <v>16</v>
      </c>
      <c r="AZ6" s="4">
        <v>395.05444299999999</v>
      </c>
      <c r="BA6" s="4">
        <v>402.66372699999999</v>
      </c>
      <c r="BB6" s="4">
        <v>391.01776100000001</v>
      </c>
      <c r="BD6" s="3" t="s">
        <v>16</v>
      </c>
      <c r="BE6" s="4">
        <v>370.94268799999998</v>
      </c>
      <c r="BF6" s="4">
        <v>373.07678199999998</v>
      </c>
      <c r="BG6" s="4">
        <v>371.38262900000001</v>
      </c>
    </row>
    <row r="7" spans="1:59" x14ac:dyDescent="0.3">
      <c r="A7" s="3" t="s">
        <v>18</v>
      </c>
      <c r="B7" s="4">
        <v>341.47854599999999</v>
      </c>
      <c r="C7" s="4">
        <v>341.22711199999998</v>
      </c>
      <c r="D7" s="4">
        <v>359.961792</v>
      </c>
      <c r="I7" s="3" t="s">
        <v>18</v>
      </c>
      <c r="J7" s="4">
        <v>318.64178500000003</v>
      </c>
      <c r="K7" s="4">
        <v>318.96472199999999</v>
      </c>
      <c r="L7" s="4">
        <v>322.78381300000001</v>
      </c>
      <c r="M7" s="12"/>
      <c r="O7" s="3" t="s">
        <v>18</v>
      </c>
      <c r="P7" s="4">
        <v>352.53537</v>
      </c>
      <c r="Q7" s="4">
        <v>341.47854599999999</v>
      </c>
      <c r="R7" s="4">
        <v>356.35272200000003</v>
      </c>
      <c r="U7" s="3" t="s">
        <v>18</v>
      </c>
      <c r="V7" s="4">
        <v>322.222443</v>
      </c>
      <c r="W7" s="4">
        <v>318.96472199999999</v>
      </c>
      <c r="X7" s="4">
        <v>328.93576000000002</v>
      </c>
      <c r="AO7" s="3" t="s">
        <v>18</v>
      </c>
      <c r="AP7" s="4">
        <v>341.47854599999999</v>
      </c>
      <c r="AQ7" s="4">
        <v>352.53537</v>
      </c>
      <c r="AR7" s="4">
        <v>341.47854599999999</v>
      </c>
      <c r="AT7" s="3" t="s">
        <v>18</v>
      </c>
      <c r="AU7" s="4">
        <v>318.64178500000003</v>
      </c>
      <c r="AV7" s="4">
        <v>322.222443</v>
      </c>
      <c r="AW7" s="4">
        <v>318.96472199999999</v>
      </c>
      <c r="AY7" s="3" t="s">
        <v>18</v>
      </c>
      <c r="AZ7" s="4">
        <v>341.22711199999998</v>
      </c>
      <c r="BA7" s="4">
        <v>352.53537</v>
      </c>
      <c r="BB7" s="4">
        <v>341.47854599999999</v>
      </c>
      <c r="BD7" s="3" t="s">
        <v>18</v>
      </c>
      <c r="BE7" s="4">
        <v>318.96472199999999</v>
      </c>
      <c r="BF7" s="4">
        <v>322.222443</v>
      </c>
      <c r="BG7" s="4">
        <v>318.96472199999999</v>
      </c>
    </row>
    <row r="8" spans="1:59" x14ac:dyDescent="0.3">
      <c r="A8" s="3" t="s">
        <v>20</v>
      </c>
      <c r="B8" s="4">
        <v>400.13763399999999</v>
      </c>
      <c r="C8" s="4">
        <v>408.41876200000002</v>
      </c>
      <c r="D8" s="4">
        <v>411.12417599999998</v>
      </c>
      <c r="I8" s="3" t="s">
        <v>20</v>
      </c>
      <c r="J8" s="4">
        <v>384.309845</v>
      </c>
      <c r="K8" s="4">
        <v>384.07998700000002</v>
      </c>
      <c r="L8" s="4">
        <v>385.83401500000002</v>
      </c>
      <c r="M8" s="12"/>
      <c r="O8" s="3" t="s">
        <v>20</v>
      </c>
      <c r="P8" s="4">
        <v>406.91073599999999</v>
      </c>
      <c r="Q8" s="4">
        <v>409.17193600000002</v>
      </c>
      <c r="R8" s="4">
        <v>415.0401</v>
      </c>
      <c r="U8" s="3" t="s">
        <v>20</v>
      </c>
      <c r="V8" s="4">
        <v>384.83270299999998</v>
      </c>
      <c r="W8" s="4">
        <v>385.72714200000001</v>
      </c>
      <c r="X8" s="4">
        <v>383.946594</v>
      </c>
      <c r="AO8" s="3" t="s">
        <v>20</v>
      </c>
      <c r="AP8" s="4">
        <v>400.13763399999999</v>
      </c>
      <c r="AQ8" s="4">
        <v>406.91073599999999</v>
      </c>
      <c r="AR8" s="4">
        <v>409.17193600000002</v>
      </c>
      <c r="AT8" s="3" t="s">
        <v>20</v>
      </c>
      <c r="AU8" s="4">
        <v>384.309845</v>
      </c>
      <c r="AV8" s="4">
        <v>384.83270299999998</v>
      </c>
      <c r="AW8" s="4">
        <v>385.72714200000001</v>
      </c>
      <c r="AY8" s="3" t="s">
        <v>20</v>
      </c>
      <c r="AZ8" s="4">
        <v>408.41876200000002</v>
      </c>
      <c r="BA8" s="4">
        <v>406.91073599999999</v>
      </c>
      <c r="BB8" s="4">
        <v>409.17193600000002</v>
      </c>
      <c r="BD8" s="3" t="s">
        <v>20</v>
      </c>
      <c r="BE8" s="4">
        <v>384.07998700000002</v>
      </c>
      <c r="BF8" s="4">
        <v>384.83270299999998</v>
      </c>
      <c r="BG8" s="4">
        <v>385.72714200000001</v>
      </c>
    </row>
    <row r="9" spans="1:59" x14ac:dyDescent="0.3">
      <c r="A9" s="3" t="s">
        <v>22</v>
      </c>
      <c r="B9" s="4">
        <v>380.04760700000003</v>
      </c>
      <c r="C9" s="4">
        <v>382.210846</v>
      </c>
      <c r="D9" s="4">
        <v>391.49529999999999</v>
      </c>
      <c r="I9" s="3" t="s">
        <v>22</v>
      </c>
      <c r="J9" s="4">
        <v>354.80401599999999</v>
      </c>
      <c r="K9" s="4">
        <v>354.81280500000003</v>
      </c>
      <c r="L9" s="4">
        <v>367.10611</v>
      </c>
      <c r="M9" s="12"/>
      <c r="O9" s="3" t="s">
        <v>22</v>
      </c>
      <c r="P9" s="4">
        <v>395.028076</v>
      </c>
      <c r="Q9" s="4">
        <v>382.39572099999998</v>
      </c>
      <c r="R9" s="4">
        <v>391.62503099999998</v>
      </c>
      <c r="U9" s="3" t="s">
        <v>22</v>
      </c>
      <c r="V9" s="4">
        <v>369.19976800000001</v>
      </c>
      <c r="W9" s="4">
        <v>355.66607699999997</v>
      </c>
      <c r="X9" s="4">
        <v>370.73803700000002</v>
      </c>
      <c r="AO9" s="3" t="s">
        <v>22</v>
      </c>
      <c r="AP9" s="4">
        <v>380.04760700000003</v>
      </c>
      <c r="AQ9" s="4">
        <v>395.028076</v>
      </c>
      <c r="AR9" s="4">
        <v>382.39572099999998</v>
      </c>
      <c r="AT9" s="3" t="s">
        <v>22</v>
      </c>
      <c r="AU9" s="4">
        <v>354.80401599999999</v>
      </c>
      <c r="AV9" s="4">
        <v>369.19976800000001</v>
      </c>
      <c r="AW9" s="4">
        <v>355.66607699999997</v>
      </c>
      <c r="AY9" s="3" t="s">
        <v>22</v>
      </c>
      <c r="AZ9" s="4">
        <v>382.210846</v>
      </c>
      <c r="BA9" s="4">
        <v>395.028076</v>
      </c>
      <c r="BB9" s="4">
        <v>382.39572099999998</v>
      </c>
      <c r="BD9" s="3" t="s">
        <v>22</v>
      </c>
      <c r="BE9" s="4">
        <v>354.81280500000003</v>
      </c>
      <c r="BF9" s="4">
        <v>369.19976800000001</v>
      </c>
      <c r="BG9" s="4">
        <v>355.66607699999997</v>
      </c>
    </row>
    <row r="10" spans="1:59" x14ac:dyDescent="0.3">
      <c r="A10" s="3" t="s">
        <v>24</v>
      </c>
      <c r="B10" s="4">
        <v>428.24426299999999</v>
      </c>
      <c r="C10" s="4">
        <v>458.79028299999999</v>
      </c>
      <c r="D10" s="4">
        <v>498.953033</v>
      </c>
      <c r="I10" s="3" t="s">
        <v>24</v>
      </c>
      <c r="J10" s="4">
        <v>413.58767699999999</v>
      </c>
      <c r="K10" s="4">
        <v>413.71029700000003</v>
      </c>
      <c r="L10" s="4">
        <v>433.86465500000003</v>
      </c>
      <c r="M10" s="12"/>
      <c r="O10" s="3" t="s">
        <v>24</v>
      </c>
      <c r="P10" s="4">
        <v>455.05792200000002</v>
      </c>
      <c r="Q10" s="4">
        <v>458.95529199999999</v>
      </c>
      <c r="R10" s="4">
        <v>488.72198500000002</v>
      </c>
      <c r="U10" s="3" t="s">
        <v>24</v>
      </c>
      <c r="V10" s="4">
        <v>420.171967</v>
      </c>
      <c r="W10" s="4">
        <v>413.96798699999999</v>
      </c>
      <c r="X10" s="4">
        <v>424.39956699999999</v>
      </c>
      <c r="AO10" s="3" t="s">
        <v>24</v>
      </c>
      <c r="AP10" s="4">
        <v>428.24426299999999</v>
      </c>
      <c r="AQ10" s="4">
        <v>455.05792200000002</v>
      </c>
      <c r="AR10" s="4">
        <v>458.95529199999999</v>
      </c>
      <c r="AT10" s="3" t="s">
        <v>24</v>
      </c>
      <c r="AU10" s="4">
        <v>413.58767699999999</v>
      </c>
      <c r="AV10" s="4">
        <v>420.171967</v>
      </c>
      <c r="AW10" s="4">
        <v>413.96798699999999</v>
      </c>
      <c r="AY10" s="3" t="s">
        <v>24</v>
      </c>
      <c r="AZ10" s="4">
        <v>458.79028299999999</v>
      </c>
      <c r="BA10" s="4">
        <v>455.05792200000002</v>
      </c>
      <c r="BB10" s="4">
        <v>458.95529199999999</v>
      </c>
      <c r="BD10" s="3" t="s">
        <v>24</v>
      </c>
      <c r="BE10" s="4">
        <v>413.71029700000003</v>
      </c>
      <c r="BF10" s="4">
        <v>420.171967</v>
      </c>
      <c r="BG10" s="4">
        <v>413.96798699999999</v>
      </c>
    </row>
    <row r="11" spans="1:59" x14ac:dyDescent="0.3">
      <c r="A11" s="3" t="s">
        <v>26</v>
      </c>
      <c r="B11" s="4">
        <v>411.07409699999999</v>
      </c>
      <c r="C11" s="4">
        <v>413.77310199999999</v>
      </c>
      <c r="D11" s="4">
        <v>418.77362099999999</v>
      </c>
      <c r="I11" s="3" t="s">
        <v>26</v>
      </c>
      <c r="J11" s="4">
        <v>387.96127300000001</v>
      </c>
      <c r="K11" s="4">
        <v>395.448486</v>
      </c>
      <c r="L11" s="4">
        <v>397.89511099999999</v>
      </c>
      <c r="M11" s="12"/>
      <c r="O11" s="3" t="s">
        <v>26</v>
      </c>
      <c r="P11" s="4">
        <v>411.375427</v>
      </c>
      <c r="Q11" s="4">
        <v>418.25576799999999</v>
      </c>
      <c r="R11" s="4">
        <v>427.01058999999998</v>
      </c>
      <c r="U11" s="3" t="s">
        <v>26</v>
      </c>
      <c r="V11" s="4">
        <v>395.56634500000001</v>
      </c>
      <c r="W11" s="4">
        <v>395.05450400000001</v>
      </c>
      <c r="X11" s="4">
        <v>397.24148600000001</v>
      </c>
      <c r="AO11" s="3" t="s">
        <v>26</v>
      </c>
      <c r="AP11" s="4">
        <v>411.07409699999999</v>
      </c>
      <c r="AQ11" s="4">
        <v>411.375427</v>
      </c>
      <c r="AR11" s="4">
        <v>418.25576799999999</v>
      </c>
      <c r="AT11" s="3" t="s">
        <v>26</v>
      </c>
      <c r="AU11" s="4">
        <v>387.96127300000001</v>
      </c>
      <c r="AV11" s="4">
        <v>395.56634500000001</v>
      </c>
      <c r="AW11" s="4">
        <v>395.05450400000001</v>
      </c>
      <c r="AY11" s="3" t="s">
        <v>26</v>
      </c>
      <c r="AZ11" s="4">
        <v>413.77310199999999</v>
      </c>
      <c r="BA11" s="4">
        <v>411.375427</v>
      </c>
      <c r="BB11" s="4">
        <v>418.25576799999999</v>
      </c>
      <c r="BD11" s="3" t="s">
        <v>26</v>
      </c>
      <c r="BE11" s="4">
        <v>395.448486</v>
      </c>
      <c r="BF11" s="4">
        <v>395.56634500000001</v>
      </c>
      <c r="BG11" s="4">
        <v>395.05450400000001</v>
      </c>
    </row>
    <row r="12" spans="1:59" x14ac:dyDescent="0.3">
      <c r="A12" s="3" t="s">
        <v>28</v>
      </c>
      <c r="B12" s="4">
        <v>338.95556599999998</v>
      </c>
      <c r="C12" s="4">
        <v>342.79367100000002</v>
      </c>
      <c r="D12" s="4">
        <v>376.05883799999998</v>
      </c>
      <c r="I12" s="3" t="s">
        <v>28</v>
      </c>
      <c r="J12" s="4">
        <v>311.57052599999997</v>
      </c>
      <c r="K12" s="4">
        <v>311.57052599999997</v>
      </c>
      <c r="L12" s="4">
        <v>339.77645899999999</v>
      </c>
      <c r="M12" s="12"/>
      <c r="O12" s="3" t="s">
        <v>28</v>
      </c>
      <c r="P12" s="4">
        <v>362.07800300000002</v>
      </c>
      <c r="Q12" s="4">
        <v>342.79367100000002</v>
      </c>
      <c r="R12" s="4">
        <v>361.857147</v>
      </c>
      <c r="U12" s="3" t="s">
        <v>28</v>
      </c>
      <c r="V12" s="4">
        <v>311.57052599999997</v>
      </c>
      <c r="W12" s="4">
        <v>311.57052599999997</v>
      </c>
      <c r="X12" s="4">
        <v>342.702271</v>
      </c>
      <c r="AO12" s="3" t="s">
        <v>28</v>
      </c>
      <c r="AP12" s="4">
        <v>338.95556599999998</v>
      </c>
      <c r="AQ12" s="4">
        <v>362.07800300000002</v>
      </c>
      <c r="AR12" s="4">
        <v>342.79367100000002</v>
      </c>
      <c r="AT12" s="3" t="s">
        <v>28</v>
      </c>
      <c r="AU12" s="4">
        <v>311.57052599999997</v>
      </c>
      <c r="AV12" s="4">
        <v>311.57052599999997</v>
      </c>
      <c r="AW12" s="4">
        <v>311.57052599999997</v>
      </c>
      <c r="AY12" s="3" t="s">
        <v>28</v>
      </c>
      <c r="AZ12" s="4">
        <v>342.79367100000002</v>
      </c>
      <c r="BA12" s="4">
        <v>362.07800300000002</v>
      </c>
      <c r="BB12" s="4">
        <v>342.79367100000002</v>
      </c>
      <c r="BD12" s="3" t="s">
        <v>28</v>
      </c>
      <c r="BE12" s="4">
        <v>311.57052599999997</v>
      </c>
      <c r="BF12" s="4">
        <v>311.57052599999997</v>
      </c>
      <c r="BG12" s="4">
        <v>311.57052599999997</v>
      </c>
    </row>
    <row r="13" spans="1:59" x14ac:dyDescent="0.3">
      <c r="A13" s="3" t="s">
        <v>30</v>
      </c>
      <c r="B13" s="4">
        <v>485.22625699999998</v>
      </c>
      <c r="C13" s="4">
        <v>513.706909</v>
      </c>
      <c r="D13" s="4">
        <v>571.85943599999996</v>
      </c>
      <c r="I13" s="3" t="s">
        <v>30</v>
      </c>
      <c r="J13" s="4">
        <v>463.24887100000001</v>
      </c>
      <c r="K13" s="4">
        <v>506.281158</v>
      </c>
      <c r="L13" s="4">
        <v>524.67742899999996</v>
      </c>
      <c r="M13" s="12"/>
      <c r="O13" s="3" t="s">
        <v>30</v>
      </c>
      <c r="P13" s="4">
        <v>521.64813200000003</v>
      </c>
      <c r="Q13" s="4">
        <v>534.48339799999997</v>
      </c>
      <c r="R13" s="4">
        <v>600.22570800000005</v>
      </c>
      <c r="U13" s="3" t="s">
        <v>30</v>
      </c>
      <c r="V13" s="4">
        <v>482.65521200000001</v>
      </c>
      <c r="W13" s="4">
        <v>520.83978300000001</v>
      </c>
      <c r="X13" s="4">
        <v>554.20727499999998</v>
      </c>
      <c r="AO13" s="3" t="s">
        <v>30</v>
      </c>
      <c r="AP13" s="4">
        <v>485.22625699999998</v>
      </c>
      <c r="AQ13" s="4">
        <v>521.64813200000003</v>
      </c>
      <c r="AR13" s="4">
        <v>534.48339799999997</v>
      </c>
      <c r="AT13" s="3" t="s">
        <v>30</v>
      </c>
      <c r="AU13" s="4">
        <v>463.24887100000001</v>
      </c>
      <c r="AV13" s="4">
        <v>482.65521200000001</v>
      </c>
      <c r="AW13" s="4">
        <v>520.83978300000001</v>
      </c>
      <c r="AY13" s="3" t="s">
        <v>30</v>
      </c>
      <c r="AZ13" s="4">
        <v>513.706909</v>
      </c>
      <c r="BA13" s="4">
        <v>521.64813200000003</v>
      </c>
      <c r="BB13" s="4">
        <v>534.48339799999997</v>
      </c>
      <c r="BD13" s="3" t="s">
        <v>30</v>
      </c>
      <c r="BE13" s="4">
        <v>506.281158</v>
      </c>
      <c r="BF13" s="4">
        <v>482.65521200000001</v>
      </c>
      <c r="BG13" s="4">
        <v>520.83978300000001</v>
      </c>
    </row>
    <row r="14" spans="1:59" x14ac:dyDescent="0.3">
      <c r="A14" s="3" t="s">
        <v>32</v>
      </c>
      <c r="B14" s="4">
        <v>448.001282</v>
      </c>
      <c r="C14" s="4">
        <v>471.94580100000002</v>
      </c>
      <c r="D14" s="4">
        <v>471.94580100000002</v>
      </c>
      <c r="I14" s="3" t="s">
        <v>32</v>
      </c>
      <c r="J14" s="4">
        <v>425.74417099999999</v>
      </c>
      <c r="K14" s="4">
        <v>435.57107500000001</v>
      </c>
      <c r="L14" s="4">
        <v>435.87612899999999</v>
      </c>
      <c r="M14" s="12"/>
      <c r="O14" s="3" t="s">
        <v>32</v>
      </c>
      <c r="P14" s="4">
        <v>477.65963699999998</v>
      </c>
      <c r="Q14" s="4">
        <v>472.11209100000002</v>
      </c>
      <c r="R14" s="4">
        <v>471.94580100000002</v>
      </c>
      <c r="U14" s="3" t="s">
        <v>32</v>
      </c>
      <c r="V14" s="4">
        <v>435.87612899999999</v>
      </c>
      <c r="W14" s="4">
        <v>435.57107500000001</v>
      </c>
      <c r="X14" s="4">
        <v>435.57107500000001</v>
      </c>
      <c r="AO14" s="3" t="s">
        <v>32</v>
      </c>
      <c r="AP14" s="4">
        <v>448.001282</v>
      </c>
      <c r="AQ14" s="4">
        <v>477.65963699999998</v>
      </c>
      <c r="AR14" s="4">
        <v>472.11209100000002</v>
      </c>
      <c r="AT14" s="3" t="s">
        <v>32</v>
      </c>
      <c r="AU14" s="4">
        <v>425.74417099999999</v>
      </c>
      <c r="AV14" s="4">
        <v>435.87612899999999</v>
      </c>
      <c r="AW14" s="4">
        <v>435.57107500000001</v>
      </c>
      <c r="AY14" s="3" t="s">
        <v>32</v>
      </c>
      <c r="AZ14" s="4">
        <v>471.94580100000002</v>
      </c>
      <c r="BA14" s="4">
        <v>477.65963699999998</v>
      </c>
      <c r="BB14" s="4">
        <v>472.11209100000002</v>
      </c>
      <c r="BD14" s="3" t="s">
        <v>32</v>
      </c>
      <c r="BE14" s="4">
        <v>435.57107500000001</v>
      </c>
      <c r="BF14" s="4">
        <v>435.87612899999999</v>
      </c>
      <c r="BG14" s="4">
        <v>435.57107500000001</v>
      </c>
    </row>
    <row r="15" spans="1:59" x14ac:dyDescent="0.3">
      <c r="A15" s="3" t="s">
        <v>34</v>
      </c>
      <c r="B15" s="4">
        <v>402.28042599999998</v>
      </c>
      <c r="C15" s="4">
        <v>409.16146900000001</v>
      </c>
      <c r="D15" s="4">
        <v>463.67385899999999</v>
      </c>
      <c r="I15" s="3" t="s">
        <v>34</v>
      </c>
      <c r="J15" s="4">
        <v>393.565247</v>
      </c>
      <c r="K15" s="4">
        <v>393.565247</v>
      </c>
      <c r="L15" s="4">
        <v>460.62802099999999</v>
      </c>
      <c r="M15" s="12"/>
      <c r="O15" s="3" t="s">
        <v>34</v>
      </c>
      <c r="P15" s="4">
        <v>409.90408300000001</v>
      </c>
      <c r="Q15" s="4">
        <v>406.68914799999999</v>
      </c>
      <c r="R15" s="4">
        <v>457.025757</v>
      </c>
      <c r="U15" s="3" t="s">
        <v>34</v>
      </c>
      <c r="V15" s="4">
        <v>400.70556599999998</v>
      </c>
      <c r="W15" s="4">
        <v>393.74404900000002</v>
      </c>
      <c r="X15" s="4">
        <v>443.97247299999998</v>
      </c>
      <c r="AO15" s="3" t="s">
        <v>34</v>
      </c>
      <c r="AP15" s="4">
        <v>402.28042599999998</v>
      </c>
      <c r="AQ15" s="4">
        <v>409.90408300000001</v>
      </c>
      <c r="AR15" s="4">
        <v>406.68914799999999</v>
      </c>
      <c r="AT15" s="3" t="s">
        <v>34</v>
      </c>
      <c r="AU15" s="4">
        <v>393.565247</v>
      </c>
      <c r="AV15" s="4">
        <v>400.70556599999998</v>
      </c>
      <c r="AW15" s="4">
        <v>393.74404900000002</v>
      </c>
      <c r="AY15" s="3" t="s">
        <v>34</v>
      </c>
      <c r="AZ15" s="4">
        <v>409.16146900000001</v>
      </c>
      <c r="BA15" s="4">
        <v>409.90408300000001</v>
      </c>
      <c r="BB15" s="4">
        <v>406.68914799999999</v>
      </c>
      <c r="BD15" s="3" t="s">
        <v>34</v>
      </c>
      <c r="BE15" s="4">
        <v>393.565247</v>
      </c>
      <c r="BF15" s="4">
        <v>400.70556599999998</v>
      </c>
      <c r="BG15" s="4">
        <v>393.74404900000002</v>
      </c>
    </row>
    <row r="16" spans="1:59" x14ac:dyDescent="0.3">
      <c r="A16" s="3" t="s">
        <v>36</v>
      </c>
      <c r="B16" s="4">
        <v>474.96545400000002</v>
      </c>
      <c r="C16" s="4">
        <v>510.84286500000002</v>
      </c>
      <c r="D16" s="4">
        <v>581.48138400000005</v>
      </c>
      <c r="I16" s="3" t="s">
        <v>36</v>
      </c>
      <c r="J16" s="4">
        <v>447.39724699999999</v>
      </c>
      <c r="K16" s="4">
        <v>471.080963</v>
      </c>
      <c r="L16" s="4">
        <v>471.11056500000001</v>
      </c>
      <c r="M16" s="12"/>
      <c r="O16" s="3" t="s">
        <v>36</v>
      </c>
      <c r="P16" s="4">
        <v>512.99560499999995</v>
      </c>
      <c r="Q16" s="4">
        <v>513.56585700000005</v>
      </c>
      <c r="R16" s="4">
        <v>517.63293499999997</v>
      </c>
      <c r="U16" s="3" t="s">
        <v>36</v>
      </c>
      <c r="V16" s="4">
        <v>474.88351399999999</v>
      </c>
      <c r="W16" s="4">
        <v>471.41369600000002</v>
      </c>
      <c r="X16" s="4">
        <v>482.05789199999998</v>
      </c>
      <c r="AO16" s="3" t="s">
        <v>36</v>
      </c>
      <c r="AP16" s="4">
        <v>474.96545400000002</v>
      </c>
      <c r="AQ16" s="4">
        <v>512.99560499999995</v>
      </c>
      <c r="AR16" s="4">
        <v>513.56585700000005</v>
      </c>
      <c r="AT16" s="3" t="s">
        <v>36</v>
      </c>
      <c r="AU16" s="4">
        <v>447.39724699999999</v>
      </c>
      <c r="AV16" s="4">
        <v>474.88351399999999</v>
      </c>
      <c r="AW16" s="4">
        <v>471.41369600000002</v>
      </c>
      <c r="AY16" s="3" t="s">
        <v>36</v>
      </c>
      <c r="AZ16" s="4">
        <v>510.84286500000002</v>
      </c>
      <c r="BA16" s="4">
        <v>512.99560499999995</v>
      </c>
      <c r="BB16" s="4">
        <v>513.56585700000005</v>
      </c>
      <c r="BD16" s="3" t="s">
        <v>36</v>
      </c>
      <c r="BE16" s="4">
        <v>471.080963</v>
      </c>
      <c r="BF16" s="4">
        <v>474.88351399999999</v>
      </c>
      <c r="BG16" s="4">
        <v>471.41369600000002</v>
      </c>
    </row>
    <row r="17" spans="1:59" x14ac:dyDescent="0.3">
      <c r="A17" s="3" t="s">
        <v>38</v>
      </c>
      <c r="B17" s="4">
        <v>434.000427</v>
      </c>
      <c r="C17" s="4">
        <v>463.072205</v>
      </c>
      <c r="D17" s="4">
        <v>471.74896200000001</v>
      </c>
      <c r="I17" s="3" t="s">
        <v>38</v>
      </c>
      <c r="J17" s="4">
        <v>420.77505500000001</v>
      </c>
      <c r="K17" s="4">
        <v>428.46099900000002</v>
      </c>
      <c r="L17" s="4">
        <v>457.28793300000001</v>
      </c>
      <c r="M17" s="12"/>
      <c r="O17" s="3" t="s">
        <v>38</v>
      </c>
      <c r="P17" s="4">
        <v>453.80145299999998</v>
      </c>
      <c r="Q17" s="4">
        <v>463.91763300000002</v>
      </c>
      <c r="R17" s="4">
        <v>484.65313700000002</v>
      </c>
      <c r="U17" s="3" t="s">
        <v>38</v>
      </c>
      <c r="V17" s="4">
        <v>421.45886200000001</v>
      </c>
      <c r="W17" s="4">
        <v>426.88357500000001</v>
      </c>
      <c r="X17" s="4">
        <v>436.86099200000001</v>
      </c>
      <c r="AO17" s="3" t="s">
        <v>38</v>
      </c>
      <c r="AP17" s="4">
        <v>434.000427</v>
      </c>
      <c r="AQ17" s="4">
        <v>453.80145299999998</v>
      </c>
      <c r="AR17" s="4">
        <v>463.91763300000002</v>
      </c>
      <c r="AT17" s="3" t="s">
        <v>38</v>
      </c>
      <c r="AU17" s="4">
        <v>420.77505500000001</v>
      </c>
      <c r="AV17" s="4">
        <v>421.45886200000001</v>
      </c>
      <c r="AW17" s="4">
        <v>426.88357500000001</v>
      </c>
      <c r="AY17" s="3" t="s">
        <v>38</v>
      </c>
      <c r="AZ17" s="4">
        <v>463.072205</v>
      </c>
      <c r="BA17" s="4">
        <v>453.80145299999998</v>
      </c>
      <c r="BB17" s="4">
        <v>463.91763300000002</v>
      </c>
      <c r="BD17" s="3" t="s">
        <v>38</v>
      </c>
      <c r="BE17" s="4">
        <v>428.46099900000002</v>
      </c>
      <c r="BF17" s="4">
        <v>421.45886200000001</v>
      </c>
      <c r="BG17" s="4">
        <v>426.88357500000001</v>
      </c>
    </row>
    <row r="18" spans="1:59" x14ac:dyDescent="0.3">
      <c r="A18" s="3" t="s">
        <v>40</v>
      </c>
      <c r="B18" s="4">
        <v>399.08822600000002</v>
      </c>
      <c r="C18" s="4">
        <v>401.01702899999998</v>
      </c>
      <c r="D18" s="4">
        <v>465.63330100000002</v>
      </c>
      <c r="I18" s="3" t="s">
        <v>40</v>
      </c>
      <c r="J18" s="4">
        <v>380.45025600000002</v>
      </c>
      <c r="K18" s="4">
        <v>380.45025600000002</v>
      </c>
      <c r="L18" s="4">
        <v>380.45025600000002</v>
      </c>
      <c r="M18" s="12"/>
      <c r="O18" s="3" t="s">
        <v>40</v>
      </c>
      <c r="P18" s="4">
        <v>402.50338699999998</v>
      </c>
      <c r="Q18" s="4">
        <v>401.75589000000002</v>
      </c>
      <c r="R18" s="4">
        <v>401.75589000000002</v>
      </c>
      <c r="U18" s="3" t="s">
        <v>40</v>
      </c>
      <c r="V18" s="4">
        <v>402.76248199999998</v>
      </c>
      <c r="W18" s="4">
        <v>380.45025600000002</v>
      </c>
      <c r="X18" s="4">
        <v>390.596497</v>
      </c>
      <c r="AO18" s="3" t="s">
        <v>40</v>
      </c>
      <c r="AP18" s="4">
        <v>399.08822600000002</v>
      </c>
      <c r="AQ18" s="4">
        <v>402.50338699999998</v>
      </c>
      <c r="AR18" s="4">
        <v>401.75589000000002</v>
      </c>
      <c r="AT18" s="3" t="s">
        <v>40</v>
      </c>
      <c r="AU18" s="4">
        <v>380.45025600000002</v>
      </c>
      <c r="AV18" s="4">
        <v>402.76248199999998</v>
      </c>
      <c r="AW18" s="4">
        <v>380.45025600000002</v>
      </c>
      <c r="AY18" s="3" t="s">
        <v>40</v>
      </c>
      <c r="AZ18" s="4">
        <v>401.01702899999998</v>
      </c>
      <c r="BA18" s="4">
        <v>402.50338699999998</v>
      </c>
      <c r="BB18" s="4">
        <v>401.75589000000002</v>
      </c>
      <c r="BD18" s="3" t="s">
        <v>40</v>
      </c>
      <c r="BE18" s="4">
        <v>380.45025600000002</v>
      </c>
      <c r="BF18" s="4">
        <v>402.76248199999998</v>
      </c>
      <c r="BG18" s="4">
        <v>380.45025600000002</v>
      </c>
    </row>
    <row r="19" spans="1:59" x14ac:dyDescent="0.3">
      <c r="A19" s="3" t="s">
        <v>42</v>
      </c>
      <c r="B19" s="4">
        <v>412.92742900000002</v>
      </c>
      <c r="C19" s="4">
        <v>423.66629</v>
      </c>
      <c r="D19" s="4">
        <v>471.45211799999998</v>
      </c>
      <c r="I19" s="3" t="s">
        <v>42</v>
      </c>
      <c r="J19" s="4">
        <v>400.96005200000002</v>
      </c>
      <c r="K19" s="4">
        <v>400.96005200000002</v>
      </c>
      <c r="L19" s="4">
        <v>408.54623400000003</v>
      </c>
      <c r="M19" s="12"/>
      <c r="O19" s="3" t="s">
        <v>42</v>
      </c>
      <c r="P19" s="4">
        <v>446.789581</v>
      </c>
      <c r="Q19" s="4">
        <v>429.97448700000001</v>
      </c>
      <c r="R19" s="4">
        <v>425.89080799999999</v>
      </c>
      <c r="U19" s="3" t="s">
        <v>42</v>
      </c>
      <c r="V19" s="4">
        <v>413.26559400000002</v>
      </c>
      <c r="W19" s="4">
        <v>406.75604199999998</v>
      </c>
      <c r="X19" s="4">
        <v>455.65957600000002</v>
      </c>
      <c r="AO19" s="3" t="s">
        <v>42</v>
      </c>
      <c r="AP19" s="4">
        <v>412.92742900000002</v>
      </c>
      <c r="AQ19" s="4">
        <v>446.789581</v>
      </c>
      <c r="AR19" s="4">
        <v>429.97448700000001</v>
      </c>
      <c r="AT19" s="3" t="s">
        <v>42</v>
      </c>
      <c r="AU19" s="4">
        <v>400.96005200000002</v>
      </c>
      <c r="AV19" s="4">
        <v>413.26559400000002</v>
      </c>
      <c r="AW19" s="4">
        <v>406.75604199999998</v>
      </c>
      <c r="AY19" s="3" t="s">
        <v>42</v>
      </c>
      <c r="AZ19" s="4">
        <v>423.66629</v>
      </c>
      <c r="BA19" s="4">
        <v>446.789581</v>
      </c>
      <c r="BB19" s="4">
        <v>429.97448700000001</v>
      </c>
      <c r="BD19" s="3" t="s">
        <v>42</v>
      </c>
      <c r="BE19" s="4">
        <v>400.96005200000002</v>
      </c>
      <c r="BF19" s="4">
        <v>413.26559400000002</v>
      </c>
      <c r="BG19" s="4">
        <v>406.75604199999998</v>
      </c>
    </row>
    <row r="20" spans="1:59" x14ac:dyDescent="0.3">
      <c r="A20" s="3" t="s">
        <v>44</v>
      </c>
      <c r="B20" s="4">
        <v>478.829407</v>
      </c>
      <c r="C20" s="4">
        <v>489.51110799999998</v>
      </c>
      <c r="D20" s="4">
        <v>530.40942399999994</v>
      </c>
      <c r="I20" s="3" t="s">
        <v>44</v>
      </c>
      <c r="J20" s="4">
        <v>448.69964599999997</v>
      </c>
      <c r="K20" s="4">
        <v>467.14679000000001</v>
      </c>
      <c r="L20" s="4">
        <v>548.02740500000004</v>
      </c>
      <c r="M20" s="12"/>
      <c r="O20" s="3" t="s">
        <v>44</v>
      </c>
      <c r="P20" s="4">
        <v>504.01199300000002</v>
      </c>
      <c r="Q20" s="4">
        <v>513.58538799999997</v>
      </c>
      <c r="R20" s="4">
        <v>576.68469200000004</v>
      </c>
      <c r="U20" s="3" t="s">
        <v>44</v>
      </c>
      <c r="V20" s="4">
        <v>479.04007000000001</v>
      </c>
      <c r="W20" s="4">
        <v>468.00335699999999</v>
      </c>
      <c r="X20" s="4">
        <v>527.30468800000006</v>
      </c>
      <c r="AO20" s="3" t="s">
        <v>44</v>
      </c>
      <c r="AP20" s="4">
        <v>478.829407</v>
      </c>
      <c r="AQ20" s="4">
        <v>504.01199300000002</v>
      </c>
      <c r="AR20" s="4">
        <v>513.58538799999997</v>
      </c>
      <c r="AT20" s="3" t="s">
        <v>44</v>
      </c>
      <c r="AU20" s="4">
        <v>448.69964599999997</v>
      </c>
      <c r="AV20" s="4">
        <v>479.04007000000001</v>
      </c>
      <c r="AW20" s="4">
        <v>468.00335699999999</v>
      </c>
      <c r="AY20" s="3" t="s">
        <v>44</v>
      </c>
      <c r="AZ20" s="4">
        <v>489.51110799999998</v>
      </c>
      <c r="BA20" s="4">
        <v>504.01199300000002</v>
      </c>
      <c r="BB20" s="4">
        <v>513.58538799999997</v>
      </c>
      <c r="BD20" s="3" t="s">
        <v>44</v>
      </c>
      <c r="BE20" s="4">
        <v>467.14679000000001</v>
      </c>
      <c r="BF20" s="4">
        <v>479.04007000000001</v>
      </c>
      <c r="BG20" s="4">
        <v>468.00335699999999</v>
      </c>
    </row>
    <row r="21" spans="1:59" x14ac:dyDescent="0.3">
      <c r="A21" s="3" t="s">
        <v>46</v>
      </c>
      <c r="B21" s="4">
        <v>448.97653200000002</v>
      </c>
      <c r="C21" s="4">
        <v>487.48046900000003</v>
      </c>
      <c r="D21" s="4">
        <v>530.06219499999997</v>
      </c>
      <c r="I21" s="3" t="s">
        <v>46</v>
      </c>
      <c r="J21" s="4">
        <v>431.74707000000001</v>
      </c>
      <c r="K21" s="4">
        <v>465.89205900000002</v>
      </c>
      <c r="L21" s="4">
        <v>473.81469700000002</v>
      </c>
      <c r="M21" s="12"/>
      <c r="O21" s="3" t="s">
        <v>46</v>
      </c>
      <c r="P21" s="4">
        <v>487.48046900000003</v>
      </c>
      <c r="Q21" s="4">
        <v>481.86673000000002</v>
      </c>
      <c r="R21" s="4">
        <v>488.446686</v>
      </c>
      <c r="U21" s="3" t="s">
        <v>46</v>
      </c>
      <c r="V21" s="4">
        <v>478.87951700000002</v>
      </c>
      <c r="W21" s="4">
        <v>452.96508799999998</v>
      </c>
      <c r="X21" s="4">
        <v>514.63207999999997</v>
      </c>
      <c r="AO21" s="3" t="s">
        <v>46</v>
      </c>
      <c r="AP21" s="4">
        <v>448.97653200000002</v>
      </c>
      <c r="AQ21" s="4">
        <v>487.48046900000003</v>
      </c>
      <c r="AR21" s="4">
        <v>481.86673000000002</v>
      </c>
      <c r="AT21" s="3" t="s">
        <v>46</v>
      </c>
      <c r="AU21" s="4">
        <v>431.74707000000001</v>
      </c>
      <c r="AV21" s="4">
        <v>478.87951700000002</v>
      </c>
      <c r="AW21" s="4">
        <v>452.96508799999998</v>
      </c>
      <c r="AY21" s="3" t="s">
        <v>46</v>
      </c>
      <c r="AZ21" s="4">
        <v>487.48046900000003</v>
      </c>
      <c r="BA21" s="4">
        <v>487.48046900000003</v>
      </c>
      <c r="BB21" s="4">
        <v>481.86673000000002</v>
      </c>
      <c r="BD21" s="3" t="s">
        <v>46</v>
      </c>
      <c r="BE21" s="4">
        <v>465.89205900000002</v>
      </c>
      <c r="BF21" s="4">
        <v>478.87951700000002</v>
      </c>
      <c r="BG21" s="4">
        <v>452.96508799999998</v>
      </c>
    </row>
    <row r="22" spans="1:59" x14ac:dyDescent="0.3">
      <c r="A22" s="3" t="s">
        <v>48</v>
      </c>
      <c r="B22" s="4">
        <v>425.08618200000001</v>
      </c>
      <c r="C22" s="4">
        <v>453.96725500000002</v>
      </c>
      <c r="D22" s="4">
        <v>514.61462400000005</v>
      </c>
      <c r="I22" s="3" t="s">
        <v>48</v>
      </c>
      <c r="J22" s="4">
        <v>421.140533</v>
      </c>
      <c r="K22" s="4">
        <v>423.08251999999999</v>
      </c>
      <c r="L22" s="4">
        <v>454.364441</v>
      </c>
      <c r="M22" s="12"/>
      <c r="O22" s="3" t="s">
        <v>48</v>
      </c>
      <c r="P22" s="4">
        <v>445.73538200000002</v>
      </c>
      <c r="Q22" s="4">
        <v>457.49856599999998</v>
      </c>
      <c r="R22" s="4">
        <v>502.27145400000001</v>
      </c>
      <c r="U22" s="3" t="s">
        <v>48</v>
      </c>
      <c r="V22" s="4">
        <v>438.57611100000003</v>
      </c>
      <c r="W22" s="4">
        <v>423.19674700000002</v>
      </c>
      <c r="X22" s="4">
        <v>473.30667099999999</v>
      </c>
      <c r="AO22" s="3" t="s">
        <v>48</v>
      </c>
      <c r="AP22" s="4">
        <v>425.08618200000001</v>
      </c>
      <c r="AQ22" s="4">
        <v>445.73538200000002</v>
      </c>
      <c r="AR22" s="4">
        <v>457.49856599999998</v>
      </c>
      <c r="AT22" s="3" t="s">
        <v>48</v>
      </c>
      <c r="AU22" s="4">
        <v>421.140533</v>
      </c>
      <c r="AV22" s="4">
        <v>438.57611100000003</v>
      </c>
      <c r="AW22" s="4">
        <v>423.19674700000002</v>
      </c>
      <c r="AY22" s="3" t="s">
        <v>48</v>
      </c>
      <c r="AZ22" s="4">
        <v>453.96725500000002</v>
      </c>
      <c r="BA22" s="4">
        <v>445.73538200000002</v>
      </c>
      <c r="BB22" s="4">
        <v>457.49856599999998</v>
      </c>
      <c r="BD22" s="3" t="s">
        <v>48</v>
      </c>
      <c r="BE22" s="4">
        <v>423.08251999999999</v>
      </c>
      <c r="BF22" s="4">
        <v>438.57611100000003</v>
      </c>
      <c r="BG22" s="4">
        <v>423.19674700000002</v>
      </c>
    </row>
    <row r="23" spans="1:59" x14ac:dyDescent="0.3">
      <c r="A23" s="3" t="s">
        <v>50</v>
      </c>
      <c r="B23" s="4">
        <v>424.86154199999999</v>
      </c>
      <c r="C23" s="4">
        <v>451.81829800000003</v>
      </c>
      <c r="D23" s="4">
        <v>461.79037499999998</v>
      </c>
      <c r="I23" s="3" t="s">
        <v>50</v>
      </c>
      <c r="J23" s="4">
        <v>421.97341899999998</v>
      </c>
      <c r="K23" s="4">
        <v>424.43267800000001</v>
      </c>
      <c r="L23" s="4">
        <v>485.73327599999999</v>
      </c>
      <c r="M23" s="12"/>
      <c r="O23" s="3" t="s">
        <v>50</v>
      </c>
      <c r="P23" s="4">
        <v>432.96380599999998</v>
      </c>
      <c r="Q23" s="4">
        <v>432.29077100000001</v>
      </c>
      <c r="R23" s="4">
        <v>462.08261099999999</v>
      </c>
      <c r="U23" s="3" t="s">
        <v>50</v>
      </c>
      <c r="V23" s="4">
        <v>432.22677599999997</v>
      </c>
      <c r="W23" s="4">
        <v>424.94094799999999</v>
      </c>
      <c r="X23" s="4">
        <v>446.555115</v>
      </c>
      <c r="AO23" s="3" t="s">
        <v>50</v>
      </c>
      <c r="AP23" s="4">
        <v>424.86154199999999</v>
      </c>
      <c r="AQ23" s="4">
        <v>432.96380599999998</v>
      </c>
      <c r="AR23" s="4">
        <v>432.29077100000001</v>
      </c>
      <c r="AT23" s="3" t="s">
        <v>50</v>
      </c>
      <c r="AU23" s="4">
        <v>421.97341899999998</v>
      </c>
      <c r="AV23" s="4">
        <v>432.22677599999997</v>
      </c>
      <c r="AW23" s="4">
        <v>424.94094799999999</v>
      </c>
      <c r="AY23" s="3" t="s">
        <v>50</v>
      </c>
      <c r="AZ23" s="4">
        <v>451.81829800000003</v>
      </c>
      <c r="BA23" s="4">
        <v>432.96380599999998</v>
      </c>
      <c r="BB23" s="4">
        <v>432.29077100000001</v>
      </c>
      <c r="BD23" s="3" t="s">
        <v>50</v>
      </c>
      <c r="BE23" s="4">
        <v>424.43267800000001</v>
      </c>
      <c r="BF23" s="4">
        <v>432.22677599999997</v>
      </c>
      <c r="BG23" s="4">
        <v>424.94094799999999</v>
      </c>
    </row>
    <row r="24" spans="1:59" x14ac:dyDescent="0.3">
      <c r="A24" s="3" t="s">
        <v>52</v>
      </c>
      <c r="B24" s="4">
        <v>434.88913000000002</v>
      </c>
      <c r="C24" s="4">
        <v>449.00775099999998</v>
      </c>
      <c r="D24" s="4">
        <v>465.930725</v>
      </c>
      <c r="I24" s="3" t="s">
        <v>52</v>
      </c>
      <c r="J24" s="4">
        <v>428.03668199999998</v>
      </c>
      <c r="K24" s="4">
        <v>443.869843</v>
      </c>
      <c r="L24" s="4">
        <v>527.52667199999996</v>
      </c>
      <c r="M24" s="12"/>
      <c r="O24" s="3" t="s">
        <v>52</v>
      </c>
      <c r="P24" s="4">
        <v>655.05004899999994</v>
      </c>
      <c r="Q24" s="4">
        <v>449.00775099999998</v>
      </c>
      <c r="R24" s="4">
        <v>464.24362200000002</v>
      </c>
      <c r="U24" s="3" t="s">
        <v>52</v>
      </c>
      <c r="V24" s="4">
        <v>446.71078499999999</v>
      </c>
      <c r="W24" s="4">
        <v>442.313782</v>
      </c>
      <c r="X24" s="4">
        <v>448.12795999999997</v>
      </c>
      <c r="AO24" s="3" t="s">
        <v>52</v>
      </c>
      <c r="AP24" s="4">
        <v>434.88913000000002</v>
      </c>
      <c r="AQ24" s="4">
        <v>655.05004899999994</v>
      </c>
      <c r="AR24" s="4">
        <v>449.00775099999998</v>
      </c>
      <c r="AT24" s="3" t="s">
        <v>52</v>
      </c>
      <c r="AU24" s="4">
        <v>428.03668199999998</v>
      </c>
      <c r="AV24" s="4">
        <v>446.71078499999999</v>
      </c>
      <c r="AW24" s="4">
        <v>442.313782</v>
      </c>
      <c r="AY24" s="3" t="s">
        <v>52</v>
      </c>
      <c r="AZ24" s="4">
        <v>449.00775099999998</v>
      </c>
      <c r="BA24" s="4">
        <v>655.05004899999994</v>
      </c>
      <c r="BB24" s="4">
        <v>449.00775099999998</v>
      </c>
      <c r="BD24" s="3" t="s">
        <v>52</v>
      </c>
      <c r="BE24" s="4">
        <v>443.869843</v>
      </c>
      <c r="BF24" s="4">
        <v>446.71078499999999</v>
      </c>
      <c r="BG24" s="4">
        <v>442.313782</v>
      </c>
    </row>
    <row r="25" spans="1:59" x14ac:dyDescent="0.3">
      <c r="A25" s="3" t="s">
        <v>54</v>
      </c>
      <c r="B25" s="4">
        <v>513.51470900000004</v>
      </c>
      <c r="C25" s="4">
        <v>537.61804199999995</v>
      </c>
      <c r="D25" s="4">
        <v>586.57788100000005</v>
      </c>
      <c r="I25" s="3" t="s">
        <v>54</v>
      </c>
      <c r="J25" s="4">
        <v>492.53753699999999</v>
      </c>
      <c r="K25" s="4">
        <v>518.181152</v>
      </c>
      <c r="L25" s="4">
        <v>535.27423099999999</v>
      </c>
      <c r="M25" s="12"/>
      <c r="O25" s="3" t="s">
        <v>54</v>
      </c>
      <c r="P25" s="4">
        <v>551.75860599999999</v>
      </c>
      <c r="Q25" s="4">
        <v>540.21661400000005</v>
      </c>
      <c r="R25" s="4">
        <v>596.10003700000004</v>
      </c>
      <c r="U25" s="3" t="s">
        <v>54</v>
      </c>
      <c r="V25" s="4">
        <v>531.73693800000001</v>
      </c>
      <c r="W25" s="4">
        <v>512.81304899999998</v>
      </c>
      <c r="X25" s="4">
        <v>555.761169</v>
      </c>
      <c r="AO25" s="3" t="s">
        <v>54</v>
      </c>
      <c r="AP25" s="4">
        <v>513.51470900000004</v>
      </c>
      <c r="AQ25" s="4">
        <v>551.75860599999999</v>
      </c>
      <c r="AR25" s="4">
        <v>540.21661400000005</v>
      </c>
      <c r="AT25" s="3" t="s">
        <v>54</v>
      </c>
      <c r="AU25" s="4">
        <v>492.53753699999999</v>
      </c>
      <c r="AV25" s="4">
        <v>531.73693800000001</v>
      </c>
      <c r="AW25" s="4">
        <v>512.81304899999998</v>
      </c>
      <c r="AY25" s="3" t="s">
        <v>54</v>
      </c>
      <c r="AZ25" s="4">
        <v>537.61804199999995</v>
      </c>
      <c r="BA25" s="4">
        <v>551.75860599999999</v>
      </c>
      <c r="BB25" s="4">
        <v>540.21661400000005</v>
      </c>
      <c r="BD25" s="3" t="s">
        <v>54</v>
      </c>
      <c r="BE25" s="4">
        <v>518.181152</v>
      </c>
      <c r="BF25" s="4">
        <v>531.73693800000001</v>
      </c>
      <c r="BG25" s="4">
        <v>512.81304899999998</v>
      </c>
    </row>
    <row r="26" spans="1:59" x14ac:dyDescent="0.3">
      <c r="A26" s="3" t="s">
        <v>56</v>
      </c>
      <c r="B26" s="4">
        <v>426.96203600000001</v>
      </c>
      <c r="C26" s="4">
        <v>451.229401</v>
      </c>
      <c r="D26" s="4">
        <v>451.63757299999997</v>
      </c>
      <c r="I26" s="3" t="s">
        <v>56</v>
      </c>
      <c r="J26" s="4">
        <v>423.43264799999997</v>
      </c>
      <c r="K26" s="4">
        <v>430.00228900000002</v>
      </c>
      <c r="L26" s="4">
        <v>455.023346</v>
      </c>
      <c r="M26" s="12"/>
      <c r="O26" s="3" t="s">
        <v>56</v>
      </c>
      <c r="P26" s="4">
        <v>478.36517300000003</v>
      </c>
      <c r="Q26" s="4">
        <v>451.90234400000003</v>
      </c>
      <c r="R26" s="4">
        <v>453.979309</v>
      </c>
      <c r="U26" s="3" t="s">
        <v>56</v>
      </c>
      <c r="V26" s="4">
        <v>441.08700599999997</v>
      </c>
      <c r="W26" s="4">
        <v>430.00228900000002</v>
      </c>
      <c r="X26" s="4">
        <v>513.55737299999998</v>
      </c>
      <c r="AO26" s="3" t="s">
        <v>56</v>
      </c>
      <c r="AP26" s="4">
        <v>426.96203600000001</v>
      </c>
      <c r="AQ26" s="4">
        <v>478.36517300000003</v>
      </c>
      <c r="AR26" s="4">
        <v>451.90234400000003</v>
      </c>
      <c r="AT26" s="3" t="s">
        <v>56</v>
      </c>
      <c r="AU26" s="4">
        <v>423.43264799999997</v>
      </c>
      <c r="AV26" s="4">
        <v>441.08700599999997</v>
      </c>
      <c r="AW26" s="4">
        <v>430.00228900000002</v>
      </c>
      <c r="AY26" s="3" t="s">
        <v>56</v>
      </c>
      <c r="AZ26" s="4">
        <v>451.229401</v>
      </c>
      <c r="BA26" s="4">
        <v>478.36517300000003</v>
      </c>
      <c r="BB26" s="4">
        <v>451.90234400000003</v>
      </c>
      <c r="BD26" s="3" t="s">
        <v>56</v>
      </c>
      <c r="BE26" s="4">
        <v>430.00228900000002</v>
      </c>
      <c r="BF26" s="4">
        <v>441.08700599999997</v>
      </c>
      <c r="BG26" s="4">
        <v>430.00228900000002</v>
      </c>
    </row>
    <row r="27" spans="1:59" x14ac:dyDescent="0.3">
      <c r="A27" s="3" t="s">
        <v>58</v>
      </c>
      <c r="B27" s="4">
        <v>440.15103099999999</v>
      </c>
      <c r="C27" s="4">
        <v>458.30166600000001</v>
      </c>
      <c r="D27" s="4">
        <v>487.14477499999998</v>
      </c>
      <c r="I27" s="3" t="s">
        <v>58</v>
      </c>
      <c r="J27" s="4">
        <v>428.45141599999999</v>
      </c>
      <c r="K27" s="4">
        <v>442.56994600000002</v>
      </c>
      <c r="L27" s="4">
        <v>533.95043899999996</v>
      </c>
      <c r="M27" s="12"/>
      <c r="O27" s="3" t="s">
        <v>58</v>
      </c>
      <c r="P27" s="4">
        <v>475.953217</v>
      </c>
      <c r="Q27" s="4">
        <v>458.30166600000001</v>
      </c>
      <c r="R27" s="4">
        <v>471.93350199999998</v>
      </c>
      <c r="U27" s="3" t="s">
        <v>58</v>
      </c>
      <c r="V27" s="4">
        <v>486.07977299999999</v>
      </c>
      <c r="W27" s="4">
        <v>442.56994600000002</v>
      </c>
      <c r="X27" s="4">
        <v>560.70324700000003</v>
      </c>
      <c r="AO27" s="3" t="s">
        <v>58</v>
      </c>
      <c r="AP27" s="4">
        <v>440.15103099999999</v>
      </c>
      <c r="AQ27" s="4">
        <v>475.953217</v>
      </c>
      <c r="AR27" s="4">
        <v>458.30166600000001</v>
      </c>
      <c r="AT27" s="3" t="s">
        <v>58</v>
      </c>
      <c r="AU27" s="4">
        <v>428.45141599999999</v>
      </c>
      <c r="AV27" s="4">
        <v>486.07977299999999</v>
      </c>
      <c r="AW27" s="4">
        <v>442.56994600000002</v>
      </c>
      <c r="AY27" s="3" t="s">
        <v>58</v>
      </c>
      <c r="AZ27" s="4">
        <v>458.30166600000001</v>
      </c>
      <c r="BA27" s="4">
        <v>475.953217</v>
      </c>
      <c r="BB27" s="4">
        <v>458.30166600000001</v>
      </c>
      <c r="BD27" s="3" t="s">
        <v>58</v>
      </c>
      <c r="BE27" s="4">
        <v>442.56994600000002</v>
      </c>
      <c r="BF27" s="4">
        <v>486.07977299999999</v>
      </c>
      <c r="BG27" s="4">
        <v>442.56994600000002</v>
      </c>
    </row>
    <row r="28" spans="1:59" x14ac:dyDescent="0.3">
      <c r="A28" s="3" t="s">
        <v>60</v>
      </c>
      <c r="B28" s="4">
        <v>564.98687700000005</v>
      </c>
      <c r="C28" s="4">
        <v>601.09368900000004</v>
      </c>
      <c r="D28" s="4">
        <v>616.73663299999998</v>
      </c>
      <c r="I28" s="3" t="s">
        <v>60</v>
      </c>
      <c r="J28" s="4">
        <v>535.61114499999996</v>
      </c>
      <c r="K28" s="4">
        <v>559.75079300000004</v>
      </c>
      <c r="L28" s="4">
        <v>613.99249299999997</v>
      </c>
      <c r="M28" s="12"/>
      <c r="O28" s="3" t="s">
        <v>60</v>
      </c>
      <c r="P28" s="4">
        <v>575.55285600000002</v>
      </c>
      <c r="Q28" s="4">
        <v>600.06378199999995</v>
      </c>
      <c r="R28" s="4">
        <v>618.02789299999995</v>
      </c>
      <c r="U28" s="3" t="s">
        <v>60</v>
      </c>
      <c r="V28" s="4">
        <v>613.99249299999997</v>
      </c>
      <c r="W28" s="4">
        <v>571.82659899999999</v>
      </c>
      <c r="X28" s="4">
        <v>596.30114700000001</v>
      </c>
      <c r="AO28" s="3" t="s">
        <v>60</v>
      </c>
      <c r="AP28" s="4">
        <v>564.98687700000005</v>
      </c>
      <c r="AQ28" s="4">
        <v>575.55285600000002</v>
      </c>
      <c r="AR28" s="4">
        <v>600.06378199999995</v>
      </c>
      <c r="AT28" s="3" t="s">
        <v>60</v>
      </c>
      <c r="AU28" s="4">
        <v>535.61114499999996</v>
      </c>
      <c r="AV28" s="4">
        <v>613.99249299999997</v>
      </c>
      <c r="AW28" s="4">
        <v>571.82659899999999</v>
      </c>
      <c r="AY28" s="3" t="s">
        <v>60</v>
      </c>
      <c r="AZ28" s="4">
        <v>601.09368900000004</v>
      </c>
      <c r="BA28" s="4">
        <v>575.55285600000002</v>
      </c>
      <c r="BB28" s="4">
        <v>600.06378199999995</v>
      </c>
      <c r="BD28" s="3" t="s">
        <v>60</v>
      </c>
      <c r="BE28" s="4">
        <v>559.75079300000004</v>
      </c>
      <c r="BF28" s="4">
        <v>613.99249299999997</v>
      </c>
      <c r="BG28" s="4">
        <v>571.82659899999999</v>
      </c>
    </row>
    <row r="29" spans="1:59" x14ac:dyDescent="0.3">
      <c r="A29" s="3" t="s">
        <v>62</v>
      </c>
      <c r="B29" s="4">
        <v>389.51574699999998</v>
      </c>
      <c r="C29" s="4">
        <v>394.30676299999999</v>
      </c>
      <c r="D29" s="4">
        <v>415.38476600000001</v>
      </c>
      <c r="I29" s="3" t="s">
        <v>62</v>
      </c>
      <c r="J29" s="4">
        <v>380.51156600000002</v>
      </c>
      <c r="K29" s="4">
        <v>380.51156600000002</v>
      </c>
      <c r="L29" s="4">
        <v>380.51156600000002</v>
      </c>
      <c r="M29" s="12"/>
      <c r="O29" s="3" t="s">
        <v>62</v>
      </c>
      <c r="P29" s="4">
        <v>394.30676299999999</v>
      </c>
      <c r="Q29" s="4">
        <v>394.30676299999999</v>
      </c>
      <c r="R29" s="4">
        <v>395.271637</v>
      </c>
      <c r="U29" s="3" t="s">
        <v>62</v>
      </c>
      <c r="V29" s="4">
        <v>380.51156600000002</v>
      </c>
      <c r="W29" s="4">
        <v>380.51156600000002</v>
      </c>
      <c r="X29" s="4">
        <v>380.51156600000002</v>
      </c>
      <c r="AO29" s="3" t="s">
        <v>62</v>
      </c>
      <c r="AP29" s="4">
        <v>389.51574699999998</v>
      </c>
      <c r="AQ29" s="4">
        <v>394.30676299999999</v>
      </c>
      <c r="AR29" s="4">
        <v>394.30676299999999</v>
      </c>
      <c r="AT29" s="3" t="s">
        <v>62</v>
      </c>
      <c r="AU29" s="4">
        <v>380.51156600000002</v>
      </c>
      <c r="AV29" s="4">
        <v>380.51156600000002</v>
      </c>
      <c r="AW29" s="4">
        <v>380.51156600000002</v>
      </c>
      <c r="AY29" s="3" t="s">
        <v>62</v>
      </c>
      <c r="AZ29" s="4">
        <v>394.30676299999999</v>
      </c>
      <c r="BA29" s="4">
        <v>394.30676299999999</v>
      </c>
      <c r="BB29" s="4">
        <v>394.30676299999999</v>
      </c>
      <c r="BD29" s="3" t="s">
        <v>62</v>
      </c>
      <c r="BE29" s="4">
        <v>380.51156600000002</v>
      </c>
      <c r="BF29" s="4">
        <v>380.51156600000002</v>
      </c>
      <c r="BG29" s="4">
        <v>380.51156600000002</v>
      </c>
    </row>
    <row r="30" spans="1:59" x14ac:dyDescent="0.3">
      <c r="A30" s="3" t="s">
        <v>64</v>
      </c>
      <c r="B30" s="4">
        <v>548.00329599999998</v>
      </c>
      <c r="C30" s="4">
        <v>554.31097399999999</v>
      </c>
      <c r="D30" s="4">
        <v>589.04247999999995</v>
      </c>
      <c r="I30" s="3" t="s">
        <v>64</v>
      </c>
      <c r="J30" s="4">
        <v>521.85815400000001</v>
      </c>
      <c r="K30" s="4">
        <v>548.44744900000001</v>
      </c>
      <c r="L30" s="4">
        <v>617.44872999999995</v>
      </c>
      <c r="M30" s="12"/>
      <c r="O30" s="3" t="s">
        <v>64</v>
      </c>
      <c r="P30" s="4">
        <v>555.71179199999995</v>
      </c>
      <c r="Q30" s="4">
        <v>554.31097399999999</v>
      </c>
      <c r="R30" s="4">
        <v>591.88800000000003</v>
      </c>
      <c r="U30" s="3" t="s">
        <v>64</v>
      </c>
      <c r="V30" s="4">
        <v>559.79754600000001</v>
      </c>
      <c r="W30" s="4">
        <v>545.03656000000001</v>
      </c>
      <c r="X30" s="4">
        <v>589.14569100000006</v>
      </c>
      <c r="AO30" s="3" t="s">
        <v>64</v>
      </c>
      <c r="AP30" s="4">
        <v>548.00329599999998</v>
      </c>
      <c r="AQ30" s="4">
        <v>555.71179199999995</v>
      </c>
      <c r="AR30" s="4">
        <v>554.31097399999999</v>
      </c>
      <c r="AT30" s="3" t="s">
        <v>64</v>
      </c>
      <c r="AU30" s="4">
        <v>521.85815400000001</v>
      </c>
      <c r="AV30" s="4">
        <v>559.79754600000001</v>
      </c>
      <c r="AW30" s="4">
        <v>545.03656000000001</v>
      </c>
      <c r="AY30" s="3" t="s">
        <v>64</v>
      </c>
      <c r="AZ30" s="4">
        <v>554.31097399999999</v>
      </c>
      <c r="BA30" s="4">
        <v>555.71179199999995</v>
      </c>
      <c r="BB30" s="4">
        <v>554.31097399999999</v>
      </c>
      <c r="BD30" s="3" t="s">
        <v>64</v>
      </c>
      <c r="BE30" s="4">
        <v>548.44744900000001</v>
      </c>
      <c r="BF30" s="4">
        <v>559.79754600000001</v>
      </c>
      <c r="BG30" s="4">
        <v>545.03656000000001</v>
      </c>
    </row>
    <row r="31" spans="1:59" x14ac:dyDescent="0.3">
      <c r="A31" s="3" t="s">
        <v>66</v>
      </c>
      <c r="B31" s="4">
        <v>475.90417500000001</v>
      </c>
      <c r="C31" s="4">
        <v>509.14325000000002</v>
      </c>
      <c r="D31" s="4">
        <v>526.229919</v>
      </c>
      <c r="I31" s="3" t="s">
        <v>66</v>
      </c>
      <c r="J31" s="4">
        <v>445.788544</v>
      </c>
      <c r="K31" s="4">
        <v>474.60919200000001</v>
      </c>
      <c r="L31" s="4">
        <v>516.986267</v>
      </c>
      <c r="M31" s="12"/>
      <c r="O31" s="3" t="s">
        <v>66</v>
      </c>
      <c r="P31" s="4">
        <v>517.95202600000005</v>
      </c>
      <c r="Q31" s="4">
        <v>506.88961799999998</v>
      </c>
      <c r="R31" s="4">
        <v>542.88458300000002</v>
      </c>
      <c r="U31" s="3" t="s">
        <v>66</v>
      </c>
      <c r="V31" s="4">
        <v>465.34634399999999</v>
      </c>
      <c r="W31" s="4">
        <v>465.34634399999999</v>
      </c>
      <c r="X31" s="4">
        <v>510.27301</v>
      </c>
      <c r="AO31" s="3" t="s">
        <v>66</v>
      </c>
      <c r="AP31" s="4">
        <v>475.90417500000001</v>
      </c>
      <c r="AQ31" s="4">
        <v>517.95202600000005</v>
      </c>
      <c r="AR31" s="4">
        <v>506.88961799999998</v>
      </c>
      <c r="AT31" s="3" t="s">
        <v>66</v>
      </c>
      <c r="AU31" s="4">
        <v>445.788544</v>
      </c>
      <c r="AV31" s="4">
        <v>465.34634399999999</v>
      </c>
      <c r="AW31" s="4">
        <v>465.34634399999999</v>
      </c>
      <c r="AY31" s="3" t="s">
        <v>66</v>
      </c>
      <c r="AZ31" s="4">
        <v>509.14325000000002</v>
      </c>
      <c r="BA31" s="4">
        <v>517.95202600000005</v>
      </c>
      <c r="BB31" s="4">
        <v>506.88961799999998</v>
      </c>
      <c r="BD31" s="3" t="s">
        <v>66</v>
      </c>
      <c r="BE31" s="4">
        <v>474.60919200000001</v>
      </c>
      <c r="BF31" s="4">
        <v>465.34634399999999</v>
      </c>
      <c r="BG31" s="4">
        <v>465.34634399999999</v>
      </c>
    </row>
    <row r="32" spans="1:59" x14ac:dyDescent="0.3">
      <c r="A32" s="3" t="s">
        <v>68</v>
      </c>
      <c r="B32" s="4">
        <v>394.50817899999998</v>
      </c>
      <c r="C32" s="4">
        <v>391.43301400000001</v>
      </c>
      <c r="D32" s="4">
        <v>397.60961900000001</v>
      </c>
      <c r="I32" s="3" t="s">
        <v>68</v>
      </c>
      <c r="J32" s="4">
        <v>375.28085299999998</v>
      </c>
      <c r="K32" s="4">
        <v>375.23397799999998</v>
      </c>
      <c r="L32" s="4">
        <v>381.56494099999998</v>
      </c>
      <c r="M32" s="12"/>
      <c r="O32" s="3" t="s">
        <v>68</v>
      </c>
      <c r="P32" s="4">
        <v>423.49652099999997</v>
      </c>
      <c r="Q32" s="4">
        <v>395.38916</v>
      </c>
      <c r="R32" s="4">
        <v>405.38751200000002</v>
      </c>
      <c r="U32" s="3" t="s">
        <v>68</v>
      </c>
      <c r="V32" s="4">
        <v>381.56494099999998</v>
      </c>
      <c r="W32" s="4">
        <v>375.28085299999998</v>
      </c>
      <c r="X32" s="4">
        <v>390.64013699999998</v>
      </c>
      <c r="AO32" s="3" t="s">
        <v>68</v>
      </c>
      <c r="AP32" s="4">
        <v>394.50817899999998</v>
      </c>
      <c r="AQ32" s="4">
        <v>423.49652099999997</v>
      </c>
      <c r="AR32" s="4">
        <v>395.38916</v>
      </c>
      <c r="AT32" s="3" t="s">
        <v>68</v>
      </c>
      <c r="AU32" s="4">
        <v>375.28085299999998</v>
      </c>
      <c r="AV32" s="4">
        <v>381.56494099999998</v>
      </c>
      <c r="AW32" s="4">
        <v>375.28085299999998</v>
      </c>
      <c r="AY32" s="3" t="s">
        <v>68</v>
      </c>
      <c r="AZ32" s="4">
        <v>391.43301400000001</v>
      </c>
      <c r="BA32" s="4">
        <v>423.49652099999997</v>
      </c>
      <c r="BB32" s="4">
        <v>395.38916</v>
      </c>
      <c r="BD32" s="3" t="s">
        <v>68</v>
      </c>
      <c r="BE32" s="4">
        <v>375.23397799999998</v>
      </c>
      <c r="BF32" s="4">
        <v>381.56494099999998</v>
      </c>
      <c r="BG32" s="4">
        <v>375.28085299999998</v>
      </c>
    </row>
    <row r="33" spans="1:59" x14ac:dyDescent="0.3">
      <c r="A33" s="4" t="s">
        <v>74</v>
      </c>
      <c r="B33" s="4">
        <v>401.67568999999997</v>
      </c>
      <c r="C33" s="4">
        <v>404.11584499999998</v>
      </c>
      <c r="D33" s="4">
        <v>429.75</v>
      </c>
      <c r="I33" s="4" t="s">
        <v>74</v>
      </c>
      <c r="J33" s="4">
        <v>368.78576700000002</v>
      </c>
      <c r="K33" s="4">
        <v>369.545074</v>
      </c>
      <c r="L33" s="4">
        <v>400.44961499999999</v>
      </c>
      <c r="M33" s="12"/>
      <c r="O33" s="4" t="s">
        <v>74</v>
      </c>
      <c r="P33" s="4">
        <v>429.75</v>
      </c>
      <c r="Q33" s="4">
        <v>405.61071800000002</v>
      </c>
      <c r="R33" s="4">
        <v>429.75</v>
      </c>
      <c r="U33" s="4" t="s">
        <v>74</v>
      </c>
      <c r="V33" s="4">
        <v>400.44961499999999</v>
      </c>
      <c r="W33" s="4">
        <v>373.08126800000002</v>
      </c>
      <c r="X33" s="4">
        <v>400.44961499999999</v>
      </c>
      <c r="AO33" s="4" t="s">
        <v>74</v>
      </c>
      <c r="AP33" s="4">
        <v>401.67568999999997</v>
      </c>
      <c r="AQ33" s="4">
        <v>429.75</v>
      </c>
      <c r="AR33" s="4">
        <v>405.61071800000002</v>
      </c>
      <c r="AT33" s="4" t="s">
        <v>74</v>
      </c>
      <c r="AU33" s="4">
        <v>368.78576700000002</v>
      </c>
      <c r="AV33" s="4">
        <v>400.44961499999999</v>
      </c>
      <c r="AW33" s="4">
        <v>373.08126800000002</v>
      </c>
      <c r="AY33" s="4" t="s">
        <v>74</v>
      </c>
      <c r="AZ33" s="4">
        <v>404.11584499999998</v>
      </c>
      <c r="BA33" s="4">
        <v>429.75</v>
      </c>
      <c r="BB33" s="4">
        <v>405.61071800000002</v>
      </c>
      <c r="BD33" s="4" t="s">
        <v>74</v>
      </c>
      <c r="BE33" s="4">
        <v>369.545074</v>
      </c>
      <c r="BF33" s="4">
        <v>400.44961499999999</v>
      </c>
      <c r="BG33" s="4">
        <v>373.08126800000002</v>
      </c>
    </row>
    <row r="34" spans="1:59" x14ac:dyDescent="0.3">
      <c r="A34" s="4" t="s">
        <v>76</v>
      </c>
      <c r="B34" s="4">
        <v>434.25775099999998</v>
      </c>
      <c r="C34" s="4">
        <v>444.69982900000002</v>
      </c>
      <c r="D34" s="4">
        <v>461.07058699999999</v>
      </c>
      <c r="I34" s="4" t="s">
        <v>76</v>
      </c>
      <c r="J34" s="4">
        <v>397.466522</v>
      </c>
      <c r="K34" s="4">
        <v>406.33590700000002</v>
      </c>
      <c r="L34" s="4">
        <v>415.98556500000001</v>
      </c>
      <c r="M34" s="12"/>
      <c r="O34" s="4" t="s">
        <v>76</v>
      </c>
      <c r="P34" s="4">
        <v>455.23260499999998</v>
      </c>
      <c r="Q34" s="4">
        <v>432.844269</v>
      </c>
      <c r="R34" s="4">
        <v>457.175659</v>
      </c>
      <c r="U34" s="4" t="s">
        <v>76</v>
      </c>
      <c r="V34" s="4">
        <v>414.12939499999999</v>
      </c>
      <c r="W34" s="4">
        <v>406.38897700000001</v>
      </c>
      <c r="X34" s="4">
        <v>415.98556500000001</v>
      </c>
      <c r="AO34" s="4" t="s">
        <v>76</v>
      </c>
      <c r="AP34" s="4">
        <v>434.25775099999998</v>
      </c>
      <c r="AQ34" s="4">
        <v>455.23260499999998</v>
      </c>
      <c r="AR34" s="4">
        <v>432.844269</v>
      </c>
      <c r="AT34" s="4" t="s">
        <v>76</v>
      </c>
      <c r="AU34" s="4">
        <v>397.466522</v>
      </c>
      <c r="AV34" s="4">
        <v>414.12939499999999</v>
      </c>
      <c r="AW34" s="4">
        <v>406.38897700000001</v>
      </c>
      <c r="AY34" s="4" t="s">
        <v>76</v>
      </c>
      <c r="AZ34" s="4">
        <v>444.69982900000002</v>
      </c>
      <c r="BA34" s="4">
        <v>455.23260499999998</v>
      </c>
      <c r="BB34" s="4">
        <v>432.844269</v>
      </c>
      <c r="BD34" s="4" t="s">
        <v>76</v>
      </c>
      <c r="BE34" s="4">
        <v>406.33590700000002</v>
      </c>
      <c r="BF34" s="4">
        <v>414.12939499999999</v>
      </c>
      <c r="BG34" s="4">
        <v>406.38897700000001</v>
      </c>
    </row>
    <row r="35" spans="1:59" x14ac:dyDescent="0.3">
      <c r="A35" s="4" t="s">
        <v>78</v>
      </c>
      <c r="B35" s="4">
        <v>426.38287400000002</v>
      </c>
      <c r="C35" s="4">
        <v>430.92837500000002</v>
      </c>
      <c r="D35" s="4">
        <v>473.94439699999998</v>
      </c>
      <c r="I35" s="4" t="s">
        <v>78</v>
      </c>
      <c r="J35" s="4">
        <v>390.376373</v>
      </c>
      <c r="K35" s="4">
        <v>389.59921300000002</v>
      </c>
      <c r="L35" s="4">
        <v>397.966858</v>
      </c>
      <c r="M35" s="12"/>
      <c r="O35" s="4" t="s">
        <v>78</v>
      </c>
      <c r="P35" s="4">
        <v>419.719269</v>
      </c>
      <c r="Q35" s="4">
        <v>432.68515000000002</v>
      </c>
      <c r="R35" s="4">
        <v>473.94439699999998</v>
      </c>
      <c r="U35" s="4" t="s">
        <v>78</v>
      </c>
      <c r="V35" s="4">
        <v>396.01196299999998</v>
      </c>
      <c r="W35" s="4">
        <v>395.07406600000002</v>
      </c>
      <c r="X35" s="4">
        <v>394.00482199999999</v>
      </c>
      <c r="AO35" s="4" t="s">
        <v>78</v>
      </c>
      <c r="AP35" s="4">
        <v>426.38287400000002</v>
      </c>
      <c r="AQ35" s="4">
        <v>419.719269</v>
      </c>
      <c r="AR35" s="4">
        <v>432.68515000000002</v>
      </c>
      <c r="AT35" s="4" t="s">
        <v>78</v>
      </c>
      <c r="AU35" s="4">
        <v>390.376373</v>
      </c>
      <c r="AV35" s="4">
        <v>396.01196299999998</v>
      </c>
      <c r="AW35" s="4">
        <v>395.07406600000002</v>
      </c>
      <c r="AY35" s="4" t="s">
        <v>78</v>
      </c>
      <c r="AZ35" s="4">
        <v>430.92837500000002</v>
      </c>
      <c r="BA35" s="4">
        <v>419.719269</v>
      </c>
      <c r="BB35" s="4">
        <v>432.68515000000002</v>
      </c>
      <c r="BD35" s="4" t="s">
        <v>78</v>
      </c>
      <c r="BE35" s="4">
        <v>389.59921300000002</v>
      </c>
      <c r="BF35" s="4">
        <v>396.01196299999998</v>
      </c>
      <c r="BG35" s="4">
        <v>395.07406600000002</v>
      </c>
    </row>
    <row r="36" spans="1:59" x14ac:dyDescent="0.3">
      <c r="A36" s="4" t="s">
        <v>80</v>
      </c>
      <c r="B36" s="4">
        <v>451.28558299999997</v>
      </c>
      <c r="C36" s="4">
        <v>464.92394999999999</v>
      </c>
      <c r="D36" s="4">
        <v>487.95428500000003</v>
      </c>
      <c r="I36" s="4" t="s">
        <v>80</v>
      </c>
      <c r="J36" s="4">
        <v>409.03671300000002</v>
      </c>
      <c r="K36" s="4">
        <v>413.60144000000003</v>
      </c>
      <c r="L36" s="4">
        <v>452.305115</v>
      </c>
      <c r="M36" s="12"/>
      <c r="O36" s="4" t="s">
        <v>80</v>
      </c>
      <c r="P36" s="4">
        <v>439.06982399999998</v>
      </c>
      <c r="Q36" s="4">
        <v>456.00851399999999</v>
      </c>
      <c r="R36" s="4">
        <v>476.944794</v>
      </c>
      <c r="U36" s="4" t="s">
        <v>80</v>
      </c>
      <c r="V36" s="4">
        <v>408.328552</v>
      </c>
      <c r="W36" s="4">
        <v>413.60485799999998</v>
      </c>
      <c r="X36" s="4">
        <v>438.76376299999998</v>
      </c>
      <c r="AO36" s="4" t="s">
        <v>80</v>
      </c>
      <c r="AP36" s="4">
        <v>451.28558299999997</v>
      </c>
      <c r="AQ36" s="4">
        <v>439.06982399999998</v>
      </c>
      <c r="AR36" s="4">
        <v>456.00851399999999</v>
      </c>
      <c r="AT36" s="4" t="s">
        <v>80</v>
      </c>
      <c r="AU36" s="4">
        <v>409.03671300000002</v>
      </c>
      <c r="AV36" s="4">
        <v>408.328552</v>
      </c>
      <c r="AW36" s="4">
        <v>413.60485799999998</v>
      </c>
      <c r="AY36" s="4" t="s">
        <v>80</v>
      </c>
      <c r="AZ36" s="4">
        <v>464.92394999999999</v>
      </c>
      <c r="BA36" s="4">
        <v>439.06982399999998</v>
      </c>
      <c r="BB36" s="4">
        <v>456.00851399999999</v>
      </c>
      <c r="BD36" s="4" t="s">
        <v>80</v>
      </c>
      <c r="BE36" s="4">
        <v>413.60144000000003</v>
      </c>
      <c r="BF36" s="4">
        <v>408.328552</v>
      </c>
      <c r="BG36" s="4">
        <v>413.60485799999998</v>
      </c>
    </row>
    <row r="37" spans="1:59" x14ac:dyDescent="0.3">
      <c r="A37" s="4" t="s">
        <v>82</v>
      </c>
      <c r="B37" s="4">
        <v>417.13317899999998</v>
      </c>
      <c r="C37" s="4">
        <v>423.14672899999999</v>
      </c>
      <c r="D37" s="4">
        <v>417.25854500000003</v>
      </c>
      <c r="I37" s="4" t="s">
        <v>82</v>
      </c>
      <c r="J37" s="4">
        <v>389.21209700000003</v>
      </c>
      <c r="K37" s="4">
        <v>390.92746</v>
      </c>
      <c r="L37" s="4">
        <v>426.67373700000002</v>
      </c>
      <c r="M37" s="12"/>
      <c r="O37" s="4" t="s">
        <v>82</v>
      </c>
      <c r="P37" s="4">
        <v>473.91619900000001</v>
      </c>
      <c r="Q37" s="4">
        <v>420.80825800000002</v>
      </c>
      <c r="R37" s="4">
        <v>417.51016199999998</v>
      </c>
      <c r="U37" s="4" t="s">
        <v>82</v>
      </c>
      <c r="V37" s="4">
        <v>403.23559599999999</v>
      </c>
      <c r="W37" s="4">
        <v>397.91513099999997</v>
      </c>
      <c r="X37" s="4">
        <v>448.62109400000003</v>
      </c>
      <c r="AO37" s="4" t="s">
        <v>82</v>
      </c>
      <c r="AP37" s="4">
        <v>417.13317899999998</v>
      </c>
      <c r="AQ37" s="4">
        <v>473.91619900000001</v>
      </c>
      <c r="AR37" s="4">
        <v>420.80825800000002</v>
      </c>
      <c r="AT37" s="4" t="s">
        <v>82</v>
      </c>
      <c r="AU37" s="4">
        <v>389.21209700000003</v>
      </c>
      <c r="AV37" s="4">
        <v>403.23559599999999</v>
      </c>
      <c r="AW37" s="4">
        <v>397.91513099999997</v>
      </c>
      <c r="AY37" s="4" t="s">
        <v>82</v>
      </c>
      <c r="AZ37" s="4">
        <v>423.14672899999999</v>
      </c>
      <c r="BA37" s="4">
        <v>473.91619900000001</v>
      </c>
      <c r="BB37" s="4">
        <v>420.80825800000002</v>
      </c>
      <c r="BD37" s="4" t="s">
        <v>82</v>
      </c>
      <c r="BE37" s="4">
        <v>390.92746</v>
      </c>
      <c r="BF37" s="4">
        <v>403.23559599999999</v>
      </c>
      <c r="BG37" s="4">
        <v>397.91513099999997</v>
      </c>
    </row>
    <row r="38" spans="1:59" x14ac:dyDescent="0.3">
      <c r="A38" s="4" t="s">
        <v>84</v>
      </c>
      <c r="B38" s="4">
        <v>523.14532499999996</v>
      </c>
      <c r="C38" s="4">
        <v>546.52374299999997</v>
      </c>
      <c r="D38" s="4">
        <v>550.57843000000003</v>
      </c>
      <c r="I38" s="4" t="s">
        <v>84</v>
      </c>
      <c r="J38" s="4">
        <v>473.73468000000003</v>
      </c>
      <c r="K38" s="4">
        <v>478.70352200000002</v>
      </c>
      <c r="L38" s="4">
        <v>481.64892600000002</v>
      </c>
      <c r="M38" s="12"/>
      <c r="O38" s="4" t="s">
        <v>84</v>
      </c>
      <c r="P38" s="4">
        <v>565.88653599999998</v>
      </c>
      <c r="Q38" s="4">
        <v>524.11840800000004</v>
      </c>
      <c r="R38" s="4">
        <v>517.22540300000003</v>
      </c>
      <c r="U38" s="4" t="s">
        <v>84</v>
      </c>
      <c r="V38" s="4">
        <v>503.41336100000001</v>
      </c>
      <c r="W38" s="4">
        <v>502.07724000000002</v>
      </c>
      <c r="X38" s="4">
        <v>580.63555899999994</v>
      </c>
      <c r="AO38" s="4" t="s">
        <v>84</v>
      </c>
      <c r="AP38" s="4">
        <v>523.14532499999996</v>
      </c>
      <c r="AQ38" s="4">
        <v>565.88653599999998</v>
      </c>
      <c r="AR38" s="4">
        <v>524.11840800000004</v>
      </c>
      <c r="AT38" s="4" t="s">
        <v>84</v>
      </c>
      <c r="AU38" s="4">
        <v>473.73468000000003</v>
      </c>
      <c r="AV38" s="4">
        <v>503.41336100000001</v>
      </c>
      <c r="AW38" s="4">
        <v>502.07724000000002</v>
      </c>
      <c r="AY38" s="4" t="s">
        <v>84</v>
      </c>
      <c r="AZ38" s="4">
        <v>546.52374299999997</v>
      </c>
      <c r="BA38" s="4">
        <v>565.88653599999998</v>
      </c>
      <c r="BB38" s="4">
        <v>524.11840800000004</v>
      </c>
      <c r="BD38" s="4" t="s">
        <v>84</v>
      </c>
      <c r="BE38" s="4">
        <v>478.70352200000002</v>
      </c>
      <c r="BF38" s="4">
        <v>503.41336100000001</v>
      </c>
      <c r="BG38" s="4">
        <v>502.07724000000002</v>
      </c>
    </row>
    <row r="39" spans="1:59" x14ac:dyDescent="0.3">
      <c r="A39" s="4" t="s">
        <v>86</v>
      </c>
      <c r="B39" s="4">
        <v>572.10864300000003</v>
      </c>
      <c r="C39" s="4">
        <v>576.66253700000004</v>
      </c>
      <c r="D39" s="4">
        <v>572.856628</v>
      </c>
      <c r="I39" s="4" t="s">
        <v>86</v>
      </c>
      <c r="J39" s="4">
        <v>515.123108</v>
      </c>
      <c r="K39" s="4">
        <v>518.72546399999999</v>
      </c>
      <c r="L39" s="4">
        <v>498.71838400000001</v>
      </c>
      <c r="M39" s="12"/>
      <c r="O39" s="4" t="s">
        <v>86</v>
      </c>
      <c r="P39" s="4">
        <v>583.96917699999995</v>
      </c>
      <c r="Q39" s="4">
        <v>579.086365</v>
      </c>
      <c r="R39" s="4">
        <v>553.65765399999998</v>
      </c>
      <c r="U39" s="4" t="s">
        <v>86</v>
      </c>
      <c r="V39" s="4">
        <v>487.96987899999999</v>
      </c>
      <c r="W39" s="4">
        <v>512.36071800000002</v>
      </c>
      <c r="X39" s="4">
        <v>584.212219</v>
      </c>
      <c r="AO39" s="4" t="s">
        <v>86</v>
      </c>
      <c r="AP39" s="4">
        <v>572.10864300000003</v>
      </c>
      <c r="AQ39" s="4">
        <v>583.96917699999995</v>
      </c>
      <c r="AR39" s="4">
        <v>579.086365</v>
      </c>
      <c r="AT39" s="4" t="s">
        <v>86</v>
      </c>
      <c r="AU39" s="4">
        <v>515.123108</v>
      </c>
      <c r="AV39" s="4">
        <v>487.96987899999999</v>
      </c>
      <c r="AW39" s="4">
        <v>512.36071800000002</v>
      </c>
      <c r="AY39" s="4" t="s">
        <v>86</v>
      </c>
      <c r="AZ39" s="4">
        <v>576.66253700000004</v>
      </c>
      <c r="BA39" s="4">
        <v>583.96917699999995</v>
      </c>
      <c r="BB39" s="4">
        <v>579.086365</v>
      </c>
      <c r="BD39" s="4" t="s">
        <v>86</v>
      </c>
      <c r="BE39" s="4">
        <v>518.72546399999999</v>
      </c>
      <c r="BF39" s="4">
        <v>487.96987899999999</v>
      </c>
      <c r="BG39" s="4">
        <v>512.36071800000002</v>
      </c>
    </row>
    <row r="40" spans="1:59" x14ac:dyDescent="0.3">
      <c r="A40" s="4" t="s">
        <v>88</v>
      </c>
      <c r="B40" s="4">
        <v>486.26937900000001</v>
      </c>
      <c r="C40" s="4">
        <v>498.79675300000002</v>
      </c>
      <c r="D40" s="4">
        <v>510.97723400000001</v>
      </c>
      <c r="I40" s="4" t="s">
        <v>88</v>
      </c>
      <c r="J40" s="4">
        <v>423.61642499999999</v>
      </c>
      <c r="K40" s="4">
        <v>443.48443600000002</v>
      </c>
      <c r="L40" s="4">
        <v>469.06451399999997</v>
      </c>
      <c r="M40" s="12"/>
      <c r="O40" s="4" t="s">
        <v>88</v>
      </c>
      <c r="P40" s="4">
        <v>469.40347300000002</v>
      </c>
      <c r="Q40" s="4">
        <v>495.15173299999998</v>
      </c>
      <c r="R40" s="4">
        <v>527.71258499999999</v>
      </c>
      <c r="U40" s="4" t="s">
        <v>88</v>
      </c>
      <c r="V40" s="4">
        <v>475.29287699999998</v>
      </c>
      <c r="W40" s="4">
        <v>425.70639</v>
      </c>
      <c r="X40" s="4">
        <v>470.377655</v>
      </c>
      <c r="AO40" s="4" t="s">
        <v>88</v>
      </c>
      <c r="AP40" s="4">
        <v>486.26937900000001</v>
      </c>
      <c r="AQ40" s="4">
        <v>469.40347300000002</v>
      </c>
      <c r="AR40" s="4">
        <v>495.15173299999998</v>
      </c>
      <c r="AT40" s="4" t="s">
        <v>88</v>
      </c>
      <c r="AU40" s="4">
        <v>423.61642499999999</v>
      </c>
      <c r="AV40" s="4">
        <v>475.29287699999998</v>
      </c>
      <c r="AW40" s="4">
        <v>425.70639</v>
      </c>
      <c r="AY40" s="4" t="s">
        <v>88</v>
      </c>
      <c r="AZ40" s="4">
        <v>498.79675300000002</v>
      </c>
      <c r="BA40" s="4">
        <v>469.40347300000002</v>
      </c>
      <c r="BB40" s="4">
        <v>495.15173299999998</v>
      </c>
      <c r="BD40" s="4" t="s">
        <v>88</v>
      </c>
      <c r="BE40" s="4">
        <v>443.48443600000002</v>
      </c>
      <c r="BF40" s="4">
        <v>475.29287699999998</v>
      </c>
      <c r="BG40" s="4">
        <v>425.70639</v>
      </c>
    </row>
    <row r="41" spans="1:59" x14ac:dyDescent="0.3">
      <c r="A41" s="4" t="s">
        <v>90</v>
      </c>
      <c r="B41" s="4">
        <v>433.58477800000003</v>
      </c>
      <c r="C41" s="4">
        <v>444.79968300000002</v>
      </c>
      <c r="D41" s="4">
        <v>472.17303500000003</v>
      </c>
      <c r="I41" s="4" t="s">
        <v>90</v>
      </c>
      <c r="J41" s="4">
        <v>402.05816700000003</v>
      </c>
      <c r="K41" s="4">
        <v>408.78964200000001</v>
      </c>
      <c r="L41" s="4">
        <v>410.69042999999999</v>
      </c>
      <c r="M41" s="12"/>
      <c r="O41" s="4" t="s">
        <v>90</v>
      </c>
      <c r="P41" s="4">
        <v>428.68609600000002</v>
      </c>
      <c r="Q41" s="4">
        <v>444.59204099999999</v>
      </c>
      <c r="R41" s="4">
        <v>558.08221400000002</v>
      </c>
      <c r="U41" s="4" t="s">
        <v>90</v>
      </c>
      <c r="V41" s="4">
        <v>428.72634900000003</v>
      </c>
      <c r="W41" s="4">
        <v>403.25430299999999</v>
      </c>
      <c r="X41" s="4">
        <v>428.47006199999998</v>
      </c>
      <c r="AO41" s="4" t="s">
        <v>90</v>
      </c>
      <c r="AP41" s="4">
        <v>433.58477800000003</v>
      </c>
      <c r="AQ41" s="4">
        <v>428.68609600000002</v>
      </c>
      <c r="AR41" s="4">
        <v>444.59204099999999</v>
      </c>
      <c r="AT41" s="4" t="s">
        <v>90</v>
      </c>
      <c r="AU41" s="4">
        <v>402.05816700000003</v>
      </c>
      <c r="AV41" s="4">
        <v>428.72634900000003</v>
      </c>
      <c r="AW41" s="4">
        <v>403.25430299999999</v>
      </c>
      <c r="AY41" s="4" t="s">
        <v>90</v>
      </c>
      <c r="AZ41" s="4">
        <v>444.79968300000002</v>
      </c>
      <c r="BA41" s="4">
        <v>428.68609600000002</v>
      </c>
      <c r="BB41" s="4">
        <v>444.59204099999999</v>
      </c>
      <c r="BD41" s="4" t="s">
        <v>90</v>
      </c>
      <c r="BE41" s="4">
        <v>408.78964200000001</v>
      </c>
      <c r="BF41" s="4">
        <v>428.72634900000003</v>
      </c>
      <c r="BG41" s="4">
        <v>403.25430299999999</v>
      </c>
    </row>
    <row r="42" spans="1:59" x14ac:dyDescent="0.3">
      <c r="A42" s="4" t="s">
        <v>92</v>
      </c>
      <c r="B42" s="4">
        <v>560.24304199999995</v>
      </c>
      <c r="C42" s="4">
        <v>563.186646</v>
      </c>
      <c r="D42" s="4">
        <v>557.04998799999998</v>
      </c>
      <c r="I42" s="4" t="s">
        <v>92</v>
      </c>
      <c r="J42" s="4">
        <v>496.61914100000001</v>
      </c>
      <c r="K42" s="4">
        <v>490.313782</v>
      </c>
      <c r="L42" s="4">
        <v>533.48028599999998</v>
      </c>
      <c r="M42" s="12"/>
      <c r="O42" s="4" t="s">
        <v>92</v>
      </c>
      <c r="P42" s="4">
        <v>582.01855499999999</v>
      </c>
      <c r="Q42" s="4">
        <v>558.33892800000001</v>
      </c>
      <c r="R42" s="4">
        <v>559.56494099999998</v>
      </c>
      <c r="U42" s="4" t="s">
        <v>92</v>
      </c>
      <c r="V42" s="4">
        <v>539.48217799999998</v>
      </c>
      <c r="W42" s="4">
        <v>480.61361699999998</v>
      </c>
      <c r="X42" s="4">
        <v>498.529877</v>
      </c>
      <c r="AO42" s="4" t="s">
        <v>92</v>
      </c>
      <c r="AP42" s="4">
        <v>560.24304199999995</v>
      </c>
      <c r="AQ42" s="4">
        <v>582.01855499999999</v>
      </c>
      <c r="AR42" s="4">
        <v>558.33892800000001</v>
      </c>
      <c r="AT42" s="4" t="s">
        <v>92</v>
      </c>
      <c r="AU42" s="4">
        <v>496.61914100000001</v>
      </c>
      <c r="AV42" s="4">
        <v>539.48217799999998</v>
      </c>
      <c r="AW42" s="4">
        <v>480.61361699999998</v>
      </c>
      <c r="AY42" s="4" t="s">
        <v>92</v>
      </c>
      <c r="AZ42" s="4">
        <v>563.186646</v>
      </c>
      <c r="BA42" s="4">
        <v>582.01855499999999</v>
      </c>
      <c r="BB42" s="4">
        <v>558.33892800000001</v>
      </c>
      <c r="BD42" s="4" t="s">
        <v>92</v>
      </c>
      <c r="BE42" s="4">
        <v>490.313782</v>
      </c>
      <c r="BF42" s="4">
        <v>539.48217799999998</v>
      </c>
      <c r="BG42" s="4">
        <v>480.61361699999998</v>
      </c>
    </row>
    <row r="43" spans="1:59" x14ac:dyDescent="0.3">
      <c r="A43" s="4" t="s">
        <v>94</v>
      </c>
      <c r="B43" s="4">
        <v>441.745544</v>
      </c>
      <c r="C43" s="4">
        <v>462.340057</v>
      </c>
      <c r="D43" s="4">
        <v>432.20474200000001</v>
      </c>
      <c r="I43" s="4" t="s">
        <v>94</v>
      </c>
      <c r="J43" s="4">
        <v>420.32147200000003</v>
      </c>
      <c r="K43" s="4">
        <v>441.841339</v>
      </c>
      <c r="L43" s="4">
        <v>525.42260699999997</v>
      </c>
      <c r="M43" s="12"/>
      <c r="O43" s="4" t="s">
        <v>94</v>
      </c>
      <c r="P43" s="4">
        <v>538.30267300000003</v>
      </c>
      <c r="Q43" s="4">
        <v>495.11737099999999</v>
      </c>
      <c r="R43" s="4">
        <v>561.96246299999996</v>
      </c>
      <c r="U43" s="4" t="s">
        <v>94</v>
      </c>
      <c r="V43" s="4">
        <v>414.19931000000003</v>
      </c>
      <c r="W43" s="4">
        <v>432.848297</v>
      </c>
      <c r="X43" s="4">
        <v>579.31744400000002</v>
      </c>
      <c r="AO43" s="4" t="s">
        <v>94</v>
      </c>
      <c r="AP43" s="4">
        <v>441.745544</v>
      </c>
      <c r="AQ43" s="4">
        <v>538.30267300000003</v>
      </c>
      <c r="AR43" s="4">
        <v>495.11737099999999</v>
      </c>
      <c r="AT43" s="4" t="s">
        <v>94</v>
      </c>
      <c r="AU43" s="4">
        <v>420.32147200000003</v>
      </c>
      <c r="AV43" s="4">
        <v>414.19931000000003</v>
      </c>
      <c r="AW43" s="4">
        <v>432.848297</v>
      </c>
      <c r="AY43" s="4" t="s">
        <v>94</v>
      </c>
      <c r="AZ43" s="4">
        <v>462.340057</v>
      </c>
      <c r="BA43" s="4">
        <v>538.30267300000003</v>
      </c>
      <c r="BB43" s="4">
        <v>495.11737099999999</v>
      </c>
      <c r="BD43" s="4" t="s">
        <v>94</v>
      </c>
      <c r="BE43" s="4">
        <v>441.841339</v>
      </c>
      <c r="BF43" s="4">
        <v>414.19931000000003</v>
      </c>
      <c r="BG43" s="4">
        <v>432.848297</v>
      </c>
    </row>
    <row r="44" spans="1:59" x14ac:dyDescent="0.3">
      <c r="A44" s="4" t="s">
        <v>96</v>
      </c>
      <c r="B44" s="4">
        <v>585.30450399999995</v>
      </c>
      <c r="C44" s="4">
        <v>583.15667699999995</v>
      </c>
      <c r="D44" s="4">
        <v>575.90270999999996</v>
      </c>
      <c r="I44" s="4" t="s">
        <v>96</v>
      </c>
      <c r="J44" s="4">
        <v>558.20214799999997</v>
      </c>
      <c r="K44" s="4">
        <v>559.05523700000003</v>
      </c>
      <c r="L44" s="4">
        <v>643.59765600000003</v>
      </c>
      <c r="M44" s="12"/>
      <c r="O44" s="4" t="s">
        <v>96</v>
      </c>
      <c r="P44" s="4">
        <v>598.78753700000004</v>
      </c>
      <c r="Q44" s="4">
        <v>612.78448500000002</v>
      </c>
      <c r="R44" s="4">
        <v>594.52032499999996</v>
      </c>
      <c r="U44" s="4" t="s">
        <v>96</v>
      </c>
      <c r="V44" s="4">
        <v>610.05352800000003</v>
      </c>
      <c r="W44" s="4">
        <v>560.050659</v>
      </c>
      <c r="X44" s="4">
        <v>535.59143100000006</v>
      </c>
      <c r="AO44" s="4" t="s">
        <v>96</v>
      </c>
      <c r="AP44" s="4">
        <v>585.30450399999995</v>
      </c>
      <c r="AQ44" s="4">
        <v>598.78753700000004</v>
      </c>
      <c r="AR44" s="4">
        <v>612.78448500000002</v>
      </c>
      <c r="AT44" s="4" t="s">
        <v>96</v>
      </c>
      <c r="AU44" s="4">
        <v>558.20214799999997</v>
      </c>
      <c r="AV44" s="4">
        <v>610.05352800000003</v>
      </c>
      <c r="AW44" s="4">
        <v>560.050659</v>
      </c>
      <c r="AY44" s="4" t="s">
        <v>96</v>
      </c>
      <c r="AZ44" s="4">
        <v>583.15667699999995</v>
      </c>
      <c r="BA44" s="4">
        <v>598.78753700000004</v>
      </c>
      <c r="BB44" s="4">
        <v>612.78448500000002</v>
      </c>
      <c r="BD44" s="4" t="s">
        <v>96</v>
      </c>
      <c r="BE44" s="4">
        <v>559.05523700000003</v>
      </c>
      <c r="BF44" s="4">
        <v>610.05352800000003</v>
      </c>
      <c r="BG44" s="4">
        <v>560.050659</v>
      </c>
    </row>
    <row r="45" spans="1:59" x14ac:dyDescent="0.3">
      <c r="A45" s="4" t="s">
        <v>98</v>
      </c>
      <c r="B45" s="4">
        <v>455.38677999999999</v>
      </c>
      <c r="C45" s="4">
        <v>474.41699199999999</v>
      </c>
      <c r="D45" s="4">
        <v>592.31890899999996</v>
      </c>
      <c r="I45" s="4" t="s">
        <v>98</v>
      </c>
      <c r="J45" s="4">
        <v>428.31997699999999</v>
      </c>
      <c r="K45" s="4">
        <v>440.73159800000002</v>
      </c>
      <c r="L45" s="4">
        <v>500.13116500000001</v>
      </c>
      <c r="M45" s="12"/>
      <c r="O45" s="4" t="s">
        <v>98</v>
      </c>
      <c r="P45" s="4">
        <v>472.107147</v>
      </c>
      <c r="Q45" s="4">
        <v>471.81146200000001</v>
      </c>
      <c r="R45" s="4">
        <v>516.25707999999997</v>
      </c>
      <c r="U45" s="4" t="s">
        <v>98</v>
      </c>
      <c r="V45" s="4">
        <v>427.11312900000001</v>
      </c>
      <c r="W45" s="4">
        <v>438.36233499999997</v>
      </c>
      <c r="X45" s="4">
        <v>454.446686</v>
      </c>
      <c r="AO45" s="4" t="s">
        <v>98</v>
      </c>
      <c r="AP45" s="4">
        <v>455.38677999999999</v>
      </c>
      <c r="AQ45" s="4">
        <v>472.107147</v>
      </c>
      <c r="AR45" s="4">
        <v>471.81146200000001</v>
      </c>
      <c r="AT45" s="4" t="s">
        <v>98</v>
      </c>
      <c r="AU45" s="4">
        <v>428.31997699999999</v>
      </c>
      <c r="AV45" s="4">
        <v>427.11312900000001</v>
      </c>
      <c r="AW45" s="4">
        <v>438.36233499999997</v>
      </c>
      <c r="AY45" s="4" t="s">
        <v>98</v>
      </c>
      <c r="AZ45" s="4">
        <v>474.41699199999999</v>
      </c>
      <c r="BA45" s="4">
        <v>472.107147</v>
      </c>
      <c r="BB45" s="4">
        <v>471.81146200000001</v>
      </c>
      <c r="BD45" s="4" t="s">
        <v>98</v>
      </c>
      <c r="BE45" s="4">
        <v>440.73159800000002</v>
      </c>
      <c r="BF45" s="4">
        <v>427.11312900000001</v>
      </c>
      <c r="BG45" s="4">
        <v>438.36233499999997</v>
      </c>
    </row>
    <row r="46" spans="1:59" x14ac:dyDescent="0.3">
      <c r="A46" s="4" t="s">
        <v>100</v>
      </c>
      <c r="B46" s="4">
        <v>602.13256799999999</v>
      </c>
      <c r="C46" s="4">
        <v>610.109375</v>
      </c>
      <c r="D46" s="4">
        <v>621.20977800000003</v>
      </c>
      <c r="I46" s="4" t="s">
        <v>100</v>
      </c>
      <c r="J46" s="4">
        <v>599.50665300000003</v>
      </c>
      <c r="K46" s="4">
        <v>611.44476299999997</v>
      </c>
      <c r="L46" s="4">
        <v>664.019409</v>
      </c>
      <c r="M46" s="12"/>
      <c r="O46" s="4" t="s">
        <v>100</v>
      </c>
      <c r="P46" s="4">
        <v>658.25769000000003</v>
      </c>
      <c r="Q46" s="4">
        <v>613.26312299999995</v>
      </c>
      <c r="R46" s="4">
        <v>595.49237100000005</v>
      </c>
      <c r="U46" s="4" t="s">
        <v>100</v>
      </c>
      <c r="V46" s="4">
        <v>635.05053699999996</v>
      </c>
      <c r="W46" s="4">
        <v>613.60314900000003</v>
      </c>
      <c r="X46" s="4">
        <v>690.59283400000004</v>
      </c>
      <c r="AO46" s="4" t="s">
        <v>100</v>
      </c>
      <c r="AP46" s="4">
        <v>602.13256799999999</v>
      </c>
      <c r="AQ46" s="4">
        <v>658.25769000000003</v>
      </c>
      <c r="AR46" s="4">
        <v>613.26312299999995</v>
      </c>
      <c r="AT46" s="4" t="s">
        <v>100</v>
      </c>
      <c r="AU46" s="4">
        <v>599.50665300000003</v>
      </c>
      <c r="AV46" s="4">
        <v>635.05053699999996</v>
      </c>
      <c r="AW46" s="4">
        <v>613.60314900000003</v>
      </c>
      <c r="AY46" s="4" t="s">
        <v>100</v>
      </c>
      <c r="AZ46" s="4">
        <v>610.109375</v>
      </c>
      <c r="BA46" s="4">
        <v>658.25769000000003</v>
      </c>
      <c r="BB46" s="4">
        <v>613.26312299999995</v>
      </c>
      <c r="BD46" s="4" t="s">
        <v>100</v>
      </c>
      <c r="BE46" s="4">
        <v>611.44476299999997</v>
      </c>
      <c r="BF46" s="4">
        <v>635.05053699999996</v>
      </c>
      <c r="BG46" s="4">
        <v>613.60314900000003</v>
      </c>
    </row>
    <row r="47" spans="1:59" x14ac:dyDescent="0.3">
      <c r="A47" s="4" t="s">
        <v>102</v>
      </c>
      <c r="B47" s="4">
        <v>599.83892800000001</v>
      </c>
      <c r="C47" s="4">
        <v>612.33050500000002</v>
      </c>
      <c r="D47" s="4">
        <v>596.16888400000005</v>
      </c>
      <c r="I47" s="4" t="s">
        <v>102</v>
      </c>
      <c r="J47" s="4">
        <v>595.14544699999999</v>
      </c>
      <c r="K47" s="4">
        <v>593.92486599999995</v>
      </c>
      <c r="L47" s="4">
        <v>688.150757</v>
      </c>
      <c r="M47" s="12"/>
      <c r="O47" s="4" t="s">
        <v>102</v>
      </c>
      <c r="P47" s="4">
        <v>590.34387200000003</v>
      </c>
      <c r="Q47" s="4">
        <v>609.76293899999996</v>
      </c>
      <c r="R47" s="4">
        <v>663.63940400000001</v>
      </c>
      <c r="U47" s="4" t="s">
        <v>102</v>
      </c>
      <c r="V47" s="4">
        <v>649.66265899999996</v>
      </c>
      <c r="W47" s="4">
        <v>614.98309300000005</v>
      </c>
      <c r="X47" s="4">
        <v>628.10675000000003</v>
      </c>
      <c r="AO47" s="4" t="s">
        <v>102</v>
      </c>
      <c r="AP47" s="4">
        <v>599.83892800000001</v>
      </c>
      <c r="AQ47" s="4">
        <v>590.34387200000003</v>
      </c>
      <c r="AR47" s="4">
        <v>609.76293899999996</v>
      </c>
      <c r="AT47" s="4" t="s">
        <v>102</v>
      </c>
      <c r="AU47" s="4">
        <v>595.14544699999999</v>
      </c>
      <c r="AV47" s="4">
        <v>649.66265899999996</v>
      </c>
      <c r="AW47" s="4">
        <v>614.98309300000005</v>
      </c>
      <c r="AY47" s="4" t="s">
        <v>102</v>
      </c>
      <c r="AZ47" s="4">
        <v>612.33050500000002</v>
      </c>
      <c r="BA47" s="4">
        <v>590.34387200000003</v>
      </c>
      <c r="BB47" s="4">
        <v>609.76293899999996</v>
      </c>
      <c r="BD47" s="4" t="s">
        <v>102</v>
      </c>
      <c r="BE47" s="4">
        <v>593.92486599999995</v>
      </c>
      <c r="BF47" s="4">
        <v>649.66265899999996</v>
      </c>
      <c r="BG47" s="4">
        <v>614.98309300000005</v>
      </c>
    </row>
    <row r="48" spans="1:59" x14ac:dyDescent="0.3">
      <c r="A48" s="4" t="s">
        <v>104</v>
      </c>
      <c r="B48" s="4">
        <v>580.26434300000005</v>
      </c>
      <c r="C48" s="4">
        <v>601.25073199999997</v>
      </c>
      <c r="D48" s="4">
        <v>681.259277</v>
      </c>
      <c r="I48" s="4" t="s">
        <v>104</v>
      </c>
      <c r="J48" s="4">
        <v>572.114014</v>
      </c>
      <c r="K48" s="4">
        <v>593.38348399999995</v>
      </c>
      <c r="L48" s="4">
        <v>603.65136700000005</v>
      </c>
      <c r="M48" s="12"/>
      <c r="O48" s="4" t="s">
        <v>104</v>
      </c>
      <c r="P48" s="4">
        <v>631.99340800000004</v>
      </c>
      <c r="Q48" s="4">
        <v>604.98046899999997</v>
      </c>
      <c r="R48" s="4">
        <v>677.41241500000001</v>
      </c>
      <c r="U48" s="4" t="s">
        <v>104</v>
      </c>
      <c r="V48" s="4">
        <v>538.46038799999997</v>
      </c>
      <c r="W48" s="4">
        <v>587.70214799999997</v>
      </c>
      <c r="X48" s="4">
        <v>676.84216300000003</v>
      </c>
      <c r="AO48" s="4" t="s">
        <v>104</v>
      </c>
      <c r="AP48" s="4">
        <v>580.26434300000005</v>
      </c>
      <c r="AQ48" s="4">
        <v>631.99340800000004</v>
      </c>
      <c r="AR48" s="4">
        <v>604.98046899999997</v>
      </c>
      <c r="AT48" s="4" t="s">
        <v>104</v>
      </c>
      <c r="AU48" s="4">
        <v>572.114014</v>
      </c>
      <c r="AV48" s="4">
        <v>538.46038799999997</v>
      </c>
      <c r="AW48" s="4">
        <v>587.70214799999997</v>
      </c>
      <c r="AY48" s="4" t="s">
        <v>104</v>
      </c>
      <c r="AZ48" s="4">
        <v>601.25073199999997</v>
      </c>
      <c r="BA48" s="4">
        <v>631.99340800000004</v>
      </c>
      <c r="BB48" s="4">
        <v>604.98046899999997</v>
      </c>
      <c r="BD48" s="4" t="s">
        <v>104</v>
      </c>
      <c r="BE48" s="4">
        <v>593.38348399999995</v>
      </c>
      <c r="BF48" s="4">
        <v>538.46038799999997</v>
      </c>
      <c r="BG48" s="4">
        <v>587.70214799999997</v>
      </c>
    </row>
    <row r="49" spans="1:59" x14ac:dyDescent="0.3">
      <c r="A49" s="4" t="s">
        <v>106</v>
      </c>
      <c r="B49" s="4">
        <v>535.00170900000001</v>
      </c>
      <c r="C49" s="4">
        <v>563.65118399999994</v>
      </c>
      <c r="D49" s="4">
        <v>567.05273399999999</v>
      </c>
      <c r="I49" s="4" t="s">
        <v>106</v>
      </c>
      <c r="J49" s="4">
        <v>519.22289999999998</v>
      </c>
      <c r="K49" s="4">
        <v>534.15765399999998</v>
      </c>
      <c r="L49" s="4">
        <v>606.734375</v>
      </c>
      <c r="M49" s="12"/>
      <c r="O49" s="4" t="s">
        <v>106</v>
      </c>
      <c r="P49" s="4">
        <v>617.23577899999998</v>
      </c>
      <c r="Q49" s="4">
        <v>559.81304899999998</v>
      </c>
      <c r="R49" s="4">
        <v>587.49768100000006</v>
      </c>
      <c r="U49" s="4" t="s">
        <v>106</v>
      </c>
      <c r="V49" s="4">
        <v>611.99383499999999</v>
      </c>
      <c r="W49" s="4">
        <v>538.36840800000004</v>
      </c>
      <c r="X49" s="4">
        <v>578.84960899999999</v>
      </c>
      <c r="AO49" s="4" t="s">
        <v>106</v>
      </c>
      <c r="AP49" s="4">
        <v>535.00170900000001</v>
      </c>
      <c r="AQ49" s="4">
        <v>617.23577899999998</v>
      </c>
      <c r="AR49" s="4">
        <v>559.81304899999998</v>
      </c>
      <c r="AT49" s="4" t="s">
        <v>106</v>
      </c>
      <c r="AU49" s="4">
        <v>519.22289999999998</v>
      </c>
      <c r="AV49" s="4">
        <v>611.99383499999999</v>
      </c>
      <c r="AW49" s="4">
        <v>538.36840800000004</v>
      </c>
      <c r="AY49" s="4" t="s">
        <v>106</v>
      </c>
      <c r="AZ49" s="4">
        <v>563.65118399999994</v>
      </c>
      <c r="BA49" s="4">
        <v>617.23577899999998</v>
      </c>
      <c r="BB49" s="4">
        <v>559.81304899999998</v>
      </c>
      <c r="BD49" s="4" t="s">
        <v>106</v>
      </c>
      <c r="BE49" s="4">
        <v>534.15765399999998</v>
      </c>
      <c r="BF49" s="4">
        <v>611.99383499999999</v>
      </c>
      <c r="BG49" s="4">
        <v>538.36840800000004</v>
      </c>
    </row>
    <row r="50" spans="1:59" x14ac:dyDescent="0.3">
      <c r="A50" s="4" t="s">
        <v>108</v>
      </c>
      <c r="B50" s="4">
        <v>601.55273399999999</v>
      </c>
      <c r="C50" s="4">
        <v>601.30621299999996</v>
      </c>
      <c r="D50" s="4">
        <v>631.16156000000001</v>
      </c>
      <c r="I50" s="4" t="s">
        <v>108</v>
      </c>
      <c r="J50" s="4">
        <v>559.64392099999998</v>
      </c>
      <c r="K50" s="4">
        <v>572.92175299999997</v>
      </c>
      <c r="L50" s="4">
        <v>621.52050799999995</v>
      </c>
      <c r="M50" s="12"/>
      <c r="O50" s="4" t="s">
        <v>108</v>
      </c>
      <c r="P50" s="4">
        <v>631.07501200000002</v>
      </c>
      <c r="Q50" s="4">
        <v>614.80621299999996</v>
      </c>
      <c r="R50" s="4">
        <v>644.07665999999995</v>
      </c>
      <c r="U50" s="4" t="s">
        <v>108</v>
      </c>
      <c r="V50" s="4">
        <v>568.42755099999999</v>
      </c>
      <c r="W50" s="4">
        <v>572.90704300000004</v>
      </c>
      <c r="X50" s="4">
        <v>601.261169</v>
      </c>
      <c r="AO50" s="4" t="s">
        <v>108</v>
      </c>
      <c r="AP50" s="4">
        <v>601.55273399999999</v>
      </c>
      <c r="AQ50" s="4">
        <v>631.07501200000002</v>
      </c>
      <c r="AR50" s="4">
        <v>614.80621299999996</v>
      </c>
      <c r="AT50" s="4" t="s">
        <v>108</v>
      </c>
      <c r="AU50" s="4">
        <v>559.64392099999998</v>
      </c>
      <c r="AV50" s="4">
        <v>568.42755099999999</v>
      </c>
      <c r="AW50" s="4">
        <v>572.90704300000004</v>
      </c>
      <c r="AY50" s="4" t="s">
        <v>108</v>
      </c>
      <c r="AZ50" s="4">
        <v>601.30621299999996</v>
      </c>
      <c r="BA50" s="4">
        <v>631.07501200000002</v>
      </c>
      <c r="BB50" s="4">
        <v>614.80621299999996</v>
      </c>
      <c r="BD50" s="4" t="s">
        <v>108</v>
      </c>
      <c r="BE50" s="4">
        <v>572.92175299999997</v>
      </c>
      <c r="BF50" s="4">
        <v>568.42755099999999</v>
      </c>
      <c r="BG50" s="4">
        <v>572.90704300000004</v>
      </c>
    </row>
    <row r="51" spans="1:59" x14ac:dyDescent="0.3">
      <c r="A51" s="4" t="s">
        <v>110</v>
      </c>
      <c r="B51" s="4">
        <v>575.77954099999999</v>
      </c>
      <c r="C51" s="4">
        <v>608.27484100000004</v>
      </c>
      <c r="D51" s="4">
        <v>632.43878199999995</v>
      </c>
      <c r="I51" s="4" t="s">
        <v>110</v>
      </c>
      <c r="J51" s="4">
        <v>557.52557400000001</v>
      </c>
      <c r="K51" s="4">
        <v>561.89392099999998</v>
      </c>
      <c r="L51" s="4">
        <v>677.26556400000004</v>
      </c>
      <c r="M51" s="12"/>
      <c r="O51" s="4" t="s">
        <v>110</v>
      </c>
      <c r="P51" s="4">
        <v>671.42382799999996</v>
      </c>
      <c r="Q51" s="4">
        <v>607.76971400000002</v>
      </c>
      <c r="R51" s="4">
        <v>549.57244900000001</v>
      </c>
      <c r="U51" s="4" t="s">
        <v>110</v>
      </c>
      <c r="V51" s="4">
        <v>540.76709000000005</v>
      </c>
      <c r="W51" s="4">
        <v>587.135132</v>
      </c>
      <c r="X51" s="4">
        <v>624.599243</v>
      </c>
      <c r="AO51" s="4" t="s">
        <v>110</v>
      </c>
      <c r="AP51" s="4">
        <v>575.77954099999999</v>
      </c>
      <c r="AQ51" s="4">
        <v>671.42382799999996</v>
      </c>
      <c r="AR51" s="4">
        <v>607.76971400000002</v>
      </c>
      <c r="AT51" s="4" t="s">
        <v>110</v>
      </c>
      <c r="AU51" s="4">
        <v>557.52557400000001</v>
      </c>
      <c r="AV51" s="4">
        <v>540.76709000000005</v>
      </c>
      <c r="AW51" s="4">
        <v>587.135132</v>
      </c>
      <c r="AY51" s="4" t="s">
        <v>110</v>
      </c>
      <c r="AZ51" s="4">
        <v>608.27484100000004</v>
      </c>
      <c r="BA51" s="4">
        <v>671.42382799999996</v>
      </c>
      <c r="BB51" s="4">
        <v>607.76971400000002</v>
      </c>
      <c r="BD51" s="4" t="s">
        <v>110</v>
      </c>
      <c r="BE51" s="4">
        <v>561.89392099999998</v>
      </c>
      <c r="BF51" s="4">
        <v>540.76709000000005</v>
      </c>
      <c r="BG51" s="4">
        <v>587.135132</v>
      </c>
    </row>
    <row r="52" spans="1:59" x14ac:dyDescent="0.3">
      <c r="A52" s="4" t="s">
        <v>112</v>
      </c>
      <c r="B52" s="4">
        <v>467.391479</v>
      </c>
      <c r="C52" s="4">
        <v>474.47961400000003</v>
      </c>
      <c r="D52" s="4">
        <v>567.92407200000002</v>
      </c>
      <c r="I52" s="4" t="s">
        <v>112</v>
      </c>
      <c r="J52" s="4">
        <v>420.16146900000001</v>
      </c>
      <c r="K52" s="4">
        <v>420.12194799999997</v>
      </c>
      <c r="L52" s="4">
        <v>483.83502199999998</v>
      </c>
      <c r="M52" s="12"/>
      <c r="O52" s="4" t="s">
        <v>112</v>
      </c>
      <c r="P52" s="4">
        <v>544.87847899999997</v>
      </c>
      <c r="Q52" s="4">
        <v>475.13970899999998</v>
      </c>
      <c r="R52" s="4">
        <v>545.08715800000004</v>
      </c>
      <c r="U52" s="4" t="s">
        <v>112</v>
      </c>
      <c r="V52" s="4">
        <v>456.696594</v>
      </c>
      <c r="W52" s="4">
        <v>419.46957400000002</v>
      </c>
      <c r="X52" s="4">
        <v>475.39434799999998</v>
      </c>
      <c r="AO52" s="4" t="s">
        <v>112</v>
      </c>
      <c r="AP52" s="4">
        <v>467.391479</v>
      </c>
      <c r="AQ52" s="4">
        <v>544.87847899999997</v>
      </c>
      <c r="AR52" s="4">
        <v>475.13970899999998</v>
      </c>
      <c r="AT52" s="4" t="s">
        <v>112</v>
      </c>
      <c r="AU52" s="4">
        <v>420.16146900000001</v>
      </c>
      <c r="AV52" s="4">
        <v>456.696594</v>
      </c>
      <c r="AW52" s="4">
        <v>419.46957400000002</v>
      </c>
      <c r="AY52" s="4" t="s">
        <v>112</v>
      </c>
      <c r="AZ52" s="4">
        <v>474.47961400000003</v>
      </c>
      <c r="BA52" s="4">
        <v>544.87847899999997</v>
      </c>
      <c r="BB52" s="4">
        <v>475.13970899999998</v>
      </c>
      <c r="BD52" s="4" t="s">
        <v>112</v>
      </c>
      <c r="BE52" s="4">
        <v>420.12194799999997</v>
      </c>
      <c r="BF52" s="4">
        <v>456.696594</v>
      </c>
      <c r="BG52" s="4">
        <v>419.46957400000002</v>
      </c>
    </row>
    <row r="53" spans="1:59" x14ac:dyDescent="0.3">
      <c r="A53" s="4" t="s">
        <v>114</v>
      </c>
      <c r="B53" s="4">
        <v>589.70929000000001</v>
      </c>
      <c r="C53" s="4">
        <v>605.30358899999999</v>
      </c>
      <c r="D53" s="4">
        <v>700.677368</v>
      </c>
      <c r="I53" s="4" t="s">
        <v>114</v>
      </c>
      <c r="J53" s="4">
        <v>583.28363000000002</v>
      </c>
      <c r="K53" s="4">
        <v>581.57067900000004</v>
      </c>
      <c r="L53" s="4">
        <v>621.85406499999999</v>
      </c>
      <c r="M53" s="12"/>
      <c r="O53" s="4" t="s">
        <v>114</v>
      </c>
      <c r="P53" s="4">
        <v>611.11749299999997</v>
      </c>
      <c r="Q53" s="4">
        <v>602.03479000000004</v>
      </c>
      <c r="R53" s="4">
        <v>709.56268299999999</v>
      </c>
      <c r="U53" s="4" t="s">
        <v>114</v>
      </c>
      <c r="V53" s="4">
        <v>554.99530000000004</v>
      </c>
      <c r="W53" s="4">
        <v>594.96691899999996</v>
      </c>
      <c r="X53" s="4">
        <v>639.32220500000005</v>
      </c>
      <c r="AO53" s="4" t="s">
        <v>114</v>
      </c>
      <c r="AP53" s="4">
        <v>589.70929000000001</v>
      </c>
      <c r="AQ53" s="4">
        <v>611.11749299999997</v>
      </c>
      <c r="AR53" s="4">
        <v>602.03479000000004</v>
      </c>
      <c r="AT53" s="4" t="s">
        <v>114</v>
      </c>
      <c r="AU53" s="4">
        <v>583.28363000000002</v>
      </c>
      <c r="AV53" s="4">
        <v>554.99530000000004</v>
      </c>
      <c r="AW53" s="4">
        <v>594.96691899999996</v>
      </c>
      <c r="AY53" s="4" t="s">
        <v>114</v>
      </c>
      <c r="AZ53" s="4">
        <v>605.30358899999999</v>
      </c>
      <c r="BA53" s="4">
        <v>611.11749299999997</v>
      </c>
      <c r="BB53" s="4">
        <v>602.03479000000004</v>
      </c>
      <c r="BD53" s="4" t="s">
        <v>114</v>
      </c>
      <c r="BE53" s="4">
        <v>581.57067900000004</v>
      </c>
      <c r="BF53" s="4">
        <v>554.99530000000004</v>
      </c>
      <c r="BG53" s="4">
        <v>594.96691899999996</v>
      </c>
    </row>
    <row r="54" spans="1:59" x14ac:dyDescent="0.3">
      <c r="A54" s="4" t="s">
        <v>116</v>
      </c>
      <c r="B54" s="4">
        <v>648.70770300000004</v>
      </c>
      <c r="C54" s="4">
        <v>656.59576400000003</v>
      </c>
      <c r="D54" s="4">
        <v>627.33325200000002</v>
      </c>
      <c r="I54" s="4" t="s">
        <v>116</v>
      </c>
      <c r="J54" s="4">
        <v>629.21881099999996</v>
      </c>
      <c r="K54" s="4">
        <v>627.42004399999996</v>
      </c>
      <c r="L54" s="4">
        <v>667.867615</v>
      </c>
      <c r="M54" s="12"/>
      <c r="O54" s="4" t="s">
        <v>116</v>
      </c>
      <c r="P54" s="4">
        <v>635.63604699999996</v>
      </c>
      <c r="Q54" s="4">
        <v>656.66015600000003</v>
      </c>
      <c r="R54" s="4">
        <v>683.91918899999996</v>
      </c>
      <c r="U54" s="4" t="s">
        <v>116</v>
      </c>
      <c r="V54" s="4">
        <v>668.58074999999997</v>
      </c>
      <c r="W54" s="4">
        <v>632.63842799999998</v>
      </c>
      <c r="X54" s="4">
        <v>670.76818800000001</v>
      </c>
      <c r="AO54" s="4" t="s">
        <v>116</v>
      </c>
      <c r="AP54" s="4">
        <v>648.70770300000004</v>
      </c>
      <c r="AQ54" s="4">
        <v>635.63604699999996</v>
      </c>
      <c r="AR54" s="4">
        <v>656.66015600000003</v>
      </c>
      <c r="AT54" s="4" t="s">
        <v>116</v>
      </c>
      <c r="AU54" s="4">
        <v>629.21881099999996</v>
      </c>
      <c r="AV54" s="4">
        <v>668.58074999999997</v>
      </c>
      <c r="AW54" s="4">
        <v>632.63842799999998</v>
      </c>
      <c r="AY54" s="4" t="s">
        <v>116</v>
      </c>
      <c r="AZ54" s="4">
        <v>656.59576400000003</v>
      </c>
      <c r="BA54" s="4">
        <v>635.63604699999996</v>
      </c>
      <c r="BB54" s="4">
        <v>656.66015600000003</v>
      </c>
      <c r="BD54" s="4" t="s">
        <v>116</v>
      </c>
      <c r="BE54" s="4">
        <v>627.42004399999996</v>
      </c>
      <c r="BF54" s="4">
        <v>668.58074999999997</v>
      </c>
      <c r="BG54" s="4">
        <v>632.63842799999998</v>
      </c>
    </row>
    <row r="55" spans="1:59" x14ac:dyDescent="0.3">
      <c r="A55" s="4" t="s">
        <v>118</v>
      </c>
      <c r="B55" s="4">
        <v>563.38079800000003</v>
      </c>
      <c r="C55" s="4">
        <v>576.58062700000005</v>
      </c>
      <c r="D55" s="4">
        <v>646.13622999999995</v>
      </c>
      <c r="I55" s="4" t="s">
        <v>118</v>
      </c>
      <c r="J55" s="4">
        <v>542.12377900000001</v>
      </c>
      <c r="K55" s="4">
        <v>542.29913299999998</v>
      </c>
      <c r="L55" s="4">
        <v>558.29760699999997</v>
      </c>
      <c r="M55" s="12"/>
      <c r="O55" s="4" t="s">
        <v>118</v>
      </c>
      <c r="P55" s="4">
        <v>651.70654300000001</v>
      </c>
      <c r="Q55" s="4">
        <v>565.21417199999996</v>
      </c>
      <c r="R55" s="4">
        <v>637.08648700000003</v>
      </c>
      <c r="U55" s="4" t="s">
        <v>118</v>
      </c>
      <c r="V55" s="4">
        <v>636.57641599999999</v>
      </c>
      <c r="W55" s="4">
        <v>561.54058799999996</v>
      </c>
      <c r="X55" s="4">
        <v>676.54663100000005</v>
      </c>
      <c r="AO55" s="4" t="s">
        <v>118</v>
      </c>
      <c r="AP55" s="4">
        <v>563.38079800000003</v>
      </c>
      <c r="AQ55" s="4">
        <v>651.70654300000001</v>
      </c>
      <c r="AR55" s="4">
        <v>565.21417199999996</v>
      </c>
      <c r="AT55" s="4" t="s">
        <v>118</v>
      </c>
      <c r="AU55" s="4">
        <v>542.12377900000001</v>
      </c>
      <c r="AV55" s="4">
        <v>636.57641599999999</v>
      </c>
      <c r="AW55" s="4">
        <v>561.54058799999996</v>
      </c>
      <c r="AY55" s="4" t="s">
        <v>118</v>
      </c>
      <c r="AZ55" s="4">
        <v>576.58062700000005</v>
      </c>
      <c r="BA55" s="4">
        <v>651.70654300000001</v>
      </c>
      <c r="BB55" s="4">
        <v>565.21417199999996</v>
      </c>
      <c r="BD55" s="4" t="s">
        <v>118</v>
      </c>
      <c r="BE55" s="4">
        <v>542.29913299999998</v>
      </c>
      <c r="BF55" s="4">
        <v>636.57641599999999</v>
      </c>
      <c r="BG55" s="4">
        <v>561.54058799999996</v>
      </c>
    </row>
    <row r="56" spans="1:59" x14ac:dyDescent="0.3">
      <c r="A56" s="4" t="s">
        <v>120</v>
      </c>
      <c r="B56" s="4">
        <v>706.35607900000002</v>
      </c>
      <c r="C56" s="4">
        <v>709.82324200000005</v>
      </c>
      <c r="D56" s="4">
        <v>699.40936299999998</v>
      </c>
      <c r="I56" s="4" t="s">
        <v>120</v>
      </c>
      <c r="J56" s="4">
        <v>703.61004600000001</v>
      </c>
      <c r="K56" s="4">
        <v>715.97485400000005</v>
      </c>
      <c r="L56" s="4">
        <v>700.93688999999995</v>
      </c>
      <c r="M56" s="12"/>
      <c r="O56" s="4" t="s">
        <v>120</v>
      </c>
      <c r="P56" s="4">
        <v>763.04797399999995</v>
      </c>
      <c r="Q56" s="4">
        <v>719.85974099999999</v>
      </c>
      <c r="R56" s="4">
        <v>708.94445800000005</v>
      </c>
      <c r="U56" s="4" t="s">
        <v>120</v>
      </c>
      <c r="V56" s="4">
        <v>702.72406000000001</v>
      </c>
      <c r="W56" s="4">
        <v>714.25988800000005</v>
      </c>
      <c r="X56" s="4">
        <v>778.80285600000002</v>
      </c>
      <c r="AO56" s="4" t="s">
        <v>120</v>
      </c>
      <c r="AP56" s="4">
        <v>706.35607900000002</v>
      </c>
      <c r="AQ56" s="4">
        <v>763.04797399999995</v>
      </c>
      <c r="AR56" s="4">
        <v>719.85974099999999</v>
      </c>
      <c r="AT56" s="4" t="s">
        <v>120</v>
      </c>
      <c r="AU56" s="4">
        <v>703.61004600000001</v>
      </c>
      <c r="AV56" s="4">
        <v>702.72406000000001</v>
      </c>
      <c r="AW56" s="4">
        <v>714.25988800000005</v>
      </c>
      <c r="AY56" s="4" t="s">
        <v>120</v>
      </c>
      <c r="AZ56" s="4">
        <v>709.82324200000005</v>
      </c>
      <c r="BA56" s="4">
        <v>763.04797399999995</v>
      </c>
      <c r="BB56" s="4">
        <v>719.85974099999999</v>
      </c>
      <c r="BD56" s="4" t="s">
        <v>120</v>
      </c>
      <c r="BE56" s="4">
        <v>715.97485400000005</v>
      </c>
      <c r="BF56" s="4">
        <v>702.72406000000001</v>
      </c>
      <c r="BG56" s="4">
        <v>714.25988800000005</v>
      </c>
    </row>
    <row r="57" spans="1:59" x14ac:dyDescent="0.3">
      <c r="A57" s="4" t="s">
        <v>122</v>
      </c>
      <c r="B57" s="4">
        <v>646.662781</v>
      </c>
      <c r="C57" s="4">
        <v>657.38525400000003</v>
      </c>
      <c r="D57" s="4">
        <v>672.94775400000003</v>
      </c>
      <c r="I57" s="4" t="s">
        <v>122</v>
      </c>
      <c r="J57" s="4">
        <v>637.89685099999997</v>
      </c>
      <c r="K57" s="4">
        <v>640.44140600000003</v>
      </c>
      <c r="L57" s="4">
        <v>686.01586899999995</v>
      </c>
      <c r="M57" s="12"/>
      <c r="O57" s="4" t="s">
        <v>122</v>
      </c>
      <c r="P57" s="4">
        <v>685.38214100000005</v>
      </c>
      <c r="Q57" s="4">
        <v>659.96490500000004</v>
      </c>
      <c r="R57" s="4">
        <v>749.63824499999998</v>
      </c>
      <c r="U57" s="4" t="s">
        <v>122</v>
      </c>
      <c r="V57" s="4">
        <v>703.14752199999998</v>
      </c>
      <c r="W57" s="4">
        <v>650.25878899999998</v>
      </c>
      <c r="X57" s="4">
        <v>632.67657499999996</v>
      </c>
      <c r="AO57" s="4" t="s">
        <v>122</v>
      </c>
      <c r="AP57" s="4">
        <v>646.662781</v>
      </c>
      <c r="AQ57" s="4">
        <v>685.38214100000005</v>
      </c>
      <c r="AR57" s="4">
        <v>659.96490500000004</v>
      </c>
      <c r="AT57" s="4" t="s">
        <v>122</v>
      </c>
      <c r="AU57" s="4">
        <v>637.89685099999997</v>
      </c>
      <c r="AV57" s="4">
        <v>703.14752199999998</v>
      </c>
      <c r="AW57" s="4">
        <v>650.25878899999998</v>
      </c>
      <c r="AY57" s="4" t="s">
        <v>122</v>
      </c>
      <c r="AZ57" s="4">
        <v>657.38525400000003</v>
      </c>
      <c r="BA57" s="4">
        <v>685.38214100000005</v>
      </c>
      <c r="BB57" s="4">
        <v>659.96490500000004</v>
      </c>
      <c r="BD57" s="4" t="s">
        <v>122</v>
      </c>
      <c r="BE57" s="4">
        <v>640.44140600000003</v>
      </c>
      <c r="BF57" s="4">
        <v>703.14752199999998</v>
      </c>
      <c r="BG57" s="4">
        <v>650.25878899999998</v>
      </c>
    </row>
    <row r="58" spans="1:59" x14ac:dyDescent="0.3">
      <c r="A58" s="4" t="s">
        <v>124</v>
      </c>
      <c r="B58" s="4">
        <v>549.49816899999996</v>
      </c>
      <c r="C58" s="4">
        <v>553.33111599999995</v>
      </c>
      <c r="D58" s="4">
        <v>605.87506099999996</v>
      </c>
      <c r="I58" s="4" t="s">
        <v>124</v>
      </c>
      <c r="J58" s="4">
        <v>529.65496800000005</v>
      </c>
      <c r="K58" s="4">
        <v>546.83569299999999</v>
      </c>
      <c r="L58" s="4">
        <v>669.73382600000002</v>
      </c>
      <c r="M58" s="12"/>
      <c r="O58" s="4" t="s">
        <v>124</v>
      </c>
      <c r="P58" s="4">
        <v>543.99487299999998</v>
      </c>
      <c r="Q58" s="4">
        <v>572.99224900000002</v>
      </c>
      <c r="R58" s="4">
        <v>639.68023700000003</v>
      </c>
      <c r="U58" s="4" t="s">
        <v>124</v>
      </c>
      <c r="V58" s="4">
        <v>524.91186500000003</v>
      </c>
      <c r="W58" s="4">
        <v>544.76995799999997</v>
      </c>
      <c r="X58" s="4">
        <v>569.207581</v>
      </c>
      <c r="AO58" s="4" t="s">
        <v>124</v>
      </c>
      <c r="AP58" s="4">
        <v>549.49816899999996</v>
      </c>
      <c r="AQ58" s="4">
        <v>543.99487299999998</v>
      </c>
      <c r="AR58" s="4">
        <v>572.99224900000002</v>
      </c>
      <c r="AT58" s="4" t="s">
        <v>124</v>
      </c>
      <c r="AU58" s="4">
        <v>529.65496800000005</v>
      </c>
      <c r="AV58" s="4">
        <v>524.91186500000003</v>
      </c>
      <c r="AW58" s="4">
        <v>544.76995799999997</v>
      </c>
      <c r="AY58" s="4" t="s">
        <v>124</v>
      </c>
      <c r="AZ58" s="4">
        <v>553.33111599999995</v>
      </c>
      <c r="BA58" s="4">
        <v>543.99487299999998</v>
      </c>
      <c r="BB58" s="4">
        <v>572.99224900000002</v>
      </c>
      <c r="BD58" s="4" t="s">
        <v>124</v>
      </c>
      <c r="BE58" s="4">
        <v>546.83569299999999</v>
      </c>
      <c r="BF58" s="4">
        <v>524.91186500000003</v>
      </c>
      <c r="BG58" s="4">
        <v>544.76995799999997</v>
      </c>
    </row>
    <row r="59" spans="1:59" x14ac:dyDescent="0.3">
      <c r="A59" s="4" t="s">
        <v>126</v>
      </c>
      <c r="B59" s="4">
        <v>627.19055200000003</v>
      </c>
      <c r="C59" s="4">
        <v>630.25396699999999</v>
      </c>
      <c r="D59" s="4">
        <v>675.33166500000004</v>
      </c>
      <c r="I59" s="4" t="s">
        <v>126</v>
      </c>
      <c r="J59" s="4">
        <v>613.71520999999996</v>
      </c>
      <c r="K59" s="4">
        <v>628.83703600000001</v>
      </c>
      <c r="L59" s="4">
        <v>727.69164999999998</v>
      </c>
      <c r="M59" s="12"/>
      <c r="O59" s="4" t="s">
        <v>126</v>
      </c>
      <c r="P59" s="4">
        <v>612.19592299999999</v>
      </c>
      <c r="Q59" s="4">
        <v>651.84375</v>
      </c>
      <c r="R59" s="4">
        <v>745.09057600000006</v>
      </c>
      <c r="U59" s="4" t="s">
        <v>126</v>
      </c>
      <c r="V59" s="4">
        <v>585.73718299999996</v>
      </c>
      <c r="W59" s="4">
        <v>616.337402</v>
      </c>
      <c r="X59" s="4">
        <v>699.85400400000003</v>
      </c>
      <c r="AO59" s="4" t="s">
        <v>126</v>
      </c>
      <c r="AP59" s="4">
        <v>627.19055200000003</v>
      </c>
      <c r="AQ59" s="4">
        <v>612.19592299999999</v>
      </c>
      <c r="AR59" s="4">
        <v>651.84375</v>
      </c>
      <c r="AT59" s="4" t="s">
        <v>126</v>
      </c>
      <c r="AU59" s="4">
        <v>613.71520999999996</v>
      </c>
      <c r="AV59" s="4">
        <v>585.73718299999996</v>
      </c>
      <c r="AW59" s="4">
        <v>616.337402</v>
      </c>
      <c r="AY59" s="4" t="s">
        <v>126</v>
      </c>
      <c r="AZ59" s="4">
        <v>630.25396699999999</v>
      </c>
      <c r="BA59" s="4">
        <v>612.19592299999999</v>
      </c>
      <c r="BB59" s="4">
        <v>651.84375</v>
      </c>
      <c r="BD59" s="4" t="s">
        <v>126</v>
      </c>
      <c r="BE59" s="4">
        <v>628.83703600000001</v>
      </c>
      <c r="BF59" s="4">
        <v>585.73718299999996</v>
      </c>
      <c r="BG59" s="4">
        <v>616.337402</v>
      </c>
    </row>
    <row r="60" spans="1:59" x14ac:dyDescent="0.3">
      <c r="A60" s="4" t="s">
        <v>128</v>
      </c>
      <c r="B60" s="4">
        <v>595.46801800000003</v>
      </c>
      <c r="C60" s="4">
        <v>587.75598100000002</v>
      </c>
      <c r="D60" s="4">
        <v>603.15130599999998</v>
      </c>
      <c r="I60" s="4" t="s">
        <v>128</v>
      </c>
      <c r="J60" s="4">
        <v>570.23364300000003</v>
      </c>
      <c r="K60" s="4">
        <v>598.39324999999997</v>
      </c>
      <c r="L60" s="4">
        <v>695.71398899999997</v>
      </c>
      <c r="M60" s="12"/>
      <c r="O60" s="4" t="s">
        <v>128</v>
      </c>
      <c r="P60" s="4">
        <v>625.72131300000001</v>
      </c>
      <c r="Q60" s="4">
        <v>600.66986099999997</v>
      </c>
      <c r="R60" s="4">
        <v>658.20959500000004</v>
      </c>
      <c r="U60" s="4" t="s">
        <v>128</v>
      </c>
      <c r="V60" s="4">
        <v>578.84594700000002</v>
      </c>
      <c r="W60" s="4">
        <v>596.78961200000003</v>
      </c>
      <c r="X60" s="4">
        <v>600.82372999999995</v>
      </c>
      <c r="AO60" s="4" t="s">
        <v>128</v>
      </c>
      <c r="AP60" s="4">
        <v>595.46801800000003</v>
      </c>
      <c r="AQ60" s="4">
        <v>625.72131300000001</v>
      </c>
      <c r="AR60" s="4">
        <v>600.66986099999997</v>
      </c>
      <c r="AT60" s="4" t="s">
        <v>128</v>
      </c>
      <c r="AU60" s="4">
        <v>570.23364300000003</v>
      </c>
      <c r="AV60" s="4">
        <v>578.84594700000002</v>
      </c>
      <c r="AW60" s="4">
        <v>596.78961200000003</v>
      </c>
      <c r="AY60" s="4" t="s">
        <v>128</v>
      </c>
      <c r="AZ60" s="4">
        <v>587.75598100000002</v>
      </c>
      <c r="BA60" s="4">
        <v>625.72131300000001</v>
      </c>
      <c r="BB60" s="4">
        <v>600.66986099999997</v>
      </c>
      <c r="BD60" s="4" t="s">
        <v>128</v>
      </c>
      <c r="BE60" s="4">
        <v>598.39324999999997</v>
      </c>
      <c r="BF60" s="4">
        <v>578.84594700000002</v>
      </c>
      <c r="BG60" s="4">
        <v>596.78961200000003</v>
      </c>
    </row>
    <row r="61" spans="1:59" x14ac:dyDescent="0.3">
      <c r="A61" s="4" t="s">
        <v>130</v>
      </c>
      <c r="B61" s="4">
        <v>636.48242200000004</v>
      </c>
      <c r="C61" s="4">
        <v>656.67535399999997</v>
      </c>
      <c r="D61" s="4">
        <v>711.19366500000001</v>
      </c>
      <c r="I61" s="4" t="s">
        <v>130</v>
      </c>
      <c r="J61" s="4">
        <v>629.25567599999999</v>
      </c>
      <c r="K61" s="4">
        <v>648.15527299999997</v>
      </c>
      <c r="L61" s="4">
        <v>724.99737500000003</v>
      </c>
      <c r="M61" s="12"/>
      <c r="O61" s="4" t="s">
        <v>130</v>
      </c>
      <c r="P61" s="4">
        <v>713.40441899999996</v>
      </c>
      <c r="Q61" s="4">
        <v>645.14813200000003</v>
      </c>
      <c r="R61" s="4">
        <v>613.77917500000001</v>
      </c>
      <c r="U61" s="4" t="s">
        <v>130</v>
      </c>
      <c r="V61" s="4">
        <v>660.03057899999999</v>
      </c>
      <c r="W61" s="4">
        <v>640.11547900000005</v>
      </c>
      <c r="X61" s="4">
        <v>645.03576699999996</v>
      </c>
      <c r="AO61" s="4" t="s">
        <v>130</v>
      </c>
      <c r="AP61" s="4">
        <v>636.48242200000004</v>
      </c>
      <c r="AQ61" s="4">
        <v>713.40441899999996</v>
      </c>
      <c r="AR61" s="4">
        <v>645.14813200000003</v>
      </c>
      <c r="AT61" s="4" t="s">
        <v>130</v>
      </c>
      <c r="AU61" s="4">
        <v>629.25567599999999</v>
      </c>
      <c r="AV61" s="4">
        <v>660.03057899999999</v>
      </c>
      <c r="AW61" s="4">
        <v>640.11547900000005</v>
      </c>
      <c r="AY61" s="4" t="s">
        <v>130</v>
      </c>
      <c r="AZ61" s="4">
        <v>656.67535399999997</v>
      </c>
      <c r="BA61" s="4">
        <v>713.40441899999996</v>
      </c>
      <c r="BB61" s="4">
        <v>645.14813200000003</v>
      </c>
      <c r="BD61" s="4" t="s">
        <v>130</v>
      </c>
      <c r="BE61" s="4">
        <v>648.15527299999997</v>
      </c>
      <c r="BF61" s="4">
        <v>660.03057899999999</v>
      </c>
      <c r="BG61" s="4">
        <v>640.11547900000005</v>
      </c>
    </row>
    <row r="62" spans="1:59" x14ac:dyDescent="0.3">
      <c r="A62" s="4" t="s">
        <v>132</v>
      </c>
      <c r="B62" s="4">
        <v>559.28137200000003</v>
      </c>
      <c r="C62" s="4">
        <v>568.16583300000002</v>
      </c>
      <c r="D62" s="4">
        <v>671.89349400000003</v>
      </c>
      <c r="I62" s="4" t="s">
        <v>132</v>
      </c>
      <c r="J62" s="4">
        <v>512.65637200000003</v>
      </c>
      <c r="K62" s="4">
        <v>560.28118900000004</v>
      </c>
      <c r="L62" s="4">
        <v>578.05206299999998</v>
      </c>
      <c r="M62" s="12"/>
      <c r="O62" s="4" t="s">
        <v>132</v>
      </c>
      <c r="P62" s="4">
        <v>534.81494099999998</v>
      </c>
      <c r="Q62" s="4">
        <v>535.77044699999999</v>
      </c>
      <c r="R62" s="4">
        <v>571.25732400000004</v>
      </c>
      <c r="U62" s="4" t="s">
        <v>132</v>
      </c>
      <c r="V62" s="4">
        <v>568.50994900000001</v>
      </c>
      <c r="W62" s="4">
        <v>547.01238999999998</v>
      </c>
      <c r="X62" s="4">
        <v>663.23101799999995</v>
      </c>
      <c r="AO62" s="4" t="s">
        <v>132</v>
      </c>
      <c r="AP62" s="4">
        <v>559.28137200000003</v>
      </c>
      <c r="AQ62" s="4">
        <v>534.81494099999998</v>
      </c>
      <c r="AR62" s="4">
        <v>535.77044699999999</v>
      </c>
      <c r="AT62" s="4" t="s">
        <v>132</v>
      </c>
      <c r="AU62" s="4">
        <v>512.65637200000003</v>
      </c>
      <c r="AV62" s="4">
        <v>568.50994900000001</v>
      </c>
      <c r="AW62" s="4">
        <v>547.01238999999998</v>
      </c>
      <c r="AY62" s="4" t="s">
        <v>132</v>
      </c>
      <c r="AZ62" s="4">
        <v>568.16583300000002</v>
      </c>
      <c r="BA62" s="4">
        <v>534.81494099999998</v>
      </c>
      <c r="BB62" s="4">
        <v>535.77044699999999</v>
      </c>
      <c r="BD62" s="4" t="s">
        <v>132</v>
      </c>
      <c r="BE62" s="4">
        <v>560.28118900000004</v>
      </c>
      <c r="BF62" s="4">
        <v>568.50994900000001</v>
      </c>
      <c r="BG62" s="4">
        <v>547.01238999999998</v>
      </c>
    </row>
    <row r="63" spans="1:59" x14ac:dyDescent="0.3">
      <c r="A63" s="4" t="s">
        <v>134</v>
      </c>
      <c r="B63" s="4">
        <v>600.08557099999996</v>
      </c>
      <c r="C63" s="4">
        <v>612.113159</v>
      </c>
      <c r="D63" s="4">
        <v>588.62658699999997</v>
      </c>
      <c r="I63" s="4" t="s">
        <v>134</v>
      </c>
      <c r="J63" s="4">
        <v>553.515625</v>
      </c>
      <c r="K63" s="4">
        <v>554.870544</v>
      </c>
      <c r="L63" s="4">
        <v>549.27002000000005</v>
      </c>
      <c r="M63" s="12"/>
      <c r="O63" s="4" t="s">
        <v>134</v>
      </c>
      <c r="P63" s="4">
        <v>588.62658699999997</v>
      </c>
      <c r="Q63" s="4">
        <v>592.66516100000001</v>
      </c>
      <c r="R63" s="4">
        <v>588.62658699999997</v>
      </c>
      <c r="U63" s="4" t="s">
        <v>134</v>
      </c>
      <c r="V63" s="4">
        <v>549.27002000000005</v>
      </c>
      <c r="W63" s="4">
        <v>566.40155000000004</v>
      </c>
      <c r="X63" s="4">
        <v>549.27002000000005</v>
      </c>
      <c r="AO63" s="4" t="s">
        <v>134</v>
      </c>
      <c r="AP63" s="4">
        <v>600.08557099999996</v>
      </c>
      <c r="AQ63" s="4">
        <v>588.62658699999997</v>
      </c>
      <c r="AR63" s="4">
        <v>592.66516100000001</v>
      </c>
      <c r="AT63" s="4" t="s">
        <v>134</v>
      </c>
      <c r="AU63" s="4">
        <v>553.515625</v>
      </c>
      <c r="AV63" s="4">
        <v>549.27002000000005</v>
      </c>
      <c r="AW63" s="4">
        <v>566.40155000000004</v>
      </c>
      <c r="AY63" s="4" t="s">
        <v>134</v>
      </c>
      <c r="AZ63" s="4">
        <v>612.113159</v>
      </c>
      <c r="BA63" s="4">
        <v>588.62658699999997</v>
      </c>
      <c r="BB63" s="4">
        <v>592.66516100000001</v>
      </c>
      <c r="BD63" s="4" t="s">
        <v>134</v>
      </c>
      <c r="BE63" s="4">
        <v>554.870544</v>
      </c>
      <c r="BF63" s="4">
        <v>549.27002000000005</v>
      </c>
      <c r="BG63" s="4">
        <v>566.40155000000004</v>
      </c>
    </row>
    <row r="64" spans="1:59" x14ac:dyDescent="0.3">
      <c r="A64" s="4" t="s">
        <v>136</v>
      </c>
      <c r="B64" s="4">
        <v>544.890625</v>
      </c>
      <c r="C64" s="4">
        <v>538.90173300000004</v>
      </c>
      <c r="D64" s="4">
        <v>587.77807600000006</v>
      </c>
      <c r="I64" s="4" t="s">
        <v>136</v>
      </c>
      <c r="J64" s="4">
        <v>458.34362800000002</v>
      </c>
      <c r="K64" s="4">
        <v>458.216431</v>
      </c>
      <c r="L64" s="4">
        <v>447.411743</v>
      </c>
      <c r="M64" s="12"/>
      <c r="O64" s="4" t="s">
        <v>136</v>
      </c>
      <c r="P64" s="4">
        <v>516.95764199999996</v>
      </c>
      <c r="Q64" s="4">
        <v>547.20288100000005</v>
      </c>
      <c r="R64" s="4">
        <v>555.30950900000005</v>
      </c>
      <c r="U64" s="4" t="s">
        <v>136</v>
      </c>
      <c r="V64" s="4">
        <v>468.19949300000002</v>
      </c>
      <c r="W64" s="4">
        <v>467.10522500000002</v>
      </c>
      <c r="X64" s="4">
        <v>487.88681000000003</v>
      </c>
      <c r="AO64" s="4" t="s">
        <v>136</v>
      </c>
      <c r="AP64" s="4">
        <v>544.890625</v>
      </c>
      <c r="AQ64" s="4">
        <v>516.95764199999996</v>
      </c>
      <c r="AR64" s="4">
        <v>547.20288100000005</v>
      </c>
      <c r="AT64" s="4" t="s">
        <v>136</v>
      </c>
      <c r="AU64" s="4">
        <v>458.34362800000002</v>
      </c>
      <c r="AV64" s="4">
        <v>468.19949300000002</v>
      </c>
      <c r="AW64" s="4">
        <v>467.10522500000002</v>
      </c>
      <c r="AY64" s="4" t="s">
        <v>136</v>
      </c>
      <c r="AZ64" s="4">
        <v>538.90173300000004</v>
      </c>
      <c r="BA64" s="4">
        <v>516.95764199999996</v>
      </c>
      <c r="BB64" s="4">
        <v>547.20288100000005</v>
      </c>
      <c r="BD64" s="4" t="s">
        <v>136</v>
      </c>
      <c r="BE64" s="4">
        <v>458.216431</v>
      </c>
      <c r="BF64" s="4">
        <v>468.19949300000002</v>
      </c>
      <c r="BG64" s="4">
        <v>467.10522500000002</v>
      </c>
    </row>
    <row r="65" spans="1:59" x14ac:dyDescent="0.3">
      <c r="A65" s="4" t="s">
        <v>138</v>
      </c>
      <c r="B65" s="4">
        <v>603.32708700000001</v>
      </c>
      <c r="C65" s="4">
        <v>610.80566399999998</v>
      </c>
      <c r="D65" s="4">
        <v>610.18273899999997</v>
      </c>
      <c r="I65" s="4" t="s">
        <v>138</v>
      </c>
      <c r="J65" s="4">
        <v>545.328125</v>
      </c>
      <c r="K65" s="4">
        <v>574.13793899999996</v>
      </c>
      <c r="L65" s="4">
        <v>626.22241199999996</v>
      </c>
      <c r="M65" s="12"/>
      <c r="O65" s="4" t="s">
        <v>138</v>
      </c>
      <c r="P65" s="4">
        <v>655.64483600000005</v>
      </c>
      <c r="Q65" s="4">
        <v>607.13934300000005</v>
      </c>
      <c r="R65" s="4">
        <v>644.86724900000002</v>
      </c>
      <c r="U65" s="4" t="s">
        <v>138</v>
      </c>
      <c r="V65" s="4">
        <v>613.38525400000003</v>
      </c>
      <c r="W65" s="4">
        <v>561.94537400000002</v>
      </c>
      <c r="X65" s="4">
        <v>636.10607900000002</v>
      </c>
      <c r="AO65" s="4" t="s">
        <v>138</v>
      </c>
      <c r="AP65" s="4">
        <v>603.32708700000001</v>
      </c>
      <c r="AQ65" s="4">
        <v>655.64483600000005</v>
      </c>
      <c r="AR65" s="4">
        <v>607.13934300000005</v>
      </c>
      <c r="AT65" s="4" t="s">
        <v>138</v>
      </c>
      <c r="AU65" s="4">
        <v>545.328125</v>
      </c>
      <c r="AV65" s="4">
        <v>613.38525400000003</v>
      </c>
      <c r="AW65" s="4">
        <v>561.94537400000002</v>
      </c>
      <c r="AY65" s="4" t="s">
        <v>138</v>
      </c>
      <c r="AZ65" s="4">
        <v>610.80566399999998</v>
      </c>
      <c r="BA65" s="4">
        <v>655.64483600000005</v>
      </c>
      <c r="BB65" s="4">
        <v>607.13934300000005</v>
      </c>
      <c r="BD65" s="4" t="s">
        <v>138</v>
      </c>
      <c r="BE65" s="4">
        <v>574.13793899999996</v>
      </c>
      <c r="BF65" s="4">
        <v>613.38525400000003</v>
      </c>
      <c r="BG65" s="4">
        <v>561.94537400000002</v>
      </c>
    </row>
    <row r="66" spans="1:59" x14ac:dyDescent="0.3">
      <c r="A66" s="4" t="s">
        <v>140</v>
      </c>
      <c r="B66" s="4">
        <v>599.78900099999998</v>
      </c>
      <c r="C66" s="4">
        <v>597.69976799999995</v>
      </c>
      <c r="D66" s="4">
        <v>635.02893100000006</v>
      </c>
      <c r="I66" s="4" t="s">
        <v>140</v>
      </c>
      <c r="J66" s="4">
        <v>544.80743399999994</v>
      </c>
      <c r="K66" s="4">
        <v>580.28814699999998</v>
      </c>
      <c r="L66" s="4">
        <v>645.60797100000002</v>
      </c>
      <c r="M66" s="12"/>
      <c r="O66" s="4" t="s">
        <v>140</v>
      </c>
      <c r="P66" s="4">
        <v>651.22076400000003</v>
      </c>
      <c r="Q66" s="4">
        <v>601.75116000000003</v>
      </c>
      <c r="R66" s="4">
        <v>613.13110400000005</v>
      </c>
      <c r="U66" s="4" t="s">
        <v>140</v>
      </c>
      <c r="V66" s="4">
        <v>608.03192100000001</v>
      </c>
      <c r="W66" s="4">
        <v>567.04083300000002</v>
      </c>
      <c r="X66" s="4">
        <v>534.662598</v>
      </c>
      <c r="AO66" s="4" t="s">
        <v>140</v>
      </c>
      <c r="AP66" s="4">
        <v>599.78900099999998</v>
      </c>
      <c r="AQ66" s="4">
        <v>651.22076400000003</v>
      </c>
      <c r="AR66" s="4">
        <v>601.75116000000003</v>
      </c>
      <c r="AT66" s="4" t="s">
        <v>140</v>
      </c>
      <c r="AU66" s="4">
        <v>544.80743399999994</v>
      </c>
      <c r="AV66" s="4">
        <v>608.03192100000001</v>
      </c>
      <c r="AW66" s="4">
        <v>567.04083300000002</v>
      </c>
      <c r="AY66" s="4" t="s">
        <v>140</v>
      </c>
      <c r="AZ66" s="4">
        <v>597.69976799999995</v>
      </c>
      <c r="BA66" s="4">
        <v>651.22076400000003</v>
      </c>
      <c r="BB66" s="4">
        <v>601.75116000000003</v>
      </c>
      <c r="BD66" s="4" t="s">
        <v>140</v>
      </c>
      <c r="BE66" s="4">
        <v>580.28814699999998</v>
      </c>
      <c r="BF66" s="4">
        <v>608.03192100000001</v>
      </c>
      <c r="BG66" s="4">
        <v>567.04083300000002</v>
      </c>
    </row>
    <row r="67" spans="1:59" x14ac:dyDescent="0.3">
      <c r="A67" s="4" t="s">
        <v>142</v>
      </c>
      <c r="B67" s="4">
        <v>519.76959199999999</v>
      </c>
      <c r="C67" s="4">
        <v>542.69671600000004</v>
      </c>
      <c r="D67" s="4">
        <v>570.22283900000002</v>
      </c>
      <c r="I67" s="4" t="s">
        <v>142</v>
      </c>
      <c r="J67" s="4">
        <v>446.243652</v>
      </c>
      <c r="K67" s="4">
        <v>452.684845</v>
      </c>
      <c r="L67" s="4">
        <v>491.19515999999999</v>
      </c>
      <c r="M67" s="12"/>
      <c r="O67" s="4" t="s">
        <v>142</v>
      </c>
      <c r="P67" s="4">
        <v>555.95752000000005</v>
      </c>
      <c r="Q67" s="4">
        <v>544.70544400000006</v>
      </c>
      <c r="R67" s="4">
        <v>592.72534199999996</v>
      </c>
      <c r="U67" s="4" t="s">
        <v>142</v>
      </c>
      <c r="V67" s="4">
        <v>421.98644999999999</v>
      </c>
      <c r="W67" s="4">
        <v>442.19589200000001</v>
      </c>
      <c r="X67" s="4">
        <v>553.83325200000002</v>
      </c>
      <c r="AO67" s="4" t="s">
        <v>142</v>
      </c>
      <c r="AP67" s="4">
        <v>519.76959199999999</v>
      </c>
      <c r="AQ67" s="4">
        <v>555.95752000000005</v>
      </c>
      <c r="AR67" s="4">
        <v>544.70544400000006</v>
      </c>
      <c r="AT67" s="4" t="s">
        <v>142</v>
      </c>
      <c r="AU67" s="4">
        <v>446.243652</v>
      </c>
      <c r="AV67" s="4">
        <v>421.98644999999999</v>
      </c>
      <c r="AW67" s="4">
        <v>442.19589200000001</v>
      </c>
      <c r="AY67" s="4" t="s">
        <v>142</v>
      </c>
      <c r="AZ67" s="4">
        <v>542.69671600000004</v>
      </c>
      <c r="BA67" s="4">
        <v>555.95752000000005</v>
      </c>
      <c r="BB67" s="4">
        <v>544.70544400000006</v>
      </c>
      <c r="BD67" s="4" t="s">
        <v>142</v>
      </c>
      <c r="BE67" s="4">
        <v>452.684845</v>
      </c>
      <c r="BF67" s="4">
        <v>421.98644999999999</v>
      </c>
      <c r="BG67" s="4">
        <v>442.19589200000001</v>
      </c>
    </row>
    <row r="68" spans="1:59" x14ac:dyDescent="0.3">
      <c r="A68" s="4" t="s">
        <v>144</v>
      </c>
      <c r="B68" s="4">
        <v>610.307007</v>
      </c>
      <c r="C68" s="4">
        <v>630.65838599999995</v>
      </c>
      <c r="D68" s="4">
        <v>655.37719700000002</v>
      </c>
      <c r="I68" s="4" t="s">
        <v>144</v>
      </c>
      <c r="J68" s="4">
        <v>577.97735599999999</v>
      </c>
      <c r="K68" s="4">
        <v>580.29516599999999</v>
      </c>
      <c r="L68" s="4">
        <v>623.79595900000004</v>
      </c>
      <c r="M68" s="12"/>
      <c r="O68" s="4" t="s">
        <v>144</v>
      </c>
      <c r="P68" s="4">
        <v>602.59863299999995</v>
      </c>
      <c r="Q68" s="4">
        <v>631.06091300000003</v>
      </c>
      <c r="R68" s="4">
        <v>653.97503700000004</v>
      </c>
      <c r="U68" s="4" t="s">
        <v>144</v>
      </c>
      <c r="V68" s="4">
        <v>622.59118699999999</v>
      </c>
      <c r="W68" s="4">
        <v>591.59857199999999</v>
      </c>
      <c r="X68" s="4">
        <v>539.18505900000002</v>
      </c>
      <c r="AO68" s="4" t="s">
        <v>144</v>
      </c>
      <c r="AP68" s="4">
        <v>610.307007</v>
      </c>
      <c r="AQ68" s="4">
        <v>602.59863299999995</v>
      </c>
      <c r="AR68" s="4">
        <v>631.06091300000003</v>
      </c>
      <c r="AT68" s="4" t="s">
        <v>144</v>
      </c>
      <c r="AU68" s="4">
        <v>577.97735599999999</v>
      </c>
      <c r="AV68" s="4">
        <v>622.59118699999999</v>
      </c>
      <c r="AW68" s="4">
        <v>591.59857199999999</v>
      </c>
      <c r="AY68" s="4" t="s">
        <v>144</v>
      </c>
      <c r="AZ68" s="4">
        <v>630.65838599999995</v>
      </c>
      <c r="BA68" s="4">
        <v>602.59863299999995</v>
      </c>
      <c r="BB68" s="4">
        <v>631.06091300000003</v>
      </c>
      <c r="BD68" s="4" t="s">
        <v>144</v>
      </c>
      <c r="BE68" s="4">
        <v>580.29516599999999</v>
      </c>
      <c r="BF68" s="4">
        <v>622.59118699999999</v>
      </c>
      <c r="BG68" s="4">
        <v>591.59857199999999</v>
      </c>
    </row>
    <row r="69" spans="1:59" x14ac:dyDescent="0.3">
      <c r="A69" s="4" t="s">
        <v>146</v>
      </c>
      <c r="B69" s="4">
        <v>543.838257</v>
      </c>
      <c r="C69" s="4">
        <v>560.43963599999995</v>
      </c>
      <c r="D69" s="4">
        <v>623.07153300000004</v>
      </c>
      <c r="I69" s="4" t="s">
        <v>146</v>
      </c>
      <c r="J69" s="4">
        <v>466.94134500000001</v>
      </c>
      <c r="K69" s="4">
        <v>500.38897700000001</v>
      </c>
      <c r="L69" s="4">
        <v>486.22427399999998</v>
      </c>
      <c r="M69" s="12"/>
      <c r="O69" s="4" t="s">
        <v>146</v>
      </c>
      <c r="P69" s="4">
        <v>595.64794900000004</v>
      </c>
      <c r="Q69" s="4">
        <v>571.00451699999996</v>
      </c>
      <c r="R69" s="4">
        <v>599.51452600000005</v>
      </c>
      <c r="U69" s="4" t="s">
        <v>146</v>
      </c>
      <c r="V69" s="4">
        <v>545.49652100000003</v>
      </c>
      <c r="W69" s="4">
        <v>510.762787</v>
      </c>
      <c r="X69" s="4">
        <v>486.22427399999998</v>
      </c>
      <c r="AO69" s="4" t="s">
        <v>146</v>
      </c>
      <c r="AP69" s="4">
        <v>543.838257</v>
      </c>
      <c r="AQ69" s="4">
        <v>595.64794900000004</v>
      </c>
      <c r="AR69" s="4">
        <v>571.00451699999996</v>
      </c>
      <c r="AT69" s="4" t="s">
        <v>146</v>
      </c>
      <c r="AU69" s="4">
        <v>466.94134500000001</v>
      </c>
      <c r="AV69" s="4">
        <v>545.49652100000003</v>
      </c>
      <c r="AW69" s="4">
        <v>510.762787</v>
      </c>
      <c r="AY69" s="4" t="s">
        <v>146</v>
      </c>
      <c r="AZ69" s="4">
        <v>560.43963599999995</v>
      </c>
      <c r="BA69" s="4">
        <v>595.64794900000004</v>
      </c>
      <c r="BB69" s="4">
        <v>571.00451699999996</v>
      </c>
      <c r="BD69" s="4" t="s">
        <v>146</v>
      </c>
      <c r="BE69" s="4">
        <v>500.38897700000001</v>
      </c>
      <c r="BF69" s="4">
        <v>545.49652100000003</v>
      </c>
      <c r="BG69" s="4">
        <v>510.762787</v>
      </c>
    </row>
    <row r="70" spans="1:59" x14ac:dyDescent="0.3">
      <c r="A70" s="4" t="s">
        <v>148</v>
      </c>
      <c r="B70" s="4">
        <v>599.996216</v>
      </c>
      <c r="C70" s="4">
        <v>604.33557099999996</v>
      </c>
      <c r="D70" s="4">
        <v>650.90686000000005</v>
      </c>
      <c r="I70" s="4" t="s">
        <v>148</v>
      </c>
      <c r="J70" s="4">
        <v>541.82678199999998</v>
      </c>
      <c r="K70" s="4">
        <v>572.03344700000002</v>
      </c>
      <c r="L70" s="4">
        <v>500.84716800000001</v>
      </c>
      <c r="M70" s="12"/>
      <c r="O70" s="4" t="s">
        <v>148</v>
      </c>
      <c r="P70" s="4">
        <v>575.23004200000003</v>
      </c>
      <c r="Q70" s="4">
        <v>607.06994599999996</v>
      </c>
      <c r="R70" s="4">
        <v>668.91815199999996</v>
      </c>
      <c r="U70" s="4" t="s">
        <v>148</v>
      </c>
      <c r="V70" s="4">
        <v>500.67480499999999</v>
      </c>
      <c r="W70" s="4">
        <v>552.70660399999997</v>
      </c>
      <c r="X70" s="4">
        <v>601.11608899999999</v>
      </c>
      <c r="AO70" s="4" t="s">
        <v>148</v>
      </c>
      <c r="AP70" s="4">
        <v>599.996216</v>
      </c>
      <c r="AQ70" s="4">
        <v>575.23004200000003</v>
      </c>
      <c r="AR70" s="4">
        <v>607.06994599999996</v>
      </c>
      <c r="AT70" s="4" t="s">
        <v>148</v>
      </c>
      <c r="AU70" s="4">
        <v>541.82678199999998</v>
      </c>
      <c r="AV70" s="4">
        <v>500.67480499999999</v>
      </c>
      <c r="AW70" s="4">
        <v>552.70660399999997</v>
      </c>
      <c r="AY70" s="4" t="s">
        <v>148</v>
      </c>
      <c r="AZ70" s="4">
        <v>604.33557099999996</v>
      </c>
      <c r="BA70" s="4">
        <v>575.23004200000003</v>
      </c>
      <c r="BB70" s="4">
        <v>607.06994599999996</v>
      </c>
      <c r="BD70" s="4" t="s">
        <v>148</v>
      </c>
      <c r="BE70" s="4">
        <v>572.03344700000002</v>
      </c>
      <c r="BF70" s="4">
        <v>500.67480499999999</v>
      </c>
      <c r="BG70" s="4">
        <v>552.70660399999997</v>
      </c>
    </row>
    <row r="71" spans="1:59" x14ac:dyDescent="0.3">
      <c r="A71" s="4" t="s">
        <v>150</v>
      </c>
      <c r="B71" s="4">
        <v>536.33410600000002</v>
      </c>
      <c r="C71" s="4">
        <v>549.73461899999995</v>
      </c>
      <c r="D71" s="4">
        <v>539.45971699999996</v>
      </c>
      <c r="I71" s="4" t="s">
        <v>150</v>
      </c>
      <c r="J71" s="4">
        <v>449.11697400000003</v>
      </c>
      <c r="K71" s="4">
        <v>473.03066999999999</v>
      </c>
      <c r="L71" s="4">
        <v>596.15325900000005</v>
      </c>
      <c r="M71" s="12"/>
      <c r="O71" s="4" t="s">
        <v>150</v>
      </c>
      <c r="P71" s="4">
        <v>519.41235400000005</v>
      </c>
      <c r="Q71" s="4">
        <v>545.79193099999998</v>
      </c>
      <c r="R71" s="4">
        <v>549.078125</v>
      </c>
      <c r="U71" s="4" t="s">
        <v>150</v>
      </c>
      <c r="V71" s="4">
        <v>565.35986300000002</v>
      </c>
      <c r="W71" s="4">
        <v>468.53472900000003</v>
      </c>
      <c r="X71" s="4">
        <v>537.20794699999999</v>
      </c>
      <c r="AO71" s="4" t="s">
        <v>150</v>
      </c>
      <c r="AP71" s="4">
        <v>536.33410600000002</v>
      </c>
      <c r="AQ71" s="4">
        <v>519.41235400000005</v>
      </c>
      <c r="AR71" s="4">
        <v>545.79193099999998</v>
      </c>
      <c r="AT71" s="4" t="s">
        <v>150</v>
      </c>
      <c r="AU71" s="4">
        <v>449.11697400000003</v>
      </c>
      <c r="AV71" s="4">
        <v>565.35986300000002</v>
      </c>
      <c r="AW71" s="4">
        <v>468.53472900000003</v>
      </c>
      <c r="AY71" s="4" t="s">
        <v>150</v>
      </c>
      <c r="AZ71" s="4">
        <v>549.73461899999995</v>
      </c>
      <c r="BA71" s="4">
        <v>519.41235400000005</v>
      </c>
      <c r="BB71" s="4">
        <v>545.79193099999998</v>
      </c>
      <c r="BD71" s="4" t="s">
        <v>150</v>
      </c>
      <c r="BE71" s="4">
        <v>473.03066999999999</v>
      </c>
      <c r="BF71" s="4">
        <v>565.35986300000002</v>
      </c>
      <c r="BG71" s="4">
        <v>468.53472900000003</v>
      </c>
    </row>
    <row r="72" spans="1:59" x14ac:dyDescent="0.3">
      <c r="A72" s="4" t="s">
        <v>152</v>
      </c>
      <c r="B72" s="4">
        <v>582.50158699999997</v>
      </c>
      <c r="C72" s="4">
        <v>590.42382799999996</v>
      </c>
      <c r="D72" s="4">
        <v>633.68743900000004</v>
      </c>
      <c r="I72" s="4" t="s">
        <v>152</v>
      </c>
      <c r="J72" s="4">
        <v>536.48095699999999</v>
      </c>
      <c r="K72" s="4">
        <v>553.47735599999999</v>
      </c>
      <c r="L72" s="4">
        <v>615.50964399999998</v>
      </c>
      <c r="M72" s="12"/>
      <c r="O72" s="4" t="s">
        <v>152</v>
      </c>
      <c r="P72" s="4">
        <v>606.68292199999996</v>
      </c>
      <c r="Q72" s="4">
        <v>595.23681599999998</v>
      </c>
      <c r="R72" s="4">
        <v>660.37182600000006</v>
      </c>
      <c r="U72" s="4" t="s">
        <v>152</v>
      </c>
      <c r="V72" s="4">
        <v>564.76122999999995</v>
      </c>
      <c r="W72" s="4">
        <v>562.46234100000004</v>
      </c>
      <c r="X72" s="4">
        <v>606.068848</v>
      </c>
      <c r="AO72" s="4" t="s">
        <v>152</v>
      </c>
      <c r="AP72" s="4">
        <v>582.50158699999997</v>
      </c>
      <c r="AQ72" s="4">
        <v>606.68292199999996</v>
      </c>
      <c r="AR72" s="4">
        <v>595.23681599999998</v>
      </c>
      <c r="AT72" s="4" t="s">
        <v>152</v>
      </c>
      <c r="AU72" s="4">
        <v>536.48095699999999</v>
      </c>
      <c r="AV72" s="4">
        <v>564.76122999999995</v>
      </c>
      <c r="AW72" s="4">
        <v>562.46234100000004</v>
      </c>
      <c r="AY72" s="4" t="s">
        <v>152</v>
      </c>
      <c r="AZ72" s="4">
        <v>590.42382799999996</v>
      </c>
      <c r="BA72" s="4">
        <v>606.68292199999996</v>
      </c>
      <c r="BB72" s="4">
        <v>595.23681599999998</v>
      </c>
      <c r="BD72" s="4" t="s">
        <v>152</v>
      </c>
      <c r="BE72" s="4">
        <v>553.47735599999999</v>
      </c>
      <c r="BF72" s="4">
        <v>564.76122999999995</v>
      </c>
      <c r="BG72" s="4">
        <v>562.46234100000004</v>
      </c>
    </row>
    <row r="73" spans="1:59" x14ac:dyDescent="0.3">
      <c r="A73" s="4" t="s">
        <v>154</v>
      </c>
      <c r="B73" s="4">
        <v>573.82934599999999</v>
      </c>
      <c r="C73" s="4">
        <v>605.48040800000001</v>
      </c>
      <c r="D73" s="4">
        <v>625.53698699999995</v>
      </c>
      <c r="I73" s="4" t="s">
        <v>154</v>
      </c>
      <c r="J73" s="4">
        <v>579.96484399999997</v>
      </c>
      <c r="K73" s="4">
        <v>579.47393799999998</v>
      </c>
      <c r="L73" s="4">
        <v>670.85522500000002</v>
      </c>
      <c r="M73" s="12"/>
      <c r="O73" s="4" t="s">
        <v>154</v>
      </c>
      <c r="P73" s="4">
        <v>636.87469499999997</v>
      </c>
      <c r="Q73" s="4">
        <v>616.68957499999999</v>
      </c>
      <c r="R73" s="4">
        <v>618.01855499999999</v>
      </c>
      <c r="U73" s="4" t="s">
        <v>154</v>
      </c>
      <c r="V73" s="4">
        <v>588.88391100000001</v>
      </c>
      <c r="W73" s="4">
        <v>579.11413600000003</v>
      </c>
      <c r="X73" s="4">
        <v>684.03845200000001</v>
      </c>
      <c r="AO73" s="4" t="s">
        <v>154</v>
      </c>
      <c r="AP73" s="4">
        <v>573.82934599999999</v>
      </c>
      <c r="AQ73" s="4">
        <v>636.87469499999997</v>
      </c>
      <c r="AR73" s="4">
        <v>616.68957499999999</v>
      </c>
      <c r="AT73" s="4" t="s">
        <v>154</v>
      </c>
      <c r="AU73" s="4">
        <v>579.96484399999997</v>
      </c>
      <c r="AV73" s="4">
        <v>588.88391100000001</v>
      </c>
      <c r="AW73" s="4">
        <v>579.11413600000003</v>
      </c>
      <c r="AY73" s="4" t="s">
        <v>154</v>
      </c>
      <c r="AZ73" s="4">
        <v>605.48040800000001</v>
      </c>
      <c r="BA73" s="4">
        <v>636.87469499999997</v>
      </c>
      <c r="BB73" s="4">
        <v>616.68957499999999</v>
      </c>
      <c r="BD73" s="4" t="s">
        <v>154</v>
      </c>
      <c r="BE73" s="4">
        <v>579.47393799999998</v>
      </c>
      <c r="BF73" s="4">
        <v>588.88391100000001</v>
      </c>
      <c r="BG73" s="4">
        <v>579.11413600000003</v>
      </c>
    </row>
    <row r="74" spans="1:59" x14ac:dyDescent="0.3">
      <c r="A74" s="4" t="s">
        <v>156</v>
      </c>
      <c r="B74" s="4">
        <v>651.55474900000002</v>
      </c>
      <c r="C74" s="4">
        <v>670.37805200000003</v>
      </c>
      <c r="D74" s="4">
        <v>663.03710899999999</v>
      </c>
      <c r="I74" s="4" t="s">
        <v>156</v>
      </c>
      <c r="J74" s="4">
        <v>627.69537400000002</v>
      </c>
      <c r="K74" s="4">
        <v>633.01062000000002</v>
      </c>
      <c r="L74" s="4">
        <v>738.89019800000005</v>
      </c>
      <c r="M74" s="12"/>
      <c r="O74" s="4" t="s">
        <v>156</v>
      </c>
      <c r="P74" s="4">
        <v>643.61852999999996</v>
      </c>
      <c r="Q74" s="4">
        <v>660.01800500000002</v>
      </c>
      <c r="R74" s="4">
        <v>679.10919200000001</v>
      </c>
      <c r="U74" s="4" t="s">
        <v>156</v>
      </c>
      <c r="V74" s="4">
        <v>605.72522000000004</v>
      </c>
      <c r="W74" s="4">
        <v>637.61377000000005</v>
      </c>
      <c r="X74" s="4">
        <v>656.24761999999998</v>
      </c>
      <c r="AO74" s="4" t="s">
        <v>156</v>
      </c>
      <c r="AP74" s="4">
        <v>651.55474900000002</v>
      </c>
      <c r="AQ74" s="4">
        <v>643.61852999999996</v>
      </c>
      <c r="AR74" s="4">
        <v>660.01800500000002</v>
      </c>
      <c r="AT74" s="4" t="s">
        <v>156</v>
      </c>
      <c r="AU74" s="4">
        <v>627.69537400000002</v>
      </c>
      <c r="AV74" s="4">
        <v>605.72522000000004</v>
      </c>
      <c r="AW74" s="4">
        <v>637.61377000000005</v>
      </c>
      <c r="AY74" s="4" t="s">
        <v>156</v>
      </c>
      <c r="AZ74" s="4">
        <v>670.37805200000003</v>
      </c>
      <c r="BA74" s="4">
        <v>643.61852999999996</v>
      </c>
      <c r="BB74" s="4">
        <v>660.01800500000002</v>
      </c>
      <c r="BD74" s="4" t="s">
        <v>156</v>
      </c>
      <c r="BE74" s="4">
        <v>633.01062000000002</v>
      </c>
      <c r="BF74" s="4">
        <v>605.72522000000004</v>
      </c>
      <c r="BG74" s="4">
        <v>637.61377000000005</v>
      </c>
    </row>
    <row r="75" spans="1:59" x14ac:dyDescent="0.3">
      <c r="A75" s="4" t="s">
        <v>158</v>
      </c>
      <c r="B75" s="4">
        <v>641.40112299999998</v>
      </c>
      <c r="C75" s="4">
        <v>671.40429700000004</v>
      </c>
      <c r="D75" s="4">
        <v>743.25122099999999</v>
      </c>
      <c r="I75" s="4" t="s">
        <v>158</v>
      </c>
      <c r="J75" s="4">
        <v>639.66796899999997</v>
      </c>
      <c r="K75" s="4">
        <v>651.52154499999995</v>
      </c>
      <c r="L75" s="4">
        <v>654.149902</v>
      </c>
      <c r="M75" s="12"/>
      <c r="O75" s="4" t="s">
        <v>158</v>
      </c>
      <c r="P75" s="4">
        <v>730.84094200000004</v>
      </c>
      <c r="Q75" s="4">
        <v>672.964966</v>
      </c>
      <c r="R75" s="4">
        <v>647.74786400000005</v>
      </c>
      <c r="U75" s="4" t="s">
        <v>158</v>
      </c>
      <c r="V75" s="4">
        <v>694.08245799999997</v>
      </c>
      <c r="W75" s="4">
        <v>655.67980999999997</v>
      </c>
      <c r="X75" s="4">
        <v>699.64306599999998</v>
      </c>
      <c r="AO75" s="4" t="s">
        <v>158</v>
      </c>
      <c r="AP75" s="4">
        <v>641.40112299999998</v>
      </c>
      <c r="AQ75" s="4">
        <v>730.84094200000004</v>
      </c>
      <c r="AR75" s="4">
        <v>672.964966</v>
      </c>
      <c r="AT75" s="4" t="s">
        <v>158</v>
      </c>
      <c r="AU75" s="4">
        <v>639.66796899999997</v>
      </c>
      <c r="AV75" s="4">
        <v>694.08245799999997</v>
      </c>
      <c r="AW75" s="4">
        <v>655.67980999999997</v>
      </c>
      <c r="AY75" s="4" t="s">
        <v>158</v>
      </c>
      <c r="AZ75" s="4">
        <v>671.40429700000004</v>
      </c>
      <c r="BA75" s="4">
        <v>730.84094200000004</v>
      </c>
      <c r="BB75" s="4">
        <v>672.964966</v>
      </c>
      <c r="BD75" s="4" t="s">
        <v>158</v>
      </c>
      <c r="BE75" s="4">
        <v>651.52154499999995</v>
      </c>
      <c r="BF75" s="4">
        <v>694.08245799999997</v>
      </c>
      <c r="BG75" s="4">
        <v>655.67980999999997</v>
      </c>
    </row>
    <row r="76" spans="1:59" x14ac:dyDescent="0.3">
      <c r="A76" s="4" t="s">
        <v>160</v>
      </c>
      <c r="B76" s="4">
        <v>592.14892599999996</v>
      </c>
      <c r="C76" s="4">
        <v>606.30432099999996</v>
      </c>
      <c r="D76" s="4">
        <v>618.08953899999995</v>
      </c>
      <c r="I76" s="4" t="s">
        <v>160</v>
      </c>
      <c r="J76" s="4">
        <v>547.05249000000003</v>
      </c>
      <c r="K76" s="4">
        <v>560.692139</v>
      </c>
      <c r="L76" s="4">
        <v>525.25579800000003</v>
      </c>
      <c r="M76" s="12"/>
      <c r="O76" s="4" t="s">
        <v>160</v>
      </c>
      <c r="P76" s="4">
        <v>571.63171399999999</v>
      </c>
      <c r="Q76" s="4">
        <v>603.84631300000001</v>
      </c>
      <c r="R76" s="4">
        <v>575.55908199999999</v>
      </c>
      <c r="U76" s="4" t="s">
        <v>160</v>
      </c>
      <c r="V76" s="4">
        <v>495.42596400000002</v>
      </c>
      <c r="W76" s="4">
        <v>541.83605999999997</v>
      </c>
      <c r="X76" s="4">
        <v>599.402649</v>
      </c>
      <c r="AO76" s="4" t="s">
        <v>160</v>
      </c>
      <c r="AP76" s="4">
        <v>592.14892599999996</v>
      </c>
      <c r="AQ76" s="4">
        <v>571.63171399999999</v>
      </c>
      <c r="AR76" s="4">
        <v>603.84631300000001</v>
      </c>
      <c r="AT76" s="4" t="s">
        <v>160</v>
      </c>
      <c r="AU76" s="4">
        <v>547.05249000000003</v>
      </c>
      <c r="AV76" s="4">
        <v>495.42596400000002</v>
      </c>
      <c r="AW76" s="4">
        <v>541.83605999999997</v>
      </c>
      <c r="AY76" s="4" t="s">
        <v>160</v>
      </c>
      <c r="AZ76" s="4">
        <v>606.30432099999996</v>
      </c>
      <c r="BA76" s="4">
        <v>571.63171399999999</v>
      </c>
      <c r="BB76" s="4">
        <v>603.84631300000001</v>
      </c>
      <c r="BD76" s="4" t="s">
        <v>160</v>
      </c>
      <c r="BE76" s="4">
        <v>560.692139</v>
      </c>
      <c r="BF76" s="4">
        <v>495.42596400000002</v>
      </c>
      <c r="BG76" s="4">
        <v>541.83605999999997</v>
      </c>
    </row>
    <row r="77" spans="1:59" x14ac:dyDescent="0.3">
      <c r="A77" s="4" t="s">
        <v>162</v>
      </c>
      <c r="B77" s="4">
        <v>602.11248799999998</v>
      </c>
      <c r="C77" s="4">
        <v>624.60339399999998</v>
      </c>
      <c r="D77" s="4">
        <v>550.11425799999995</v>
      </c>
      <c r="I77" s="4" t="s">
        <v>162</v>
      </c>
      <c r="J77" s="4">
        <v>554.59539800000005</v>
      </c>
      <c r="K77" s="4">
        <v>589.535706</v>
      </c>
      <c r="L77" s="4">
        <v>561.28344700000002</v>
      </c>
      <c r="M77" s="12"/>
      <c r="O77" s="4" t="s">
        <v>162</v>
      </c>
      <c r="P77" s="4">
        <v>651.89312700000005</v>
      </c>
      <c r="Q77" s="4">
        <v>625.228882</v>
      </c>
      <c r="R77" s="4">
        <v>680.42224099999999</v>
      </c>
      <c r="U77" s="4" t="s">
        <v>162</v>
      </c>
      <c r="V77" s="4">
        <v>555.80780000000004</v>
      </c>
      <c r="W77" s="4">
        <v>594.90118399999994</v>
      </c>
      <c r="X77" s="4">
        <v>742.40734899999995</v>
      </c>
      <c r="AO77" s="4" t="s">
        <v>162</v>
      </c>
      <c r="AP77" s="4">
        <v>602.11248799999998</v>
      </c>
      <c r="AQ77" s="4">
        <v>651.89312700000005</v>
      </c>
      <c r="AR77" s="4">
        <v>625.228882</v>
      </c>
      <c r="AT77" s="4" t="s">
        <v>162</v>
      </c>
      <c r="AU77" s="4">
        <v>554.59539800000005</v>
      </c>
      <c r="AV77" s="4">
        <v>555.80780000000004</v>
      </c>
      <c r="AW77" s="4">
        <v>594.90118399999994</v>
      </c>
      <c r="AY77" s="4" t="s">
        <v>162</v>
      </c>
      <c r="AZ77" s="4">
        <v>624.60339399999998</v>
      </c>
      <c r="BA77" s="4">
        <v>651.89312700000005</v>
      </c>
      <c r="BB77" s="4">
        <v>625.228882</v>
      </c>
      <c r="BD77" s="4" t="s">
        <v>162</v>
      </c>
      <c r="BE77" s="4">
        <v>589.535706</v>
      </c>
      <c r="BF77" s="4">
        <v>555.80780000000004</v>
      </c>
      <c r="BG77" s="4">
        <v>594.90118399999994</v>
      </c>
    </row>
    <row r="78" spans="1:59" x14ac:dyDescent="0.3">
      <c r="A78" s="4" t="s">
        <v>164</v>
      </c>
      <c r="B78" s="4">
        <v>549.76715100000001</v>
      </c>
      <c r="C78" s="4">
        <v>556.20477300000005</v>
      </c>
      <c r="D78" s="4">
        <v>592.52801499999998</v>
      </c>
      <c r="I78" s="4" t="s">
        <v>164</v>
      </c>
      <c r="J78" s="4">
        <v>461.26446499999997</v>
      </c>
      <c r="K78" s="4">
        <v>496.98263500000002</v>
      </c>
      <c r="L78" s="4">
        <v>464.07223499999998</v>
      </c>
      <c r="M78" s="12"/>
      <c r="O78" s="4" t="s">
        <v>164</v>
      </c>
      <c r="P78" s="4">
        <v>619.65502900000001</v>
      </c>
      <c r="Q78" s="4">
        <v>549.903503</v>
      </c>
      <c r="R78" s="4">
        <v>537.29907200000002</v>
      </c>
      <c r="U78" s="4" t="s">
        <v>164</v>
      </c>
      <c r="V78" s="4">
        <v>587.28088400000001</v>
      </c>
      <c r="W78" s="4">
        <v>478.96493500000003</v>
      </c>
      <c r="X78" s="4">
        <v>531.58990500000004</v>
      </c>
      <c r="AO78" s="4" t="s">
        <v>164</v>
      </c>
      <c r="AP78" s="4">
        <v>549.76715100000001</v>
      </c>
      <c r="AQ78" s="4">
        <v>619.65502900000001</v>
      </c>
      <c r="AR78" s="4">
        <v>549.903503</v>
      </c>
      <c r="AT78" s="4" t="s">
        <v>164</v>
      </c>
      <c r="AU78" s="4">
        <v>461.26446499999997</v>
      </c>
      <c r="AV78" s="4">
        <v>587.28088400000001</v>
      </c>
      <c r="AW78" s="4">
        <v>478.96493500000003</v>
      </c>
      <c r="AY78" s="4" t="s">
        <v>164</v>
      </c>
      <c r="AZ78" s="4">
        <v>556.20477300000005</v>
      </c>
      <c r="BA78" s="4">
        <v>619.65502900000001</v>
      </c>
      <c r="BB78" s="4">
        <v>549.903503</v>
      </c>
      <c r="BD78" s="4" t="s">
        <v>164</v>
      </c>
      <c r="BE78" s="4">
        <v>496.98263500000002</v>
      </c>
      <c r="BF78" s="4">
        <v>587.28088400000001</v>
      </c>
      <c r="BG78" s="4">
        <v>478.96493500000003</v>
      </c>
    </row>
    <row r="79" spans="1:59" x14ac:dyDescent="0.3">
      <c r="A79" s="4" t="s">
        <v>166</v>
      </c>
      <c r="B79" s="4">
        <v>724.91589399999998</v>
      </c>
      <c r="C79" s="4">
        <v>742.38793899999996</v>
      </c>
      <c r="D79" s="4">
        <v>845.95385699999997</v>
      </c>
      <c r="I79" s="4" t="s">
        <v>166</v>
      </c>
      <c r="J79" s="4">
        <v>703.52337599999998</v>
      </c>
      <c r="K79" s="4">
        <v>737.93859899999995</v>
      </c>
      <c r="L79" s="4">
        <v>689.65863000000002</v>
      </c>
      <c r="M79" s="12"/>
      <c r="O79" s="4" t="s">
        <v>166</v>
      </c>
      <c r="P79" s="4">
        <v>808.23925799999995</v>
      </c>
      <c r="Q79" s="4">
        <v>750.70495600000004</v>
      </c>
      <c r="R79" s="4">
        <v>824.665527</v>
      </c>
      <c r="U79" s="4" t="s">
        <v>166</v>
      </c>
      <c r="V79" s="4">
        <v>718.40850799999998</v>
      </c>
      <c r="W79" s="4">
        <v>726.79766800000004</v>
      </c>
      <c r="X79" s="4">
        <v>803.03143299999999</v>
      </c>
      <c r="AO79" s="4" t="s">
        <v>166</v>
      </c>
      <c r="AP79" s="4">
        <v>724.91589399999998</v>
      </c>
      <c r="AQ79" s="4">
        <v>808.23925799999995</v>
      </c>
      <c r="AR79" s="4">
        <v>750.70495600000004</v>
      </c>
      <c r="AT79" s="4" t="s">
        <v>166</v>
      </c>
      <c r="AU79" s="4">
        <v>703.52337599999998</v>
      </c>
      <c r="AV79" s="4">
        <v>718.40850799999998</v>
      </c>
      <c r="AW79" s="4">
        <v>726.79766800000004</v>
      </c>
      <c r="AY79" s="4" t="s">
        <v>166</v>
      </c>
      <c r="AZ79" s="4">
        <v>742.38793899999996</v>
      </c>
      <c r="BA79" s="4">
        <v>808.23925799999995</v>
      </c>
      <c r="BB79" s="4">
        <v>750.70495600000004</v>
      </c>
      <c r="BD79" s="4" t="s">
        <v>166</v>
      </c>
      <c r="BE79" s="4">
        <v>737.93859899999995</v>
      </c>
      <c r="BF79" s="4">
        <v>718.40850799999998</v>
      </c>
      <c r="BG79" s="4">
        <v>726.79766800000004</v>
      </c>
    </row>
    <row r="80" spans="1:59" x14ac:dyDescent="0.3">
      <c r="A80" s="4" t="s">
        <v>168</v>
      </c>
      <c r="B80" s="4">
        <v>664.11364700000001</v>
      </c>
      <c r="C80" s="4">
        <v>668.19482400000004</v>
      </c>
      <c r="D80" s="4">
        <v>741.78832999999997</v>
      </c>
      <c r="I80" s="4" t="s">
        <v>168</v>
      </c>
      <c r="J80" s="4">
        <v>647.74670400000002</v>
      </c>
      <c r="K80" s="4">
        <v>657.41082800000004</v>
      </c>
      <c r="L80" s="4">
        <v>680.68121299999996</v>
      </c>
      <c r="M80" s="12"/>
      <c r="O80" s="4" t="s">
        <v>168</v>
      </c>
      <c r="P80" s="4">
        <v>748.36627199999998</v>
      </c>
      <c r="Q80" s="4">
        <v>684.74560499999995</v>
      </c>
      <c r="R80" s="4">
        <v>700.57165499999996</v>
      </c>
      <c r="U80" s="4" t="s">
        <v>168</v>
      </c>
      <c r="V80" s="4">
        <v>620.28765899999996</v>
      </c>
      <c r="W80" s="4">
        <v>664.77002000000005</v>
      </c>
      <c r="X80" s="4">
        <v>618.05035399999997</v>
      </c>
      <c r="AO80" s="4" t="s">
        <v>168</v>
      </c>
      <c r="AP80" s="4">
        <v>664.11364700000001</v>
      </c>
      <c r="AQ80" s="4">
        <v>748.36627199999998</v>
      </c>
      <c r="AR80" s="4">
        <v>684.74560499999995</v>
      </c>
      <c r="AT80" s="4" t="s">
        <v>168</v>
      </c>
      <c r="AU80" s="4">
        <v>647.74670400000002</v>
      </c>
      <c r="AV80" s="4">
        <v>620.28765899999996</v>
      </c>
      <c r="AW80" s="4">
        <v>664.77002000000005</v>
      </c>
      <c r="AY80" s="4" t="s">
        <v>168</v>
      </c>
      <c r="AZ80" s="4">
        <v>668.19482400000004</v>
      </c>
      <c r="BA80" s="4">
        <v>748.36627199999998</v>
      </c>
      <c r="BB80" s="4">
        <v>684.74560499999995</v>
      </c>
      <c r="BD80" s="4" t="s">
        <v>168</v>
      </c>
      <c r="BE80" s="4">
        <v>657.41082800000004</v>
      </c>
      <c r="BF80" s="4">
        <v>620.28765899999996</v>
      </c>
      <c r="BG80" s="4">
        <v>664.77002000000005</v>
      </c>
    </row>
    <row r="81" spans="1:59" x14ac:dyDescent="0.3">
      <c r="A81" s="4" t="s">
        <v>170</v>
      </c>
      <c r="B81" s="4">
        <v>701.655396</v>
      </c>
      <c r="C81" s="4">
        <v>706.88122599999997</v>
      </c>
      <c r="D81" s="4">
        <v>749.87304700000004</v>
      </c>
      <c r="I81" s="4" t="s">
        <v>170</v>
      </c>
      <c r="J81" s="4">
        <v>666.97839399999998</v>
      </c>
      <c r="K81" s="4">
        <v>672.21191399999998</v>
      </c>
      <c r="L81" s="4">
        <v>670.20989999999995</v>
      </c>
      <c r="M81" s="12"/>
      <c r="O81" s="4" t="s">
        <v>170</v>
      </c>
      <c r="P81" s="4">
        <v>724.16778599999998</v>
      </c>
      <c r="Q81" s="4">
        <v>705.06811500000003</v>
      </c>
      <c r="R81" s="4">
        <v>744.17602499999998</v>
      </c>
      <c r="U81" s="4" t="s">
        <v>170</v>
      </c>
      <c r="V81" s="4">
        <v>696.42810099999997</v>
      </c>
      <c r="W81" s="4">
        <v>675.85089100000005</v>
      </c>
      <c r="X81" s="4">
        <v>735.63891599999999</v>
      </c>
      <c r="AO81" s="4" t="s">
        <v>170</v>
      </c>
      <c r="AP81" s="4">
        <v>701.655396</v>
      </c>
      <c r="AQ81" s="4">
        <v>724.16778599999998</v>
      </c>
      <c r="AR81" s="4">
        <v>705.06811500000003</v>
      </c>
      <c r="AT81" s="4" t="s">
        <v>170</v>
      </c>
      <c r="AU81" s="4">
        <v>666.97839399999998</v>
      </c>
      <c r="AV81" s="4">
        <v>696.42810099999997</v>
      </c>
      <c r="AW81" s="4">
        <v>675.85089100000005</v>
      </c>
      <c r="AY81" s="4" t="s">
        <v>170</v>
      </c>
      <c r="AZ81" s="4">
        <v>706.88122599999997</v>
      </c>
      <c r="BA81" s="4">
        <v>724.16778599999998</v>
      </c>
      <c r="BB81" s="4">
        <v>705.06811500000003</v>
      </c>
      <c r="BD81" s="4" t="s">
        <v>170</v>
      </c>
      <c r="BE81" s="4">
        <v>672.21191399999998</v>
      </c>
      <c r="BF81" s="4">
        <v>696.42810099999997</v>
      </c>
      <c r="BG81" s="4">
        <v>675.85089100000005</v>
      </c>
    </row>
    <row r="82" spans="1:59" x14ac:dyDescent="0.3">
      <c r="A82" s="4" t="s">
        <v>172</v>
      </c>
      <c r="B82" s="4">
        <v>678.54125999999997</v>
      </c>
      <c r="C82" s="4">
        <v>682.96215800000004</v>
      </c>
      <c r="D82" s="4">
        <v>728.47631799999999</v>
      </c>
      <c r="I82" s="4" t="s">
        <v>172</v>
      </c>
      <c r="J82" s="4">
        <v>655.93591300000003</v>
      </c>
      <c r="K82" s="4">
        <v>657.97699</v>
      </c>
      <c r="L82" s="4">
        <v>705.44311500000003</v>
      </c>
      <c r="M82" s="12"/>
      <c r="O82" s="4" t="s">
        <v>172</v>
      </c>
      <c r="P82" s="4">
        <v>667.18530299999998</v>
      </c>
      <c r="Q82" s="4">
        <v>694.73309300000005</v>
      </c>
      <c r="R82" s="4">
        <v>672.66320800000005</v>
      </c>
      <c r="U82" s="4" t="s">
        <v>172</v>
      </c>
      <c r="V82" s="4">
        <v>740.27563499999997</v>
      </c>
      <c r="W82" s="4">
        <v>669.11541699999998</v>
      </c>
      <c r="X82" s="4">
        <v>668.97497599999997</v>
      </c>
      <c r="AO82" s="4" t="s">
        <v>172</v>
      </c>
      <c r="AP82" s="4">
        <v>678.54125999999997</v>
      </c>
      <c r="AQ82" s="4">
        <v>667.18530299999998</v>
      </c>
      <c r="AR82" s="4">
        <v>694.73309300000005</v>
      </c>
      <c r="AT82" s="4" t="s">
        <v>172</v>
      </c>
      <c r="AU82" s="4">
        <v>655.93591300000003</v>
      </c>
      <c r="AV82" s="4">
        <v>740.27563499999997</v>
      </c>
      <c r="AW82" s="4">
        <v>669.11541699999998</v>
      </c>
      <c r="AY82" s="4" t="s">
        <v>172</v>
      </c>
      <c r="AZ82" s="4">
        <v>682.96215800000004</v>
      </c>
      <c r="BA82" s="4">
        <v>667.18530299999998</v>
      </c>
      <c r="BB82" s="4">
        <v>694.73309300000005</v>
      </c>
      <c r="BD82" s="4" t="s">
        <v>172</v>
      </c>
      <c r="BE82" s="4">
        <v>657.97699</v>
      </c>
      <c r="BF82" s="4">
        <v>740.27563499999997</v>
      </c>
      <c r="BG82" s="4">
        <v>669.11541699999998</v>
      </c>
    </row>
    <row r="83" spans="1:59" x14ac:dyDescent="0.3">
      <c r="A83" s="4" t="s">
        <v>174</v>
      </c>
      <c r="B83" s="4">
        <v>686.09057600000006</v>
      </c>
      <c r="C83" s="4">
        <v>696.17199700000003</v>
      </c>
      <c r="D83" s="4">
        <v>695.87512200000003</v>
      </c>
      <c r="I83" s="4" t="s">
        <v>174</v>
      </c>
      <c r="J83" s="4">
        <v>670.11676</v>
      </c>
      <c r="K83" s="4">
        <v>677.462219</v>
      </c>
      <c r="L83" s="4">
        <v>798.53973399999995</v>
      </c>
      <c r="M83" s="12"/>
      <c r="O83" s="4" t="s">
        <v>174</v>
      </c>
      <c r="P83" s="4">
        <v>676.13897699999995</v>
      </c>
      <c r="Q83" s="4">
        <v>692.65020800000002</v>
      </c>
      <c r="R83" s="4">
        <v>777.49444600000004</v>
      </c>
      <c r="U83" s="4" t="s">
        <v>174</v>
      </c>
      <c r="V83" s="4">
        <v>738.68524200000002</v>
      </c>
      <c r="W83" s="4">
        <v>678.79211399999997</v>
      </c>
      <c r="X83" s="4">
        <v>779.03204300000004</v>
      </c>
      <c r="AO83" s="4" t="s">
        <v>174</v>
      </c>
      <c r="AP83" s="4">
        <v>686.09057600000006</v>
      </c>
      <c r="AQ83" s="4">
        <v>676.13897699999995</v>
      </c>
      <c r="AR83" s="4">
        <v>692.65020800000002</v>
      </c>
      <c r="AT83" s="4" t="s">
        <v>174</v>
      </c>
      <c r="AU83" s="4">
        <v>670.11676</v>
      </c>
      <c r="AV83" s="4">
        <v>738.68524200000002</v>
      </c>
      <c r="AW83" s="4">
        <v>678.79211399999997</v>
      </c>
      <c r="AY83" s="4" t="s">
        <v>174</v>
      </c>
      <c r="AZ83" s="4">
        <v>696.17199700000003</v>
      </c>
      <c r="BA83" s="4">
        <v>676.13897699999995</v>
      </c>
      <c r="BB83" s="4">
        <v>692.65020800000002</v>
      </c>
      <c r="BD83" s="4" t="s">
        <v>174</v>
      </c>
      <c r="BE83" s="4">
        <v>677.462219</v>
      </c>
      <c r="BF83" s="4">
        <v>738.68524200000002</v>
      </c>
      <c r="BG83" s="4">
        <v>678.79211399999997</v>
      </c>
    </row>
    <row r="84" spans="1:59" x14ac:dyDescent="0.3">
      <c r="A84" s="4" t="s">
        <v>176</v>
      </c>
      <c r="B84" s="4">
        <v>707.24566700000003</v>
      </c>
      <c r="C84" s="4">
        <v>716.91778599999998</v>
      </c>
      <c r="D84" s="4">
        <v>683.19976799999995</v>
      </c>
      <c r="I84" s="4" t="s">
        <v>176</v>
      </c>
      <c r="J84" s="4">
        <v>694.58581500000003</v>
      </c>
      <c r="K84" s="4">
        <v>715.91223100000002</v>
      </c>
      <c r="L84" s="4">
        <v>741.64373799999998</v>
      </c>
      <c r="M84" s="12"/>
      <c r="O84" s="4" t="s">
        <v>176</v>
      </c>
      <c r="P84" s="4">
        <v>746.24279799999999</v>
      </c>
      <c r="Q84" s="4">
        <v>711.73919699999999</v>
      </c>
      <c r="R84" s="4">
        <v>814.06066899999996</v>
      </c>
      <c r="U84" s="4" t="s">
        <v>176</v>
      </c>
      <c r="V84" s="4">
        <v>657.45245399999999</v>
      </c>
      <c r="W84" s="4">
        <v>703.33404499999995</v>
      </c>
      <c r="X84" s="4">
        <v>755.612122</v>
      </c>
      <c r="AO84" s="4" t="s">
        <v>176</v>
      </c>
      <c r="AP84" s="4">
        <v>707.24566700000003</v>
      </c>
      <c r="AQ84" s="4">
        <v>746.24279799999999</v>
      </c>
      <c r="AR84" s="4">
        <v>711.73919699999999</v>
      </c>
      <c r="AT84" s="4" t="s">
        <v>176</v>
      </c>
      <c r="AU84" s="4">
        <v>694.58581500000003</v>
      </c>
      <c r="AV84" s="4">
        <v>657.45245399999999</v>
      </c>
      <c r="AW84" s="4">
        <v>703.33404499999995</v>
      </c>
      <c r="AY84" s="4" t="s">
        <v>176</v>
      </c>
      <c r="AZ84" s="4">
        <v>716.91778599999998</v>
      </c>
      <c r="BA84" s="4">
        <v>746.24279799999999</v>
      </c>
      <c r="BB84" s="4">
        <v>711.73919699999999</v>
      </c>
      <c r="BD84" s="4" t="s">
        <v>176</v>
      </c>
      <c r="BE84" s="4">
        <v>715.91223100000002</v>
      </c>
      <c r="BF84" s="4">
        <v>657.45245399999999</v>
      </c>
      <c r="BG84" s="4">
        <v>703.33404499999995</v>
      </c>
    </row>
    <row r="85" spans="1:59" x14ac:dyDescent="0.3">
      <c r="A85" s="4" t="s">
        <v>178</v>
      </c>
      <c r="B85" s="4">
        <v>674.61303699999996</v>
      </c>
      <c r="C85" s="4">
        <v>671.08325200000002</v>
      </c>
      <c r="D85" s="4">
        <v>817.85626200000002</v>
      </c>
      <c r="I85" s="4" t="s">
        <v>178</v>
      </c>
      <c r="J85" s="4">
        <v>640.28515600000003</v>
      </c>
      <c r="K85" s="4">
        <v>670.89703399999996</v>
      </c>
      <c r="L85" s="4">
        <v>682.97564699999998</v>
      </c>
      <c r="M85" s="12"/>
      <c r="O85" s="4" t="s">
        <v>178</v>
      </c>
      <c r="P85" s="4">
        <v>641.173767</v>
      </c>
      <c r="Q85" s="4">
        <v>692.07281499999999</v>
      </c>
      <c r="R85" s="4">
        <v>803.41674799999998</v>
      </c>
      <c r="U85" s="4" t="s">
        <v>178</v>
      </c>
      <c r="V85" s="4">
        <v>656.96380599999998</v>
      </c>
      <c r="W85" s="4">
        <v>681.02477999999996</v>
      </c>
      <c r="X85" s="4">
        <v>724.76263400000005</v>
      </c>
      <c r="AO85" s="4" t="s">
        <v>178</v>
      </c>
      <c r="AP85" s="4">
        <v>674.61303699999996</v>
      </c>
      <c r="AQ85" s="4">
        <v>641.173767</v>
      </c>
      <c r="AR85" s="4">
        <v>692.07281499999999</v>
      </c>
      <c r="AT85" s="4" t="s">
        <v>178</v>
      </c>
      <c r="AU85" s="4">
        <v>640.28515600000003</v>
      </c>
      <c r="AV85" s="4">
        <v>656.96380599999998</v>
      </c>
      <c r="AW85" s="4">
        <v>681.02477999999996</v>
      </c>
      <c r="AY85" s="4" t="s">
        <v>178</v>
      </c>
      <c r="AZ85" s="4">
        <v>671.08325200000002</v>
      </c>
      <c r="BA85" s="4">
        <v>641.173767</v>
      </c>
      <c r="BB85" s="4">
        <v>692.07281499999999</v>
      </c>
      <c r="BD85" s="4" t="s">
        <v>178</v>
      </c>
      <c r="BE85" s="4">
        <v>670.89703399999996</v>
      </c>
      <c r="BF85" s="4">
        <v>656.96380599999998</v>
      </c>
      <c r="BG85" s="4">
        <v>681.02477999999996</v>
      </c>
    </row>
    <row r="86" spans="1:59" x14ac:dyDescent="0.3">
      <c r="A86" s="4" t="s">
        <v>180</v>
      </c>
      <c r="B86" s="4">
        <v>673.78869599999996</v>
      </c>
      <c r="C86" s="4">
        <v>699.52410899999995</v>
      </c>
      <c r="D86" s="4">
        <v>655.01293899999996</v>
      </c>
      <c r="I86" s="4" t="s">
        <v>180</v>
      </c>
      <c r="J86" s="4">
        <v>669.84527600000001</v>
      </c>
      <c r="K86" s="4">
        <v>663.16900599999997</v>
      </c>
      <c r="L86" s="4">
        <v>817.58148200000005</v>
      </c>
      <c r="M86" s="12"/>
      <c r="O86" s="4" t="s">
        <v>180</v>
      </c>
      <c r="P86" s="4">
        <v>661.00006099999996</v>
      </c>
      <c r="Q86" s="4">
        <v>685.51757799999996</v>
      </c>
      <c r="R86" s="4">
        <v>760.54779099999996</v>
      </c>
      <c r="U86" s="4" t="s">
        <v>180</v>
      </c>
      <c r="V86" s="4">
        <v>734.61499000000003</v>
      </c>
      <c r="W86" s="4">
        <v>681.66192599999999</v>
      </c>
      <c r="X86" s="4">
        <v>812.93774399999995</v>
      </c>
      <c r="AO86" s="4" t="s">
        <v>180</v>
      </c>
      <c r="AP86" s="4">
        <v>673.78869599999996</v>
      </c>
      <c r="AQ86" s="4">
        <v>661.00006099999996</v>
      </c>
      <c r="AR86" s="4">
        <v>685.51757799999996</v>
      </c>
      <c r="AT86" s="4" t="s">
        <v>180</v>
      </c>
      <c r="AU86" s="4">
        <v>669.84527600000001</v>
      </c>
      <c r="AV86" s="4">
        <v>734.61499000000003</v>
      </c>
      <c r="AW86" s="4">
        <v>681.66192599999999</v>
      </c>
      <c r="AY86" s="4" t="s">
        <v>180</v>
      </c>
      <c r="AZ86" s="4">
        <v>699.52410899999995</v>
      </c>
      <c r="BA86" s="4">
        <v>661.00006099999996</v>
      </c>
      <c r="BB86" s="4">
        <v>685.51757799999996</v>
      </c>
      <c r="BD86" s="4" t="s">
        <v>180</v>
      </c>
      <c r="BE86" s="4">
        <v>663.16900599999997</v>
      </c>
      <c r="BF86" s="4">
        <v>734.61499000000003</v>
      </c>
      <c r="BG86" s="4">
        <v>681.66192599999999</v>
      </c>
    </row>
    <row r="87" spans="1:59" x14ac:dyDescent="0.3">
      <c r="A87" s="4" t="s">
        <v>182</v>
      </c>
      <c r="B87" s="4">
        <v>625.35784899999999</v>
      </c>
      <c r="C87" s="4">
        <v>633.80480999999997</v>
      </c>
      <c r="D87" s="4">
        <v>746.74005099999999</v>
      </c>
      <c r="I87" s="4" t="s">
        <v>182</v>
      </c>
      <c r="J87" s="4">
        <v>611.75146500000005</v>
      </c>
      <c r="K87" s="4">
        <v>633.10961899999995</v>
      </c>
      <c r="L87" s="4">
        <v>585.84985400000005</v>
      </c>
      <c r="M87" s="12"/>
      <c r="O87" s="4" t="s">
        <v>182</v>
      </c>
      <c r="P87" s="4">
        <v>616.96820100000002</v>
      </c>
      <c r="Q87" s="4">
        <v>653.75970500000005</v>
      </c>
      <c r="R87" s="4">
        <v>741.71520999999996</v>
      </c>
      <c r="U87" s="4" t="s">
        <v>182</v>
      </c>
      <c r="V87" s="4">
        <v>605.48187299999995</v>
      </c>
      <c r="W87" s="4">
        <v>658.09088099999997</v>
      </c>
      <c r="X87" s="4">
        <v>596.53967299999999</v>
      </c>
      <c r="AO87" s="4" t="s">
        <v>182</v>
      </c>
      <c r="AP87" s="4">
        <v>625.35784899999999</v>
      </c>
      <c r="AQ87" s="4">
        <v>616.96820100000002</v>
      </c>
      <c r="AR87" s="4">
        <v>653.75970500000005</v>
      </c>
      <c r="AT87" s="4" t="s">
        <v>182</v>
      </c>
      <c r="AU87" s="4">
        <v>611.75146500000005</v>
      </c>
      <c r="AV87" s="4">
        <v>605.48187299999995</v>
      </c>
      <c r="AW87" s="4">
        <v>658.09088099999997</v>
      </c>
      <c r="AY87" s="4" t="s">
        <v>182</v>
      </c>
      <c r="AZ87" s="4">
        <v>633.80480999999997</v>
      </c>
      <c r="BA87" s="4">
        <v>616.96820100000002</v>
      </c>
      <c r="BB87" s="4">
        <v>653.75970500000005</v>
      </c>
      <c r="BD87" s="4" t="s">
        <v>182</v>
      </c>
      <c r="BE87" s="4">
        <v>633.10961899999995</v>
      </c>
      <c r="BF87" s="4">
        <v>605.48187299999995</v>
      </c>
      <c r="BG87" s="4">
        <v>658.09088099999997</v>
      </c>
    </row>
    <row r="88" spans="1:59" x14ac:dyDescent="0.3">
      <c r="A88" s="4" t="s">
        <v>184</v>
      </c>
      <c r="B88" s="4">
        <v>649.77593999999999</v>
      </c>
      <c r="C88" s="4">
        <v>665.057007</v>
      </c>
      <c r="D88" s="4">
        <v>758.22143600000004</v>
      </c>
      <c r="I88" s="4" t="s">
        <v>184</v>
      </c>
      <c r="J88" s="4">
        <v>617.88653599999998</v>
      </c>
      <c r="K88" s="4">
        <v>646.14105199999995</v>
      </c>
      <c r="L88" s="4">
        <v>590.64672900000005</v>
      </c>
      <c r="M88" s="12"/>
      <c r="O88" s="4" t="s">
        <v>184</v>
      </c>
      <c r="P88" s="4">
        <v>638.11151099999995</v>
      </c>
      <c r="Q88" s="4">
        <v>669.42956500000003</v>
      </c>
      <c r="R88" s="4">
        <v>633.09637499999997</v>
      </c>
      <c r="U88" s="4" t="s">
        <v>184</v>
      </c>
      <c r="V88" s="4">
        <v>634.04632600000002</v>
      </c>
      <c r="W88" s="4">
        <v>642.77417000000003</v>
      </c>
      <c r="X88" s="4">
        <v>588.10327099999995</v>
      </c>
      <c r="AO88" s="4" t="s">
        <v>184</v>
      </c>
      <c r="AP88" s="4">
        <v>649.77593999999999</v>
      </c>
      <c r="AQ88" s="4">
        <v>638.11151099999995</v>
      </c>
      <c r="AR88" s="4">
        <v>669.42956500000003</v>
      </c>
      <c r="AT88" s="4" t="s">
        <v>184</v>
      </c>
      <c r="AU88" s="4">
        <v>617.88653599999998</v>
      </c>
      <c r="AV88" s="4">
        <v>634.04632600000002</v>
      </c>
      <c r="AW88" s="4">
        <v>642.77417000000003</v>
      </c>
      <c r="AY88" s="4" t="s">
        <v>184</v>
      </c>
      <c r="AZ88" s="4">
        <v>665.057007</v>
      </c>
      <c r="BA88" s="4">
        <v>638.11151099999995</v>
      </c>
      <c r="BB88" s="4">
        <v>669.42956500000003</v>
      </c>
      <c r="BD88" s="4" t="s">
        <v>184</v>
      </c>
      <c r="BE88" s="4">
        <v>646.14105199999995</v>
      </c>
      <c r="BF88" s="4">
        <v>634.04632600000002</v>
      </c>
      <c r="BG88" s="4">
        <v>642.77417000000003</v>
      </c>
    </row>
    <row r="89" spans="1:59" x14ac:dyDescent="0.3">
      <c r="A89" s="4" t="s">
        <v>186</v>
      </c>
      <c r="B89" s="4">
        <v>745.99169900000004</v>
      </c>
      <c r="C89" s="4">
        <v>779.13262899999995</v>
      </c>
      <c r="D89" s="4">
        <v>904.96563700000002</v>
      </c>
      <c r="I89" s="4" t="s">
        <v>186</v>
      </c>
      <c r="J89" s="4">
        <v>732.42492700000003</v>
      </c>
      <c r="K89" s="4">
        <v>770.07708700000001</v>
      </c>
      <c r="L89" s="4">
        <v>713.88592500000004</v>
      </c>
      <c r="M89" s="12"/>
      <c r="O89" s="4" t="s">
        <v>186</v>
      </c>
      <c r="P89" s="4">
        <v>934.98321499999997</v>
      </c>
      <c r="Q89" s="4">
        <v>790.32550000000003</v>
      </c>
      <c r="R89" s="4">
        <v>794.57074</v>
      </c>
      <c r="U89" s="4" t="s">
        <v>186</v>
      </c>
      <c r="V89" s="4">
        <v>911.70611599999995</v>
      </c>
      <c r="W89" s="4">
        <v>776.057007</v>
      </c>
      <c r="X89" s="4">
        <v>753.06451400000003</v>
      </c>
      <c r="AO89" s="4" t="s">
        <v>186</v>
      </c>
      <c r="AP89" s="4">
        <v>745.99169900000004</v>
      </c>
      <c r="AQ89" s="4">
        <v>934.98321499999997</v>
      </c>
      <c r="AR89" s="4">
        <v>790.32550000000003</v>
      </c>
      <c r="AT89" s="4" t="s">
        <v>186</v>
      </c>
      <c r="AU89" s="4">
        <v>732.42492700000003</v>
      </c>
      <c r="AV89" s="4">
        <v>911.70611599999995</v>
      </c>
      <c r="AW89" s="4">
        <v>776.057007</v>
      </c>
      <c r="AY89" s="4" t="s">
        <v>186</v>
      </c>
      <c r="AZ89" s="4">
        <v>779.13262899999995</v>
      </c>
      <c r="BA89" s="4">
        <v>934.98321499999997</v>
      </c>
      <c r="BB89" s="4">
        <v>790.32550000000003</v>
      </c>
      <c r="BD89" s="4" t="s">
        <v>186</v>
      </c>
      <c r="BE89" s="4">
        <v>770.07708700000001</v>
      </c>
      <c r="BF89" s="4">
        <v>911.70611599999995</v>
      </c>
      <c r="BG89" s="4">
        <v>776.057007</v>
      </c>
    </row>
    <row r="90" spans="1:59" x14ac:dyDescent="0.3">
      <c r="A90" s="4" t="s">
        <v>188</v>
      </c>
      <c r="B90" s="4">
        <v>676.25616500000001</v>
      </c>
      <c r="C90" s="4">
        <v>709.83599900000002</v>
      </c>
      <c r="D90" s="4">
        <v>764.84405500000003</v>
      </c>
      <c r="I90" s="4" t="s">
        <v>188</v>
      </c>
      <c r="J90" s="4">
        <v>653.67767300000003</v>
      </c>
      <c r="K90" s="4">
        <v>697.40405299999998</v>
      </c>
      <c r="L90" s="4">
        <v>765.93878199999995</v>
      </c>
      <c r="M90" s="12"/>
      <c r="O90" s="4" t="s">
        <v>188</v>
      </c>
      <c r="P90" s="4">
        <v>649.10571300000004</v>
      </c>
      <c r="Q90" s="4">
        <v>706.93957499999999</v>
      </c>
      <c r="R90" s="4">
        <v>655.49487299999998</v>
      </c>
      <c r="U90" s="4" t="s">
        <v>188</v>
      </c>
      <c r="V90" s="4">
        <v>763.72479199999998</v>
      </c>
      <c r="W90" s="4">
        <v>697.09167500000001</v>
      </c>
      <c r="X90" s="4">
        <v>802.73504600000001</v>
      </c>
      <c r="AO90" s="4" t="s">
        <v>188</v>
      </c>
      <c r="AP90" s="4">
        <v>676.25616500000001</v>
      </c>
      <c r="AQ90" s="4">
        <v>649.10571300000004</v>
      </c>
      <c r="AR90" s="4">
        <v>706.93957499999999</v>
      </c>
      <c r="AT90" s="4" t="s">
        <v>188</v>
      </c>
      <c r="AU90" s="4">
        <v>653.67767300000003</v>
      </c>
      <c r="AV90" s="4">
        <v>763.72479199999998</v>
      </c>
      <c r="AW90" s="4">
        <v>697.09167500000001</v>
      </c>
      <c r="AY90" s="4" t="s">
        <v>188</v>
      </c>
      <c r="AZ90" s="4">
        <v>709.83599900000002</v>
      </c>
      <c r="BA90" s="4">
        <v>649.10571300000004</v>
      </c>
      <c r="BB90" s="4">
        <v>706.93957499999999</v>
      </c>
      <c r="BD90" s="4" t="s">
        <v>188</v>
      </c>
      <c r="BE90" s="4">
        <v>697.40405299999998</v>
      </c>
      <c r="BF90" s="4">
        <v>763.72479199999998</v>
      </c>
      <c r="BG90" s="4">
        <v>697.09167500000001</v>
      </c>
    </row>
    <row r="91" spans="1:59" x14ac:dyDescent="0.3">
      <c r="A91" s="4" t="s">
        <v>190</v>
      </c>
      <c r="B91" s="4">
        <v>662.42627000000005</v>
      </c>
      <c r="C91" s="4">
        <v>667.86743200000001</v>
      </c>
      <c r="D91" s="4">
        <v>794.73345900000004</v>
      </c>
      <c r="I91" s="4" t="s">
        <v>190</v>
      </c>
      <c r="J91" s="4">
        <v>653.85784899999999</v>
      </c>
      <c r="K91" s="4">
        <v>664.13928199999998</v>
      </c>
      <c r="L91" s="4">
        <v>816.99408000000005</v>
      </c>
      <c r="M91" s="12"/>
      <c r="O91" s="4" t="s">
        <v>190</v>
      </c>
      <c r="P91" s="4">
        <v>688.01269500000001</v>
      </c>
      <c r="Q91" s="4">
        <v>676.28155500000003</v>
      </c>
      <c r="R91" s="4">
        <v>723.15417500000001</v>
      </c>
      <c r="U91" s="4" t="s">
        <v>190</v>
      </c>
      <c r="V91" s="4">
        <v>639.73382600000002</v>
      </c>
      <c r="W91" s="4">
        <v>660.39123500000005</v>
      </c>
      <c r="X91" s="4">
        <v>655.37750200000005</v>
      </c>
      <c r="AO91" s="4" t="s">
        <v>190</v>
      </c>
      <c r="AP91" s="4">
        <v>662.42627000000005</v>
      </c>
      <c r="AQ91" s="4">
        <v>688.01269500000001</v>
      </c>
      <c r="AR91" s="4">
        <v>676.28155500000003</v>
      </c>
      <c r="AT91" s="4" t="s">
        <v>190</v>
      </c>
      <c r="AU91" s="4">
        <v>653.85784899999999</v>
      </c>
      <c r="AV91" s="4">
        <v>639.73382600000002</v>
      </c>
      <c r="AW91" s="4">
        <v>660.39123500000005</v>
      </c>
      <c r="AY91" s="4" t="s">
        <v>190</v>
      </c>
      <c r="AZ91" s="4">
        <v>667.86743200000001</v>
      </c>
      <c r="BA91" s="4">
        <v>688.01269500000001</v>
      </c>
      <c r="BB91" s="4">
        <v>676.28155500000003</v>
      </c>
      <c r="BD91" s="4" t="s">
        <v>190</v>
      </c>
      <c r="BE91" s="4">
        <v>664.13928199999998</v>
      </c>
      <c r="BF91" s="4">
        <v>639.73382600000002</v>
      </c>
      <c r="BG91" s="4">
        <v>660.39123500000005</v>
      </c>
    </row>
    <row r="92" spans="1:59" x14ac:dyDescent="0.3">
      <c r="A92" s="4" t="s">
        <v>192</v>
      </c>
      <c r="B92" s="4">
        <v>754.32055700000001</v>
      </c>
      <c r="C92" s="4">
        <v>811.65795900000001</v>
      </c>
      <c r="D92" s="4">
        <v>995.26727300000005</v>
      </c>
      <c r="I92" s="4" t="s">
        <v>192</v>
      </c>
      <c r="J92" s="4">
        <v>766.16589399999998</v>
      </c>
      <c r="K92" s="4">
        <v>788.60095200000001</v>
      </c>
      <c r="L92" s="4">
        <v>988.34179700000004</v>
      </c>
      <c r="M92" s="12"/>
      <c r="O92" s="4" t="s">
        <v>192</v>
      </c>
      <c r="P92" s="4">
        <v>919.11242700000003</v>
      </c>
      <c r="Q92" s="4">
        <v>810.77105700000004</v>
      </c>
      <c r="R92" s="4">
        <v>900.82818599999996</v>
      </c>
      <c r="U92" s="4" t="s">
        <v>192</v>
      </c>
      <c r="V92" s="4">
        <v>847.82232699999997</v>
      </c>
      <c r="W92" s="4">
        <v>791.50299099999995</v>
      </c>
      <c r="X92" s="4">
        <v>722.06506300000001</v>
      </c>
      <c r="AO92" s="4" t="s">
        <v>192</v>
      </c>
      <c r="AP92" s="4">
        <v>754.32055700000001</v>
      </c>
      <c r="AQ92" s="4">
        <v>919.11242700000003</v>
      </c>
      <c r="AR92" s="4">
        <v>810.77105700000004</v>
      </c>
      <c r="AT92" s="4" t="s">
        <v>192</v>
      </c>
      <c r="AU92" s="4">
        <v>766.16589399999998</v>
      </c>
      <c r="AV92" s="4">
        <v>847.82232699999997</v>
      </c>
      <c r="AW92" s="4">
        <v>791.50299099999995</v>
      </c>
      <c r="AY92" s="4" t="s">
        <v>192</v>
      </c>
      <c r="AZ92" s="4">
        <v>811.65795900000001</v>
      </c>
      <c r="BA92" s="4">
        <v>919.11242700000003</v>
      </c>
      <c r="BB92" s="4">
        <v>810.77105700000004</v>
      </c>
      <c r="BD92" s="4" t="s">
        <v>192</v>
      </c>
      <c r="BE92" s="4">
        <v>788.60095200000001</v>
      </c>
      <c r="BF92" s="4">
        <v>847.82232699999997</v>
      </c>
      <c r="BG92" s="4">
        <v>791.50299099999995</v>
      </c>
    </row>
    <row r="93" spans="1:59" x14ac:dyDescent="0.3">
      <c r="A93" s="3" t="s">
        <v>194</v>
      </c>
      <c r="B93" s="4">
        <v>665.81909199999996</v>
      </c>
      <c r="C93" s="4">
        <v>668.95550500000002</v>
      </c>
      <c r="D93" s="4">
        <v>660.891479</v>
      </c>
      <c r="I93" s="3" t="s">
        <v>194</v>
      </c>
      <c r="J93" s="4">
        <v>640.28265399999998</v>
      </c>
      <c r="K93" s="4">
        <v>652.45251499999995</v>
      </c>
      <c r="L93" s="4">
        <v>641.78924600000005</v>
      </c>
      <c r="M93" s="12"/>
      <c r="O93" s="3" t="s">
        <v>194</v>
      </c>
      <c r="P93" s="4">
        <v>660.891479</v>
      </c>
      <c r="Q93" s="4">
        <v>680.11309800000004</v>
      </c>
      <c r="R93" s="4">
        <v>660.891479</v>
      </c>
      <c r="U93" s="3" t="s">
        <v>194</v>
      </c>
      <c r="V93" s="18">
        <v>641.78924600000005</v>
      </c>
      <c r="W93" s="4">
        <v>654.81646699999999</v>
      </c>
      <c r="X93" s="4">
        <v>641.78924600000005</v>
      </c>
      <c r="AO93" s="3" t="s">
        <v>194</v>
      </c>
      <c r="AP93" s="4">
        <v>665.81909199999996</v>
      </c>
      <c r="AQ93" s="4">
        <v>660.891479</v>
      </c>
      <c r="AR93" s="4">
        <v>680.11309800000004</v>
      </c>
      <c r="AT93" s="3" t="s">
        <v>194</v>
      </c>
      <c r="AU93" s="4">
        <v>640.28265399999998</v>
      </c>
      <c r="AV93" s="18">
        <v>641.78924600000005</v>
      </c>
      <c r="AW93" s="4">
        <v>654.81646699999999</v>
      </c>
      <c r="AY93" s="3" t="s">
        <v>194</v>
      </c>
      <c r="AZ93" s="4">
        <v>668.95550500000002</v>
      </c>
      <c r="BA93" s="4">
        <v>660.891479</v>
      </c>
      <c r="BB93" s="4">
        <v>680.11309800000004</v>
      </c>
      <c r="BD93" s="3" t="s">
        <v>194</v>
      </c>
      <c r="BE93" s="4">
        <v>652.45251499999995</v>
      </c>
      <c r="BF93" s="18">
        <v>641.78924600000005</v>
      </c>
      <c r="BG93" s="4">
        <v>654.81646699999999</v>
      </c>
    </row>
    <row r="94" spans="1:59" x14ac:dyDescent="0.3">
      <c r="A94" s="3" t="s">
        <v>196</v>
      </c>
      <c r="B94" s="4">
        <v>640.26318400000002</v>
      </c>
      <c r="C94" s="4">
        <v>650.28527799999995</v>
      </c>
      <c r="D94" s="4">
        <v>628.17627000000005</v>
      </c>
      <c r="I94" s="3" t="s">
        <v>196</v>
      </c>
      <c r="J94" s="4">
        <v>606.60955799999999</v>
      </c>
      <c r="K94" s="4">
        <v>627.453979</v>
      </c>
      <c r="L94" s="4">
        <v>556.16241500000001</v>
      </c>
      <c r="M94" s="12"/>
      <c r="O94" s="3" t="s">
        <v>196</v>
      </c>
      <c r="P94" s="4">
        <v>619.48065199999996</v>
      </c>
      <c r="Q94" s="4">
        <v>654.48254399999996</v>
      </c>
      <c r="R94" s="4">
        <v>699.32641599999999</v>
      </c>
      <c r="U94" s="3" t="s">
        <v>196</v>
      </c>
      <c r="V94" s="18">
        <v>572.63226299999997</v>
      </c>
      <c r="W94" s="4">
        <v>621.93463099999997</v>
      </c>
      <c r="X94" s="4">
        <v>642.566956</v>
      </c>
      <c r="AO94" s="3" t="s">
        <v>196</v>
      </c>
      <c r="AP94" s="4">
        <v>640.26318400000002</v>
      </c>
      <c r="AQ94" s="4">
        <v>619.48065199999996</v>
      </c>
      <c r="AR94" s="4">
        <v>654.48254399999996</v>
      </c>
      <c r="AT94" s="3" t="s">
        <v>196</v>
      </c>
      <c r="AU94" s="4">
        <v>606.60955799999999</v>
      </c>
      <c r="AV94" s="18">
        <v>572.63226299999997</v>
      </c>
      <c r="AW94" s="4">
        <v>621.93463099999997</v>
      </c>
      <c r="AY94" s="3" t="s">
        <v>196</v>
      </c>
      <c r="AZ94" s="4">
        <v>650.28527799999995</v>
      </c>
      <c r="BA94" s="4">
        <v>619.48065199999996</v>
      </c>
      <c r="BB94" s="4">
        <v>654.48254399999996</v>
      </c>
      <c r="BD94" s="3" t="s">
        <v>196</v>
      </c>
      <c r="BE94" s="4">
        <v>627.453979</v>
      </c>
      <c r="BF94" s="18">
        <v>572.63226299999997</v>
      </c>
      <c r="BG94" s="4">
        <v>621.93463099999997</v>
      </c>
    </row>
    <row r="95" spans="1:59" x14ac:dyDescent="0.3">
      <c r="A95" s="3" t="s">
        <v>198</v>
      </c>
      <c r="B95" s="4">
        <v>621.59417699999995</v>
      </c>
      <c r="C95" s="4">
        <v>631.75915499999996</v>
      </c>
      <c r="D95" s="4">
        <v>625.83960000000002</v>
      </c>
      <c r="I95" s="3" t="s">
        <v>198</v>
      </c>
      <c r="J95" s="4">
        <v>588.62487799999997</v>
      </c>
      <c r="K95" s="4">
        <v>580.98089600000003</v>
      </c>
      <c r="L95" s="4">
        <v>679.36816399999998</v>
      </c>
      <c r="M95" s="12"/>
      <c r="O95" s="3" t="s">
        <v>198</v>
      </c>
      <c r="P95" s="4">
        <v>694.13232400000004</v>
      </c>
      <c r="Q95" s="4">
        <v>629.83123799999998</v>
      </c>
      <c r="R95" s="4">
        <v>710.02685499999995</v>
      </c>
      <c r="U95" s="3" t="s">
        <v>198</v>
      </c>
      <c r="V95" s="18">
        <v>658.60082999999997</v>
      </c>
      <c r="W95" s="4">
        <v>604.160034</v>
      </c>
      <c r="X95" s="4">
        <v>542.96319600000004</v>
      </c>
      <c r="AO95" s="3" t="s">
        <v>198</v>
      </c>
      <c r="AP95" s="4">
        <v>621.59417699999995</v>
      </c>
      <c r="AQ95" s="4">
        <v>694.13232400000004</v>
      </c>
      <c r="AR95" s="4">
        <v>629.83123799999998</v>
      </c>
      <c r="AT95" s="3" t="s">
        <v>198</v>
      </c>
      <c r="AU95" s="4">
        <v>588.62487799999997</v>
      </c>
      <c r="AV95" s="18">
        <v>658.60082999999997</v>
      </c>
      <c r="AW95" s="4">
        <v>604.160034</v>
      </c>
      <c r="AY95" s="3" t="s">
        <v>198</v>
      </c>
      <c r="AZ95" s="4">
        <v>631.75915499999996</v>
      </c>
      <c r="BA95" s="4">
        <v>694.13232400000004</v>
      </c>
      <c r="BB95" s="4">
        <v>629.83123799999998</v>
      </c>
      <c r="BD95" s="3" t="s">
        <v>198</v>
      </c>
      <c r="BE95" s="4">
        <v>580.98089600000003</v>
      </c>
      <c r="BF95" s="18">
        <v>658.60082999999997</v>
      </c>
      <c r="BG95" s="4">
        <v>604.160034</v>
      </c>
    </row>
    <row r="96" spans="1:59" x14ac:dyDescent="0.3">
      <c r="A96" s="3" t="s">
        <v>200</v>
      </c>
      <c r="B96" s="4">
        <v>584.62457300000005</v>
      </c>
      <c r="C96" s="4">
        <v>598.37329099999999</v>
      </c>
      <c r="D96" s="4">
        <v>592.60784899999999</v>
      </c>
      <c r="I96" s="3" t="s">
        <v>200</v>
      </c>
      <c r="J96" s="4">
        <v>512.32098399999995</v>
      </c>
      <c r="K96" s="4">
        <v>524.94604500000003</v>
      </c>
      <c r="L96" s="4">
        <v>545.64605700000004</v>
      </c>
      <c r="M96" s="12"/>
      <c r="O96" s="3" t="s">
        <v>200</v>
      </c>
      <c r="P96" s="4">
        <v>638.23016399999995</v>
      </c>
      <c r="Q96" s="4">
        <v>598.44104000000004</v>
      </c>
      <c r="R96" s="4">
        <v>542.16680899999994</v>
      </c>
      <c r="U96" s="3" t="s">
        <v>200</v>
      </c>
      <c r="V96" s="18">
        <v>518.50994900000001</v>
      </c>
      <c r="W96" s="4">
        <v>542.31689500000005</v>
      </c>
      <c r="X96" s="4">
        <v>641.10125700000003</v>
      </c>
      <c r="AO96" s="3" t="s">
        <v>200</v>
      </c>
      <c r="AP96" s="4">
        <v>584.62457300000005</v>
      </c>
      <c r="AQ96" s="4">
        <v>638.23016399999995</v>
      </c>
      <c r="AR96" s="4">
        <v>598.44104000000004</v>
      </c>
      <c r="AT96" s="3" t="s">
        <v>200</v>
      </c>
      <c r="AU96" s="4">
        <v>512.32098399999995</v>
      </c>
      <c r="AV96" s="18">
        <v>518.50994900000001</v>
      </c>
      <c r="AW96" s="4">
        <v>542.31689500000005</v>
      </c>
      <c r="AY96" s="3" t="s">
        <v>200</v>
      </c>
      <c r="AZ96" s="4">
        <v>598.37329099999999</v>
      </c>
      <c r="BA96" s="4">
        <v>638.23016399999995</v>
      </c>
      <c r="BB96" s="4">
        <v>598.44104000000004</v>
      </c>
      <c r="BD96" s="3" t="s">
        <v>200</v>
      </c>
      <c r="BE96" s="4">
        <v>524.94604500000003</v>
      </c>
      <c r="BF96" s="18">
        <v>518.50994900000001</v>
      </c>
      <c r="BG96" s="4">
        <v>542.31689500000005</v>
      </c>
    </row>
    <row r="97" spans="1:59" x14ac:dyDescent="0.3">
      <c r="A97" s="3" t="s">
        <v>202</v>
      </c>
      <c r="B97" s="4">
        <v>581.249146</v>
      </c>
      <c r="C97" s="4">
        <v>605.262878</v>
      </c>
      <c r="D97" s="4">
        <v>713.09594700000002</v>
      </c>
      <c r="I97" s="3" t="s">
        <v>202</v>
      </c>
      <c r="J97" s="4">
        <v>519.90783699999997</v>
      </c>
      <c r="K97" s="4">
        <v>544.00091599999996</v>
      </c>
      <c r="L97" s="4">
        <v>640.15783699999997</v>
      </c>
      <c r="M97" s="12"/>
      <c r="O97" s="3" t="s">
        <v>202</v>
      </c>
      <c r="P97" s="4">
        <v>631.37060499999995</v>
      </c>
      <c r="Q97" s="4">
        <v>590.57012899999995</v>
      </c>
      <c r="R97" s="4">
        <v>685.11621100000002</v>
      </c>
      <c r="U97" s="3" t="s">
        <v>202</v>
      </c>
      <c r="V97" s="18">
        <v>641.96295199999997</v>
      </c>
      <c r="W97" s="4">
        <v>554.60125700000003</v>
      </c>
      <c r="X97" s="4">
        <v>480.684326</v>
      </c>
      <c r="AO97" s="3" t="s">
        <v>202</v>
      </c>
      <c r="AP97" s="4">
        <v>581.249146</v>
      </c>
      <c r="AQ97" s="4">
        <v>631.37060499999995</v>
      </c>
      <c r="AR97" s="4">
        <v>590.57012899999995</v>
      </c>
      <c r="AT97" s="3" t="s">
        <v>202</v>
      </c>
      <c r="AU97" s="4">
        <v>519.90783699999997</v>
      </c>
      <c r="AV97" s="18">
        <v>641.96295199999997</v>
      </c>
      <c r="AW97" s="4">
        <v>554.60125700000003</v>
      </c>
      <c r="AY97" s="3" t="s">
        <v>202</v>
      </c>
      <c r="AZ97" s="4">
        <v>605.262878</v>
      </c>
      <c r="BA97" s="4">
        <v>631.37060499999995</v>
      </c>
      <c r="BB97" s="4">
        <v>590.57012899999995</v>
      </c>
      <c r="BD97" s="3" t="s">
        <v>202</v>
      </c>
      <c r="BE97" s="4">
        <v>544.00091599999996</v>
      </c>
      <c r="BF97" s="18">
        <v>641.96295199999997</v>
      </c>
      <c r="BG97" s="4">
        <v>554.60125700000003</v>
      </c>
    </row>
    <row r="98" spans="1:59" x14ac:dyDescent="0.3">
      <c r="A98" s="3" t="s">
        <v>204</v>
      </c>
      <c r="B98" s="4">
        <v>623.68798800000002</v>
      </c>
      <c r="C98" s="4">
        <v>638.58227499999998</v>
      </c>
      <c r="D98" s="4">
        <v>616.376892</v>
      </c>
      <c r="I98" s="3" t="s">
        <v>204</v>
      </c>
      <c r="J98" s="4">
        <v>604.13671899999997</v>
      </c>
      <c r="K98" s="4">
        <v>604.97094700000002</v>
      </c>
      <c r="L98" s="4">
        <v>659.82250999999997</v>
      </c>
      <c r="M98" s="12"/>
      <c r="O98" s="3" t="s">
        <v>204</v>
      </c>
      <c r="P98" s="4">
        <v>637.42578100000003</v>
      </c>
      <c r="Q98" s="4">
        <v>641.230774</v>
      </c>
      <c r="R98" s="4">
        <v>704.42443800000001</v>
      </c>
      <c r="U98" s="3" t="s">
        <v>204</v>
      </c>
      <c r="V98" s="18">
        <v>662.05206299999998</v>
      </c>
      <c r="W98" s="4">
        <v>612.42016599999999</v>
      </c>
      <c r="X98" s="4">
        <v>540.36261000000002</v>
      </c>
      <c r="AO98" s="3" t="s">
        <v>204</v>
      </c>
      <c r="AP98" s="4">
        <v>623.68798800000002</v>
      </c>
      <c r="AQ98" s="4">
        <v>637.42578100000003</v>
      </c>
      <c r="AR98" s="4">
        <v>641.230774</v>
      </c>
      <c r="AT98" s="3" t="s">
        <v>204</v>
      </c>
      <c r="AU98" s="4">
        <v>604.13671899999997</v>
      </c>
      <c r="AV98" s="18">
        <v>662.05206299999998</v>
      </c>
      <c r="AW98" s="4">
        <v>612.42016599999999</v>
      </c>
      <c r="AY98" s="3" t="s">
        <v>204</v>
      </c>
      <c r="AZ98" s="4">
        <v>638.58227499999998</v>
      </c>
      <c r="BA98" s="4">
        <v>637.42578100000003</v>
      </c>
      <c r="BB98" s="4">
        <v>641.230774</v>
      </c>
      <c r="BD98" s="3" t="s">
        <v>204</v>
      </c>
      <c r="BE98" s="4">
        <v>604.97094700000002</v>
      </c>
      <c r="BF98" s="18">
        <v>662.05206299999998</v>
      </c>
      <c r="BG98" s="4">
        <v>612.42016599999999</v>
      </c>
    </row>
    <row r="99" spans="1:59" x14ac:dyDescent="0.3">
      <c r="A99" s="3" t="s">
        <v>206</v>
      </c>
      <c r="B99" s="4">
        <v>650.65106200000002</v>
      </c>
      <c r="C99" s="4">
        <v>646.61596699999996</v>
      </c>
      <c r="D99" s="4">
        <v>701.19378700000004</v>
      </c>
      <c r="I99" s="3" t="s">
        <v>206</v>
      </c>
      <c r="J99" s="4">
        <v>608.07702600000005</v>
      </c>
      <c r="K99" s="4">
        <v>618.34918200000004</v>
      </c>
      <c r="L99" s="4">
        <v>665.25054899999998</v>
      </c>
      <c r="M99" s="12"/>
      <c r="O99" s="3" t="s">
        <v>206</v>
      </c>
      <c r="P99" s="4">
        <v>643.40191700000003</v>
      </c>
      <c r="Q99" s="4">
        <v>667.36804199999995</v>
      </c>
      <c r="R99" s="4">
        <v>666.80023200000005</v>
      </c>
      <c r="U99" s="3" t="s">
        <v>206</v>
      </c>
      <c r="V99" s="18">
        <v>645.93823199999997</v>
      </c>
      <c r="W99" s="4">
        <v>621.24334699999997</v>
      </c>
      <c r="X99" s="4">
        <v>625.47833300000002</v>
      </c>
      <c r="AO99" s="3" t="s">
        <v>206</v>
      </c>
      <c r="AP99" s="4">
        <v>650.65106200000002</v>
      </c>
      <c r="AQ99" s="4">
        <v>643.40191700000003</v>
      </c>
      <c r="AR99" s="4">
        <v>667.36804199999995</v>
      </c>
      <c r="AT99" s="3" t="s">
        <v>206</v>
      </c>
      <c r="AU99" s="4">
        <v>608.07702600000005</v>
      </c>
      <c r="AV99" s="18">
        <v>645.93823199999997</v>
      </c>
      <c r="AW99" s="4">
        <v>621.24334699999997</v>
      </c>
      <c r="AY99" s="3" t="s">
        <v>206</v>
      </c>
      <c r="AZ99" s="4">
        <v>646.61596699999996</v>
      </c>
      <c r="BA99" s="4">
        <v>643.40191700000003</v>
      </c>
      <c r="BB99" s="4">
        <v>667.36804199999995</v>
      </c>
      <c r="BD99" s="3" t="s">
        <v>206</v>
      </c>
      <c r="BE99" s="4">
        <v>618.34918200000004</v>
      </c>
      <c r="BF99" s="18">
        <v>645.93823199999997</v>
      </c>
      <c r="BG99" s="4">
        <v>621.24334699999997</v>
      </c>
    </row>
    <row r="100" spans="1:59" x14ac:dyDescent="0.3">
      <c r="A100" s="3" t="s">
        <v>208</v>
      </c>
      <c r="B100" s="4">
        <v>618.52227800000003</v>
      </c>
      <c r="C100" s="4">
        <v>619.73907499999996</v>
      </c>
      <c r="D100" s="4">
        <v>607.71612500000003</v>
      </c>
      <c r="I100" s="3" t="s">
        <v>208</v>
      </c>
      <c r="J100" s="4">
        <v>556.91619900000001</v>
      </c>
      <c r="K100" s="4">
        <v>573.48840299999995</v>
      </c>
      <c r="L100" s="4">
        <v>611.70251499999995</v>
      </c>
      <c r="M100" s="12"/>
      <c r="O100" s="3" t="s">
        <v>208</v>
      </c>
      <c r="P100" s="4">
        <v>684.53753700000004</v>
      </c>
      <c r="Q100" s="4">
        <v>613.49163799999997</v>
      </c>
      <c r="R100" s="4">
        <v>682.25207499999999</v>
      </c>
      <c r="U100" s="3" t="s">
        <v>208</v>
      </c>
      <c r="V100" s="18">
        <v>487.93109099999998</v>
      </c>
      <c r="W100" s="4">
        <v>575.94702099999995</v>
      </c>
      <c r="X100" s="4">
        <v>587.71765100000005</v>
      </c>
      <c r="AO100" s="3" t="s">
        <v>208</v>
      </c>
      <c r="AP100" s="4">
        <v>618.52227800000003</v>
      </c>
      <c r="AQ100" s="4">
        <v>684.53753700000004</v>
      </c>
      <c r="AR100" s="4">
        <v>613.49163799999997</v>
      </c>
      <c r="AT100" s="3" t="s">
        <v>208</v>
      </c>
      <c r="AU100" s="4">
        <v>556.91619900000001</v>
      </c>
      <c r="AV100" s="18">
        <v>487.93109099999998</v>
      </c>
      <c r="AW100" s="4">
        <v>575.94702099999995</v>
      </c>
      <c r="AY100" s="3" t="s">
        <v>208</v>
      </c>
      <c r="AZ100" s="4">
        <v>619.73907499999996</v>
      </c>
      <c r="BA100" s="4">
        <v>684.53753700000004</v>
      </c>
      <c r="BB100" s="4">
        <v>613.49163799999997</v>
      </c>
      <c r="BD100" s="3" t="s">
        <v>208</v>
      </c>
      <c r="BE100" s="4">
        <v>573.48840299999995</v>
      </c>
      <c r="BF100" s="18">
        <v>487.93109099999998</v>
      </c>
      <c r="BG100" s="4">
        <v>575.94702099999995</v>
      </c>
    </row>
    <row r="101" spans="1:59" x14ac:dyDescent="0.3">
      <c r="A101" s="3" t="s">
        <v>210</v>
      </c>
      <c r="B101" s="4">
        <v>601.227844</v>
      </c>
      <c r="C101" s="4">
        <v>618.76879899999994</v>
      </c>
      <c r="D101" s="4">
        <v>691.98242200000004</v>
      </c>
      <c r="I101" s="3" t="s">
        <v>210</v>
      </c>
      <c r="J101" s="4">
        <v>560.67224099999999</v>
      </c>
      <c r="K101" s="4">
        <v>592.04644800000005</v>
      </c>
      <c r="L101" s="4">
        <v>673.95770300000004</v>
      </c>
      <c r="M101" s="12"/>
      <c r="O101" s="3" t="s">
        <v>210</v>
      </c>
      <c r="P101" s="4">
        <v>672.24133300000005</v>
      </c>
      <c r="Q101" s="4">
        <v>623.22192399999994</v>
      </c>
      <c r="R101" s="4">
        <v>617.99176</v>
      </c>
      <c r="U101" s="3" t="s">
        <v>210</v>
      </c>
      <c r="V101" s="18">
        <v>602.09338400000001</v>
      </c>
      <c r="W101" s="4">
        <v>590.14367700000003</v>
      </c>
      <c r="X101" s="4">
        <v>562.25695800000005</v>
      </c>
      <c r="AO101" s="3" t="s">
        <v>210</v>
      </c>
      <c r="AP101" s="4">
        <v>601.227844</v>
      </c>
      <c r="AQ101" s="4">
        <v>672.24133300000005</v>
      </c>
      <c r="AR101" s="4">
        <v>623.22192399999994</v>
      </c>
      <c r="AT101" s="3" t="s">
        <v>210</v>
      </c>
      <c r="AU101" s="4">
        <v>560.67224099999999</v>
      </c>
      <c r="AV101" s="18">
        <v>602.09338400000001</v>
      </c>
      <c r="AW101" s="4">
        <v>590.14367700000003</v>
      </c>
      <c r="AY101" s="3" t="s">
        <v>210</v>
      </c>
      <c r="AZ101" s="4">
        <v>618.76879899999994</v>
      </c>
      <c r="BA101" s="4">
        <v>672.24133300000005</v>
      </c>
      <c r="BB101" s="4">
        <v>623.22192399999994</v>
      </c>
      <c r="BD101" s="3" t="s">
        <v>210</v>
      </c>
      <c r="BE101" s="4">
        <v>592.04644800000005</v>
      </c>
      <c r="BF101" s="18">
        <v>602.09338400000001</v>
      </c>
      <c r="BG101" s="4">
        <v>590.14367700000003</v>
      </c>
    </row>
    <row r="102" spans="1:59" x14ac:dyDescent="0.3">
      <c r="A102" s="3" t="s">
        <v>212</v>
      </c>
      <c r="B102" s="4">
        <v>632.23492399999998</v>
      </c>
      <c r="C102" s="4">
        <v>652.70678699999996</v>
      </c>
      <c r="D102" s="4">
        <v>648.47302200000001</v>
      </c>
      <c r="I102" s="3" t="s">
        <v>212</v>
      </c>
      <c r="J102" s="4">
        <v>600.80981399999996</v>
      </c>
      <c r="K102" s="4">
        <v>613.18969700000002</v>
      </c>
      <c r="L102" s="4">
        <v>644.86517300000003</v>
      </c>
      <c r="M102" s="12"/>
      <c r="O102" s="3" t="s">
        <v>212</v>
      </c>
      <c r="P102" s="4">
        <v>681.98242200000004</v>
      </c>
      <c r="Q102" s="4">
        <v>633.03509499999996</v>
      </c>
      <c r="R102" s="4">
        <v>629.35986300000002</v>
      </c>
      <c r="U102" s="3" t="s">
        <v>212</v>
      </c>
      <c r="V102" s="18">
        <v>640.44903599999998</v>
      </c>
      <c r="W102" s="4">
        <v>603.98303199999998</v>
      </c>
      <c r="X102" s="4">
        <v>605.86328100000003</v>
      </c>
      <c r="AO102" s="3" t="s">
        <v>212</v>
      </c>
      <c r="AP102" s="4">
        <v>632.23492399999998</v>
      </c>
      <c r="AQ102" s="4">
        <v>681.98242200000004</v>
      </c>
      <c r="AR102" s="4">
        <v>633.03509499999996</v>
      </c>
      <c r="AT102" s="3" t="s">
        <v>212</v>
      </c>
      <c r="AU102" s="4">
        <v>600.80981399999996</v>
      </c>
      <c r="AV102" s="18">
        <v>640.44903599999998</v>
      </c>
      <c r="AW102" s="4">
        <v>603.98303199999998</v>
      </c>
      <c r="AY102" s="3" t="s">
        <v>212</v>
      </c>
      <c r="AZ102" s="4">
        <v>652.70678699999996</v>
      </c>
      <c r="BA102" s="4">
        <v>681.98242200000004</v>
      </c>
      <c r="BB102" s="4">
        <v>633.03509499999996</v>
      </c>
      <c r="BD102" s="3" t="s">
        <v>212</v>
      </c>
      <c r="BE102" s="4">
        <v>613.18969700000002</v>
      </c>
      <c r="BF102" s="18">
        <v>640.44903599999998</v>
      </c>
      <c r="BG102" s="4">
        <v>603.98303199999998</v>
      </c>
    </row>
    <row r="103" spans="1:59" x14ac:dyDescent="0.3">
      <c r="A103" s="3" t="s">
        <v>214</v>
      </c>
      <c r="B103" s="4">
        <v>648.76824999999997</v>
      </c>
      <c r="C103" s="4">
        <v>646.94250499999998</v>
      </c>
      <c r="D103" s="4">
        <v>640.33776899999998</v>
      </c>
      <c r="I103" s="3" t="s">
        <v>214</v>
      </c>
      <c r="J103" s="4">
        <v>616.80480999999997</v>
      </c>
      <c r="K103" s="4">
        <v>610.86773700000003</v>
      </c>
      <c r="L103" s="4">
        <v>588.11926300000005</v>
      </c>
      <c r="M103" s="12"/>
      <c r="O103" s="3" t="s">
        <v>214</v>
      </c>
      <c r="P103" s="4">
        <v>671.75061000000005</v>
      </c>
      <c r="Q103" s="4">
        <v>663.17480499999999</v>
      </c>
      <c r="R103" s="4">
        <v>763.47723399999995</v>
      </c>
      <c r="U103" s="3" t="s">
        <v>214</v>
      </c>
      <c r="V103" s="18">
        <v>694.62396200000001</v>
      </c>
      <c r="W103" s="4">
        <v>622.41967799999998</v>
      </c>
      <c r="X103" s="4">
        <v>634.678223</v>
      </c>
      <c r="AO103" s="3" t="s">
        <v>214</v>
      </c>
      <c r="AP103" s="4">
        <v>648.76824999999997</v>
      </c>
      <c r="AQ103" s="4">
        <v>671.75061000000005</v>
      </c>
      <c r="AR103" s="4">
        <v>663.17480499999999</v>
      </c>
      <c r="AT103" s="3" t="s">
        <v>214</v>
      </c>
      <c r="AU103" s="4">
        <v>616.80480999999997</v>
      </c>
      <c r="AV103" s="18">
        <v>694.62396200000001</v>
      </c>
      <c r="AW103" s="4">
        <v>622.41967799999998</v>
      </c>
      <c r="AY103" s="3" t="s">
        <v>214</v>
      </c>
      <c r="AZ103" s="4">
        <v>646.94250499999998</v>
      </c>
      <c r="BA103" s="4">
        <v>671.75061000000005</v>
      </c>
      <c r="BB103" s="4">
        <v>663.17480499999999</v>
      </c>
      <c r="BD103" s="3" t="s">
        <v>214</v>
      </c>
      <c r="BE103" s="4">
        <v>610.86773700000003</v>
      </c>
      <c r="BF103" s="18">
        <v>694.62396200000001</v>
      </c>
      <c r="BG103" s="4">
        <v>622.41967799999998</v>
      </c>
    </row>
    <row r="104" spans="1:59" x14ac:dyDescent="0.3">
      <c r="A104" s="3" t="s">
        <v>216</v>
      </c>
      <c r="B104" s="4">
        <v>601.20922900000005</v>
      </c>
      <c r="C104" s="4">
        <v>612.98419200000001</v>
      </c>
      <c r="D104" s="4">
        <v>690.06494099999998</v>
      </c>
      <c r="I104" s="3" t="s">
        <v>216</v>
      </c>
      <c r="J104" s="4">
        <v>559.15551800000003</v>
      </c>
      <c r="K104" s="4">
        <v>557.23156700000004</v>
      </c>
      <c r="L104" s="4">
        <v>565.176514</v>
      </c>
      <c r="M104" s="12"/>
      <c r="O104" s="3" t="s">
        <v>216</v>
      </c>
      <c r="P104" s="4">
        <v>693.50244099999998</v>
      </c>
      <c r="Q104" s="4">
        <v>624.97302200000001</v>
      </c>
      <c r="R104" s="4">
        <v>581.63708499999996</v>
      </c>
      <c r="U104" s="3" t="s">
        <v>216</v>
      </c>
      <c r="V104" s="18">
        <v>573.52984600000002</v>
      </c>
      <c r="W104" s="4">
        <v>574.39624000000003</v>
      </c>
      <c r="X104" s="4">
        <v>682.10119599999996</v>
      </c>
      <c r="AO104" s="3" t="s">
        <v>216</v>
      </c>
      <c r="AP104" s="4">
        <v>601.20922900000005</v>
      </c>
      <c r="AQ104" s="4">
        <v>693.50244099999998</v>
      </c>
      <c r="AR104" s="4">
        <v>624.97302200000001</v>
      </c>
      <c r="AT104" s="3" t="s">
        <v>216</v>
      </c>
      <c r="AU104" s="4">
        <v>559.15551800000003</v>
      </c>
      <c r="AV104" s="18">
        <v>573.52984600000002</v>
      </c>
      <c r="AW104" s="4">
        <v>574.39624000000003</v>
      </c>
      <c r="AY104" s="3" t="s">
        <v>216</v>
      </c>
      <c r="AZ104" s="4">
        <v>612.98419200000001</v>
      </c>
      <c r="BA104" s="4">
        <v>693.50244099999998</v>
      </c>
      <c r="BB104" s="4">
        <v>624.97302200000001</v>
      </c>
      <c r="BD104" s="3" t="s">
        <v>216</v>
      </c>
      <c r="BE104" s="4">
        <v>557.23156700000004</v>
      </c>
      <c r="BF104" s="18">
        <v>573.52984600000002</v>
      </c>
      <c r="BG104" s="4">
        <v>574.39624000000003</v>
      </c>
    </row>
    <row r="105" spans="1:59" x14ac:dyDescent="0.3">
      <c r="A105" s="3" t="s">
        <v>218</v>
      </c>
      <c r="B105" s="4">
        <v>650.98706100000004</v>
      </c>
      <c r="C105" s="4">
        <v>680.66015600000003</v>
      </c>
      <c r="D105" s="4">
        <v>746.21191399999998</v>
      </c>
      <c r="I105" s="3" t="s">
        <v>218</v>
      </c>
      <c r="J105" s="4">
        <v>646.25183100000004</v>
      </c>
      <c r="K105" s="4">
        <v>653.78204300000004</v>
      </c>
      <c r="L105" s="4">
        <v>654.50439500000005</v>
      </c>
      <c r="M105" s="12"/>
      <c r="O105" s="3" t="s">
        <v>218</v>
      </c>
      <c r="P105" s="4">
        <v>693.60595699999999</v>
      </c>
      <c r="Q105" s="4">
        <v>674.83587599999998</v>
      </c>
      <c r="R105" s="4">
        <v>803.25207499999999</v>
      </c>
      <c r="U105" s="3" t="s">
        <v>218</v>
      </c>
      <c r="V105" s="18">
        <v>664.301331</v>
      </c>
      <c r="W105" s="4">
        <v>643.35766599999999</v>
      </c>
      <c r="X105" s="4">
        <v>724.53253199999995</v>
      </c>
      <c r="AO105" s="3" t="s">
        <v>218</v>
      </c>
      <c r="AP105" s="4">
        <v>650.98706100000004</v>
      </c>
      <c r="AQ105" s="4">
        <v>693.60595699999999</v>
      </c>
      <c r="AR105" s="4">
        <v>674.83587599999998</v>
      </c>
      <c r="AT105" s="3" t="s">
        <v>218</v>
      </c>
      <c r="AU105" s="4">
        <v>646.25183100000004</v>
      </c>
      <c r="AV105" s="18">
        <v>664.301331</v>
      </c>
      <c r="AW105" s="4">
        <v>643.35766599999999</v>
      </c>
      <c r="AY105" s="3" t="s">
        <v>218</v>
      </c>
      <c r="AZ105" s="4">
        <v>680.66015600000003</v>
      </c>
      <c r="BA105" s="4">
        <v>693.60595699999999</v>
      </c>
      <c r="BB105" s="4">
        <v>674.83587599999998</v>
      </c>
      <c r="BD105" s="3" t="s">
        <v>218</v>
      </c>
      <c r="BE105" s="4">
        <v>653.78204300000004</v>
      </c>
      <c r="BF105" s="18">
        <v>664.301331</v>
      </c>
      <c r="BG105" s="4">
        <v>643.35766599999999</v>
      </c>
    </row>
    <row r="106" spans="1:59" x14ac:dyDescent="0.3">
      <c r="A106" s="3" t="s">
        <v>220</v>
      </c>
      <c r="B106" s="4">
        <v>675.104919</v>
      </c>
      <c r="C106" s="4">
        <v>692.65423599999997</v>
      </c>
      <c r="D106" s="4">
        <v>699.54205300000001</v>
      </c>
      <c r="I106" s="3" t="s">
        <v>220</v>
      </c>
      <c r="J106" s="4">
        <v>652.27722200000005</v>
      </c>
      <c r="K106" s="4">
        <v>676.77276600000005</v>
      </c>
      <c r="L106" s="4">
        <v>710.35778800000003</v>
      </c>
      <c r="M106" s="12"/>
      <c r="O106" s="3" t="s">
        <v>220</v>
      </c>
      <c r="P106" s="4">
        <v>778.41644299999996</v>
      </c>
      <c r="Q106" s="4">
        <v>685.82269299999996</v>
      </c>
      <c r="R106" s="4">
        <v>858.94665499999996</v>
      </c>
      <c r="U106" s="3" t="s">
        <v>220</v>
      </c>
      <c r="V106" s="18">
        <v>735.64617899999996</v>
      </c>
      <c r="W106" s="4">
        <v>689.40972899999997</v>
      </c>
      <c r="X106" s="4">
        <v>873.66894500000001</v>
      </c>
      <c r="AO106" s="3" t="s">
        <v>220</v>
      </c>
      <c r="AP106" s="4">
        <v>675.104919</v>
      </c>
      <c r="AQ106" s="4">
        <v>778.41644299999996</v>
      </c>
      <c r="AR106" s="4">
        <v>685.82269299999996</v>
      </c>
      <c r="AT106" s="3" t="s">
        <v>220</v>
      </c>
      <c r="AU106" s="4">
        <v>652.27722200000005</v>
      </c>
      <c r="AV106" s="18">
        <v>735.64617899999996</v>
      </c>
      <c r="AW106" s="4">
        <v>689.40972899999997</v>
      </c>
      <c r="AY106" s="3" t="s">
        <v>220</v>
      </c>
      <c r="AZ106" s="4">
        <v>692.65423599999997</v>
      </c>
      <c r="BA106" s="4">
        <v>778.41644299999996</v>
      </c>
      <c r="BB106" s="4">
        <v>685.82269299999996</v>
      </c>
      <c r="BD106" s="3" t="s">
        <v>220</v>
      </c>
      <c r="BE106" s="4">
        <v>676.77276600000005</v>
      </c>
      <c r="BF106" s="18">
        <v>735.64617899999996</v>
      </c>
      <c r="BG106" s="4">
        <v>689.40972899999997</v>
      </c>
    </row>
    <row r="107" spans="1:59" x14ac:dyDescent="0.3">
      <c r="A107" s="3" t="s">
        <v>222</v>
      </c>
      <c r="B107" s="4">
        <v>685.50866699999995</v>
      </c>
      <c r="C107" s="4">
        <v>705.07971199999997</v>
      </c>
      <c r="D107" s="4">
        <v>638.43292199999996</v>
      </c>
      <c r="I107" s="3" t="s">
        <v>222</v>
      </c>
      <c r="J107" s="4">
        <v>661.85058600000002</v>
      </c>
      <c r="K107" s="4">
        <v>674.76000999999997</v>
      </c>
      <c r="L107" s="4">
        <v>715.707764</v>
      </c>
      <c r="M107" s="12"/>
      <c r="O107" s="3" t="s">
        <v>222</v>
      </c>
      <c r="P107" s="4">
        <v>774.47357199999999</v>
      </c>
      <c r="Q107" s="4">
        <v>704.82629399999996</v>
      </c>
      <c r="R107" s="4">
        <v>762.785034</v>
      </c>
      <c r="U107" s="3" t="s">
        <v>222</v>
      </c>
      <c r="V107" s="18">
        <v>683.47833300000002</v>
      </c>
      <c r="W107" s="4">
        <v>673.64178500000003</v>
      </c>
      <c r="X107" s="4">
        <v>791.66747999999995</v>
      </c>
      <c r="AO107" s="3" t="s">
        <v>222</v>
      </c>
      <c r="AP107" s="4">
        <v>685.50866699999995</v>
      </c>
      <c r="AQ107" s="4">
        <v>774.47357199999999</v>
      </c>
      <c r="AR107" s="4">
        <v>704.82629399999996</v>
      </c>
      <c r="AT107" s="3" t="s">
        <v>222</v>
      </c>
      <c r="AU107" s="4">
        <v>661.85058600000002</v>
      </c>
      <c r="AV107" s="18">
        <v>683.47833300000002</v>
      </c>
      <c r="AW107" s="4">
        <v>673.64178500000003</v>
      </c>
      <c r="AY107" s="3" t="s">
        <v>222</v>
      </c>
      <c r="AZ107" s="4">
        <v>705.07971199999997</v>
      </c>
      <c r="BA107" s="4">
        <v>774.47357199999999</v>
      </c>
      <c r="BB107" s="4">
        <v>704.82629399999996</v>
      </c>
      <c r="BD107" s="3" t="s">
        <v>222</v>
      </c>
      <c r="BE107" s="4">
        <v>674.76000999999997</v>
      </c>
      <c r="BF107" s="18">
        <v>683.47833300000002</v>
      </c>
      <c r="BG107" s="4">
        <v>673.64178500000003</v>
      </c>
    </row>
    <row r="108" spans="1:59" x14ac:dyDescent="0.3">
      <c r="A108" s="3" t="s">
        <v>224</v>
      </c>
      <c r="B108" s="4">
        <v>708.69818099999998</v>
      </c>
      <c r="C108" s="4">
        <v>759.43969700000002</v>
      </c>
      <c r="D108" s="4">
        <v>723.50036599999999</v>
      </c>
      <c r="I108" s="3" t="s">
        <v>224</v>
      </c>
      <c r="J108" s="4">
        <v>731.49499500000002</v>
      </c>
      <c r="K108" s="4">
        <v>744.38397199999997</v>
      </c>
      <c r="L108" s="4">
        <v>670.303223</v>
      </c>
      <c r="M108" s="12"/>
      <c r="O108" s="3" t="s">
        <v>224</v>
      </c>
      <c r="P108" s="4">
        <v>711.44262700000002</v>
      </c>
      <c r="Q108" s="4">
        <v>777.34240699999998</v>
      </c>
      <c r="R108" s="4">
        <v>742.27496299999996</v>
      </c>
      <c r="U108" s="3" t="s">
        <v>224</v>
      </c>
      <c r="V108" s="18">
        <v>656.22735599999999</v>
      </c>
      <c r="W108" s="4">
        <v>761.86492899999996</v>
      </c>
      <c r="X108" s="4">
        <v>684.37481700000001</v>
      </c>
      <c r="AO108" s="3" t="s">
        <v>224</v>
      </c>
      <c r="AP108" s="4">
        <v>708.69818099999998</v>
      </c>
      <c r="AQ108" s="4">
        <v>711.44262700000002</v>
      </c>
      <c r="AR108" s="4">
        <v>777.34240699999998</v>
      </c>
      <c r="AT108" s="3" t="s">
        <v>224</v>
      </c>
      <c r="AU108" s="4">
        <v>731.49499500000002</v>
      </c>
      <c r="AV108" s="18">
        <v>656.22735599999999</v>
      </c>
      <c r="AW108" s="4">
        <v>761.86492899999996</v>
      </c>
      <c r="AY108" s="3" t="s">
        <v>224</v>
      </c>
      <c r="AZ108" s="4">
        <v>759.43969700000002</v>
      </c>
      <c r="BA108" s="4">
        <v>711.44262700000002</v>
      </c>
      <c r="BB108" s="4">
        <v>777.34240699999998</v>
      </c>
      <c r="BD108" s="3" t="s">
        <v>224</v>
      </c>
      <c r="BE108" s="4">
        <v>744.38397199999997</v>
      </c>
      <c r="BF108" s="18">
        <v>656.22735599999999</v>
      </c>
      <c r="BG108" s="4">
        <v>761.86492899999996</v>
      </c>
    </row>
    <row r="109" spans="1:59" x14ac:dyDescent="0.3">
      <c r="A109" s="3" t="s">
        <v>226</v>
      </c>
      <c r="B109" s="4">
        <v>734.53149399999995</v>
      </c>
      <c r="C109" s="4">
        <v>760.59228499999995</v>
      </c>
      <c r="D109" s="4">
        <v>692.52770999999996</v>
      </c>
      <c r="I109" s="3" t="s">
        <v>226</v>
      </c>
      <c r="J109" s="4">
        <v>700.42407200000002</v>
      </c>
      <c r="K109" s="4">
        <v>707.209656</v>
      </c>
      <c r="L109" s="4">
        <v>686.14862100000005</v>
      </c>
      <c r="M109" s="12"/>
      <c r="O109" s="3" t="s">
        <v>226</v>
      </c>
      <c r="P109" s="4">
        <v>813.26965299999995</v>
      </c>
      <c r="Q109" s="4">
        <v>771.10186799999997</v>
      </c>
      <c r="R109" s="4">
        <v>835.46002199999998</v>
      </c>
      <c r="U109" s="3" t="s">
        <v>226</v>
      </c>
      <c r="V109" s="18">
        <v>689.90405299999998</v>
      </c>
      <c r="W109" s="4">
        <v>715.73230000000001</v>
      </c>
      <c r="X109" s="4">
        <v>698.37561000000005</v>
      </c>
      <c r="AO109" s="3" t="s">
        <v>226</v>
      </c>
      <c r="AP109" s="4">
        <v>734.53149399999995</v>
      </c>
      <c r="AQ109" s="4">
        <v>813.26965299999995</v>
      </c>
      <c r="AR109" s="4">
        <v>771.10186799999997</v>
      </c>
      <c r="AT109" s="3" t="s">
        <v>226</v>
      </c>
      <c r="AU109" s="4">
        <v>700.42407200000002</v>
      </c>
      <c r="AV109" s="18">
        <v>689.90405299999998</v>
      </c>
      <c r="AW109" s="4">
        <v>715.73230000000001</v>
      </c>
      <c r="AY109" s="3" t="s">
        <v>226</v>
      </c>
      <c r="AZ109" s="4">
        <v>760.59228499999995</v>
      </c>
      <c r="BA109" s="4">
        <v>813.26965299999995</v>
      </c>
      <c r="BB109" s="4">
        <v>771.10186799999997</v>
      </c>
      <c r="BD109" s="3" t="s">
        <v>226</v>
      </c>
      <c r="BE109" s="4">
        <v>707.209656</v>
      </c>
      <c r="BF109" s="18">
        <v>689.90405299999998</v>
      </c>
      <c r="BG109" s="4">
        <v>715.73230000000001</v>
      </c>
    </row>
    <row r="110" spans="1:59" x14ac:dyDescent="0.3">
      <c r="A110" s="3" t="s">
        <v>228</v>
      </c>
      <c r="B110" s="4">
        <v>626.37707499999999</v>
      </c>
      <c r="C110" s="4">
        <v>655.25268600000004</v>
      </c>
      <c r="D110" s="4">
        <v>643.17620799999997</v>
      </c>
      <c r="I110" s="3" t="s">
        <v>228</v>
      </c>
      <c r="J110" s="4">
        <v>614.99603300000001</v>
      </c>
      <c r="K110" s="4">
        <v>619.40826400000003</v>
      </c>
      <c r="L110" s="4">
        <v>715.98004200000003</v>
      </c>
      <c r="M110" s="12"/>
      <c r="O110" s="3" t="s">
        <v>228</v>
      </c>
      <c r="P110" s="4">
        <v>660.22869900000001</v>
      </c>
      <c r="Q110" s="4">
        <v>664.59179700000004</v>
      </c>
      <c r="R110" s="4">
        <v>613.34020999999996</v>
      </c>
      <c r="U110" s="3" t="s">
        <v>228</v>
      </c>
      <c r="V110" s="18">
        <v>758.24285899999995</v>
      </c>
      <c r="W110" s="4">
        <v>635.04107699999997</v>
      </c>
      <c r="X110" s="4">
        <v>714.53594999999996</v>
      </c>
      <c r="AO110" s="3" t="s">
        <v>228</v>
      </c>
      <c r="AP110" s="4">
        <v>626.37707499999999</v>
      </c>
      <c r="AQ110" s="4">
        <v>660.22869900000001</v>
      </c>
      <c r="AR110" s="4">
        <v>664.59179700000004</v>
      </c>
      <c r="AT110" s="3" t="s">
        <v>228</v>
      </c>
      <c r="AU110" s="4">
        <v>614.99603300000001</v>
      </c>
      <c r="AV110" s="18">
        <v>758.24285899999995</v>
      </c>
      <c r="AW110" s="4">
        <v>635.04107699999997</v>
      </c>
      <c r="AY110" s="3" t="s">
        <v>228</v>
      </c>
      <c r="AZ110" s="4">
        <v>655.25268600000004</v>
      </c>
      <c r="BA110" s="4">
        <v>660.22869900000001</v>
      </c>
      <c r="BB110" s="4">
        <v>664.59179700000004</v>
      </c>
      <c r="BD110" s="3" t="s">
        <v>228</v>
      </c>
      <c r="BE110" s="4">
        <v>619.40826400000003</v>
      </c>
      <c r="BF110" s="18">
        <v>758.24285899999995</v>
      </c>
      <c r="BG110" s="4">
        <v>635.04107699999997</v>
      </c>
    </row>
    <row r="111" spans="1:59" x14ac:dyDescent="0.3">
      <c r="A111" s="3" t="s">
        <v>230</v>
      </c>
      <c r="B111" s="4">
        <v>723.94006300000001</v>
      </c>
      <c r="C111" s="4">
        <v>755.01135299999999</v>
      </c>
      <c r="D111" s="4">
        <v>879.71350099999995</v>
      </c>
      <c r="I111" s="3" t="s">
        <v>230</v>
      </c>
      <c r="J111" s="4">
        <v>718.56689500000005</v>
      </c>
      <c r="K111" s="4">
        <v>726.48553500000003</v>
      </c>
      <c r="L111" s="4">
        <v>883.990906</v>
      </c>
      <c r="M111" s="12"/>
      <c r="O111" s="3" t="s">
        <v>230</v>
      </c>
      <c r="P111" s="4">
        <v>701.08581500000003</v>
      </c>
      <c r="Q111" s="4">
        <v>724.035034</v>
      </c>
      <c r="R111" s="4">
        <v>860.70507799999996</v>
      </c>
      <c r="U111" s="3" t="s">
        <v>230</v>
      </c>
      <c r="V111" s="18">
        <v>658.71734600000002</v>
      </c>
      <c r="W111" s="4">
        <v>758.89471400000002</v>
      </c>
      <c r="X111" s="4">
        <v>736.64581299999998</v>
      </c>
      <c r="AO111" s="3" t="s">
        <v>230</v>
      </c>
      <c r="AP111" s="4">
        <v>723.94006300000001</v>
      </c>
      <c r="AQ111" s="4">
        <v>701.08581500000003</v>
      </c>
      <c r="AR111" s="4">
        <v>724.035034</v>
      </c>
      <c r="AT111" s="3" t="s">
        <v>230</v>
      </c>
      <c r="AU111" s="4">
        <v>718.56689500000005</v>
      </c>
      <c r="AV111" s="18">
        <v>658.71734600000002</v>
      </c>
      <c r="AW111" s="4">
        <v>758.89471400000002</v>
      </c>
      <c r="AY111" s="3" t="s">
        <v>230</v>
      </c>
      <c r="AZ111" s="4">
        <v>755.01135299999999</v>
      </c>
      <c r="BA111" s="4">
        <v>701.08581500000003</v>
      </c>
      <c r="BB111" s="4">
        <v>724.035034</v>
      </c>
      <c r="BD111" s="3" t="s">
        <v>230</v>
      </c>
      <c r="BE111" s="4">
        <v>726.48553500000003</v>
      </c>
      <c r="BF111" s="18">
        <v>658.71734600000002</v>
      </c>
      <c r="BG111" s="4">
        <v>758.89471400000002</v>
      </c>
    </row>
    <row r="112" spans="1:59" x14ac:dyDescent="0.3">
      <c r="A112" s="3" t="s">
        <v>232</v>
      </c>
      <c r="B112" s="4">
        <v>777.87933299999997</v>
      </c>
      <c r="C112" s="4">
        <v>771.60778800000003</v>
      </c>
      <c r="D112" s="4">
        <v>717.395264</v>
      </c>
      <c r="I112" s="3" t="s">
        <v>232</v>
      </c>
      <c r="J112" s="4">
        <v>749.48809800000004</v>
      </c>
      <c r="K112" s="4">
        <v>791.85571300000004</v>
      </c>
      <c r="L112" s="4">
        <v>778.39917000000003</v>
      </c>
      <c r="M112" s="12"/>
      <c r="O112" s="3" t="s">
        <v>232</v>
      </c>
      <c r="P112" s="4">
        <v>873.71539299999995</v>
      </c>
      <c r="Q112" s="4">
        <v>781.65863000000002</v>
      </c>
      <c r="R112" s="4">
        <v>873.409851</v>
      </c>
      <c r="U112" s="3" t="s">
        <v>232</v>
      </c>
      <c r="V112" s="18">
        <v>842.13519299999996</v>
      </c>
      <c r="W112" s="4">
        <v>771.189392</v>
      </c>
      <c r="X112" s="4">
        <v>680.33019999999999</v>
      </c>
      <c r="AO112" s="3" t="s">
        <v>232</v>
      </c>
      <c r="AP112" s="4">
        <v>777.87933299999997</v>
      </c>
      <c r="AQ112" s="4">
        <v>873.71539299999995</v>
      </c>
      <c r="AR112" s="4">
        <v>781.65863000000002</v>
      </c>
      <c r="AT112" s="3" t="s">
        <v>232</v>
      </c>
      <c r="AU112" s="4">
        <v>749.48809800000004</v>
      </c>
      <c r="AV112" s="18">
        <v>842.13519299999996</v>
      </c>
      <c r="AW112" s="4">
        <v>771.189392</v>
      </c>
      <c r="AY112" s="3" t="s">
        <v>232</v>
      </c>
      <c r="AZ112" s="4">
        <v>771.60778800000003</v>
      </c>
      <c r="BA112" s="4">
        <v>873.71539299999995</v>
      </c>
      <c r="BB112" s="4">
        <v>781.65863000000002</v>
      </c>
      <c r="BD112" s="3" t="s">
        <v>232</v>
      </c>
      <c r="BE112" s="4">
        <v>791.85571300000004</v>
      </c>
      <c r="BF112" s="18">
        <v>842.13519299999996</v>
      </c>
      <c r="BG112" s="4">
        <v>771.189392</v>
      </c>
    </row>
    <row r="113" spans="1:59" x14ac:dyDescent="0.3">
      <c r="A113" s="3" t="s">
        <v>234</v>
      </c>
      <c r="B113" s="4">
        <v>698.61218299999996</v>
      </c>
      <c r="C113" s="4">
        <v>739.98443599999996</v>
      </c>
      <c r="D113" s="4">
        <v>703.06957999999997</v>
      </c>
      <c r="I113" s="3" t="s">
        <v>234</v>
      </c>
      <c r="J113" s="4">
        <v>707.502747</v>
      </c>
      <c r="K113" s="4">
        <v>742.533142</v>
      </c>
      <c r="L113" s="4">
        <v>785.89434800000004</v>
      </c>
      <c r="M113" s="12"/>
      <c r="O113" s="3" t="s">
        <v>234</v>
      </c>
      <c r="P113" s="4">
        <v>912.96154799999999</v>
      </c>
      <c r="Q113" s="4">
        <v>747.08581500000003</v>
      </c>
      <c r="R113" s="4">
        <v>822.20971699999996</v>
      </c>
      <c r="U113" s="3" t="s">
        <v>234</v>
      </c>
      <c r="V113" s="18">
        <v>826.07336399999997</v>
      </c>
      <c r="W113" s="4">
        <v>736.99139400000001</v>
      </c>
      <c r="X113" s="4">
        <v>726.79620399999999</v>
      </c>
      <c r="AO113" s="3" t="s">
        <v>234</v>
      </c>
      <c r="AP113" s="4">
        <v>698.61218299999996</v>
      </c>
      <c r="AQ113" s="4">
        <v>912.96154799999999</v>
      </c>
      <c r="AR113" s="4">
        <v>747.08581500000003</v>
      </c>
      <c r="AT113" s="3" t="s">
        <v>234</v>
      </c>
      <c r="AU113" s="4">
        <v>707.502747</v>
      </c>
      <c r="AV113" s="18">
        <v>826.07336399999997</v>
      </c>
      <c r="AW113" s="4">
        <v>736.99139400000001</v>
      </c>
      <c r="AY113" s="3" t="s">
        <v>234</v>
      </c>
      <c r="AZ113" s="4">
        <v>739.98443599999996</v>
      </c>
      <c r="BA113" s="4">
        <v>912.96154799999999</v>
      </c>
      <c r="BB113" s="4">
        <v>747.08581500000003</v>
      </c>
      <c r="BD113" s="3" t="s">
        <v>234</v>
      </c>
      <c r="BE113" s="4">
        <v>742.533142</v>
      </c>
      <c r="BF113" s="18">
        <v>826.07336399999997</v>
      </c>
      <c r="BG113" s="4">
        <v>736.99139400000001</v>
      </c>
    </row>
    <row r="114" spans="1:59" x14ac:dyDescent="0.3">
      <c r="A114" s="3" t="s">
        <v>236</v>
      </c>
      <c r="B114" s="4">
        <v>745.65997300000004</v>
      </c>
      <c r="C114" s="4">
        <v>779.65576199999998</v>
      </c>
      <c r="D114" s="4">
        <v>749.319885</v>
      </c>
      <c r="I114" s="3" t="s">
        <v>236</v>
      </c>
      <c r="J114" s="4">
        <v>740.31555200000003</v>
      </c>
      <c r="K114" s="4">
        <v>758.24468999999999</v>
      </c>
      <c r="L114" s="4">
        <v>840.60430899999994</v>
      </c>
      <c r="M114" s="12"/>
      <c r="O114" s="3" t="s">
        <v>236</v>
      </c>
      <c r="P114" s="4">
        <v>677.78747599999997</v>
      </c>
      <c r="Q114" s="4">
        <v>766.01538100000005</v>
      </c>
      <c r="R114" s="4">
        <v>877.03100600000005</v>
      </c>
      <c r="U114" s="3" t="s">
        <v>236</v>
      </c>
      <c r="V114" s="18">
        <v>684.89764400000001</v>
      </c>
      <c r="W114" s="4">
        <v>755.98785399999997</v>
      </c>
      <c r="X114" s="4">
        <v>762.42944299999999</v>
      </c>
      <c r="AO114" s="3" t="s">
        <v>236</v>
      </c>
      <c r="AP114" s="4">
        <v>745.65997300000004</v>
      </c>
      <c r="AQ114" s="4">
        <v>677.78747599999997</v>
      </c>
      <c r="AR114" s="4">
        <v>766.01538100000005</v>
      </c>
      <c r="AT114" s="3" t="s">
        <v>236</v>
      </c>
      <c r="AU114" s="4">
        <v>740.31555200000003</v>
      </c>
      <c r="AV114" s="18">
        <v>684.89764400000001</v>
      </c>
      <c r="AW114" s="4">
        <v>755.98785399999997</v>
      </c>
      <c r="AY114" s="3" t="s">
        <v>236</v>
      </c>
      <c r="AZ114" s="4">
        <v>779.65576199999998</v>
      </c>
      <c r="BA114" s="4">
        <v>677.78747599999997</v>
      </c>
      <c r="BB114" s="4">
        <v>766.01538100000005</v>
      </c>
      <c r="BD114" s="3" t="s">
        <v>236</v>
      </c>
      <c r="BE114" s="4">
        <v>758.24468999999999</v>
      </c>
      <c r="BF114" s="18">
        <v>684.89764400000001</v>
      </c>
      <c r="BG114" s="4">
        <v>755.98785399999997</v>
      </c>
    </row>
    <row r="115" spans="1:59" x14ac:dyDescent="0.3">
      <c r="A115" s="3" t="s">
        <v>238</v>
      </c>
      <c r="B115" s="4">
        <v>735.08056599999998</v>
      </c>
      <c r="C115" s="4">
        <v>731.94378700000004</v>
      </c>
      <c r="D115" s="4">
        <v>973.22717299999999</v>
      </c>
      <c r="I115" s="3" t="s">
        <v>238</v>
      </c>
      <c r="J115" s="4">
        <v>722.87670900000001</v>
      </c>
      <c r="K115" s="4">
        <v>723.66229199999998</v>
      </c>
      <c r="L115" s="4">
        <v>893.51654099999996</v>
      </c>
      <c r="M115" s="12"/>
      <c r="O115" s="3" t="s">
        <v>238</v>
      </c>
      <c r="P115" s="4">
        <v>899.537598</v>
      </c>
      <c r="Q115" s="4">
        <v>756.17034899999999</v>
      </c>
      <c r="R115" s="4">
        <v>669.32940699999995</v>
      </c>
      <c r="U115" s="3" t="s">
        <v>238</v>
      </c>
      <c r="V115" s="18">
        <v>697.728882</v>
      </c>
      <c r="W115" s="4">
        <v>729.03997800000002</v>
      </c>
      <c r="X115" s="4">
        <v>686.05828899999995</v>
      </c>
      <c r="AO115" s="3" t="s">
        <v>238</v>
      </c>
      <c r="AP115" s="4">
        <v>735.08056599999998</v>
      </c>
      <c r="AQ115" s="4">
        <v>899.537598</v>
      </c>
      <c r="AR115" s="4">
        <v>756.17034899999999</v>
      </c>
      <c r="AT115" s="3" t="s">
        <v>238</v>
      </c>
      <c r="AU115" s="4">
        <v>722.87670900000001</v>
      </c>
      <c r="AV115" s="18">
        <v>697.728882</v>
      </c>
      <c r="AW115" s="4">
        <v>729.03997800000002</v>
      </c>
      <c r="AY115" s="3" t="s">
        <v>238</v>
      </c>
      <c r="AZ115" s="4">
        <v>731.94378700000004</v>
      </c>
      <c r="BA115" s="4">
        <v>899.537598</v>
      </c>
      <c r="BB115" s="4">
        <v>756.17034899999999</v>
      </c>
      <c r="BD115" s="3" t="s">
        <v>238</v>
      </c>
      <c r="BE115" s="4">
        <v>723.66229199999998</v>
      </c>
      <c r="BF115" s="18">
        <v>697.728882</v>
      </c>
      <c r="BG115" s="4">
        <v>729.03997800000002</v>
      </c>
    </row>
    <row r="116" spans="1:59" x14ac:dyDescent="0.3">
      <c r="A116" s="3" t="s">
        <v>240</v>
      </c>
      <c r="B116" s="4">
        <v>681.07525599999997</v>
      </c>
      <c r="C116" s="4">
        <v>720.67199700000003</v>
      </c>
      <c r="D116" s="4">
        <v>921.17620799999997</v>
      </c>
      <c r="I116" s="3" t="s">
        <v>240</v>
      </c>
      <c r="J116" s="4">
        <v>702.74102800000003</v>
      </c>
      <c r="K116" s="4">
        <v>707.92303500000003</v>
      </c>
      <c r="L116" s="4">
        <v>644.80865500000004</v>
      </c>
      <c r="M116" s="12"/>
      <c r="O116" s="3" t="s">
        <v>240</v>
      </c>
      <c r="P116" s="4">
        <v>878.22216800000001</v>
      </c>
      <c r="Q116" s="4">
        <v>719.60827600000005</v>
      </c>
      <c r="R116" s="4">
        <v>696.55090299999995</v>
      </c>
      <c r="U116" s="3" t="s">
        <v>240</v>
      </c>
      <c r="V116" s="18">
        <v>835.04095500000005</v>
      </c>
      <c r="W116" s="4">
        <v>713.45977800000003</v>
      </c>
      <c r="X116" s="4">
        <v>773.61822500000005</v>
      </c>
      <c r="AO116" s="3" t="s">
        <v>240</v>
      </c>
      <c r="AP116" s="4">
        <v>681.07525599999997</v>
      </c>
      <c r="AQ116" s="4">
        <v>878.22216800000001</v>
      </c>
      <c r="AR116" s="4">
        <v>719.60827600000005</v>
      </c>
      <c r="AT116" s="3" t="s">
        <v>240</v>
      </c>
      <c r="AU116" s="4">
        <v>702.74102800000003</v>
      </c>
      <c r="AV116" s="18">
        <v>835.04095500000005</v>
      </c>
      <c r="AW116" s="4">
        <v>713.45977800000003</v>
      </c>
      <c r="AY116" s="3" t="s">
        <v>240</v>
      </c>
      <c r="AZ116" s="4">
        <v>720.67199700000003</v>
      </c>
      <c r="BA116" s="4">
        <v>878.22216800000001</v>
      </c>
      <c r="BB116" s="4">
        <v>719.60827600000005</v>
      </c>
      <c r="BD116" s="3" t="s">
        <v>240</v>
      </c>
      <c r="BE116" s="4">
        <v>707.92303500000003</v>
      </c>
      <c r="BF116" s="18">
        <v>835.04095500000005</v>
      </c>
      <c r="BG116" s="4">
        <v>713.45977800000003</v>
      </c>
    </row>
    <row r="117" spans="1:59" x14ac:dyDescent="0.3">
      <c r="A117" s="3" t="s">
        <v>242</v>
      </c>
      <c r="B117" s="4">
        <v>694.27105700000004</v>
      </c>
      <c r="C117" s="4">
        <v>727.94616699999995</v>
      </c>
      <c r="D117" s="4">
        <v>791.317993</v>
      </c>
      <c r="I117" s="3" t="s">
        <v>242</v>
      </c>
      <c r="J117" s="4">
        <v>709.65295400000002</v>
      </c>
      <c r="K117" s="4">
        <v>713.05059800000004</v>
      </c>
      <c r="L117" s="4">
        <v>778.02856399999996</v>
      </c>
      <c r="M117" s="12"/>
      <c r="O117" s="3" t="s">
        <v>242</v>
      </c>
      <c r="P117" s="4">
        <v>907.040344</v>
      </c>
      <c r="Q117" s="4">
        <v>727.12933299999997</v>
      </c>
      <c r="R117" s="4">
        <v>895.61651600000005</v>
      </c>
      <c r="U117" s="3" t="s">
        <v>242</v>
      </c>
      <c r="V117" s="18">
        <v>814.52349900000002</v>
      </c>
      <c r="W117" s="4">
        <v>741.177368</v>
      </c>
      <c r="X117" s="4">
        <v>854.20086700000002</v>
      </c>
      <c r="AO117" s="3" t="s">
        <v>242</v>
      </c>
      <c r="AP117" s="4">
        <v>694.27105700000004</v>
      </c>
      <c r="AQ117" s="4">
        <v>907.040344</v>
      </c>
      <c r="AR117" s="4">
        <v>727.12933299999997</v>
      </c>
      <c r="AT117" s="3" t="s">
        <v>242</v>
      </c>
      <c r="AU117" s="4">
        <v>709.65295400000002</v>
      </c>
      <c r="AV117" s="18">
        <v>814.52349900000002</v>
      </c>
      <c r="AW117" s="4">
        <v>741.177368</v>
      </c>
      <c r="AY117" s="3" t="s">
        <v>242</v>
      </c>
      <c r="AZ117" s="4">
        <v>727.94616699999995</v>
      </c>
      <c r="BA117" s="4">
        <v>907.040344</v>
      </c>
      <c r="BB117" s="4">
        <v>727.12933299999997</v>
      </c>
      <c r="BD117" s="3" t="s">
        <v>242</v>
      </c>
      <c r="BE117" s="4">
        <v>713.05059800000004</v>
      </c>
      <c r="BF117" s="18">
        <v>814.52349900000002</v>
      </c>
      <c r="BG117" s="4">
        <v>741.177368</v>
      </c>
    </row>
    <row r="118" spans="1:59" x14ac:dyDescent="0.3">
      <c r="A118" s="3" t="s">
        <v>244</v>
      </c>
      <c r="B118" s="4">
        <v>717.97674600000005</v>
      </c>
      <c r="C118" s="4">
        <v>712.85363800000005</v>
      </c>
      <c r="D118" s="4">
        <v>935.87652600000001</v>
      </c>
      <c r="I118" s="3" t="s">
        <v>244</v>
      </c>
      <c r="J118" s="4">
        <v>680.64819299999999</v>
      </c>
      <c r="K118" s="4">
        <v>740.37231399999996</v>
      </c>
      <c r="L118" s="4">
        <v>650.52703899999995</v>
      </c>
      <c r="M118" s="12"/>
      <c r="O118" s="3" t="s">
        <v>244</v>
      </c>
      <c r="P118" s="4">
        <v>668.09307899999999</v>
      </c>
      <c r="Q118" s="4">
        <v>741.20715299999995</v>
      </c>
      <c r="R118" s="4">
        <v>718.31011999999998</v>
      </c>
      <c r="U118" s="3" t="s">
        <v>244</v>
      </c>
      <c r="V118" s="18">
        <v>849.56195100000002</v>
      </c>
      <c r="W118" s="4">
        <v>722.41479500000003</v>
      </c>
      <c r="X118" s="4">
        <v>660.229736</v>
      </c>
      <c r="AO118" s="3" t="s">
        <v>244</v>
      </c>
      <c r="AP118" s="4">
        <v>717.97674600000005</v>
      </c>
      <c r="AQ118" s="4">
        <v>668.09307899999999</v>
      </c>
      <c r="AR118" s="4">
        <v>741.20715299999995</v>
      </c>
      <c r="AT118" s="3" t="s">
        <v>244</v>
      </c>
      <c r="AU118" s="4">
        <v>680.64819299999999</v>
      </c>
      <c r="AV118" s="18">
        <v>849.56195100000002</v>
      </c>
      <c r="AW118" s="4">
        <v>722.41479500000003</v>
      </c>
      <c r="AY118" s="3" t="s">
        <v>244</v>
      </c>
      <c r="AZ118" s="4">
        <v>712.85363800000005</v>
      </c>
      <c r="BA118" s="4">
        <v>668.09307899999999</v>
      </c>
      <c r="BB118" s="4">
        <v>741.20715299999995</v>
      </c>
      <c r="BD118" s="3" t="s">
        <v>244</v>
      </c>
      <c r="BE118" s="4">
        <v>740.37231399999996</v>
      </c>
      <c r="BF118" s="18">
        <v>849.56195100000002</v>
      </c>
      <c r="BG118" s="4">
        <v>722.41479500000003</v>
      </c>
    </row>
    <row r="119" spans="1:59" x14ac:dyDescent="0.3">
      <c r="A119" s="3" t="s">
        <v>246</v>
      </c>
      <c r="B119" s="4">
        <v>690.23468000000003</v>
      </c>
      <c r="C119" s="4">
        <v>731.68493699999999</v>
      </c>
      <c r="D119" s="4">
        <v>709.62792999999999</v>
      </c>
      <c r="I119" s="3" t="s">
        <v>246</v>
      </c>
      <c r="J119" s="4">
        <v>702.84143100000006</v>
      </c>
      <c r="K119" s="4">
        <v>740.15563999999995</v>
      </c>
      <c r="L119" s="4">
        <v>882.59808299999997</v>
      </c>
      <c r="M119" s="12"/>
      <c r="O119" s="3" t="s">
        <v>246</v>
      </c>
      <c r="P119" s="4">
        <v>757.45703100000003</v>
      </c>
      <c r="Q119" s="4">
        <v>730.020081</v>
      </c>
      <c r="R119" s="4">
        <v>889.77337599999998</v>
      </c>
      <c r="U119" s="3" t="s">
        <v>246</v>
      </c>
      <c r="V119" s="18">
        <v>708.05694600000004</v>
      </c>
      <c r="W119" s="4">
        <v>737.50628700000004</v>
      </c>
      <c r="X119" s="4">
        <v>802.78411900000003</v>
      </c>
      <c r="AO119" s="3" t="s">
        <v>246</v>
      </c>
      <c r="AP119" s="4">
        <v>690.23468000000003</v>
      </c>
      <c r="AQ119" s="4">
        <v>757.45703100000003</v>
      </c>
      <c r="AR119" s="4">
        <v>730.020081</v>
      </c>
      <c r="AT119" s="3" t="s">
        <v>246</v>
      </c>
      <c r="AU119" s="4">
        <v>702.84143100000006</v>
      </c>
      <c r="AV119" s="18">
        <v>708.05694600000004</v>
      </c>
      <c r="AW119" s="4">
        <v>737.50628700000004</v>
      </c>
      <c r="AY119" s="3" t="s">
        <v>246</v>
      </c>
      <c r="AZ119" s="4">
        <v>731.68493699999999</v>
      </c>
      <c r="BA119" s="4">
        <v>757.45703100000003</v>
      </c>
      <c r="BB119" s="4">
        <v>730.020081</v>
      </c>
      <c r="BD119" s="3" t="s">
        <v>246</v>
      </c>
      <c r="BE119" s="4">
        <v>740.15563999999995</v>
      </c>
      <c r="BF119" s="18">
        <v>708.05694600000004</v>
      </c>
      <c r="BG119" s="4">
        <v>737.50628700000004</v>
      </c>
    </row>
    <row r="120" spans="1:59" x14ac:dyDescent="0.3">
      <c r="A120" s="3" t="s">
        <v>248</v>
      </c>
      <c r="B120" s="4">
        <v>755.01165800000001</v>
      </c>
      <c r="C120" s="4">
        <v>762.19421399999999</v>
      </c>
      <c r="D120" s="4">
        <v>839.39648399999999</v>
      </c>
      <c r="I120" s="3" t="s">
        <v>248</v>
      </c>
      <c r="J120" s="4">
        <v>724.80450399999995</v>
      </c>
      <c r="K120" s="4">
        <v>760.11254899999994</v>
      </c>
      <c r="L120" s="4">
        <v>722.833618</v>
      </c>
      <c r="M120" s="12"/>
      <c r="O120" s="3" t="s">
        <v>248</v>
      </c>
      <c r="P120" s="4">
        <v>744.48388699999998</v>
      </c>
      <c r="Q120" s="4">
        <v>744.93957499999999</v>
      </c>
      <c r="R120" s="4">
        <v>716.67645300000004</v>
      </c>
      <c r="U120" s="3" t="s">
        <v>248</v>
      </c>
      <c r="V120" s="18">
        <v>926.39892599999996</v>
      </c>
      <c r="W120" s="4">
        <v>758.95471199999997</v>
      </c>
      <c r="X120" s="4">
        <v>742.48089600000003</v>
      </c>
      <c r="AO120" s="3" t="s">
        <v>248</v>
      </c>
      <c r="AP120" s="4">
        <v>755.01165800000001</v>
      </c>
      <c r="AQ120" s="4">
        <v>744.48388699999998</v>
      </c>
      <c r="AR120" s="4">
        <v>744.93957499999999</v>
      </c>
      <c r="AT120" s="3" t="s">
        <v>248</v>
      </c>
      <c r="AU120" s="4">
        <v>724.80450399999995</v>
      </c>
      <c r="AV120" s="18">
        <v>926.39892599999996</v>
      </c>
      <c r="AW120" s="4">
        <v>758.95471199999997</v>
      </c>
      <c r="AY120" s="3" t="s">
        <v>248</v>
      </c>
      <c r="AZ120" s="4">
        <v>762.19421399999999</v>
      </c>
      <c r="BA120" s="4">
        <v>744.48388699999998</v>
      </c>
      <c r="BB120" s="4">
        <v>744.93957499999999</v>
      </c>
      <c r="BD120" s="3" t="s">
        <v>248</v>
      </c>
      <c r="BE120" s="4">
        <v>760.11254899999994</v>
      </c>
      <c r="BF120" s="18">
        <v>926.39892599999996</v>
      </c>
      <c r="BG120" s="4">
        <v>758.95471199999997</v>
      </c>
    </row>
    <row r="121" spans="1:59" x14ac:dyDescent="0.3">
      <c r="A121" s="3" t="s">
        <v>250</v>
      </c>
      <c r="B121" s="4">
        <v>752.99292000000003</v>
      </c>
      <c r="C121" s="4">
        <v>791.134277</v>
      </c>
      <c r="D121" s="4">
        <v>843.613831</v>
      </c>
      <c r="I121" s="3" t="s">
        <v>250</v>
      </c>
      <c r="J121" s="4">
        <v>717.00689699999998</v>
      </c>
      <c r="K121" s="4">
        <v>761.36474599999997</v>
      </c>
      <c r="L121" s="4">
        <v>909.220642</v>
      </c>
      <c r="M121" s="12"/>
      <c r="O121" s="3" t="s">
        <v>250</v>
      </c>
      <c r="P121" s="4">
        <v>911.67297399999995</v>
      </c>
      <c r="Q121" s="4">
        <v>787.03814699999998</v>
      </c>
      <c r="R121" s="4">
        <v>738.63738999999998</v>
      </c>
      <c r="U121" s="3" t="s">
        <v>250</v>
      </c>
      <c r="V121" s="18">
        <v>709.51269500000001</v>
      </c>
      <c r="W121" s="4">
        <v>770.62927200000001</v>
      </c>
      <c r="X121" s="4">
        <v>823.625</v>
      </c>
      <c r="AO121" s="3" t="s">
        <v>250</v>
      </c>
      <c r="AP121" s="4">
        <v>752.99292000000003</v>
      </c>
      <c r="AQ121" s="4">
        <v>911.67297399999995</v>
      </c>
      <c r="AR121" s="4">
        <v>787.03814699999998</v>
      </c>
      <c r="AT121" s="3" t="s">
        <v>250</v>
      </c>
      <c r="AU121" s="4">
        <v>717.00689699999998</v>
      </c>
      <c r="AV121" s="18">
        <v>709.51269500000001</v>
      </c>
      <c r="AW121" s="4">
        <v>770.62927200000001</v>
      </c>
      <c r="AY121" s="3" t="s">
        <v>250</v>
      </c>
      <c r="AZ121" s="4">
        <v>791.134277</v>
      </c>
      <c r="BA121" s="4">
        <v>911.67297399999995</v>
      </c>
      <c r="BB121" s="4">
        <v>787.03814699999998</v>
      </c>
      <c r="BD121" s="3" t="s">
        <v>250</v>
      </c>
      <c r="BE121" s="4">
        <v>761.36474599999997</v>
      </c>
      <c r="BF121" s="18">
        <v>709.51269500000001</v>
      </c>
      <c r="BG121" s="4">
        <v>770.62927200000001</v>
      </c>
    </row>
    <row r="122" spans="1:59" x14ac:dyDescent="0.3">
      <c r="A122" s="3" t="s">
        <v>252</v>
      </c>
      <c r="B122" s="4">
        <v>765.98925799999995</v>
      </c>
      <c r="C122" s="4">
        <v>844.31103499999995</v>
      </c>
      <c r="D122" s="4">
        <v>813.68536400000005</v>
      </c>
      <c r="I122" s="3" t="s">
        <v>252</v>
      </c>
      <c r="J122" s="4">
        <v>772.81329300000004</v>
      </c>
      <c r="K122" s="4">
        <v>792.85205099999996</v>
      </c>
      <c r="L122" s="4">
        <v>999.13311799999997</v>
      </c>
      <c r="M122" s="12"/>
      <c r="O122" s="3" t="s">
        <v>252</v>
      </c>
      <c r="P122" s="4">
        <v>869.89923099999999</v>
      </c>
      <c r="Q122" s="4">
        <v>835.761841</v>
      </c>
      <c r="R122" s="4">
        <v>813.93841599999996</v>
      </c>
      <c r="U122" s="3" t="s">
        <v>252</v>
      </c>
      <c r="V122" s="18">
        <v>869.668091</v>
      </c>
      <c r="W122" s="4">
        <v>792.91058299999997</v>
      </c>
      <c r="X122" s="4">
        <v>1008.918945</v>
      </c>
      <c r="AO122" s="3" t="s">
        <v>252</v>
      </c>
      <c r="AP122" s="4">
        <v>765.98925799999995</v>
      </c>
      <c r="AQ122" s="4">
        <v>869.89923099999999</v>
      </c>
      <c r="AR122" s="4">
        <v>835.761841</v>
      </c>
      <c r="AT122" s="3" t="s">
        <v>252</v>
      </c>
      <c r="AU122" s="4">
        <v>772.81329300000004</v>
      </c>
      <c r="AV122" s="18">
        <v>869.668091</v>
      </c>
      <c r="AW122" s="4">
        <v>792.91058299999997</v>
      </c>
      <c r="AY122" s="3" t="s">
        <v>252</v>
      </c>
      <c r="AZ122" s="4">
        <v>844.31103499999995</v>
      </c>
      <c r="BA122" s="4">
        <v>869.89923099999999</v>
      </c>
      <c r="BB122" s="4">
        <v>835.761841</v>
      </c>
      <c r="BD122" s="3" t="s">
        <v>252</v>
      </c>
      <c r="BE122" s="4">
        <v>792.85205099999996</v>
      </c>
      <c r="BF122" s="18">
        <v>869.668091</v>
      </c>
      <c r="BG122" s="4">
        <v>792.91058299999997</v>
      </c>
    </row>
    <row r="123" spans="1:59" x14ac:dyDescent="0.3">
      <c r="A123" s="3" t="s">
        <v>254</v>
      </c>
      <c r="B123" s="4">
        <v>667.79949999999997</v>
      </c>
      <c r="C123" s="4">
        <v>679.59741199999996</v>
      </c>
      <c r="D123" s="4">
        <v>621.78442399999994</v>
      </c>
      <c r="I123" s="3" t="s">
        <v>254</v>
      </c>
      <c r="J123" s="4">
        <v>631.02233899999999</v>
      </c>
      <c r="K123" s="4">
        <v>635.75579800000003</v>
      </c>
      <c r="L123" s="4">
        <v>583.43267800000001</v>
      </c>
      <c r="M123" s="12"/>
      <c r="O123" s="3" t="s">
        <v>254</v>
      </c>
      <c r="P123" s="4">
        <v>621.78442399999994</v>
      </c>
      <c r="Q123" s="4">
        <v>673.94085700000005</v>
      </c>
      <c r="R123" s="4">
        <v>621.78442399999994</v>
      </c>
      <c r="U123" s="3" t="s">
        <v>254</v>
      </c>
      <c r="V123" s="18">
        <v>583.43267800000001</v>
      </c>
      <c r="W123" s="4">
        <v>632.97454800000003</v>
      </c>
      <c r="X123" s="4">
        <v>583.43267800000001</v>
      </c>
    </row>
    <row r="124" spans="1:59" x14ac:dyDescent="0.3">
      <c r="A124" s="3" t="s">
        <v>256</v>
      </c>
      <c r="B124" s="4">
        <v>681.60968000000003</v>
      </c>
      <c r="C124" s="4">
        <v>705.68798800000002</v>
      </c>
      <c r="D124" s="4">
        <v>763.34381099999996</v>
      </c>
      <c r="I124" s="3" t="s">
        <v>256</v>
      </c>
      <c r="J124" s="4">
        <v>648.01000999999997</v>
      </c>
      <c r="K124" s="4">
        <v>669.00976600000001</v>
      </c>
      <c r="L124" s="4">
        <v>757.94061299999998</v>
      </c>
      <c r="M124" s="12"/>
      <c r="O124" s="3" t="s">
        <v>256</v>
      </c>
      <c r="P124" s="4">
        <v>658.20068400000002</v>
      </c>
      <c r="Q124" s="4">
        <v>698.92394999999999</v>
      </c>
      <c r="R124" s="4">
        <v>641.48138400000005</v>
      </c>
      <c r="U124" s="3" t="s">
        <v>256</v>
      </c>
      <c r="V124" s="18">
        <v>730.80639599999995</v>
      </c>
      <c r="W124" s="4">
        <v>665.82751499999995</v>
      </c>
      <c r="X124" s="4">
        <v>610.59265100000005</v>
      </c>
    </row>
    <row r="125" spans="1:59" x14ac:dyDescent="0.3">
      <c r="A125" s="3" t="s">
        <v>258</v>
      </c>
      <c r="B125" s="4">
        <v>667.68158000000005</v>
      </c>
      <c r="C125" s="4">
        <v>680.71917699999995</v>
      </c>
      <c r="D125" s="4">
        <v>636.49768100000006</v>
      </c>
      <c r="I125" s="3" t="s">
        <v>258</v>
      </c>
      <c r="J125" s="4">
        <v>634.08477800000003</v>
      </c>
      <c r="K125" s="4">
        <v>643.89947500000005</v>
      </c>
      <c r="L125" s="4">
        <v>681.66876200000002</v>
      </c>
      <c r="M125" s="12"/>
      <c r="O125" s="3" t="s">
        <v>258</v>
      </c>
      <c r="P125" s="4">
        <v>756.12152100000003</v>
      </c>
      <c r="Q125" s="4">
        <v>674.35290499999996</v>
      </c>
      <c r="R125" s="4">
        <v>742.99047900000005</v>
      </c>
      <c r="U125" s="3" t="s">
        <v>258</v>
      </c>
      <c r="V125" s="18">
        <v>707.11877400000003</v>
      </c>
      <c r="W125" s="4">
        <v>645.07525599999997</v>
      </c>
      <c r="X125" s="4">
        <v>647.63317900000004</v>
      </c>
    </row>
    <row r="126" spans="1:59" x14ac:dyDescent="0.3">
      <c r="A126" s="3" t="s">
        <v>260</v>
      </c>
      <c r="B126" s="4">
        <v>693.871399</v>
      </c>
      <c r="C126" s="4">
        <v>716.15741000000003</v>
      </c>
      <c r="D126" s="4">
        <v>815.81689500000005</v>
      </c>
      <c r="I126" s="3" t="s">
        <v>260</v>
      </c>
      <c r="J126" s="4">
        <v>678.21752900000001</v>
      </c>
      <c r="K126" s="4">
        <v>694.00067100000001</v>
      </c>
      <c r="L126" s="4">
        <v>699.86529499999995</v>
      </c>
      <c r="M126" s="12"/>
      <c r="O126" s="3" t="s">
        <v>260</v>
      </c>
      <c r="P126" s="4">
        <v>775.18127400000003</v>
      </c>
      <c r="Q126" s="4">
        <v>693.66247599999997</v>
      </c>
      <c r="R126" s="4">
        <v>724.44500700000003</v>
      </c>
      <c r="U126" s="3" t="s">
        <v>260</v>
      </c>
      <c r="V126" s="18">
        <v>754.65515100000005</v>
      </c>
      <c r="W126" s="4">
        <v>692.450378</v>
      </c>
      <c r="X126" s="4">
        <v>657.59344499999997</v>
      </c>
    </row>
    <row r="127" spans="1:59" x14ac:dyDescent="0.3">
      <c r="A127" s="3" t="s">
        <v>262</v>
      </c>
      <c r="B127" s="4">
        <v>726.36029099999996</v>
      </c>
      <c r="C127" s="4">
        <v>734.45800799999995</v>
      </c>
      <c r="D127" s="4">
        <v>891.28527799999995</v>
      </c>
      <c r="I127" s="3" t="s">
        <v>262</v>
      </c>
      <c r="J127" s="4">
        <v>712.57800299999997</v>
      </c>
      <c r="K127" s="4">
        <v>722.524902</v>
      </c>
      <c r="L127" s="4">
        <v>656.53918499999997</v>
      </c>
      <c r="M127" s="12"/>
      <c r="O127" s="3" t="s">
        <v>262</v>
      </c>
      <c r="P127" s="4">
        <v>777.47277799999995</v>
      </c>
      <c r="Q127" s="4">
        <v>744.35162400000002</v>
      </c>
      <c r="R127" s="4">
        <v>896.948486</v>
      </c>
      <c r="U127" s="3" t="s">
        <v>262</v>
      </c>
      <c r="V127" s="18">
        <v>704.64581299999998</v>
      </c>
      <c r="W127" s="4">
        <v>734.54064900000003</v>
      </c>
      <c r="X127" s="4">
        <v>680.671021</v>
      </c>
    </row>
    <row r="128" spans="1:59" x14ac:dyDescent="0.3">
      <c r="A128" s="3" t="s">
        <v>264</v>
      </c>
      <c r="B128" s="4">
        <v>717.70611599999995</v>
      </c>
      <c r="C128" s="4">
        <v>734.08807400000001</v>
      </c>
      <c r="D128" s="4">
        <v>776.88085899999999</v>
      </c>
      <c r="I128" s="3" t="s">
        <v>264</v>
      </c>
      <c r="J128" s="4">
        <v>668.43518100000006</v>
      </c>
      <c r="K128" s="4">
        <v>701.66107199999999</v>
      </c>
      <c r="L128" s="4">
        <v>853.91528300000004</v>
      </c>
      <c r="M128" s="12"/>
      <c r="O128" s="3" t="s">
        <v>264</v>
      </c>
      <c r="P128" s="4">
        <v>714.13104199999998</v>
      </c>
      <c r="Q128" s="4">
        <v>740.81811500000003</v>
      </c>
      <c r="R128" s="4">
        <v>801.82598900000005</v>
      </c>
      <c r="U128" s="3" t="s">
        <v>264</v>
      </c>
      <c r="V128" s="18">
        <v>776.46704099999999</v>
      </c>
      <c r="W128" s="4">
        <v>702.11096199999997</v>
      </c>
      <c r="X128" s="4">
        <v>853.91528300000004</v>
      </c>
    </row>
    <row r="129" spans="1:24" x14ac:dyDescent="0.3">
      <c r="A129" s="3" t="s">
        <v>266</v>
      </c>
      <c r="B129" s="4">
        <v>649.94958499999996</v>
      </c>
      <c r="C129" s="4">
        <v>652.95642099999998</v>
      </c>
      <c r="D129" s="4">
        <v>715.08727999999996</v>
      </c>
      <c r="I129" s="3" t="s">
        <v>266</v>
      </c>
      <c r="J129" s="4">
        <v>583.96441700000003</v>
      </c>
      <c r="K129" s="4">
        <v>592.70361300000002</v>
      </c>
      <c r="L129" s="4">
        <v>514.72705099999996</v>
      </c>
      <c r="M129" s="12"/>
      <c r="O129" s="3" t="s">
        <v>266</v>
      </c>
      <c r="P129" s="4">
        <v>604.52172900000005</v>
      </c>
      <c r="Q129" s="4">
        <v>661.16186500000003</v>
      </c>
      <c r="R129" s="4">
        <v>719.29504399999996</v>
      </c>
      <c r="U129" s="3" t="s">
        <v>266</v>
      </c>
      <c r="V129" s="18">
        <v>645.65917999999999</v>
      </c>
      <c r="W129" s="4">
        <v>587.16949499999998</v>
      </c>
      <c r="X129" s="4">
        <v>615.42016599999999</v>
      </c>
    </row>
    <row r="130" spans="1:24" x14ac:dyDescent="0.3">
      <c r="A130" s="3" t="s">
        <v>268</v>
      </c>
      <c r="B130" s="4">
        <v>711.54626499999995</v>
      </c>
      <c r="C130" s="4">
        <v>723.39947500000005</v>
      </c>
      <c r="D130" s="4">
        <v>710.45544400000006</v>
      </c>
      <c r="I130" s="3" t="s">
        <v>268</v>
      </c>
      <c r="J130" s="4">
        <v>673.80835000000002</v>
      </c>
      <c r="K130" s="4">
        <v>682.29632600000002</v>
      </c>
      <c r="L130" s="4">
        <v>666.58117700000003</v>
      </c>
      <c r="M130" s="12"/>
      <c r="O130" s="3" t="s">
        <v>268</v>
      </c>
      <c r="P130" s="4">
        <v>668.86010699999997</v>
      </c>
      <c r="Q130" s="4">
        <v>717.33392300000003</v>
      </c>
      <c r="R130" s="4">
        <v>770.07507299999997</v>
      </c>
      <c r="U130" s="3" t="s">
        <v>268</v>
      </c>
      <c r="V130" s="18">
        <v>711.50732400000004</v>
      </c>
      <c r="W130" s="4">
        <v>686.466003</v>
      </c>
      <c r="X130" s="4">
        <v>681.87683100000004</v>
      </c>
    </row>
    <row r="131" spans="1:24" x14ac:dyDescent="0.3">
      <c r="A131" s="3" t="s">
        <v>270</v>
      </c>
      <c r="B131" s="4">
        <v>616.49487299999998</v>
      </c>
      <c r="C131" s="4">
        <v>626.87487799999997</v>
      </c>
      <c r="D131" s="4">
        <v>653.91717500000004</v>
      </c>
      <c r="I131" s="3" t="s">
        <v>270</v>
      </c>
      <c r="J131" s="4">
        <v>533.94268799999998</v>
      </c>
      <c r="K131" s="4">
        <v>568.68505900000002</v>
      </c>
      <c r="L131" s="4">
        <v>663.98468000000003</v>
      </c>
      <c r="M131" s="12"/>
      <c r="O131" s="3" t="s">
        <v>270</v>
      </c>
      <c r="P131" s="4">
        <v>571.49084500000004</v>
      </c>
      <c r="Q131" s="4">
        <v>626.61248799999998</v>
      </c>
      <c r="R131" s="4">
        <v>649.87426800000003</v>
      </c>
      <c r="U131" s="3" t="s">
        <v>270</v>
      </c>
      <c r="V131" s="18">
        <v>602.00030500000003</v>
      </c>
      <c r="W131" s="4">
        <v>550.21997099999999</v>
      </c>
      <c r="X131" s="4">
        <v>667.42980999999997</v>
      </c>
    </row>
    <row r="132" spans="1:24" x14ac:dyDescent="0.3">
      <c r="A132" s="3" t="s">
        <v>272</v>
      </c>
      <c r="B132" s="4">
        <v>746.62152100000003</v>
      </c>
      <c r="C132" s="4">
        <v>778.91326900000001</v>
      </c>
      <c r="D132" s="4">
        <v>890.96478300000001</v>
      </c>
      <c r="I132" s="3" t="s">
        <v>272</v>
      </c>
      <c r="J132" s="4">
        <v>726.84210199999995</v>
      </c>
      <c r="K132" s="4">
        <v>754.27893100000006</v>
      </c>
      <c r="L132" s="4">
        <v>878.62390100000005</v>
      </c>
      <c r="M132" s="12"/>
      <c r="O132" s="3" t="s">
        <v>272</v>
      </c>
      <c r="P132" s="4">
        <v>864.29791299999999</v>
      </c>
      <c r="Q132" s="4">
        <v>785.65948500000002</v>
      </c>
      <c r="R132" s="4">
        <v>694.27404799999999</v>
      </c>
      <c r="U132" s="3" t="s">
        <v>272</v>
      </c>
      <c r="V132" s="18">
        <v>771.64495799999997</v>
      </c>
      <c r="W132" s="4">
        <v>756.37158199999999</v>
      </c>
      <c r="X132" s="4">
        <v>824.77685499999995</v>
      </c>
    </row>
    <row r="133" spans="1:24" x14ac:dyDescent="0.3">
      <c r="A133" s="3" t="s">
        <v>274</v>
      </c>
      <c r="B133" s="4">
        <v>809.118652</v>
      </c>
      <c r="C133" s="4">
        <v>840.44274900000005</v>
      </c>
      <c r="D133" s="4">
        <v>727.16033900000002</v>
      </c>
      <c r="I133" s="3" t="s">
        <v>274</v>
      </c>
      <c r="J133" s="4">
        <v>787.33538799999997</v>
      </c>
      <c r="K133" s="4">
        <v>804.92425500000002</v>
      </c>
      <c r="L133" s="4">
        <v>926.83166500000004</v>
      </c>
      <c r="M133" s="12"/>
      <c r="O133" s="3" t="s">
        <v>274</v>
      </c>
      <c r="P133" s="4">
        <v>964.55041500000004</v>
      </c>
      <c r="Q133" s="4">
        <v>852.94824200000005</v>
      </c>
      <c r="R133" s="4">
        <v>744.87988299999995</v>
      </c>
      <c r="U133" s="3" t="s">
        <v>274</v>
      </c>
      <c r="V133" s="18">
        <v>865.62475600000005</v>
      </c>
      <c r="W133" s="4">
        <v>790.17120399999999</v>
      </c>
      <c r="X133" s="4">
        <v>849.20013400000005</v>
      </c>
    </row>
    <row r="134" spans="1:24" x14ac:dyDescent="0.3">
      <c r="A134" s="3" t="s">
        <v>276</v>
      </c>
      <c r="B134" s="4">
        <v>703.81774900000005</v>
      </c>
      <c r="C134" s="4">
        <v>719.23742700000003</v>
      </c>
      <c r="D134" s="4">
        <v>831.56298800000002</v>
      </c>
      <c r="I134" s="3" t="s">
        <v>276</v>
      </c>
      <c r="J134" s="4">
        <v>669.49890100000005</v>
      </c>
      <c r="K134" s="4">
        <v>689.91351299999997</v>
      </c>
      <c r="L134" s="4">
        <v>621.65399200000002</v>
      </c>
      <c r="M134" s="12"/>
      <c r="O134" s="3" t="s">
        <v>276</v>
      </c>
      <c r="P134" s="4">
        <v>664.99218800000006</v>
      </c>
      <c r="Q134" s="4">
        <v>719.75476100000003</v>
      </c>
      <c r="R134" s="4">
        <v>682.91009499999996</v>
      </c>
      <c r="U134" s="3" t="s">
        <v>276</v>
      </c>
      <c r="V134" s="18">
        <v>800.84918200000004</v>
      </c>
      <c r="W134" s="4">
        <v>680.72723399999995</v>
      </c>
      <c r="X134" s="4">
        <v>732.04504399999996</v>
      </c>
    </row>
    <row r="135" spans="1:24" x14ac:dyDescent="0.3">
      <c r="A135" s="3" t="s">
        <v>278</v>
      </c>
      <c r="B135" s="4">
        <v>656.89190699999995</v>
      </c>
      <c r="C135" s="4">
        <v>658.73046899999997</v>
      </c>
      <c r="D135" s="4">
        <v>602.39593500000001</v>
      </c>
      <c r="I135" s="3" t="s">
        <v>278</v>
      </c>
      <c r="J135" s="4">
        <v>629.56555200000003</v>
      </c>
      <c r="K135" s="4">
        <v>652.54681400000004</v>
      </c>
      <c r="L135" s="4">
        <v>703.60730000000001</v>
      </c>
      <c r="M135" s="12"/>
      <c r="O135" s="3" t="s">
        <v>278</v>
      </c>
      <c r="P135" s="4">
        <v>704.77832000000001</v>
      </c>
      <c r="Q135" s="4">
        <v>656.62817399999994</v>
      </c>
      <c r="R135" s="4">
        <v>670.98431400000004</v>
      </c>
      <c r="U135" s="3" t="s">
        <v>278</v>
      </c>
      <c r="V135" s="18">
        <v>776.33630400000004</v>
      </c>
      <c r="W135" s="4">
        <v>640.60681199999999</v>
      </c>
      <c r="X135" s="4">
        <v>756.99139400000001</v>
      </c>
    </row>
    <row r="136" spans="1:24" x14ac:dyDescent="0.3">
      <c r="A136" s="3" t="s">
        <v>280</v>
      </c>
      <c r="B136" s="4">
        <v>890.07775900000001</v>
      </c>
      <c r="C136" s="4">
        <v>890.16619900000001</v>
      </c>
      <c r="D136" s="4">
        <v>737.60131799999999</v>
      </c>
      <c r="I136" s="3" t="s">
        <v>280</v>
      </c>
      <c r="J136" s="4">
        <v>857.32629399999996</v>
      </c>
      <c r="K136" s="4">
        <v>901.171875</v>
      </c>
      <c r="L136" s="4">
        <v>1016.5766599999999</v>
      </c>
      <c r="M136" s="12"/>
      <c r="O136" s="3" t="s">
        <v>280</v>
      </c>
      <c r="P136" s="4">
        <v>1028.5679929999999</v>
      </c>
      <c r="Q136" s="4">
        <v>924.30627400000003</v>
      </c>
      <c r="R136" s="4">
        <v>951.03942900000004</v>
      </c>
      <c r="U136" s="3" t="s">
        <v>280</v>
      </c>
      <c r="V136" s="18">
        <v>818.746216</v>
      </c>
      <c r="W136" s="4">
        <v>910.75945999999999</v>
      </c>
      <c r="X136" s="4">
        <v>726.42620799999997</v>
      </c>
    </row>
    <row r="137" spans="1:24" x14ac:dyDescent="0.3">
      <c r="A137" s="3" t="s">
        <v>282</v>
      </c>
      <c r="B137" s="4">
        <v>752.175476</v>
      </c>
      <c r="C137" s="4">
        <v>798.13403300000004</v>
      </c>
      <c r="D137" s="4">
        <v>869.76654099999996</v>
      </c>
      <c r="I137" s="3" t="s">
        <v>282</v>
      </c>
      <c r="J137" s="4">
        <v>761.81066899999996</v>
      </c>
      <c r="K137" s="4">
        <v>783.89025900000001</v>
      </c>
      <c r="L137" s="4">
        <v>834.10095200000001</v>
      </c>
      <c r="M137" s="12"/>
      <c r="O137" s="3" t="s">
        <v>282</v>
      </c>
      <c r="P137" s="4">
        <v>852.86114499999996</v>
      </c>
      <c r="Q137" s="4">
        <v>814.92388900000003</v>
      </c>
      <c r="R137" s="4">
        <v>936.307861</v>
      </c>
      <c r="U137" s="3" t="s">
        <v>282</v>
      </c>
      <c r="V137" s="18">
        <v>700.25421100000005</v>
      </c>
      <c r="W137" s="4">
        <v>775.55737299999998</v>
      </c>
      <c r="X137" s="4">
        <v>780.73211700000002</v>
      </c>
    </row>
    <row r="138" spans="1:24" x14ac:dyDescent="0.3">
      <c r="A138" s="3" t="s">
        <v>284</v>
      </c>
      <c r="B138" s="4">
        <v>822.80920400000002</v>
      </c>
      <c r="C138" s="4">
        <v>854.74890100000005</v>
      </c>
      <c r="D138" s="4">
        <v>962.16156000000001</v>
      </c>
      <c r="I138" s="3" t="s">
        <v>284</v>
      </c>
      <c r="J138" s="4">
        <v>798.51879899999994</v>
      </c>
      <c r="K138" s="4">
        <v>828.31011999999998</v>
      </c>
      <c r="L138" s="4">
        <v>973.832764</v>
      </c>
      <c r="M138" s="12"/>
      <c r="O138" s="3" t="s">
        <v>284</v>
      </c>
      <c r="P138" s="4">
        <v>936.30920400000002</v>
      </c>
      <c r="Q138" s="4">
        <v>879.41796899999997</v>
      </c>
      <c r="R138" s="4">
        <v>742.27502400000003</v>
      </c>
      <c r="U138" s="3" t="s">
        <v>284</v>
      </c>
      <c r="V138" s="18">
        <v>701.96319600000004</v>
      </c>
      <c r="W138" s="4">
        <v>838.17810099999997</v>
      </c>
      <c r="X138" s="4">
        <v>853.14031999999997</v>
      </c>
    </row>
    <row r="139" spans="1:24" x14ac:dyDescent="0.3">
      <c r="A139" s="3" t="s">
        <v>286</v>
      </c>
      <c r="B139" s="4">
        <v>705.66223100000002</v>
      </c>
      <c r="C139" s="4">
        <v>700.37646500000005</v>
      </c>
      <c r="D139" s="4">
        <v>745.68261700000005</v>
      </c>
      <c r="I139" s="3" t="s">
        <v>286</v>
      </c>
      <c r="J139" s="4">
        <v>681.83734100000004</v>
      </c>
      <c r="K139" s="4">
        <v>716.60058600000002</v>
      </c>
      <c r="L139" s="4">
        <v>821.45214799999997</v>
      </c>
      <c r="M139" s="12"/>
      <c r="O139" s="3" t="s">
        <v>286</v>
      </c>
      <c r="P139" s="4">
        <v>707.21813999999995</v>
      </c>
      <c r="Q139" s="4">
        <v>726.71899399999995</v>
      </c>
      <c r="R139" s="4">
        <v>685.70929000000001</v>
      </c>
      <c r="U139" s="3" t="s">
        <v>286</v>
      </c>
      <c r="V139" s="18">
        <v>675.00714100000005</v>
      </c>
      <c r="W139" s="4">
        <v>697.65466300000003</v>
      </c>
      <c r="X139" s="4">
        <v>663.10168499999997</v>
      </c>
    </row>
    <row r="140" spans="1:24" x14ac:dyDescent="0.3">
      <c r="A140" s="3" t="s">
        <v>288</v>
      </c>
      <c r="B140" s="4">
        <v>703.54693599999996</v>
      </c>
      <c r="C140" s="4">
        <v>731.27569600000004</v>
      </c>
      <c r="D140" s="4">
        <v>949.21746800000005</v>
      </c>
      <c r="I140" s="3" t="s">
        <v>288</v>
      </c>
      <c r="J140" s="4">
        <v>694.50860599999999</v>
      </c>
      <c r="K140" s="4">
        <v>715.69598399999995</v>
      </c>
      <c r="L140" s="4">
        <v>891.88891599999999</v>
      </c>
      <c r="M140" s="12"/>
      <c r="O140" s="3" t="s">
        <v>288</v>
      </c>
      <c r="P140" s="4">
        <v>669.43884300000002</v>
      </c>
      <c r="Q140" s="4">
        <v>732.32867399999998</v>
      </c>
      <c r="R140" s="4">
        <v>918.63586399999997</v>
      </c>
      <c r="U140" s="3" t="s">
        <v>288</v>
      </c>
      <c r="V140" s="18">
        <v>625.81604000000004</v>
      </c>
      <c r="W140" s="4">
        <v>712.88836700000002</v>
      </c>
      <c r="X140" s="4">
        <v>707.34417699999995</v>
      </c>
    </row>
    <row r="141" spans="1:24" x14ac:dyDescent="0.3">
      <c r="A141" s="3" t="s">
        <v>290</v>
      </c>
      <c r="B141" s="4">
        <v>714.00268600000004</v>
      </c>
      <c r="C141" s="4">
        <v>709.20977800000003</v>
      </c>
      <c r="D141" s="4">
        <v>862.34246800000005</v>
      </c>
      <c r="I141" s="3" t="s">
        <v>290</v>
      </c>
      <c r="J141" s="4">
        <v>678.03265399999998</v>
      </c>
      <c r="K141" s="4">
        <v>724.55358899999999</v>
      </c>
      <c r="L141" s="4">
        <v>668.42657499999996</v>
      </c>
      <c r="M141" s="12"/>
      <c r="O141" s="3" t="s">
        <v>290</v>
      </c>
      <c r="P141" s="4">
        <v>771.19372599999997</v>
      </c>
      <c r="Q141" s="4">
        <v>734.34918200000004</v>
      </c>
      <c r="R141" s="4">
        <v>809.819885</v>
      </c>
      <c r="U141" s="3" t="s">
        <v>290</v>
      </c>
      <c r="V141" s="18">
        <v>652.13622999999995</v>
      </c>
      <c r="W141" s="4">
        <v>697.89776600000005</v>
      </c>
      <c r="X141" s="4">
        <v>890.36627199999998</v>
      </c>
    </row>
    <row r="142" spans="1:24" x14ac:dyDescent="0.3">
      <c r="A142" s="3" t="s">
        <v>292</v>
      </c>
      <c r="B142" s="4">
        <v>768.80255099999999</v>
      </c>
      <c r="C142" s="4">
        <v>788.55554199999995</v>
      </c>
      <c r="D142" s="4">
        <v>895.15924099999995</v>
      </c>
      <c r="I142" s="3" t="s">
        <v>292</v>
      </c>
      <c r="J142" s="4">
        <v>716.13555899999994</v>
      </c>
      <c r="K142" s="4">
        <v>756.22851600000001</v>
      </c>
      <c r="L142" s="4">
        <v>992.40460199999995</v>
      </c>
      <c r="M142" s="12"/>
      <c r="O142" s="3" t="s">
        <v>292</v>
      </c>
      <c r="P142" s="4">
        <v>987.20489499999996</v>
      </c>
      <c r="Q142" s="4">
        <v>748.81604000000004</v>
      </c>
      <c r="R142" s="4">
        <v>954.990906</v>
      </c>
      <c r="U142" s="3" t="s">
        <v>292</v>
      </c>
      <c r="V142" s="18">
        <v>759.08300799999995</v>
      </c>
      <c r="W142" s="4">
        <v>775.45819100000006</v>
      </c>
      <c r="X142" s="4">
        <v>924.10327099999995</v>
      </c>
    </row>
    <row r="143" spans="1:24" x14ac:dyDescent="0.3">
      <c r="A143" s="3" t="s">
        <v>294</v>
      </c>
      <c r="B143" s="4">
        <v>899.08355700000004</v>
      </c>
      <c r="C143" s="4">
        <v>941.94207800000004</v>
      </c>
      <c r="D143" s="4">
        <v>1007.297546</v>
      </c>
      <c r="I143" s="3" t="s">
        <v>294</v>
      </c>
      <c r="J143" s="4">
        <v>901.90832499999999</v>
      </c>
      <c r="K143" s="4">
        <v>889.37524399999995</v>
      </c>
      <c r="L143" s="4">
        <v>1075.8588870000001</v>
      </c>
      <c r="M143" s="12"/>
      <c r="O143" s="3" t="s">
        <v>294</v>
      </c>
      <c r="P143" s="4">
        <v>986.88055399999996</v>
      </c>
      <c r="Q143" s="4">
        <v>909.52874799999995</v>
      </c>
      <c r="R143" s="4">
        <v>1079.7655030000001</v>
      </c>
      <c r="U143" s="3" t="s">
        <v>294</v>
      </c>
      <c r="V143" s="18">
        <v>1022.806885</v>
      </c>
      <c r="W143" s="4">
        <v>894.05401600000005</v>
      </c>
      <c r="X143" s="4">
        <v>910.50506600000006</v>
      </c>
    </row>
    <row r="144" spans="1:24" x14ac:dyDescent="0.3">
      <c r="A144" s="3" t="s">
        <v>296</v>
      </c>
      <c r="B144" s="4">
        <v>908.45929000000001</v>
      </c>
      <c r="C144" s="4">
        <v>914.62988299999995</v>
      </c>
      <c r="D144" s="4">
        <v>1078.30835</v>
      </c>
      <c r="I144" s="3" t="s">
        <v>296</v>
      </c>
      <c r="J144" s="4">
        <v>873.49133300000005</v>
      </c>
      <c r="K144" s="4">
        <v>883.94293200000004</v>
      </c>
      <c r="L144" s="4">
        <v>1049.3524170000001</v>
      </c>
      <c r="M144" s="12"/>
      <c r="O144" s="3" t="s">
        <v>296</v>
      </c>
      <c r="P144" s="4">
        <v>882.931152</v>
      </c>
      <c r="Q144" s="4">
        <v>925.11419699999999</v>
      </c>
      <c r="R144" s="4">
        <v>1093.695557</v>
      </c>
      <c r="U144" s="3" t="s">
        <v>296</v>
      </c>
      <c r="V144" s="18">
        <v>908.47070299999996</v>
      </c>
      <c r="W144" s="4">
        <v>924.41693099999998</v>
      </c>
      <c r="X144" s="4">
        <v>1008.151672</v>
      </c>
    </row>
    <row r="145" spans="1:24" x14ac:dyDescent="0.3">
      <c r="A145" s="3" t="s">
        <v>298</v>
      </c>
      <c r="B145" s="4">
        <v>756.75805700000001</v>
      </c>
      <c r="C145" s="4">
        <v>776.42480499999999</v>
      </c>
      <c r="D145" s="4">
        <v>765.813354</v>
      </c>
      <c r="I145" s="3" t="s">
        <v>298</v>
      </c>
      <c r="J145" s="4">
        <v>732.67370600000004</v>
      </c>
      <c r="K145" s="4">
        <v>762.967896</v>
      </c>
      <c r="L145" s="4">
        <v>717.47045900000001</v>
      </c>
      <c r="M145" s="12"/>
      <c r="O145" s="3" t="s">
        <v>298</v>
      </c>
      <c r="P145" s="4">
        <v>981.98211700000002</v>
      </c>
      <c r="Q145" s="4">
        <v>764.53539999999998</v>
      </c>
      <c r="R145" s="4">
        <v>740.45800799999995</v>
      </c>
      <c r="U145" s="3" t="s">
        <v>298</v>
      </c>
      <c r="V145" s="18">
        <v>868.81976299999997</v>
      </c>
      <c r="W145" s="4">
        <v>777.09295699999996</v>
      </c>
      <c r="X145" s="4">
        <v>647.85687299999995</v>
      </c>
    </row>
    <row r="146" spans="1:24" x14ac:dyDescent="0.3">
      <c r="A146" s="3" t="s">
        <v>300</v>
      </c>
      <c r="B146" s="4">
        <v>830.800659</v>
      </c>
      <c r="C146" s="4">
        <v>822.65850799999998</v>
      </c>
      <c r="D146" s="4">
        <v>1044.869385</v>
      </c>
      <c r="I146" s="3" t="s">
        <v>300</v>
      </c>
      <c r="J146" s="4">
        <v>810.80395499999997</v>
      </c>
      <c r="K146" s="4">
        <v>816.18353300000001</v>
      </c>
      <c r="L146" s="4">
        <v>978.84271200000001</v>
      </c>
      <c r="M146" s="12"/>
      <c r="O146" s="3" t="s">
        <v>300</v>
      </c>
      <c r="P146" s="4">
        <v>842.57189900000003</v>
      </c>
      <c r="Q146" s="4">
        <v>846.85327099999995</v>
      </c>
      <c r="R146" s="4">
        <v>933.56201199999998</v>
      </c>
      <c r="U146" s="3" t="s">
        <v>300</v>
      </c>
      <c r="V146" s="18">
        <v>758.46899399999995</v>
      </c>
      <c r="W146" s="4">
        <v>836.27966300000003</v>
      </c>
      <c r="X146" s="4">
        <v>984.87683100000004</v>
      </c>
    </row>
    <row r="147" spans="1:24" x14ac:dyDescent="0.3">
      <c r="A147" s="3" t="s">
        <v>302</v>
      </c>
      <c r="B147" s="4">
        <v>776.28753700000004</v>
      </c>
      <c r="C147" s="4">
        <v>774.51800500000002</v>
      </c>
      <c r="D147" s="4">
        <v>955.16156000000001</v>
      </c>
      <c r="I147" s="3" t="s">
        <v>302</v>
      </c>
      <c r="J147" s="4">
        <v>759.16583300000002</v>
      </c>
      <c r="K147" s="4">
        <v>822.40704300000004</v>
      </c>
      <c r="L147" s="4">
        <v>938.14318800000001</v>
      </c>
      <c r="M147" s="12"/>
      <c r="O147" s="3" t="s">
        <v>302</v>
      </c>
      <c r="P147" s="4">
        <v>706.76629600000001</v>
      </c>
      <c r="Q147" s="4">
        <v>814.18005400000004</v>
      </c>
      <c r="R147" s="4">
        <v>943.22900400000003</v>
      </c>
      <c r="U147" s="3" t="s">
        <v>302</v>
      </c>
      <c r="V147" s="18">
        <v>925.62475600000005</v>
      </c>
      <c r="W147" s="4">
        <v>813.65533400000004</v>
      </c>
      <c r="X147" s="4">
        <v>935.44628899999998</v>
      </c>
    </row>
    <row r="148" spans="1:24" x14ac:dyDescent="0.3">
      <c r="A148" s="3" t="s">
        <v>304</v>
      </c>
      <c r="B148" s="4">
        <v>890.46331799999996</v>
      </c>
      <c r="C148" s="4">
        <v>932.87658699999997</v>
      </c>
      <c r="D148" s="4">
        <v>1079.1098629999999</v>
      </c>
      <c r="I148" s="3" t="s">
        <v>304</v>
      </c>
      <c r="J148" s="4">
        <v>887.97289999999998</v>
      </c>
      <c r="K148" s="4">
        <v>918.285706</v>
      </c>
      <c r="L148" s="4">
        <v>947.75750700000003</v>
      </c>
      <c r="M148" s="12"/>
      <c r="O148" s="3" t="s">
        <v>304</v>
      </c>
      <c r="P148" s="4">
        <v>872.45031700000004</v>
      </c>
      <c r="Q148" s="4">
        <v>937.39428699999996</v>
      </c>
      <c r="R148" s="4">
        <v>897.48065199999996</v>
      </c>
      <c r="U148" s="3" t="s">
        <v>304</v>
      </c>
      <c r="V148" s="18">
        <v>960.83435099999997</v>
      </c>
      <c r="W148" s="4">
        <v>930.83429000000001</v>
      </c>
      <c r="X148" s="4">
        <v>1095.1982419999999</v>
      </c>
    </row>
    <row r="149" spans="1:24" x14ac:dyDescent="0.3">
      <c r="A149" s="3" t="s">
        <v>306</v>
      </c>
      <c r="B149" s="4">
        <v>923.43670699999996</v>
      </c>
      <c r="C149" s="4">
        <v>954.70245399999999</v>
      </c>
      <c r="D149" s="4">
        <v>1167.9499510000001</v>
      </c>
      <c r="I149" s="3" t="s">
        <v>306</v>
      </c>
      <c r="J149" s="4">
        <v>892.57385299999999</v>
      </c>
      <c r="K149" s="4">
        <v>925.18499799999995</v>
      </c>
      <c r="L149" s="4">
        <v>964.96105999999997</v>
      </c>
      <c r="M149" s="12"/>
      <c r="O149" s="3" t="s">
        <v>306</v>
      </c>
      <c r="P149" s="4">
        <v>1150.611328</v>
      </c>
      <c r="Q149" s="4">
        <v>924.073669</v>
      </c>
      <c r="R149" s="4">
        <v>1071.9282229999999</v>
      </c>
      <c r="U149" s="3" t="s">
        <v>306</v>
      </c>
      <c r="V149" s="18">
        <v>1134.800659</v>
      </c>
      <c r="W149" s="4">
        <v>930.316101</v>
      </c>
      <c r="X149" s="4">
        <v>1082.00415</v>
      </c>
    </row>
    <row r="150" spans="1:24" x14ac:dyDescent="0.3">
      <c r="A150" s="3" t="s">
        <v>308</v>
      </c>
      <c r="B150" s="4">
        <v>931.49578899999995</v>
      </c>
      <c r="C150" s="4">
        <v>943.503601</v>
      </c>
      <c r="D150" s="4">
        <v>926.25537099999997</v>
      </c>
      <c r="I150" s="3" t="s">
        <v>308</v>
      </c>
      <c r="J150" s="4">
        <v>872.46868900000004</v>
      </c>
      <c r="K150" s="4">
        <v>930.16992200000004</v>
      </c>
      <c r="L150" s="4">
        <v>1072.4197999999999</v>
      </c>
      <c r="M150" s="12"/>
      <c r="O150" s="3" t="s">
        <v>308</v>
      </c>
      <c r="P150" s="4">
        <v>1070.8892820000001</v>
      </c>
      <c r="Q150" s="4">
        <v>918.26263400000005</v>
      </c>
      <c r="R150" s="4">
        <v>1102.307251</v>
      </c>
      <c r="U150" s="3" t="s">
        <v>308</v>
      </c>
      <c r="V150" s="18">
        <v>989.08526600000005</v>
      </c>
      <c r="W150" s="4">
        <v>924.21289100000001</v>
      </c>
      <c r="X150" s="4">
        <v>1095.9646</v>
      </c>
    </row>
    <row r="151" spans="1:24" x14ac:dyDescent="0.3">
      <c r="A151" s="3" t="s">
        <v>310</v>
      </c>
      <c r="B151" s="4">
        <v>892.61016800000004</v>
      </c>
      <c r="C151" s="4">
        <v>911.02453600000001</v>
      </c>
      <c r="D151" s="4">
        <v>1000.1410519999999</v>
      </c>
      <c r="I151" s="3" t="s">
        <v>310</v>
      </c>
      <c r="J151" s="4">
        <v>860.10101299999997</v>
      </c>
      <c r="K151" s="4">
        <v>876.787598</v>
      </c>
      <c r="L151" s="4">
        <v>1074.2154539999999</v>
      </c>
      <c r="M151" s="12"/>
      <c r="O151" s="3" t="s">
        <v>310</v>
      </c>
      <c r="P151" s="4">
        <v>934.410034</v>
      </c>
      <c r="Q151" s="4">
        <v>927.34863299999995</v>
      </c>
      <c r="R151" s="4">
        <v>1106.641846</v>
      </c>
      <c r="U151" s="3" t="s">
        <v>310</v>
      </c>
      <c r="V151" s="18">
        <v>869.93182400000001</v>
      </c>
      <c r="W151" s="4">
        <v>893.29852300000005</v>
      </c>
      <c r="X151" s="4">
        <v>874.981628</v>
      </c>
    </row>
    <row r="152" spans="1:24" x14ac:dyDescent="0.3">
      <c r="A152" s="3" t="s">
        <v>312</v>
      </c>
      <c r="B152" s="4">
        <v>853.23504600000001</v>
      </c>
      <c r="C152" s="4">
        <v>904.13647500000002</v>
      </c>
      <c r="D152" s="4">
        <v>1047.118408</v>
      </c>
      <c r="I152" s="3" t="s">
        <v>312</v>
      </c>
      <c r="J152" s="4">
        <v>805.71893299999999</v>
      </c>
      <c r="K152" s="4">
        <v>867.81793200000004</v>
      </c>
      <c r="L152" s="4">
        <v>762.63354500000003</v>
      </c>
      <c r="M152" s="12"/>
      <c r="O152" s="3" t="s">
        <v>312</v>
      </c>
      <c r="P152" s="4">
        <v>912.24127199999998</v>
      </c>
      <c r="Q152" s="4">
        <v>912.62164299999995</v>
      </c>
      <c r="R152" s="4">
        <v>956.24523899999997</v>
      </c>
      <c r="U152" s="3" t="s">
        <v>312</v>
      </c>
      <c r="V152" s="18">
        <v>1010.71405</v>
      </c>
      <c r="W152" s="4">
        <v>878.05932600000006</v>
      </c>
      <c r="X152" s="4">
        <v>1037.624634</v>
      </c>
    </row>
    <row r="153" spans="1:24" x14ac:dyDescent="0.3">
      <c r="A153" s="3" t="s">
        <v>11</v>
      </c>
      <c r="B153" s="4">
        <v>721.82312000000002</v>
      </c>
      <c r="C153" s="4">
        <v>740.149902</v>
      </c>
      <c r="D153" s="4">
        <v>711.196777</v>
      </c>
      <c r="I153" s="3" t="s">
        <v>11</v>
      </c>
      <c r="J153" s="4">
        <v>705.15502900000001</v>
      </c>
      <c r="K153" s="4">
        <v>718.32843000000003</v>
      </c>
      <c r="L153" s="4">
        <v>651.34509300000002</v>
      </c>
      <c r="M153" s="12"/>
      <c r="O153" s="3" t="s">
        <v>11</v>
      </c>
      <c r="P153" s="4">
        <v>711.196777</v>
      </c>
      <c r="Q153" s="4">
        <v>743.98303199999998</v>
      </c>
      <c r="R153" s="4">
        <v>711.196777</v>
      </c>
      <c r="U153" s="3" t="s">
        <v>11</v>
      </c>
      <c r="V153" s="4">
        <v>651.34509300000002</v>
      </c>
      <c r="W153" s="4">
        <v>714.25885000000005</v>
      </c>
      <c r="X153" s="4">
        <v>651.34509300000002</v>
      </c>
    </row>
    <row r="154" spans="1:24" x14ac:dyDescent="0.3">
      <c r="A154" s="3" t="s">
        <v>13</v>
      </c>
      <c r="B154" s="4">
        <v>670.298767</v>
      </c>
      <c r="C154" s="4">
        <v>684.11614999999995</v>
      </c>
      <c r="D154" s="4">
        <v>723.30432099999996</v>
      </c>
      <c r="I154" s="3" t="s">
        <v>13</v>
      </c>
      <c r="J154" s="4">
        <v>630.09008800000004</v>
      </c>
      <c r="K154" s="4">
        <v>640.94354199999998</v>
      </c>
      <c r="L154" s="4">
        <v>732.751892</v>
      </c>
      <c r="M154" s="12"/>
      <c r="O154" s="3" t="s">
        <v>13</v>
      </c>
      <c r="P154" s="4">
        <v>761.53839100000005</v>
      </c>
      <c r="Q154" s="4">
        <v>678.021118</v>
      </c>
      <c r="R154" s="4">
        <v>752.45239300000003</v>
      </c>
      <c r="U154" s="3" t="s">
        <v>13</v>
      </c>
      <c r="V154" s="4">
        <v>559.13018799999998</v>
      </c>
      <c r="W154" s="4">
        <v>640.37847899999997</v>
      </c>
      <c r="X154" s="4">
        <v>725.49585000000002</v>
      </c>
    </row>
    <row r="155" spans="1:24" x14ac:dyDescent="0.3">
      <c r="A155" s="3" t="s">
        <v>15</v>
      </c>
      <c r="B155" s="4">
        <v>719.17132600000002</v>
      </c>
      <c r="C155" s="4">
        <v>716.26879899999994</v>
      </c>
      <c r="D155" s="4">
        <v>904.07055700000001</v>
      </c>
      <c r="I155" s="3" t="s">
        <v>15</v>
      </c>
      <c r="J155" s="4">
        <v>673.50183100000004</v>
      </c>
      <c r="K155" s="4">
        <v>695.62091099999998</v>
      </c>
      <c r="L155" s="4">
        <v>674.43102999999996</v>
      </c>
      <c r="M155" s="12"/>
      <c r="O155" s="3" t="s">
        <v>15</v>
      </c>
      <c r="P155" s="4">
        <v>698.30548099999999</v>
      </c>
      <c r="Q155" s="4">
        <v>728.32733199999996</v>
      </c>
      <c r="R155" s="4">
        <v>732.78301999999996</v>
      </c>
      <c r="U155" s="3" t="s">
        <v>15</v>
      </c>
      <c r="V155" s="4">
        <v>673.83789100000001</v>
      </c>
      <c r="W155" s="4">
        <v>679.69226100000003</v>
      </c>
      <c r="X155" s="4">
        <v>849.34350600000005</v>
      </c>
    </row>
    <row r="156" spans="1:24" x14ac:dyDescent="0.3">
      <c r="A156" s="3" t="s">
        <v>17</v>
      </c>
      <c r="B156" s="4">
        <v>699.62377900000001</v>
      </c>
      <c r="C156" s="4">
        <v>700.03228799999999</v>
      </c>
      <c r="D156" s="4">
        <v>726.82226600000001</v>
      </c>
      <c r="I156" s="3" t="s">
        <v>17</v>
      </c>
      <c r="J156" s="4">
        <v>664.324341</v>
      </c>
      <c r="K156" s="4">
        <v>683.96862799999997</v>
      </c>
      <c r="L156" s="4">
        <v>662.15063499999997</v>
      </c>
      <c r="M156" s="12"/>
      <c r="O156" s="3" t="s">
        <v>17</v>
      </c>
      <c r="P156" s="4">
        <v>865.78131099999996</v>
      </c>
      <c r="Q156" s="4">
        <v>724.97729500000003</v>
      </c>
      <c r="R156" s="4">
        <v>722.44897500000002</v>
      </c>
      <c r="U156" s="3" t="s">
        <v>17</v>
      </c>
      <c r="V156" s="4">
        <v>644.82507299999997</v>
      </c>
      <c r="W156" s="4">
        <v>662.45581100000004</v>
      </c>
      <c r="X156" s="4">
        <v>746.95367399999998</v>
      </c>
    </row>
    <row r="157" spans="1:24" x14ac:dyDescent="0.3">
      <c r="A157" s="3" t="s">
        <v>19</v>
      </c>
      <c r="B157" s="4">
        <v>725.96997099999999</v>
      </c>
      <c r="C157" s="4">
        <v>761.31011999999998</v>
      </c>
      <c r="D157" s="4">
        <v>891.04199200000005</v>
      </c>
      <c r="I157" s="3" t="s">
        <v>19</v>
      </c>
      <c r="J157" s="4">
        <v>693.78283699999997</v>
      </c>
      <c r="K157" s="4">
        <v>710.90527299999997</v>
      </c>
      <c r="L157" s="4">
        <v>631.02655000000004</v>
      </c>
      <c r="M157" s="12"/>
      <c r="O157" s="3" t="s">
        <v>19</v>
      </c>
      <c r="P157" s="4">
        <v>775.25097700000003</v>
      </c>
      <c r="Q157" s="4">
        <v>739.55407700000001</v>
      </c>
      <c r="R157" s="4">
        <v>763.50824</v>
      </c>
      <c r="U157" s="3" t="s">
        <v>19</v>
      </c>
      <c r="V157" s="4">
        <v>621.96807899999999</v>
      </c>
      <c r="W157" s="4">
        <v>708.15289299999995</v>
      </c>
      <c r="X157" s="4">
        <v>841.86804199999995</v>
      </c>
    </row>
    <row r="158" spans="1:24" x14ac:dyDescent="0.3">
      <c r="A158" s="3" t="s">
        <v>21</v>
      </c>
      <c r="B158" s="4">
        <v>707.42553699999996</v>
      </c>
      <c r="C158" s="4">
        <v>735.19415300000003</v>
      </c>
      <c r="D158" s="4">
        <v>921.168274</v>
      </c>
      <c r="I158" s="3" t="s">
        <v>21</v>
      </c>
      <c r="J158" s="4">
        <v>671.61804199999995</v>
      </c>
      <c r="K158" s="4">
        <v>674.69805899999994</v>
      </c>
      <c r="L158" s="4">
        <v>851.12951699999996</v>
      </c>
      <c r="M158" s="12"/>
      <c r="O158" s="3" t="s">
        <v>21</v>
      </c>
      <c r="P158" s="4">
        <v>835.40344200000004</v>
      </c>
      <c r="Q158" s="4">
        <v>741.94164999999998</v>
      </c>
      <c r="R158" s="4">
        <v>877.45550500000002</v>
      </c>
      <c r="U158" s="3" t="s">
        <v>21</v>
      </c>
      <c r="V158" s="4">
        <v>769.33789100000001</v>
      </c>
      <c r="W158" s="4">
        <v>701.21203600000001</v>
      </c>
      <c r="X158" s="4">
        <v>867.85064699999998</v>
      </c>
    </row>
    <row r="159" spans="1:24" x14ac:dyDescent="0.3">
      <c r="A159" s="3" t="s">
        <v>23</v>
      </c>
      <c r="B159" s="4">
        <v>720.77105700000004</v>
      </c>
      <c r="C159" s="4">
        <v>736.36047399999995</v>
      </c>
      <c r="D159" s="4">
        <v>823.63378899999998</v>
      </c>
      <c r="I159" s="3" t="s">
        <v>23</v>
      </c>
      <c r="J159" s="4">
        <v>692.03894000000003</v>
      </c>
      <c r="K159" s="4">
        <v>703.99188200000003</v>
      </c>
      <c r="L159" s="4">
        <v>822.07428000000004</v>
      </c>
      <c r="M159" s="12"/>
      <c r="O159" s="3" t="s">
        <v>23</v>
      </c>
      <c r="P159" s="4">
        <v>791.94341999999995</v>
      </c>
      <c r="Q159" s="4">
        <v>739.877747</v>
      </c>
      <c r="R159" s="4">
        <v>847.53753700000004</v>
      </c>
      <c r="U159" s="3" t="s">
        <v>23</v>
      </c>
      <c r="V159" s="4">
        <v>779.94293200000004</v>
      </c>
      <c r="W159" s="4">
        <v>701.17370600000004</v>
      </c>
      <c r="X159" s="4">
        <v>747.77533000000005</v>
      </c>
    </row>
    <row r="160" spans="1:24" x14ac:dyDescent="0.3">
      <c r="A160" s="3" t="s">
        <v>25</v>
      </c>
      <c r="B160" s="4">
        <v>733.290344</v>
      </c>
      <c r="C160" s="4">
        <v>741.91430700000001</v>
      </c>
      <c r="D160" s="4">
        <v>878.49902299999997</v>
      </c>
      <c r="I160" s="3" t="s">
        <v>25</v>
      </c>
      <c r="J160" s="4">
        <v>711.53033400000004</v>
      </c>
      <c r="K160" s="4">
        <v>721.39190699999995</v>
      </c>
      <c r="L160" s="4">
        <v>696.77606200000002</v>
      </c>
      <c r="M160" s="12"/>
      <c r="O160" s="3" t="s">
        <v>25</v>
      </c>
      <c r="P160" s="4">
        <v>850.88031000000001</v>
      </c>
      <c r="Q160" s="4">
        <v>762.80651899999998</v>
      </c>
      <c r="R160" s="4">
        <v>745.563354</v>
      </c>
      <c r="U160" s="3" t="s">
        <v>25</v>
      </c>
      <c r="V160" s="4">
        <v>756.00164800000005</v>
      </c>
      <c r="W160" s="4">
        <v>722.79070999999999</v>
      </c>
      <c r="X160" s="4">
        <v>808.55932600000006</v>
      </c>
    </row>
    <row r="161" spans="1:24" x14ac:dyDescent="0.3">
      <c r="A161" s="3" t="s">
        <v>27</v>
      </c>
      <c r="B161" s="4">
        <v>704.16943400000002</v>
      </c>
      <c r="C161" s="4">
        <v>724.55328399999996</v>
      </c>
      <c r="D161" s="4">
        <v>879.67346199999997</v>
      </c>
      <c r="I161" s="3" t="s">
        <v>27</v>
      </c>
      <c r="J161" s="4">
        <v>675.07019000000003</v>
      </c>
      <c r="K161" s="4">
        <v>694.88061500000003</v>
      </c>
      <c r="L161" s="4">
        <v>726.48376499999995</v>
      </c>
      <c r="M161" s="12"/>
      <c r="O161" s="3" t="s">
        <v>27</v>
      </c>
      <c r="P161" s="4">
        <v>679.859375</v>
      </c>
      <c r="Q161" s="4">
        <v>731.605591</v>
      </c>
      <c r="R161" s="4">
        <v>912.73846400000002</v>
      </c>
      <c r="U161" s="3" t="s">
        <v>27</v>
      </c>
      <c r="V161" s="4">
        <v>736.514771</v>
      </c>
      <c r="W161" s="4">
        <v>703.86389199999996</v>
      </c>
      <c r="X161" s="4">
        <v>602.47210700000005</v>
      </c>
    </row>
    <row r="162" spans="1:24" x14ac:dyDescent="0.3">
      <c r="A162" s="3" t="s">
        <v>29</v>
      </c>
      <c r="B162" s="4">
        <v>725.91839600000003</v>
      </c>
      <c r="C162" s="4">
        <v>717.01342799999998</v>
      </c>
      <c r="D162" s="4">
        <v>886.31347700000003</v>
      </c>
      <c r="I162" s="3" t="s">
        <v>29</v>
      </c>
      <c r="J162" s="4">
        <v>692.61828600000001</v>
      </c>
      <c r="K162" s="4">
        <v>708.32543899999996</v>
      </c>
      <c r="L162" s="4">
        <v>805.082581</v>
      </c>
      <c r="M162" s="12"/>
      <c r="O162" s="3" t="s">
        <v>29</v>
      </c>
      <c r="P162" s="4">
        <v>805.79187000000002</v>
      </c>
      <c r="Q162" s="4">
        <v>748.24890100000005</v>
      </c>
      <c r="R162" s="4">
        <v>699.42944299999999</v>
      </c>
      <c r="U162" s="3" t="s">
        <v>29</v>
      </c>
      <c r="V162" s="4">
        <v>623.165344</v>
      </c>
      <c r="W162" s="4">
        <v>717.441284</v>
      </c>
      <c r="X162" s="4">
        <v>773.06079099999999</v>
      </c>
    </row>
    <row r="163" spans="1:24" x14ac:dyDescent="0.3">
      <c r="A163" s="3" t="s">
        <v>31</v>
      </c>
      <c r="B163" s="4">
        <v>826.98053000000004</v>
      </c>
      <c r="C163" s="4">
        <v>824.06768799999998</v>
      </c>
      <c r="D163" s="4">
        <v>713.79406700000004</v>
      </c>
      <c r="I163" s="3" t="s">
        <v>31</v>
      </c>
      <c r="J163" s="4">
        <v>800.44757100000004</v>
      </c>
      <c r="K163" s="4">
        <v>833.41949499999998</v>
      </c>
      <c r="L163" s="4">
        <v>874.93866000000003</v>
      </c>
      <c r="M163" s="12"/>
      <c r="O163" s="3" t="s">
        <v>31</v>
      </c>
      <c r="P163" s="4">
        <v>706.242615</v>
      </c>
      <c r="Q163" s="4">
        <v>857.77294900000004</v>
      </c>
      <c r="R163" s="4">
        <v>779.526611</v>
      </c>
      <c r="U163" s="3" t="s">
        <v>31</v>
      </c>
      <c r="V163" s="4">
        <v>854.73272699999995</v>
      </c>
      <c r="W163" s="4">
        <v>848.21844499999997</v>
      </c>
      <c r="X163" s="4">
        <v>890.34765600000003</v>
      </c>
    </row>
    <row r="164" spans="1:24" x14ac:dyDescent="0.3">
      <c r="A164" s="3" t="s">
        <v>33</v>
      </c>
      <c r="B164" s="4">
        <v>759.88958700000001</v>
      </c>
      <c r="C164" s="4">
        <v>775.71832300000005</v>
      </c>
      <c r="D164" s="4">
        <v>719.89679000000001</v>
      </c>
      <c r="I164" s="3" t="s">
        <v>33</v>
      </c>
      <c r="J164" s="4">
        <v>725.22882100000004</v>
      </c>
      <c r="K164" s="4">
        <v>776.71893299999999</v>
      </c>
      <c r="L164" s="4">
        <v>956.14782700000001</v>
      </c>
      <c r="M164" s="12"/>
      <c r="O164" s="3" t="s">
        <v>33</v>
      </c>
      <c r="P164" s="4">
        <v>863.13836700000002</v>
      </c>
      <c r="Q164" s="4">
        <v>790.46179199999995</v>
      </c>
      <c r="R164" s="4">
        <v>880.63177499999995</v>
      </c>
      <c r="U164" s="3" t="s">
        <v>33</v>
      </c>
      <c r="V164" s="4">
        <v>717.32769800000005</v>
      </c>
      <c r="W164" s="4">
        <v>772.36804199999995</v>
      </c>
      <c r="X164" s="4">
        <v>923.90210000000002</v>
      </c>
    </row>
    <row r="165" spans="1:24" x14ac:dyDescent="0.3">
      <c r="A165" s="3" t="s">
        <v>35</v>
      </c>
      <c r="B165" s="4">
        <v>779.29614300000003</v>
      </c>
      <c r="C165" s="4">
        <v>809.42425500000002</v>
      </c>
      <c r="D165" s="4">
        <v>805.95459000000005</v>
      </c>
      <c r="I165" s="3" t="s">
        <v>35</v>
      </c>
      <c r="J165" s="4">
        <v>758.28533900000002</v>
      </c>
      <c r="K165" s="4">
        <v>786.37359600000002</v>
      </c>
      <c r="L165" s="4">
        <v>889.19586200000003</v>
      </c>
      <c r="M165" s="12"/>
      <c r="O165" s="3" t="s">
        <v>35</v>
      </c>
      <c r="P165" s="4">
        <v>959.38915999999995</v>
      </c>
      <c r="Q165" s="4">
        <v>779.29473900000005</v>
      </c>
      <c r="R165" s="4">
        <v>720.90393100000006</v>
      </c>
      <c r="U165" s="3" t="s">
        <v>35</v>
      </c>
      <c r="V165" s="4">
        <v>711.46289100000001</v>
      </c>
      <c r="W165" s="4">
        <v>785.36773700000003</v>
      </c>
      <c r="X165" s="4">
        <v>813.40777600000001</v>
      </c>
    </row>
    <row r="166" spans="1:24" x14ac:dyDescent="0.3">
      <c r="A166" s="3" t="s">
        <v>37</v>
      </c>
      <c r="B166" s="4">
        <v>771.72601299999997</v>
      </c>
      <c r="C166" s="4">
        <v>809.16980000000001</v>
      </c>
      <c r="D166" s="4">
        <v>742.49468999999999</v>
      </c>
      <c r="I166" s="3" t="s">
        <v>37</v>
      </c>
      <c r="J166" s="4">
        <v>760.30242899999996</v>
      </c>
      <c r="K166" s="4">
        <v>760.75109899999995</v>
      </c>
      <c r="L166" s="4">
        <v>707.02404799999999</v>
      </c>
      <c r="M166" s="12"/>
      <c r="O166" s="3" t="s">
        <v>37</v>
      </c>
      <c r="P166" s="4">
        <v>799.85424799999998</v>
      </c>
      <c r="Q166" s="4">
        <v>781.623108</v>
      </c>
      <c r="R166" s="4">
        <v>982.27484100000004</v>
      </c>
      <c r="U166" s="3" t="s">
        <v>37</v>
      </c>
      <c r="V166" s="4">
        <v>689.74969499999997</v>
      </c>
      <c r="W166" s="4">
        <v>769.21160899999995</v>
      </c>
      <c r="X166" s="4">
        <v>778.86999500000002</v>
      </c>
    </row>
    <row r="167" spans="1:24" x14ac:dyDescent="0.3">
      <c r="A167" s="3" t="s">
        <v>39</v>
      </c>
      <c r="B167" s="4">
        <v>770.44561799999997</v>
      </c>
      <c r="C167" s="4">
        <v>777.57501200000002</v>
      </c>
      <c r="D167" s="4">
        <v>709.44702099999995</v>
      </c>
      <c r="I167" s="3" t="s">
        <v>39</v>
      </c>
      <c r="J167" s="4">
        <v>746.59356700000001</v>
      </c>
      <c r="K167" s="4">
        <v>760.90551800000003</v>
      </c>
      <c r="L167" s="4">
        <v>681.59057600000006</v>
      </c>
      <c r="M167" s="12"/>
      <c r="O167" s="3" t="s">
        <v>39</v>
      </c>
      <c r="P167" s="4">
        <v>979.48181199999999</v>
      </c>
      <c r="Q167" s="4">
        <v>792.31323199999997</v>
      </c>
      <c r="R167" s="4">
        <v>999.88867200000004</v>
      </c>
      <c r="U167" s="3" t="s">
        <v>39</v>
      </c>
      <c r="V167" s="4">
        <v>909.121399</v>
      </c>
      <c r="W167" s="4">
        <v>759.29345699999999</v>
      </c>
      <c r="X167" s="4">
        <v>743.08044400000006</v>
      </c>
    </row>
    <row r="168" spans="1:24" x14ac:dyDescent="0.3">
      <c r="A168" s="3" t="s">
        <v>41</v>
      </c>
      <c r="B168" s="4">
        <v>860.73877000000005</v>
      </c>
      <c r="C168" s="4">
        <v>926.06256099999996</v>
      </c>
      <c r="D168" s="4">
        <v>779.53704800000003</v>
      </c>
      <c r="I168" s="3" t="s">
        <v>41</v>
      </c>
      <c r="J168" s="4">
        <v>852.54357900000002</v>
      </c>
      <c r="K168" s="4">
        <v>879.19104000000004</v>
      </c>
      <c r="L168" s="4">
        <v>1050.3919679999999</v>
      </c>
      <c r="M168" s="12"/>
      <c r="O168" s="3" t="s">
        <v>41</v>
      </c>
      <c r="P168" s="4">
        <v>1083.3614500000001</v>
      </c>
      <c r="Q168" s="4">
        <v>920.80029300000001</v>
      </c>
      <c r="R168" s="4">
        <v>923.78021200000001</v>
      </c>
      <c r="U168" s="3" t="s">
        <v>41</v>
      </c>
      <c r="V168" s="4">
        <v>969.68005400000004</v>
      </c>
      <c r="W168" s="4">
        <v>880.70959500000004</v>
      </c>
      <c r="X168" s="4">
        <v>923.03521699999999</v>
      </c>
    </row>
    <row r="169" spans="1:24" x14ac:dyDescent="0.3">
      <c r="A169" s="3" t="s">
        <v>43</v>
      </c>
      <c r="B169" s="4">
        <v>804.58306900000002</v>
      </c>
      <c r="C169" s="4">
        <v>853.77990699999998</v>
      </c>
      <c r="D169" s="4">
        <v>964.67181400000004</v>
      </c>
      <c r="I169" s="3" t="s">
        <v>43</v>
      </c>
      <c r="J169" s="4">
        <v>754.16351299999997</v>
      </c>
      <c r="K169" s="4">
        <v>801.64172399999995</v>
      </c>
      <c r="L169" s="4">
        <v>744.63104199999998</v>
      </c>
      <c r="M169" s="12"/>
      <c r="O169" s="3" t="s">
        <v>43</v>
      </c>
      <c r="P169" s="4">
        <v>802.82830799999999</v>
      </c>
      <c r="Q169" s="4">
        <v>824.45489499999996</v>
      </c>
      <c r="R169" s="4">
        <v>730.75482199999999</v>
      </c>
      <c r="U169" s="3" t="s">
        <v>43</v>
      </c>
      <c r="V169" s="4">
        <v>684.01019299999996</v>
      </c>
      <c r="W169" s="4">
        <v>787.50842299999999</v>
      </c>
      <c r="X169" s="4">
        <v>866.66833499999996</v>
      </c>
    </row>
    <row r="170" spans="1:24" x14ac:dyDescent="0.3">
      <c r="A170" s="3" t="s">
        <v>45</v>
      </c>
      <c r="B170" s="4">
        <v>817.59228499999995</v>
      </c>
      <c r="C170" s="4">
        <v>876.840149</v>
      </c>
      <c r="D170" s="4">
        <v>1056.284302</v>
      </c>
      <c r="I170" s="3" t="s">
        <v>45</v>
      </c>
      <c r="J170" s="4">
        <v>808.13287400000002</v>
      </c>
      <c r="K170" s="4">
        <v>845.55542000000003</v>
      </c>
      <c r="L170" s="4">
        <v>747.82495100000006</v>
      </c>
      <c r="M170" s="12"/>
      <c r="O170" s="3" t="s">
        <v>45</v>
      </c>
      <c r="P170" s="4">
        <v>693.12237500000003</v>
      </c>
      <c r="Q170" s="4">
        <v>876.21130400000004</v>
      </c>
      <c r="R170" s="4">
        <v>942.41235400000005</v>
      </c>
      <c r="U170" s="3" t="s">
        <v>45</v>
      </c>
      <c r="V170" s="4">
        <v>1022.262634</v>
      </c>
      <c r="W170" s="4">
        <v>853.31738299999995</v>
      </c>
      <c r="X170" s="4">
        <v>1045.862793</v>
      </c>
    </row>
    <row r="171" spans="1:24" x14ac:dyDescent="0.3">
      <c r="A171" s="3" t="s">
        <v>47</v>
      </c>
      <c r="B171" s="4">
        <v>760.18048099999999</v>
      </c>
      <c r="C171" s="4">
        <v>804.56933600000002</v>
      </c>
      <c r="D171" s="4">
        <v>896.92150900000001</v>
      </c>
      <c r="I171" s="3" t="s">
        <v>47</v>
      </c>
      <c r="J171" s="4">
        <v>720.23138400000005</v>
      </c>
      <c r="K171" s="4">
        <v>784.93194600000004</v>
      </c>
      <c r="L171" s="4">
        <v>920.77783199999999</v>
      </c>
      <c r="M171" s="12"/>
      <c r="O171" s="3" t="s">
        <v>47</v>
      </c>
      <c r="P171" s="4">
        <v>914.61395300000004</v>
      </c>
      <c r="Q171" s="4">
        <v>817.72326699999996</v>
      </c>
      <c r="R171" s="4">
        <v>978.711365</v>
      </c>
      <c r="U171" s="3" t="s">
        <v>47</v>
      </c>
      <c r="V171" s="4">
        <v>895.964294</v>
      </c>
      <c r="W171" s="4">
        <v>764.32067900000004</v>
      </c>
      <c r="X171" s="4">
        <v>867.14398200000005</v>
      </c>
    </row>
    <row r="172" spans="1:24" x14ac:dyDescent="0.3">
      <c r="A172" s="3" t="s">
        <v>49</v>
      </c>
      <c r="B172" s="4">
        <v>833.87921100000005</v>
      </c>
      <c r="C172" s="4">
        <v>846.37188700000002</v>
      </c>
      <c r="D172" s="4">
        <v>1004.4151000000001</v>
      </c>
      <c r="I172" s="3" t="s">
        <v>49</v>
      </c>
      <c r="J172" s="4">
        <v>761.25433299999997</v>
      </c>
      <c r="K172" s="4">
        <v>778.01873799999998</v>
      </c>
      <c r="L172" s="4">
        <v>773.03851299999997</v>
      </c>
      <c r="M172" s="12"/>
      <c r="O172" s="3" t="s">
        <v>49</v>
      </c>
      <c r="P172" s="4">
        <v>744.92553699999996</v>
      </c>
      <c r="Q172" s="4">
        <v>836.02819799999997</v>
      </c>
      <c r="R172" s="4">
        <v>1002.044373</v>
      </c>
      <c r="U172" s="3" t="s">
        <v>49</v>
      </c>
      <c r="V172" s="4">
        <v>690.97399900000005</v>
      </c>
      <c r="W172" s="4">
        <v>777.51568599999996</v>
      </c>
      <c r="X172" s="4">
        <v>773.84112500000003</v>
      </c>
    </row>
    <row r="173" spans="1:24" x14ac:dyDescent="0.3">
      <c r="A173" s="3" t="s">
        <v>51</v>
      </c>
      <c r="B173" s="4">
        <v>988.85766599999999</v>
      </c>
      <c r="C173" s="4">
        <v>1003.293335</v>
      </c>
      <c r="D173" s="4">
        <v>1135.721802</v>
      </c>
      <c r="I173" s="3" t="s">
        <v>51</v>
      </c>
      <c r="J173" s="4">
        <v>974.34124799999995</v>
      </c>
      <c r="K173" s="4">
        <v>1004.403687</v>
      </c>
      <c r="L173" s="4">
        <v>858.52239999999995</v>
      </c>
      <c r="M173" s="12"/>
      <c r="O173" s="3" t="s">
        <v>51</v>
      </c>
      <c r="P173" s="4">
        <v>994.38818400000002</v>
      </c>
      <c r="Q173" s="4">
        <v>1010.181763</v>
      </c>
      <c r="R173" s="4">
        <v>1203.5164789999999</v>
      </c>
      <c r="U173" s="3" t="s">
        <v>51</v>
      </c>
      <c r="V173" s="4">
        <v>870.06689500000005</v>
      </c>
      <c r="W173" s="4">
        <v>1008.643616</v>
      </c>
      <c r="X173" s="4">
        <v>1028.1759030000001</v>
      </c>
    </row>
    <row r="174" spans="1:24" x14ac:dyDescent="0.3">
      <c r="A174" s="3" t="s">
        <v>53</v>
      </c>
      <c r="B174" s="4">
        <v>929.430969</v>
      </c>
      <c r="C174" s="4">
        <v>961.97540300000003</v>
      </c>
      <c r="D174" s="4">
        <v>862.04901099999995</v>
      </c>
      <c r="I174" s="3" t="s">
        <v>53</v>
      </c>
      <c r="J174" s="4">
        <v>919.803223</v>
      </c>
      <c r="K174" s="4">
        <v>925.33801300000005</v>
      </c>
      <c r="L174" s="4">
        <v>1093.250732</v>
      </c>
      <c r="M174" s="12"/>
      <c r="O174" s="3" t="s">
        <v>53</v>
      </c>
      <c r="P174" s="4">
        <v>962.92291299999999</v>
      </c>
      <c r="Q174" s="4">
        <v>944.18640100000005</v>
      </c>
      <c r="R174" s="4">
        <v>1126.709351</v>
      </c>
      <c r="U174" s="3" t="s">
        <v>53</v>
      </c>
      <c r="V174" s="4">
        <v>875.73187299999995</v>
      </c>
      <c r="W174" s="4">
        <v>941.080872</v>
      </c>
      <c r="X174" s="4">
        <v>1126.260254</v>
      </c>
    </row>
    <row r="175" spans="1:24" x14ac:dyDescent="0.3">
      <c r="A175" s="3" t="s">
        <v>55</v>
      </c>
      <c r="B175" s="4">
        <v>939.490906</v>
      </c>
      <c r="C175" s="4">
        <v>962.67724599999997</v>
      </c>
      <c r="D175" s="4">
        <v>1021.463928</v>
      </c>
      <c r="I175" s="3" t="s">
        <v>55</v>
      </c>
      <c r="J175" s="4">
        <v>913.51196300000004</v>
      </c>
      <c r="K175" s="4">
        <v>950.68029799999999</v>
      </c>
      <c r="L175" s="4">
        <v>843.37316899999996</v>
      </c>
      <c r="M175" s="12"/>
      <c r="O175" s="3" t="s">
        <v>55</v>
      </c>
      <c r="P175" s="4">
        <v>833.59167500000001</v>
      </c>
      <c r="Q175" s="4">
        <v>943.03558299999997</v>
      </c>
      <c r="R175" s="4">
        <v>1011.9535519999999</v>
      </c>
      <c r="U175" s="3" t="s">
        <v>55</v>
      </c>
      <c r="V175" s="4">
        <v>1061.907471</v>
      </c>
      <c r="W175" s="4">
        <v>942.12744099999998</v>
      </c>
      <c r="X175" s="4">
        <v>1091.1333010000001</v>
      </c>
    </row>
    <row r="176" spans="1:24" x14ac:dyDescent="0.3">
      <c r="A176" s="3" t="s">
        <v>57</v>
      </c>
      <c r="B176" s="4">
        <v>918.15527299999997</v>
      </c>
      <c r="C176" s="4">
        <v>941.57556199999999</v>
      </c>
      <c r="D176" s="4">
        <v>1111.0966800000001</v>
      </c>
      <c r="I176" s="3" t="s">
        <v>57</v>
      </c>
      <c r="J176" s="4">
        <v>895.49426300000005</v>
      </c>
      <c r="K176" s="4">
        <v>902.93060300000002</v>
      </c>
      <c r="L176" s="4">
        <v>1138.8374020000001</v>
      </c>
      <c r="M176" s="12"/>
      <c r="O176" s="3" t="s">
        <v>57</v>
      </c>
      <c r="P176" s="4">
        <v>1099.4327390000001</v>
      </c>
      <c r="Q176" s="4">
        <v>939.27447500000005</v>
      </c>
      <c r="R176" s="4">
        <v>935.107483</v>
      </c>
      <c r="U176" s="3" t="s">
        <v>57</v>
      </c>
      <c r="V176" s="4">
        <v>902.78308100000004</v>
      </c>
      <c r="W176" s="4">
        <v>924.48773200000005</v>
      </c>
      <c r="X176" s="4">
        <v>1123.3242190000001</v>
      </c>
    </row>
    <row r="177" spans="1:24" x14ac:dyDescent="0.3">
      <c r="A177" s="3" t="s">
        <v>59</v>
      </c>
      <c r="B177" s="4">
        <v>848.52801499999998</v>
      </c>
      <c r="C177" s="4">
        <v>871.91888400000005</v>
      </c>
      <c r="D177" s="4">
        <v>865.863831</v>
      </c>
      <c r="I177" s="3" t="s">
        <v>59</v>
      </c>
      <c r="J177" s="4">
        <v>830.67932099999996</v>
      </c>
      <c r="K177" s="4">
        <v>871.132385</v>
      </c>
      <c r="L177" s="4">
        <v>881.48053000000004</v>
      </c>
      <c r="M177" s="12"/>
      <c r="O177" s="3" t="s">
        <v>59</v>
      </c>
      <c r="P177" s="4">
        <v>914.52655000000004</v>
      </c>
      <c r="Q177" s="4">
        <v>873.66119400000002</v>
      </c>
      <c r="R177" s="4">
        <v>1040.4086910000001</v>
      </c>
      <c r="U177" s="3" t="s">
        <v>59</v>
      </c>
      <c r="V177" s="4">
        <v>938.926331</v>
      </c>
      <c r="W177" s="4">
        <v>863.37676999999996</v>
      </c>
      <c r="X177" s="4">
        <v>1048.7358400000001</v>
      </c>
    </row>
    <row r="178" spans="1:24" x14ac:dyDescent="0.3">
      <c r="A178" s="3" t="s">
        <v>61</v>
      </c>
      <c r="B178" s="4">
        <v>966.555969</v>
      </c>
      <c r="C178" s="4">
        <v>1013.297058</v>
      </c>
      <c r="D178" s="4">
        <v>1201.4674070000001</v>
      </c>
      <c r="I178" s="3" t="s">
        <v>61</v>
      </c>
      <c r="J178" s="4">
        <v>957.72546399999999</v>
      </c>
      <c r="K178" s="4">
        <v>990.26507600000002</v>
      </c>
      <c r="L178" s="4">
        <v>1103.3013920000001</v>
      </c>
      <c r="M178" s="12"/>
      <c r="O178" s="3" t="s">
        <v>61</v>
      </c>
      <c r="P178" s="4">
        <v>1024.102539</v>
      </c>
      <c r="Q178" s="4">
        <v>1000.467957</v>
      </c>
      <c r="R178" s="4">
        <v>882.15698199999997</v>
      </c>
      <c r="U178" s="3" t="s">
        <v>61</v>
      </c>
      <c r="V178" s="4">
        <v>1094.8867190000001</v>
      </c>
      <c r="W178" s="4">
        <v>962.04187000000002</v>
      </c>
      <c r="X178" s="4">
        <v>882.01178000000004</v>
      </c>
    </row>
    <row r="179" spans="1:24" x14ac:dyDescent="0.3">
      <c r="A179" s="3" t="s">
        <v>63</v>
      </c>
      <c r="B179" s="4">
        <v>931.76428199999998</v>
      </c>
      <c r="C179" s="4">
        <v>977.73584000000005</v>
      </c>
      <c r="D179" s="4">
        <v>1126.302856</v>
      </c>
      <c r="I179" s="3" t="s">
        <v>63</v>
      </c>
      <c r="J179" s="4">
        <v>920.10382100000004</v>
      </c>
      <c r="K179" s="4">
        <v>956.59252900000001</v>
      </c>
      <c r="L179" s="4">
        <v>815.48504600000001</v>
      </c>
      <c r="M179" s="12"/>
      <c r="O179" s="3" t="s">
        <v>63</v>
      </c>
      <c r="P179" s="4">
        <v>1117.4907229999999</v>
      </c>
      <c r="Q179" s="4">
        <v>988.803223</v>
      </c>
      <c r="R179" s="4">
        <v>1076.900513</v>
      </c>
      <c r="U179" s="3" t="s">
        <v>63</v>
      </c>
      <c r="V179" s="4">
        <v>1114.9628909999999</v>
      </c>
      <c r="W179" s="4">
        <v>955.92877199999998</v>
      </c>
      <c r="X179" s="4">
        <v>1131.2502440000001</v>
      </c>
    </row>
    <row r="180" spans="1:24" x14ac:dyDescent="0.3">
      <c r="A180" s="3" t="s">
        <v>65</v>
      </c>
      <c r="B180" s="4">
        <v>866.62243699999999</v>
      </c>
      <c r="C180" s="4">
        <v>922.66888400000005</v>
      </c>
      <c r="D180" s="4">
        <v>839.11273200000005</v>
      </c>
      <c r="I180" s="3" t="s">
        <v>65</v>
      </c>
      <c r="J180" s="4">
        <v>865.77734399999997</v>
      </c>
      <c r="K180" s="4">
        <v>923.75964399999998</v>
      </c>
      <c r="L180" s="4">
        <v>766.56213400000001</v>
      </c>
      <c r="M180" s="12"/>
      <c r="O180" s="3" t="s">
        <v>65</v>
      </c>
      <c r="P180" s="4">
        <v>793.63629200000003</v>
      </c>
      <c r="Q180" s="4">
        <v>935.53411900000003</v>
      </c>
      <c r="R180" s="4">
        <v>796.74609399999997</v>
      </c>
      <c r="U180" s="3" t="s">
        <v>65</v>
      </c>
      <c r="V180" s="4">
        <v>766.12933299999997</v>
      </c>
      <c r="W180" s="4">
        <v>920.180115</v>
      </c>
      <c r="X180" s="4">
        <v>949.56750499999998</v>
      </c>
    </row>
    <row r="181" spans="1:24" x14ac:dyDescent="0.3">
      <c r="A181" s="3" t="s">
        <v>67</v>
      </c>
      <c r="B181" s="4">
        <v>953.27716099999998</v>
      </c>
      <c r="C181" s="4">
        <v>978.05761700000005</v>
      </c>
      <c r="D181" s="4">
        <v>1099.721802</v>
      </c>
      <c r="I181" s="3" t="s">
        <v>67</v>
      </c>
      <c r="J181" s="4">
        <v>930.85375999999997</v>
      </c>
      <c r="K181" s="4">
        <v>970.29284700000005</v>
      </c>
      <c r="L181" s="4">
        <v>1197.5217290000001</v>
      </c>
      <c r="M181" s="12"/>
      <c r="O181" s="3" t="s">
        <v>67</v>
      </c>
      <c r="P181" s="4">
        <v>1037.439087</v>
      </c>
      <c r="Q181" s="4">
        <v>986.12213099999997</v>
      </c>
      <c r="R181" s="4">
        <v>1124.4644780000001</v>
      </c>
      <c r="U181" s="3" t="s">
        <v>67</v>
      </c>
      <c r="V181" s="4">
        <v>1182.7923579999999</v>
      </c>
      <c r="W181" s="4">
        <v>959.37451199999998</v>
      </c>
      <c r="X181" s="4">
        <v>933.64746100000002</v>
      </c>
    </row>
    <row r="182" spans="1:24" x14ac:dyDescent="0.3">
      <c r="A182" s="3" t="s">
        <v>69</v>
      </c>
      <c r="B182" s="4">
        <v>946.91510000000005</v>
      </c>
      <c r="C182" s="4">
        <v>984.48223900000005</v>
      </c>
      <c r="D182" s="4">
        <v>761.84149200000002</v>
      </c>
      <c r="I182" s="3" t="s">
        <v>69</v>
      </c>
      <c r="J182" s="4">
        <v>926.81298800000002</v>
      </c>
      <c r="K182" s="4">
        <v>954.09082000000001</v>
      </c>
      <c r="L182" s="4">
        <v>951.292236</v>
      </c>
      <c r="M182" s="12"/>
      <c r="O182" s="3" t="s">
        <v>69</v>
      </c>
      <c r="P182" s="4">
        <v>788.96508800000004</v>
      </c>
      <c r="Q182" s="4">
        <v>994.40124500000002</v>
      </c>
      <c r="R182" s="4">
        <v>994.03295900000001</v>
      </c>
      <c r="U182" s="3" t="s">
        <v>69</v>
      </c>
      <c r="V182" s="4">
        <v>755.90386999999998</v>
      </c>
      <c r="W182" s="4">
        <v>940.79888900000003</v>
      </c>
      <c r="X182" s="4">
        <v>1150.1953120000001</v>
      </c>
    </row>
    <row r="183" spans="1:24" x14ac:dyDescent="0.3">
      <c r="A183" s="3" t="s">
        <v>75</v>
      </c>
      <c r="B183" s="4">
        <v>728.09893799999998</v>
      </c>
      <c r="C183" s="4">
        <v>740.00640899999996</v>
      </c>
      <c r="D183" s="4">
        <v>685.51715100000001</v>
      </c>
      <c r="I183" s="3" t="s">
        <v>75</v>
      </c>
      <c r="J183" s="4">
        <v>689.98767099999998</v>
      </c>
      <c r="K183" s="4">
        <v>708.80426</v>
      </c>
      <c r="L183" s="4">
        <v>632.99401899999998</v>
      </c>
      <c r="M183" s="12"/>
      <c r="O183" s="3" t="s">
        <v>75</v>
      </c>
      <c r="P183" s="4">
        <v>685.51715100000001</v>
      </c>
      <c r="Q183" s="4">
        <v>730.41235400000005</v>
      </c>
      <c r="R183" s="4">
        <v>685.51715100000001</v>
      </c>
      <c r="U183" s="3" t="s">
        <v>75</v>
      </c>
      <c r="V183" s="4">
        <v>632.99401899999998</v>
      </c>
      <c r="W183" s="4">
        <v>698.61224400000003</v>
      </c>
      <c r="X183" s="4">
        <v>632.99401899999998</v>
      </c>
    </row>
    <row r="184" spans="1:24" x14ac:dyDescent="0.3">
      <c r="A184" s="3" t="s">
        <v>77</v>
      </c>
      <c r="B184" s="4">
        <v>793.56445299999996</v>
      </c>
      <c r="C184" s="4">
        <v>847.78204300000004</v>
      </c>
      <c r="D184" s="4">
        <v>976.96179199999995</v>
      </c>
      <c r="I184" s="3" t="s">
        <v>77</v>
      </c>
      <c r="J184" s="4">
        <v>748.72119099999998</v>
      </c>
      <c r="K184" s="4">
        <v>792.84680200000003</v>
      </c>
      <c r="L184" s="4">
        <v>653.99188200000003</v>
      </c>
      <c r="M184" s="12"/>
      <c r="O184" s="3" t="s">
        <v>77</v>
      </c>
      <c r="P184" s="4">
        <v>891.33123799999998</v>
      </c>
      <c r="Q184" s="4">
        <v>838.22418200000004</v>
      </c>
      <c r="R184" s="4">
        <v>717.91400099999998</v>
      </c>
      <c r="U184" s="3" t="s">
        <v>77</v>
      </c>
      <c r="V184" s="4">
        <v>762.05950900000005</v>
      </c>
      <c r="W184" s="4">
        <v>790.81555200000003</v>
      </c>
      <c r="X184" s="4">
        <v>864.53442399999994</v>
      </c>
    </row>
    <row r="185" spans="1:24" x14ac:dyDescent="0.3">
      <c r="A185" s="3" t="s">
        <v>79</v>
      </c>
      <c r="B185" s="4">
        <v>775.41589399999998</v>
      </c>
      <c r="C185" s="4">
        <v>797.51934800000004</v>
      </c>
      <c r="D185" s="4">
        <v>967.25854500000003</v>
      </c>
      <c r="I185" s="3" t="s">
        <v>79</v>
      </c>
      <c r="J185" s="4">
        <v>727.59167500000001</v>
      </c>
      <c r="K185" s="4">
        <v>734.31726100000003</v>
      </c>
      <c r="L185" s="4">
        <v>893.18048099999999</v>
      </c>
      <c r="M185" s="12"/>
      <c r="O185" s="3" t="s">
        <v>79</v>
      </c>
      <c r="P185" s="4">
        <v>748.22058100000004</v>
      </c>
      <c r="Q185" s="4">
        <v>811.83227499999998</v>
      </c>
      <c r="R185" s="4">
        <v>939.54339600000003</v>
      </c>
      <c r="U185" s="3" t="s">
        <v>79</v>
      </c>
      <c r="V185" s="4">
        <v>841.26977499999998</v>
      </c>
      <c r="W185" s="4">
        <v>754.65368699999999</v>
      </c>
      <c r="X185" s="4">
        <v>727.91815199999996</v>
      </c>
    </row>
    <row r="186" spans="1:24" x14ac:dyDescent="0.3">
      <c r="A186" s="3" t="s">
        <v>81</v>
      </c>
      <c r="B186" s="4">
        <v>737.57080099999996</v>
      </c>
      <c r="C186" s="4">
        <v>750.23406999999997</v>
      </c>
      <c r="D186" s="4">
        <v>670.56359899999995</v>
      </c>
      <c r="I186" s="3" t="s">
        <v>81</v>
      </c>
      <c r="J186" s="4">
        <v>696.82580600000006</v>
      </c>
      <c r="K186" s="4">
        <v>712.08752400000003</v>
      </c>
      <c r="L186" s="4">
        <v>823.97051999999996</v>
      </c>
      <c r="M186" s="12"/>
      <c r="O186" s="3" t="s">
        <v>81</v>
      </c>
      <c r="P186" s="4">
        <v>848.39788799999997</v>
      </c>
      <c r="Q186" s="4">
        <v>754.22869900000001</v>
      </c>
      <c r="R186" s="4">
        <v>713.71020499999997</v>
      </c>
      <c r="U186" s="3" t="s">
        <v>81</v>
      </c>
      <c r="V186" s="4">
        <v>776.48553500000003</v>
      </c>
      <c r="W186" s="4">
        <v>703.23175000000003</v>
      </c>
      <c r="X186" s="4">
        <v>809.82659899999999</v>
      </c>
    </row>
    <row r="187" spans="1:24" x14ac:dyDescent="0.3">
      <c r="A187" s="3" t="s">
        <v>83</v>
      </c>
      <c r="B187" s="4">
        <v>756.04290800000001</v>
      </c>
      <c r="C187" s="4">
        <v>764.42687999999998</v>
      </c>
      <c r="D187" s="4">
        <v>895.96081500000003</v>
      </c>
      <c r="I187" s="3" t="s">
        <v>83</v>
      </c>
      <c r="J187" s="4">
        <v>705.35290499999996</v>
      </c>
      <c r="K187" s="4">
        <v>726.19879200000003</v>
      </c>
      <c r="L187" s="4">
        <v>829.44146699999999</v>
      </c>
      <c r="M187" s="12"/>
      <c r="O187" s="3" t="s">
        <v>83</v>
      </c>
      <c r="P187" s="4">
        <v>919.74139400000001</v>
      </c>
      <c r="Q187" s="4">
        <v>777.48992899999996</v>
      </c>
      <c r="R187" s="4">
        <v>902.17553699999996</v>
      </c>
      <c r="U187" s="3" t="s">
        <v>83</v>
      </c>
      <c r="V187" s="4">
        <v>720.54388400000005</v>
      </c>
      <c r="W187" s="4">
        <v>722.96075399999995</v>
      </c>
      <c r="X187" s="4">
        <v>740.11773700000003</v>
      </c>
    </row>
    <row r="188" spans="1:24" x14ac:dyDescent="0.3">
      <c r="A188" s="3" t="s">
        <v>85</v>
      </c>
      <c r="B188" s="4">
        <v>859.24054000000001</v>
      </c>
      <c r="C188" s="4">
        <v>896.339294</v>
      </c>
      <c r="D188" s="4">
        <v>992.01812700000005</v>
      </c>
      <c r="I188" s="3" t="s">
        <v>85</v>
      </c>
      <c r="J188" s="4">
        <v>833.49041699999998</v>
      </c>
      <c r="K188" s="4">
        <v>859.64386000000002</v>
      </c>
      <c r="L188" s="4">
        <v>871.980774</v>
      </c>
      <c r="M188" s="12"/>
      <c r="O188" s="3" t="s">
        <v>85</v>
      </c>
      <c r="P188" s="4">
        <v>957.71063200000003</v>
      </c>
      <c r="Q188" s="4">
        <v>891.603027</v>
      </c>
      <c r="R188" s="4">
        <v>788.12561000000005</v>
      </c>
      <c r="U188" s="3" t="s">
        <v>85</v>
      </c>
      <c r="V188" s="4">
        <v>937.80419900000004</v>
      </c>
      <c r="W188" s="4">
        <v>838.713257</v>
      </c>
      <c r="X188" s="4">
        <v>950.17620799999997</v>
      </c>
    </row>
    <row r="189" spans="1:24" x14ac:dyDescent="0.3">
      <c r="A189" s="3" t="s">
        <v>87</v>
      </c>
      <c r="B189" s="4">
        <v>801.49798599999997</v>
      </c>
      <c r="C189" s="4">
        <v>827.04736300000002</v>
      </c>
      <c r="D189" s="4">
        <v>935.512024</v>
      </c>
      <c r="I189" s="3" t="s">
        <v>87</v>
      </c>
      <c r="J189" s="4">
        <v>745.94787599999995</v>
      </c>
      <c r="K189" s="4">
        <v>755.50299099999995</v>
      </c>
      <c r="L189" s="4">
        <v>925.17437700000005</v>
      </c>
      <c r="M189" s="12"/>
      <c r="O189" s="3" t="s">
        <v>87</v>
      </c>
      <c r="P189" s="4">
        <v>780.24548300000004</v>
      </c>
      <c r="Q189" s="4">
        <v>775.98767099999998</v>
      </c>
      <c r="R189" s="4">
        <v>754.86456299999998</v>
      </c>
      <c r="U189" s="3" t="s">
        <v>87</v>
      </c>
      <c r="V189" s="4">
        <v>653.02337599999998</v>
      </c>
      <c r="W189" s="4">
        <v>763.10504200000003</v>
      </c>
      <c r="X189" s="4">
        <v>776.97662400000002</v>
      </c>
    </row>
    <row r="190" spans="1:24" x14ac:dyDescent="0.3">
      <c r="A190" s="3" t="s">
        <v>89</v>
      </c>
      <c r="B190" s="4">
        <v>776.49542199999996</v>
      </c>
      <c r="C190" s="4">
        <v>818.80304000000001</v>
      </c>
      <c r="D190" s="4">
        <v>877.334473</v>
      </c>
      <c r="I190" s="3" t="s">
        <v>89</v>
      </c>
      <c r="J190" s="4">
        <v>742.25097700000003</v>
      </c>
      <c r="K190" s="4">
        <v>784.81518600000004</v>
      </c>
      <c r="L190" s="4">
        <v>806.49664299999995</v>
      </c>
      <c r="M190" s="12"/>
      <c r="O190" s="3" t="s">
        <v>89</v>
      </c>
      <c r="P190" s="4">
        <v>923.57312000000002</v>
      </c>
      <c r="Q190" s="4">
        <v>814.73480199999995</v>
      </c>
      <c r="R190" s="4">
        <v>979.59899900000005</v>
      </c>
      <c r="U190" s="3" t="s">
        <v>89</v>
      </c>
      <c r="V190" s="4">
        <v>959.58081100000004</v>
      </c>
      <c r="W190" s="4">
        <v>772.03015100000005</v>
      </c>
      <c r="X190" s="4">
        <v>941.36468500000001</v>
      </c>
    </row>
    <row r="191" spans="1:24" x14ac:dyDescent="0.3">
      <c r="A191" s="3" t="s">
        <v>91</v>
      </c>
      <c r="B191" s="4">
        <v>785.48406999999997</v>
      </c>
      <c r="C191" s="4">
        <v>827.49511700000005</v>
      </c>
      <c r="D191" s="4">
        <v>927.08355700000004</v>
      </c>
      <c r="I191" s="3" t="s">
        <v>91</v>
      </c>
      <c r="J191" s="4">
        <v>746.04382299999997</v>
      </c>
      <c r="K191" s="4">
        <v>762.36230499999999</v>
      </c>
      <c r="L191" s="4">
        <v>863.13708499999996</v>
      </c>
      <c r="M191" s="12"/>
      <c r="O191" s="3" t="s">
        <v>91</v>
      </c>
      <c r="P191" s="4">
        <v>879.198486</v>
      </c>
      <c r="Q191" s="4">
        <v>791.32141100000001</v>
      </c>
      <c r="R191" s="4">
        <v>899.30358899999999</v>
      </c>
      <c r="U191" s="3" t="s">
        <v>91</v>
      </c>
      <c r="V191" s="4">
        <v>822.56426999999996</v>
      </c>
      <c r="W191" s="4">
        <v>743.22540300000003</v>
      </c>
      <c r="X191" s="4">
        <v>800.56982400000004</v>
      </c>
    </row>
    <row r="192" spans="1:24" x14ac:dyDescent="0.3">
      <c r="A192" s="3" t="s">
        <v>93</v>
      </c>
      <c r="B192" s="4">
        <v>741.36206100000004</v>
      </c>
      <c r="C192" s="4">
        <v>758.79504399999996</v>
      </c>
      <c r="D192" s="4">
        <v>845.10455300000001</v>
      </c>
      <c r="I192" s="3" t="s">
        <v>93</v>
      </c>
      <c r="J192" s="4">
        <v>706.64318800000001</v>
      </c>
      <c r="K192" s="4">
        <v>719.65856900000006</v>
      </c>
      <c r="L192" s="4">
        <v>678.06921399999999</v>
      </c>
      <c r="M192" s="12"/>
      <c r="O192" s="3" t="s">
        <v>93</v>
      </c>
      <c r="P192" s="4">
        <v>792.02551300000005</v>
      </c>
      <c r="Q192" s="4">
        <v>769.94671600000004</v>
      </c>
      <c r="R192" s="4">
        <v>678.11614999999995</v>
      </c>
      <c r="U192" s="3" t="s">
        <v>93</v>
      </c>
      <c r="V192" s="4">
        <v>801.66687000000002</v>
      </c>
      <c r="W192" s="4">
        <v>715.186646</v>
      </c>
      <c r="X192" s="4">
        <v>620.76806599999998</v>
      </c>
    </row>
    <row r="193" spans="1:24" x14ac:dyDescent="0.3">
      <c r="A193" s="3" t="s">
        <v>95</v>
      </c>
      <c r="B193" s="4">
        <v>814.53161599999999</v>
      </c>
      <c r="C193" s="4">
        <v>846.48864700000001</v>
      </c>
      <c r="D193" s="4">
        <v>998.17034899999999</v>
      </c>
      <c r="I193" s="3" t="s">
        <v>95</v>
      </c>
      <c r="J193" s="4">
        <v>771.59594700000002</v>
      </c>
      <c r="K193" s="4">
        <v>820.42718500000001</v>
      </c>
      <c r="L193" s="4">
        <v>978.29187000000002</v>
      </c>
      <c r="M193" s="12"/>
      <c r="O193" s="3" t="s">
        <v>95</v>
      </c>
      <c r="P193" s="4">
        <v>712.64410399999997</v>
      </c>
      <c r="Q193" s="4">
        <v>852.06689500000005</v>
      </c>
      <c r="R193" s="4">
        <v>747.85711700000002</v>
      </c>
      <c r="U193" s="3" t="s">
        <v>95</v>
      </c>
      <c r="V193" s="4">
        <v>779.61926300000005</v>
      </c>
      <c r="W193" s="4">
        <v>802.06494099999998</v>
      </c>
      <c r="X193" s="4">
        <v>659.17681900000002</v>
      </c>
    </row>
    <row r="194" spans="1:24" x14ac:dyDescent="0.3">
      <c r="A194" s="3" t="s">
        <v>97</v>
      </c>
      <c r="B194" s="4">
        <v>955.05542000000003</v>
      </c>
      <c r="C194" s="4">
        <v>966.325378</v>
      </c>
      <c r="D194" s="4">
        <v>1081.380371</v>
      </c>
      <c r="I194" s="3" t="s">
        <v>97</v>
      </c>
      <c r="J194" s="4">
        <v>907.13232400000004</v>
      </c>
      <c r="K194" s="4">
        <v>946.75286900000003</v>
      </c>
      <c r="L194" s="4">
        <v>1090.6735839999999</v>
      </c>
      <c r="M194" s="12"/>
      <c r="O194" s="3" t="s">
        <v>97</v>
      </c>
      <c r="P194" s="4">
        <v>806.67169200000001</v>
      </c>
      <c r="Q194" s="4">
        <v>980.97155799999996</v>
      </c>
      <c r="R194" s="4">
        <v>1069.2039789999999</v>
      </c>
      <c r="U194" s="3" t="s">
        <v>97</v>
      </c>
      <c r="V194" s="4">
        <v>939.96667500000001</v>
      </c>
      <c r="W194" s="4">
        <v>927.07025099999998</v>
      </c>
      <c r="X194" s="4">
        <v>1018.142212</v>
      </c>
    </row>
    <row r="195" spans="1:24" x14ac:dyDescent="0.3">
      <c r="A195" s="3" t="s">
        <v>99</v>
      </c>
      <c r="B195" s="4">
        <v>889.88458300000002</v>
      </c>
      <c r="C195" s="4">
        <v>951.66296399999999</v>
      </c>
      <c r="D195" s="4">
        <v>882.39019800000005</v>
      </c>
      <c r="I195" s="3" t="s">
        <v>99</v>
      </c>
      <c r="J195" s="4">
        <v>866.41607699999997</v>
      </c>
      <c r="K195" s="4">
        <v>884.21148700000003</v>
      </c>
      <c r="L195" s="4">
        <v>756.57391399999995</v>
      </c>
      <c r="M195" s="12"/>
      <c r="O195" s="3" t="s">
        <v>99</v>
      </c>
      <c r="P195" s="4">
        <v>987.73577899999998</v>
      </c>
      <c r="Q195" s="4">
        <v>941.96966599999996</v>
      </c>
      <c r="R195" s="4">
        <v>1015.932922</v>
      </c>
      <c r="U195" s="3" t="s">
        <v>99</v>
      </c>
      <c r="V195" s="4">
        <v>910.96618699999999</v>
      </c>
      <c r="W195" s="4">
        <v>897.30602999999996</v>
      </c>
      <c r="X195" s="4">
        <v>1089.2585449999999</v>
      </c>
    </row>
    <row r="196" spans="1:24" x14ac:dyDescent="0.3">
      <c r="A196" s="3" t="s">
        <v>101</v>
      </c>
      <c r="B196" s="4">
        <v>787.32458499999996</v>
      </c>
      <c r="C196" s="4">
        <v>847.98498500000005</v>
      </c>
      <c r="D196" s="4">
        <v>970.76611300000002</v>
      </c>
      <c r="I196" s="3" t="s">
        <v>101</v>
      </c>
      <c r="J196" s="4">
        <v>788.72729500000003</v>
      </c>
      <c r="K196" s="4">
        <v>798.69805899999994</v>
      </c>
      <c r="L196" s="4">
        <v>980.95135500000004</v>
      </c>
      <c r="M196" s="12"/>
      <c r="O196" s="3" t="s">
        <v>101</v>
      </c>
      <c r="P196" s="4">
        <v>980.14538600000003</v>
      </c>
      <c r="Q196" s="4">
        <v>862.70709199999999</v>
      </c>
      <c r="R196" s="4">
        <v>830.85272199999997</v>
      </c>
      <c r="U196" s="3" t="s">
        <v>101</v>
      </c>
      <c r="V196" s="4">
        <v>702.42834500000004</v>
      </c>
      <c r="W196" s="4">
        <v>798.274719</v>
      </c>
      <c r="X196" s="4">
        <v>952.83026099999995</v>
      </c>
    </row>
    <row r="197" spans="1:24" x14ac:dyDescent="0.3">
      <c r="A197" s="3" t="s">
        <v>103</v>
      </c>
      <c r="B197" s="4">
        <v>859.97186299999998</v>
      </c>
      <c r="C197" s="4">
        <v>883.11364700000001</v>
      </c>
      <c r="D197" s="4">
        <v>1016.879944</v>
      </c>
      <c r="I197" s="3" t="s">
        <v>103</v>
      </c>
      <c r="J197" s="4">
        <v>808.46502699999996</v>
      </c>
      <c r="K197" s="4">
        <v>830.97644000000003</v>
      </c>
      <c r="L197" s="4">
        <v>897.47271699999999</v>
      </c>
      <c r="M197" s="12"/>
      <c r="O197" s="3" t="s">
        <v>103</v>
      </c>
      <c r="P197" s="4">
        <v>861.40600600000005</v>
      </c>
      <c r="Q197" s="4">
        <v>904.48620600000004</v>
      </c>
      <c r="R197" s="4">
        <v>906.92010500000004</v>
      </c>
      <c r="U197" s="3" t="s">
        <v>103</v>
      </c>
      <c r="V197" s="4">
        <v>972.87493900000004</v>
      </c>
      <c r="W197" s="4">
        <v>850.80108600000005</v>
      </c>
      <c r="X197" s="4">
        <v>986.165344</v>
      </c>
    </row>
    <row r="198" spans="1:24" x14ac:dyDescent="0.3">
      <c r="A198" s="3" t="s">
        <v>105</v>
      </c>
      <c r="B198" s="4">
        <v>984.21691899999996</v>
      </c>
      <c r="C198" s="4">
        <v>995.50012200000003</v>
      </c>
      <c r="D198" s="4">
        <v>1012.917419</v>
      </c>
      <c r="I198" s="3" t="s">
        <v>105</v>
      </c>
      <c r="J198" s="4">
        <v>941.87219200000004</v>
      </c>
      <c r="K198" s="4">
        <v>951.48577899999998</v>
      </c>
      <c r="L198" s="4">
        <v>771.94293200000004</v>
      </c>
      <c r="M198" s="12"/>
      <c r="O198" s="3" t="s">
        <v>105</v>
      </c>
      <c r="P198" s="4">
        <v>960.92828399999996</v>
      </c>
      <c r="Q198" s="4">
        <v>972.25</v>
      </c>
      <c r="R198" s="4">
        <v>807.66253700000004</v>
      </c>
      <c r="U198" s="3" t="s">
        <v>105</v>
      </c>
      <c r="V198" s="4">
        <v>1030.8599850000001</v>
      </c>
      <c r="W198" s="4">
        <v>941.02612299999998</v>
      </c>
      <c r="X198" s="4">
        <v>748.53332499999999</v>
      </c>
    </row>
    <row r="199" spans="1:24" x14ac:dyDescent="0.3">
      <c r="A199" s="3" t="s">
        <v>107</v>
      </c>
      <c r="B199" s="4">
        <v>1047.9748540000001</v>
      </c>
      <c r="C199" s="4">
        <v>1071.7769780000001</v>
      </c>
      <c r="D199" s="4">
        <v>1132.849365</v>
      </c>
      <c r="I199" s="3" t="s">
        <v>107</v>
      </c>
      <c r="J199" s="4">
        <v>1023.3912350000001</v>
      </c>
      <c r="K199" s="4">
        <v>1035.7303469999999</v>
      </c>
      <c r="L199" s="4">
        <v>847.97863800000005</v>
      </c>
      <c r="M199" s="12"/>
      <c r="O199" s="3" t="s">
        <v>107</v>
      </c>
      <c r="P199" s="4">
        <v>1012.593384</v>
      </c>
      <c r="Q199" s="4">
        <v>1064.0493160000001</v>
      </c>
      <c r="R199" s="4">
        <v>1033.672607</v>
      </c>
      <c r="U199" s="3" t="s">
        <v>107</v>
      </c>
      <c r="V199" s="4">
        <v>1145.9945070000001</v>
      </c>
      <c r="W199" s="4">
        <v>1040.7739260000001</v>
      </c>
      <c r="X199" s="4">
        <v>1013.996704</v>
      </c>
    </row>
    <row r="200" spans="1:24" x14ac:dyDescent="0.3">
      <c r="A200" s="3" t="s">
        <v>109</v>
      </c>
      <c r="B200" s="4">
        <v>889.67242399999998</v>
      </c>
      <c r="C200" s="4">
        <v>914.65228300000001</v>
      </c>
      <c r="D200" s="4">
        <v>1082.5980219999999</v>
      </c>
      <c r="I200" s="3" t="s">
        <v>109</v>
      </c>
      <c r="J200" s="4">
        <v>864.14624000000003</v>
      </c>
      <c r="K200" s="4">
        <v>909.95892300000003</v>
      </c>
      <c r="L200" s="4">
        <v>1060.3695070000001</v>
      </c>
      <c r="M200" s="12"/>
      <c r="O200" s="3" t="s">
        <v>109</v>
      </c>
      <c r="P200" s="4">
        <v>988.41131600000006</v>
      </c>
      <c r="Q200" s="4">
        <v>922.325378</v>
      </c>
      <c r="R200" s="4">
        <v>769.90795900000001</v>
      </c>
      <c r="U200" s="3" t="s">
        <v>109</v>
      </c>
      <c r="V200" s="4">
        <v>1080.512207</v>
      </c>
      <c r="W200" s="4">
        <v>869.75061000000005</v>
      </c>
      <c r="X200" s="4">
        <v>895.96636999999998</v>
      </c>
    </row>
    <row r="201" spans="1:24" x14ac:dyDescent="0.3">
      <c r="A201" s="3" t="s">
        <v>111</v>
      </c>
      <c r="B201" s="4">
        <v>1003.557068</v>
      </c>
      <c r="C201" s="4">
        <v>1024.6417240000001</v>
      </c>
      <c r="D201" s="4">
        <v>1059.6791989999999</v>
      </c>
      <c r="I201" s="3" t="s">
        <v>111</v>
      </c>
      <c r="J201" s="4">
        <v>961.74133300000005</v>
      </c>
      <c r="K201" s="4">
        <v>992.40087900000003</v>
      </c>
      <c r="L201" s="4">
        <v>1087.7322999999999</v>
      </c>
      <c r="M201" s="12"/>
      <c r="O201" s="3" t="s">
        <v>111</v>
      </c>
      <c r="P201" s="4">
        <v>1015.4592290000001</v>
      </c>
      <c r="Q201" s="4">
        <v>1025.2639160000001</v>
      </c>
      <c r="R201" s="4">
        <v>1169.4990230000001</v>
      </c>
      <c r="U201" s="3" t="s">
        <v>111</v>
      </c>
      <c r="V201" s="4">
        <v>828.88464399999998</v>
      </c>
      <c r="W201" s="4">
        <v>1000.943237</v>
      </c>
      <c r="X201" s="4">
        <v>814.37792999999999</v>
      </c>
    </row>
    <row r="202" spans="1:24" x14ac:dyDescent="0.3">
      <c r="A202" s="3" t="s">
        <v>113</v>
      </c>
      <c r="B202" s="4">
        <v>925.93548599999997</v>
      </c>
      <c r="C202" s="4">
        <v>934.56555200000003</v>
      </c>
      <c r="D202" s="4">
        <v>848.05676300000005</v>
      </c>
      <c r="I202" s="3" t="s">
        <v>113</v>
      </c>
      <c r="J202" s="4">
        <v>876.55194100000006</v>
      </c>
      <c r="K202" s="4">
        <v>883.25469999999996</v>
      </c>
      <c r="L202" s="4">
        <v>777.264771</v>
      </c>
      <c r="M202" s="12"/>
      <c r="O202" s="3" t="s">
        <v>113</v>
      </c>
      <c r="P202" s="4">
        <v>972.38781700000004</v>
      </c>
      <c r="Q202" s="4">
        <v>921.89703399999996</v>
      </c>
      <c r="R202" s="4">
        <v>794.62591599999996</v>
      </c>
      <c r="U202" s="3" t="s">
        <v>113</v>
      </c>
      <c r="V202" s="4">
        <v>941.89166299999999</v>
      </c>
      <c r="W202" s="4">
        <v>890.75164800000005</v>
      </c>
      <c r="X202" s="4">
        <v>775.525757</v>
      </c>
    </row>
    <row r="203" spans="1:24" x14ac:dyDescent="0.3">
      <c r="A203" s="3" t="s">
        <v>115</v>
      </c>
      <c r="B203" s="4">
        <v>1019.836914</v>
      </c>
      <c r="C203" s="4">
        <v>1033.6420900000001</v>
      </c>
      <c r="D203" s="4">
        <v>1329.1936040000001</v>
      </c>
      <c r="I203" s="3" t="s">
        <v>115</v>
      </c>
      <c r="J203" s="4">
        <v>1011.037598</v>
      </c>
      <c r="K203" s="4">
        <v>1021.9140619999999</v>
      </c>
      <c r="L203" s="4">
        <v>1185.1110839999999</v>
      </c>
      <c r="M203" s="12"/>
      <c r="O203" s="3" t="s">
        <v>115</v>
      </c>
      <c r="P203" s="4">
        <v>1242.3874510000001</v>
      </c>
      <c r="Q203" s="4">
        <v>1054.3657229999999</v>
      </c>
      <c r="R203" s="4">
        <v>965.44226100000003</v>
      </c>
      <c r="U203" s="3" t="s">
        <v>115</v>
      </c>
      <c r="V203" s="4">
        <v>1089.1735839999999</v>
      </c>
      <c r="W203" s="4">
        <v>1019.627258</v>
      </c>
      <c r="X203" s="4">
        <v>1321.114746</v>
      </c>
    </row>
    <row r="204" spans="1:24" x14ac:dyDescent="0.3">
      <c r="A204" s="3" t="s">
        <v>117</v>
      </c>
      <c r="B204" s="4">
        <v>943.66583300000002</v>
      </c>
      <c r="C204" s="4">
        <v>991.94964600000003</v>
      </c>
      <c r="D204" s="4">
        <v>1165.3479</v>
      </c>
      <c r="I204" s="3" t="s">
        <v>117</v>
      </c>
      <c r="J204" s="4">
        <v>897.83862299999998</v>
      </c>
      <c r="K204" s="4">
        <v>951.56506300000001</v>
      </c>
      <c r="L204" s="4">
        <v>1029.7346190000001</v>
      </c>
      <c r="M204" s="12"/>
      <c r="O204" s="3" t="s">
        <v>117</v>
      </c>
      <c r="P204" s="4">
        <v>1146.2332759999999</v>
      </c>
      <c r="Q204" s="4">
        <v>1008.623108</v>
      </c>
      <c r="R204" s="4">
        <v>1059.7463379999999</v>
      </c>
      <c r="U204" s="3" t="s">
        <v>117</v>
      </c>
      <c r="V204" s="4">
        <v>747.81237799999997</v>
      </c>
      <c r="W204" s="4">
        <v>969.15448000000004</v>
      </c>
      <c r="X204" s="4">
        <v>1102.0173339999999</v>
      </c>
    </row>
    <row r="205" spans="1:24" x14ac:dyDescent="0.3">
      <c r="A205" s="3" t="s">
        <v>119</v>
      </c>
      <c r="B205" s="4">
        <v>977.73541299999999</v>
      </c>
      <c r="C205" s="4">
        <v>1013.20752</v>
      </c>
      <c r="D205" s="4">
        <v>1066.661255</v>
      </c>
      <c r="I205" s="3" t="s">
        <v>119</v>
      </c>
      <c r="J205" s="4">
        <v>982.831726</v>
      </c>
      <c r="K205" s="4">
        <v>991.27618399999994</v>
      </c>
      <c r="L205" s="4">
        <v>884.73541299999999</v>
      </c>
      <c r="M205" s="12"/>
      <c r="O205" s="3" t="s">
        <v>119</v>
      </c>
      <c r="P205" s="4">
        <v>1265.6170649999999</v>
      </c>
      <c r="Q205" s="4">
        <v>993.69689900000003</v>
      </c>
      <c r="R205" s="4">
        <v>811.43408199999999</v>
      </c>
      <c r="U205" s="3" t="s">
        <v>119</v>
      </c>
      <c r="V205" s="4">
        <v>976.02319299999999</v>
      </c>
      <c r="W205" s="4">
        <v>1032.4289550000001</v>
      </c>
      <c r="X205" s="4">
        <v>1227.3203120000001</v>
      </c>
    </row>
    <row r="206" spans="1:24" x14ac:dyDescent="0.3">
      <c r="A206" s="3" t="s">
        <v>121</v>
      </c>
      <c r="B206" s="4">
        <v>1022.211426</v>
      </c>
      <c r="C206" s="4">
        <v>1058.6573490000001</v>
      </c>
      <c r="D206" s="4">
        <v>1213.7977289999999</v>
      </c>
      <c r="I206" s="3" t="s">
        <v>121</v>
      </c>
      <c r="J206" s="4">
        <v>1014.615051</v>
      </c>
      <c r="K206" s="4">
        <v>1028.45874</v>
      </c>
      <c r="L206" s="4">
        <v>1170.6964109999999</v>
      </c>
      <c r="M206" s="12"/>
      <c r="O206" s="3" t="s">
        <v>121</v>
      </c>
      <c r="P206" s="4">
        <v>1233.1948239999999</v>
      </c>
      <c r="Q206" s="4">
        <v>1059.328857</v>
      </c>
      <c r="R206" s="4">
        <v>919.97344999999996</v>
      </c>
      <c r="U206" s="3" t="s">
        <v>121</v>
      </c>
      <c r="V206" s="4">
        <v>779.04815699999995</v>
      </c>
      <c r="W206" s="4">
        <v>1044.422241</v>
      </c>
      <c r="X206" s="4">
        <v>1123.2863769999999</v>
      </c>
    </row>
    <row r="207" spans="1:24" x14ac:dyDescent="0.3">
      <c r="A207" s="3" t="s">
        <v>123</v>
      </c>
      <c r="B207" s="4">
        <v>984.41790800000001</v>
      </c>
      <c r="C207" s="4">
        <v>1003.645386</v>
      </c>
      <c r="D207" s="4">
        <v>1186.54126</v>
      </c>
      <c r="I207" s="3" t="s">
        <v>123</v>
      </c>
      <c r="J207" s="4">
        <v>973.338257</v>
      </c>
      <c r="K207" s="4">
        <v>996.879639</v>
      </c>
      <c r="L207" s="4">
        <v>1087.1441649999999</v>
      </c>
      <c r="M207" s="12"/>
      <c r="O207" s="3" t="s">
        <v>123</v>
      </c>
      <c r="P207" s="4">
        <v>1093.3479</v>
      </c>
      <c r="Q207" s="4">
        <v>993.98669400000006</v>
      </c>
      <c r="R207" s="4">
        <v>844.92382799999996</v>
      </c>
      <c r="U207" s="3" t="s">
        <v>123</v>
      </c>
      <c r="V207" s="4">
        <v>1195.6951899999999</v>
      </c>
      <c r="W207" s="4">
        <v>1012.6243899999999</v>
      </c>
      <c r="X207" s="4">
        <v>1156.8160399999999</v>
      </c>
    </row>
    <row r="208" spans="1:24" x14ac:dyDescent="0.3">
      <c r="A208" s="3" t="s">
        <v>125</v>
      </c>
      <c r="B208" s="4">
        <v>1036.1103519999999</v>
      </c>
      <c r="C208" s="4">
        <v>1057.5261230000001</v>
      </c>
      <c r="D208" s="4">
        <v>1083.5902100000001</v>
      </c>
      <c r="I208" s="3" t="s">
        <v>125</v>
      </c>
      <c r="J208" s="4">
        <v>1027.3551030000001</v>
      </c>
      <c r="K208" s="4">
        <v>1042.001953</v>
      </c>
      <c r="L208" s="4">
        <v>1258.778442</v>
      </c>
      <c r="M208" s="12"/>
      <c r="O208" s="3" t="s">
        <v>125</v>
      </c>
      <c r="P208" s="4">
        <v>1191.794189</v>
      </c>
      <c r="Q208" s="4">
        <v>1071.554443</v>
      </c>
      <c r="R208" s="4">
        <v>1235.5960689999999</v>
      </c>
      <c r="U208" s="3" t="s">
        <v>125</v>
      </c>
      <c r="V208" s="4">
        <v>1027.4664310000001</v>
      </c>
      <c r="W208" s="4">
        <v>1047.503784</v>
      </c>
      <c r="X208" s="4">
        <v>921.36779799999999</v>
      </c>
    </row>
    <row r="209" spans="1:24" x14ac:dyDescent="0.3">
      <c r="A209" s="3" t="s">
        <v>127</v>
      </c>
      <c r="B209" s="4">
        <v>1047.8081050000001</v>
      </c>
      <c r="C209" s="4">
        <v>1062.272217</v>
      </c>
      <c r="D209" s="4">
        <v>952.20819100000006</v>
      </c>
      <c r="I209" s="3" t="s">
        <v>127</v>
      </c>
      <c r="J209" s="4">
        <v>1018.929321</v>
      </c>
      <c r="K209" s="4">
        <v>1045.3675539999999</v>
      </c>
      <c r="L209" s="4">
        <v>1235.036865</v>
      </c>
      <c r="M209" s="12"/>
      <c r="O209" s="3" t="s">
        <v>127</v>
      </c>
      <c r="P209" s="4">
        <v>949.99420199999997</v>
      </c>
      <c r="Q209" s="4">
        <v>1066.747803</v>
      </c>
      <c r="R209" s="4">
        <v>1271.596802</v>
      </c>
      <c r="U209" s="3" t="s">
        <v>127</v>
      </c>
      <c r="V209" s="4">
        <v>1298.434448</v>
      </c>
      <c r="W209" s="4">
        <v>1049.986206</v>
      </c>
      <c r="X209" s="4">
        <v>1149.9360349999999</v>
      </c>
    </row>
    <row r="210" spans="1:24" x14ac:dyDescent="0.3">
      <c r="A210" s="3" t="s">
        <v>129</v>
      </c>
      <c r="B210" s="4">
        <v>997.13855000000001</v>
      </c>
      <c r="C210" s="4">
        <v>1025.6298830000001</v>
      </c>
      <c r="D210" s="4">
        <v>998.56829800000003</v>
      </c>
      <c r="I210" s="3" t="s">
        <v>129</v>
      </c>
      <c r="J210" s="4">
        <v>983.57135000000005</v>
      </c>
      <c r="K210" s="4">
        <v>1021.59906</v>
      </c>
      <c r="L210" s="4">
        <v>1103.4788820000001</v>
      </c>
      <c r="M210" s="12"/>
      <c r="O210" s="3" t="s">
        <v>129</v>
      </c>
      <c r="P210" s="4">
        <v>1194.939697</v>
      </c>
      <c r="Q210" s="4">
        <v>1025.641846</v>
      </c>
      <c r="R210" s="4">
        <v>1184.7288820000001</v>
      </c>
      <c r="U210" s="3" t="s">
        <v>129</v>
      </c>
      <c r="V210" s="4">
        <v>1107.486206</v>
      </c>
      <c r="W210" s="4">
        <v>1020.187988</v>
      </c>
      <c r="X210" s="4">
        <v>1153.7661129999999</v>
      </c>
    </row>
    <row r="211" spans="1:24" x14ac:dyDescent="0.3">
      <c r="A211" s="3" t="s">
        <v>131</v>
      </c>
      <c r="B211" s="4">
        <v>1016.065308</v>
      </c>
      <c r="C211" s="4">
        <v>1029.2089840000001</v>
      </c>
      <c r="D211" s="4">
        <v>827.73364300000003</v>
      </c>
      <c r="I211" s="3" t="s">
        <v>131</v>
      </c>
      <c r="J211" s="4">
        <v>1003.791565</v>
      </c>
      <c r="K211" s="4">
        <v>1045.5421140000001</v>
      </c>
      <c r="L211" s="4">
        <v>1056.5792240000001</v>
      </c>
      <c r="M211" s="12"/>
      <c r="O211" s="3" t="s">
        <v>131</v>
      </c>
      <c r="P211" s="4">
        <v>1287.0195309999999</v>
      </c>
      <c r="Q211" s="4">
        <v>1044.8642580000001</v>
      </c>
      <c r="R211" s="4">
        <v>1227.9140620000001</v>
      </c>
      <c r="U211" s="3" t="s">
        <v>131</v>
      </c>
      <c r="V211" s="4">
        <v>1134.441284</v>
      </c>
      <c r="W211" s="4">
        <v>1070.5611570000001</v>
      </c>
      <c r="X211" s="4">
        <v>1224.443115</v>
      </c>
    </row>
    <row r="212" spans="1:24" x14ac:dyDescent="0.3">
      <c r="A212" s="3" t="s">
        <v>133</v>
      </c>
      <c r="B212" s="4">
        <v>1067.1683350000001</v>
      </c>
      <c r="C212" s="4">
        <v>1058.2346190000001</v>
      </c>
      <c r="D212" s="4">
        <v>1226.810669</v>
      </c>
      <c r="I212" s="3" t="s">
        <v>133</v>
      </c>
      <c r="J212" s="4">
        <v>1031.7454829999999</v>
      </c>
      <c r="K212" s="4">
        <v>1044.474121</v>
      </c>
      <c r="L212" s="4">
        <v>1260.91272</v>
      </c>
      <c r="M212" s="12"/>
      <c r="O212" s="3" t="s">
        <v>133</v>
      </c>
      <c r="P212" s="4">
        <v>1136.0466309999999</v>
      </c>
      <c r="Q212" s="4">
        <v>1072.2624510000001</v>
      </c>
      <c r="R212" s="4">
        <v>1044.77124</v>
      </c>
      <c r="U212" s="3" t="s">
        <v>133</v>
      </c>
      <c r="V212" s="4">
        <v>1268.3519289999999</v>
      </c>
      <c r="W212" s="4">
        <v>1046.269043</v>
      </c>
      <c r="X212" s="4">
        <v>1276.8916019999999</v>
      </c>
    </row>
    <row r="213" spans="1:24" x14ac:dyDescent="0.3">
      <c r="A213" s="3" t="s">
        <v>135</v>
      </c>
      <c r="B213" s="4">
        <v>793.36767599999996</v>
      </c>
      <c r="C213" s="4">
        <v>819.18054199999995</v>
      </c>
      <c r="D213" s="4">
        <v>714.575378</v>
      </c>
      <c r="I213" s="3" t="s">
        <v>135</v>
      </c>
      <c r="J213" s="4">
        <v>729.96337900000003</v>
      </c>
      <c r="K213" s="4">
        <v>745.13568099999998</v>
      </c>
      <c r="L213" s="4">
        <v>661.21929899999998</v>
      </c>
      <c r="M213" s="12"/>
      <c r="O213" s="3" t="s">
        <v>135</v>
      </c>
      <c r="P213" s="4">
        <v>714.575378</v>
      </c>
      <c r="Q213" s="4">
        <v>799.90649399999995</v>
      </c>
      <c r="R213" s="4">
        <v>714.575378</v>
      </c>
      <c r="U213" s="3" t="s">
        <v>135</v>
      </c>
      <c r="V213" s="4">
        <v>661.16137700000002</v>
      </c>
      <c r="W213" s="4">
        <v>746.17401099999995</v>
      </c>
      <c r="X213" s="4">
        <v>661.21929899999998</v>
      </c>
    </row>
    <row r="214" spans="1:24" x14ac:dyDescent="0.3">
      <c r="A214" s="3" t="s">
        <v>137</v>
      </c>
      <c r="B214" s="4">
        <v>881.770264</v>
      </c>
      <c r="C214" s="4">
        <v>898.25585899999999</v>
      </c>
      <c r="D214" s="4">
        <v>760.69329800000003</v>
      </c>
      <c r="I214" s="3" t="s">
        <v>137</v>
      </c>
      <c r="J214" s="4">
        <v>829.39160200000003</v>
      </c>
      <c r="K214" s="4">
        <v>848.069031</v>
      </c>
      <c r="L214" s="4">
        <v>884.405396</v>
      </c>
      <c r="M214" s="12"/>
      <c r="O214" s="3" t="s">
        <v>137</v>
      </c>
      <c r="P214" s="4">
        <v>728.18481399999996</v>
      </c>
      <c r="Q214" s="4">
        <v>899.589294</v>
      </c>
      <c r="R214" s="4">
        <v>854.16400099999998</v>
      </c>
      <c r="U214" s="3" t="s">
        <v>137</v>
      </c>
      <c r="V214" s="4">
        <v>911.12432899999999</v>
      </c>
      <c r="W214" s="4">
        <v>844.10150099999998</v>
      </c>
      <c r="X214" s="4">
        <v>777.97937000000002</v>
      </c>
    </row>
    <row r="215" spans="1:24" x14ac:dyDescent="0.3">
      <c r="A215" s="3" t="s">
        <v>139</v>
      </c>
      <c r="B215" s="4">
        <v>896.74194299999999</v>
      </c>
      <c r="C215" s="4">
        <v>909.79162599999995</v>
      </c>
      <c r="D215" s="4">
        <v>1019.806213</v>
      </c>
      <c r="I215" s="3" t="s">
        <v>139</v>
      </c>
      <c r="J215" s="4">
        <v>832.72143600000004</v>
      </c>
      <c r="K215" s="4">
        <v>852.17553699999996</v>
      </c>
      <c r="L215" s="4">
        <v>944.72619599999996</v>
      </c>
      <c r="M215" s="12"/>
      <c r="O215" s="3" t="s">
        <v>139</v>
      </c>
      <c r="P215" s="4">
        <v>905.21252400000003</v>
      </c>
      <c r="Q215" s="4">
        <v>912.93206799999996</v>
      </c>
      <c r="R215" s="4">
        <v>987.83221400000002</v>
      </c>
      <c r="U215" s="3" t="s">
        <v>139</v>
      </c>
      <c r="V215" s="4">
        <v>722.92852800000003</v>
      </c>
      <c r="W215" s="4">
        <v>868.29968299999996</v>
      </c>
      <c r="X215" s="4">
        <v>727.29028300000004</v>
      </c>
    </row>
    <row r="216" spans="1:24" x14ac:dyDescent="0.3">
      <c r="A216" s="3" t="s">
        <v>141</v>
      </c>
      <c r="B216" s="4">
        <v>927.65460199999995</v>
      </c>
      <c r="C216" s="4">
        <v>955.86755400000004</v>
      </c>
      <c r="D216" s="4">
        <v>1007.917786</v>
      </c>
      <c r="I216" s="3" t="s">
        <v>141</v>
      </c>
      <c r="J216" s="4">
        <v>896.203125</v>
      </c>
      <c r="K216" s="4">
        <v>922.22393799999998</v>
      </c>
      <c r="L216" s="4">
        <v>934.14276099999995</v>
      </c>
      <c r="M216" s="12"/>
      <c r="O216" s="3" t="s">
        <v>141</v>
      </c>
      <c r="P216" s="4">
        <v>791.52502400000003</v>
      </c>
      <c r="Q216" s="4">
        <v>953.47833300000002</v>
      </c>
      <c r="R216" s="4">
        <v>1071.752808</v>
      </c>
      <c r="U216" s="3" t="s">
        <v>141</v>
      </c>
      <c r="V216" s="4">
        <v>985.94757100000004</v>
      </c>
      <c r="W216" s="4">
        <v>913.39532499999996</v>
      </c>
      <c r="X216" s="4">
        <v>904.61041299999999</v>
      </c>
    </row>
    <row r="217" spans="1:24" x14ac:dyDescent="0.3">
      <c r="A217" s="3" t="s">
        <v>143</v>
      </c>
      <c r="B217" s="4">
        <v>895.97418200000004</v>
      </c>
      <c r="C217" s="4">
        <v>923.76434300000005</v>
      </c>
      <c r="D217" s="4">
        <v>956.38189699999998</v>
      </c>
      <c r="I217" s="3" t="s">
        <v>143</v>
      </c>
      <c r="J217" s="4">
        <v>828.85339399999998</v>
      </c>
      <c r="K217" s="4">
        <v>851.886841</v>
      </c>
      <c r="L217" s="4">
        <v>968.29315199999996</v>
      </c>
      <c r="M217" s="12"/>
      <c r="O217" s="3" t="s">
        <v>143</v>
      </c>
      <c r="P217" s="4">
        <v>1000.146484</v>
      </c>
      <c r="Q217" s="4">
        <v>915.29699700000003</v>
      </c>
      <c r="R217" s="4">
        <v>928.64910899999995</v>
      </c>
      <c r="U217" s="3" t="s">
        <v>143</v>
      </c>
      <c r="V217" s="4">
        <v>949.12377900000001</v>
      </c>
      <c r="W217" s="4">
        <v>873.94433600000002</v>
      </c>
      <c r="X217" s="4">
        <v>909.91906700000004</v>
      </c>
    </row>
    <row r="218" spans="1:24" x14ac:dyDescent="0.3">
      <c r="A218" s="3" t="s">
        <v>145</v>
      </c>
      <c r="B218" s="4">
        <v>901.23089600000003</v>
      </c>
      <c r="C218" s="4">
        <v>912.169128</v>
      </c>
      <c r="D218" s="4">
        <v>984.19201699999996</v>
      </c>
      <c r="I218" s="3" t="s">
        <v>145</v>
      </c>
      <c r="J218" s="4">
        <v>845.92199700000003</v>
      </c>
      <c r="K218" s="4">
        <v>874.55828899999995</v>
      </c>
      <c r="L218" s="4">
        <v>1004.633545</v>
      </c>
      <c r="M218" s="12"/>
      <c r="O218" s="3" t="s">
        <v>145</v>
      </c>
      <c r="P218" s="4">
        <v>733.25933799999996</v>
      </c>
      <c r="Q218" s="4">
        <v>926.54193099999998</v>
      </c>
      <c r="R218" s="4">
        <v>994.95056199999999</v>
      </c>
      <c r="U218" s="3" t="s">
        <v>145</v>
      </c>
      <c r="V218" s="4">
        <v>710.15008499999999</v>
      </c>
      <c r="W218" s="4">
        <v>876.26300000000003</v>
      </c>
      <c r="X218" s="4">
        <v>1015.990417</v>
      </c>
    </row>
    <row r="219" spans="1:24" x14ac:dyDescent="0.3">
      <c r="A219" s="3" t="s">
        <v>147</v>
      </c>
      <c r="B219" s="4">
        <v>847.52862500000003</v>
      </c>
      <c r="C219" s="4">
        <v>885.20202600000005</v>
      </c>
      <c r="D219" s="4">
        <v>1036.6354980000001</v>
      </c>
      <c r="I219" s="3" t="s">
        <v>147</v>
      </c>
      <c r="J219" s="4">
        <v>788.03344700000002</v>
      </c>
      <c r="K219" s="4">
        <v>815.22760000000005</v>
      </c>
      <c r="L219" s="4">
        <v>989.96929899999998</v>
      </c>
      <c r="M219" s="12"/>
      <c r="O219" s="3" t="s">
        <v>147</v>
      </c>
      <c r="P219" s="4">
        <v>1018.518738</v>
      </c>
      <c r="Q219" s="4">
        <v>891.92919900000004</v>
      </c>
      <c r="R219" s="4">
        <v>993.77752699999996</v>
      </c>
      <c r="U219" s="3" t="s">
        <v>147</v>
      </c>
      <c r="V219" s="4">
        <v>986.87304700000004</v>
      </c>
      <c r="W219" s="4">
        <v>829.73486300000002</v>
      </c>
      <c r="X219" s="4">
        <v>972.944885</v>
      </c>
    </row>
    <row r="220" spans="1:24" x14ac:dyDescent="0.3">
      <c r="A220" s="3" t="s">
        <v>149</v>
      </c>
      <c r="B220" s="4">
        <v>854.40582300000005</v>
      </c>
      <c r="C220" s="4">
        <v>895.31732199999999</v>
      </c>
      <c r="D220" s="4">
        <v>985.15521200000001</v>
      </c>
      <c r="I220" s="3" t="s">
        <v>149</v>
      </c>
      <c r="J220" s="4">
        <v>816.615906</v>
      </c>
      <c r="K220" s="4">
        <v>816.277466</v>
      </c>
      <c r="L220" s="4">
        <v>844.99890100000005</v>
      </c>
      <c r="M220" s="12"/>
      <c r="O220" s="3" t="s">
        <v>149</v>
      </c>
      <c r="P220" s="4">
        <v>934.50604199999998</v>
      </c>
      <c r="Q220" s="4">
        <v>907.51989700000001</v>
      </c>
      <c r="R220" s="4">
        <v>986.43237299999998</v>
      </c>
      <c r="U220" s="3" t="s">
        <v>149</v>
      </c>
      <c r="V220" s="4">
        <v>894.02832000000001</v>
      </c>
      <c r="W220" s="4">
        <v>858.41894500000001</v>
      </c>
      <c r="X220" s="4">
        <v>896.83136000000002</v>
      </c>
    </row>
    <row r="221" spans="1:24" x14ac:dyDescent="0.3">
      <c r="A221" s="3" t="s">
        <v>151</v>
      </c>
      <c r="B221" s="4">
        <v>795.18896500000005</v>
      </c>
      <c r="C221" s="4">
        <v>826.88195800000005</v>
      </c>
      <c r="D221" s="4">
        <v>691.52972399999999</v>
      </c>
      <c r="I221" s="3" t="s">
        <v>151</v>
      </c>
      <c r="J221" s="4">
        <v>732.98535200000003</v>
      </c>
      <c r="K221" s="4">
        <v>746.89660600000002</v>
      </c>
      <c r="L221" s="4">
        <v>896.35540800000001</v>
      </c>
      <c r="M221" s="12"/>
      <c r="O221" s="3" t="s">
        <v>151</v>
      </c>
      <c r="P221" s="4">
        <v>888.94268799999998</v>
      </c>
      <c r="Q221" s="4">
        <v>777.50854500000003</v>
      </c>
      <c r="R221" s="4">
        <v>958.50372300000004</v>
      </c>
      <c r="U221" s="3" t="s">
        <v>151</v>
      </c>
      <c r="V221" s="4">
        <v>800.65368699999999</v>
      </c>
      <c r="W221" s="4">
        <v>748.44244400000002</v>
      </c>
      <c r="X221" s="4">
        <v>892.93603499999995</v>
      </c>
    </row>
    <row r="222" spans="1:24" x14ac:dyDescent="0.3">
      <c r="A222" s="3" t="s">
        <v>153</v>
      </c>
      <c r="B222" s="4">
        <v>850.49096699999996</v>
      </c>
      <c r="C222" s="4">
        <v>887.00897199999997</v>
      </c>
      <c r="D222" s="4">
        <v>1042.763062</v>
      </c>
      <c r="I222" s="3" t="s">
        <v>153</v>
      </c>
      <c r="J222" s="4">
        <v>789.715149</v>
      </c>
      <c r="K222" s="4">
        <v>830.96936000000005</v>
      </c>
      <c r="L222" s="4">
        <v>703.79400599999997</v>
      </c>
      <c r="M222" s="12"/>
      <c r="O222" s="3" t="s">
        <v>153</v>
      </c>
      <c r="P222" s="4">
        <v>738.61889599999995</v>
      </c>
      <c r="Q222" s="4">
        <v>890.32257100000004</v>
      </c>
      <c r="R222" s="4">
        <v>880.58618200000001</v>
      </c>
      <c r="U222" s="3" t="s">
        <v>153</v>
      </c>
      <c r="V222" s="4">
        <v>985.39221199999997</v>
      </c>
      <c r="W222" s="4">
        <v>832.73559599999999</v>
      </c>
      <c r="X222" s="4">
        <v>995.80664100000001</v>
      </c>
    </row>
    <row r="223" spans="1:24" x14ac:dyDescent="0.3">
      <c r="A223" s="3" t="s">
        <v>155</v>
      </c>
      <c r="B223" s="4">
        <v>1067.165283</v>
      </c>
      <c r="C223" s="4">
        <v>1122.306885</v>
      </c>
      <c r="D223" s="4">
        <v>1047.9879149999999</v>
      </c>
      <c r="I223" s="3" t="s">
        <v>155</v>
      </c>
      <c r="J223" s="4">
        <v>1074.2280270000001</v>
      </c>
      <c r="K223" s="4">
        <v>1096.5539550000001</v>
      </c>
      <c r="L223" s="4">
        <v>936.830872</v>
      </c>
      <c r="M223" s="12"/>
      <c r="O223" s="3" t="s">
        <v>155</v>
      </c>
      <c r="P223" s="4">
        <v>1122.55835</v>
      </c>
      <c r="Q223" s="4">
        <v>1121.623047</v>
      </c>
      <c r="R223" s="4">
        <v>1207.512817</v>
      </c>
      <c r="U223" s="3" t="s">
        <v>155</v>
      </c>
      <c r="V223" s="4">
        <v>1012.966125</v>
      </c>
      <c r="W223" s="4">
        <v>1074.8428960000001</v>
      </c>
      <c r="X223" s="4">
        <v>1269.4079589999999</v>
      </c>
    </row>
    <row r="224" spans="1:24" x14ac:dyDescent="0.3">
      <c r="A224" s="3" t="s">
        <v>157</v>
      </c>
      <c r="B224" s="4">
        <v>1023.536377</v>
      </c>
      <c r="C224" s="4">
        <v>1047.655029</v>
      </c>
      <c r="D224" s="4">
        <v>1124.1176760000001</v>
      </c>
      <c r="I224" s="3" t="s">
        <v>157</v>
      </c>
      <c r="J224" s="4">
        <v>985.10882600000002</v>
      </c>
      <c r="K224" s="4">
        <v>1017.451904</v>
      </c>
      <c r="L224" s="4">
        <v>1056.4490969999999</v>
      </c>
      <c r="M224" s="12"/>
      <c r="O224" s="3" t="s">
        <v>157</v>
      </c>
      <c r="P224" s="4">
        <v>1262.9001459999999</v>
      </c>
      <c r="Q224" s="4">
        <v>1033.5006100000001</v>
      </c>
      <c r="R224" s="4">
        <v>917.96343999999999</v>
      </c>
      <c r="U224" s="3" t="s">
        <v>157</v>
      </c>
      <c r="V224" s="4">
        <v>1194.075439</v>
      </c>
      <c r="W224" s="4">
        <v>1025.7680660000001</v>
      </c>
      <c r="X224" s="4">
        <v>1254.6094969999999</v>
      </c>
    </row>
    <row r="225" spans="1:24" x14ac:dyDescent="0.3">
      <c r="A225" s="3" t="s">
        <v>159</v>
      </c>
      <c r="B225" s="4">
        <v>949.64343299999996</v>
      </c>
      <c r="C225" s="4">
        <v>950.34789999999998</v>
      </c>
      <c r="D225" s="4">
        <v>1144.2230219999999</v>
      </c>
      <c r="I225" s="3" t="s">
        <v>159</v>
      </c>
      <c r="J225" s="4">
        <v>923.98962400000005</v>
      </c>
      <c r="K225" s="4">
        <v>951.02032499999996</v>
      </c>
      <c r="L225" s="4">
        <v>1121.5742190000001</v>
      </c>
      <c r="M225" s="12"/>
      <c r="O225" s="3" t="s">
        <v>159</v>
      </c>
      <c r="P225" s="4">
        <v>1207.076904</v>
      </c>
      <c r="Q225" s="4">
        <v>983.29522699999995</v>
      </c>
      <c r="R225" s="4">
        <v>1225.537842</v>
      </c>
      <c r="U225" s="3" t="s">
        <v>159</v>
      </c>
      <c r="V225" s="4">
        <v>1076.007202</v>
      </c>
      <c r="W225" s="4">
        <v>966.60943599999996</v>
      </c>
      <c r="X225" s="4">
        <v>1047.837769</v>
      </c>
    </row>
    <row r="226" spans="1:24" x14ac:dyDescent="0.3">
      <c r="A226" s="3" t="s">
        <v>161</v>
      </c>
      <c r="B226" s="4">
        <v>1024.1906739999999</v>
      </c>
      <c r="C226" s="4">
        <v>1040.8348390000001</v>
      </c>
      <c r="D226" s="4">
        <v>1041.4854740000001</v>
      </c>
      <c r="I226" s="3" t="s">
        <v>161</v>
      </c>
      <c r="J226" s="4">
        <v>997.95013400000005</v>
      </c>
      <c r="K226" s="4">
        <v>1023.967346</v>
      </c>
      <c r="L226" s="4">
        <v>833.66992200000004</v>
      </c>
      <c r="M226" s="12"/>
      <c r="O226" s="3" t="s">
        <v>161</v>
      </c>
      <c r="P226" s="4">
        <v>936.15100099999995</v>
      </c>
      <c r="Q226" s="4">
        <v>1062.7873540000001</v>
      </c>
      <c r="R226" s="4">
        <v>1194.771606</v>
      </c>
      <c r="U226" s="3" t="s">
        <v>161</v>
      </c>
      <c r="V226" s="4">
        <v>925.62341300000003</v>
      </c>
      <c r="W226" s="4">
        <v>1006.044006</v>
      </c>
      <c r="X226" s="4">
        <v>883.15832499999999</v>
      </c>
    </row>
    <row r="227" spans="1:24" x14ac:dyDescent="0.3">
      <c r="A227" s="3" t="s">
        <v>163</v>
      </c>
      <c r="B227" s="4">
        <v>1019.637085</v>
      </c>
      <c r="C227" s="4">
        <v>1051.9219969999999</v>
      </c>
      <c r="D227" s="4">
        <v>1074.0466309999999</v>
      </c>
      <c r="I227" s="3" t="s">
        <v>163</v>
      </c>
      <c r="J227" s="4">
        <v>995.15118399999994</v>
      </c>
      <c r="K227" s="4">
        <v>1026.50647</v>
      </c>
      <c r="L227" s="4">
        <v>887.59179700000004</v>
      </c>
      <c r="M227" s="12"/>
      <c r="O227" s="3" t="s">
        <v>163</v>
      </c>
      <c r="P227" s="4">
        <v>979.51049799999998</v>
      </c>
      <c r="Q227" s="4">
        <v>1054.613525</v>
      </c>
      <c r="R227" s="4">
        <v>1231.77063</v>
      </c>
      <c r="U227" s="3" t="s">
        <v>163</v>
      </c>
      <c r="V227" s="4">
        <v>891.412598</v>
      </c>
      <c r="W227" s="4">
        <v>1026.205933</v>
      </c>
      <c r="X227" s="4">
        <v>1144.321289</v>
      </c>
    </row>
    <row r="228" spans="1:24" x14ac:dyDescent="0.3">
      <c r="A228" s="3" t="s">
        <v>165</v>
      </c>
      <c r="B228" s="4">
        <v>937.19226100000003</v>
      </c>
      <c r="C228" s="4">
        <v>967.75616500000001</v>
      </c>
      <c r="D228" s="4">
        <v>1108.940063</v>
      </c>
      <c r="I228" s="3" t="s">
        <v>165</v>
      </c>
      <c r="J228" s="4">
        <v>913.92334000000005</v>
      </c>
      <c r="K228" s="4">
        <v>949.02227800000003</v>
      </c>
      <c r="L228" s="4">
        <v>1090.925293</v>
      </c>
      <c r="M228" s="12"/>
      <c r="O228" s="3" t="s">
        <v>165</v>
      </c>
      <c r="P228" s="4">
        <v>1141.2463379999999</v>
      </c>
      <c r="Q228" s="4">
        <v>951.33850099999995</v>
      </c>
      <c r="R228" s="4">
        <v>836.34997599999997</v>
      </c>
      <c r="U228" s="3" t="s">
        <v>165</v>
      </c>
      <c r="V228" s="4">
        <v>1061.4573969999999</v>
      </c>
      <c r="W228" s="4">
        <v>924.40643299999999</v>
      </c>
      <c r="X228" s="4">
        <v>1037.3376459999999</v>
      </c>
    </row>
    <row r="229" spans="1:24" x14ac:dyDescent="0.3">
      <c r="A229" s="3" t="s">
        <v>167</v>
      </c>
      <c r="B229" s="4">
        <v>955.35101299999997</v>
      </c>
      <c r="C229" s="4">
        <v>958.03558299999997</v>
      </c>
      <c r="D229" s="4">
        <v>941.80304000000001</v>
      </c>
      <c r="I229" s="3" t="s">
        <v>167</v>
      </c>
      <c r="J229" s="4">
        <v>928.70996100000002</v>
      </c>
      <c r="K229" s="4">
        <v>974.27734399999997</v>
      </c>
      <c r="L229" s="4">
        <v>1127.267578</v>
      </c>
      <c r="M229" s="12"/>
      <c r="O229" s="3" t="s">
        <v>167</v>
      </c>
      <c r="P229" s="4">
        <v>1183.7163089999999</v>
      </c>
      <c r="Q229" s="4">
        <v>981.83776899999998</v>
      </c>
      <c r="R229" s="4">
        <v>1001.581604</v>
      </c>
      <c r="U229" s="3" t="s">
        <v>167</v>
      </c>
      <c r="V229" s="4">
        <v>1126.4332280000001</v>
      </c>
      <c r="W229" s="4">
        <v>983.06359899999995</v>
      </c>
      <c r="X229" s="4">
        <v>850.82751499999995</v>
      </c>
    </row>
    <row r="230" spans="1:24" x14ac:dyDescent="0.3">
      <c r="A230" s="3" t="s">
        <v>169</v>
      </c>
      <c r="B230" s="4">
        <v>1001.721619</v>
      </c>
      <c r="C230" s="4">
        <v>1029.346436</v>
      </c>
      <c r="D230" s="4">
        <v>1158.7375489999999</v>
      </c>
      <c r="I230" s="3" t="s">
        <v>169</v>
      </c>
      <c r="J230" s="4">
        <v>962.70837400000005</v>
      </c>
      <c r="K230" s="4">
        <v>989.01275599999997</v>
      </c>
      <c r="L230" s="4">
        <v>1112.0158690000001</v>
      </c>
      <c r="M230" s="12"/>
      <c r="O230" s="3" t="s">
        <v>169</v>
      </c>
      <c r="P230" s="4">
        <v>906.96948199999997</v>
      </c>
      <c r="Q230" s="4">
        <v>1018.09137</v>
      </c>
      <c r="R230" s="4">
        <v>1158.7375489999999</v>
      </c>
      <c r="U230" s="3" t="s">
        <v>169</v>
      </c>
      <c r="V230" s="4">
        <v>925.27252199999998</v>
      </c>
      <c r="W230" s="4">
        <v>1009.023743</v>
      </c>
      <c r="X230" s="4">
        <v>795.47289999999998</v>
      </c>
    </row>
    <row r="231" spans="1:24" x14ac:dyDescent="0.3">
      <c r="A231" s="3" t="s">
        <v>171</v>
      </c>
      <c r="B231" s="4">
        <v>923.73724400000003</v>
      </c>
      <c r="C231" s="4">
        <v>956.63922100000002</v>
      </c>
      <c r="D231" s="4">
        <v>1121.197144</v>
      </c>
      <c r="I231" s="3" t="s">
        <v>171</v>
      </c>
      <c r="J231" s="4">
        <v>848.67016599999999</v>
      </c>
      <c r="K231" s="4">
        <v>936.03363000000002</v>
      </c>
      <c r="L231" s="4">
        <v>1032.0810550000001</v>
      </c>
      <c r="M231" s="12"/>
      <c r="O231" s="3" t="s">
        <v>171</v>
      </c>
      <c r="P231" s="4">
        <v>1084.533203</v>
      </c>
      <c r="Q231" s="4">
        <v>949.40747099999999</v>
      </c>
      <c r="R231" s="4">
        <v>1110.9858400000001</v>
      </c>
      <c r="U231" s="3" t="s">
        <v>171</v>
      </c>
      <c r="V231" s="4">
        <v>709.71691899999996</v>
      </c>
      <c r="W231" s="4">
        <v>914.28344700000002</v>
      </c>
      <c r="X231" s="4">
        <v>1021.040161</v>
      </c>
    </row>
    <row r="232" spans="1:24" x14ac:dyDescent="0.3">
      <c r="A232" s="3" t="s">
        <v>173</v>
      </c>
      <c r="B232" s="4">
        <v>962.53454599999998</v>
      </c>
      <c r="C232" s="4">
        <v>1006.865845</v>
      </c>
      <c r="D232" s="4">
        <v>999.65570100000002</v>
      </c>
      <c r="I232" s="3" t="s">
        <v>173</v>
      </c>
      <c r="J232" s="4">
        <v>957.39605700000004</v>
      </c>
      <c r="K232" s="4">
        <v>987.189392</v>
      </c>
      <c r="L232" s="4">
        <v>836.39996299999996</v>
      </c>
      <c r="M232" s="12"/>
      <c r="O232" s="3" t="s">
        <v>173</v>
      </c>
      <c r="P232" s="4">
        <v>1210.7836910000001</v>
      </c>
      <c r="Q232" s="4">
        <v>1029.5545649999999</v>
      </c>
      <c r="R232" s="4">
        <v>1167.2966309999999</v>
      </c>
      <c r="U232" s="3" t="s">
        <v>173</v>
      </c>
      <c r="V232" s="4">
        <v>955.79003899999998</v>
      </c>
      <c r="W232" s="4">
        <v>1001.346497</v>
      </c>
      <c r="X232" s="4">
        <v>980.70971699999996</v>
      </c>
    </row>
    <row r="233" spans="1:24" x14ac:dyDescent="0.3">
      <c r="A233" s="3" t="s">
        <v>175</v>
      </c>
      <c r="B233" s="4">
        <v>977.95916699999998</v>
      </c>
      <c r="C233" s="4">
        <v>1001.236145</v>
      </c>
      <c r="D233" s="4">
        <v>1220.4769289999999</v>
      </c>
      <c r="I233" s="3" t="s">
        <v>175</v>
      </c>
      <c r="J233" s="4">
        <v>958.14282200000002</v>
      </c>
      <c r="K233" s="4">
        <v>984.30633499999999</v>
      </c>
      <c r="L233" s="4">
        <v>1097.775879</v>
      </c>
      <c r="M233" s="12"/>
      <c r="O233" s="3" t="s">
        <v>175</v>
      </c>
      <c r="P233" s="4">
        <v>1200.8123780000001</v>
      </c>
      <c r="Q233" s="4">
        <v>1002.137878</v>
      </c>
      <c r="R233" s="4">
        <v>958.78656000000001</v>
      </c>
      <c r="U233" s="3" t="s">
        <v>175</v>
      </c>
      <c r="V233" s="4">
        <v>1051.2586670000001</v>
      </c>
      <c r="W233" s="4">
        <v>998.51122999999995</v>
      </c>
      <c r="X233" s="4">
        <v>1183.639038</v>
      </c>
    </row>
    <row r="234" spans="1:24" x14ac:dyDescent="0.3">
      <c r="A234" s="3" t="s">
        <v>177</v>
      </c>
      <c r="B234" s="4">
        <v>1086.8961179999999</v>
      </c>
      <c r="C234" s="4">
        <v>1103.0185550000001</v>
      </c>
      <c r="D234" s="4">
        <v>1112.650269</v>
      </c>
      <c r="I234" s="3" t="s">
        <v>177</v>
      </c>
      <c r="J234" s="4">
        <v>1044.595703</v>
      </c>
      <c r="K234" s="4">
        <v>1060.020264</v>
      </c>
      <c r="L234" s="4">
        <v>976.27545199999997</v>
      </c>
      <c r="M234" s="12"/>
      <c r="O234" s="3" t="s">
        <v>177</v>
      </c>
      <c r="P234" s="4">
        <v>1319.2296140000001</v>
      </c>
      <c r="Q234" s="4">
        <v>1104.099731</v>
      </c>
      <c r="R234" s="4">
        <v>1285.173096</v>
      </c>
      <c r="U234" s="3" t="s">
        <v>177</v>
      </c>
      <c r="V234" s="4">
        <v>984.838257</v>
      </c>
      <c r="W234" s="4">
        <v>1095.227905</v>
      </c>
      <c r="X234" s="4">
        <v>913.07934599999999</v>
      </c>
    </row>
    <row r="235" spans="1:24" x14ac:dyDescent="0.3">
      <c r="A235" s="3" t="s">
        <v>179</v>
      </c>
      <c r="B235" s="4">
        <v>1032.3348390000001</v>
      </c>
      <c r="C235" s="4">
        <v>1085.345581</v>
      </c>
      <c r="D235" s="4">
        <v>1294.7094729999999</v>
      </c>
      <c r="I235" s="3" t="s">
        <v>179</v>
      </c>
      <c r="J235" s="4">
        <v>1010.740784</v>
      </c>
      <c r="K235" s="4">
        <v>1076.2319339999999</v>
      </c>
      <c r="L235" s="4">
        <v>1267.4104</v>
      </c>
      <c r="M235" s="12"/>
      <c r="O235" s="3" t="s">
        <v>179</v>
      </c>
      <c r="P235" s="4">
        <v>1224.447144</v>
      </c>
      <c r="Q235" s="4">
        <v>1092.1403809999999</v>
      </c>
      <c r="R235" s="4">
        <v>1156.284668</v>
      </c>
      <c r="U235" s="3" t="s">
        <v>179</v>
      </c>
      <c r="V235" s="4">
        <v>1092.4814449999999</v>
      </c>
      <c r="W235" s="4">
        <v>1061.855591</v>
      </c>
      <c r="X235" s="4">
        <v>1115.1455080000001</v>
      </c>
    </row>
    <row r="236" spans="1:24" x14ac:dyDescent="0.3">
      <c r="A236" s="3" t="s">
        <v>181</v>
      </c>
      <c r="B236" s="4">
        <v>1039.3226320000001</v>
      </c>
      <c r="C236" s="4">
        <v>1080.086914</v>
      </c>
      <c r="D236" s="4">
        <v>1268.0900879999999</v>
      </c>
      <c r="I236" s="3" t="s">
        <v>181</v>
      </c>
      <c r="J236" s="4">
        <v>996.02288799999997</v>
      </c>
      <c r="K236" s="4">
        <v>1028.0272219999999</v>
      </c>
      <c r="L236" s="4">
        <v>1223.207764</v>
      </c>
      <c r="M236" s="12"/>
      <c r="O236" s="3" t="s">
        <v>181</v>
      </c>
      <c r="P236" s="4">
        <v>1211.7189940000001</v>
      </c>
      <c r="Q236" s="4">
        <v>1099.795288</v>
      </c>
      <c r="R236" s="4">
        <v>1207.910889</v>
      </c>
      <c r="U236" s="3" t="s">
        <v>181</v>
      </c>
      <c r="V236" s="4">
        <v>966.63439900000003</v>
      </c>
      <c r="W236" s="4">
        <v>1015.573608</v>
      </c>
      <c r="X236" s="4">
        <v>817.00689699999998</v>
      </c>
    </row>
    <row r="237" spans="1:24" x14ac:dyDescent="0.3">
      <c r="A237" s="3" t="s">
        <v>183</v>
      </c>
      <c r="B237" s="4">
        <v>1067.0251459999999</v>
      </c>
      <c r="C237" s="4">
        <v>1107.4366460000001</v>
      </c>
      <c r="D237" s="4">
        <v>1250.8892820000001</v>
      </c>
      <c r="I237" s="3" t="s">
        <v>183</v>
      </c>
      <c r="J237" s="4">
        <v>1047.1072999999999</v>
      </c>
      <c r="K237" s="4">
        <v>1052.793823</v>
      </c>
      <c r="L237" s="4">
        <v>1053.456177</v>
      </c>
      <c r="M237" s="12"/>
      <c r="O237" s="3" t="s">
        <v>183</v>
      </c>
      <c r="P237" s="4">
        <v>1326.5509030000001</v>
      </c>
      <c r="Q237" s="4">
        <v>1090.3160399999999</v>
      </c>
      <c r="R237" s="4">
        <v>1210.9210210000001</v>
      </c>
      <c r="U237" s="3" t="s">
        <v>183</v>
      </c>
      <c r="V237" s="4">
        <v>1253.8438719999999</v>
      </c>
      <c r="W237" s="4">
        <v>1068.7962649999999</v>
      </c>
      <c r="X237" s="4">
        <v>1306.4648440000001</v>
      </c>
    </row>
    <row r="238" spans="1:24" x14ac:dyDescent="0.3">
      <c r="A238" s="3" t="s">
        <v>185</v>
      </c>
      <c r="B238" s="4">
        <v>1025.0541989999999</v>
      </c>
      <c r="C238" s="4">
        <v>1037.9038089999999</v>
      </c>
      <c r="D238" s="4">
        <v>1091.75647</v>
      </c>
      <c r="I238" s="3" t="s">
        <v>185</v>
      </c>
      <c r="J238" s="4">
        <v>1023.160034</v>
      </c>
      <c r="K238" s="4">
        <v>1048.267578</v>
      </c>
      <c r="L238" s="4">
        <v>1049.9232179999999</v>
      </c>
      <c r="M238" s="12"/>
      <c r="O238" s="3" t="s">
        <v>185</v>
      </c>
      <c r="P238" s="4">
        <v>1152.8210449999999</v>
      </c>
      <c r="Q238" s="4">
        <v>1042.497437</v>
      </c>
      <c r="R238" s="4">
        <v>1316.5307620000001</v>
      </c>
      <c r="U238" s="3" t="s">
        <v>185</v>
      </c>
      <c r="V238" s="4">
        <v>1061.615112</v>
      </c>
      <c r="W238" s="4">
        <v>1007.971802</v>
      </c>
      <c r="X238" s="4">
        <v>1335.757202</v>
      </c>
    </row>
    <row r="239" spans="1:24" x14ac:dyDescent="0.3">
      <c r="A239" s="3" t="s">
        <v>187</v>
      </c>
      <c r="B239" s="4">
        <v>1137.481689</v>
      </c>
      <c r="C239" s="4">
        <v>1134.196899</v>
      </c>
      <c r="D239" s="4">
        <v>1245.3618160000001</v>
      </c>
      <c r="I239" s="3" t="s">
        <v>187</v>
      </c>
      <c r="J239" s="4">
        <v>1116.3873289999999</v>
      </c>
      <c r="K239" s="4">
        <v>1163.8870850000001</v>
      </c>
      <c r="L239" s="4">
        <v>1067.453125</v>
      </c>
      <c r="M239" s="12"/>
      <c r="O239" s="3" t="s">
        <v>187</v>
      </c>
      <c r="P239" s="4">
        <v>1009.797668</v>
      </c>
      <c r="Q239" s="4">
        <v>1177.465942</v>
      </c>
      <c r="R239" s="4">
        <v>1472.9517820000001</v>
      </c>
      <c r="U239" s="3" t="s">
        <v>187</v>
      </c>
      <c r="V239" s="4">
        <v>1069.0579829999999</v>
      </c>
      <c r="W239" s="4">
        <v>1145.345703</v>
      </c>
      <c r="X239" s="4">
        <v>1146.2086179999999</v>
      </c>
    </row>
    <row r="240" spans="1:24" x14ac:dyDescent="0.3">
      <c r="A240" s="3" t="s">
        <v>189</v>
      </c>
      <c r="B240" s="4">
        <v>983.92980999999997</v>
      </c>
      <c r="C240" s="4">
        <v>993.68890399999998</v>
      </c>
      <c r="D240" s="4">
        <v>826.89904799999999</v>
      </c>
      <c r="I240" s="3" t="s">
        <v>189</v>
      </c>
      <c r="J240" s="4">
        <v>955.55792199999996</v>
      </c>
      <c r="K240" s="4">
        <v>985.20214799999997</v>
      </c>
      <c r="L240" s="4">
        <v>836.98474099999999</v>
      </c>
      <c r="M240" s="12"/>
      <c r="O240" s="3" t="s">
        <v>189</v>
      </c>
      <c r="P240" s="4">
        <v>998.17053199999998</v>
      </c>
      <c r="Q240" s="4">
        <v>1017.203003</v>
      </c>
      <c r="R240" s="4">
        <v>1249.6602780000001</v>
      </c>
      <c r="U240" s="3" t="s">
        <v>189</v>
      </c>
      <c r="V240" s="4">
        <v>1039.8741460000001</v>
      </c>
      <c r="W240" s="4">
        <v>1015.772827</v>
      </c>
      <c r="X240" s="4">
        <v>1066.8726810000001</v>
      </c>
    </row>
    <row r="241" spans="1:24" x14ac:dyDescent="0.3">
      <c r="A241" s="3" t="s">
        <v>191</v>
      </c>
      <c r="B241" s="4">
        <v>988.23944100000006</v>
      </c>
      <c r="C241" s="4">
        <v>1014.093811</v>
      </c>
      <c r="D241" s="4">
        <v>1108.715942</v>
      </c>
      <c r="I241" s="3" t="s">
        <v>191</v>
      </c>
      <c r="J241" s="4">
        <v>969.10589600000003</v>
      </c>
      <c r="K241" s="4">
        <v>955.46978799999999</v>
      </c>
      <c r="L241" s="4">
        <v>1201.391846</v>
      </c>
      <c r="M241" s="12"/>
      <c r="O241" s="3" t="s">
        <v>191</v>
      </c>
      <c r="P241" s="4">
        <v>1160.1328120000001</v>
      </c>
      <c r="Q241" s="4">
        <v>998.93511999999998</v>
      </c>
      <c r="R241" s="4">
        <v>1194.3666989999999</v>
      </c>
      <c r="U241" s="3" t="s">
        <v>191</v>
      </c>
      <c r="V241" s="4">
        <v>1128.7452390000001</v>
      </c>
      <c r="W241" s="4">
        <v>981.12750200000005</v>
      </c>
      <c r="X241" s="4">
        <v>1214.5976559999999</v>
      </c>
    </row>
    <row r="242" spans="1:24" x14ac:dyDescent="0.3">
      <c r="A242" s="3" t="s">
        <v>193</v>
      </c>
      <c r="B242" s="4">
        <v>1082.581909</v>
      </c>
      <c r="C242" s="4">
        <v>1113.7677000000001</v>
      </c>
      <c r="D242" s="4">
        <v>1120.6256100000001</v>
      </c>
      <c r="I242" s="3" t="s">
        <v>193</v>
      </c>
      <c r="J242" s="4">
        <v>1057.0688479999999</v>
      </c>
      <c r="K242" s="4">
        <v>1077.149048</v>
      </c>
      <c r="L242" s="4">
        <v>1203.6517329999999</v>
      </c>
      <c r="M242" s="12"/>
      <c r="O242" s="3" t="s">
        <v>193</v>
      </c>
      <c r="P242" s="4">
        <v>1122.519043</v>
      </c>
      <c r="Q242" s="4">
        <v>1133.4735109999999</v>
      </c>
      <c r="R242" s="4">
        <v>1125.584106</v>
      </c>
      <c r="U242" s="3" t="s">
        <v>193</v>
      </c>
      <c r="V242" s="4">
        <v>1227.433716</v>
      </c>
      <c r="W242" s="4">
        <v>1095.5931399999999</v>
      </c>
      <c r="X242" s="4">
        <v>926.90655500000003</v>
      </c>
    </row>
    <row r="243" spans="1:24" x14ac:dyDescent="0.3">
      <c r="A243" s="3" t="s">
        <v>195</v>
      </c>
      <c r="B243" s="4">
        <v>984.61639400000001</v>
      </c>
      <c r="C243" s="4">
        <v>1004.574036</v>
      </c>
      <c r="D243" s="4">
        <v>830.61834699999997</v>
      </c>
      <c r="I243" s="3" t="s">
        <v>195</v>
      </c>
      <c r="J243" s="4">
        <v>904.89178500000003</v>
      </c>
      <c r="K243" s="4">
        <v>967.21191399999998</v>
      </c>
      <c r="L243" s="4">
        <v>760.58209199999999</v>
      </c>
      <c r="M243" s="12"/>
      <c r="O243" s="3" t="s">
        <v>195</v>
      </c>
      <c r="P243" s="4">
        <v>823.99890100000005</v>
      </c>
      <c r="Q243" s="4">
        <v>1009.4406739999999</v>
      </c>
      <c r="R243" s="4">
        <v>830.61834699999997</v>
      </c>
      <c r="U243" s="3" t="s">
        <v>195</v>
      </c>
      <c r="V243" s="4">
        <v>759.81085199999995</v>
      </c>
      <c r="W243" s="4">
        <v>952.66570999999999</v>
      </c>
      <c r="X243" s="4">
        <v>760.58209199999999</v>
      </c>
    </row>
    <row r="244" spans="1:24" x14ac:dyDescent="0.3">
      <c r="A244" s="3" t="s">
        <v>197</v>
      </c>
      <c r="B244" s="4">
        <v>905.06854199999998</v>
      </c>
      <c r="C244" s="4">
        <v>947.61779799999999</v>
      </c>
      <c r="D244" s="4">
        <v>950.97778300000004</v>
      </c>
      <c r="I244" s="3" t="s">
        <v>197</v>
      </c>
      <c r="J244" s="4">
        <v>862.50341800000001</v>
      </c>
      <c r="K244" s="4">
        <v>891.104736</v>
      </c>
      <c r="L244" s="4">
        <v>965.54949999999997</v>
      </c>
      <c r="M244" s="12"/>
      <c r="O244" s="3" t="s">
        <v>197</v>
      </c>
      <c r="P244" s="4">
        <v>1017.136475</v>
      </c>
      <c r="Q244" s="4">
        <v>951.33917199999996</v>
      </c>
      <c r="R244" s="4">
        <v>942.23364300000003</v>
      </c>
      <c r="U244" s="3" t="s">
        <v>197</v>
      </c>
      <c r="V244" s="4">
        <v>849.84716800000001</v>
      </c>
      <c r="W244" s="4">
        <v>869.92327899999998</v>
      </c>
      <c r="X244" s="4">
        <v>728.60125700000003</v>
      </c>
    </row>
    <row r="245" spans="1:24" x14ac:dyDescent="0.3">
      <c r="A245" s="3" t="s">
        <v>199</v>
      </c>
      <c r="B245" s="4">
        <v>919.47515899999996</v>
      </c>
      <c r="C245" s="4">
        <v>964.45263699999998</v>
      </c>
      <c r="D245" s="4">
        <v>1123.2719729999999</v>
      </c>
      <c r="I245" s="3" t="s">
        <v>199</v>
      </c>
      <c r="J245" s="4">
        <v>876.94537400000002</v>
      </c>
      <c r="K245" s="4">
        <v>935.35540800000001</v>
      </c>
      <c r="L245" s="4">
        <v>1109.735107</v>
      </c>
      <c r="M245" s="12"/>
      <c r="O245" s="3" t="s">
        <v>199</v>
      </c>
      <c r="P245" s="4">
        <v>1002.052063</v>
      </c>
      <c r="Q245" s="4">
        <v>954.79846199999997</v>
      </c>
      <c r="R245" s="4">
        <v>1108.3870850000001</v>
      </c>
      <c r="U245" s="3" t="s">
        <v>199</v>
      </c>
      <c r="V245" s="4">
        <v>994.93206799999996</v>
      </c>
      <c r="W245" s="4">
        <v>925.378784</v>
      </c>
      <c r="X245" s="4">
        <v>927.644409</v>
      </c>
    </row>
    <row r="246" spans="1:24" x14ac:dyDescent="0.3">
      <c r="A246" s="3" t="s">
        <v>201</v>
      </c>
      <c r="B246" s="4">
        <v>996.49212599999998</v>
      </c>
      <c r="C246" s="4">
        <v>1008.464783</v>
      </c>
      <c r="D246" s="4">
        <v>1111.361938</v>
      </c>
      <c r="I246" s="3" t="s">
        <v>201</v>
      </c>
      <c r="J246" s="4">
        <v>939.31604000000004</v>
      </c>
      <c r="K246" s="4">
        <v>963.473389</v>
      </c>
      <c r="L246" s="4">
        <v>860.91711399999997</v>
      </c>
      <c r="M246" s="12"/>
      <c r="O246" s="3" t="s">
        <v>201</v>
      </c>
      <c r="P246" s="4">
        <v>1000.8486329999999</v>
      </c>
      <c r="Q246" s="4">
        <v>1007.987244</v>
      </c>
      <c r="R246" s="4">
        <v>1109.5736079999999</v>
      </c>
      <c r="U246" s="3" t="s">
        <v>201</v>
      </c>
      <c r="V246" s="4">
        <v>1117.6805420000001</v>
      </c>
      <c r="W246" s="4">
        <v>972.81616199999996</v>
      </c>
      <c r="X246" s="4">
        <v>864.44775400000003</v>
      </c>
    </row>
    <row r="247" spans="1:24" x14ac:dyDescent="0.3">
      <c r="A247" s="3" t="s">
        <v>203</v>
      </c>
      <c r="B247" s="4">
        <v>952.42340100000001</v>
      </c>
      <c r="C247" s="4">
        <v>969.08709699999997</v>
      </c>
      <c r="D247" s="4">
        <v>831.826233</v>
      </c>
      <c r="I247" s="3" t="s">
        <v>203</v>
      </c>
      <c r="J247" s="4">
        <v>894.94897500000002</v>
      </c>
      <c r="K247" s="4">
        <v>918.18670699999996</v>
      </c>
      <c r="L247" s="4">
        <v>768.32519500000001</v>
      </c>
      <c r="M247" s="12"/>
      <c r="O247" s="3" t="s">
        <v>203</v>
      </c>
      <c r="P247" s="4">
        <v>1000.366028</v>
      </c>
      <c r="Q247" s="4">
        <v>962.11163299999998</v>
      </c>
      <c r="R247" s="4">
        <v>1083.3989260000001</v>
      </c>
      <c r="U247" s="3" t="s">
        <v>203</v>
      </c>
      <c r="V247" s="4">
        <v>997.08599900000002</v>
      </c>
      <c r="W247" s="4">
        <v>912.364014</v>
      </c>
      <c r="X247" s="4">
        <v>944.02978499999995</v>
      </c>
    </row>
    <row r="248" spans="1:24" x14ac:dyDescent="0.3">
      <c r="A248" s="3" t="s">
        <v>205</v>
      </c>
      <c r="B248" s="4">
        <v>966.86163299999998</v>
      </c>
      <c r="C248" s="4">
        <v>986.62512200000003</v>
      </c>
      <c r="D248" s="4">
        <v>1018.575134</v>
      </c>
      <c r="I248" s="3" t="s">
        <v>205</v>
      </c>
      <c r="J248" s="4">
        <v>906.92327899999998</v>
      </c>
      <c r="K248" s="4">
        <v>939.23089600000003</v>
      </c>
      <c r="L248" s="4">
        <v>1023.1779790000001</v>
      </c>
      <c r="M248" s="12"/>
      <c r="O248" s="3" t="s">
        <v>205</v>
      </c>
      <c r="P248" s="4">
        <v>1075.280029</v>
      </c>
      <c r="Q248" s="4">
        <v>981.20709199999999</v>
      </c>
      <c r="R248" s="4">
        <v>862.76666299999999</v>
      </c>
      <c r="U248" s="3" t="s">
        <v>205</v>
      </c>
      <c r="V248" s="4">
        <v>909.63000499999998</v>
      </c>
      <c r="W248" s="4">
        <v>937.60632299999997</v>
      </c>
      <c r="X248" s="4">
        <v>1054.809814</v>
      </c>
    </row>
    <row r="249" spans="1:24" x14ac:dyDescent="0.3">
      <c r="A249" s="3" t="s">
        <v>207</v>
      </c>
      <c r="B249" s="4">
        <v>892.67394999999999</v>
      </c>
      <c r="C249" s="4">
        <v>902.66839600000003</v>
      </c>
      <c r="D249" s="4">
        <v>1019.6345209999999</v>
      </c>
      <c r="I249" s="3" t="s">
        <v>207</v>
      </c>
      <c r="J249" s="4">
        <v>823.70959500000004</v>
      </c>
      <c r="K249" s="4">
        <v>838.493469</v>
      </c>
      <c r="L249" s="4">
        <v>926.701233</v>
      </c>
      <c r="M249" s="12"/>
      <c r="O249" s="3" t="s">
        <v>207</v>
      </c>
      <c r="P249" s="4">
        <v>947.70959500000004</v>
      </c>
      <c r="Q249" s="4">
        <v>885.34429899999998</v>
      </c>
      <c r="R249" s="4">
        <v>863.577271</v>
      </c>
      <c r="U249" s="3" t="s">
        <v>207</v>
      </c>
      <c r="V249" s="4">
        <v>879.45306400000004</v>
      </c>
      <c r="W249" s="4">
        <v>850.50830099999996</v>
      </c>
      <c r="X249" s="4">
        <v>941.69305399999996</v>
      </c>
    </row>
    <row r="250" spans="1:24" x14ac:dyDescent="0.3">
      <c r="A250" s="3" t="s">
        <v>209</v>
      </c>
      <c r="B250" s="4">
        <v>879.33618200000001</v>
      </c>
      <c r="C250" s="4">
        <v>873.21307400000001</v>
      </c>
      <c r="D250" s="4">
        <v>1045.1875</v>
      </c>
      <c r="I250" s="3" t="s">
        <v>209</v>
      </c>
      <c r="J250" s="4">
        <v>802.61377000000005</v>
      </c>
      <c r="K250" s="4">
        <v>849.70825200000002</v>
      </c>
      <c r="L250" s="4">
        <v>971.104919</v>
      </c>
      <c r="M250" s="12"/>
      <c r="O250" s="3" t="s">
        <v>209</v>
      </c>
      <c r="P250" s="4">
        <v>743.90649399999995</v>
      </c>
      <c r="Q250" s="4">
        <v>909.64550799999995</v>
      </c>
      <c r="R250" s="4">
        <v>1009.880981</v>
      </c>
      <c r="U250" s="3" t="s">
        <v>209</v>
      </c>
      <c r="V250" s="4">
        <v>685.73101799999995</v>
      </c>
      <c r="W250" s="4">
        <v>834.97576900000001</v>
      </c>
      <c r="X250" s="4">
        <v>950.86389199999996</v>
      </c>
    </row>
    <row r="251" spans="1:24" x14ac:dyDescent="0.3">
      <c r="A251" s="3" t="s">
        <v>211</v>
      </c>
      <c r="B251" s="4">
        <v>923.92132600000002</v>
      </c>
      <c r="C251" s="4">
        <v>939.828979</v>
      </c>
      <c r="D251" s="4">
        <v>1050.771606</v>
      </c>
      <c r="I251" s="3" t="s">
        <v>211</v>
      </c>
      <c r="J251" s="4">
        <v>864.67895499999997</v>
      </c>
      <c r="K251" s="4">
        <v>889.57141100000001</v>
      </c>
      <c r="L251" s="4">
        <v>939.24823000000004</v>
      </c>
      <c r="M251" s="12"/>
      <c r="O251" s="3" t="s">
        <v>211</v>
      </c>
      <c r="P251" s="4">
        <v>996.03735400000005</v>
      </c>
      <c r="Q251" s="4">
        <v>941.14215100000001</v>
      </c>
      <c r="R251" s="4">
        <v>854.39648399999999</v>
      </c>
      <c r="U251" s="3" t="s">
        <v>211</v>
      </c>
      <c r="V251" s="4">
        <v>789.24456799999996</v>
      </c>
      <c r="W251" s="4">
        <v>883.49017300000003</v>
      </c>
      <c r="X251" s="4">
        <v>986.84020999999996</v>
      </c>
    </row>
    <row r="252" spans="1:24" x14ac:dyDescent="0.3">
      <c r="A252" s="3" t="s">
        <v>213</v>
      </c>
      <c r="B252" s="4">
        <v>916.23138400000005</v>
      </c>
      <c r="C252" s="4">
        <v>946.70416299999999</v>
      </c>
      <c r="D252" s="4">
        <v>797.57910200000003</v>
      </c>
      <c r="I252" s="3" t="s">
        <v>213</v>
      </c>
      <c r="J252" s="4">
        <v>896.51104699999996</v>
      </c>
      <c r="K252" s="4">
        <v>913.08496100000002</v>
      </c>
      <c r="L252" s="4">
        <v>735.37683100000004</v>
      </c>
      <c r="M252" s="12"/>
      <c r="O252" s="3" t="s">
        <v>213</v>
      </c>
      <c r="P252" s="4">
        <v>835.36084000000005</v>
      </c>
      <c r="Q252" s="4">
        <v>966.07275400000003</v>
      </c>
      <c r="R252" s="4">
        <v>923.01483199999996</v>
      </c>
      <c r="U252" s="3" t="s">
        <v>213</v>
      </c>
      <c r="V252" s="4">
        <v>728.229736</v>
      </c>
      <c r="W252" s="4">
        <v>938.15905799999996</v>
      </c>
      <c r="X252" s="4">
        <v>769.42083700000001</v>
      </c>
    </row>
    <row r="253" spans="1:24" x14ac:dyDescent="0.3">
      <c r="A253" s="3" t="s">
        <v>215</v>
      </c>
      <c r="B253" s="4">
        <v>1014.385681</v>
      </c>
      <c r="C253" s="4">
        <v>1043.5002440000001</v>
      </c>
      <c r="D253" s="4">
        <v>977.084473</v>
      </c>
      <c r="I253" s="3" t="s">
        <v>215</v>
      </c>
      <c r="J253" s="4">
        <v>980.00140399999998</v>
      </c>
      <c r="K253" s="4">
        <v>1002.036011</v>
      </c>
      <c r="L253" s="4">
        <v>1176.1429439999999</v>
      </c>
      <c r="M253" s="12"/>
      <c r="O253" s="3" t="s">
        <v>215</v>
      </c>
      <c r="P253" s="4">
        <v>928.05456500000003</v>
      </c>
      <c r="Q253" s="4">
        <v>1048.3717039999999</v>
      </c>
      <c r="R253" s="4">
        <v>1253.8897710000001</v>
      </c>
      <c r="U253" s="3" t="s">
        <v>215</v>
      </c>
      <c r="V253" s="4">
        <v>1154.9323730000001</v>
      </c>
      <c r="W253" s="4">
        <v>981.07708700000001</v>
      </c>
      <c r="X253" s="4">
        <v>1049.2467039999999</v>
      </c>
    </row>
    <row r="254" spans="1:24" x14ac:dyDescent="0.3">
      <c r="A254" s="3" t="s">
        <v>217</v>
      </c>
      <c r="B254" s="4">
        <v>1031.9259030000001</v>
      </c>
      <c r="C254" s="4">
        <v>1075.3713379999999</v>
      </c>
      <c r="D254" s="4">
        <v>1170.4914550000001</v>
      </c>
      <c r="I254" s="3" t="s">
        <v>217</v>
      </c>
      <c r="J254" s="4">
        <v>1004.4351810000001</v>
      </c>
      <c r="K254" s="4">
        <v>1042.5321039999999</v>
      </c>
      <c r="L254" s="4">
        <v>863.42749000000003</v>
      </c>
      <c r="M254" s="12"/>
      <c r="O254" s="3" t="s">
        <v>217</v>
      </c>
      <c r="P254" s="4">
        <v>1081.674438</v>
      </c>
      <c r="Q254" s="4">
        <v>1058.973999</v>
      </c>
      <c r="R254" s="4">
        <v>1231.483154</v>
      </c>
      <c r="U254" s="3" t="s">
        <v>217</v>
      </c>
      <c r="V254" s="4">
        <v>1223.4361570000001</v>
      </c>
      <c r="W254" s="4">
        <v>1050.9520259999999</v>
      </c>
      <c r="X254" s="4">
        <v>1291.4254149999999</v>
      </c>
    </row>
    <row r="255" spans="1:24" x14ac:dyDescent="0.3">
      <c r="A255" s="3" t="s">
        <v>219</v>
      </c>
      <c r="B255" s="4">
        <v>1037.631836</v>
      </c>
      <c r="C255" s="4">
        <v>1062.2257079999999</v>
      </c>
      <c r="D255" s="4">
        <v>1127.346313</v>
      </c>
      <c r="I255" s="3" t="s">
        <v>219</v>
      </c>
      <c r="J255" s="4">
        <v>1019.759094</v>
      </c>
      <c r="K255" s="4">
        <v>1055.246216</v>
      </c>
      <c r="L255" s="4">
        <v>1232.7028809999999</v>
      </c>
      <c r="M255" s="12"/>
      <c r="O255" s="3" t="s">
        <v>219</v>
      </c>
      <c r="P255" s="4">
        <v>1205.9377440000001</v>
      </c>
      <c r="Q255" s="4">
        <v>1070.009033</v>
      </c>
      <c r="R255" s="4">
        <v>1126.8945309999999</v>
      </c>
      <c r="U255" s="3" t="s">
        <v>219</v>
      </c>
      <c r="V255" s="4">
        <v>1168.930664</v>
      </c>
      <c r="W255" s="4">
        <v>1053.1704099999999</v>
      </c>
      <c r="X255" s="4">
        <v>1177.4423830000001</v>
      </c>
    </row>
    <row r="256" spans="1:24" x14ac:dyDescent="0.3">
      <c r="A256" s="3" t="s">
        <v>221</v>
      </c>
      <c r="B256" s="4">
        <v>982.07775900000001</v>
      </c>
      <c r="C256" s="4">
        <v>1019.408997</v>
      </c>
      <c r="D256" s="4">
        <v>938.475281</v>
      </c>
      <c r="I256" s="3" t="s">
        <v>221</v>
      </c>
      <c r="J256" s="4">
        <v>925.73260500000004</v>
      </c>
      <c r="K256" s="4">
        <v>950.504639</v>
      </c>
      <c r="L256" s="4">
        <v>1112.8675539999999</v>
      </c>
      <c r="M256" s="12"/>
      <c r="O256" s="3" t="s">
        <v>221</v>
      </c>
      <c r="P256" s="4">
        <v>1122.0457759999999</v>
      </c>
      <c r="Q256" s="4">
        <v>1012.687805</v>
      </c>
      <c r="R256" s="4">
        <v>1168.4666749999999</v>
      </c>
      <c r="U256" s="3" t="s">
        <v>221</v>
      </c>
      <c r="V256" s="4">
        <v>1064.3460689999999</v>
      </c>
      <c r="W256" s="4">
        <v>965.90991199999996</v>
      </c>
      <c r="X256" s="4">
        <v>1096.3854980000001</v>
      </c>
    </row>
    <row r="257" spans="1:24" x14ac:dyDescent="0.3">
      <c r="A257" s="3" t="s">
        <v>223</v>
      </c>
      <c r="B257" s="4">
        <v>1078.3679199999999</v>
      </c>
      <c r="C257" s="4">
        <v>1117.836548</v>
      </c>
      <c r="D257" s="4">
        <v>1236.334595</v>
      </c>
      <c r="I257" s="3" t="s">
        <v>223</v>
      </c>
      <c r="J257" s="4">
        <v>1042.91687</v>
      </c>
      <c r="K257" s="4">
        <v>1077.8717039999999</v>
      </c>
      <c r="L257" s="4">
        <v>983.903503</v>
      </c>
      <c r="M257" s="12"/>
      <c r="O257" s="3" t="s">
        <v>223</v>
      </c>
      <c r="P257" s="4">
        <v>1153.4157709999999</v>
      </c>
      <c r="Q257" s="4">
        <v>1123.084595</v>
      </c>
      <c r="R257" s="4">
        <v>928.93603499999995</v>
      </c>
      <c r="U257" s="3" t="s">
        <v>223</v>
      </c>
      <c r="V257" s="4">
        <v>837.43402100000003</v>
      </c>
      <c r="W257" s="4">
        <v>1087.411499</v>
      </c>
      <c r="X257" s="4">
        <v>1142.998047</v>
      </c>
    </row>
    <row r="258" spans="1:24" x14ac:dyDescent="0.3">
      <c r="A258" s="3" t="s">
        <v>225</v>
      </c>
      <c r="B258" s="4">
        <v>994.72357199999999</v>
      </c>
      <c r="C258" s="4">
        <v>1038.734009</v>
      </c>
      <c r="D258" s="4">
        <v>1160.613159</v>
      </c>
      <c r="I258" s="3" t="s">
        <v>225</v>
      </c>
      <c r="J258" s="4">
        <v>966.62097200000005</v>
      </c>
      <c r="K258" s="4">
        <v>972.23223900000005</v>
      </c>
      <c r="L258" s="4">
        <v>1102.3466800000001</v>
      </c>
      <c r="M258" s="12"/>
      <c r="O258" s="3" t="s">
        <v>225</v>
      </c>
      <c r="P258" s="4">
        <v>899.81207300000005</v>
      </c>
      <c r="Q258" s="4">
        <v>1045.4221190000001</v>
      </c>
      <c r="R258" s="4">
        <v>1112.203125</v>
      </c>
      <c r="U258" s="3" t="s">
        <v>225</v>
      </c>
      <c r="V258" s="4">
        <v>1184.6914059999999</v>
      </c>
      <c r="W258" s="4">
        <v>970.54357900000002</v>
      </c>
      <c r="X258" s="4">
        <v>984.88336200000003</v>
      </c>
    </row>
    <row r="259" spans="1:24" x14ac:dyDescent="0.3">
      <c r="A259" s="3" t="s">
        <v>227</v>
      </c>
      <c r="B259" s="4">
        <v>996.33300799999995</v>
      </c>
      <c r="C259" s="4">
        <v>1007.549988</v>
      </c>
      <c r="D259" s="4">
        <v>1151.8873289999999</v>
      </c>
      <c r="I259" s="3" t="s">
        <v>227</v>
      </c>
      <c r="J259" s="4">
        <v>952.65362500000003</v>
      </c>
      <c r="K259" s="4">
        <v>954.20574999999997</v>
      </c>
      <c r="L259" s="4">
        <v>1120.5852050000001</v>
      </c>
      <c r="M259" s="12"/>
      <c r="O259" s="3" t="s">
        <v>227</v>
      </c>
      <c r="P259" s="4">
        <v>938.00878899999998</v>
      </c>
      <c r="Q259" s="4">
        <v>1014.8773190000001</v>
      </c>
      <c r="R259" s="4">
        <v>939.82959000000005</v>
      </c>
      <c r="U259" s="3" t="s">
        <v>227</v>
      </c>
      <c r="V259" s="4">
        <v>1078.2969969999999</v>
      </c>
      <c r="W259" s="4">
        <v>970.54931599999998</v>
      </c>
      <c r="X259" s="4">
        <v>1151.255249</v>
      </c>
    </row>
    <row r="260" spans="1:24" x14ac:dyDescent="0.3">
      <c r="A260" s="3" t="s">
        <v>229</v>
      </c>
      <c r="B260" s="4">
        <v>1077.3245850000001</v>
      </c>
      <c r="C260" s="4">
        <v>1036.4095460000001</v>
      </c>
      <c r="D260" s="4">
        <v>1069.4854740000001</v>
      </c>
      <c r="I260" s="3" t="s">
        <v>229</v>
      </c>
      <c r="J260" s="4">
        <v>1031.559082</v>
      </c>
      <c r="K260" s="4">
        <v>1022.156372</v>
      </c>
      <c r="L260" s="4">
        <v>1043.8321530000001</v>
      </c>
      <c r="M260" s="12"/>
      <c r="O260" s="3" t="s">
        <v>229</v>
      </c>
      <c r="P260" s="4">
        <v>864.15283199999999</v>
      </c>
      <c r="Q260" s="4">
        <v>1044.086914</v>
      </c>
      <c r="R260" s="4">
        <v>1241.573975</v>
      </c>
      <c r="U260" s="3" t="s">
        <v>229</v>
      </c>
      <c r="V260" s="4">
        <v>1189.073975</v>
      </c>
      <c r="W260" s="4">
        <v>1026.446899</v>
      </c>
      <c r="X260" s="4">
        <v>1086.7197269999999</v>
      </c>
    </row>
    <row r="261" spans="1:24" x14ac:dyDescent="0.3">
      <c r="A261" s="3" t="s">
        <v>231</v>
      </c>
      <c r="B261" s="4">
        <v>939.11566200000004</v>
      </c>
      <c r="C261" s="4">
        <v>971.09667999999999</v>
      </c>
      <c r="D261" s="4">
        <v>802.87841800000001</v>
      </c>
      <c r="I261" s="3" t="s">
        <v>231</v>
      </c>
      <c r="J261" s="4">
        <v>937.78308100000004</v>
      </c>
      <c r="K261" s="4">
        <v>964.94097899999997</v>
      </c>
      <c r="L261" s="4">
        <v>850.93298300000004</v>
      </c>
      <c r="M261" s="12"/>
      <c r="O261" s="3" t="s">
        <v>231</v>
      </c>
      <c r="P261" s="4">
        <v>1157.1058350000001</v>
      </c>
      <c r="Q261" s="4">
        <v>995.67126499999995</v>
      </c>
      <c r="R261" s="4">
        <v>1147.900024</v>
      </c>
      <c r="U261" s="3" t="s">
        <v>231</v>
      </c>
      <c r="V261" s="4">
        <v>1057.1866460000001</v>
      </c>
      <c r="W261" s="4">
        <v>941.501892</v>
      </c>
      <c r="X261" s="4">
        <v>1008.796814</v>
      </c>
    </row>
    <row r="262" spans="1:24" x14ac:dyDescent="0.3">
      <c r="A262" s="3" t="s">
        <v>233</v>
      </c>
      <c r="B262" s="4">
        <v>1024.7148440000001</v>
      </c>
      <c r="C262" s="4">
        <v>1045.4617920000001</v>
      </c>
      <c r="D262" s="4">
        <v>1177.995361</v>
      </c>
      <c r="I262" s="3" t="s">
        <v>233</v>
      </c>
      <c r="J262" s="4">
        <v>988.91381799999999</v>
      </c>
      <c r="K262" s="4">
        <v>1022.562866</v>
      </c>
      <c r="L262" s="4">
        <v>1049.901611</v>
      </c>
      <c r="M262" s="12"/>
      <c r="O262" s="3" t="s">
        <v>233</v>
      </c>
      <c r="P262" s="4">
        <v>1196.2741699999999</v>
      </c>
      <c r="Q262" s="4">
        <v>1034.917725</v>
      </c>
      <c r="R262" s="4">
        <v>1219.903442</v>
      </c>
      <c r="U262" s="3" t="s">
        <v>233</v>
      </c>
      <c r="V262" s="4">
        <v>906.97058100000004</v>
      </c>
      <c r="W262" s="4">
        <v>1004.617432</v>
      </c>
      <c r="X262" s="4">
        <v>1223.854126</v>
      </c>
    </row>
    <row r="263" spans="1:24" x14ac:dyDescent="0.3">
      <c r="A263" s="3" t="s">
        <v>235</v>
      </c>
      <c r="B263" s="4">
        <v>1031.9842530000001</v>
      </c>
      <c r="C263" s="4">
        <v>1111.42749</v>
      </c>
      <c r="D263" s="4">
        <v>1309.2692870000001</v>
      </c>
      <c r="I263" s="3" t="s">
        <v>235</v>
      </c>
      <c r="J263" s="4">
        <v>1032.2100829999999</v>
      </c>
      <c r="K263" s="4">
        <v>1092.983643</v>
      </c>
      <c r="L263" s="4">
        <v>1123.2208250000001</v>
      </c>
      <c r="M263" s="12"/>
      <c r="O263" s="3" t="s">
        <v>235</v>
      </c>
      <c r="P263" s="4">
        <v>1288.5067140000001</v>
      </c>
      <c r="Q263" s="4">
        <v>1104.0223390000001</v>
      </c>
      <c r="R263" s="4">
        <v>903.96435499999995</v>
      </c>
      <c r="U263" s="3" t="s">
        <v>235</v>
      </c>
      <c r="V263" s="4">
        <v>1308.415039</v>
      </c>
      <c r="W263" s="4">
        <v>1064.7039789999999</v>
      </c>
      <c r="X263" s="4">
        <v>1155.762817</v>
      </c>
    </row>
    <row r="264" spans="1:24" x14ac:dyDescent="0.3">
      <c r="A264" s="3" t="s">
        <v>237</v>
      </c>
      <c r="B264" s="4">
        <v>1076.0958250000001</v>
      </c>
      <c r="C264" s="4">
        <v>1112.5347899999999</v>
      </c>
      <c r="D264" s="4">
        <v>1343.505615</v>
      </c>
      <c r="I264" s="3" t="s">
        <v>237</v>
      </c>
      <c r="J264" s="4">
        <v>1072.9780270000001</v>
      </c>
      <c r="K264" s="4">
        <v>1103.5615230000001</v>
      </c>
      <c r="L264" s="4">
        <v>1121.5070800000001</v>
      </c>
      <c r="M264" s="12"/>
      <c r="O264" s="3" t="s">
        <v>237</v>
      </c>
      <c r="P264" s="4">
        <v>888.72827099999995</v>
      </c>
      <c r="Q264" s="4">
        <v>1128.7998050000001</v>
      </c>
      <c r="R264" s="4">
        <v>1305.890259</v>
      </c>
      <c r="U264" s="3" t="s">
        <v>237</v>
      </c>
      <c r="V264" s="4">
        <v>1285.1137699999999</v>
      </c>
      <c r="W264" s="4">
        <v>1086.5162350000001</v>
      </c>
      <c r="X264" s="4">
        <v>1229.8115230000001</v>
      </c>
    </row>
    <row r="265" spans="1:24" x14ac:dyDescent="0.3">
      <c r="A265" s="3" t="s">
        <v>239</v>
      </c>
      <c r="B265" s="4">
        <v>1121.3854980000001</v>
      </c>
      <c r="C265" s="4">
        <v>1177.768677</v>
      </c>
      <c r="D265" s="4">
        <v>1455.5083010000001</v>
      </c>
      <c r="I265" s="3" t="s">
        <v>239</v>
      </c>
      <c r="J265" s="4">
        <v>1081.10376</v>
      </c>
      <c r="K265" s="4">
        <v>1141.6857910000001</v>
      </c>
      <c r="L265" s="4">
        <v>1107.529053</v>
      </c>
      <c r="M265" s="12"/>
      <c r="O265" s="3" t="s">
        <v>239</v>
      </c>
      <c r="P265" s="4">
        <v>892.90289299999995</v>
      </c>
      <c r="Q265" s="4">
        <v>1186.171143</v>
      </c>
      <c r="R265" s="4">
        <v>1487.0789789999999</v>
      </c>
      <c r="U265" s="3" t="s">
        <v>239</v>
      </c>
      <c r="V265" s="4">
        <v>1399.987061</v>
      </c>
      <c r="W265" s="4">
        <v>1142.6845699999999</v>
      </c>
      <c r="X265" s="4">
        <v>1279.563232</v>
      </c>
    </row>
    <row r="266" spans="1:24" x14ac:dyDescent="0.3">
      <c r="A266" s="3" t="s">
        <v>241</v>
      </c>
      <c r="B266" s="4">
        <v>1064.5008539999999</v>
      </c>
      <c r="C266" s="4">
        <v>1095.1072999999999</v>
      </c>
      <c r="D266" s="4">
        <v>1315.493164</v>
      </c>
      <c r="I266" s="3" t="s">
        <v>241</v>
      </c>
      <c r="J266" s="4">
        <v>1039.0943600000001</v>
      </c>
      <c r="K266" s="4">
        <v>1045.5023189999999</v>
      </c>
      <c r="L266" s="4">
        <v>1034.9086910000001</v>
      </c>
      <c r="M266" s="12"/>
      <c r="O266" s="3" t="s">
        <v>241</v>
      </c>
      <c r="P266" s="4">
        <v>1159.0649410000001</v>
      </c>
      <c r="Q266" s="4">
        <v>1093.7373050000001</v>
      </c>
      <c r="R266" s="4">
        <v>1288.5657960000001</v>
      </c>
      <c r="U266" s="3" t="s">
        <v>241</v>
      </c>
      <c r="V266" s="4">
        <v>1279.8013920000001</v>
      </c>
      <c r="W266" s="4">
        <v>1062.70874</v>
      </c>
      <c r="X266" s="4">
        <v>1315.200439</v>
      </c>
    </row>
    <row r="267" spans="1:24" x14ac:dyDescent="0.3">
      <c r="A267" s="3" t="s">
        <v>243</v>
      </c>
      <c r="B267" s="4">
        <v>1133.727173</v>
      </c>
      <c r="C267" s="4">
        <v>1218.4331050000001</v>
      </c>
      <c r="D267" s="4">
        <v>1236.799683</v>
      </c>
      <c r="I267" s="3" t="s">
        <v>243</v>
      </c>
      <c r="J267" s="4">
        <v>1148.880371</v>
      </c>
      <c r="K267" s="4">
        <v>1189.581909</v>
      </c>
      <c r="L267" s="4">
        <v>1530.826172</v>
      </c>
      <c r="M267" s="12"/>
      <c r="O267" s="3" t="s">
        <v>243</v>
      </c>
      <c r="P267" s="4">
        <v>1010.072693</v>
      </c>
      <c r="Q267" s="4">
        <v>1223.4604489999999</v>
      </c>
      <c r="R267" s="4">
        <v>1419.634888</v>
      </c>
      <c r="U267" s="3" t="s">
        <v>243</v>
      </c>
      <c r="V267" s="4">
        <v>1196.534668</v>
      </c>
      <c r="W267" s="4">
        <v>1210.9647219999999</v>
      </c>
      <c r="X267" s="4">
        <v>936.35797100000002</v>
      </c>
    </row>
    <row r="268" spans="1:24" x14ac:dyDescent="0.3">
      <c r="A268" s="3" t="s">
        <v>245</v>
      </c>
      <c r="B268" s="4">
        <v>1170.4904790000001</v>
      </c>
      <c r="C268" s="4">
        <v>1216.8789059999999</v>
      </c>
      <c r="D268" s="4">
        <v>1025.7016599999999</v>
      </c>
      <c r="I268" s="3" t="s">
        <v>245</v>
      </c>
      <c r="J268" s="4">
        <v>1138.998169</v>
      </c>
      <c r="K268" s="4">
        <v>1167.6392820000001</v>
      </c>
      <c r="L268" s="4">
        <v>1263.467529</v>
      </c>
      <c r="M268" s="12"/>
      <c r="O268" s="3" t="s">
        <v>245</v>
      </c>
      <c r="P268" s="4">
        <v>1382.552612</v>
      </c>
      <c r="Q268" s="4">
        <v>1209.255249</v>
      </c>
      <c r="R268" s="4">
        <v>1217.0045170000001</v>
      </c>
      <c r="U268" s="3" t="s">
        <v>245</v>
      </c>
      <c r="V268" s="4">
        <v>1145.087524</v>
      </c>
      <c r="W268" s="4">
        <v>1198.158081</v>
      </c>
      <c r="X268" s="4">
        <v>1389.8446039999999</v>
      </c>
    </row>
    <row r="269" spans="1:24" x14ac:dyDescent="0.3">
      <c r="A269" s="3" t="s">
        <v>247</v>
      </c>
      <c r="B269" s="4">
        <v>1022.055908</v>
      </c>
      <c r="C269" s="4">
        <v>1041.85022</v>
      </c>
      <c r="D269" s="4">
        <v>863.61450200000002</v>
      </c>
      <c r="I269" s="3" t="s">
        <v>247</v>
      </c>
      <c r="J269" s="4">
        <v>993.74890100000005</v>
      </c>
      <c r="K269" s="4">
        <v>1026.1936040000001</v>
      </c>
      <c r="L269" s="4">
        <v>1151.6552730000001</v>
      </c>
      <c r="M269" s="12"/>
      <c r="O269" s="3" t="s">
        <v>247</v>
      </c>
      <c r="P269" s="4">
        <v>1188.103394</v>
      </c>
      <c r="Q269" s="4">
        <v>1056.467529</v>
      </c>
      <c r="R269" s="4">
        <v>940.62457300000005</v>
      </c>
      <c r="U269" s="3" t="s">
        <v>247</v>
      </c>
      <c r="V269" s="4">
        <v>874.676331</v>
      </c>
      <c r="W269" s="4">
        <v>1042.224365</v>
      </c>
      <c r="X269" s="4">
        <v>1278.690186</v>
      </c>
    </row>
    <row r="270" spans="1:24" x14ac:dyDescent="0.3">
      <c r="A270" s="3" t="s">
        <v>249</v>
      </c>
      <c r="B270" s="4">
        <v>1115.928345</v>
      </c>
      <c r="C270" s="4">
        <v>1153.244629</v>
      </c>
      <c r="D270" s="4">
        <v>1060.0360109999999</v>
      </c>
      <c r="I270" s="3" t="s">
        <v>249</v>
      </c>
      <c r="J270" s="4">
        <v>1106.5699460000001</v>
      </c>
      <c r="K270" s="4">
        <v>1160.0714109999999</v>
      </c>
      <c r="L270" s="4">
        <v>1227.2082519999999</v>
      </c>
      <c r="M270" s="12"/>
      <c r="O270" s="3" t="s">
        <v>249</v>
      </c>
      <c r="P270" s="4">
        <v>1420.141357</v>
      </c>
      <c r="Q270" s="4">
        <v>1145.193237</v>
      </c>
      <c r="R270" s="4">
        <v>987.37072799999999</v>
      </c>
      <c r="U270" s="3" t="s">
        <v>249</v>
      </c>
      <c r="V270" s="4">
        <v>1009.533386</v>
      </c>
      <c r="W270" s="4">
        <v>1112.7974850000001</v>
      </c>
      <c r="X270" s="4">
        <v>1479.6573490000001</v>
      </c>
    </row>
    <row r="271" spans="1:24" x14ac:dyDescent="0.3">
      <c r="A271" s="3" t="s">
        <v>251</v>
      </c>
      <c r="B271" s="4">
        <v>1123.8942870000001</v>
      </c>
      <c r="C271" s="4">
        <v>1148.55249</v>
      </c>
      <c r="D271" s="4">
        <v>1042.052246</v>
      </c>
      <c r="I271" s="3" t="s">
        <v>251</v>
      </c>
      <c r="J271" s="4">
        <v>1060.976318</v>
      </c>
      <c r="K271" s="4">
        <v>1122.6743160000001</v>
      </c>
      <c r="L271" s="4">
        <v>1214.9257809999999</v>
      </c>
      <c r="M271" s="12"/>
      <c r="O271" s="3" t="s">
        <v>251</v>
      </c>
      <c r="P271" s="4">
        <v>1204.3895259999999</v>
      </c>
      <c r="Q271" s="4">
        <v>1114.272095</v>
      </c>
      <c r="R271" s="4">
        <v>1304.485107</v>
      </c>
      <c r="U271" s="3" t="s">
        <v>251</v>
      </c>
      <c r="V271" s="4">
        <v>1229.1667480000001</v>
      </c>
      <c r="W271" s="4">
        <v>1128.7219239999999</v>
      </c>
      <c r="X271" s="4">
        <v>944.37164299999995</v>
      </c>
    </row>
    <row r="272" spans="1:24" x14ac:dyDescent="0.3">
      <c r="A272" s="3" t="s">
        <v>253</v>
      </c>
      <c r="B272" s="4">
        <v>1145.8729249999999</v>
      </c>
      <c r="C272" s="4">
        <v>1185.3977050000001</v>
      </c>
      <c r="D272" s="4">
        <v>1159.5375979999999</v>
      </c>
      <c r="I272" s="3" t="s">
        <v>253</v>
      </c>
      <c r="J272" s="4">
        <v>1133.9616699999999</v>
      </c>
      <c r="K272" s="4">
        <v>1179.795288</v>
      </c>
      <c r="L272" s="4">
        <v>1272.0928960000001</v>
      </c>
      <c r="M272" s="12"/>
      <c r="O272" s="3" t="s">
        <v>253</v>
      </c>
      <c r="P272" s="4">
        <v>1400.1793210000001</v>
      </c>
      <c r="Q272" s="4">
        <v>1175.5426030000001</v>
      </c>
      <c r="R272" s="4">
        <v>1098.0473629999999</v>
      </c>
      <c r="U272" s="3" t="s">
        <v>253</v>
      </c>
      <c r="V272" s="4">
        <v>1581.9533690000001</v>
      </c>
      <c r="W272" s="4">
        <v>1177.6599120000001</v>
      </c>
      <c r="X272" s="4">
        <v>1560.5751949999999</v>
      </c>
    </row>
    <row r="273" spans="1:24" x14ac:dyDescent="0.3">
      <c r="A273" s="3" t="s">
        <v>255</v>
      </c>
      <c r="B273" s="4">
        <v>1008.811523</v>
      </c>
      <c r="C273" s="4">
        <v>1037.6391599999999</v>
      </c>
      <c r="D273" s="4">
        <v>860.48821999999996</v>
      </c>
      <c r="I273" s="3" t="s">
        <v>255</v>
      </c>
      <c r="J273" s="4">
        <v>953.12335199999995</v>
      </c>
      <c r="K273" s="4">
        <v>986.00732400000004</v>
      </c>
      <c r="L273" s="4">
        <v>778.04431199999999</v>
      </c>
      <c r="M273" s="12"/>
      <c r="O273" s="3" t="s">
        <v>255</v>
      </c>
      <c r="P273" s="4">
        <v>859.60595699999999</v>
      </c>
      <c r="Q273" s="4">
        <v>1033.623779</v>
      </c>
      <c r="R273" s="4">
        <v>860.48821999999996</v>
      </c>
      <c r="U273" s="3" t="s">
        <v>255</v>
      </c>
      <c r="V273" s="4">
        <v>778.01696800000002</v>
      </c>
      <c r="W273" s="4">
        <v>985.75207499999999</v>
      </c>
      <c r="X273" s="4">
        <v>778.04431199999999</v>
      </c>
    </row>
    <row r="274" spans="1:24" x14ac:dyDescent="0.3">
      <c r="A274" s="3" t="s">
        <v>257</v>
      </c>
      <c r="B274" s="4">
        <v>980.29272500000002</v>
      </c>
      <c r="C274" s="4">
        <v>1010.755615</v>
      </c>
      <c r="D274" s="4">
        <v>1103.81665</v>
      </c>
      <c r="I274" s="3" t="s">
        <v>257</v>
      </c>
      <c r="J274" s="4">
        <v>934.64373799999998</v>
      </c>
      <c r="K274" s="4">
        <v>937.88281199999994</v>
      </c>
      <c r="L274" s="4">
        <v>965.34362799999997</v>
      </c>
      <c r="M274" s="12"/>
      <c r="O274" s="3" t="s">
        <v>257</v>
      </c>
      <c r="P274" s="4">
        <v>941.70666500000004</v>
      </c>
      <c r="Q274" s="4">
        <v>997.30371100000002</v>
      </c>
      <c r="R274" s="4">
        <v>930.69281000000001</v>
      </c>
      <c r="U274" s="3" t="s">
        <v>257</v>
      </c>
      <c r="V274" s="4">
        <v>1099.5444339999999</v>
      </c>
      <c r="W274" s="4">
        <v>972.30914299999995</v>
      </c>
      <c r="X274" s="4">
        <v>1026.3488769999999</v>
      </c>
    </row>
    <row r="275" spans="1:24" x14ac:dyDescent="0.3">
      <c r="A275" s="3" t="s">
        <v>259</v>
      </c>
      <c r="B275" s="4">
        <v>1012.203796</v>
      </c>
      <c r="C275" s="4">
        <v>1025.7624510000001</v>
      </c>
      <c r="D275" s="4">
        <v>1140.1549070000001</v>
      </c>
      <c r="I275" s="3" t="s">
        <v>259</v>
      </c>
      <c r="J275" s="4">
        <v>940.53692599999999</v>
      </c>
      <c r="K275" s="4">
        <v>979.68316700000003</v>
      </c>
      <c r="L275" s="4">
        <v>937.44152799999995</v>
      </c>
      <c r="M275" s="12"/>
      <c r="O275" s="3" t="s">
        <v>259</v>
      </c>
      <c r="P275" s="4">
        <v>1133.3706050000001</v>
      </c>
      <c r="Q275" s="4">
        <v>1025.1523440000001</v>
      </c>
      <c r="R275" s="4">
        <v>1017.998352</v>
      </c>
      <c r="U275" s="3" t="s">
        <v>259</v>
      </c>
      <c r="V275" s="4">
        <v>829.989014</v>
      </c>
      <c r="W275" s="4">
        <v>982.17248500000005</v>
      </c>
      <c r="X275" s="4">
        <v>1014.359375</v>
      </c>
    </row>
    <row r="276" spans="1:24" x14ac:dyDescent="0.3">
      <c r="A276" s="3" t="s">
        <v>261</v>
      </c>
      <c r="B276" s="4">
        <v>970.21673599999997</v>
      </c>
      <c r="C276" s="4">
        <v>997.81982400000004</v>
      </c>
      <c r="D276" s="4">
        <v>1035.7042240000001</v>
      </c>
      <c r="I276" s="3" t="s">
        <v>261</v>
      </c>
      <c r="J276" s="4">
        <v>898.05310099999997</v>
      </c>
      <c r="K276" s="4">
        <v>914.20495600000004</v>
      </c>
      <c r="L276" s="4">
        <v>1014.841797</v>
      </c>
      <c r="M276" s="12"/>
      <c r="O276" s="3" t="s">
        <v>261</v>
      </c>
      <c r="P276" s="4">
        <v>843.177368</v>
      </c>
      <c r="Q276" s="4">
        <v>993.76531999999997</v>
      </c>
      <c r="R276" s="4">
        <v>1082.82251</v>
      </c>
      <c r="U276" s="3" t="s">
        <v>261</v>
      </c>
      <c r="V276" s="4">
        <v>914.50921600000004</v>
      </c>
      <c r="W276" s="4">
        <v>935.41064500000005</v>
      </c>
      <c r="X276" s="4">
        <v>1044.455933</v>
      </c>
    </row>
    <row r="277" spans="1:24" x14ac:dyDescent="0.3">
      <c r="A277" s="3" t="s">
        <v>263</v>
      </c>
      <c r="B277" s="4">
        <v>999.74517800000001</v>
      </c>
      <c r="C277" s="4">
        <v>1017.228394</v>
      </c>
      <c r="D277" s="4">
        <v>944.18713400000001</v>
      </c>
      <c r="I277" s="3" t="s">
        <v>263</v>
      </c>
      <c r="J277" s="4">
        <v>944.19555700000001</v>
      </c>
      <c r="K277" s="4">
        <v>985.99969499999997</v>
      </c>
      <c r="L277" s="4">
        <v>1095.24353</v>
      </c>
      <c r="M277" s="12"/>
      <c r="O277" s="3" t="s">
        <v>263</v>
      </c>
      <c r="P277" s="4">
        <v>1095.316284</v>
      </c>
      <c r="Q277" s="4">
        <v>1017.839844</v>
      </c>
      <c r="R277" s="4">
        <v>889.314392</v>
      </c>
      <c r="U277" s="3" t="s">
        <v>263</v>
      </c>
      <c r="V277" s="4">
        <v>995.21752900000001</v>
      </c>
      <c r="W277" s="4">
        <v>967.74114999999995</v>
      </c>
      <c r="X277" s="4">
        <v>1091.5683590000001</v>
      </c>
    </row>
    <row r="278" spans="1:24" x14ac:dyDescent="0.3">
      <c r="A278" s="3" t="s">
        <v>265</v>
      </c>
      <c r="B278" s="4">
        <v>968.73394800000005</v>
      </c>
      <c r="C278" s="4">
        <v>971.59637499999997</v>
      </c>
      <c r="D278" s="4">
        <v>1008.366516</v>
      </c>
      <c r="I278" s="3" t="s">
        <v>265</v>
      </c>
      <c r="J278" s="4">
        <v>925.17773399999999</v>
      </c>
      <c r="K278" s="4">
        <v>926.19329800000003</v>
      </c>
      <c r="L278" s="4">
        <v>972.96899399999995</v>
      </c>
      <c r="M278" s="12"/>
      <c r="O278" s="3" t="s">
        <v>265</v>
      </c>
      <c r="P278" s="4">
        <v>799.29144299999996</v>
      </c>
      <c r="Q278" s="4">
        <v>1000.5692749999999</v>
      </c>
      <c r="R278" s="4">
        <v>973.01397699999995</v>
      </c>
      <c r="U278" s="3" t="s">
        <v>265</v>
      </c>
      <c r="V278" s="4">
        <v>891.547729</v>
      </c>
      <c r="W278" s="4">
        <v>957.44451900000001</v>
      </c>
      <c r="X278" s="4">
        <v>994.99188200000003</v>
      </c>
    </row>
    <row r="279" spans="1:24" x14ac:dyDescent="0.3">
      <c r="A279" s="3" t="s">
        <v>267</v>
      </c>
      <c r="B279" s="4">
        <v>1004.809021</v>
      </c>
      <c r="C279" s="4">
        <v>1041.963501</v>
      </c>
      <c r="D279" s="4">
        <v>1167.823975</v>
      </c>
      <c r="I279" s="3" t="s">
        <v>267</v>
      </c>
      <c r="J279" s="4">
        <v>979.26892099999998</v>
      </c>
      <c r="K279" s="4">
        <v>1003.553345</v>
      </c>
      <c r="L279" s="4">
        <v>1000.171814</v>
      </c>
      <c r="M279" s="12"/>
      <c r="O279" s="3" t="s">
        <v>267</v>
      </c>
      <c r="P279" s="4">
        <v>1000.898132</v>
      </c>
      <c r="Q279" s="4">
        <v>1036.9902340000001</v>
      </c>
      <c r="R279" s="4">
        <v>904.92242399999998</v>
      </c>
      <c r="U279" s="3" t="s">
        <v>267</v>
      </c>
      <c r="V279" s="4">
        <v>898.77435300000002</v>
      </c>
      <c r="W279" s="4">
        <v>998.12994400000002</v>
      </c>
      <c r="X279" s="4">
        <v>973.36456299999998</v>
      </c>
    </row>
    <row r="280" spans="1:24" x14ac:dyDescent="0.3">
      <c r="A280" s="3" t="s">
        <v>269</v>
      </c>
      <c r="B280" s="4">
        <v>971.93811000000005</v>
      </c>
      <c r="C280" s="4">
        <v>996.51062000000002</v>
      </c>
      <c r="D280" s="4">
        <v>863.18359399999997</v>
      </c>
      <c r="I280" s="3" t="s">
        <v>269</v>
      </c>
      <c r="J280" s="4">
        <v>921.38079800000003</v>
      </c>
      <c r="K280" s="4">
        <v>939.22564699999998</v>
      </c>
      <c r="L280" s="4">
        <v>1030.0229489999999</v>
      </c>
      <c r="M280" s="12"/>
      <c r="O280" s="3" t="s">
        <v>269</v>
      </c>
      <c r="P280" s="4">
        <v>1004.17572</v>
      </c>
      <c r="Q280" s="4">
        <v>980.54132100000004</v>
      </c>
      <c r="R280" s="4">
        <v>1071.009033</v>
      </c>
      <c r="U280" s="3" t="s">
        <v>269</v>
      </c>
      <c r="V280" s="4">
        <v>1078.5688479999999</v>
      </c>
      <c r="W280" s="4">
        <v>935.92034899999999</v>
      </c>
      <c r="X280" s="4">
        <v>1073.991211</v>
      </c>
    </row>
    <row r="281" spans="1:24" x14ac:dyDescent="0.3">
      <c r="A281" s="3" t="s">
        <v>271</v>
      </c>
      <c r="B281" s="4">
        <v>966.34582499999999</v>
      </c>
      <c r="C281" s="4">
        <v>997.76251200000002</v>
      </c>
      <c r="D281" s="4">
        <v>1156.3131100000001</v>
      </c>
      <c r="I281" s="3" t="s">
        <v>271</v>
      </c>
      <c r="J281" s="4">
        <v>913.469604</v>
      </c>
      <c r="K281" s="4">
        <v>963.63671899999997</v>
      </c>
      <c r="L281" s="4">
        <v>1062.8472899999999</v>
      </c>
      <c r="M281" s="12"/>
      <c r="O281" s="3" t="s">
        <v>271</v>
      </c>
      <c r="P281" s="4">
        <v>1108.476318</v>
      </c>
      <c r="Q281" s="4">
        <v>988.99792500000001</v>
      </c>
      <c r="R281" s="4">
        <v>1050.635376</v>
      </c>
      <c r="U281" s="3" t="s">
        <v>271</v>
      </c>
      <c r="V281" s="4">
        <v>966.93463099999997</v>
      </c>
      <c r="W281" s="4">
        <v>925.07605000000001</v>
      </c>
      <c r="X281" s="4">
        <v>1058.1970209999999</v>
      </c>
    </row>
    <row r="282" spans="1:24" x14ac:dyDescent="0.3">
      <c r="A282" s="3" t="s">
        <v>273</v>
      </c>
      <c r="B282" s="4">
        <v>992.40039100000001</v>
      </c>
      <c r="C282" s="4">
        <v>1019.4774169999999</v>
      </c>
      <c r="D282" s="4">
        <v>896.68231200000002</v>
      </c>
      <c r="I282" s="3" t="s">
        <v>273</v>
      </c>
      <c r="J282" s="4">
        <v>970.71710199999995</v>
      </c>
      <c r="K282" s="4">
        <v>977.91729699999996</v>
      </c>
      <c r="L282" s="4">
        <v>996.60260000000005</v>
      </c>
      <c r="M282" s="12"/>
      <c r="O282" s="3" t="s">
        <v>273</v>
      </c>
      <c r="P282" s="4">
        <v>1116.435913</v>
      </c>
      <c r="Q282" s="4">
        <v>1023.8587649999999</v>
      </c>
      <c r="R282" s="4">
        <v>921.39544699999999</v>
      </c>
      <c r="U282" s="3" t="s">
        <v>273</v>
      </c>
      <c r="V282" s="4">
        <v>980.46569799999997</v>
      </c>
      <c r="W282" s="4">
        <v>997.48669400000006</v>
      </c>
      <c r="X282" s="4">
        <v>1148.7114260000001</v>
      </c>
    </row>
    <row r="283" spans="1:24" x14ac:dyDescent="0.3">
      <c r="A283" s="3" t="s">
        <v>275</v>
      </c>
      <c r="B283" s="4">
        <v>1093.102539</v>
      </c>
      <c r="C283" s="4">
        <v>1122.4039310000001</v>
      </c>
      <c r="D283" s="4">
        <v>1257.931274</v>
      </c>
      <c r="I283" s="3" t="s">
        <v>275</v>
      </c>
      <c r="J283" s="4">
        <v>1077.3591309999999</v>
      </c>
      <c r="K283" s="4">
        <v>1116.7292480000001</v>
      </c>
      <c r="L283" s="4">
        <v>1252.791504</v>
      </c>
      <c r="M283" s="12"/>
      <c r="O283" s="3" t="s">
        <v>275</v>
      </c>
      <c r="P283" s="4">
        <v>1291.400269</v>
      </c>
      <c r="Q283" s="4">
        <v>1095.9052730000001</v>
      </c>
      <c r="R283" s="4">
        <v>1278.119019</v>
      </c>
      <c r="U283" s="3" t="s">
        <v>275</v>
      </c>
      <c r="V283" s="4">
        <v>1187.5740969999999</v>
      </c>
      <c r="W283" s="4">
        <v>1088.002197</v>
      </c>
      <c r="X283" s="4">
        <v>1346.5701899999999</v>
      </c>
    </row>
    <row r="284" spans="1:24" x14ac:dyDescent="0.3">
      <c r="A284" s="3" t="s">
        <v>277</v>
      </c>
      <c r="B284" s="4">
        <v>1000.099976</v>
      </c>
      <c r="C284" s="4">
        <v>1045.659058</v>
      </c>
      <c r="D284" s="4">
        <v>1017.958923</v>
      </c>
      <c r="I284" s="3" t="s">
        <v>277</v>
      </c>
      <c r="J284" s="4">
        <v>976.66980000000001</v>
      </c>
      <c r="K284" s="4">
        <v>1001.184631</v>
      </c>
      <c r="L284" s="4">
        <v>1177.9620359999999</v>
      </c>
      <c r="M284" s="12"/>
      <c r="O284" s="3" t="s">
        <v>277</v>
      </c>
      <c r="P284" s="4">
        <v>1160.107544</v>
      </c>
      <c r="Q284" s="4">
        <v>1049.4019780000001</v>
      </c>
      <c r="R284" s="4">
        <v>832.53051800000003</v>
      </c>
      <c r="U284" s="3" t="s">
        <v>277</v>
      </c>
      <c r="V284" s="4">
        <v>999.43859899999995</v>
      </c>
      <c r="W284" s="4">
        <v>984.03118900000004</v>
      </c>
      <c r="X284" s="4">
        <v>826.20025599999997</v>
      </c>
    </row>
    <row r="285" spans="1:24" x14ac:dyDescent="0.3">
      <c r="A285" s="3" t="s">
        <v>279</v>
      </c>
      <c r="B285" s="4">
        <v>1119.3903809999999</v>
      </c>
      <c r="C285" s="4">
        <v>1152.423828</v>
      </c>
      <c r="D285" s="4">
        <v>1298.7963870000001</v>
      </c>
      <c r="I285" s="3" t="s">
        <v>279</v>
      </c>
      <c r="J285" s="4">
        <v>1082.3125</v>
      </c>
      <c r="K285" s="4">
        <v>1124.4938959999999</v>
      </c>
      <c r="L285" s="4">
        <v>1323.560913</v>
      </c>
      <c r="M285" s="12"/>
      <c r="O285" s="3" t="s">
        <v>279</v>
      </c>
      <c r="P285" s="4">
        <v>1200.1645510000001</v>
      </c>
      <c r="Q285" s="4">
        <v>1137.634033</v>
      </c>
      <c r="R285" s="4">
        <v>1356.5787350000001</v>
      </c>
      <c r="U285" s="3" t="s">
        <v>279</v>
      </c>
      <c r="V285" s="4">
        <v>1218.7139890000001</v>
      </c>
      <c r="W285" s="4">
        <v>1136.998413</v>
      </c>
      <c r="X285" s="4">
        <v>1049.395874</v>
      </c>
    </row>
    <row r="286" spans="1:24" x14ac:dyDescent="0.3">
      <c r="A286" s="3" t="s">
        <v>281</v>
      </c>
      <c r="B286" s="4">
        <v>1037.487183</v>
      </c>
      <c r="C286" s="4">
        <v>1085.137939</v>
      </c>
      <c r="D286" s="4">
        <v>1329.212524</v>
      </c>
      <c r="I286" s="3" t="s">
        <v>281</v>
      </c>
      <c r="J286" s="4">
        <v>1048.6263429999999</v>
      </c>
      <c r="K286" s="4">
        <v>1047.301025</v>
      </c>
      <c r="L286" s="4">
        <v>1218.990601</v>
      </c>
      <c r="M286" s="12"/>
      <c r="O286" s="3" t="s">
        <v>281</v>
      </c>
      <c r="P286" s="4">
        <v>1248.3675539999999</v>
      </c>
      <c r="Q286" s="4">
        <v>1064.0299070000001</v>
      </c>
      <c r="R286" s="4">
        <v>1310.1072999999999</v>
      </c>
      <c r="U286" s="3" t="s">
        <v>281</v>
      </c>
      <c r="V286" s="4">
        <v>1303.0703120000001</v>
      </c>
      <c r="W286" s="4">
        <v>1079.3272710000001</v>
      </c>
      <c r="X286" s="4">
        <v>969.68597399999999</v>
      </c>
    </row>
    <row r="287" spans="1:24" x14ac:dyDescent="0.3">
      <c r="A287" s="3" t="s">
        <v>283</v>
      </c>
      <c r="B287" s="4">
        <v>1025.665283</v>
      </c>
      <c r="C287" s="4">
        <v>1043.223999</v>
      </c>
      <c r="D287" s="4">
        <v>890.46758999999997</v>
      </c>
      <c r="I287" s="3" t="s">
        <v>283</v>
      </c>
      <c r="J287" s="4">
        <v>989.90777600000001</v>
      </c>
      <c r="K287" s="4">
        <v>1029.793457</v>
      </c>
      <c r="L287" s="4">
        <v>831.14782700000001</v>
      </c>
      <c r="M287" s="12"/>
      <c r="O287" s="3" t="s">
        <v>283</v>
      </c>
      <c r="P287" s="4">
        <v>1194.908813</v>
      </c>
      <c r="Q287" s="4">
        <v>1055.5251459999999</v>
      </c>
      <c r="R287" s="4">
        <v>1170.946289</v>
      </c>
      <c r="U287" s="3" t="s">
        <v>283</v>
      </c>
      <c r="V287" s="4">
        <v>1121.880737</v>
      </c>
      <c r="W287" s="4">
        <v>1021.995728</v>
      </c>
      <c r="X287" s="4">
        <v>902.82019000000003</v>
      </c>
    </row>
    <row r="288" spans="1:24" x14ac:dyDescent="0.3">
      <c r="A288" s="3" t="s">
        <v>285</v>
      </c>
      <c r="B288" s="4">
        <v>1104.69165</v>
      </c>
      <c r="C288" s="4">
        <v>1129.9895019999999</v>
      </c>
      <c r="D288" s="4">
        <v>988.68133499999999</v>
      </c>
      <c r="I288" s="3" t="s">
        <v>285</v>
      </c>
      <c r="J288" s="4">
        <v>1070.1198730000001</v>
      </c>
      <c r="K288" s="4">
        <v>1075.7574460000001</v>
      </c>
      <c r="L288" s="4">
        <v>1070.862061</v>
      </c>
      <c r="M288" s="12"/>
      <c r="O288" s="3" t="s">
        <v>285</v>
      </c>
      <c r="P288" s="4">
        <v>1291.209961</v>
      </c>
      <c r="Q288" s="4">
        <v>1124.562866</v>
      </c>
      <c r="R288" s="4">
        <v>1388.861572</v>
      </c>
      <c r="U288" s="3" t="s">
        <v>285</v>
      </c>
      <c r="V288" s="4">
        <v>958.73223900000005</v>
      </c>
      <c r="W288" s="4">
        <v>1103.3157960000001</v>
      </c>
      <c r="X288" s="4">
        <v>1336.538086</v>
      </c>
    </row>
    <row r="289" spans="1:24" x14ac:dyDescent="0.3">
      <c r="A289" s="3" t="s">
        <v>287</v>
      </c>
      <c r="B289" s="4">
        <v>1015.790588</v>
      </c>
      <c r="C289" s="4">
        <v>1043.369385</v>
      </c>
      <c r="D289" s="4">
        <v>1264.2062989999999</v>
      </c>
      <c r="I289" s="3" t="s">
        <v>287</v>
      </c>
      <c r="J289" s="4">
        <v>981.06658900000002</v>
      </c>
      <c r="K289" s="4">
        <v>1021.953186</v>
      </c>
      <c r="L289" s="4">
        <v>969.61010699999997</v>
      </c>
      <c r="M289" s="12"/>
      <c r="O289" s="3" t="s">
        <v>287</v>
      </c>
      <c r="P289" s="4">
        <v>893.06018100000006</v>
      </c>
      <c r="Q289" s="4">
        <v>1037.3801269999999</v>
      </c>
      <c r="R289" s="4">
        <v>1085.9111330000001</v>
      </c>
      <c r="U289" s="3" t="s">
        <v>287</v>
      </c>
      <c r="V289" s="4">
        <v>791.167236</v>
      </c>
      <c r="W289" s="4">
        <v>1023.794922</v>
      </c>
      <c r="X289" s="4">
        <v>1125.8199460000001</v>
      </c>
    </row>
    <row r="290" spans="1:24" x14ac:dyDescent="0.3">
      <c r="A290" s="3" t="s">
        <v>289</v>
      </c>
      <c r="B290" s="4">
        <v>1085.334961</v>
      </c>
      <c r="C290" s="4">
        <v>1120.6949460000001</v>
      </c>
      <c r="D290" s="4">
        <v>1254.9410399999999</v>
      </c>
      <c r="I290" s="3" t="s">
        <v>289</v>
      </c>
      <c r="J290" s="4">
        <v>1045.226807</v>
      </c>
      <c r="K290" s="4">
        <v>1090.7886960000001</v>
      </c>
      <c r="L290" s="4">
        <v>1250.279297</v>
      </c>
      <c r="M290" s="12"/>
      <c r="O290" s="3" t="s">
        <v>289</v>
      </c>
      <c r="P290" s="4">
        <v>1152.644043</v>
      </c>
      <c r="Q290" s="4">
        <v>1131.63147</v>
      </c>
      <c r="R290" s="4">
        <v>1239.3133539999999</v>
      </c>
      <c r="U290" s="3" t="s">
        <v>289</v>
      </c>
      <c r="V290" s="4">
        <v>1325.763794</v>
      </c>
      <c r="W290" s="4">
        <v>1086.616211</v>
      </c>
      <c r="X290" s="4">
        <v>1347.792236</v>
      </c>
    </row>
    <row r="291" spans="1:24" x14ac:dyDescent="0.3">
      <c r="A291" s="3" t="s">
        <v>291</v>
      </c>
      <c r="B291" s="4">
        <v>1031.612427</v>
      </c>
      <c r="C291" s="4">
        <v>1086.064453</v>
      </c>
      <c r="D291" s="4">
        <v>889.87634300000002</v>
      </c>
      <c r="I291" s="3" t="s">
        <v>291</v>
      </c>
      <c r="J291" s="4">
        <v>1010.8967290000001</v>
      </c>
      <c r="K291" s="4">
        <v>1018.702393</v>
      </c>
      <c r="L291" s="4">
        <v>1080.4086910000001</v>
      </c>
      <c r="M291" s="12"/>
      <c r="O291" s="3" t="s">
        <v>291</v>
      </c>
      <c r="P291" s="4">
        <v>1211.9332280000001</v>
      </c>
      <c r="Q291" s="4">
        <v>1063.518188</v>
      </c>
      <c r="R291" s="4">
        <v>1266.7114260000001</v>
      </c>
      <c r="U291" s="3" t="s">
        <v>291</v>
      </c>
      <c r="V291" s="4">
        <v>1083.8100589999999</v>
      </c>
      <c r="W291" s="4">
        <v>1048.584106</v>
      </c>
      <c r="X291" s="4">
        <v>1259.876831</v>
      </c>
    </row>
    <row r="292" spans="1:24" x14ac:dyDescent="0.3">
      <c r="A292" s="3" t="s">
        <v>293</v>
      </c>
      <c r="B292" s="4">
        <v>1084.9381100000001</v>
      </c>
      <c r="C292" s="4">
        <v>1133.8759769999999</v>
      </c>
      <c r="D292" s="4">
        <v>1280.087769</v>
      </c>
      <c r="I292" s="3" t="s">
        <v>293</v>
      </c>
      <c r="J292" s="4">
        <v>1077.2680660000001</v>
      </c>
      <c r="K292" s="4">
        <v>1115.4436040000001</v>
      </c>
      <c r="L292" s="4">
        <v>1171.5582280000001</v>
      </c>
      <c r="M292" s="12"/>
      <c r="O292" s="3" t="s">
        <v>293</v>
      </c>
      <c r="P292" s="4">
        <v>1280.656616</v>
      </c>
      <c r="Q292" s="4">
        <v>1129.347168</v>
      </c>
      <c r="R292" s="4">
        <v>1303.9351810000001</v>
      </c>
      <c r="U292" s="3" t="s">
        <v>293</v>
      </c>
      <c r="V292" s="4">
        <v>952.07684300000005</v>
      </c>
      <c r="W292" s="4">
        <v>1120.9456789999999</v>
      </c>
      <c r="X292" s="4">
        <v>1388.9368899999999</v>
      </c>
    </row>
    <row r="293" spans="1:24" x14ac:dyDescent="0.3">
      <c r="A293" s="3" t="s">
        <v>295</v>
      </c>
      <c r="B293" s="4">
        <v>1158.315918</v>
      </c>
      <c r="C293" s="4">
        <v>1234.1866460000001</v>
      </c>
      <c r="D293" s="4">
        <v>1315.5986330000001</v>
      </c>
      <c r="I293" s="3" t="s">
        <v>295</v>
      </c>
      <c r="J293" s="4">
        <v>1157.179077</v>
      </c>
      <c r="K293" s="4">
        <v>1207.9178469999999</v>
      </c>
      <c r="L293" s="4">
        <v>1270.857788</v>
      </c>
      <c r="M293" s="12"/>
      <c r="O293" s="3" t="s">
        <v>295</v>
      </c>
      <c r="P293" s="4">
        <v>1544.8702390000001</v>
      </c>
      <c r="Q293" s="4">
        <v>1203.8616939999999</v>
      </c>
      <c r="R293" s="4">
        <v>1236.4195560000001</v>
      </c>
      <c r="U293" s="3" t="s">
        <v>295</v>
      </c>
      <c r="V293" s="4">
        <v>1209.720581</v>
      </c>
      <c r="W293" s="4">
        <v>1215.5357670000001</v>
      </c>
      <c r="X293" s="4">
        <v>962.13147000000004</v>
      </c>
    </row>
    <row r="294" spans="1:24" x14ac:dyDescent="0.3">
      <c r="A294" s="3" t="s">
        <v>297</v>
      </c>
      <c r="B294" s="4">
        <v>1145.6191409999999</v>
      </c>
      <c r="C294" s="4">
        <v>1162.0289310000001</v>
      </c>
      <c r="D294" s="4">
        <v>1167.1601559999999</v>
      </c>
      <c r="I294" s="3" t="s">
        <v>297</v>
      </c>
      <c r="J294" s="4">
        <v>1113.9879149999999</v>
      </c>
      <c r="K294" s="4">
        <v>1132.02478</v>
      </c>
      <c r="L294" s="4">
        <v>1342.846436</v>
      </c>
      <c r="M294" s="12"/>
      <c r="O294" s="3" t="s">
        <v>297</v>
      </c>
      <c r="P294" s="4">
        <v>1385.693237</v>
      </c>
      <c r="Q294" s="4">
        <v>1154.5854489999999</v>
      </c>
      <c r="R294" s="4">
        <v>942.618469</v>
      </c>
      <c r="U294" s="3" t="s">
        <v>297</v>
      </c>
      <c r="V294" s="4">
        <v>1319.526001</v>
      </c>
      <c r="W294" s="4">
        <v>1143.4110109999999</v>
      </c>
      <c r="X294" s="4">
        <v>1286.830078</v>
      </c>
    </row>
    <row r="295" spans="1:24" x14ac:dyDescent="0.3">
      <c r="A295" s="3" t="s">
        <v>299</v>
      </c>
      <c r="B295" s="4">
        <v>1152.8292240000001</v>
      </c>
      <c r="C295" s="4">
        <v>1209.7729489999999</v>
      </c>
      <c r="D295" s="4">
        <v>1408.8283690000001</v>
      </c>
      <c r="I295" s="3" t="s">
        <v>299</v>
      </c>
      <c r="J295" s="4">
        <v>1140.228638</v>
      </c>
      <c r="K295" s="4">
        <v>1157.506592</v>
      </c>
      <c r="L295" s="4">
        <v>1402.2154539999999</v>
      </c>
      <c r="M295" s="12"/>
      <c r="O295" s="3" t="s">
        <v>299</v>
      </c>
      <c r="P295" s="4">
        <v>1044.8325199999999</v>
      </c>
      <c r="Q295" s="4">
        <v>1215.418823</v>
      </c>
      <c r="R295" s="4">
        <v>1589.236938</v>
      </c>
      <c r="U295" s="3" t="s">
        <v>299</v>
      </c>
      <c r="V295" s="4">
        <v>1265.0167240000001</v>
      </c>
      <c r="W295" s="4">
        <v>1195.6669919999999</v>
      </c>
      <c r="X295" s="4">
        <v>1389.4914550000001</v>
      </c>
    </row>
    <row r="296" spans="1:24" x14ac:dyDescent="0.3">
      <c r="A296" s="3" t="s">
        <v>301</v>
      </c>
      <c r="B296" s="4">
        <v>1150.8237300000001</v>
      </c>
      <c r="C296" s="4">
        <v>1180.2524410000001</v>
      </c>
      <c r="D296" s="4">
        <v>1496.121216</v>
      </c>
      <c r="I296" s="3" t="s">
        <v>301</v>
      </c>
      <c r="J296" s="4">
        <v>1129.999268</v>
      </c>
      <c r="K296" s="4">
        <v>1155.839111</v>
      </c>
      <c r="L296" s="4">
        <v>1014.939209</v>
      </c>
      <c r="M296" s="12"/>
      <c r="O296" s="3" t="s">
        <v>301</v>
      </c>
      <c r="P296" s="4">
        <v>1026.807495</v>
      </c>
      <c r="Q296" s="4">
        <v>1206.035034</v>
      </c>
      <c r="R296" s="4">
        <v>1372.5157469999999</v>
      </c>
      <c r="U296" s="3" t="s">
        <v>301</v>
      </c>
      <c r="V296" s="4">
        <v>1196.497192</v>
      </c>
      <c r="W296" s="4">
        <v>1180.3725589999999</v>
      </c>
      <c r="X296" s="4">
        <v>1063.3328859999999</v>
      </c>
    </row>
    <row r="297" spans="1:24" x14ac:dyDescent="0.3">
      <c r="A297" s="3" t="s">
        <v>303</v>
      </c>
      <c r="B297" s="4">
        <v>1112.4289550000001</v>
      </c>
      <c r="C297" s="4">
        <v>1147.559082</v>
      </c>
      <c r="D297" s="4">
        <v>974.76190199999996</v>
      </c>
      <c r="I297" s="3" t="s">
        <v>303</v>
      </c>
      <c r="J297" s="4">
        <v>1100.8920900000001</v>
      </c>
      <c r="K297" s="4">
        <v>1111.9857179999999</v>
      </c>
      <c r="L297" s="4">
        <v>1261.5992429999999</v>
      </c>
      <c r="M297" s="12"/>
      <c r="O297" s="3" t="s">
        <v>303</v>
      </c>
      <c r="P297" s="4">
        <v>1442.331909</v>
      </c>
      <c r="Q297" s="4">
        <v>1133.3629149999999</v>
      </c>
      <c r="R297" s="4">
        <v>1232.2969969999999</v>
      </c>
      <c r="U297" s="3" t="s">
        <v>303</v>
      </c>
      <c r="V297" s="4">
        <v>1191.880371</v>
      </c>
      <c r="W297" s="4">
        <v>1132.6707759999999</v>
      </c>
      <c r="X297" s="4">
        <v>1060.4022219999999</v>
      </c>
    </row>
    <row r="298" spans="1:24" x14ac:dyDescent="0.3">
      <c r="A298" s="3" t="s">
        <v>305</v>
      </c>
      <c r="B298" s="4">
        <v>1176.265625</v>
      </c>
      <c r="C298" s="4">
        <v>1173.3295900000001</v>
      </c>
      <c r="D298" s="4">
        <v>1405.8129879999999</v>
      </c>
      <c r="I298" s="3" t="s">
        <v>305</v>
      </c>
      <c r="J298" s="4">
        <v>1155.4279790000001</v>
      </c>
      <c r="K298" s="4">
        <v>1180.694092</v>
      </c>
      <c r="L298" s="4">
        <v>1024.8122559999999</v>
      </c>
      <c r="M298" s="12"/>
      <c r="O298" s="3" t="s">
        <v>305</v>
      </c>
      <c r="P298" s="4">
        <v>1119.8548579999999</v>
      </c>
      <c r="Q298" s="4">
        <v>1188.4525149999999</v>
      </c>
      <c r="R298" s="4">
        <v>1571.509155</v>
      </c>
      <c r="U298" s="3" t="s">
        <v>305</v>
      </c>
      <c r="V298" s="4">
        <v>925.81158400000004</v>
      </c>
      <c r="W298" s="4">
        <v>1168.7551269999999</v>
      </c>
      <c r="X298" s="4">
        <v>1218.3992920000001</v>
      </c>
    </row>
    <row r="299" spans="1:24" x14ac:dyDescent="0.3">
      <c r="A299" s="3" t="s">
        <v>307</v>
      </c>
      <c r="B299" s="4">
        <v>1111.2813719999999</v>
      </c>
      <c r="C299" s="4">
        <v>1183.7196039999999</v>
      </c>
      <c r="D299" s="4">
        <v>1113.3726810000001</v>
      </c>
      <c r="I299" s="3" t="s">
        <v>307</v>
      </c>
      <c r="J299" s="4">
        <v>1110.2373050000001</v>
      </c>
      <c r="K299" s="4">
        <v>1158.8789059999999</v>
      </c>
      <c r="L299" s="4">
        <v>967.95800799999995</v>
      </c>
      <c r="M299" s="12"/>
      <c r="O299" s="3" t="s">
        <v>307</v>
      </c>
      <c r="P299" s="4">
        <v>1423.155884</v>
      </c>
      <c r="Q299" s="4">
        <v>1150.5504149999999</v>
      </c>
      <c r="R299" s="4">
        <v>1463.1972659999999</v>
      </c>
      <c r="U299" s="3" t="s">
        <v>307</v>
      </c>
      <c r="V299" s="4">
        <v>1068.9517820000001</v>
      </c>
      <c r="W299" s="4">
        <v>1160.037231</v>
      </c>
      <c r="X299" s="4">
        <v>1433.808716</v>
      </c>
    </row>
    <row r="300" spans="1:24" x14ac:dyDescent="0.3">
      <c r="A300" s="3" t="s">
        <v>309</v>
      </c>
      <c r="B300" s="4">
        <v>1150.1397710000001</v>
      </c>
      <c r="C300" s="4">
        <v>1180.5083010000001</v>
      </c>
      <c r="D300" s="4">
        <v>1523.7020259999999</v>
      </c>
      <c r="I300" s="3" t="s">
        <v>309</v>
      </c>
      <c r="J300" s="4">
        <v>1142.370361</v>
      </c>
      <c r="K300" s="4">
        <v>1169.4304199999999</v>
      </c>
      <c r="L300" s="4">
        <v>1177.9560550000001</v>
      </c>
      <c r="M300" s="12"/>
      <c r="O300" s="3" t="s">
        <v>309</v>
      </c>
      <c r="P300" s="4">
        <v>1100.9494629999999</v>
      </c>
      <c r="Q300" s="4">
        <v>1188.2761230000001</v>
      </c>
      <c r="R300" s="4">
        <v>1461.447876</v>
      </c>
      <c r="U300" s="3" t="s">
        <v>309</v>
      </c>
      <c r="V300" s="4">
        <v>1516.876221</v>
      </c>
      <c r="W300" s="4">
        <v>1165.0469969999999</v>
      </c>
      <c r="X300" s="4">
        <v>1021.156311</v>
      </c>
    </row>
    <row r="301" spans="1:24" x14ac:dyDescent="0.3">
      <c r="A301" s="3" t="s">
        <v>311</v>
      </c>
      <c r="B301" s="4">
        <v>1187.9727780000001</v>
      </c>
      <c r="C301" s="4">
        <v>1230.4323730000001</v>
      </c>
      <c r="D301" s="4">
        <v>984.10131799999999</v>
      </c>
      <c r="I301" s="3" t="s">
        <v>311</v>
      </c>
      <c r="J301" s="4">
        <v>1152.407837</v>
      </c>
      <c r="K301" s="4">
        <v>1191.03772</v>
      </c>
      <c r="L301" s="4">
        <v>1166.1732179999999</v>
      </c>
      <c r="M301" s="12"/>
      <c r="O301" s="3" t="s">
        <v>311</v>
      </c>
      <c r="P301" s="4">
        <v>1370.486572</v>
      </c>
      <c r="Q301" s="4">
        <v>1208.770264</v>
      </c>
      <c r="R301" s="4">
        <v>1283.9429929999999</v>
      </c>
      <c r="U301" s="3" t="s">
        <v>311</v>
      </c>
      <c r="V301" s="4">
        <v>1476.641357</v>
      </c>
      <c r="W301" s="4">
        <v>1218.8897710000001</v>
      </c>
      <c r="X301" s="4">
        <v>1430.6601559999999</v>
      </c>
    </row>
    <row r="302" spans="1:24" x14ac:dyDescent="0.3">
      <c r="A302" s="3" t="s">
        <v>313</v>
      </c>
      <c r="B302" s="4">
        <v>1163.534058</v>
      </c>
      <c r="C302" s="4">
        <v>1189.364624</v>
      </c>
      <c r="D302" s="4">
        <v>1392.565552</v>
      </c>
      <c r="I302" s="3" t="s">
        <v>313</v>
      </c>
      <c r="J302" s="4">
        <v>1146.206909</v>
      </c>
      <c r="K302" s="4">
        <v>1189.4600829999999</v>
      </c>
      <c r="L302" s="4">
        <v>1272.938721</v>
      </c>
      <c r="M302" s="12"/>
      <c r="O302" s="3" t="s">
        <v>313</v>
      </c>
      <c r="P302" s="4">
        <v>1431.009888</v>
      </c>
      <c r="Q302" s="4">
        <v>1155.927246</v>
      </c>
      <c r="R302" s="4">
        <v>1261.5167240000001</v>
      </c>
      <c r="U302" s="3" t="s">
        <v>313</v>
      </c>
      <c r="V302" s="4">
        <v>954.77514599999995</v>
      </c>
      <c r="W302" s="4">
        <v>1151.5783690000001</v>
      </c>
      <c r="X302" s="4">
        <v>1206.042236</v>
      </c>
    </row>
    <row r="304" spans="1:24" x14ac:dyDescent="0.3">
      <c r="A304" t="s">
        <v>332</v>
      </c>
      <c r="I304" t="s">
        <v>333</v>
      </c>
      <c r="O304" t="s">
        <v>332</v>
      </c>
      <c r="U304" t="s">
        <v>333</v>
      </c>
    </row>
    <row r="305" spans="1:24" x14ac:dyDescent="0.3">
      <c r="A305" s="3" t="s">
        <v>10</v>
      </c>
      <c r="B305" s="4">
        <v>389.73577899999998</v>
      </c>
      <c r="C305" s="4">
        <v>388.174103</v>
      </c>
      <c r="D305" s="4">
        <v>469.01501500000001</v>
      </c>
      <c r="I305" s="3" t="s">
        <v>10</v>
      </c>
      <c r="J305" s="4">
        <v>370.99807700000002</v>
      </c>
      <c r="K305" s="4">
        <v>370.99807700000002</v>
      </c>
      <c r="L305" s="4">
        <v>444.11608899999999</v>
      </c>
      <c r="M305" s="12"/>
      <c r="O305" s="3" t="s">
        <v>10</v>
      </c>
      <c r="P305" s="4">
        <v>469.01501500000001</v>
      </c>
      <c r="Q305" s="4">
        <v>386.19949300000002</v>
      </c>
      <c r="R305" s="4">
        <v>469.01501500000001</v>
      </c>
      <c r="U305" s="3" t="s">
        <v>10</v>
      </c>
      <c r="V305" s="4">
        <v>444.11608899999999</v>
      </c>
      <c r="W305" s="4">
        <v>371.40008499999999</v>
      </c>
      <c r="X305" s="4">
        <v>444.11608899999999</v>
      </c>
    </row>
    <row r="306" spans="1:24" x14ac:dyDescent="0.3">
      <c r="A306" s="3" t="s">
        <v>12</v>
      </c>
      <c r="B306" s="4">
        <v>420.49285900000001</v>
      </c>
      <c r="C306" s="4">
        <v>424.23968500000001</v>
      </c>
      <c r="D306" s="4">
        <v>463.97686800000002</v>
      </c>
      <c r="I306" s="3" t="s">
        <v>12</v>
      </c>
      <c r="J306" s="4">
        <v>407.82238799999999</v>
      </c>
      <c r="K306" s="4">
        <v>407.82238799999999</v>
      </c>
      <c r="L306" s="4">
        <v>417.50387599999999</v>
      </c>
      <c r="M306" s="12"/>
      <c r="O306" s="3" t="s">
        <v>12</v>
      </c>
      <c r="P306" s="4">
        <v>432.880493</v>
      </c>
      <c r="Q306" s="4">
        <v>423.44592299999999</v>
      </c>
      <c r="R306" s="4">
        <v>453.72763099999997</v>
      </c>
      <c r="U306" s="3" t="s">
        <v>12</v>
      </c>
      <c r="V306" s="4">
        <v>415.86785900000001</v>
      </c>
      <c r="W306" s="4">
        <v>403.54898100000003</v>
      </c>
      <c r="X306" s="4">
        <v>414.44003300000003</v>
      </c>
    </row>
    <row r="307" spans="1:24" x14ac:dyDescent="0.3">
      <c r="A307" s="3" t="s">
        <v>14</v>
      </c>
      <c r="B307" s="4">
        <v>365.81158399999998</v>
      </c>
      <c r="C307" s="4">
        <v>368.59149200000002</v>
      </c>
      <c r="D307" s="4">
        <v>407.78213499999998</v>
      </c>
      <c r="I307" s="3" t="s">
        <v>14</v>
      </c>
      <c r="J307" s="4">
        <v>342.63439899999997</v>
      </c>
      <c r="K307" s="4">
        <v>342.37698399999999</v>
      </c>
      <c r="L307" s="4">
        <v>354.68279999999999</v>
      </c>
      <c r="M307" s="12"/>
      <c r="O307" s="3" t="s">
        <v>14</v>
      </c>
      <c r="P307" s="4">
        <v>367.17065400000001</v>
      </c>
      <c r="Q307" s="4">
        <v>366.599243</v>
      </c>
      <c r="R307" s="4">
        <v>368.80773900000003</v>
      </c>
      <c r="U307" s="3" t="s">
        <v>14</v>
      </c>
      <c r="V307" s="4">
        <v>350.03939800000001</v>
      </c>
      <c r="W307" s="4">
        <v>339.93881199999998</v>
      </c>
      <c r="X307" s="4">
        <v>353.65548699999999</v>
      </c>
    </row>
    <row r="308" spans="1:24" x14ac:dyDescent="0.3">
      <c r="A308" s="3" t="s">
        <v>16</v>
      </c>
      <c r="B308" s="4">
        <v>393.74658199999999</v>
      </c>
      <c r="C308" s="4">
        <v>394.74597199999999</v>
      </c>
      <c r="D308" s="4">
        <v>398.10732999999999</v>
      </c>
      <c r="I308" s="3" t="s">
        <v>16</v>
      </c>
      <c r="J308" s="4">
        <v>375.51773100000003</v>
      </c>
      <c r="K308" s="4">
        <v>376.48089599999997</v>
      </c>
      <c r="L308" s="4">
        <v>392.34265099999999</v>
      </c>
      <c r="M308" s="12"/>
      <c r="O308" s="3" t="s">
        <v>16</v>
      </c>
      <c r="P308" s="4">
        <v>407.28771999999998</v>
      </c>
      <c r="Q308" s="4">
        <v>396.16082799999998</v>
      </c>
      <c r="R308" s="4">
        <v>409.77117900000002</v>
      </c>
      <c r="U308" s="3" t="s">
        <v>16</v>
      </c>
      <c r="V308" s="4">
        <v>380.577179</v>
      </c>
      <c r="W308" s="4">
        <v>378.73822000000001</v>
      </c>
      <c r="X308" s="4">
        <v>400.05706800000002</v>
      </c>
    </row>
    <row r="309" spans="1:24" x14ac:dyDescent="0.3">
      <c r="A309" s="3" t="s">
        <v>18</v>
      </c>
      <c r="B309" s="4">
        <v>343.11834700000003</v>
      </c>
      <c r="C309" s="4">
        <v>342.83099399999998</v>
      </c>
      <c r="D309" s="4">
        <v>365.83923299999998</v>
      </c>
      <c r="I309" s="3" t="s">
        <v>18</v>
      </c>
      <c r="J309" s="4">
        <v>326.76788299999998</v>
      </c>
      <c r="K309" s="4">
        <v>326.76788299999998</v>
      </c>
      <c r="L309" s="4">
        <v>354.216339</v>
      </c>
      <c r="M309" s="12"/>
      <c r="O309" s="3" t="s">
        <v>18</v>
      </c>
      <c r="P309" s="4">
        <v>343.33453400000002</v>
      </c>
      <c r="Q309" s="4">
        <v>342.83099399999998</v>
      </c>
      <c r="R309" s="4">
        <v>358.286835</v>
      </c>
      <c r="U309" s="3" t="s">
        <v>18</v>
      </c>
      <c r="V309" s="4">
        <v>328.67172199999999</v>
      </c>
      <c r="W309" s="4">
        <v>325.971069</v>
      </c>
      <c r="X309" s="4">
        <v>335.51470899999998</v>
      </c>
    </row>
    <row r="310" spans="1:24" x14ac:dyDescent="0.3">
      <c r="A310" s="3" t="s">
        <v>20</v>
      </c>
      <c r="B310" s="4">
        <v>408.74941999999999</v>
      </c>
      <c r="C310" s="4">
        <v>410.32156400000002</v>
      </c>
      <c r="D310" s="4">
        <v>416.73880000000003</v>
      </c>
      <c r="I310" s="3" t="s">
        <v>20</v>
      </c>
      <c r="J310" s="4">
        <v>395.60012799999998</v>
      </c>
      <c r="K310" s="4">
        <v>394.72088600000001</v>
      </c>
      <c r="L310" s="4">
        <v>401.08624300000002</v>
      </c>
      <c r="M310" s="12"/>
      <c r="O310" s="3" t="s">
        <v>20</v>
      </c>
      <c r="P310" s="4">
        <v>411.06680299999999</v>
      </c>
      <c r="Q310" s="4">
        <v>411.33767699999999</v>
      </c>
      <c r="R310" s="4">
        <v>432.16851800000001</v>
      </c>
      <c r="U310" s="3" t="s">
        <v>20</v>
      </c>
      <c r="V310" s="4">
        <v>402.92077599999999</v>
      </c>
      <c r="W310" s="4">
        <v>395.60012799999998</v>
      </c>
      <c r="X310" s="4">
        <v>411.03692599999999</v>
      </c>
    </row>
    <row r="311" spans="1:24" x14ac:dyDescent="0.3">
      <c r="A311" s="3" t="s">
        <v>22</v>
      </c>
      <c r="B311" s="4">
        <v>384.91159099999999</v>
      </c>
      <c r="C311" s="4">
        <v>386.12152099999997</v>
      </c>
      <c r="D311" s="4">
        <v>392.16110200000003</v>
      </c>
      <c r="I311" s="3" t="s">
        <v>22</v>
      </c>
      <c r="J311" s="4">
        <v>366.73147599999999</v>
      </c>
      <c r="K311" s="4">
        <v>367.874664</v>
      </c>
      <c r="L311" s="4">
        <v>390.95031699999998</v>
      </c>
      <c r="M311" s="12"/>
      <c r="O311" s="3" t="s">
        <v>22</v>
      </c>
      <c r="P311" s="4">
        <v>392.16110200000003</v>
      </c>
      <c r="Q311" s="4">
        <v>384.762024</v>
      </c>
      <c r="R311" s="4">
        <v>393.58596799999998</v>
      </c>
      <c r="U311" s="3" t="s">
        <v>22</v>
      </c>
      <c r="V311" s="4">
        <v>366.73147599999999</v>
      </c>
      <c r="W311" s="4">
        <v>367.874664</v>
      </c>
      <c r="X311" s="4">
        <v>394.04083300000002</v>
      </c>
    </row>
    <row r="312" spans="1:24" x14ac:dyDescent="0.3">
      <c r="A312" s="3" t="s">
        <v>24</v>
      </c>
      <c r="B312" s="4">
        <v>461.71353099999999</v>
      </c>
      <c r="C312" s="4">
        <v>462.46105999999997</v>
      </c>
      <c r="D312" s="4">
        <v>466.05148300000002</v>
      </c>
      <c r="I312" s="3" t="s">
        <v>24</v>
      </c>
      <c r="J312" s="4">
        <v>427.68786599999999</v>
      </c>
      <c r="K312" s="4">
        <v>427.68786599999999</v>
      </c>
      <c r="L312" s="4">
        <v>442.87179600000002</v>
      </c>
      <c r="M312" s="12"/>
      <c r="O312" s="3" t="s">
        <v>24</v>
      </c>
      <c r="P312" s="4">
        <v>468.76092499999999</v>
      </c>
      <c r="Q312" s="4">
        <v>462.35778800000003</v>
      </c>
      <c r="R312" s="4">
        <v>466.05148300000002</v>
      </c>
      <c r="U312" s="3" t="s">
        <v>24</v>
      </c>
      <c r="V312" s="4">
        <v>426.00888099999997</v>
      </c>
      <c r="W312" s="4">
        <v>430.80294800000001</v>
      </c>
      <c r="X312" s="4">
        <v>461.85595699999999</v>
      </c>
    </row>
    <row r="313" spans="1:24" x14ac:dyDescent="0.3">
      <c r="A313" s="3" t="s">
        <v>26</v>
      </c>
      <c r="B313" s="4">
        <v>414.63421599999998</v>
      </c>
      <c r="C313" s="4">
        <v>415.95513899999997</v>
      </c>
      <c r="D313" s="4">
        <v>429.30593900000002</v>
      </c>
      <c r="I313" s="3" t="s">
        <v>26</v>
      </c>
      <c r="J313" s="4">
        <v>399.25683600000002</v>
      </c>
      <c r="K313" s="4">
        <v>404.13464399999998</v>
      </c>
      <c r="L313" s="4">
        <v>409.87942500000003</v>
      </c>
      <c r="M313" s="12"/>
      <c r="O313" s="3" t="s">
        <v>26</v>
      </c>
      <c r="P313" s="4">
        <v>411.11270100000002</v>
      </c>
      <c r="Q313" s="4">
        <v>416.99169899999998</v>
      </c>
      <c r="R313" s="4">
        <v>420.60867300000001</v>
      </c>
      <c r="U313" s="3" t="s">
        <v>26</v>
      </c>
      <c r="V313" s="4">
        <v>401.73141500000003</v>
      </c>
      <c r="W313" s="4">
        <v>397.33178700000002</v>
      </c>
      <c r="X313" s="4">
        <v>409.87942500000003</v>
      </c>
    </row>
    <row r="314" spans="1:24" x14ac:dyDescent="0.3">
      <c r="A314" s="3" t="s">
        <v>28</v>
      </c>
      <c r="B314" s="4">
        <v>342.79367100000002</v>
      </c>
      <c r="C314" s="4">
        <v>342.79367100000002</v>
      </c>
      <c r="D314" s="4">
        <v>342.79367100000002</v>
      </c>
      <c r="I314" s="3" t="s">
        <v>28</v>
      </c>
      <c r="J314" s="4">
        <v>321.518372</v>
      </c>
      <c r="K314" s="4">
        <v>321.178314</v>
      </c>
      <c r="L314" s="4">
        <v>336.56967200000003</v>
      </c>
      <c r="M314" s="12"/>
      <c r="O314" s="3" t="s">
        <v>28</v>
      </c>
      <c r="P314" s="4">
        <v>342.79367100000002</v>
      </c>
      <c r="Q314" s="4">
        <v>342.79367100000002</v>
      </c>
      <c r="R314" s="4">
        <v>360.05484000000001</v>
      </c>
      <c r="U314" s="3" t="s">
        <v>28</v>
      </c>
      <c r="V314" s="4">
        <v>321.518372</v>
      </c>
      <c r="W314" s="4">
        <v>321.49624599999999</v>
      </c>
      <c r="X314" s="4">
        <v>339.66891500000003</v>
      </c>
    </row>
    <row r="315" spans="1:24" x14ac:dyDescent="0.3">
      <c r="A315" s="3" t="s">
        <v>30</v>
      </c>
      <c r="B315" s="4">
        <v>506.13494900000001</v>
      </c>
      <c r="C315" s="4">
        <v>530.35003700000004</v>
      </c>
      <c r="D315" s="4">
        <v>599.32690400000001</v>
      </c>
      <c r="I315" s="3" t="s">
        <v>30</v>
      </c>
      <c r="J315" s="4">
        <v>502.02572600000002</v>
      </c>
      <c r="K315" s="4">
        <v>521.48571800000002</v>
      </c>
      <c r="L315" s="4">
        <v>593.26654099999996</v>
      </c>
      <c r="M315" s="12"/>
      <c r="O315" s="3" t="s">
        <v>30</v>
      </c>
      <c r="P315" s="4">
        <v>533.56378199999995</v>
      </c>
      <c r="Q315" s="4">
        <v>545.59436000000005</v>
      </c>
      <c r="R315" s="4">
        <v>603.02252199999998</v>
      </c>
      <c r="U315" s="3" t="s">
        <v>30</v>
      </c>
      <c r="V315" s="4">
        <v>523.84436000000005</v>
      </c>
      <c r="W315" s="4">
        <v>525.40893600000004</v>
      </c>
      <c r="X315" s="4">
        <v>600.88287400000002</v>
      </c>
    </row>
    <row r="316" spans="1:24" x14ac:dyDescent="0.3">
      <c r="A316" s="3" t="s">
        <v>32</v>
      </c>
      <c r="B316" s="4">
        <v>472.66668700000002</v>
      </c>
      <c r="C316" s="4">
        <v>474.58337399999999</v>
      </c>
      <c r="D316" s="4">
        <v>492.27050800000001</v>
      </c>
      <c r="I316" s="3" t="s">
        <v>32</v>
      </c>
      <c r="J316" s="4">
        <v>448.07614100000001</v>
      </c>
      <c r="K316" s="4">
        <v>448.473206</v>
      </c>
      <c r="L316" s="4">
        <v>451.13433800000001</v>
      </c>
      <c r="M316" s="12"/>
      <c r="O316" s="3" t="s">
        <v>32</v>
      </c>
      <c r="P316" s="4">
        <v>474.9776</v>
      </c>
      <c r="Q316" s="4">
        <v>474.58337399999999</v>
      </c>
      <c r="R316" s="4">
        <v>516.55157499999996</v>
      </c>
      <c r="U316" s="3" t="s">
        <v>32</v>
      </c>
      <c r="V316" s="4">
        <v>446.42327899999998</v>
      </c>
      <c r="W316" s="4">
        <v>448.07614100000001</v>
      </c>
      <c r="X316" s="4">
        <v>463.791473</v>
      </c>
    </row>
    <row r="317" spans="1:24" x14ac:dyDescent="0.3">
      <c r="A317" s="3" t="s">
        <v>34</v>
      </c>
      <c r="B317" s="4">
        <v>410.317566</v>
      </c>
      <c r="C317" s="4">
        <v>410.641052</v>
      </c>
      <c r="D317" s="4">
        <v>476.92193600000002</v>
      </c>
      <c r="I317" s="3" t="s">
        <v>34</v>
      </c>
      <c r="J317" s="4">
        <v>401.89041099999997</v>
      </c>
      <c r="K317" s="4">
        <v>403.30395499999997</v>
      </c>
      <c r="L317" s="4">
        <v>411.86706500000003</v>
      </c>
      <c r="M317" s="12"/>
      <c r="O317" s="3" t="s">
        <v>34</v>
      </c>
      <c r="P317" s="4">
        <v>410.84381100000002</v>
      </c>
      <c r="Q317" s="4">
        <v>412.13851899999997</v>
      </c>
      <c r="R317" s="4">
        <v>469.93460099999999</v>
      </c>
      <c r="U317" s="3" t="s">
        <v>34</v>
      </c>
      <c r="V317" s="4">
        <v>407.95529199999999</v>
      </c>
      <c r="W317" s="4">
        <v>402.77377300000001</v>
      </c>
      <c r="X317" s="4">
        <v>406.80706800000002</v>
      </c>
    </row>
    <row r="318" spans="1:24" x14ac:dyDescent="0.3">
      <c r="A318" s="3" t="s">
        <v>36</v>
      </c>
      <c r="B318" s="4">
        <v>518.33227499999998</v>
      </c>
      <c r="C318" s="4">
        <v>519.61700399999995</v>
      </c>
      <c r="D318" s="4">
        <v>524.63445999999999</v>
      </c>
      <c r="I318" s="3" t="s">
        <v>36</v>
      </c>
      <c r="J318" s="4">
        <v>499.63275099999998</v>
      </c>
      <c r="K318" s="4">
        <v>498.56735200000003</v>
      </c>
      <c r="L318" s="4">
        <v>515.84991500000001</v>
      </c>
      <c r="M318" s="12"/>
      <c r="O318" s="3" t="s">
        <v>36</v>
      </c>
      <c r="P318" s="4">
        <v>514.55096400000002</v>
      </c>
      <c r="Q318" s="4">
        <v>517.68591300000003</v>
      </c>
      <c r="R318" s="4">
        <v>543.59320100000002</v>
      </c>
      <c r="U318" s="3" t="s">
        <v>36</v>
      </c>
      <c r="V318" s="4">
        <v>504.280914</v>
      </c>
      <c r="W318" s="4">
        <v>491.76684599999999</v>
      </c>
      <c r="X318" s="4">
        <v>569.834473</v>
      </c>
    </row>
    <row r="319" spans="1:24" x14ac:dyDescent="0.3">
      <c r="A319" s="3" t="s">
        <v>38</v>
      </c>
      <c r="B319" s="4">
        <v>434.67450000000002</v>
      </c>
      <c r="C319" s="4">
        <v>460.70144699999997</v>
      </c>
      <c r="D319" s="4">
        <v>460.70144699999997</v>
      </c>
      <c r="I319" s="3" t="s">
        <v>38</v>
      </c>
      <c r="J319" s="4">
        <v>438.17889400000001</v>
      </c>
      <c r="K319" s="4">
        <v>445.48510700000003</v>
      </c>
      <c r="L319" s="4">
        <v>480.62985200000003</v>
      </c>
      <c r="M319" s="12"/>
      <c r="O319" s="3" t="s">
        <v>38</v>
      </c>
      <c r="P319" s="4">
        <v>455.71725500000002</v>
      </c>
      <c r="Q319" s="4">
        <v>466.56182899999999</v>
      </c>
      <c r="R319" s="4">
        <v>505.44018599999998</v>
      </c>
      <c r="U319" s="3" t="s">
        <v>38</v>
      </c>
      <c r="V319" s="4">
        <v>462.00744600000002</v>
      </c>
      <c r="W319" s="4">
        <v>433.08871499999998</v>
      </c>
      <c r="X319" s="4">
        <v>480.62985200000003</v>
      </c>
    </row>
    <row r="320" spans="1:24" x14ac:dyDescent="0.3">
      <c r="A320" s="3" t="s">
        <v>40</v>
      </c>
      <c r="B320" s="4">
        <v>402.25769000000003</v>
      </c>
      <c r="C320" s="4">
        <v>402.25769000000003</v>
      </c>
      <c r="D320" s="4">
        <v>409.011078</v>
      </c>
      <c r="I320" s="3" t="s">
        <v>40</v>
      </c>
      <c r="J320" s="4">
        <v>389.52652</v>
      </c>
      <c r="K320" s="4">
        <v>389.52652</v>
      </c>
      <c r="L320" s="4">
        <v>404.30941799999999</v>
      </c>
      <c r="M320" s="12"/>
      <c r="O320" s="3" t="s">
        <v>40</v>
      </c>
      <c r="P320" s="4">
        <v>403.875</v>
      </c>
      <c r="Q320" s="4">
        <v>402.25769000000003</v>
      </c>
      <c r="R320" s="4">
        <v>468.56997699999999</v>
      </c>
      <c r="U320" s="3" t="s">
        <v>40</v>
      </c>
      <c r="V320" s="4">
        <v>397.21127300000001</v>
      </c>
      <c r="W320" s="4">
        <v>389.52652</v>
      </c>
      <c r="X320" s="4">
        <v>406.91375699999998</v>
      </c>
    </row>
    <row r="321" spans="1:24" x14ac:dyDescent="0.3">
      <c r="A321" s="3" t="s">
        <v>42</v>
      </c>
      <c r="B321" s="4">
        <v>422.730591</v>
      </c>
      <c r="C321" s="4">
        <v>428.95291099999997</v>
      </c>
      <c r="D321" s="4">
        <v>446.863831</v>
      </c>
      <c r="I321" s="3" t="s">
        <v>42</v>
      </c>
      <c r="J321" s="4">
        <v>409.86990400000002</v>
      </c>
      <c r="K321" s="4">
        <v>409.94903599999998</v>
      </c>
      <c r="L321" s="4">
        <v>466.98504600000001</v>
      </c>
      <c r="M321" s="12"/>
      <c r="O321" s="3" t="s">
        <v>42</v>
      </c>
      <c r="P321" s="4">
        <v>423.66629</v>
      </c>
      <c r="Q321" s="4">
        <v>423.66629</v>
      </c>
      <c r="R321" s="4">
        <v>471.45211799999998</v>
      </c>
      <c r="U321" s="3" t="s">
        <v>42</v>
      </c>
      <c r="V321" s="4">
        <v>423.03033399999998</v>
      </c>
      <c r="W321" s="4">
        <v>409.94903599999998</v>
      </c>
      <c r="X321" s="4">
        <v>420.310181</v>
      </c>
    </row>
    <row r="322" spans="1:24" x14ac:dyDescent="0.3">
      <c r="A322" s="3" t="s">
        <v>44</v>
      </c>
      <c r="B322" s="4">
        <v>491.69644199999999</v>
      </c>
      <c r="C322" s="4">
        <v>511.68850700000002</v>
      </c>
      <c r="D322" s="4">
        <v>540.86798099999999</v>
      </c>
      <c r="I322" s="3" t="s">
        <v>44</v>
      </c>
      <c r="J322" s="4">
        <v>496.55496199999999</v>
      </c>
      <c r="K322" s="4">
        <v>503.404968</v>
      </c>
      <c r="L322" s="4">
        <v>493.68411300000002</v>
      </c>
      <c r="M322" s="12"/>
      <c r="O322" s="3" t="s">
        <v>44</v>
      </c>
      <c r="P322" s="4">
        <v>509.34320100000002</v>
      </c>
      <c r="Q322" s="4">
        <v>510.77713</v>
      </c>
      <c r="R322" s="4">
        <v>515.799622</v>
      </c>
      <c r="U322" s="3" t="s">
        <v>44</v>
      </c>
      <c r="V322" s="4">
        <v>492.42730699999998</v>
      </c>
      <c r="W322" s="4">
        <v>496.55496199999999</v>
      </c>
      <c r="X322" s="4">
        <v>494.142944</v>
      </c>
    </row>
    <row r="323" spans="1:24" x14ac:dyDescent="0.3">
      <c r="A323" s="3" t="s">
        <v>46</v>
      </c>
      <c r="B323" s="4">
        <v>478.23291</v>
      </c>
      <c r="C323" s="4">
        <v>488.44482399999998</v>
      </c>
      <c r="D323" s="4">
        <v>496.26355000000001</v>
      </c>
      <c r="I323" s="3" t="s">
        <v>46</v>
      </c>
      <c r="J323" s="4">
        <v>472.42095899999998</v>
      </c>
      <c r="K323" s="4">
        <v>472.42095899999998</v>
      </c>
      <c r="L323" s="4">
        <v>487.16113300000001</v>
      </c>
      <c r="M323" s="12"/>
      <c r="O323" s="3" t="s">
        <v>46</v>
      </c>
      <c r="P323" s="4">
        <v>499.50018299999999</v>
      </c>
      <c r="Q323" s="4">
        <v>491.457672</v>
      </c>
      <c r="R323" s="4">
        <v>542.59246800000005</v>
      </c>
      <c r="U323" s="3" t="s">
        <v>46</v>
      </c>
      <c r="V323" s="4">
        <v>488.26461799999998</v>
      </c>
      <c r="W323" s="4">
        <v>472.42095899999998</v>
      </c>
      <c r="X323" s="4">
        <v>533.70880099999999</v>
      </c>
    </row>
    <row r="324" spans="1:24" x14ac:dyDescent="0.3">
      <c r="A324" s="3" t="s">
        <v>48</v>
      </c>
      <c r="B324" s="4">
        <v>453.16906699999998</v>
      </c>
      <c r="C324" s="4">
        <v>455.84371900000002</v>
      </c>
      <c r="D324" s="4">
        <v>505.35818499999999</v>
      </c>
      <c r="I324" s="3" t="s">
        <v>48</v>
      </c>
      <c r="J324" s="4">
        <v>435.15716600000002</v>
      </c>
      <c r="K324" s="4">
        <v>435.15716600000002</v>
      </c>
      <c r="L324" s="4">
        <v>490.06985500000002</v>
      </c>
      <c r="M324" s="12"/>
      <c r="O324" s="3" t="s">
        <v>48</v>
      </c>
      <c r="P324" s="4">
        <v>470.57900999999998</v>
      </c>
      <c r="Q324" s="4">
        <v>459.74981700000001</v>
      </c>
      <c r="R324" s="4">
        <v>529.74853499999995</v>
      </c>
      <c r="U324" s="3" t="s">
        <v>48</v>
      </c>
      <c r="V324" s="4">
        <v>435.15716600000002</v>
      </c>
      <c r="W324" s="4">
        <v>441.55810500000001</v>
      </c>
      <c r="X324" s="4">
        <v>488.77832000000001</v>
      </c>
    </row>
    <row r="325" spans="1:24" x14ac:dyDescent="0.3">
      <c r="A325" s="3" t="s">
        <v>50</v>
      </c>
      <c r="B325" s="4">
        <v>431.25848400000001</v>
      </c>
      <c r="C325" s="4">
        <v>459.18582199999997</v>
      </c>
      <c r="D325" s="4">
        <v>523.51831100000004</v>
      </c>
      <c r="I325" s="3" t="s">
        <v>50</v>
      </c>
      <c r="J325" s="4">
        <v>440.176941</v>
      </c>
      <c r="K325" s="4">
        <v>435.99331699999999</v>
      </c>
      <c r="L325" s="4">
        <v>458.80484000000001</v>
      </c>
      <c r="M325" s="12"/>
      <c r="O325" s="3" t="s">
        <v>50</v>
      </c>
      <c r="P325" s="4">
        <v>442.93499800000001</v>
      </c>
      <c r="Q325" s="4">
        <v>458.79049700000002</v>
      </c>
      <c r="R325" s="4">
        <v>455.642853</v>
      </c>
      <c r="U325" s="3" t="s">
        <v>50</v>
      </c>
      <c r="V325" s="4">
        <v>460.97058099999998</v>
      </c>
      <c r="W325" s="4">
        <v>435.99331699999999</v>
      </c>
      <c r="X325" s="4">
        <v>441.879211</v>
      </c>
    </row>
    <row r="326" spans="1:24" x14ac:dyDescent="0.3">
      <c r="A326" s="3" t="s">
        <v>52</v>
      </c>
      <c r="B326" s="4">
        <v>434.11999500000002</v>
      </c>
      <c r="C326" s="4">
        <v>463.34295700000001</v>
      </c>
      <c r="D326" s="4">
        <v>530.33508300000005</v>
      </c>
      <c r="I326" s="3" t="s">
        <v>52</v>
      </c>
      <c r="J326" s="4">
        <v>459.364014</v>
      </c>
      <c r="K326" s="4">
        <v>457.10873400000003</v>
      </c>
      <c r="L326" s="4">
        <v>459.364014</v>
      </c>
      <c r="M326" s="12"/>
      <c r="O326" s="3" t="s">
        <v>52</v>
      </c>
      <c r="P326" s="4">
        <v>508.08425899999997</v>
      </c>
      <c r="Q326" s="4">
        <v>463.34295700000001</v>
      </c>
      <c r="R326" s="4">
        <v>573.04803500000003</v>
      </c>
      <c r="U326" s="3" t="s">
        <v>52</v>
      </c>
      <c r="V326" s="4">
        <v>464.89556900000002</v>
      </c>
      <c r="W326" s="4">
        <v>457.10873400000003</v>
      </c>
      <c r="X326" s="4">
        <v>539.93908699999997</v>
      </c>
    </row>
    <row r="327" spans="1:24" x14ac:dyDescent="0.3">
      <c r="A327" s="3" t="s">
        <v>54</v>
      </c>
      <c r="B327" s="4">
        <v>542.234375</v>
      </c>
      <c r="C327" s="4">
        <v>541.601135</v>
      </c>
      <c r="D327" s="4">
        <v>580.88555899999994</v>
      </c>
      <c r="I327" s="3" t="s">
        <v>54</v>
      </c>
      <c r="J327" s="4">
        <v>545.28924600000005</v>
      </c>
      <c r="K327" s="4">
        <v>546.47717299999999</v>
      </c>
      <c r="L327" s="4">
        <v>574.77880900000002</v>
      </c>
      <c r="M327" s="12"/>
      <c r="O327" s="3" t="s">
        <v>54</v>
      </c>
      <c r="P327" s="4">
        <v>545.03643799999998</v>
      </c>
      <c r="Q327" s="4">
        <v>535.53491199999996</v>
      </c>
      <c r="R327" s="4">
        <v>573.993652</v>
      </c>
      <c r="U327" s="3" t="s">
        <v>54</v>
      </c>
      <c r="V327" s="4">
        <v>542.06512499999997</v>
      </c>
      <c r="W327" s="4">
        <v>545.28924600000005</v>
      </c>
      <c r="X327" s="4">
        <v>614.49108899999999</v>
      </c>
    </row>
    <row r="328" spans="1:24" x14ac:dyDescent="0.3">
      <c r="A328" s="3" t="s">
        <v>56</v>
      </c>
      <c r="B328" s="4">
        <v>434.32699600000001</v>
      </c>
      <c r="C328" s="4">
        <v>455.96814000000001</v>
      </c>
      <c r="D328" s="4">
        <v>577.11499000000003</v>
      </c>
      <c r="I328" s="3" t="s">
        <v>56</v>
      </c>
      <c r="J328" s="4">
        <v>447.51660199999998</v>
      </c>
      <c r="K328" s="4">
        <v>453.643372</v>
      </c>
      <c r="L328" s="4">
        <v>454.64901700000001</v>
      </c>
      <c r="M328" s="12"/>
      <c r="O328" s="3" t="s">
        <v>56</v>
      </c>
      <c r="P328" s="4">
        <v>461.53173800000002</v>
      </c>
      <c r="Q328" s="4">
        <v>456.38397200000003</v>
      </c>
      <c r="R328" s="4">
        <v>571.09283400000004</v>
      </c>
      <c r="U328" s="3" t="s">
        <v>56</v>
      </c>
      <c r="V328" s="4">
        <v>474.35732999999999</v>
      </c>
      <c r="W328" s="4">
        <v>453.643372</v>
      </c>
      <c r="X328" s="4">
        <v>447.51660199999998</v>
      </c>
    </row>
    <row r="329" spans="1:24" x14ac:dyDescent="0.3">
      <c r="A329" s="3" t="s">
        <v>58</v>
      </c>
      <c r="B329" s="4">
        <v>447.28234900000001</v>
      </c>
      <c r="C329" s="4">
        <v>469.98245200000002</v>
      </c>
      <c r="D329" s="4">
        <v>543.69921899999997</v>
      </c>
      <c r="I329" s="3" t="s">
        <v>58</v>
      </c>
      <c r="J329" s="4">
        <v>461.47448700000001</v>
      </c>
      <c r="K329" s="4">
        <v>461.47448700000001</v>
      </c>
      <c r="L329" s="4">
        <v>530.34112500000003</v>
      </c>
      <c r="M329" s="12"/>
      <c r="O329" s="3" t="s">
        <v>58</v>
      </c>
      <c r="P329" s="4">
        <v>514.75311299999998</v>
      </c>
      <c r="Q329" s="4">
        <v>470.14639299999999</v>
      </c>
      <c r="R329" s="4">
        <v>530.52410899999995</v>
      </c>
      <c r="U329" s="3" t="s">
        <v>58</v>
      </c>
      <c r="V329" s="4">
        <v>536.25988800000005</v>
      </c>
      <c r="W329" s="4">
        <v>461.47448700000001</v>
      </c>
      <c r="X329" s="4">
        <v>461.47448700000001</v>
      </c>
    </row>
    <row r="330" spans="1:24" x14ac:dyDescent="0.3">
      <c r="A330" s="3" t="s">
        <v>60</v>
      </c>
      <c r="B330" s="4">
        <v>569.20593299999996</v>
      </c>
      <c r="C330" s="4">
        <v>586.94378700000004</v>
      </c>
      <c r="D330" s="4">
        <v>614.75720200000001</v>
      </c>
      <c r="I330" s="3" t="s">
        <v>60</v>
      </c>
      <c r="J330" s="4">
        <v>569.09258999999997</v>
      </c>
      <c r="K330" s="4">
        <v>559.60125700000003</v>
      </c>
      <c r="L330" s="4">
        <v>617.78466800000001</v>
      </c>
      <c r="M330" s="12"/>
      <c r="O330" s="3" t="s">
        <v>60</v>
      </c>
      <c r="P330" s="4">
        <v>619.15118399999994</v>
      </c>
      <c r="Q330" s="4">
        <v>596.61273200000005</v>
      </c>
      <c r="R330" s="4">
        <v>618.71691899999996</v>
      </c>
      <c r="U330" s="3" t="s">
        <v>60</v>
      </c>
      <c r="V330" s="4">
        <v>596.72552499999995</v>
      </c>
      <c r="W330" s="4">
        <v>572.11175500000002</v>
      </c>
      <c r="X330" s="4">
        <v>566.19207800000004</v>
      </c>
    </row>
    <row r="331" spans="1:24" x14ac:dyDescent="0.3">
      <c r="A331" s="3" t="s">
        <v>62</v>
      </c>
      <c r="B331" s="4">
        <v>396.86749300000002</v>
      </c>
      <c r="C331" s="4">
        <v>396.86749300000002</v>
      </c>
      <c r="D331" s="4">
        <v>418.71951300000001</v>
      </c>
      <c r="I331" s="3" t="s">
        <v>62</v>
      </c>
      <c r="J331" s="4">
        <v>393.36050399999999</v>
      </c>
      <c r="K331" s="4">
        <v>386.23226899999997</v>
      </c>
      <c r="L331" s="4">
        <v>412.57354700000002</v>
      </c>
      <c r="M331" s="12"/>
      <c r="O331" s="3" t="s">
        <v>62</v>
      </c>
      <c r="P331" s="4">
        <v>403.64141799999999</v>
      </c>
      <c r="Q331" s="4">
        <v>396.86749300000002</v>
      </c>
      <c r="R331" s="4">
        <v>454.167664</v>
      </c>
      <c r="U331" s="3" t="s">
        <v>62</v>
      </c>
      <c r="V331" s="4">
        <v>386.23226899999997</v>
      </c>
      <c r="W331" s="4">
        <v>386.23226899999997</v>
      </c>
      <c r="X331" s="4">
        <v>402.32195999999999</v>
      </c>
    </row>
    <row r="332" spans="1:24" x14ac:dyDescent="0.3">
      <c r="A332" s="3" t="s">
        <v>64</v>
      </c>
      <c r="B332" s="4">
        <v>537.66461200000003</v>
      </c>
      <c r="C332" s="4">
        <v>557.57983400000001</v>
      </c>
      <c r="D332" s="4">
        <v>626.46758999999997</v>
      </c>
      <c r="I332" s="3" t="s">
        <v>64</v>
      </c>
      <c r="J332" s="4">
        <v>549.18920900000001</v>
      </c>
      <c r="K332" s="4">
        <v>549.18920900000001</v>
      </c>
      <c r="L332" s="4">
        <v>584.44262700000002</v>
      </c>
      <c r="M332" s="12"/>
      <c r="O332" s="3" t="s">
        <v>64</v>
      </c>
      <c r="P332" s="4">
        <v>590.41198699999995</v>
      </c>
      <c r="Q332" s="4">
        <v>557.57983400000001</v>
      </c>
      <c r="R332" s="4">
        <v>561.22814900000003</v>
      </c>
      <c r="U332" s="3" t="s">
        <v>64</v>
      </c>
      <c r="V332" s="4">
        <v>554.73480199999995</v>
      </c>
      <c r="W332" s="4">
        <v>549.18920900000001</v>
      </c>
      <c r="X332" s="4">
        <v>566.50073199999997</v>
      </c>
    </row>
    <row r="333" spans="1:24" x14ac:dyDescent="0.3">
      <c r="A333" s="3" t="s">
        <v>66</v>
      </c>
      <c r="B333" s="4">
        <v>489.73056000000003</v>
      </c>
      <c r="C333" s="4">
        <v>509.56030299999998</v>
      </c>
      <c r="D333" s="4">
        <v>600.08453399999996</v>
      </c>
      <c r="I333" s="3" t="s">
        <v>66</v>
      </c>
      <c r="J333" s="4">
        <v>484.88317899999998</v>
      </c>
      <c r="K333" s="4">
        <v>486.33865400000002</v>
      </c>
      <c r="L333" s="4">
        <v>594.48809800000004</v>
      </c>
      <c r="M333" s="12"/>
      <c r="O333" s="3" t="s">
        <v>66</v>
      </c>
      <c r="P333" s="4">
        <v>546.15881300000001</v>
      </c>
      <c r="Q333" s="4">
        <v>509.56030299999998</v>
      </c>
      <c r="R333" s="4">
        <v>523.20550500000002</v>
      </c>
      <c r="U333" s="3" t="s">
        <v>66</v>
      </c>
      <c r="V333" s="4">
        <v>484.88317899999998</v>
      </c>
      <c r="W333" s="4">
        <v>491.73132299999997</v>
      </c>
      <c r="X333" s="4">
        <v>582.39849900000002</v>
      </c>
    </row>
    <row r="334" spans="1:24" x14ac:dyDescent="0.3">
      <c r="A334" s="3" t="s">
        <v>68</v>
      </c>
      <c r="B334" s="4">
        <v>400.026093</v>
      </c>
      <c r="C334" s="4">
        <v>396.642426</v>
      </c>
      <c r="D334" s="4">
        <v>409.623199</v>
      </c>
      <c r="I334" s="3" t="s">
        <v>68</v>
      </c>
      <c r="J334" s="4">
        <v>389.56133999999997</v>
      </c>
      <c r="K334" s="4">
        <v>389.56133999999997</v>
      </c>
      <c r="L334" s="4">
        <v>391.63028000000003</v>
      </c>
      <c r="M334" s="12"/>
      <c r="O334" s="3" t="s">
        <v>68</v>
      </c>
      <c r="P334" s="4">
        <v>404.97958399999999</v>
      </c>
      <c r="Q334" s="4">
        <v>397.11013800000001</v>
      </c>
      <c r="R334" s="4">
        <v>398.85427900000002</v>
      </c>
      <c r="U334" s="3" t="s">
        <v>68</v>
      </c>
      <c r="V334" s="4">
        <v>389.56133999999997</v>
      </c>
      <c r="W334" s="4">
        <v>389.64953600000001</v>
      </c>
      <c r="X334" s="4">
        <v>406.03457600000002</v>
      </c>
    </row>
    <row r="335" spans="1:24" x14ac:dyDescent="0.3">
      <c r="A335" s="4" t="s">
        <v>74</v>
      </c>
      <c r="B335" s="4">
        <v>401.67568999999997</v>
      </c>
      <c r="C335" s="4">
        <v>404.11584499999998</v>
      </c>
      <c r="D335" s="4">
        <v>429.75</v>
      </c>
      <c r="I335" s="4" t="s">
        <v>74</v>
      </c>
      <c r="J335" s="4">
        <v>378.85406499999999</v>
      </c>
      <c r="K335" s="4">
        <v>379.26654100000002</v>
      </c>
      <c r="L335" s="4">
        <v>405.03613300000001</v>
      </c>
      <c r="M335" s="12"/>
      <c r="O335" s="4" t="s">
        <v>74</v>
      </c>
      <c r="P335" s="4">
        <v>429.75</v>
      </c>
      <c r="Q335" s="4">
        <v>405.61071800000002</v>
      </c>
      <c r="R335" s="4">
        <v>429.75</v>
      </c>
      <c r="U335" s="4" t="s">
        <v>74</v>
      </c>
      <c r="V335" s="4">
        <v>405.03613300000001</v>
      </c>
      <c r="W335" s="4">
        <v>385.20059199999997</v>
      </c>
      <c r="X335" s="4">
        <v>405.03613300000001</v>
      </c>
    </row>
    <row r="336" spans="1:24" x14ac:dyDescent="0.3">
      <c r="A336" s="4" t="s">
        <v>76</v>
      </c>
      <c r="B336" s="4">
        <v>438.98226899999997</v>
      </c>
      <c r="C336" s="4">
        <v>444.69982900000002</v>
      </c>
      <c r="D336" s="4">
        <v>492.788544</v>
      </c>
      <c r="I336" s="4" t="s">
        <v>76</v>
      </c>
      <c r="J336" s="4">
        <v>412.682861</v>
      </c>
      <c r="K336" s="4">
        <v>413.67385899999999</v>
      </c>
      <c r="L336" s="4">
        <v>407.28213499999998</v>
      </c>
      <c r="M336" s="12"/>
      <c r="O336" s="4" t="s">
        <v>76</v>
      </c>
      <c r="P336" s="4">
        <v>459.13604700000002</v>
      </c>
      <c r="Q336" s="4">
        <v>443.53234900000001</v>
      </c>
      <c r="R336" s="4">
        <v>441.840576</v>
      </c>
      <c r="U336" s="4" t="s">
        <v>76</v>
      </c>
      <c r="V336" s="4">
        <v>399.85766599999999</v>
      </c>
      <c r="W336" s="4">
        <v>416.55395499999997</v>
      </c>
      <c r="X336" s="4">
        <v>458.50668300000001</v>
      </c>
    </row>
    <row r="337" spans="1:24" x14ac:dyDescent="0.3">
      <c r="A337" s="4" t="s">
        <v>78</v>
      </c>
      <c r="B337" s="4">
        <v>423.86352499999998</v>
      </c>
      <c r="C337" s="4">
        <v>430.92837500000002</v>
      </c>
      <c r="D337" s="4">
        <v>436.52801499999998</v>
      </c>
      <c r="I337" s="4" t="s">
        <v>78</v>
      </c>
      <c r="J337" s="4">
        <v>403.34835800000002</v>
      </c>
      <c r="K337" s="4">
        <v>405.70871</v>
      </c>
      <c r="L337" s="4">
        <v>436.404022</v>
      </c>
      <c r="M337" s="12"/>
      <c r="O337" s="4" t="s">
        <v>78</v>
      </c>
      <c r="P337" s="4">
        <v>453.67434700000001</v>
      </c>
      <c r="Q337" s="4">
        <v>432.68515000000002</v>
      </c>
      <c r="R337" s="4">
        <v>453.58804300000003</v>
      </c>
      <c r="U337" s="4" t="s">
        <v>78</v>
      </c>
      <c r="V337" s="4">
        <v>418.86187699999999</v>
      </c>
      <c r="W337" s="4">
        <v>406.29434199999997</v>
      </c>
      <c r="X337" s="4">
        <v>406.43810999999999</v>
      </c>
    </row>
    <row r="338" spans="1:24" x14ac:dyDescent="0.3">
      <c r="A338" s="4" t="s">
        <v>80</v>
      </c>
      <c r="B338" s="4">
        <v>457.40896600000002</v>
      </c>
      <c r="C338" s="4">
        <v>464.92394999999999</v>
      </c>
      <c r="D338" s="4">
        <v>461.60003699999999</v>
      </c>
      <c r="I338" s="4" t="s">
        <v>80</v>
      </c>
      <c r="J338" s="4">
        <v>418.89267000000001</v>
      </c>
      <c r="K338" s="4">
        <v>424.53918499999997</v>
      </c>
      <c r="L338" s="4">
        <v>470.20062300000001</v>
      </c>
      <c r="M338" s="12"/>
      <c r="O338" s="4" t="s">
        <v>80</v>
      </c>
      <c r="P338" s="4">
        <v>451.680542</v>
      </c>
      <c r="Q338" s="4">
        <v>458.30954000000003</v>
      </c>
      <c r="R338" s="4">
        <v>482.93777499999999</v>
      </c>
      <c r="U338" s="4" t="s">
        <v>80</v>
      </c>
      <c r="V338" s="4">
        <v>416.057343</v>
      </c>
      <c r="W338" s="4">
        <v>427.39132699999999</v>
      </c>
      <c r="X338" s="4">
        <v>461.19830300000001</v>
      </c>
    </row>
    <row r="339" spans="1:24" x14ac:dyDescent="0.3">
      <c r="A339" s="4" t="s">
        <v>82</v>
      </c>
      <c r="B339" s="4">
        <v>417.89263899999997</v>
      </c>
      <c r="C339" s="4">
        <v>423.14672899999999</v>
      </c>
      <c r="D339" s="4">
        <v>516.67425500000002</v>
      </c>
      <c r="I339" s="4" t="s">
        <v>82</v>
      </c>
      <c r="J339" s="4">
        <v>401.66940299999999</v>
      </c>
      <c r="K339" s="4">
        <v>407.24176</v>
      </c>
      <c r="L339" s="4">
        <v>447.766571</v>
      </c>
      <c r="M339" s="12"/>
      <c r="O339" s="4" t="s">
        <v>82</v>
      </c>
      <c r="P339" s="4">
        <v>444.55535900000001</v>
      </c>
      <c r="Q339" s="4">
        <v>426.49679600000002</v>
      </c>
      <c r="R339" s="4">
        <v>488.78628500000002</v>
      </c>
      <c r="U339" s="4" t="s">
        <v>82</v>
      </c>
      <c r="V339" s="4">
        <v>399.44708300000002</v>
      </c>
      <c r="W339" s="4">
        <v>407.44702100000001</v>
      </c>
      <c r="X339" s="4">
        <v>402.18817100000001</v>
      </c>
    </row>
    <row r="340" spans="1:24" x14ac:dyDescent="0.3">
      <c r="A340" s="4" t="s">
        <v>84</v>
      </c>
      <c r="B340" s="4">
        <v>528.08221400000002</v>
      </c>
      <c r="C340" s="4">
        <v>546.52374299999997</v>
      </c>
      <c r="D340" s="4">
        <v>521.63586399999997</v>
      </c>
      <c r="I340" s="4" t="s">
        <v>84</v>
      </c>
      <c r="J340" s="4">
        <v>494.85012799999998</v>
      </c>
      <c r="K340" s="4">
        <v>506.08660900000001</v>
      </c>
      <c r="L340" s="4">
        <v>500.77368200000001</v>
      </c>
      <c r="M340" s="12"/>
      <c r="O340" s="4" t="s">
        <v>84</v>
      </c>
      <c r="P340" s="4">
        <v>531.64788799999997</v>
      </c>
      <c r="Q340" s="4">
        <v>544.66973900000005</v>
      </c>
      <c r="R340" s="4">
        <v>543.06408699999997</v>
      </c>
      <c r="U340" s="4" t="s">
        <v>84</v>
      </c>
      <c r="V340" s="4">
        <v>514.89898700000003</v>
      </c>
      <c r="W340" s="4">
        <v>502.00460800000002</v>
      </c>
      <c r="X340" s="4">
        <v>502.38168300000001</v>
      </c>
    </row>
    <row r="341" spans="1:24" x14ac:dyDescent="0.3">
      <c r="A341" s="4" t="s">
        <v>86</v>
      </c>
      <c r="B341" s="4">
        <v>568.23950200000002</v>
      </c>
      <c r="C341" s="4">
        <v>576.66253700000004</v>
      </c>
      <c r="D341" s="4">
        <v>607.37603799999999</v>
      </c>
      <c r="I341" s="4" t="s">
        <v>86</v>
      </c>
      <c r="J341" s="4">
        <v>532.722534</v>
      </c>
      <c r="K341" s="4">
        <v>553.70422399999995</v>
      </c>
      <c r="L341" s="4">
        <v>587.23388699999998</v>
      </c>
      <c r="M341" s="12"/>
      <c r="O341" s="4" t="s">
        <v>86</v>
      </c>
      <c r="P341" s="4">
        <v>603.23144500000001</v>
      </c>
      <c r="Q341" s="4">
        <v>581.76092500000004</v>
      </c>
      <c r="R341" s="4">
        <v>599.94683799999996</v>
      </c>
      <c r="U341" s="4" t="s">
        <v>86</v>
      </c>
      <c r="V341" s="4">
        <v>572.35681199999999</v>
      </c>
      <c r="W341" s="4">
        <v>549.40014599999995</v>
      </c>
      <c r="X341" s="4">
        <v>563.82458499999996</v>
      </c>
    </row>
    <row r="342" spans="1:24" x14ac:dyDescent="0.3">
      <c r="A342" s="4" t="s">
        <v>88</v>
      </c>
      <c r="B342" s="4">
        <v>493.693848</v>
      </c>
      <c r="C342" s="4">
        <v>498.79675300000002</v>
      </c>
      <c r="D342" s="4">
        <v>512.47051999999996</v>
      </c>
      <c r="I342" s="4" t="s">
        <v>88</v>
      </c>
      <c r="J342" s="4">
        <v>457.71310399999999</v>
      </c>
      <c r="K342" s="4">
        <v>469.24456800000002</v>
      </c>
      <c r="L342" s="4">
        <v>497.127319</v>
      </c>
      <c r="M342" s="12"/>
      <c r="O342" s="4" t="s">
        <v>88</v>
      </c>
      <c r="P342" s="4">
        <v>478.624573</v>
      </c>
      <c r="Q342" s="4">
        <v>500.21829200000002</v>
      </c>
      <c r="R342" s="4">
        <v>494.87383999999997</v>
      </c>
      <c r="U342" s="4" t="s">
        <v>88</v>
      </c>
      <c r="V342" s="4">
        <v>445.33734099999998</v>
      </c>
      <c r="W342" s="4">
        <v>450.33960000000002</v>
      </c>
      <c r="X342" s="4">
        <v>508.85745200000002</v>
      </c>
    </row>
    <row r="343" spans="1:24" x14ac:dyDescent="0.3">
      <c r="A343" s="4" t="s">
        <v>90</v>
      </c>
      <c r="B343" s="4">
        <v>427.23998999999998</v>
      </c>
      <c r="C343" s="4">
        <v>444.79968300000002</v>
      </c>
      <c r="D343" s="4">
        <v>416.78308099999998</v>
      </c>
      <c r="I343" s="4" t="s">
        <v>90</v>
      </c>
      <c r="J343" s="4">
        <v>408.11267099999998</v>
      </c>
      <c r="K343" s="4">
        <v>425.32205199999999</v>
      </c>
      <c r="L343" s="4">
        <v>411.14254799999998</v>
      </c>
      <c r="M343" s="12"/>
      <c r="O343" s="4" t="s">
        <v>90</v>
      </c>
      <c r="P343" s="4">
        <v>505.67718500000001</v>
      </c>
      <c r="Q343" s="4">
        <v>454.36660799999999</v>
      </c>
      <c r="R343" s="4">
        <v>450.65673800000002</v>
      </c>
      <c r="U343" s="4" t="s">
        <v>90</v>
      </c>
      <c r="V343" s="4">
        <v>441.607147</v>
      </c>
      <c r="W343" s="4">
        <v>426.54363999999998</v>
      </c>
      <c r="X343" s="4">
        <v>403.72671500000001</v>
      </c>
    </row>
    <row r="344" spans="1:24" x14ac:dyDescent="0.3">
      <c r="A344" s="4" t="s">
        <v>92</v>
      </c>
      <c r="B344" s="4">
        <v>562.34045400000002</v>
      </c>
      <c r="C344" s="4">
        <v>563.186646</v>
      </c>
      <c r="D344" s="4">
        <v>572.62030000000004</v>
      </c>
      <c r="I344" s="4" t="s">
        <v>92</v>
      </c>
      <c r="J344" s="4">
        <v>530.81097399999999</v>
      </c>
      <c r="K344" s="4">
        <v>538.08831799999996</v>
      </c>
      <c r="L344" s="4">
        <v>579.75872800000002</v>
      </c>
      <c r="M344" s="12"/>
      <c r="O344" s="4" t="s">
        <v>92</v>
      </c>
      <c r="P344" s="4">
        <v>592.47497599999997</v>
      </c>
      <c r="Q344" s="4">
        <v>560.28790300000003</v>
      </c>
      <c r="R344" s="4">
        <v>563.506348</v>
      </c>
      <c r="U344" s="4" t="s">
        <v>92</v>
      </c>
      <c r="V344" s="4">
        <v>559.57659899999999</v>
      </c>
      <c r="W344" s="4">
        <v>542.32305899999994</v>
      </c>
      <c r="X344" s="4">
        <v>539.39624000000003</v>
      </c>
    </row>
    <row r="345" spans="1:24" x14ac:dyDescent="0.3">
      <c r="A345" s="4" t="s">
        <v>94</v>
      </c>
      <c r="B345" s="4">
        <v>432.19461100000001</v>
      </c>
      <c r="C345" s="4">
        <v>462.340057</v>
      </c>
      <c r="D345" s="4">
        <v>580.13678000000004</v>
      </c>
      <c r="I345" s="4" t="s">
        <v>94</v>
      </c>
      <c r="J345" s="4">
        <v>443.27810699999998</v>
      </c>
      <c r="K345" s="4">
        <v>447.151093</v>
      </c>
      <c r="L345" s="4">
        <v>621.20043899999996</v>
      </c>
      <c r="M345" s="12"/>
      <c r="O345" s="4" t="s">
        <v>94</v>
      </c>
      <c r="P345" s="4">
        <v>432.19461100000001</v>
      </c>
      <c r="Q345" s="4">
        <v>454.949524</v>
      </c>
      <c r="R345" s="4">
        <v>615.34851100000003</v>
      </c>
      <c r="U345" s="4" t="s">
        <v>94</v>
      </c>
      <c r="V345" s="4">
        <v>420.68310500000001</v>
      </c>
      <c r="W345" s="4">
        <v>468.143036</v>
      </c>
      <c r="X345" s="4">
        <v>590.37243699999999</v>
      </c>
    </row>
    <row r="346" spans="1:24" x14ac:dyDescent="0.3">
      <c r="A346" s="4" t="s">
        <v>96</v>
      </c>
      <c r="B346" s="4">
        <v>591.61621100000002</v>
      </c>
      <c r="C346" s="4">
        <v>583.15667699999995</v>
      </c>
      <c r="D346" s="4">
        <v>623.26849400000003</v>
      </c>
      <c r="I346" s="4" t="s">
        <v>96</v>
      </c>
      <c r="J346" s="4">
        <v>560.47766100000001</v>
      </c>
      <c r="K346" s="4">
        <v>595.24273700000003</v>
      </c>
      <c r="L346" s="4">
        <v>617.04199200000005</v>
      </c>
      <c r="M346" s="12"/>
      <c r="O346" s="4" t="s">
        <v>96</v>
      </c>
      <c r="P346" s="4">
        <v>631.56982400000004</v>
      </c>
      <c r="Q346" s="4">
        <v>599.59228499999995</v>
      </c>
      <c r="R346" s="4">
        <v>591.72351100000003</v>
      </c>
      <c r="U346" s="4" t="s">
        <v>96</v>
      </c>
      <c r="V346" s="4">
        <v>588.59802200000001</v>
      </c>
      <c r="W346" s="4">
        <v>579.32458499999996</v>
      </c>
      <c r="X346" s="4">
        <v>594.35363800000005</v>
      </c>
    </row>
    <row r="347" spans="1:24" x14ac:dyDescent="0.3">
      <c r="A347" s="4" t="s">
        <v>98</v>
      </c>
      <c r="B347" s="4">
        <v>482.62603799999999</v>
      </c>
      <c r="C347" s="4">
        <v>474.41699199999999</v>
      </c>
      <c r="D347" s="4">
        <v>514.152649</v>
      </c>
      <c r="I347" s="4" t="s">
        <v>98</v>
      </c>
      <c r="J347" s="4">
        <v>455.25457799999998</v>
      </c>
      <c r="K347" s="4">
        <v>472.13714599999997</v>
      </c>
      <c r="L347" s="4">
        <v>491.76007099999998</v>
      </c>
      <c r="M347" s="12"/>
      <c r="O347" s="4" t="s">
        <v>98</v>
      </c>
      <c r="P347" s="4">
        <v>469.36407500000001</v>
      </c>
      <c r="Q347" s="4">
        <v>474.77023300000002</v>
      </c>
      <c r="R347" s="4">
        <v>469.36407500000001</v>
      </c>
      <c r="U347" s="4" t="s">
        <v>98</v>
      </c>
      <c r="V347" s="4">
        <v>439.96939099999997</v>
      </c>
      <c r="W347" s="4">
        <v>466.083099</v>
      </c>
      <c r="X347" s="4">
        <v>513.47033699999997</v>
      </c>
    </row>
    <row r="348" spans="1:24" x14ac:dyDescent="0.3">
      <c r="A348" s="4" t="s">
        <v>100</v>
      </c>
      <c r="B348" s="4">
        <v>609.87329099999999</v>
      </c>
      <c r="C348" s="4">
        <v>610.109375</v>
      </c>
      <c r="D348" s="4">
        <v>667.78716999999995</v>
      </c>
      <c r="I348" s="4" t="s">
        <v>100</v>
      </c>
      <c r="J348" s="4">
        <v>608.22778300000004</v>
      </c>
      <c r="K348" s="4">
        <v>617.18414299999995</v>
      </c>
      <c r="L348" s="4">
        <v>698.13403300000004</v>
      </c>
      <c r="M348" s="12"/>
      <c r="O348" s="4" t="s">
        <v>100</v>
      </c>
      <c r="P348" s="4">
        <v>635.02301</v>
      </c>
      <c r="Q348" s="4">
        <v>621.153503</v>
      </c>
      <c r="R348" s="4">
        <v>629.30157499999996</v>
      </c>
      <c r="U348" s="4" t="s">
        <v>100</v>
      </c>
      <c r="V348" s="4">
        <v>595.21252400000003</v>
      </c>
      <c r="W348" s="4">
        <v>614.13324</v>
      </c>
      <c r="X348" s="4">
        <v>650.16204800000003</v>
      </c>
    </row>
    <row r="349" spans="1:24" x14ac:dyDescent="0.3">
      <c r="A349" s="4" t="s">
        <v>102</v>
      </c>
      <c r="B349" s="4">
        <v>611.81549099999995</v>
      </c>
      <c r="C349" s="4">
        <v>612.33050500000002</v>
      </c>
      <c r="D349" s="4">
        <v>594.72051999999996</v>
      </c>
      <c r="I349" s="4" t="s">
        <v>102</v>
      </c>
      <c r="J349" s="4">
        <v>604.49047900000005</v>
      </c>
      <c r="K349" s="4">
        <v>607.58245799999997</v>
      </c>
      <c r="L349" s="4">
        <v>598.16717500000004</v>
      </c>
      <c r="M349" s="12"/>
      <c r="O349" s="4" t="s">
        <v>102</v>
      </c>
      <c r="P349" s="4">
        <v>594.72051999999996</v>
      </c>
      <c r="Q349" s="4">
        <v>620.53637700000002</v>
      </c>
      <c r="R349" s="4">
        <v>638.05676300000005</v>
      </c>
      <c r="U349" s="4" t="s">
        <v>102</v>
      </c>
      <c r="V349" s="4">
        <v>596.756531</v>
      </c>
      <c r="W349" s="4">
        <v>620.98956299999998</v>
      </c>
      <c r="X349" s="4">
        <v>673.48718299999996</v>
      </c>
    </row>
    <row r="350" spans="1:24" x14ac:dyDescent="0.3">
      <c r="A350" s="4" t="s">
        <v>104</v>
      </c>
      <c r="B350" s="4">
        <v>582.24731399999996</v>
      </c>
      <c r="C350" s="4">
        <v>601.25073199999997</v>
      </c>
      <c r="D350" s="4">
        <v>655.88232400000004</v>
      </c>
      <c r="I350" s="4" t="s">
        <v>104</v>
      </c>
      <c r="J350" s="4">
        <v>584.26721199999997</v>
      </c>
      <c r="K350" s="4">
        <v>603.28198199999997</v>
      </c>
      <c r="L350" s="4">
        <v>687.69476299999997</v>
      </c>
      <c r="M350" s="12"/>
      <c r="O350" s="4" t="s">
        <v>104</v>
      </c>
      <c r="P350" s="4">
        <v>574.10437000000002</v>
      </c>
      <c r="Q350" s="4">
        <v>608.95275900000001</v>
      </c>
      <c r="R350" s="4">
        <v>594.62914999999998</v>
      </c>
      <c r="U350" s="4" t="s">
        <v>104</v>
      </c>
      <c r="V350" s="4">
        <v>568.17999299999997</v>
      </c>
      <c r="W350" s="4">
        <v>619.28826900000001</v>
      </c>
      <c r="X350" s="4">
        <v>617.29144299999996</v>
      </c>
    </row>
    <row r="351" spans="1:24" x14ac:dyDescent="0.3">
      <c r="A351" s="4" t="s">
        <v>106</v>
      </c>
      <c r="B351" s="4">
        <v>534.07696499999997</v>
      </c>
      <c r="C351" s="4">
        <v>563.65118399999994</v>
      </c>
      <c r="D351" s="4">
        <v>541.38891599999999</v>
      </c>
      <c r="I351" s="4" t="s">
        <v>106</v>
      </c>
      <c r="J351" s="4">
        <v>554.75073199999997</v>
      </c>
      <c r="K351" s="4">
        <v>572.47955300000001</v>
      </c>
      <c r="L351" s="4">
        <v>590.43988000000002</v>
      </c>
      <c r="M351" s="12"/>
      <c r="O351" s="4" t="s">
        <v>106</v>
      </c>
      <c r="P351" s="4">
        <v>531.02911400000005</v>
      </c>
      <c r="Q351" s="4">
        <v>564.28564500000005</v>
      </c>
      <c r="R351" s="4">
        <v>598.979736</v>
      </c>
      <c r="U351" s="4" t="s">
        <v>106</v>
      </c>
      <c r="V351" s="4">
        <v>514.25939900000003</v>
      </c>
      <c r="W351" s="4">
        <v>558.23455799999999</v>
      </c>
      <c r="X351" s="4">
        <v>653.10705600000006</v>
      </c>
    </row>
    <row r="352" spans="1:24" x14ac:dyDescent="0.3">
      <c r="A352" s="4" t="s">
        <v>108</v>
      </c>
      <c r="B352" s="4">
        <v>605.71917699999995</v>
      </c>
      <c r="C352" s="4">
        <v>601.30621299999996</v>
      </c>
      <c r="D352" s="4">
        <v>638.67529300000001</v>
      </c>
      <c r="I352" s="4" t="s">
        <v>108</v>
      </c>
      <c r="J352" s="4">
        <v>584.26458700000001</v>
      </c>
      <c r="K352" s="4">
        <v>598.33752400000003</v>
      </c>
      <c r="L352" s="4">
        <v>636.00988800000005</v>
      </c>
      <c r="M352" s="12"/>
      <c r="O352" s="4" t="s">
        <v>108</v>
      </c>
      <c r="P352" s="4">
        <v>600.38909899999999</v>
      </c>
      <c r="Q352" s="4">
        <v>617.52410899999995</v>
      </c>
      <c r="R352" s="4">
        <v>609.76397699999995</v>
      </c>
      <c r="U352" s="4" t="s">
        <v>108</v>
      </c>
      <c r="V352" s="4">
        <v>586.45788600000003</v>
      </c>
      <c r="W352" s="4">
        <v>603.63464399999998</v>
      </c>
      <c r="X352" s="4">
        <v>704.07147199999997</v>
      </c>
    </row>
    <row r="353" spans="1:24" x14ac:dyDescent="0.3">
      <c r="A353" s="4" t="s">
        <v>110</v>
      </c>
      <c r="B353" s="4">
        <v>582.90521200000001</v>
      </c>
      <c r="C353" s="4">
        <v>608.27484100000004</v>
      </c>
      <c r="D353" s="4">
        <v>557.82195999999999</v>
      </c>
      <c r="I353" s="4" t="s">
        <v>110</v>
      </c>
      <c r="J353" s="4">
        <v>587.03259300000002</v>
      </c>
      <c r="K353" s="4">
        <v>594.47930899999994</v>
      </c>
      <c r="L353" s="4">
        <v>671.54339600000003</v>
      </c>
      <c r="M353" s="12"/>
      <c r="O353" s="4" t="s">
        <v>110</v>
      </c>
      <c r="P353" s="4">
        <v>636.22839399999998</v>
      </c>
      <c r="Q353" s="4">
        <v>595.810608</v>
      </c>
      <c r="R353" s="4">
        <v>714.30029300000001</v>
      </c>
      <c r="U353" s="4" t="s">
        <v>110</v>
      </c>
      <c r="V353" s="4">
        <v>571.69445800000005</v>
      </c>
      <c r="W353" s="4">
        <v>592.93280000000004</v>
      </c>
      <c r="X353" s="4">
        <v>684.54296899999997</v>
      </c>
    </row>
    <row r="354" spans="1:24" x14ac:dyDescent="0.3">
      <c r="A354" s="4" t="s">
        <v>112</v>
      </c>
      <c r="B354" s="4">
        <v>465.50125100000002</v>
      </c>
      <c r="C354" s="4">
        <v>474.47961400000003</v>
      </c>
      <c r="D354" s="4">
        <v>489.28988600000002</v>
      </c>
      <c r="I354" s="4" t="s">
        <v>112</v>
      </c>
      <c r="J354" s="4">
        <v>435.23095699999999</v>
      </c>
      <c r="K354" s="4">
        <v>446.33166499999999</v>
      </c>
      <c r="L354" s="4">
        <v>445.93069500000001</v>
      </c>
      <c r="M354" s="12"/>
      <c r="O354" s="4" t="s">
        <v>112</v>
      </c>
      <c r="P354" s="4">
        <v>517.91876200000002</v>
      </c>
      <c r="Q354" s="4">
        <v>486.44055200000003</v>
      </c>
      <c r="R354" s="4">
        <v>565.04272500000002</v>
      </c>
      <c r="U354" s="4" t="s">
        <v>112</v>
      </c>
      <c r="V354" s="4">
        <v>437.14529399999998</v>
      </c>
      <c r="W354" s="4">
        <v>458.24182100000002</v>
      </c>
      <c r="X354" s="4">
        <v>554.74462900000003</v>
      </c>
    </row>
    <row r="355" spans="1:24" x14ac:dyDescent="0.3">
      <c r="A355" s="4" t="s">
        <v>114</v>
      </c>
      <c r="B355" s="4">
        <v>598.52142300000003</v>
      </c>
      <c r="C355" s="4">
        <v>605.30358899999999</v>
      </c>
      <c r="D355" s="4">
        <v>612.69805899999994</v>
      </c>
      <c r="I355" s="4" t="s">
        <v>114</v>
      </c>
      <c r="J355" s="4">
        <v>579.05517599999996</v>
      </c>
      <c r="K355" s="4">
        <v>597.57690400000001</v>
      </c>
      <c r="L355" s="4">
        <v>697.24017300000003</v>
      </c>
      <c r="M355" s="12"/>
      <c r="O355" s="4" t="s">
        <v>114</v>
      </c>
      <c r="P355" s="4">
        <v>591.05639599999995</v>
      </c>
      <c r="Q355" s="4">
        <v>618.13378899999998</v>
      </c>
      <c r="R355" s="4">
        <v>659.675476</v>
      </c>
      <c r="U355" s="4" t="s">
        <v>114</v>
      </c>
      <c r="V355" s="4">
        <v>702.28308100000004</v>
      </c>
      <c r="W355" s="4">
        <v>602.49786400000005</v>
      </c>
      <c r="X355" s="4">
        <v>580.85845900000004</v>
      </c>
    </row>
    <row r="356" spans="1:24" x14ac:dyDescent="0.3">
      <c r="A356" s="4" t="s">
        <v>116</v>
      </c>
      <c r="B356" s="4">
        <v>649.63269000000003</v>
      </c>
      <c r="C356" s="4">
        <v>656.59576400000003</v>
      </c>
      <c r="D356" s="4">
        <v>620.785889</v>
      </c>
      <c r="I356" s="4" t="s">
        <v>116</v>
      </c>
      <c r="J356" s="4">
        <v>624.42932099999996</v>
      </c>
      <c r="K356" s="4">
        <v>642.09844999999996</v>
      </c>
      <c r="L356" s="4">
        <v>611.13293499999997</v>
      </c>
      <c r="M356" s="12"/>
      <c r="O356" s="4" t="s">
        <v>116</v>
      </c>
      <c r="P356" s="4">
        <v>662.64141800000004</v>
      </c>
      <c r="Q356" s="4">
        <v>649.32495100000006</v>
      </c>
      <c r="R356" s="4">
        <v>716.40429700000004</v>
      </c>
      <c r="U356" s="4" t="s">
        <v>116</v>
      </c>
      <c r="V356" s="4">
        <v>601.24029499999995</v>
      </c>
      <c r="W356" s="4">
        <v>648.759094</v>
      </c>
      <c r="X356" s="4">
        <v>662.40185499999995</v>
      </c>
    </row>
    <row r="357" spans="1:24" x14ac:dyDescent="0.3">
      <c r="A357" s="4" t="s">
        <v>118</v>
      </c>
      <c r="B357" s="4">
        <v>565.503601</v>
      </c>
      <c r="C357" s="4">
        <v>576.58062700000005</v>
      </c>
      <c r="D357" s="4">
        <v>553.96673599999997</v>
      </c>
      <c r="I357" s="4" t="s">
        <v>118</v>
      </c>
      <c r="J357" s="4">
        <v>551.69708300000002</v>
      </c>
      <c r="K357" s="4">
        <v>574.32305899999994</v>
      </c>
      <c r="L357" s="4">
        <v>642.53186000000005</v>
      </c>
      <c r="M357" s="12"/>
      <c r="O357" s="4" t="s">
        <v>118</v>
      </c>
      <c r="P357" s="4">
        <v>615.03710899999999</v>
      </c>
      <c r="Q357" s="4">
        <v>578.478882</v>
      </c>
      <c r="R357" s="4">
        <v>678.65325900000005</v>
      </c>
      <c r="U357" s="4" t="s">
        <v>118</v>
      </c>
      <c r="V357" s="4">
        <v>654.737122</v>
      </c>
      <c r="W357" s="4">
        <v>565.40362500000003</v>
      </c>
      <c r="X357" s="4">
        <v>546.78784199999996</v>
      </c>
    </row>
    <row r="358" spans="1:24" x14ac:dyDescent="0.3">
      <c r="A358" s="4" t="s">
        <v>120</v>
      </c>
      <c r="B358" s="4">
        <v>705.42980999999997</v>
      </c>
      <c r="C358" s="4">
        <v>709.82324200000005</v>
      </c>
      <c r="D358" s="4">
        <v>715.88507100000004</v>
      </c>
      <c r="I358" s="4" t="s">
        <v>120</v>
      </c>
      <c r="J358" s="4">
        <v>705.56579599999998</v>
      </c>
      <c r="K358" s="4">
        <v>713.49054000000001</v>
      </c>
      <c r="L358" s="4">
        <v>695.92138699999998</v>
      </c>
      <c r="M358" s="12"/>
      <c r="O358" s="4" t="s">
        <v>120</v>
      </c>
      <c r="P358" s="4">
        <v>770.46020499999997</v>
      </c>
      <c r="Q358" s="4">
        <v>711.04760699999997</v>
      </c>
      <c r="R358" s="4">
        <v>748.06823699999995</v>
      </c>
      <c r="U358" s="4" t="s">
        <v>120</v>
      </c>
      <c r="V358" s="4">
        <v>769.642517</v>
      </c>
      <c r="W358" s="4">
        <v>711.41015600000003</v>
      </c>
      <c r="X358" s="4">
        <v>778.99035600000002</v>
      </c>
    </row>
    <row r="359" spans="1:24" x14ac:dyDescent="0.3">
      <c r="A359" s="4" t="s">
        <v>122</v>
      </c>
      <c r="B359" s="4">
        <v>648.54559300000005</v>
      </c>
      <c r="C359" s="4">
        <v>657.38525400000003</v>
      </c>
      <c r="D359" s="4">
        <v>640.79394500000001</v>
      </c>
      <c r="I359" s="4" t="s">
        <v>122</v>
      </c>
      <c r="J359" s="4">
        <v>644.14880400000004</v>
      </c>
      <c r="K359" s="4">
        <v>650.76336700000002</v>
      </c>
      <c r="L359" s="4">
        <v>654.77642800000001</v>
      </c>
      <c r="M359" s="12"/>
      <c r="O359" s="4" t="s">
        <v>122</v>
      </c>
      <c r="P359" s="4">
        <v>684.44702099999995</v>
      </c>
      <c r="Q359" s="4">
        <v>661.31848100000002</v>
      </c>
      <c r="R359" s="4">
        <v>748.84667999999999</v>
      </c>
      <c r="U359" s="4" t="s">
        <v>122</v>
      </c>
      <c r="V359" s="4">
        <v>636.09155299999998</v>
      </c>
      <c r="W359" s="4">
        <v>652.39544699999999</v>
      </c>
      <c r="X359" s="4">
        <v>698.95410200000003</v>
      </c>
    </row>
    <row r="360" spans="1:24" x14ac:dyDescent="0.3">
      <c r="A360" s="4" t="s">
        <v>124</v>
      </c>
      <c r="B360" s="4">
        <v>562.11566200000004</v>
      </c>
      <c r="C360" s="4">
        <v>553.33111599999995</v>
      </c>
      <c r="D360" s="4">
        <v>621.42016599999999</v>
      </c>
      <c r="I360" s="4" t="s">
        <v>124</v>
      </c>
      <c r="J360" s="4">
        <v>552.25561500000003</v>
      </c>
      <c r="K360" s="4">
        <v>574.85742200000004</v>
      </c>
      <c r="L360" s="4">
        <v>659.816956</v>
      </c>
      <c r="M360" s="12"/>
      <c r="O360" s="4" t="s">
        <v>124</v>
      </c>
      <c r="P360" s="4">
        <v>551.75976600000001</v>
      </c>
      <c r="Q360" s="4">
        <v>577.82403599999998</v>
      </c>
      <c r="R360" s="4">
        <v>565.13610800000004</v>
      </c>
      <c r="U360" s="4" t="s">
        <v>124</v>
      </c>
      <c r="V360" s="4">
        <v>569.41064500000005</v>
      </c>
      <c r="W360" s="4">
        <v>571.36657700000001</v>
      </c>
      <c r="X360" s="4">
        <v>627.60320999999999</v>
      </c>
    </row>
    <row r="361" spans="1:24" x14ac:dyDescent="0.3">
      <c r="A361" s="4" t="s">
        <v>126</v>
      </c>
      <c r="B361" s="4">
        <v>613.02551300000005</v>
      </c>
      <c r="C361" s="4">
        <v>630.25396699999999</v>
      </c>
      <c r="D361" s="4">
        <v>627.89904799999999</v>
      </c>
      <c r="I361" s="4" t="s">
        <v>126</v>
      </c>
      <c r="J361" s="4">
        <v>602.16906700000004</v>
      </c>
      <c r="K361" s="4">
        <v>627.94281000000001</v>
      </c>
      <c r="L361" s="4">
        <v>674.78546100000005</v>
      </c>
      <c r="M361" s="12"/>
      <c r="O361" s="4" t="s">
        <v>126</v>
      </c>
      <c r="P361" s="4">
        <v>704.14685099999997</v>
      </c>
      <c r="Q361" s="4">
        <v>621.59747300000004</v>
      </c>
      <c r="R361" s="4">
        <v>660.05755599999998</v>
      </c>
      <c r="U361" s="4" t="s">
        <v>126</v>
      </c>
      <c r="V361" s="4">
        <v>686.21368399999994</v>
      </c>
      <c r="W361" s="4">
        <v>616.66803000000004</v>
      </c>
      <c r="X361" s="4">
        <v>705.02362100000005</v>
      </c>
    </row>
    <row r="362" spans="1:24" x14ac:dyDescent="0.3">
      <c r="A362" s="4" t="s">
        <v>128</v>
      </c>
      <c r="B362" s="4">
        <v>584.61010699999997</v>
      </c>
      <c r="C362" s="4">
        <v>587.75598100000002</v>
      </c>
      <c r="D362" s="4">
        <v>638.43267800000001</v>
      </c>
      <c r="I362" s="4" t="s">
        <v>128</v>
      </c>
      <c r="J362" s="4">
        <v>581.58160399999997</v>
      </c>
      <c r="K362" s="4">
        <v>601.95727499999998</v>
      </c>
      <c r="L362" s="4">
        <v>580.56994599999996</v>
      </c>
      <c r="M362" s="12"/>
      <c r="O362" s="4" t="s">
        <v>128</v>
      </c>
      <c r="P362" s="4">
        <v>586.34448199999997</v>
      </c>
      <c r="Q362" s="4">
        <v>604.482483</v>
      </c>
      <c r="R362" s="4">
        <v>631.02624500000002</v>
      </c>
      <c r="U362" s="4" t="s">
        <v>128</v>
      </c>
      <c r="V362" s="4">
        <v>579.29797399999995</v>
      </c>
      <c r="W362" s="4">
        <v>589.25341800000001</v>
      </c>
      <c r="X362" s="4">
        <v>650.69854699999996</v>
      </c>
    </row>
    <row r="363" spans="1:24" x14ac:dyDescent="0.3">
      <c r="A363" s="4" t="s">
        <v>130</v>
      </c>
      <c r="B363" s="4">
        <v>632.51995799999997</v>
      </c>
      <c r="C363" s="4">
        <v>656.67535399999997</v>
      </c>
      <c r="D363" s="4">
        <v>639.26702899999998</v>
      </c>
      <c r="I363" s="4" t="s">
        <v>130</v>
      </c>
      <c r="J363" s="4">
        <v>624.111267</v>
      </c>
      <c r="K363" s="4">
        <v>633.169128</v>
      </c>
      <c r="L363" s="4">
        <v>744.23644999999999</v>
      </c>
      <c r="M363" s="12"/>
      <c r="O363" s="4" t="s">
        <v>130</v>
      </c>
      <c r="P363" s="4">
        <v>616.52435300000002</v>
      </c>
      <c r="Q363" s="4">
        <v>631.53649900000005</v>
      </c>
      <c r="R363" s="4">
        <v>767.49694799999997</v>
      </c>
      <c r="U363" s="4" t="s">
        <v>130</v>
      </c>
      <c r="V363" s="4">
        <v>685.92883300000005</v>
      </c>
      <c r="W363" s="4">
        <v>644.69757100000004</v>
      </c>
      <c r="X363" s="4">
        <v>685.98217799999998</v>
      </c>
    </row>
    <row r="364" spans="1:24" x14ac:dyDescent="0.3">
      <c r="A364" s="4" t="s">
        <v>132</v>
      </c>
      <c r="B364" s="4">
        <v>539.13708499999996</v>
      </c>
      <c r="C364" s="4">
        <v>568.16583300000002</v>
      </c>
      <c r="D364" s="4">
        <v>580.79064900000003</v>
      </c>
      <c r="I364" s="4" t="s">
        <v>132</v>
      </c>
      <c r="J364" s="4">
        <v>542.95752000000005</v>
      </c>
      <c r="K364" s="4">
        <v>577.66937299999995</v>
      </c>
      <c r="L364" s="4">
        <v>578.21087599999998</v>
      </c>
      <c r="M364" s="12"/>
      <c r="O364" s="4" t="s">
        <v>132</v>
      </c>
      <c r="P364" s="4">
        <v>563.02667199999996</v>
      </c>
      <c r="Q364" s="4">
        <v>558.64312700000005</v>
      </c>
      <c r="R364" s="4">
        <v>673.20367399999998</v>
      </c>
      <c r="U364" s="4" t="s">
        <v>132</v>
      </c>
      <c r="V364" s="4">
        <v>522.82959000000005</v>
      </c>
      <c r="W364" s="4">
        <v>579.4375</v>
      </c>
      <c r="X364" s="4">
        <v>540.60260000000005</v>
      </c>
    </row>
    <row r="365" spans="1:24" x14ac:dyDescent="0.3">
      <c r="A365" s="4" t="s">
        <v>134</v>
      </c>
      <c r="B365" s="4">
        <v>602.97082499999999</v>
      </c>
      <c r="C365" s="4">
        <v>612.113159</v>
      </c>
      <c r="D365" s="4">
        <v>595.509277</v>
      </c>
      <c r="I365" s="4" t="s">
        <v>134</v>
      </c>
      <c r="J365" s="4">
        <v>571.72204599999998</v>
      </c>
      <c r="K365" s="4">
        <v>579.36090100000001</v>
      </c>
      <c r="L365" s="4">
        <v>573.09020999999996</v>
      </c>
      <c r="M365" s="12"/>
      <c r="O365" s="4" t="s">
        <v>134</v>
      </c>
      <c r="P365" s="4">
        <v>595.509277</v>
      </c>
      <c r="Q365" s="4">
        <v>611.10760500000004</v>
      </c>
      <c r="R365" s="4">
        <v>595.509277</v>
      </c>
      <c r="U365" s="4" t="s">
        <v>134</v>
      </c>
      <c r="V365" s="4">
        <v>573.09020999999996</v>
      </c>
      <c r="W365" s="4">
        <v>590.40338099999997</v>
      </c>
      <c r="X365" s="4">
        <v>573.09020999999996</v>
      </c>
    </row>
    <row r="366" spans="1:24" x14ac:dyDescent="0.3">
      <c r="A366" s="4" t="s">
        <v>136</v>
      </c>
      <c r="B366" s="4">
        <v>546.00903300000004</v>
      </c>
      <c r="C366" s="4">
        <v>538.90173300000004</v>
      </c>
      <c r="D366" s="4">
        <v>547.31719999999996</v>
      </c>
      <c r="I366" s="4" t="s">
        <v>136</v>
      </c>
      <c r="J366" s="4">
        <v>478.076843</v>
      </c>
      <c r="K366" s="4">
        <v>500.28424100000001</v>
      </c>
      <c r="L366" s="4">
        <v>545.06207300000005</v>
      </c>
      <c r="M366" s="12"/>
      <c r="O366" s="4" t="s">
        <v>136</v>
      </c>
      <c r="P366" s="4">
        <v>525.92785600000002</v>
      </c>
      <c r="Q366" s="4">
        <v>553.103027</v>
      </c>
      <c r="R366" s="4">
        <v>558.37805200000003</v>
      </c>
      <c r="U366" s="4" t="s">
        <v>136</v>
      </c>
      <c r="V366" s="4">
        <v>532.87188700000002</v>
      </c>
      <c r="W366" s="4">
        <v>491.61782799999997</v>
      </c>
      <c r="X366" s="4">
        <v>488.02426100000002</v>
      </c>
    </row>
    <row r="367" spans="1:24" x14ac:dyDescent="0.3">
      <c r="A367" s="4" t="s">
        <v>138</v>
      </c>
      <c r="B367" s="4">
        <v>610.01104699999996</v>
      </c>
      <c r="C367" s="4">
        <v>610.80566399999998</v>
      </c>
      <c r="D367" s="4">
        <v>662.53161599999999</v>
      </c>
      <c r="I367" s="4" t="s">
        <v>138</v>
      </c>
      <c r="J367" s="4">
        <v>586.79846199999997</v>
      </c>
      <c r="K367" s="4">
        <v>591.38305700000001</v>
      </c>
      <c r="L367" s="4">
        <v>589.03533900000002</v>
      </c>
      <c r="M367" s="12"/>
      <c r="O367" s="4" t="s">
        <v>138</v>
      </c>
      <c r="P367" s="4">
        <v>629.27789299999995</v>
      </c>
      <c r="Q367" s="4">
        <v>618.24829099999999</v>
      </c>
      <c r="R367" s="4">
        <v>617.37231399999996</v>
      </c>
      <c r="U367" s="4" t="s">
        <v>138</v>
      </c>
      <c r="V367" s="4">
        <v>639.68328899999995</v>
      </c>
      <c r="W367" s="4">
        <v>590.59149200000002</v>
      </c>
      <c r="X367" s="4">
        <v>645.40783699999997</v>
      </c>
    </row>
    <row r="368" spans="1:24" x14ac:dyDescent="0.3">
      <c r="A368" s="4" t="s">
        <v>140</v>
      </c>
      <c r="B368" s="4">
        <v>598.04119900000001</v>
      </c>
      <c r="C368" s="4">
        <v>597.69976799999995</v>
      </c>
      <c r="D368" s="4">
        <v>579.72753899999998</v>
      </c>
      <c r="I368" s="4" t="s">
        <v>140</v>
      </c>
      <c r="J368" s="4">
        <v>576.96972700000003</v>
      </c>
      <c r="K368" s="4">
        <v>584.99371299999996</v>
      </c>
      <c r="L368" s="4">
        <v>687.24786400000005</v>
      </c>
      <c r="M368" s="12"/>
      <c r="O368" s="4" t="s">
        <v>140</v>
      </c>
      <c r="P368" s="4">
        <v>611.92987100000005</v>
      </c>
      <c r="Q368" s="4">
        <v>618.32836899999995</v>
      </c>
      <c r="R368" s="4">
        <v>586.15960700000005</v>
      </c>
      <c r="U368" s="4" t="s">
        <v>140</v>
      </c>
      <c r="V368" s="4">
        <v>571.70459000000005</v>
      </c>
      <c r="W368" s="4">
        <v>598.69622800000002</v>
      </c>
      <c r="X368" s="4">
        <v>634.08654799999999</v>
      </c>
    </row>
    <row r="369" spans="1:24" x14ac:dyDescent="0.3">
      <c r="A369" s="4" t="s">
        <v>142</v>
      </c>
      <c r="B369" s="4">
        <v>507.656158</v>
      </c>
      <c r="C369" s="4">
        <v>542.69671600000004</v>
      </c>
      <c r="D369" s="4">
        <v>538.87933299999997</v>
      </c>
      <c r="I369" s="4" t="s">
        <v>142</v>
      </c>
      <c r="J369" s="4">
        <v>463.92459100000002</v>
      </c>
      <c r="K369" s="4">
        <v>479.59060699999998</v>
      </c>
      <c r="L369" s="4">
        <v>562.70910600000002</v>
      </c>
      <c r="M369" s="12"/>
      <c r="O369" s="4" t="s">
        <v>142</v>
      </c>
      <c r="P369" s="4">
        <v>529.17938200000003</v>
      </c>
      <c r="Q369" s="4">
        <v>529.12426800000003</v>
      </c>
      <c r="R369" s="4">
        <v>596.637024</v>
      </c>
      <c r="U369" s="4" t="s">
        <v>142</v>
      </c>
      <c r="V369" s="4">
        <v>463.709137</v>
      </c>
      <c r="W369" s="4">
        <v>470.40081800000002</v>
      </c>
      <c r="X369" s="4">
        <v>562.70910600000002</v>
      </c>
    </row>
    <row r="370" spans="1:24" x14ac:dyDescent="0.3">
      <c r="A370" s="4" t="s">
        <v>144</v>
      </c>
      <c r="B370" s="4">
        <v>619.31005900000002</v>
      </c>
      <c r="C370" s="4">
        <v>630.65838599999995</v>
      </c>
      <c r="D370" s="4">
        <v>657.34893799999998</v>
      </c>
      <c r="I370" s="4" t="s">
        <v>144</v>
      </c>
      <c r="J370" s="4">
        <v>592.99749799999995</v>
      </c>
      <c r="K370" s="4">
        <v>606.23657200000002</v>
      </c>
      <c r="L370" s="4">
        <v>587.97711200000003</v>
      </c>
      <c r="M370" s="12"/>
      <c r="O370" s="4" t="s">
        <v>144</v>
      </c>
      <c r="P370" s="4">
        <v>659.12725799999998</v>
      </c>
      <c r="Q370" s="4">
        <v>628.99243200000001</v>
      </c>
      <c r="R370" s="4">
        <v>683.29937700000005</v>
      </c>
      <c r="U370" s="4" t="s">
        <v>144</v>
      </c>
      <c r="V370" s="4">
        <v>622.27874799999995</v>
      </c>
      <c r="W370" s="4">
        <v>612.59484899999995</v>
      </c>
      <c r="X370" s="4">
        <v>635.22644000000003</v>
      </c>
    </row>
    <row r="371" spans="1:24" x14ac:dyDescent="0.3">
      <c r="A371" s="4" t="s">
        <v>146</v>
      </c>
      <c r="B371" s="4">
        <v>541.67040999999995</v>
      </c>
      <c r="C371" s="4">
        <v>560.43963599999995</v>
      </c>
      <c r="D371" s="4">
        <v>548.48046899999997</v>
      </c>
      <c r="I371" s="4" t="s">
        <v>146</v>
      </c>
      <c r="J371" s="4">
        <v>525.42230199999995</v>
      </c>
      <c r="K371" s="4">
        <v>538.82757600000002</v>
      </c>
      <c r="L371" s="4">
        <v>495.33551</v>
      </c>
      <c r="M371" s="12"/>
      <c r="O371" s="4" t="s">
        <v>146</v>
      </c>
      <c r="P371" s="4">
        <v>604.81133999999997</v>
      </c>
      <c r="Q371" s="4">
        <v>571.91711399999997</v>
      </c>
      <c r="R371" s="4">
        <v>531.78729199999998</v>
      </c>
      <c r="U371" s="4" t="s">
        <v>146</v>
      </c>
      <c r="V371" s="4">
        <v>582.46704099999999</v>
      </c>
      <c r="W371" s="4">
        <v>534.83142099999998</v>
      </c>
      <c r="X371" s="4">
        <v>504.94674700000002</v>
      </c>
    </row>
    <row r="372" spans="1:24" x14ac:dyDescent="0.3">
      <c r="A372" s="4" t="s">
        <v>148</v>
      </c>
      <c r="B372" s="4">
        <v>597.55560300000002</v>
      </c>
      <c r="C372" s="4">
        <v>604.33557099999996</v>
      </c>
      <c r="D372" s="4">
        <v>697.87249799999995</v>
      </c>
      <c r="I372" s="4" t="s">
        <v>148</v>
      </c>
      <c r="J372" s="4">
        <v>583.45239300000003</v>
      </c>
      <c r="K372" s="4">
        <v>596.77526899999998</v>
      </c>
      <c r="L372" s="4">
        <v>591.415527</v>
      </c>
      <c r="M372" s="12"/>
      <c r="O372" s="4" t="s">
        <v>148</v>
      </c>
      <c r="P372" s="4">
        <v>583.82665999999995</v>
      </c>
      <c r="Q372" s="4">
        <v>615.33960000000002</v>
      </c>
      <c r="R372" s="4">
        <v>629.64733899999999</v>
      </c>
      <c r="U372" s="4" t="s">
        <v>148</v>
      </c>
      <c r="V372" s="4">
        <v>627.75042699999995</v>
      </c>
      <c r="W372" s="4">
        <v>586.66094999999996</v>
      </c>
      <c r="X372" s="4">
        <v>665.85290499999996</v>
      </c>
    </row>
    <row r="373" spans="1:24" x14ac:dyDescent="0.3">
      <c r="A373" s="4" t="s">
        <v>150</v>
      </c>
      <c r="B373" s="4">
        <v>541.32183799999996</v>
      </c>
      <c r="C373" s="4">
        <v>549.73461899999995</v>
      </c>
      <c r="D373" s="4">
        <v>615.37280299999998</v>
      </c>
      <c r="I373" s="4" t="s">
        <v>150</v>
      </c>
      <c r="J373" s="4">
        <v>491.84719799999999</v>
      </c>
      <c r="K373" s="4">
        <v>499.38339200000001</v>
      </c>
      <c r="L373" s="4">
        <v>485.88354500000003</v>
      </c>
      <c r="M373" s="12"/>
      <c r="O373" s="4" t="s">
        <v>150</v>
      </c>
      <c r="P373" s="4">
        <v>574.35314900000003</v>
      </c>
      <c r="Q373" s="4">
        <v>553.48278800000003</v>
      </c>
      <c r="R373" s="4">
        <v>652.19201699999996</v>
      </c>
      <c r="U373" s="4" t="s">
        <v>150</v>
      </c>
      <c r="V373" s="4">
        <v>586.078979</v>
      </c>
      <c r="W373" s="4">
        <v>505.313965</v>
      </c>
      <c r="X373" s="4">
        <v>455.13201900000001</v>
      </c>
    </row>
    <row r="374" spans="1:24" x14ac:dyDescent="0.3">
      <c r="A374" s="4" t="s">
        <v>152</v>
      </c>
      <c r="B374" s="4">
        <v>581.62884499999996</v>
      </c>
      <c r="C374" s="4">
        <v>590.42382799999996</v>
      </c>
      <c r="D374" s="4">
        <v>610.65106200000002</v>
      </c>
      <c r="I374" s="4" t="s">
        <v>152</v>
      </c>
      <c r="J374" s="4">
        <v>572.40832499999999</v>
      </c>
      <c r="K374" s="4">
        <v>576.31835899999999</v>
      </c>
      <c r="L374" s="4">
        <v>597.14465299999995</v>
      </c>
      <c r="M374" s="12"/>
      <c r="O374" s="4" t="s">
        <v>152</v>
      </c>
      <c r="P374" s="4">
        <v>657.73638900000003</v>
      </c>
      <c r="Q374" s="4">
        <v>593.15173300000004</v>
      </c>
      <c r="R374" s="4">
        <v>631.16009499999996</v>
      </c>
      <c r="U374" s="4" t="s">
        <v>152</v>
      </c>
      <c r="V374" s="4">
        <v>602.65112299999998</v>
      </c>
      <c r="W374" s="4">
        <v>583.59466599999996</v>
      </c>
      <c r="X374" s="4">
        <v>658.567139</v>
      </c>
    </row>
    <row r="375" spans="1:24" x14ac:dyDescent="0.3">
      <c r="A375" s="4" t="s">
        <v>154</v>
      </c>
      <c r="B375" s="4">
        <v>606.32208300000002</v>
      </c>
      <c r="C375" s="4">
        <v>605.48040800000001</v>
      </c>
      <c r="D375" s="4">
        <v>716.84637499999997</v>
      </c>
      <c r="I375" s="4" t="s">
        <v>154</v>
      </c>
      <c r="J375" s="4">
        <v>596.30999799999995</v>
      </c>
      <c r="K375" s="4">
        <v>605.22522000000004</v>
      </c>
      <c r="L375" s="4">
        <v>707.15228300000001</v>
      </c>
      <c r="M375" s="12"/>
      <c r="O375" s="4" t="s">
        <v>154</v>
      </c>
      <c r="P375" s="4">
        <v>574.68493699999999</v>
      </c>
      <c r="Q375" s="4">
        <v>625.16625999999997</v>
      </c>
      <c r="R375" s="4">
        <v>593.53527799999995</v>
      </c>
      <c r="U375" s="4" t="s">
        <v>154</v>
      </c>
      <c r="V375" s="4">
        <v>600.36187700000005</v>
      </c>
      <c r="W375" s="4">
        <v>601.40618900000004</v>
      </c>
      <c r="X375" s="4">
        <v>688.73937999999998</v>
      </c>
    </row>
    <row r="376" spans="1:24" x14ac:dyDescent="0.3">
      <c r="A376" s="4" t="s">
        <v>156</v>
      </c>
      <c r="B376" s="4">
        <v>661.11932400000001</v>
      </c>
      <c r="C376" s="4">
        <v>670.37805200000003</v>
      </c>
      <c r="D376" s="4">
        <v>616.34698500000002</v>
      </c>
      <c r="I376" s="4" t="s">
        <v>156</v>
      </c>
      <c r="J376" s="4">
        <v>651.50170900000001</v>
      </c>
      <c r="K376" s="4">
        <v>654.82995600000004</v>
      </c>
      <c r="L376" s="4">
        <v>750.31927499999995</v>
      </c>
      <c r="M376" s="12"/>
      <c r="O376" s="4" t="s">
        <v>156</v>
      </c>
      <c r="P376" s="4">
        <v>686.51763900000003</v>
      </c>
      <c r="Q376" s="4">
        <v>669.783142</v>
      </c>
      <c r="R376" s="4">
        <v>700.37170400000002</v>
      </c>
      <c r="U376" s="4" t="s">
        <v>156</v>
      </c>
      <c r="V376" s="4">
        <v>692.91400099999998</v>
      </c>
      <c r="W376" s="4">
        <v>655.11767599999996</v>
      </c>
      <c r="X376" s="4">
        <v>613.55554199999995</v>
      </c>
    </row>
    <row r="377" spans="1:24" x14ac:dyDescent="0.3">
      <c r="A377" s="4" t="s">
        <v>158</v>
      </c>
      <c r="B377" s="4">
        <v>656.95410200000003</v>
      </c>
      <c r="C377" s="4">
        <v>671.40429700000004</v>
      </c>
      <c r="D377" s="4">
        <v>746.82183799999996</v>
      </c>
      <c r="I377" s="4" t="s">
        <v>158</v>
      </c>
      <c r="J377" s="4">
        <v>651.990723</v>
      </c>
      <c r="K377" s="4">
        <v>675.25952099999995</v>
      </c>
      <c r="L377" s="4">
        <v>761.04925500000002</v>
      </c>
      <c r="M377" s="12"/>
      <c r="O377" s="4" t="s">
        <v>158</v>
      </c>
      <c r="P377" s="4">
        <v>729.01513699999998</v>
      </c>
      <c r="Q377" s="4">
        <v>672.79504399999996</v>
      </c>
      <c r="R377" s="4">
        <v>759.63085899999999</v>
      </c>
      <c r="U377" s="4" t="s">
        <v>158</v>
      </c>
      <c r="V377" s="4">
        <v>636.18731700000001</v>
      </c>
      <c r="W377" s="4">
        <v>668.96148700000003</v>
      </c>
      <c r="X377" s="4">
        <v>749.01977499999998</v>
      </c>
    </row>
    <row r="378" spans="1:24" x14ac:dyDescent="0.3">
      <c r="A378" s="4" t="s">
        <v>160</v>
      </c>
      <c r="B378" s="4">
        <v>601.38476600000001</v>
      </c>
      <c r="C378" s="4">
        <v>606.30432099999996</v>
      </c>
      <c r="D378" s="4">
        <v>689.51580799999999</v>
      </c>
      <c r="I378" s="4" t="s">
        <v>160</v>
      </c>
      <c r="J378" s="4">
        <v>565.66815199999996</v>
      </c>
      <c r="K378" s="4">
        <v>579.11798099999999</v>
      </c>
      <c r="L378" s="4">
        <v>636.59258999999997</v>
      </c>
      <c r="M378" s="12"/>
      <c r="O378" s="4" t="s">
        <v>160</v>
      </c>
      <c r="P378" s="4">
        <v>645.92291299999999</v>
      </c>
      <c r="Q378" s="4">
        <v>602.84320100000002</v>
      </c>
      <c r="R378" s="4">
        <v>682.72589100000005</v>
      </c>
      <c r="U378" s="4" t="s">
        <v>160</v>
      </c>
      <c r="V378" s="4">
        <v>567.09008800000004</v>
      </c>
      <c r="W378" s="4">
        <v>570.930969</v>
      </c>
      <c r="X378" s="4">
        <v>616.49591099999998</v>
      </c>
    </row>
    <row r="379" spans="1:24" x14ac:dyDescent="0.3">
      <c r="A379" s="4" t="s">
        <v>162</v>
      </c>
      <c r="B379" s="4">
        <v>610.64428699999996</v>
      </c>
      <c r="C379" s="4">
        <v>624.60339399999998</v>
      </c>
      <c r="D379" s="4">
        <v>667.95117200000004</v>
      </c>
      <c r="I379" s="4" t="s">
        <v>162</v>
      </c>
      <c r="J379" s="4">
        <v>606.20794699999999</v>
      </c>
      <c r="K379" s="4">
        <v>617.08209199999999</v>
      </c>
      <c r="L379" s="4">
        <v>658.07971199999997</v>
      </c>
      <c r="M379" s="12"/>
      <c r="O379" s="4" t="s">
        <v>162</v>
      </c>
      <c r="P379" s="4">
        <v>666.48217799999998</v>
      </c>
      <c r="Q379" s="4">
        <v>628.87548800000002</v>
      </c>
      <c r="R379" s="4">
        <v>626.449341</v>
      </c>
      <c r="U379" s="4" t="s">
        <v>162</v>
      </c>
      <c r="V379" s="4">
        <v>670.14837599999998</v>
      </c>
      <c r="W379" s="4">
        <v>615.23272699999995</v>
      </c>
      <c r="X379" s="4">
        <v>709.29589799999997</v>
      </c>
    </row>
    <row r="380" spans="1:24" x14ac:dyDescent="0.3">
      <c r="A380" s="4" t="s">
        <v>164</v>
      </c>
      <c r="B380" s="4">
        <v>548.58795199999997</v>
      </c>
      <c r="C380" s="4">
        <v>556.20477300000005</v>
      </c>
      <c r="D380" s="4">
        <v>621.11822500000005</v>
      </c>
      <c r="I380" s="4" t="s">
        <v>164</v>
      </c>
      <c r="J380" s="4">
        <v>509.26385499999998</v>
      </c>
      <c r="K380" s="4">
        <v>510.87124599999999</v>
      </c>
      <c r="L380" s="4">
        <v>667.94909700000005</v>
      </c>
      <c r="M380" s="12"/>
      <c r="O380" s="4" t="s">
        <v>164</v>
      </c>
      <c r="P380" s="4">
        <v>645.55230700000004</v>
      </c>
      <c r="Q380" s="4">
        <v>562.71887200000003</v>
      </c>
      <c r="R380" s="4">
        <v>538.40777600000001</v>
      </c>
      <c r="U380" s="4" t="s">
        <v>164</v>
      </c>
      <c r="V380" s="4">
        <v>611.84625200000005</v>
      </c>
      <c r="W380" s="4">
        <v>513.74597200000005</v>
      </c>
      <c r="X380" s="4">
        <v>652.22906499999999</v>
      </c>
    </row>
    <row r="381" spans="1:24" x14ac:dyDescent="0.3">
      <c r="A381" s="4" t="s">
        <v>166</v>
      </c>
      <c r="B381" s="4">
        <v>734.97833300000002</v>
      </c>
      <c r="C381" s="4">
        <v>742.38793899999996</v>
      </c>
      <c r="D381" s="4">
        <v>800.00561500000003</v>
      </c>
      <c r="I381" s="4" t="s">
        <v>166</v>
      </c>
      <c r="J381" s="4">
        <v>730.42553699999996</v>
      </c>
      <c r="K381" s="4">
        <v>740.55981399999996</v>
      </c>
      <c r="L381" s="4">
        <v>817.46569799999997</v>
      </c>
      <c r="M381" s="12"/>
      <c r="O381" s="4" t="s">
        <v>166</v>
      </c>
      <c r="P381" s="4">
        <v>687.05664100000001</v>
      </c>
      <c r="Q381" s="4">
        <v>753.71520999999996</v>
      </c>
      <c r="R381" s="4">
        <v>881.77258300000005</v>
      </c>
      <c r="U381" s="4" t="s">
        <v>166</v>
      </c>
      <c r="V381" s="4">
        <v>678.09020999999996</v>
      </c>
      <c r="W381" s="4">
        <v>732.64819299999999</v>
      </c>
      <c r="X381" s="4">
        <v>785.25750700000003</v>
      </c>
    </row>
    <row r="382" spans="1:24" x14ac:dyDescent="0.3">
      <c r="A382" s="4" t="s">
        <v>168</v>
      </c>
      <c r="B382" s="4">
        <v>663.56536900000003</v>
      </c>
      <c r="C382" s="4">
        <v>668.19482400000004</v>
      </c>
      <c r="D382" s="4">
        <v>713.12823500000002</v>
      </c>
      <c r="I382" s="4" t="s">
        <v>168</v>
      </c>
      <c r="J382" s="4">
        <v>657.15277100000003</v>
      </c>
      <c r="K382" s="4">
        <v>668.33013900000003</v>
      </c>
      <c r="L382" s="4">
        <v>722.12823500000002</v>
      </c>
      <c r="M382" s="12"/>
      <c r="O382" s="4" t="s">
        <v>168</v>
      </c>
      <c r="P382" s="4">
        <v>662.32525599999997</v>
      </c>
      <c r="Q382" s="4">
        <v>673.34533699999997</v>
      </c>
      <c r="R382" s="4">
        <v>645.43322799999999</v>
      </c>
      <c r="U382" s="4" t="s">
        <v>168</v>
      </c>
      <c r="V382" s="4">
        <v>637.89855999999997</v>
      </c>
      <c r="W382" s="4">
        <v>661.21209699999997</v>
      </c>
      <c r="X382" s="4">
        <v>631.73083499999996</v>
      </c>
    </row>
    <row r="383" spans="1:24" x14ac:dyDescent="0.3">
      <c r="A383" s="4" t="s">
        <v>170</v>
      </c>
      <c r="B383" s="4">
        <v>699.19152799999995</v>
      </c>
      <c r="C383" s="4">
        <v>706.88122599999997</v>
      </c>
      <c r="D383" s="4">
        <v>718.37866199999996</v>
      </c>
      <c r="I383" s="4" t="s">
        <v>170</v>
      </c>
      <c r="J383" s="4">
        <v>678.58715800000004</v>
      </c>
      <c r="K383" s="4">
        <v>684.78912400000002</v>
      </c>
      <c r="L383" s="4">
        <v>730.75097700000003</v>
      </c>
      <c r="M383" s="12"/>
      <c r="O383" s="4" t="s">
        <v>170</v>
      </c>
      <c r="P383" s="4">
        <v>763.49792500000001</v>
      </c>
      <c r="Q383" s="4">
        <v>710.11346400000002</v>
      </c>
      <c r="R383" s="4">
        <v>776.39392099999998</v>
      </c>
      <c r="U383" s="4" t="s">
        <v>170</v>
      </c>
      <c r="V383" s="4">
        <v>696.62445100000002</v>
      </c>
      <c r="W383" s="4">
        <v>689.89001499999995</v>
      </c>
      <c r="X383" s="4">
        <v>685.60565199999996</v>
      </c>
    </row>
    <row r="384" spans="1:24" x14ac:dyDescent="0.3">
      <c r="A384" s="4" t="s">
        <v>172</v>
      </c>
      <c r="B384" s="4">
        <v>672.48913600000003</v>
      </c>
      <c r="C384" s="4">
        <v>682.96215800000004</v>
      </c>
      <c r="D384" s="4">
        <v>729.42559800000004</v>
      </c>
      <c r="I384" s="4" t="s">
        <v>172</v>
      </c>
      <c r="J384" s="4">
        <v>655.62994400000002</v>
      </c>
      <c r="K384" s="4">
        <v>682.32629399999996</v>
      </c>
      <c r="L384" s="4">
        <v>746.11981200000002</v>
      </c>
      <c r="M384" s="12"/>
      <c r="O384" s="4" t="s">
        <v>172</v>
      </c>
      <c r="P384" s="4">
        <v>713.35730000000001</v>
      </c>
      <c r="Q384" s="4">
        <v>692.99664299999995</v>
      </c>
      <c r="R384" s="4">
        <v>709.35632299999997</v>
      </c>
      <c r="U384" s="4" t="s">
        <v>172</v>
      </c>
      <c r="V384" s="4">
        <v>717.37640399999998</v>
      </c>
      <c r="W384" s="4">
        <v>687.08532700000001</v>
      </c>
      <c r="X384" s="4">
        <v>741.821594</v>
      </c>
    </row>
    <row r="385" spans="1:24" x14ac:dyDescent="0.3">
      <c r="A385" s="4" t="s">
        <v>174</v>
      </c>
      <c r="B385" s="4">
        <v>670.67425500000002</v>
      </c>
      <c r="C385" s="4">
        <v>696.17199700000003</v>
      </c>
      <c r="D385" s="4">
        <v>764.25524900000005</v>
      </c>
      <c r="I385" s="4" t="s">
        <v>174</v>
      </c>
      <c r="J385" s="4">
        <v>673.00030500000003</v>
      </c>
      <c r="K385" s="4">
        <v>690.74096699999996</v>
      </c>
      <c r="L385" s="4">
        <v>647.67932099999996</v>
      </c>
      <c r="M385" s="12"/>
      <c r="O385" s="4" t="s">
        <v>174</v>
      </c>
      <c r="P385" s="4">
        <v>666.761169</v>
      </c>
      <c r="Q385" s="4">
        <v>684.77569600000004</v>
      </c>
      <c r="R385" s="4">
        <v>663.62786900000003</v>
      </c>
      <c r="U385" s="4" t="s">
        <v>174</v>
      </c>
      <c r="V385" s="4">
        <v>752.43420400000002</v>
      </c>
      <c r="W385" s="4">
        <v>695.26312299999995</v>
      </c>
      <c r="X385" s="4">
        <v>753.45996100000002</v>
      </c>
    </row>
    <row r="386" spans="1:24" x14ac:dyDescent="0.3">
      <c r="A386" s="4" t="s">
        <v>176</v>
      </c>
      <c r="B386" s="4">
        <v>695.13195800000005</v>
      </c>
      <c r="C386" s="4">
        <v>716.91778599999998</v>
      </c>
      <c r="D386" s="4">
        <v>746.35382100000004</v>
      </c>
      <c r="I386" s="4" t="s">
        <v>176</v>
      </c>
      <c r="J386" s="4">
        <v>692.47045900000001</v>
      </c>
      <c r="K386" s="4">
        <v>698.08136000000002</v>
      </c>
      <c r="L386" s="4">
        <v>663.27002000000005</v>
      </c>
      <c r="M386" s="12"/>
      <c r="O386" s="4" t="s">
        <v>176</v>
      </c>
      <c r="P386" s="4">
        <v>677.50622599999997</v>
      </c>
      <c r="Q386" s="4">
        <v>711.63391100000001</v>
      </c>
      <c r="R386" s="4">
        <v>667.33837900000003</v>
      </c>
      <c r="U386" s="4" t="s">
        <v>176</v>
      </c>
      <c r="V386" s="4">
        <v>768.14434800000004</v>
      </c>
      <c r="W386" s="4">
        <v>708.11614999999995</v>
      </c>
      <c r="X386" s="4">
        <v>755.06994599999996</v>
      </c>
    </row>
    <row r="387" spans="1:24" x14ac:dyDescent="0.3">
      <c r="A387" s="4" t="s">
        <v>178</v>
      </c>
      <c r="B387" s="4">
        <v>679.95544400000006</v>
      </c>
      <c r="C387" s="4">
        <v>671.08325200000002</v>
      </c>
      <c r="D387" s="4">
        <v>854.71545400000002</v>
      </c>
      <c r="I387" s="4" t="s">
        <v>178</v>
      </c>
      <c r="J387" s="4">
        <v>673.79382299999997</v>
      </c>
      <c r="K387" s="4">
        <v>681.64624000000003</v>
      </c>
      <c r="L387" s="4">
        <v>747.77398700000003</v>
      </c>
      <c r="M387" s="12"/>
      <c r="O387" s="4" t="s">
        <v>178</v>
      </c>
      <c r="P387" s="4">
        <v>768.37493900000004</v>
      </c>
      <c r="Q387" s="4">
        <v>699.54046600000004</v>
      </c>
      <c r="R387" s="4">
        <v>649.37365699999998</v>
      </c>
      <c r="U387" s="4" t="s">
        <v>178</v>
      </c>
      <c r="V387" s="4">
        <v>751.09350600000005</v>
      </c>
      <c r="W387" s="4">
        <v>699.14111300000002</v>
      </c>
      <c r="X387" s="4">
        <v>820.89263900000003</v>
      </c>
    </row>
    <row r="388" spans="1:24" x14ac:dyDescent="0.3">
      <c r="A388" s="4" t="s">
        <v>180</v>
      </c>
      <c r="B388" s="4">
        <v>681.17511000000002</v>
      </c>
      <c r="C388" s="4">
        <v>699.52410899999995</v>
      </c>
      <c r="D388" s="4">
        <v>854.72540300000003</v>
      </c>
      <c r="I388" s="4" t="s">
        <v>180</v>
      </c>
      <c r="J388" s="4">
        <v>676.91803000000004</v>
      </c>
      <c r="K388" s="4">
        <v>696.45129399999996</v>
      </c>
      <c r="L388" s="4">
        <v>831.84173599999997</v>
      </c>
      <c r="M388" s="12"/>
      <c r="O388" s="4" t="s">
        <v>180</v>
      </c>
      <c r="P388" s="4">
        <v>649.26220699999999</v>
      </c>
      <c r="Q388" s="4">
        <v>692.06268299999999</v>
      </c>
      <c r="R388" s="4">
        <v>749.40783699999997</v>
      </c>
      <c r="U388" s="4" t="s">
        <v>180</v>
      </c>
      <c r="V388" s="4">
        <v>714.88970900000004</v>
      </c>
      <c r="W388" s="4">
        <v>690.89727800000003</v>
      </c>
      <c r="X388" s="4">
        <v>738.818848</v>
      </c>
    </row>
    <row r="389" spans="1:24" x14ac:dyDescent="0.3">
      <c r="A389" s="4" t="s">
        <v>182</v>
      </c>
      <c r="B389" s="4">
        <v>628.23889199999996</v>
      </c>
      <c r="C389" s="4">
        <v>633.80480999999997</v>
      </c>
      <c r="D389" s="4">
        <v>758.64227300000005</v>
      </c>
      <c r="I389" s="4" t="s">
        <v>182</v>
      </c>
      <c r="J389" s="4">
        <v>647.35906999999997</v>
      </c>
      <c r="K389" s="4">
        <v>642.09655799999996</v>
      </c>
      <c r="L389" s="4">
        <v>757.51367200000004</v>
      </c>
      <c r="M389" s="12"/>
      <c r="O389" s="4" t="s">
        <v>182</v>
      </c>
      <c r="P389" s="4">
        <v>613.44708300000002</v>
      </c>
      <c r="Q389" s="4">
        <v>664.71618699999999</v>
      </c>
      <c r="R389" s="4">
        <v>777.11633300000005</v>
      </c>
      <c r="U389" s="4" t="s">
        <v>182</v>
      </c>
      <c r="V389" s="4">
        <v>605.72442599999999</v>
      </c>
      <c r="W389" s="4">
        <v>650.51293899999996</v>
      </c>
      <c r="X389" s="4">
        <v>787.16375700000003</v>
      </c>
    </row>
    <row r="390" spans="1:24" x14ac:dyDescent="0.3">
      <c r="A390" s="4" t="s">
        <v>184</v>
      </c>
      <c r="B390" s="4">
        <v>639.90045199999997</v>
      </c>
      <c r="C390" s="4">
        <v>665.057007</v>
      </c>
      <c r="D390" s="4">
        <v>737.65130599999998</v>
      </c>
      <c r="I390" s="4" t="s">
        <v>184</v>
      </c>
      <c r="J390" s="4">
        <v>644.26946999999996</v>
      </c>
      <c r="K390" s="4">
        <v>646.28680399999996</v>
      </c>
      <c r="L390" s="4">
        <v>679.06036400000005</v>
      </c>
      <c r="M390" s="12"/>
      <c r="O390" s="4" t="s">
        <v>184</v>
      </c>
      <c r="P390" s="4">
        <v>651.03527799999995</v>
      </c>
      <c r="Q390" s="4">
        <v>666.86236599999995</v>
      </c>
      <c r="R390" s="4">
        <v>751.441284</v>
      </c>
      <c r="U390" s="4" t="s">
        <v>184</v>
      </c>
      <c r="V390" s="4">
        <v>706.49169900000004</v>
      </c>
      <c r="W390" s="4">
        <v>645.51293899999996</v>
      </c>
      <c r="X390" s="4">
        <v>636.57214399999998</v>
      </c>
    </row>
    <row r="391" spans="1:24" x14ac:dyDescent="0.3">
      <c r="A391" s="4" t="s">
        <v>186</v>
      </c>
      <c r="B391" s="4">
        <v>760.58868399999994</v>
      </c>
      <c r="C391" s="4">
        <v>779.13262899999995</v>
      </c>
      <c r="D391" s="4">
        <v>772.33270300000004</v>
      </c>
      <c r="I391" s="4" t="s">
        <v>186</v>
      </c>
      <c r="J391" s="4">
        <v>758.42913799999997</v>
      </c>
      <c r="K391" s="4">
        <v>768.634094</v>
      </c>
      <c r="L391" s="4">
        <v>787.134277</v>
      </c>
      <c r="M391" s="12"/>
      <c r="O391" s="4" t="s">
        <v>186</v>
      </c>
      <c r="P391" s="4">
        <v>888.006348</v>
      </c>
      <c r="Q391" s="4">
        <v>790.40197799999999</v>
      </c>
      <c r="R391" s="4">
        <v>803.88391100000001</v>
      </c>
      <c r="U391" s="4" t="s">
        <v>186</v>
      </c>
      <c r="V391" s="4">
        <v>731.89331100000004</v>
      </c>
      <c r="W391" s="4">
        <v>807.00354000000004</v>
      </c>
      <c r="X391" s="4">
        <v>971.17663600000003</v>
      </c>
    </row>
    <row r="392" spans="1:24" x14ac:dyDescent="0.3">
      <c r="A392" s="4" t="s">
        <v>188</v>
      </c>
      <c r="B392" s="4">
        <v>695.56366000000003</v>
      </c>
      <c r="C392" s="4">
        <v>709.83599900000002</v>
      </c>
      <c r="D392" s="4">
        <v>772.46093800000006</v>
      </c>
      <c r="I392" s="4" t="s">
        <v>188</v>
      </c>
      <c r="J392" s="4">
        <v>674.33642599999996</v>
      </c>
      <c r="K392" s="4">
        <v>693.37176499999998</v>
      </c>
      <c r="L392" s="4">
        <v>650.521118</v>
      </c>
      <c r="M392" s="12"/>
      <c r="O392" s="4" t="s">
        <v>188</v>
      </c>
      <c r="P392" s="4">
        <v>824.86614999999995</v>
      </c>
      <c r="Q392" s="4">
        <v>715.14965800000004</v>
      </c>
      <c r="R392" s="4">
        <v>684.57135000000005</v>
      </c>
      <c r="U392" s="4" t="s">
        <v>188</v>
      </c>
      <c r="V392" s="4">
        <v>650.521118</v>
      </c>
      <c r="W392" s="4">
        <v>690.50146500000005</v>
      </c>
      <c r="X392" s="4">
        <v>750.81262200000003</v>
      </c>
    </row>
    <row r="393" spans="1:24" x14ac:dyDescent="0.3">
      <c r="A393" s="4" t="s">
        <v>190</v>
      </c>
      <c r="B393" s="4">
        <v>667.17370600000004</v>
      </c>
      <c r="C393" s="4">
        <v>667.86743200000001</v>
      </c>
      <c r="D393" s="4">
        <v>732.98584000000005</v>
      </c>
      <c r="I393" s="4" t="s">
        <v>190</v>
      </c>
      <c r="J393" s="4">
        <v>650.27075200000002</v>
      </c>
      <c r="K393" s="4">
        <v>675.41143799999998</v>
      </c>
      <c r="L393" s="4">
        <v>659.24395800000002</v>
      </c>
      <c r="M393" s="12"/>
      <c r="O393" s="4" t="s">
        <v>190</v>
      </c>
      <c r="P393" s="4">
        <v>701.89959699999997</v>
      </c>
      <c r="Q393" s="4">
        <v>690.87347399999999</v>
      </c>
      <c r="R393" s="4">
        <v>788.80462599999998</v>
      </c>
      <c r="U393" s="4" t="s">
        <v>190</v>
      </c>
      <c r="V393" s="4">
        <v>751.46533199999999</v>
      </c>
      <c r="W393" s="4">
        <v>662.73919699999999</v>
      </c>
      <c r="X393" s="4">
        <v>717.25988800000005</v>
      </c>
    </row>
    <row r="394" spans="1:24" x14ac:dyDescent="0.3">
      <c r="A394" s="4" t="s">
        <v>192</v>
      </c>
      <c r="B394" s="4">
        <v>773.48443599999996</v>
      </c>
      <c r="C394" s="4">
        <v>811.65795900000001</v>
      </c>
      <c r="D394" s="4">
        <v>918.519409</v>
      </c>
      <c r="I394" s="4" t="s">
        <v>192</v>
      </c>
      <c r="J394" s="4">
        <v>777.46905500000003</v>
      </c>
      <c r="K394" s="4">
        <v>786.77105700000004</v>
      </c>
      <c r="L394" s="4">
        <v>969.93609600000002</v>
      </c>
      <c r="M394" s="12"/>
      <c r="O394" s="4" t="s">
        <v>192</v>
      </c>
      <c r="P394" s="4">
        <v>935.08538799999997</v>
      </c>
      <c r="Q394" s="4">
        <v>809.31359899999995</v>
      </c>
      <c r="R394" s="4">
        <v>828.85003700000004</v>
      </c>
      <c r="U394" s="4" t="s">
        <v>192</v>
      </c>
      <c r="V394" s="4">
        <v>851.11676</v>
      </c>
      <c r="W394" s="4">
        <v>813.67382799999996</v>
      </c>
      <c r="X394" s="4">
        <v>935.63915999999995</v>
      </c>
    </row>
    <row r="395" spans="1:24" x14ac:dyDescent="0.3">
      <c r="A395" s="3" t="s">
        <v>194</v>
      </c>
      <c r="B395" s="4">
        <v>667.43408199999999</v>
      </c>
      <c r="C395" s="4">
        <v>668.95550500000002</v>
      </c>
      <c r="D395" s="4">
        <v>662.51580799999999</v>
      </c>
      <c r="I395" s="3" t="s">
        <v>194</v>
      </c>
      <c r="J395" s="4">
        <v>655.00640899999996</v>
      </c>
      <c r="K395" s="4">
        <v>672.53552200000001</v>
      </c>
      <c r="L395" s="4">
        <v>650.76556400000004</v>
      </c>
      <c r="M395" s="12"/>
      <c r="O395" s="3" t="s">
        <v>194</v>
      </c>
      <c r="P395" s="18">
        <v>662.51580799999999</v>
      </c>
      <c r="Q395" s="4">
        <v>690.76080300000001</v>
      </c>
      <c r="R395" s="4">
        <v>662.51580799999999</v>
      </c>
      <c r="U395" s="3" t="s">
        <v>194</v>
      </c>
      <c r="V395" s="18">
        <v>650.76556400000004</v>
      </c>
      <c r="W395" s="4">
        <v>674.11859100000004</v>
      </c>
      <c r="X395" s="4">
        <v>650.76556400000004</v>
      </c>
    </row>
    <row r="396" spans="1:24" x14ac:dyDescent="0.3">
      <c r="A396" s="3" t="s">
        <v>196</v>
      </c>
      <c r="B396" s="4">
        <v>640.12219200000004</v>
      </c>
      <c r="C396" s="4">
        <v>650.28527799999995</v>
      </c>
      <c r="D396" s="4">
        <v>757.83123799999998</v>
      </c>
      <c r="I396" s="3" t="s">
        <v>196</v>
      </c>
      <c r="J396" s="4">
        <v>625.43231200000002</v>
      </c>
      <c r="K396" s="4">
        <v>648.53619400000002</v>
      </c>
      <c r="L396" s="4">
        <v>642.30633499999999</v>
      </c>
      <c r="M396" s="12"/>
      <c r="O396" s="3" t="s">
        <v>196</v>
      </c>
      <c r="P396" s="18">
        <v>644.38738999999998</v>
      </c>
      <c r="Q396" s="4">
        <v>663.63958700000001</v>
      </c>
      <c r="R396" s="4">
        <v>614.89996299999996</v>
      </c>
      <c r="U396" s="3" t="s">
        <v>196</v>
      </c>
      <c r="V396" s="18">
        <v>671.45159899999999</v>
      </c>
      <c r="W396" s="4">
        <v>631.21813999999995</v>
      </c>
      <c r="X396" s="4">
        <v>719.91412400000002</v>
      </c>
    </row>
    <row r="397" spans="1:24" x14ac:dyDescent="0.3">
      <c r="A397" s="3" t="s">
        <v>198</v>
      </c>
      <c r="B397" s="4">
        <v>628.67797900000005</v>
      </c>
      <c r="C397" s="4">
        <v>631.75915499999996</v>
      </c>
      <c r="D397" s="4">
        <v>667.28002900000001</v>
      </c>
      <c r="I397" s="3" t="s">
        <v>198</v>
      </c>
      <c r="J397" s="4">
        <v>601.25146500000005</v>
      </c>
      <c r="K397" s="4">
        <v>622.12072799999999</v>
      </c>
      <c r="L397" s="4">
        <v>603.62432899999999</v>
      </c>
      <c r="M397" s="12"/>
      <c r="O397" s="3" t="s">
        <v>198</v>
      </c>
      <c r="P397" s="18">
        <v>569.05096400000002</v>
      </c>
      <c r="Q397" s="4">
        <v>644.46954300000004</v>
      </c>
      <c r="R397" s="4">
        <v>707.34503199999995</v>
      </c>
      <c r="U397" s="3" t="s">
        <v>198</v>
      </c>
      <c r="V397" s="18">
        <v>659.451233</v>
      </c>
      <c r="W397" s="4">
        <v>622.202271</v>
      </c>
      <c r="X397" s="4">
        <v>603.75262499999997</v>
      </c>
    </row>
    <row r="398" spans="1:24" x14ac:dyDescent="0.3">
      <c r="A398" s="3" t="s">
        <v>200</v>
      </c>
      <c r="B398" s="4">
        <v>583.72283900000002</v>
      </c>
      <c r="C398" s="4">
        <v>598.37329099999999</v>
      </c>
      <c r="D398" s="4">
        <v>637.20788600000003</v>
      </c>
      <c r="I398" s="3" t="s">
        <v>200</v>
      </c>
      <c r="J398" s="4">
        <v>545.19604500000003</v>
      </c>
      <c r="K398" s="4">
        <v>560.71838400000001</v>
      </c>
      <c r="L398" s="4">
        <v>630.69946300000004</v>
      </c>
      <c r="M398" s="12"/>
      <c r="O398" s="3" t="s">
        <v>200</v>
      </c>
      <c r="P398" s="18">
        <v>631.25439500000005</v>
      </c>
      <c r="Q398" s="4">
        <v>597.80798300000004</v>
      </c>
      <c r="R398" s="4">
        <v>630.13507100000004</v>
      </c>
      <c r="U398" s="3" t="s">
        <v>200</v>
      </c>
      <c r="V398" s="18">
        <v>581.30926499999998</v>
      </c>
      <c r="W398" s="4">
        <v>561.51122999999995</v>
      </c>
      <c r="X398" s="4">
        <v>669.98400900000001</v>
      </c>
    </row>
    <row r="399" spans="1:24" x14ac:dyDescent="0.3">
      <c r="A399" s="3" t="s">
        <v>202</v>
      </c>
      <c r="B399" s="4">
        <v>583.55474900000002</v>
      </c>
      <c r="C399" s="4">
        <v>605.262878</v>
      </c>
      <c r="D399" s="4">
        <v>628.70831299999998</v>
      </c>
      <c r="I399" s="3" t="s">
        <v>202</v>
      </c>
      <c r="J399" s="4">
        <v>553.40844700000002</v>
      </c>
      <c r="K399" s="4">
        <v>573.74157700000001</v>
      </c>
      <c r="L399" s="4">
        <v>682.79272500000002</v>
      </c>
      <c r="M399" s="12"/>
      <c r="O399" s="3" t="s">
        <v>202</v>
      </c>
      <c r="P399" s="18">
        <v>559.10467500000004</v>
      </c>
      <c r="Q399" s="4">
        <v>608.92730700000004</v>
      </c>
      <c r="R399" s="4">
        <v>699.02569600000004</v>
      </c>
      <c r="U399" s="3" t="s">
        <v>202</v>
      </c>
      <c r="V399" s="18">
        <v>601.54553199999998</v>
      </c>
      <c r="W399" s="4">
        <v>572.98443599999996</v>
      </c>
      <c r="X399" s="4">
        <v>678.62719700000002</v>
      </c>
    </row>
    <row r="400" spans="1:24" x14ac:dyDescent="0.3">
      <c r="A400" s="3" t="s">
        <v>204</v>
      </c>
      <c r="B400" s="4">
        <v>631.30499299999997</v>
      </c>
      <c r="C400" s="4">
        <v>638.58227499999998</v>
      </c>
      <c r="D400" s="4">
        <v>716.30645800000002</v>
      </c>
      <c r="I400" s="3" t="s">
        <v>204</v>
      </c>
      <c r="J400" s="4">
        <v>609.98449700000003</v>
      </c>
      <c r="K400" s="4">
        <v>635.78875700000003</v>
      </c>
      <c r="L400" s="4">
        <v>681.44525099999998</v>
      </c>
      <c r="M400" s="12"/>
      <c r="O400" s="3" t="s">
        <v>204</v>
      </c>
      <c r="P400" s="18">
        <v>650.64831500000003</v>
      </c>
      <c r="Q400" s="4">
        <v>637.10199</v>
      </c>
      <c r="R400" s="4">
        <v>605.35778800000003</v>
      </c>
      <c r="U400" s="3" t="s">
        <v>204</v>
      </c>
      <c r="V400" s="18">
        <v>675.26672399999995</v>
      </c>
      <c r="W400" s="4">
        <v>638.70062299999995</v>
      </c>
      <c r="X400" s="4">
        <v>719.93042000000003</v>
      </c>
    </row>
    <row r="401" spans="1:24" x14ac:dyDescent="0.3">
      <c r="A401" s="3" t="s">
        <v>206</v>
      </c>
      <c r="B401" s="4">
        <v>654.57299799999998</v>
      </c>
      <c r="C401" s="4">
        <v>646.61596699999996</v>
      </c>
      <c r="D401" s="4">
        <v>652.96215800000004</v>
      </c>
      <c r="I401" s="3" t="s">
        <v>206</v>
      </c>
      <c r="J401" s="4">
        <v>626.39178500000003</v>
      </c>
      <c r="K401" s="4">
        <v>645.405396</v>
      </c>
      <c r="L401" s="4">
        <v>678.83734100000004</v>
      </c>
      <c r="M401" s="12"/>
      <c r="O401" s="3" t="s">
        <v>206</v>
      </c>
      <c r="P401" s="18">
        <v>638.65301499999998</v>
      </c>
      <c r="Q401" s="4">
        <v>670.66351299999997</v>
      </c>
      <c r="R401" s="4">
        <v>704.81426999999996</v>
      </c>
      <c r="U401" s="3" t="s">
        <v>206</v>
      </c>
      <c r="V401" s="18">
        <v>639.32086200000003</v>
      </c>
      <c r="W401" s="4">
        <v>648.70837400000005</v>
      </c>
      <c r="X401" s="4">
        <v>697.59576400000003</v>
      </c>
    </row>
    <row r="402" spans="1:24" x14ac:dyDescent="0.3">
      <c r="A402" s="3" t="s">
        <v>208</v>
      </c>
      <c r="B402" s="4">
        <v>604.713257</v>
      </c>
      <c r="C402" s="4">
        <v>619.73907499999996</v>
      </c>
      <c r="D402" s="4">
        <v>666.59698500000002</v>
      </c>
      <c r="I402" s="3" t="s">
        <v>208</v>
      </c>
      <c r="J402" s="4">
        <v>590.78656000000001</v>
      </c>
      <c r="K402" s="4">
        <v>600.977844</v>
      </c>
      <c r="L402" s="4">
        <v>657.25</v>
      </c>
      <c r="M402" s="12"/>
      <c r="O402" s="3" t="s">
        <v>208</v>
      </c>
      <c r="P402" s="18">
        <v>571.19006300000001</v>
      </c>
      <c r="Q402" s="4">
        <v>632.56774900000005</v>
      </c>
      <c r="R402" s="4">
        <v>620.91943400000002</v>
      </c>
      <c r="U402" s="3" t="s">
        <v>208</v>
      </c>
      <c r="V402" s="18">
        <v>652.31976299999997</v>
      </c>
      <c r="W402" s="4">
        <v>603.78930700000001</v>
      </c>
      <c r="X402" s="4">
        <v>533.51037599999995</v>
      </c>
    </row>
    <row r="403" spans="1:24" x14ac:dyDescent="0.3">
      <c r="A403" s="3" t="s">
        <v>210</v>
      </c>
      <c r="B403" s="4">
        <v>617.13720699999999</v>
      </c>
      <c r="C403" s="4">
        <v>618.76879899999994</v>
      </c>
      <c r="D403" s="4">
        <v>587.06469700000002</v>
      </c>
      <c r="I403" s="3" t="s">
        <v>210</v>
      </c>
      <c r="J403" s="4">
        <v>591.90429700000004</v>
      </c>
      <c r="K403" s="4">
        <v>600.06915300000003</v>
      </c>
      <c r="L403" s="4">
        <v>615.75012200000003</v>
      </c>
      <c r="M403" s="12"/>
      <c r="O403" s="3" t="s">
        <v>210</v>
      </c>
      <c r="P403" s="18">
        <v>583.60192900000004</v>
      </c>
      <c r="Q403" s="4">
        <v>632.07971199999997</v>
      </c>
      <c r="R403" s="4">
        <v>671.618469</v>
      </c>
      <c r="U403" s="3" t="s">
        <v>210</v>
      </c>
      <c r="V403" s="18">
        <v>656.45593299999996</v>
      </c>
      <c r="W403" s="4">
        <v>595.43566899999996</v>
      </c>
      <c r="X403" s="4">
        <v>650.68902600000001</v>
      </c>
    </row>
    <row r="404" spans="1:24" x14ac:dyDescent="0.3">
      <c r="A404" s="3" t="s">
        <v>212</v>
      </c>
      <c r="B404" s="4">
        <v>622.45550500000002</v>
      </c>
      <c r="C404" s="4">
        <v>652.70678699999996</v>
      </c>
      <c r="D404" s="4">
        <v>687.16815199999996</v>
      </c>
      <c r="I404" s="3" t="s">
        <v>212</v>
      </c>
      <c r="J404" s="4">
        <v>610.40472399999999</v>
      </c>
      <c r="K404" s="4">
        <v>632.67285200000003</v>
      </c>
      <c r="L404" s="4">
        <v>613.61560099999997</v>
      </c>
      <c r="M404" s="12"/>
      <c r="O404" s="3" t="s">
        <v>212</v>
      </c>
      <c r="P404" s="18">
        <v>689.67260699999997</v>
      </c>
      <c r="Q404" s="4">
        <v>647.00842299999999</v>
      </c>
      <c r="R404" s="4">
        <v>706.30102499999998</v>
      </c>
      <c r="U404" s="3" t="s">
        <v>212</v>
      </c>
      <c r="V404" s="18">
        <v>650.40069600000004</v>
      </c>
      <c r="W404" s="4">
        <v>627.10687299999995</v>
      </c>
      <c r="X404" s="4">
        <v>693.128784</v>
      </c>
    </row>
    <row r="405" spans="1:24" x14ac:dyDescent="0.3">
      <c r="A405" s="3" t="s">
        <v>214</v>
      </c>
      <c r="B405" s="4">
        <v>646.69726600000001</v>
      </c>
      <c r="C405" s="4">
        <v>646.94250499999998</v>
      </c>
      <c r="D405" s="4">
        <v>757.880493</v>
      </c>
      <c r="I405" s="3" t="s">
        <v>214</v>
      </c>
      <c r="J405" s="4">
        <v>606.00457800000004</v>
      </c>
      <c r="K405" s="4">
        <v>658.79565400000001</v>
      </c>
      <c r="L405" s="4">
        <v>663.28881799999999</v>
      </c>
      <c r="M405" s="12"/>
      <c r="O405" s="3" t="s">
        <v>214</v>
      </c>
      <c r="P405" s="18">
        <v>638.99194299999999</v>
      </c>
      <c r="Q405" s="4">
        <v>658.21203600000001</v>
      </c>
      <c r="R405" s="4">
        <v>706.30999799999995</v>
      </c>
      <c r="U405" s="3" t="s">
        <v>214</v>
      </c>
      <c r="V405" s="18">
        <v>628.10565199999996</v>
      </c>
      <c r="W405" s="4">
        <v>644.91644299999996</v>
      </c>
      <c r="X405" s="4">
        <v>568.67034899999999</v>
      </c>
    </row>
    <row r="406" spans="1:24" x14ac:dyDescent="0.3">
      <c r="A406" s="3" t="s">
        <v>216</v>
      </c>
      <c r="B406" s="4">
        <v>604.108521</v>
      </c>
      <c r="C406" s="4">
        <v>612.98419200000001</v>
      </c>
      <c r="D406" s="4">
        <v>570.18603499999995</v>
      </c>
      <c r="I406" s="3" t="s">
        <v>216</v>
      </c>
      <c r="J406" s="4">
        <v>589.09912099999997</v>
      </c>
      <c r="K406" s="4">
        <v>600.74566700000003</v>
      </c>
      <c r="L406" s="4">
        <v>629.43811000000005</v>
      </c>
      <c r="M406" s="12"/>
      <c r="O406" s="3" t="s">
        <v>216</v>
      </c>
      <c r="P406" s="18">
        <v>712.64404300000001</v>
      </c>
      <c r="Q406" s="4">
        <v>614.279358</v>
      </c>
      <c r="R406" s="4">
        <v>695.14739999999995</v>
      </c>
      <c r="U406" s="3" t="s">
        <v>216</v>
      </c>
      <c r="V406" s="18">
        <v>629.92425500000002</v>
      </c>
      <c r="W406" s="4">
        <v>608.61267099999998</v>
      </c>
      <c r="X406" s="4">
        <v>661.57086200000003</v>
      </c>
    </row>
    <row r="407" spans="1:24" x14ac:dyDescent="0.3">
      <c r="A407" s="3" t="s">
        <v>218</v>
      </c>
      <c r="B407" s="4">
        <v>665.62249799999995</v>
      </c>
      <c r="C407" s="4">
        <v>680.66015600000003</v>
      </c>
      <c r="D407" s="4">
        <v>709.50604199999998</v>
      </c>
      <c r="I407" s="3" t="s">
        <v>218</v>
      </c>
      <c r="J407" s="4">
        <v>655.576233</v>
      </c>
      <c r="K407" s="4">
        <v>674.63806199999999</v>
      </c>
      <c r="L407" s="4">
        <v>751.56616199999996</v>
      </c>
      <c r="M407" s="12"/>
      <c r="O407" s="3" t="s">
        <v>218</v>
      </c>
      <c r="P407" s="18">
        <v>671.99945100000002</v>
      </c>
      <c r="Q407" s="4">
        <v>684.12445100000002</v>
      </c>
      <c r="R407" s="4">
        <v>758.53692599999999</v>
      </c>
      <c r="U407" s="3" t="s">
        <v>218</v>
      </c>
      <c r="V407" s="18">
        <v>654.49279799999999</v>
      </c>
      <c r="W407" s="4">
        <v>671.02368200000001</v>
      </c>
      <c r="X407" s="4">
        <v>696.09387200000003</v>
      </c>
    </row>
    <row r="408" spans="1:24" x14ac:dyDescent="0.3">
      <c r="A408" s="3" t="s">
        <v>220</v>
      </c>
      <c r="B408" s="4">
        <v>685.40863000000002</v>
      </c>
      <c r="C408" s="4">
        <v>692.65423599999997</v>
      </c>
      <c r="D408" s="4">
        <v>803.02844200000004</v>
      </c>
      <c r="I408" s="3" t="s">
        <v>220</v>
      </c>
      <c r="J408" s="4">
        <v>667.96423300000004</v>
      </c>
      <c r="K408" s="4">
        <v>678.69158900000002</v>
      </c>
      <c r="L408" s="4">
        <v>840.67126499999995</v>
      </c>
      <c r="M408" s="12"/>
      <c r="O408" s="3" t="s">
        <v>220</v>
      </c>
      <c r="P408" s="18">
        <v>733.41876200000002</v>
      </c>
      <c r="Q408" s="4">
        <v>702.265625</v>
      </c>
      <c r="R408" s="4">
        <v>724.13903800000003</v>
      </c>
      <c r="U408" s="3" t="s">
        <v>220</v>
      </c>
      <c r="V408" s="18">
        <v>667.79815699999995</v>
      </c>
      <c r="W408" s="4">
        <v>682.95904499999995</v>
      </c>
      <c r="X408" s="4">
        <v>675.730774</v>
      </c>
    </row>
    <row r="409" spans="1:24" x14ac:dyDescent="0.3">
      <c r="A409" s="3" t="s">
        <v>222</v>
      </c>
      <c r="B409" s="4">
        <v>687.29913299999998</v>
      </c>
      <c r="C409" s="4">
        <v>705.07971199999997</v>
      </c>
      <c r="D409" s="4">
        <v>810.93310499999995</v>
      </c>
      <c r="I409" s="3" t="s">
        <v>222</v>
      </c>
      <c r="J409" s="4">
        <v>685.38366699999995</v>
      </c>
      <c r="K409" s="4">
        <v>679.23596199999997</v>
      </c>
      <c r="L409" s="4">
        <v>826.48699999999997</v>
      </c>
      <c r="M409" s="12"/>
      <c r="O409" s="3" t="s">
        <v>222</v>
      </c>
      <c r="P409" s="18">
        <v>635.99383499999999</v>
      </c>
      <c r="Q409" s="4">
        <v>710.34698500000002</v>
      </c>
      <c r="R409" s="4">
        <v>846.00061000000005</v>
      </c>
      <c r="U409" s="3" t="s">
        <v>222</v>
      </c>
      <c r="V409" s="18">
        <v>814.71649200000002</v>
      </c>
      <c r="W409" s="4">
        <v>686.85247800000002</v>
      </c>
      <c r="X409" s="4">
        <v>655.15741000000003</v>
      </c>
    </row>
    <row r="410" spans="1:24" x14ac:dyDescent="0.3">
      <c r="A410" s="3" t="s">
        <v>224</v>
      </c>
      <c r="B410" s="4">
        <v>728.85180700000001</v>
      </c>
      <c r="C410" s="4">
        <v>759.43969700000002</v>
      </c>
      <c r="D410" s="4">
        <v>872.43811000000005</v>
      </c>
      <c r="I410" s="3" t="s">
        <v>224</v>
      </c>
      <c r="J410" s="4">
        <v>736.25665300000003</v>
      </c>
      <c r="K410" s="4">
        <v>760.05200200000002</v>
      </c>
      <c r="L410" s="4">
        <v>850.74627699999996</v>
      </c>
      <c r="M410" s="12"/>
      <c r="O410" s="3" t="s">
        <v>224</v>
      </c>
      <c r="P410" s="18">
        <v>784.15014599999995</v>
      </c>
      <c r="Q410" s="4">
        <v>770.20483400000001</v>
      </c>
      <c r="R410" s="4">
        <v>882.47522000000004</v>
      </c>
      <c r="U410" s="3" t="s">
        <v>224</v>
      </c>
      <c r="V410" s="18">
        <v>806.04461700000002</v>
      </c>
      <c r="W410" s="4">
        <v>752.75268600000004</v>
      </c>
      <c r="X410" s="4">
        <v>828.69982900000002</v>
      </c>
    </row>
    <row r="411" spans="1:24" x14ac:dyDescent="0.3">
      <c r="A411" s="3" t="s">
        <v>226</v>
      </c>
      <c r="B411" s="4">
        <v>744.40441899999996</v>
      </c>
      <c r="C411" s="4">
        <v>760.59228499999995</v>
      </c>
      <c r="D411" s="4">
        <v>751.52801499999998</v>
      </c>
      <c r="I411" s="3" t="s">
        <v>226</v>
      </c>
      <c r="J411" s="4">
        <v>714.59729000000004</v>
      </c>
      <c r="K411" s="4">
        <v>713.23663299999998</v>
      </c>
      <c r="L411" s="4">
        <v>800.09899900000005</v>
      </c>
      <c r="M411" s="12"/>
      <c r="O411" s="3" t="s">
        <v>226</v>
      </c>
      <c r="P411" s="18">
        <v>774.31262200000003</v>
      </c>
      <c r="Q411" s="4">
        <v>752.84948699999995</v>
      </c>
      <c r="R411" s="4">
        <v>856.69439699999998</v>
      </c>
      <c r="U411" s="3" t="s">
        <v>226</v>
      </c>
      <c r="V411" s="18">
        <v>783.98498500000005</v>
      </c>
      <c r="W411" s="4">
        <v>745.37207000000001</v>
      </c>
      <c r="X411" s="4">
        <v>888.10864300000003</v>
      </c>
    </row>
    <row r="412" spans="1:24" x14ac:dyDescent="0.3">
      <c r="A412" s="3" t="s">
        <v>228</v>
      </c>
      <c r="B412" s="4">
        <v>642.85540800000001</v>
      </c>
      <c r="C412" s="4">
        <v>655.25268600000004</v>
      </c>
      <c r="D412" s="4">
        <v>718.10858199999996</v>
      </c>
      <c r="I412" s="3" t="s">
        <v>228</v>
      </c>
      <c r="J412" s="4">
        <v>626.67498799999998</v>
      </c>
      <c r="K412" s="4">
        <v>625.32153300000004</v>
      </c>
      <c r="L412" s="4">
        <v>769.82702600000005</v>
      </c>
      <c r="M412" s="12"/>
      <c r="O412" s="3" t="s">
        <v>228</v>
      </c>
      <c r="P412" s="18">
        <v>639.80071999999996</v>
      </c>
      <c r="Q412" s="4">
        <v>653.90930200000003</v>
      </c>
      <c r="R412" s="4">
        <v>598.01690699999995</v>
      </c>
      <c r="U412" s="3" t="s">
        <v>228</v>
      </c>
      <c r="V412" s="18">
        <v>700.02758800000004</v>
      </c>
      <c r="W412" s="4">
        <v>651.17687999999998</v>
      </c>
      <c r="X412" s="4">
        <v>564.59173599999997</v>
      </c>
    </row>
    <row r="413" spans="1:24" x14ac:dyDescent="0.3">
      <c r="A413" s="3" t="s">
        <v>230</v>
      </c>
      <c r="B413" s="4">
        <v>719.83123799999998</v>
      </c>
      <c r="C413" s="4">
        <v>755.01135299999999</v>
      </c>
      <c r="D413" s="4">
        <v>941.57385299999999</v>
      </c>
      <c r="I413" s="3" t="s">
        <v>230</v>
      </c>
      <c r="J413" s="4">
        <v>724.73187299999995</v>
      </c>
      <c r="K413" s="4">
        <v>751.71075399999995</v>
      </c>
      <c r="L413" s="4">
        <v>933.00958300000002</v>
      </c>
      <c r="M413" s="12"/>
      <c r="O413" s="3" t="s">
        <v>230</v>
      </c>
      <c r="P413" s="18">
        <v>784.59912099999997</v>
      </c>
      <c r="Q413" s="4">
        <v>761.00457800000004</v>
      </c>
      <c r="R413" s="4">
        <v>883.309753</v>
      </c>
      <c r="U413" s="3" t="s">
        <v>230</v>
      </c>
      <c r="V413" s="18">
        <v>715.25018299999999</v>
      </c>
      <c r="W413" s="4">
        <v>748.93908699999997</v>
      </c>
      <c r="X413" s="4">
        <v>676.69549600000005</v>
      </c>
    </row>
    <row r="414" spans="1:24" x14ac:dyDescent="0.3">
      <c r="A414" s="3" t="s">
        <v>232</v>
      </c>
      <c r="B414" s="4">
        <v>779.52960199999995</v>
      </c>
      <c r="C414" s="4">
        <v>771.60778800000003</v>
      </c>
      <c r="D414" s="4">
        <v>908.09930399999996</v>
      </c>
      <c r="I414" s="3" t="s">
        <v>232</v>
      </c>
      <c r="J414" s="4">
        <v>765.20343000000003</v>
      </c>
      <c r="K414" s="4">
        <v>793.48400900000001</v>
      </c>
      <c r="L414" s="4">
        <v>883.21807899999999</v>
      </c>
      <c r="M414" s="12"/>
      <c r="O414" s="3" t="s">
        <v>232</v>
      </c>
      <c r="P414" s="18">
        <v>812.40679899999998</v>
      </c>
      <c r="Q414" s="4">
        <v>793.73706100000004</v>
      </c>
      <c r="R414" s="4">
        <v>867.12683100000004</v>
      </c>
      <c r="U414" s="3" t="s">
        <v>232</v>
      </c>
      <c r="V414" s="18">
        <v>727.39141800000004</v>
      </c>
      <c r="W414" s="4">
        <v>812.54644800000005</v>
      </c>
      <c r="X414" s="4">
        <v>883.48217799999998</v>
      </c>
    </row>
    <row r="415" spans="1:24" x14ac:dyDescent="0.3">
      <c r="A415" s="3" t="s">
        <v>234</v>
      </c>
      <c r="B415" s="4">
        <v>731.55694600000004</v>
      </c>
      <c r="C415" s="4">
        <v>739.98443599999996</v>
      </c>
      <c r="D415" s="4">
        <v>738.85931400000004</v>
      </c>
      <c r="I415" s="3" t="s">
        <v>234</v>
      </c>
      <c r="J415" s="4">
        <v>726.13848900000005</v>
      </c>
      <c r="K415" s="4">
        <v>741.73638900000003</v>
      </c>
      <c r="L415" s="4">
        <v>942.22222899999997</v>
      </c>
      <c r="M415" s="12"/>
      <c r="O415" s="3" t="s">
        <v>234</v>
      </c>
      <c r="P415" s="18">
        <v>782.68048099999999</v>
      </c>
      <c r="Q415" s="4">
        <v>743.06347700000003</v>
      </c>
      <c r="R415" s="4">
        <v>899.93359399999997</v>
      </c>
      <c r="U415" s="3" t="s">
        <v>234</v>
      </c>
      <c r="V415" s="18">
        <v>757.92901600000005</v>
      </c>
      <c r="W415" s="4">
        <v>729.306152</v>
      </c>
      <c r="X415" s="4">
        <v>962.61077899999998</v>
      </c>
    </row>
    <row r="416" spans="1:24" x14ac:dyDescent="0.3">
      <c r="A416" s="3" t="s">
        <v>236</v>
      </c>
      <c r="B416" s="4">
        <v>753.32720900000004</v>
      </c>
      <c r="C416" s="4">
        <v>779.65576199999998</v>
      </c>
      <c r="D416" s="4">
        <v>973.57360800000004</v>
      </c>
      <c r="I416" s="3" t="s">
        <v>236</v>
      </c>
      <c r="J416" s="4">
        <v>736.35382100000004</v>
      </c>
      <c r="K416" s="4">
        <v>769.05053699999996</v>
      </c>
      <c r="L416" s="4">
        <v>979.87512200000003</v>
      </c>
      <c r="M416" s="12"/>
      <c r="O416" s="3" t="s">
        <v>236</v>
      </c>
      <c r="P416" s="18">
        <v>755.92913799999997</v>
      </c>
      <c r="Q416" s="4">
        <v>761.82665999999995</v>
      </c>
      <c r="R416" s="4">
        <v>814.79058799999996</v>
      </c>
      <c r="U416" s="3" t="s">
        <v>236</v>
      </c>
      <c r="V416" s="18">
        <v>954.22772199999997</v>
      </c>
      <c r="W416" s="4">
        <v>790.30273399999999</v>
      </c>
      <c r="X416" s="4">
        <v>734.09051499999998</v>
      </c>
    </row>
    <row r="417" spans="1:24" x14ac:dyDescent="0.3">
      <c r="A417" s="3" t="s">
        <v>238</v>
      </c>
      <c r="B417" s="4">
        <v>738.862976</v>
      </c>
      <c r="C417" s="4">
        <v>731.94378700000004</v>
      </c>
      <c r="D417" s="4">
        <v>768.68395999999996</v>
      </c>
      <c r="I417" s="3" t="s">
        <v>238</v>
      </c>
      <c r="J417" s="4">
        <v>723.82745399999999</v>
      </c>
      <c r="K417" s="4">
        <v>721.21795699999996</v>
      </c>
      <c r="L417" s="4">
        <v>735.53546100000005</v>
      </c>
      <c r="M417" s="12"/>
      <c r="O417" s="3" t="s">
        <v>238</v>
      </c>
      <c r="P417" s="18">
        <v>672.63800000000003</v>
      </c>
      <c r="Q417" s="4">
        <v>746.43194600000004</v>
      </c>
      <c r="R417" s="4">
        <v>784.99328600000001</v>
      </c>
      <c r="U417" s="3" t="s">
        <v>238</v>
      </c>
      <c r="V417" s="18">
        <v>704.00164800000005</v>
      </c>
      <c r="W417" s="4">
        <v>713.35931400000004</v>
      </c>
      <c r="X417" s="4">
        <v>738.44335899999999</v>
      </c>
    </row>
    <row r="418" spans="1:24" x14ac:dyDescent="0.3">
      <c r="A418" s="3" t="s">
        <v>240</v>
      </c>
      <c r="B418" s="4">
        <v>709.969604</v>
      </c>
      <c r="C418" s="4">
        <v>720.67199700000003</v>
      </c>
      <c r="D418" s="4">
        <v>709.04553199999998</v>
      </c>
      <c r="I418" s="3" t="s">
        <v>240</v>
      </c>
      <c r="J418" s="4">
        <v>709.32336399999997</v>
      </c>
      <c r="K418" s="4">
        <v>739.86419699999999</v>
      </c>
      <c r="L418" s="4">
        <v>656.382385</v>
      </c>
      <c r="M418" s="12"/>
      <c r="O418" s="3" t="s">
        <v>240</v>
      </c>
      <c r="P418" s="18">
        <v>784.80578600000001</v>
      </c>
      <c r="Q418" s="4">
        <v>723.29748500000005</v>
      </c>
      <c r="R418" s="4">
        <v>718.26757799999996</v>
      </c>
      <c r="U418" s="3" t="s">
        <v>240</v>
      </c>
      <c r="V418" s="18">
        <v>893.42596400000002</v>
      </c>
      <c r="W418" s="4">
        <v>739.62402299999997</v>
      </c>
      <c r="X418" s="4">
        <v>939.86993399999994</v>
      </c>
    </row>
    <row r="419" spans="1:24" x14ac:dyDescent="0.3">
      <c r="A419" s="3" t="s">
        <v>242</v>
      </c>
      <c r="B419" s="4">
        <v>716.10992399999998</v>
      </c>
      <c r="C419" s="4">
        <v>727.94616699999995</v>
      </c>
      <c r="D419" s="4">
        <v>962.94897500000002</v>
      </c>
      <c r="I419" s="3" t="s">
        <v>242</v>
      </c>
      <c r="J419" s="4">
        <v>705.05310099999997</v>
      </c>
      <c r="K419" s="4">
        <v>707.37756300000001</v>
      </c>
      <c r="L419" s="4">
        <v>915.15924099999995</v>
      </c>
      <c r="M419" s="12"/>
      <c r="O419" s="3" t="s">
        <v>242</v>
      </c>
      <c r="P419" s="18">
        <v>895.13879399999996</v>
      </c>
      <c r="Q419" s="4">
        <v>734.23053000000004</v>
      </c>
      <c r="R419" s="4">
        <v>714.17968800000006</v>
      </c>
      <c r="U419" s="3" t="s">
        <v>242</v>
      </c>
      <c r="V419" s="18">
        <v>749.59295699999996</v>
      </c>
      <c r="W419" s="4">
        <v>721.76257299999997</v>
      </c>
      <c r="X419" s="4">
        <v>877.64599599999997</v>
      </c>
    </row>
    <row r="420" spans="1:24" x14ac:dyDescent="0.3">
      <c r="A420" s="3" t="s">
        <v>244</v>
      </c>
      <c r="B420" s="4">
        <v>708.62890600000003</v>
      </c>
      <c r="C420" s="4">
        <v>712.85363800000005</v>
      </c>
      <c r="D420" s="4">
        <v>773.79632600000002</v>
      </c>
      <c r="I420" s="3" t="s">
        <v>244</v>
      </c>
      <c r="J420" s="4">
        <v>718.08758499999999</v>
      </c>
      <c r="K420" s="4">
        <v>722.26355000000001</v>
      </c>
      <c r="L420" s="4">
        <v>845.25677499999995</v>
      </c>
      <c r="M420" s="12"/>
      <c r="O420" s="3" t="s">
        <v>244</v>
      </c>
      <c r="P420" s="18">
        <v>862.22906499999999</v>
      </c>
      <c r="Q420" s="4">
        <v>734.14007600000002</v>
      </c>
      <c r="R420" s="4">
        <v>668.05761700000005</v>
      </c>
      <c r="U420" s="3" t="s">
        <v>244</v>
      </c>
      <c r="V420" s="18">
        <v>675.15490699999998</v>
      </c>
      <c r="W420" s="4">
        <v>717.447632</v>
      </c>
      <c r="X420" s="4">
        <v>674.60717799999998</v>
      </c>
    </row>
    <row r="421" spans="1:24" x14ac:dyDescent="0.3">
      <c r="A421" s="3" t="s">
        <v>246</v>
      </c>
      <c r="B421" s="4">
        <v>710.27606200000002</v>
      </c>
      <c r="C421" s="4">
        <v>731.68493699999999</v>
      </c>
      <c r="D421" s="4">
        <v>753.03295900000001</v>
      </c>
      <c r="I421" s="3" t="s">
        <v>246</v>
      </c>
      <c r="J421" s="4">
        <v>710.20068400000002</v>
      </c>
      <c r="K421" s="4">
        <v>697.80108600000005</v>
      </c>
      <c r="L421" s="4">
        <v>861.59912099999997</v>
      </c>
      <c r="M421" s="12"/>
      <c r="O421" s="3" t="s">
        <v>246</v>
      </c>
      <c r="P421" s="18">
        <v>906.68627900000001</v>
      </c>
      <c r="Q421" s="4">
        <v>711.15643299999999</v>
      </c>
      <c r="R421" s="4">
        <v>871.72326699999996</v>
      </c>
      <c r="U421" s="3" t="s">
        <v>246</v>
      </c>
      <c r="V421" s="18">
        <v>726.20636000000002</v>
      </c>
      <c r="W421" s="4">
        <v>725.727844</v>
      </c>
      <c r="X421" s="4">
        <v>733.63842799999998</v>
      </c>
    </row>
    <row r="422" spans="1:24" x14ac:dyDescent="0.3">
      <c r="A422" s="3" t="s">
        <v>248</v>
      </c>
      <c r="B422" s="4">
        <v>748.12725799999998</v>
      </c>
      <c r="C422" s="4">
        <v>762.19421399999999</v>
      </c>
      <c r="D422" s="4">
        <v>740.60314900000003</v>
      </c>
      <c r="I422" s="3" t="s">
        <v>248</v>
      </c>
      <c r="J422" s="4">
        <v>749.39605700000004</v>
      </c>
      <c r="K422" s="4">
        <v>761.74340800000004</v>
      </c>
      <c r="L422" s="4">
        <v>814.73132299999997</v>
      </c>
      <c r="M422" s="12"/>
      <c r="O422" s="3" t="s">
        <v>248</v>
      </c>
      <c r="P422" s="18">
        <v>937.14868200000001</v>
      </c>
      <c r="Q422" s="4">
        <v>767.86364700000001</v>
      </c>
      <c r="R422" s="4">
        <v>718.94683799999996</v>
      </c>
      <c r="U422" s="3" t="s">
        <v>248</v>
      </c>
      <c r="V422" s="18">
        <v>931.55377199999998</v>
      </c>
      <c r="W422" s="4">
        <v>763.04992700000003</v>
      </c>
      <c r="X422" s="4">
        <v>817.22308299999997</v>
      </c>
    </row>
    <row r="423" spans="1:24" x14ac:dyDescent="0.3">
      <c r="A423" s="3" t="s">
        <v>250</v>
      </c>
      <c r="B423" s="4">
        <v>757.387024</v>
      </c>
      <c r="C423" s="4">
        <v>791.134277</v>
      </c>
      <c r="D423" s="4">
        <v>939.22131300000001</v>
      </c>
      <c r="I423" s="3" t="s">
        <v>250</v>
      </c>
      <c r="J423" s="4">
        <v>738.92260699999997</v>
      </c>
      <c r="K423" s="4">
        <v>788.01348900000005</v>
      </c>
      <c r="L423" s="4">
        <v>935.49963400000001</v>
      </c>
      <c r="M423" s="12"/>
      <c r="O423" s="3" t="s">
        <v>250</v>
      </c>
      <c r="P423" s="18">
        <v>912.73205600000006</v>
      </c>
      <c r="Q423" s="4">
        <v>787.32708700000001</v>
      </c>
      <c r="R423" s="4">
        <v>952.12377900000001</v>
      </c>
      <c r="U423" s="3" t="s">
        <v>250</v>
      </c>
      <c r="V423" s="18">
        <v>765.13482699999997</v>
      </c>
      <c r="W423" s="4">
        <v>765.45098900000005</v>
      </c>
      <c r="X423" s="4">
        <v>812.85632299999997</v>
      </c>
    </row>
    <row r="424" spans="1:24" x14ac:dyDescent="0.3">
      <c r="A424" s="3" t="s">
        <v>252</v>
      </c>
      <c r="B424" s="4">
        <v>805.36737100000005</v>
      </c>
      <c r="C424" s="4">
        <v>844.31103499999995</v>
      </c>
      <c r="D424" s="4">
        <v>971.57800299999997</v>
      </c>
      <c r="I424" s="3" t="s">
        <v>252</v>
      </c>
      <c r="J424" s="4">
        <v>788.23150599999997</v>
      </c>
      <c r="K424" s="4">
        <v>805.73681599999998</v>
      </c>
      <c r="L424" s="4">
        <v>1049.494751</v>
      </c>
      <c r="M424" s="12"/>
      <c r="O424" s="3" t="s">
        <v>252</v>
      </c>
      <c r="P424" s="18">
        <v>962.25347899999997</v>
      </c>
      <c r="Q424" s="4">
        <v>820.28411900000003</v>
      </c>
      <c r="R424" s="4">
        <v>743.47363299999995</v>
      </c>
      <c r="U424" s="3" t="s">
        <v>252</v>
      </c>
      <c r="V424" s="18">
        <v>704.32446300000004</v>
      </c>
      <c r="W424" s="4">
        <v>770.12799099999995</v>
      </c>
      <c r="X424" s="4">
        <v>873.81445299999996</v>
      </c>
    </row>
    <row r="425" spans="1:24" x14ac:dyDescent="0.3">
      <c r="A425" s="3" t="s">
        <v>254</v>
      </c>
      <c r="B425" s="4">
        <v>670.93890399999998</v>
      </c>
      <c r="C425" s="4">
        <v>679.59741199999996</v>
      </c>
      <c r="D425" s="4">
        <v>625.56311000000005</v>
      </c>
      <c r="I425" s="3" t="s">
        <v>254</v>
      </c>
      <c r="J425" s="4">
        <v>648.05926499999998</v>
      </c>
      <c r="K425" s="4">
        <v>656.78845200000001</v>
      </c>
      <c r="L425" s="4">
        <v>604.00616500000001</v>
      </c>
      <c r="M425" s="12"/>
      <c r="O425" s="3" t="s">
        <v>254</v>
      </c>
      <c r="P425" s="18">
        <v>625.56311000000005</v>
      </c>
      <c r="Q425" s="4">
        <v>676.65917999999999</v>
      </c>
      <c r="R425" s="4">
        <v>625.56311000000005</v>
      </c>
      <c r="U425" s="3" t="s">
        <v>254</v>
      </c>
      <c r="V425" s="18">
        <v>604.00616500000001</v>
      </c>
      <c r="W425" s="4">
        <v>670.06024200000002</v>
      </c>
      <c r="X425" s="4">
        <v>604.00616500000001</v>
      </c>
    </row>
    <row r="426" spans="1:24" x14ac:dyDescent="0.3">
      <c r="A426" s="3" t="s">
        <v>256</v>
      </c>
      <c r="B426" s="4">
        <v>685.86596699999996</v>
      </c>
      <c r="C426" s="4">
        <v>705.68798800000002</v>
      </c>
      <c r="D426" s="4">
        <v>854.74780299999998</v>
      </c>
      <c r="I426" s="3" t="s">
        <v>256</v>
      </c>
      <c r="J426" s="4">
        <v>657.04418899999996</v>
      </c>
      <c r="K426" s="4">
        <v>688.06756600000006</v>
      </c>
      <c r="L426" s="4">
        <v>743.59179700000004</v>
      </c>
      <c r="M426" s="12"/>
      <c r="O426" s="3" t="s">
        <v>256</v>
      </c>
      <c r="P426" s="18">
        <v>636.95251499999995</v>
      </c>
      <c r="Q426" s="4">
        <v>708.96130400000004</v>
      </c>
      <c r="R426" s="4">
        <v>717.50750700000003</v>
      </c>
      <c r="U426" s="3" t="s">
        <v>256</v>
      </c>
      <c r="V426" s="18">
        <v>610.09246800000005</v>
      </c>
      <c r="W426" s="4">
        <v>694.08252000000005</v>
      </c>
      <c r="X426" s="4">
        <v>762.11242700000003</v>
      </c>
    </row>
    <row r="427" spans="1:24" x14ac:dyDescent="0.3">
      <c r="A427" s="3" t="s">
        <v>258</v>
      </c>
      <c r="B427" s="4">
        <v>671.47015399999998</v>
      </c>
      <c r="C427" s="4">
        <v>680.71917699999995</v>
      </c>
      <c r="D427" s="4">
        <v>705.26916500000004</v>
      </c>
      <c r="I427" s="3" t="s">
        <v>258</v>
      </c>
      <c r="J427" s="4">
        <v>652.54858400000001</v>
      </c>
      <c r="K427" s="4">
        <v>665.29711899999995</v>
      </c>
      <c r="L427" s="4">
        <v>607.12799099999995</v>
      </c>
      <c r="M427" s="12"/>
      <c r="O427" s="3" t="s">
        <v>258</v>
      </c>
      <c r="P427" s="18">
        <v>637.88934300000005</v>
      </c>
      <c r="Q427" s="4">
        <v>676.89068599999996</v>
      </c>
      <c r="R427" s="4">
        <v>711.580872</v>
      </c>
      <c r="U427" s="3" t="s">
        <v>258</v>
      </c>
      <c r="V427" s="18">
        <v>685.94812000000002</v>
      </c>
      <c r="W427" s="4">
        <v>662.74267599999996</v>
      </c>
      <c r="X427" s="4">
        <v>761.75964399999998</v>
      </c>
    </row>
    <row r="428" spans="1:24" x14ac:dyDescent="0.3">
      <c r="A428" s="3" t="s">
        <v>260</v>
      </c>
      <c r="B428" s="4">
        <v>697.96142599999996</v>
      </c>
      <c r="C428" s="4">
        <v>716.15741000000003</v>
      </c>
      <c r="D428" s="4">
        <v>847.34350600000005</v>
      </c>
      <c r="I428" s="3" t="s">
        <v>260</v>
      </c>
      <c r="J428" s="4">
        <v>683.41851799999995</v>
      </c>
      <c r="K428" s="4">
        <v>701.87750200000005</v>
      </c>
      <c r="L428" s="4">
        <v>737.58679199999995</v>
      </c>
      <c r="M428" s="12"/>
      <c r="O428" s="3" t="s">
        <v>260</v>
      </c>
      <c r="P428" s="18">
        <v>676.06207300000005</v>
      </c>
      <c r="Q428" s="4">
        <v>702.12097200000005</v>
      </c>
      <c r="R428" s="4">
        <v>669.31835899999999</v>
      </c>
      <c r="U428" s="3" t="s">
        <v>260</v>
      </c>
      <c r="V428" s="18">
        <v>675.99511700000005</v>
      </c>
      <c r="W428" s="4">
        <v>690.99792500000001</v>
      </c>
      <c r="X428" s="4">
        <v>728.39209000000005</v>
      </c>
    </row>
    <row r="429" spans="1:24" x14ac:dyDescent="0.3">
      <c r="A429" s="3" t="s">
        <v>262</v>
      </c>
      <c r="B429" s="4">
        <v>734.44390899999996</v>
      </c>
      <c r="C429" s="4">
        <v>734.45800799999995</v>
      </c>
      <c r="D429" s="4">
        <v>914.89080799999999</v>
      </c>
      <c r="I429" s="3" t="s">
        <v>262</v>
      </c>
      <c r="J429" s="4">
        <v>719.38476600000001</v>
      </c>
      <c r="K429" s="4">
        <v>737.22241199999996</v>
      </c>
      <c r="L429" s="4">
        <v>875.20459000000005</v>
      </c>
      <c r="M429" s="12"/>
      <c r="O429" s="3" t="s">
        <v>262</v>
      </c>
      <c r="P429" s="18">
        <v>742.24963400000001</v>
      </c>
      <c r="Q429" s="4">
        <v>740.31140100000005</v>
      </c>
      <c r="R429" s="4">
        <v>684.946777</v>
      </c>
      <c r="U429" s="3" t="s">
        <v>262</v>
      </c>
      <c r="V429" s="18">
        <v>834.165344</v>
      </c>
      <c r="W429" s="4">
        <v>722.02923599999997</v>
      </c>
      <c r="X429" s="4">
        <v>891.91857900000002</v>
      </c>
    </row>
    <row r="430" spans="1:24" x14ac:dyDescent="0.3">
      <c r="A430" s="3" t="s">
        <v>264</v>
      </c>
      <c r="B430" s="4">
        <v>718.62316899999996</v>
      </c>
      <c r="C430" s="4">
        <v>734.08807400000001</v>
      </c>
      <c r="D430" s="4">
        <v>752.85467500000004</v>
      </c>
      <c r="I430" s="3" t="s">
        <v>264</v>
      </c>
      <c r="J430" s="4">
        <v>709.68646200000001</v>
      </c>
      <c r="K430" s="4">
        <v>712.62994400000002</v>
      </c>
      <c r="L430" s="4">
        <v>636.85681199999999</v>
      </c>
      <c r="M430" s="12"/>
      <c r="O430" s="3" t="s">
        <v>264</v>
      </c>
      <c r="P430" s="18">
        <v>760.52209500000004</v>
      </c>
      <c r="Q430" s="4">
        <v>756.06964100000005</v>
      </c>
      <c r="R430" s="4">
        <v>853.06066899999996</v>
      </c>
      <c r="U430" s="3" t="s">
        <v>264</v>
      </c>
      <c r="V430" s="18">
        <v>816.61163299999998</v>
      </c>
      <c r="W430" s="4">
        <v>717.42388900000003</v>
      </c>
      <c r="X430" s="4">
        <v>737.550659</v>
      </c>
    </row>
    <row r="431" spans="1:24" x14ac:dyDescent="0.3">
      <c r="A431" s="3" t="s">
        <v>266</v>
      </c>
      <c r="B431" s="4">
        <v>637.82653800000003</v>
      </c>
      <c r="C431" s="4">
        <v>652.95642099999998</v>
      </c>
      <c r="D431" s="4">
        <v>714.69348100000002</v>
      </c>
      <c r="I431" s="3" t="s">
        <v>266</v>
      </c>
      <c r="J431" s="4">
        <v>615.61096199999997</v>
      </c>
      <c r="K431" s="4">
        <v>634.85668899999996</v>
      </c>
      <c r="L431" s="4">
        <v>641.30242899999996</v>
      </c>
      <c r="M431" s="12"/>
      <c r="O431" s="3" t="s">
        <v>266</v>
      </c>
      <c r="P431" s="18">
        <v>627.07342500000004</v>
      </c>
      <c r="Q431" s="4">
        <v>665.88519299999996</v>
      </c>
      <c r="R431" s="4">
        <v>667.66650400000003</v>
      </c>
      <c r="U431" s="3" t="s">
        <v>266</v>
      </c>
      <c r="V431" s="18">
        <v>666.46386700000005</v>
      </c>
      <c r="W431" s="4">
        <v>611.659851</v>
      </c>
      <c r="X431" s="4">
        <v>699.54492200000004</v>
      </c>
    </row>
    <row r="432" spans="1:24" x14ac:dyDescent="0.3">
      <c r="A432" s="3" t="s">
        <v>268</v>
      </c>
      <c r="B432" s="4">
        <v>712.04998799999998</v>
      </c>
      <c r="C432" s="4">
        <v>723.39947500000005</v>
      </c>
      <c r="D432" s="4">
        <v>799.45929000000001</v>
      </c>
      <c r="I432" s="3" t="s">
        <v>268</v>
      </c>
      <c r="J432" s="4">
        <v>690.87085000000002</v>
      </c>
      <c r="K432" s="4">
        <v>705.80127000000005</v>
      </c>
      <c r="L432" s="4">
        <v>762.62524399999995</v>
      </c>
      <c r="M432" s="12"/>
      <c r="O432" s="3" t="s">
        <v>268</v>
      </c>
      <c r="P432" s="18">
        <v>781.60247800000002</v>
      </c>
      <c r="Q432" s="4">
        <v>724.55371100000002</v>
      </c>
      <c r="R432" s="4">
        <v>756.98541299999999</v>
      </c>
      <c r="U432" s="3" t="s">
        <v>268</v>
      </c>
      <c r="V432" s="18">
        <v>729.81359899999995</v>
      </c>
      <c r="W432" s="4">
        <v>704.09619099999998</v>
      </c>
      <c r="X432" s="4">
        <v>653.744507</v>
      </c>
    </row>
    <row r="433" spans="1:24" x14ac:dyDescent="0.3">
      <c r="A433" s="3" t="s">
        <v>270</v>
      </c>
      <c r="B433" s="4">
        <v>622.64617899999996</v>
      </c>
      <c r="C433" s="4">
        <v>626.87487799999997</v>
      </c>
      <c r="D433" s="4">
        <v>671.05676300000005</v>
      </c>
      <c r="I433" s="3" t="s">
        <v>270</v>
      </c>
      <c r="J433" s="4">
        <v>581.98962400000005</v>
      </c>
      <c r="K433" s="4">
        <v>591.30731200000002</v>
      </c>
      <c r="L433" s="4">
        <v>554.49035600000002</v>
      </c>
      <c r="M433" s="12"/>
      <c r="O433" s="3" t="s">
        <v>270</v>
      </c>
      <c r="P433" s="18">
        <v>665.908142</v>
      </c>
      <c r="Q433" s="4">
        <v>617.46978799999999</v>
      </c>
      <c r="R433" s="4">
        <v>699.362122</v>
      </c>
      <c r="U433" s="3" t="s">
        <v>270</v>
      </c>
      <c r="V433" s="18">
        <v>653.27301</v>
      </c>
      <c r="W433" s="4">
        <v>583.96002199999998</v>
      </c>
      <c r="X433" s="4">
        <v>636.39355499999999</v>
      </c>
    </row>
    <row r="434" spans="1:24" x14ac:dyDescent="0.3">
      <c r="A434" s="3" t="s">
        <v>272</v>
      </c>
      <c r="B434" s="4">
        <v>755.72161900000003</v>
      </c>
      <c r="C434" s="4">
        <v>778.91326900000001</v>
      </c>
      <c r="D434" s="4">
        <v>761.46527100000003</v>
      </c>
      <c r="I434" s="3" t="s">
        <v>272</v>
      </c>
      <c r="J434" s="4">
        <v>756.42785600000002</v>
      </c>
      <c r="K434" s="4">
        <v>742.618652</v>
      </c>
      <c r="L434" s="4">
        <v>878.56677200000001</v>
      </c>
      <c r="M434" s="12"/>
      <c r="O434" s="3" t="s">
        <v>272</v>
      </c>
      <c r="P434" s="18">
        <v>864.68841599999996</v>
      </c>
      <c r="Q434" s="4">
        <v>778.99865699999998</v>
      </c>
      <c r="R434" s="4">
        <v>719.43182400000001</v>
      </c>
      <c r="U434" s="3" t="s">
        <v>272</v>
      </c>
      <c r="V434" s="18">
        <v>865.08386199999995</v>
      </c>
      <c r="W434" s="4">
        <v>769.40954599999998</v>
      </c>
      <c r="X434" s="4">
        <v>717.31555200000003</v>
      </c>
    </row>
    <row r="435" spans="1:24" x14ac:dyDescent="0.3">
      <c r="A435" s="3" t="s">
        <v>274</v>
      </c>
      <c r="B435" s="4">
        <v>796.67962599999998</v>
      </c>
      <c r="C435" s="4">
        <v>840.44274900000005</v>
      </c>
      <c r="D435" s="4">
        <v>728.07940699999995</v>
      </c>
      <c r="I435" s="3" t="s">
        <v>274</v>
      </c>
      <c r="J435" s="4">
        <v>813.49890100000005</v>
      </c>
      <c r="K435" s="4">
        <v>822.37542699999995</v>
      </c>
      <c r="L435" s="4">
        <v>706.527466</v>
      </c>
      <c r="M435" s="12"/>
      <c r="O435" s="3" t="s">
        <v>274</v>
      </c>
      <c r="P435" s="18">
        <v>782.54437299999995</v>
      </c>
      <c r="Q435" s="4">
        <v>829.26709000000005</v>
      </c>
      <c r="R435" s="4">
        <v>877.32507299999997</v>
      </c>
      <c r="U435" s="3" t="s">
        <v>274</v>
      </c>
      <c r="V435" s="18">
        <v>768.68554700000004</v>
      </c>
      <c r="W435" s="4">
        <v>805.59124799999995</v>
      </c>
      <c r="X435" s="4">
        <v>775.40039100000001</v>
      </c>
    </row>
    <row r="436" spans="1:24" x14ac:dyDescent="0.3">
      <c r="A436" s="3" t="s">
        <v>276</v>
      </c>
      <c r="B436" s="4">
        <v>690.06048599999997</v>
      </c>
      <c r="C436" s="4">
        <v>719.23742700000003</v>
      </c>
      <c r="D436" s="4">
        <v>858.96881099999996</v>
      </c>
      <c r="I436" s="3" t="s">
        <v>276</v>
      </c>
      <c r="J436" s="4">
        <v>687.54638699999998</v>
      </c>
      <c r="K436" s="4">
        <v>696.82617200000004</v>
      </c>
      <c r="L436" s="4">
        <v>897.96875</v>
      </c>
      <c r="M436" s="12"/>
      <c r="O436" s="3" t="s">
        <v>276</v>
      </c>
      <c r="P436" s="18">
        <v>717.59631300000001</v>
      </c>
      <c r="Q436" s="4">
        <v>722.54333499999996</v>
      </c>
      <c r="R436" s="4">
        <v>644.53375200000005</v>
      </c>
      <c r="U436" s="3" t="s">
        <v>276</v>
      </c>
      <c r="V436" s="18">
        <v>626.84130900000002</v>
      </c>
      <c r="W436" s="4">
        <v>700.31219499999997</v>
      </c>
      <c r="X436" s="4">
        <v>721.26379399999996</v>
      </c>
    </row>
    <row r="437" spans="1:24" x14ac:dyDescent="0.3">
      <c r="A437" s="3" t="s">
        <v>278</v>
      </c>
      <c r="B437" s="4">
        <v>657.08612100000005</v>
      </c>
      <c r="C437" s="4">
        <v>658.73046899999997</v>
      </c>
      <c r="D437" s="4">
        <v>734.91156000000001</v>
      </c>
      <c r="I437" s="3" t="s">
        <v>278</v>
      </c>
      <c r="J437" s="4">
        <v>645.84277299999997</v>
      </c>
      <c r="K437" s="4">
        <v>659.14538600000003</v>
      </c>
      <c r="L437" s="4">
        <v>769.54046600000004</v>
      </c>
      <c r="M437" s="12"/>
      <c r="O437" s="3" t="s">
        <v>278</v>
      </c>
      <c r="P437" s="18">
        <v>589.83880599999998</v>
      </c>
      <c r="Q437" s="4">
        <v>667.93609600000002</v>
      </c>
      <c r="R437" s="4">
        <v>840.69982900000002</v>
      </c>
      <c r="U437" s="3" t="s">
        <v>278</v>
      </c>
      <c r="V437" s="18">
        <v>653.58972200000005</v>
      </c>
      <c r="W437" s="4">
        <v>661.65167199999996</v>
      </c>
      <c r="X437" s="4">
        <v>634.39111300000002</v>
      </c>
    </row>
    <row r="438" spans="1:24" x14ac:dyDescent="0.3">
      <c r="A438" s="3" t="s">
        <v>280</v>
      </c>
      <c r="B438" s="4">
        <v>897.22430399999996</v>
      </c>
      <c r="C438" s="4">
        <v>890.16619900000001</v>
      </c>
      <c r="D438" s="4">
        <v>873.555969</v>
      </c>
      <c r="I438" s="3" t="s">
        <v>280</v>
      </c>
      <c r="J438" s="4">
        <v>875.97729500000003</v>
      </c>
      <c r="K438" s="4">
        <v>918.597534</v>
      </c>
      <c r="L438" s="4">
        <v>801.13171399999999</v>
      </c>
      <c r="M438" s="12"/>
      <c r="O438" s="3" t="s">
        <v>280</v>
      </c>
      <c r="P438" s="18">
        <v>1014.384033</v>
      </c>
      <c r="Q438" s="4">
        <v>935.58343500000001</v>
      </c>
      <c r="R438" s="4">
        <v>1030.218384</v>
      </c>
      <c r="U438" s="3" t="s">
        <v>280</v>
      </c>
      <c r="V438" s="18">
        <v>971.811646</v>
      </c>
      <c r="W438" s="4">
        <v>927.36206100000004</v>
      </c>
      <c r="X438" s="4">
        <v>738.75116000000003</v>
      </c>
    </row>
    <row r="439" spans="1:24" x14ac:dyDescent="0.3">
      <c r="A439" s="3" t="s">
        <v>282</v>
      </c>
      <c r="B439" s="4">
        <v>755.32135000000005</v>
      </c>
      <c r="C439" s="4">
        <v>798.13403300000004</v>
      </c>
      <c r="D439" s="4">
        <v>736.00579800000003</v>
      </c>
      <c r="I439" s="3" t="s">
        <v>282</v>
      </c>
      <c r="J439" s="4">
        <v>776.64282200000002</v>
      </c>
      <c r="K439" s="4">
        <v>794.37683100000004</v>
      </c>
      <c r="L439" s="4">
        <v>702.543274</v>
      </c>
      <c r="M439" s="12"/>
      <c r="O439" s="3" t="s">
        <v>282</v>
      </c>
      <c r="P439" s="18">
        <v>903.65826400000003</v>
      </c>
      <c r="Q439" s="4">
        <v>821.08410600000002</v>
      </c>
      <c r="R439" s="4">
        <v>1018.595886</v>
      </c>
      <c r="U439" s="3" t="s">
        <v>282</v>
      </c>
      <c r="V439" s="18">
        <v>915.57238800000005</v>
      </c>
      <c r="W439" s="4">
        <v>820.09143100000006</v>
      </c>
      <c r="X439" s="4">
        <v>774.48974599999997</v>
      </c>
    </row>
    <row r="440" spans="1:24" x14ac:dyDescent="0.3">
      <c r="A440" s="3" t="s">
        <v>284</v>
      </c>
      <c r="B440" s="4">
        <v>853.20391800000004</v>
      </c>
      <c r="C440" s="4">
        <v>854.74890100000005</v>
      </c>
      <c r="D440" s="4">
        <v>941.98821999999996</v>
      </c>
      <c r="I440" s="3" t="s">
        <v>284</v>
      </c>
      <c r="J440" s="4">
        <v>821.77722200000005</v>
      </c>
      <c r="K440" s="4">
        <v>844.53802499999995</v>
      </c>
      <c r="L440" s="4">
        <v>900.80792199999996</v>
      </c>
      <c r="M440" s="12"/>
      <c r="O440" s="3" t="s">
        <v>284</v>
      </c>
      <c r="P440" s="18">
        <v>897.77636700000005</v>
      </c>
      <c r="Q440" s="4">
        <v>875.80181900000002</v>
      </c>
      <c r="R440" s="4">
        <v>923.94146699999999</v>
      </c>
      <c r="U440" s="3" t="s">
        <v>284</v>
      </c>
      <c r="V440" s="18">
        <v>908.17120399999999</v>
      </c>
      <c r="W440" s="4">
        <v>857.96472200000005</v>
      </c>
      <c r="X440" s="4">
        <v>1003.70636</v>
      </c>
    </row>
    <row r="441" spans="1:24" x14ac:dyDescent="0.3">
      <c r="A441" s="3" t="s">
        <v>286</v>
      </c>
      <c r="B441" s="4">
        <v>710.39703399999996</v>
      </c>
      <c r="C441" s="4">
        <v>700.37646500000005</v>
      </c>
      <c r="D441" s="4">
        <v>700.83837900000003</v>
      </c>
      <c r="I441" s="3" t="s">
        <v>286</v>
      </c>
      <c r="J441" s="4">
        <v>707.10632299999997</v>
      </c>
      <c r="K441" s="4">
        <v>701.49176</v>
      </c>
      <c r="L441" s="4">
        <v>746.44329800000003</v>
      </c>
      <c r="M441" s="12"/>
      <c r="O441" s="3" t="s">
        <v>286</v>
      </c>
      <c r="P441" s="18">
        <v>758.59124799999995</v>
      </c>
      <c r="Q441" s="4">
        <v>748.22808799999996</v>
      </c>
      <c r="R441" s="4">
        <v>949.36029099999996</v>
      </c>
      <c r="U441" s="3" t="s">
        <v>286</v>
      </c>
      <c r="V441" s="18">
        <v>666.02362100000005</v>
      </c>
      <c r="W441" s="4">
        <v>719.44988999999998</v>
      </c>
      <c r="X441" s="4">
        <v>681.391479</v>
      </c>
    </row>
    <row r="442" spans="1:24" x14ac:dyDescent="0.3">
      <c r="A442" s="3" t="s">
        <v>288</v>
      </c>
      <c r="B442" s="4">
        <v>720.48278800000003</v>
      </c>
      <c r="C442" s="4">
        <v>731.27569600000004</v>
      </c>
      <c r="D442" s="4">
        <v>954.26464799999997</v>
      </c>
      <c r="I442" s="3" t="s">
        <v>288</v>
      </c>
      <c r="J442" s="4">
        <v>692.97930899999994</v>
      </c>
      <c r="K442" s="4">
        <v>737.00195299999996</v>
      </c>
      <c r="L442" s="4">
        <v>924.34258999999997</v>
      </c>
      <c r="M442" s="12"/>
      <c r="O442" s="3" t="s">
        <v>288</v>
      </c>
      <c r="P442" s="18">
        <v>629.60968000000003</v>
      </c>
      <c r="Q442" s="4">
        <v>742.19274900000005</v>
      </c>
      <c r="R442" s="4">
        <v>741.03930700000001</v>
      </c>
      <c r="U442" s="3" t="s">
        <v>288</v>
      </c>
      <c r="V442" s="18">
        <v>688.81597899999997</v>
      </c>
      <c r="W442" s="4">
        <v>726.84893799999998</v>
      </c>
      <c r="X442" s="4">
        <v>692.228882</v>
      </c>
    </row>
    <row r="443" spans="1:24" x14ac:dyDescent="0.3">
      <c r="A443" s="3" t="s">
        <v>290</v>
      </c>
      <c r="B443" s="4">
        <v>713.62298599999997</v>
      </c>
      <c r="C443" s="4">
        <v>709.20977800000003</v>
      </c>
      <c r="D443" s="4">
        <v>953.61163299999998</v>
      </c>
      <c r="I443" s="3" t="s">
        <v>290</v>
      </c>
      <c r="J443" s="4">
        <v>708.43353300000001</v>
      </c>
      <c r="K443" s="4">
        <v>728.834473</v>
      </c>
      <c r="L443" s="4">
        <v>867.037598</v>
      </c>
      <c r="M443" s="12"/>
      <c r="O443" s="3" t="s">
        <v>290</v>
      </c>
      <c r="P443" s="18">
        <v>921.15002400000003</v>
      </c>
      <c r="Q443" s="4">
        <v>740.11669900000004</v>
      </c>
      <c r="R443" s="4">
        <v>803.28344700000002</v>
      </c>
      <c r="U443" s="3" t="s">
        <v>290</v>
      </c>
      <c r="V443" s="18">
        <v>886.84082000000001</v>
      </c>
      <c r="W443" s="4">
        <v>722.77703899999995</v>
      </c>
      <c r="X443" s="4">
        <v>946.84771699999999</v>
      </c>
    </row>
    <row r="444" spans="1:24" x14ac:dyDescent="0.3">
      <c r="A444" s="3" t="s">
        <v>292</v>
      </c>
      <c r="B444" s="4">
        <v>774.61560099999997</v>
      </c>
      <c r="C444" s="4">
        <v>788.55554199999995</v>
      </c>
      <c r="D444" s="4">
        <v>911.14935300000002</v>
      </c>
      <c r="I444" s="3" t="s">
        <v>292</v>
      </c>
      <c r="J444" s="4">
        <v>758.36389199999996</v>
      </c>
      <c r="K444" s="4">
        <v>794.46606399999996</v>
      </c>
      <c r="L444" s="4">
        <v>1033.9801030000001</v>
      </c>
      <c r="M444" s="12"/>
      <c r="O444" s="3" t="s">
        <v>292</v>
      </c>
      <c r="P444" s="18">
        <v>889.908142</v>
      </c>
      <c r="Q444" s="4">
        <v>814.11840800000004</v>
      </c>
      <c r="R444" s="4">
        <v>956.48559599999999</v>
      </c>
      <c r="U444" s="3" t="s">
        <v>292</v>
      </c>
      <c r="V444" s="18">
        <v>874.10546899999997</v>
      </c>
      <c r="W444" s="4">
        <v>788.62493900000004</v>
      </c>
      <c r="X444" s="4">
        <v>806.49688700000002</v>
      </c>
    </row>
    <row r="445" spans="1:24" x14ac:dyDescent="0.3">
      <c r="A445" s="3" t="s">
        <v>294</v>
      </c>
      <c r="B445" s="4">
        <v>914.16272000000004</v>
      </c>
      <c r="C445" s="4">
        <v>941.94207800000004</v>
      </c>
      <c r="D445" s="4">
        <v>1160.5455320000001</v>
      </c>
      <c r="I445" s="3" t="s">
        <v>294</v>
      </c>
      <c r="J445" s="4">
        <v>905.15368699999999</v>
      </c>
      <c r="K445" s="4">
        <v>906.38415499999996</v>
      </c>
      <c r="L445" s="4">
        <v>947.83203100000003</v>
      </c>
      <c r="M445" s="12"/>
      <c r="O445" s="3" t="s">
        <v>294</v>
      </c>
      <c r="P445" s="18">
        <v>774.59216300000003</v>
      </c>
      <c r="Q445" s="4">
        <v>934.37365699999998</v>
      </c>
      <c r="R445" s="4">
        <v>1148.529297</v>
      </c>
      <c r="U445" s="3" t="s">
        <v>294</v>
      </c>
      <c r="V445" s="18">
        <v>1063.25647</v>
      </c>
      <c r="W445" s="4">
        <v>928.04437299999995</v>
      </c>
      <c r="X445" s="4">
        <v>1101.74585</v>
      </c>
    </row>
    <row r="446" spans="1:24" x14ac:dyDescent="0.3">
      <c r="A446" s="3" t="s">
        <v>296</v>
      </c>
      <c r="B446" s="4">
        <v>893.09466599999996</v>
      </c>
      <c r="C446" s="4">
        <v>914.62988299999995</v>
      </c>
      <c r="D446" s="4">
        <v>838.13342299999999</v>
      </c>
      <c r="I446" s="3" t="s">
        <v>296</v>
      </c>
      <c r="J446" s="4">
        <v>874.65167199999996</v>
      </c>
      <c r="K446" s="4">
        <v>913.64996299999996</v>
      </c>
      <c r="L446" s="4">
        <v>987.53033400000004</v>
      </c>
      <c r="M446" s="12"/>
      <c r="O446" s="3" t="s">
        <v>296</v>
      </c>
      <c r="P446" s="18">
        <v>1036.410034</v>
      </c>
      <c r="Q446" s="4">
        <v>944.70477300000005</v>
      </c>
      <c r="R446" s="4">
        <v>909.74743699999999</v>
      </c>
      <c r="U446" s="3" t="s">
        <v>296</v>
      </c>
      <c r="V446" s="18">
        <v>938.03021200000001</v>
      </c>
      <c r="W446" s="4">
        <v>922.14959699999997</v>
      </c>
      <c r="X446" s="4">
        <v>1013.89325</v>
      </c>
    </row>
    <row r="447" spans="1:24" x14ac:dyDescent="0.3">
      <c r="A447" s="3" t="s">
        <v>298</v>
      </c>
      <c r="B447" s="4">
        <v>754.82855199999995</v>
      </c>
      <c r="C447" s="4">
        <v>776.42480499999999</v>
      </c>
      <c r="D447" s="4">
        <v>871.31005900000002</v>
      </c>
      <c r="I447" s="3" t="s">
        <v>298</v>
      </c>
      <c r="J447" s="4">
        <v>769.587402</v>
      </c>
      <c r="K447" s="4">
        <v>790.79315199999996</v>
      </c>
      <c r="L447" s="4">
        <v>1014.44281</v>
      </c>
      <c r="M447" s="12"/>
      <c r="O447" s="3" t="s">
        <v>298</v>
      </c>
      <c r="P447" s="18">
        <v>980.42816200000004</v>
      </c>
      <c r="Q447" s="4">
        <v>798.17120399999999</v>
      </c>
      <c r="R447" s="4">
        <v>1017.625061</v>
      </c>
      <c r="U447" s="3" t="s">
        <v>298</v>
      </c>
      <c r="V447" s="18">
        <v>939.648865</v>
      </c>
      <c r="W447" s="4">
        <v>778.98053000000004</v>
      </c>
      <c r="X447" s="4">
        <v>993.91961700000002</v>
      </c>
    </row>
    <row r="448" spans="1:24" x14ac:dyDescent="0.3">
      <c r="A448" s="3" t="s">
        <v>300</v>
      </c>
      <c r="B448" s="4">
        <v>835.60382100000004</v>
      </c>
      <c r="C448" s="4">
        <v>822.65850799999998</v>
      </c>
      <c r="D448" s="4">
        <v>943.61340299999995</v>
      </c>
      <c r="I448" s="3" t="s">
        <v>300</v>
      </c>
      <c r="J448" s="4">
        <v>822.50744599999996</v>
      </c>
      <c r="K448" s="4">
        <v>861.31701699999996</v>
      </c>
      <c r="L448" s="4">
        <v>893.27795400000002</v>
      </c>
      <c r="M448" s="12"/>
      <c r="O448" s="3" t="s">
        <v>300</v>
      </c>
      <c r="P448" s="18">
        <v>840.80651899999998</v>
      </c>
      <c r="Q448" s="4">
        <v>849.42047100000002</v>
      </c>
      <c r="R448" s="4">
        <v>788.90173300000004</v>
      </c>
      <c r="U448" s="3" t="s">
        <v>300</v>
      </c>
      <c r="V448" s="18">
        <v>754.42889400000001</v>
      </c>
      <c r="W448" s="4">
        <v>858.53143299999999</v>
      </c>
      <c r="X448" s="4">
        <v>800.93267800000001</v>
      </c>
    </row>
    <row r="449" spans="1:24" x14ac:dyDescent="0.3">
      <c r="A449" s="3" t="s">
        <v>302</v>
      </c>
      <c r="B449" s="4">
        <v>787.77703899999995</v>
      </c>
      <c r="C449" s="4">
        <v>774.51800500000002</v>
      </c>
      <c r="D449" s="4">
        <v>768.14154099999996</v>
      </c>
      <c r="I449" s="3" t="s">
        <v>302</v>
      </c>
      <c r="J449" s="4">
        <v>782.71227999999996</v>
      </c>
      <c r="K449" s="4">
        <v>833.92767300000003</v>
      </c>
      <c r="L449" s="4">
        <v>1009.967041</v>
      </c>
      <c r="M449" s="12"/>
      <c r="O449" s="3" t="s">
        <v>302</v>
      </c>
      <c r="P449" s="18">
        <v>770.47827099999995</v>
      </c>
      <c r="Q449" s="4">
        <v>818.01275599999997</v>
      </c>
      <c r="R449" s="4">
        <v>993.06634499999996</v>
      </c>
      <c r="U449" s="3" t="s">
        <v>302</v>
      </c>
      <c r="V449" s="18">
        <v>876.04547100000002</v>
      </c>
      <c r="W449" s="4">
        <v>832.90057400000001</v>
      </c>
      <c r="X449" s="4">
        <v>777.50726299999997</v>
      </c>
    </row>
    <row r="450" spans="1:24" x14ac:dyDescent="0.3">
      <c r="A450" s="3" t="s">
        <v>304</v>
      </c>
      <c r="B450" s="4">
        <v>899.57849099999999</v>
      </c>
      <c r="C450" s="4">
        <v>932.87658699999997</v>
      </c>
      <c r="D450" s="4">
        <v>1043.3304439999999</v>
      </c>
      <c r="I450" s="3" t="s">
        <v>304</v>
      </c>
      <c r="J450" s="4">
        <v>882.54406700000004</v>
      </c>
      <c r="K450" s="4">
        <v>906.12994400000002</v>
      </c>
      <c r="L450" s="4">
        <v>911.64007600000002</v>
      </c>
      <c r="M450" s="12"/>
      <c r="O450" s="3" t="s">
        <v>304</v>
      </c>
      <c r="P450" s="18">
        <v>1067.69165</v>
      </c>
      <c r="Q450" s="4">
        <v>926.00543200000004</v>
      </c>
      <c r="R450" s="4">
        <v>1066.6145019999999</v>
      </c>
      <c r="U450" s="3" t="s">
        <v>304</v>
      </c>
      <c r="V450" s="18">
        <v>1002.262695</v>
      </c>
      <c r="W450" s="4">
        <v>939.23486300000002</v>
      </c>
      <c r="X450" s="4">
        <v>815.44250499999998</v>
      </c>
    </row>
    <row r="451" spans="1:24" x14ac:dyDescent="0.3">
      <c r="A451" s="3" t="s">
        <v>306</v>
      </c>
      <c r="B451" s="4">
        <v>929.13562000000002</v>
      </c>
      <c r="C451" s="4">
        <v>954.70245399999999</v>
      </c>
      <c r="D451" s="4">
        <v>1091.0390620000001</v>
      </c>
      <c r="I451" s="3" t="s">
        <v>306</v>
      </c>
      <c r="J451" s="4">
        <v>913.94134499999996</v>
      </c>
      <c r="K451" s="4">
        <v>919.946777</v>
      </c>
      <c r="L451" s="4">
        <v>807.31396500000005</v>
      </c>
      <c r="M451" s="12"/>
      <c r="O451" s="3" t="s">
        <v>306</v>
      </c>
      <c r="P451" s="18">
        <v>1114.8316649999999</v>
      </c>
      <c r="Q451" s="4">
        <v>956.83581500000003</v>
      </c>
      <c r="R451" s="4">
        <v>967.855774</v>
      </c>
      <c r="U451" s="3" t="s">
        <v>306</v>
      </c>
      <c r="V451" s="18">
        <v>830.95739700000001</v>
      </c>
      <c r="W451" s="4">
        <v>934.07678199999998</v>
      </c>
      <c r="X451" s="4">
        <v>981.29565400000001</v>
      </c>
    </row>
    <row r="452" spans="1:24" x14ac:dyDescent="0.3">
      <c r="A452" s="3" t="s">
        <v>308</v>
      </c>
      <c r="B452" s="4">
        <v>916.51580799999999</v>
      </c>
      <c r="C452" s="4">
        <v>943.503601</v>
      </c>
      <c r="D452" s="4">
        <v>1087.588379</v>
      </c>
      <c r="I452" s="3" t="s">
        <v>308</v>
      </c>
      <c r="J452" s="4">
        <v>913.86053500000003</v>
      </c>
      <c r="K452" s="4">
        <v>931.02593999999999</v>
      </c>
      <c r="L452" s="4">
        <v>966.30835000000002</v>
      </c>
      <c r="M452" s="12"/>
      <c r="O452" s="3" t="s">
        <v>308</v>
      </c>
      <c r="P452" s="18">
        <v>963.99615500000004</v>
      </c>
      <c r="Q452" s="4">
        <v>958.52380400000004</v>
      </c>
      <c r="R452" s="4">
        <v>971.28820800000005</v>
      </c>
      <c r="U452" s="3" t="s">
        <v>308</v>
      </c>
      <c r="V452" s="18">
        <v>853.020081</v>
      </c>
      <c r="W452" s="4">
        <v>949.98284899999999</v>
      </c>
      <c r="X452" s="4">
        <v>1066.7607419999999</v>
      </c>
    </row>
    <row r="453" spans="1:24" x14ac:dyDescent="0.3">
      <c r="A453" s="3" t="s">
        <v>310</v>
      </c>
      <c r="B453" s="4">
        <v>883.06671100000005</v>
      </c>
      <c r="C453" s="4">
        <v>911.02453600000001</v>
      </c>
      <c r="D453" s="4">
        <v>809.33795199999997</v>
      </c>
      <c r="I453" s="3" t="s">
        <v>310</v>
      </c>
      <c r="J453" s="4">
        <v>863.62872300000004</v>
      </c>
      <c r="K453" s="4">
        <v>908.57861300000002</v>
      </c>
      <c r="L453" s="4">
        <v>776.28375200000005</v>
      </c>
      <c r="M453" s="12"/>
      <c r="O453" s="3" t="s">
        <v>310</v>
      </c>
      <c r="P453" s="18">
        <v>918.56152299999997</v>
      </c>
      <c r="Q453" s="4">
        <v>929.49401899999998</v>
      </c>
      <c r="R453" s="4">
        <v>1092.7382809999999</v>
      </c>
      <c r="U453" s="3" t="s">
        <v>310</v>
      </c>
      <c r="V453" s="18">
        <v>804.86035200000003</v>
      </c>
      <c r="W453" s="4">
        <v>926.100098</v>
      </c>
      <c r="X453" s="4">
        <v>1038.389404</v>
      </c>
    </row>
    <row r="454" spans="1:24" x14ac:dyDescent="0.3">
      <c r="A454" s="3" t="s">
        <v>312</v>
      </c>
      <c r="B454" s="4">
        <v>877.53466800000001</v>
      </c>
      <c r="C454" s="4">
        <v>904.13647500000002</v>
      </c>
      <c r="D454" s="4">
        <v>708.56121800000005</v>
      </c>
      <c r="I454" s="3" t="s">
        <v>312</v>
      </c>
      <c r="J454" s="4">
        <v>835.254456</v>
      </c>
      <c r="K454" s="4">
        <v>867.36395300000004</v>
      </c>
      <c r="L454" s="4">
        <v>966.95788600000003</v>
      </c>
      <c r="M454" s="12"/>
      <c r="O454" s="3" t="s">
        <v>312</v>
      </c>
      <c r="P454" s="18">
        <v>951.46618699999999</v>
      </c>
      <c r="Q454" s="4">
        <v>914.56188999999995</v>
      </c>
      <c r="R454" s="4">
        <v>996.78826900000001</v>
      </c>
      <c r="U454" s="3" t="s">
        <v>312</v>
      </c>
      <c r="V454" s="18">
        <v>850.02002000000005</v>
      </c>
      <c r="W454" s="4">
        <v>893.88311799999997</v>
      </c>
      <c r="X454" s="4">
        <v>902.76971400000002</v>
      </c>
    </row>
    <row r="455" spans="1:24" x14ac:dyDescent="0.3">
      <c r="A455" s="3" t="s">
        <v>11</v>
      </c>
      <c r="B455" s="4">
        <v>716.33593800000006</v>
      </c>
      <c r="C455" s="4">
        <v>768.95526099999995</v>
      </c>
      <c r="D455" s="4">
        <v>714.58148200000005</v>
      </c>
      <c r="I455" s="3" t="s">
        <v>11</v>
      </c>
      <c r="J455" s="4">
        <v>716.33593800000006</v>
      </c>
      <c r="K455" s="4">
        <v>730.73803699999996</v>
      </c>
      <c r="L455" s="4">
        <v>665.46801800000003</v>
      </c>
      <c r="M455" s="12"/>
      <c r="O455" s="3" t="s">
        <v>11</v>
      </c>
      <c r="P455" s="4">
        <v>714.58148200000005</v>
      </c>
      <c r="Q455" s="4">
        <v>754.25262499999997</v>
      </c>
      <c r="R455" s="4">
        <v>714.58148200000005</v>
      </c>
      <c r="U455" s="3" t="s">
        <v>11</v>
      </c>
      <c r="V455" s="4">
        <v>665.46801800000003</v>
      </c>
      <c r="W455" s="4">
        <v>740.40576199999998</v>
      </c>
      <c r="X455" s="4">
        <v>665.46801800000003</v>
      </c>
    </row>
    <row r="456" spans="1:24" x14ac:dyDescent="0.3">
      <c r="A456" s="3" t="s">
        <v>13</v>
      </c>
      <c r="B456" s="4">
        <v>637.76678500000003</v>
      </c>
      <c r="C456" s="4">
        <v>690.28393600000004</v>
      </c>
      <c r="D456" s="4">
        <v>770.78802499999995</v>
      </c>
      <c r="I456" s="3" t="s">
        <v>13</v>
      </c>
      <c r="J456" s="4">
        <v>637.76678500000003</v>
      </c>
      <c r="K456" s="4">
        <v>656.598206</v>
      </c>
      <c r="L456" s="4">
        <v>577.810608</v>
      </c>
      <c r="M456" s="12"/>
      <c r="O456" s="3" t="s">
        <v>13</v>
      </c>
      <c r="P456" s="4">
        <v>643.22351100000003</v>
      </c>
      <c r="Q456" s="4">
        <v>681.71991000000003</v>
      </c>
      <c r="R456" s="4">
        <v>625.87512200000003</v>
      </c>
      <c r="U456" s="3" t="s">
        <v>13</v>
      </c>
      <c r="V456" s="4">
        <v>728.02972399999999</v>
      </c>
      <c r="W456" s="4">
        <v>650.00372300000004</v>
      </c>
      <c r="X456" s="4">
        <v>607.74829099999999</v>
      </c>
    </row>
    <row r="457" spans="1:24" x14ac:dyDescent="0.3">
      <c r="A457" s="3" t="s">
        <v>15</v>
      </c>
      <c r="B457" s="4">
        <v>692.91436799999997</v>
      </c>
      <c r="C457" s="4">
        <v>731.03247099999999</v>
      </c>
      <c r="D457" s="4">
        <v>827.30084199999999</v>
      </c>
      <c r="I457" s="3" t="s">
        <v>15</v>
      </c>
      <c r="J457" s="4">
        <v>692.91436799999997</v>
      </c>
      <c r="K457" s="4">
        <v>708.47570800000005</v>
      </c>
      <c r="L457" s="4">
        <v>602.979736</v>
      </c>
      <c r="M457" s="12"/>
      <c r="O457" s="3" t="s">
        <v>15</v>
      </c>
      <c r="P457" s="4">
        <v>773.097534</v>
      </c>
      <c r="Q457" s="4">
        <v>725.54077099999995</v>
      </c>
      <c r="R457" s="4">
        <v>701.47222899999997</v>
      </c>
      <c r="U457" s="3" t="s">
        <v>15</v>
      </c>
      <c r="V457" s="4">
        <v>603.04620399999999</v>
      </c>
      <c r="W457" s="4">
        <v>704.51531999999997</v>
      </c>
      <c r="X457" s="4">
        <v>696.01092500000004</v>
      </c>
    </row>
    <row r="458" spans="1:24" x14ac:dyDescent="0.3">
      <c r="A458" s="3" t="s">
        <v>17</v>
      </c>
      <c r="B458" s="4">
        <v>683.88458300000002</v>
      </c>
      <c r="C458" s="4">
        <v>718.66632100000004</v>
      </c>
      <c r="D458" s="4">
        <v>886.31329300000004</v>
      </c>
      <c r="I458" s="3" t="s">
        <v>17</v>
      </c>
      <c r="J458" s="4">
        <v>683.88458300000002</v>
      </c>
      <c r="K458" s="4">
        <v>699.30798300000004</v>
      </c>
      <c r="L458" s="4">
        <v>831.582581</v>
      </c>
      <c r="M458" s="12"/>
      <c r="O458" s="3" t="s">
        <v>17</v>
      </c>
      <c r="P458" s="4">
        <v>741.45599400000003</v>
      </c>
      <c r="Q458" s="4">
        <v>725.33905000000004</v>
      </c>
      <c r="R458" s="4">
        <v>805.22772199999997</v>
      </c>
      <c r="U458" s="3" t="s">
        <v>17</v>
      </c>
      <c r="V458" s="4">
        <v>674.627747</v>
      </c>
      <c r="W458" s="4">
        <v>696.17602499999998</v>
      </c>
      <c r="X458" s="4">
        <v>640.24505599999998</v>
      </c>
    </row>
    <row r="459" spans="1:24" x14ac:dyDescent="0.3">
      <c r="A459" s="3" t="s">
        <v>19</v>
      </c>
      <c r="B459" s="4">
        <v>706.17315699999995</v>
      </c>
      <c r="C459" s="4">
        <v>754.30816700000003</v>
      </c>
      <c r="D459" s="4">
        <v>697.42907700000001</v>
      </c>
      <c r="I459" s="3" t="s">
        <v>19</v>
      </c>
      <c r="J459" s="4">
        <v>706.17315699999995</v>
      </c>
      <c r="K459" s="4">
        <v>725.69781499999999</v>
      </c>
      <c r="L459" s="4">
        <v>801.44714399999998</v>
      </c>
      <c r="M459" s="12"/>
      <c r="O459" s="3" t="s">
        <v>19</v>
      </c>
      <c r="P459" s="4">
        <v>795.596497</v>
      </c>
      <c r="Q459" s="4">
        <v>756.52459699999997</v>
      </c>
      <c r="R459" s="4">
        <v>773.81683299999997</v>
      </c>
      <c r="U459" s="3" t="s">
        <v>19</v>
      </c>
      <c r="V459" s="4">
        <v>876.682861</v>
      </c>
      <c r="W459" s="4">
        <v>727.34729000000004</v>
      </c>
      <c r="X459" s="4">
        <v>667.43621800000005</v>
      </c>
    </row>
    <row r="460" spans="1:24" x14ac:dyDescent="0.3">
      <c r="A460" s="3" t="s">
        <v>21</v>
      </c>
      <c r="B460" s="4">
        <v>709.180115</v>
      </c>
      <c r="C460" s="4">
        <v>736.50054899999998</v>
      </c>
      <c r="D460" s="4">
        <v>668.41412400000002</v>
      </c>
      <c r="I460" s="3" t="s">
        <v>21</v>
      </c>
      <c r="J460" s="4">
        <v>709.180115</v>
      </c>
      <c r="K460" s="4">
        <v>725.53253199999995</v>
      </c>
      <c r="L460" s="4">
        <v>663.37573199999997</v>
      </c>
      <c r="M460" s="12"/>
      <c r="O460" s="3" t="s">
        <v>21</v>
      </c>
      <c r="P460" s="4">
        <v>690.30426</v>
      </c>
      <c r="Q460" s="4">
        <v>747.33654799999999</v>
      </c>
      <c r="R460" s="4">
        <v>884.40850799999998</v>
      </c>
      <c r="U460" s="3" t="s">
        <v>21</v>
      </c>
      <c r="V460" s="4">
        <v>809.68963599999995</v>
      </c>
      <c r="W460" s="4">
        <v>723.251892</v>
      </c>
      <c r="X460" s="4">
        <v>647.89855999999997</v>
      </c>
    </row>
    <row r="461" spans="1:24" x14ac:dyDescent="0.3">
      <c r="A461" s="3" t="s">
        <v>23</v>
      </c>
      <c r="B461" s="4">
        <v>709.20135500000004</v>
      </c>
      <c r="C461" s="4">
        <v>743.61993399999994</v>
      </c>
      <c r="D461" s="4">
        <v>745.76147500000002</v>
      </c>
      <c r="I461" s="3" t="s">
        <v>23</v>
      </c>
      <c r="J461" s="4">
        <v>709.20135500000004</v>
      </c>
      <c r="K461" s="4">
        <v>724.92687999999998</v>
      </c>
      <c r="L461" s="4">
        <v>677.18414299999995</v>
      </c>
      <c r="M461" s="12"/>
      <c r="O461" s="3" t="s">
        <v>23</v>
      </c>
      <c r="P461" s="4">
        <v>719.77832000000001</v>
      </c>
      <c r="Q461" s="4">
        <v>741.19262700000002</v>
      </c>
      <c r="R461" s="4">
        <v>858.41516100000001</v>
      </c>
      <c r="U461" s="3" t="s">
        <v>23</v>
      </c>
      <c r="V461" s="4">
        <v>775.56726100000003</v>
      </c>
      <c r="W461" s="4">
        <v>721.15240500000004</v>
      </c>
      <c r="X461" s="4">
        <v>705.42327899999998</v>
      </c>
    </row>
    <row r="462" spans="1:24" x14ac:dyDescent="0.3">
      <c r="A462" s="3" t="s">
        <v>25</v>
      </c>
      <c r="B462" s="4">
        <v>727.69781499999999</v>
      </c>
      <c r="C462" s="4">
        <v>772.68701199999998</v>
      </c>
      <c r="D462" s="4">
        <v>768.32745399999999</v>
      </c>
      <c r="I462" s="3" t="s">
        <v>25</v>
      </c>
      <c r="J462" s="4">
        <v>727.69781499999999</v>
      </c>
      <c r="K462" s="4">
        <v>742.07250999999997</v>
      </c>
      <c r="L462" s="4">
        <v>814.37048300000004</v>
      </c>
      <c r="M462" s="12"/>
      <c r="O462" s="3" t="s">
        <v>25</v>
      </c>
      <c r="P462" s="4">
        <v>873.42810099999997</v>
      </c>
      <c r="Q462" s="4">
        <v>759.60998500000005</v>
      </c>
      <c r="R462" s="4">
        <v>789.115906</v>
      </c>
      <c r="U462" s="3" t="s">
        <v>25</v>
      </c>
      <c r="V462" s="4">
        <v>655.11633300000005</v>
      </c>
      <c r="W462" s="4">
        <v>738.28765899999996</v>
      </c>
      <c r="X462" s="4">
        <v>821.06701699999996</v>
      </c>
    </row>
    <row r="463" spans="1:24" x14ac:dyDescent="0.3">
      <c r="A463" s="3" t="s">
        <v>27</v>
      </c>
      <c r="B463" s="4">
        <v>679.18762200000003</v>
      </c>
      <c r="C463" s="4">
        <v>737.00176999999996</v>
      </c>
      <c r="D463" s="4">
        <v>758.743652</v>
      </c>
      <c r="I463" s="3" t="s">
        <v>27</v>
      </c>
      <c r="J463" s="4">
        <v>679.18762200000003</v>
      </c>
      <c r="K463" s="4">
        <v>685.56707800000004</v>
      </c>
      <c r="L463" s="4">
        <v>643.71209699999997</v>
      </c>
      <c r="M463" s="12"/>
      <c r="O463" s="3" t="s">
        <v>27</v>
      </c>
      <c r="P463" s="4">
        <v>626.50885000000005</v>
      </c>
      <c r="Q463" s="4">
        <v>747.06225600000005</v>
      </c>
      <c r="R463" s="4">
        <v>853.67993200000001</v>
      </c>
      <c r="U463" s="3" t="s">
        <v>27</v>
      </c>
      <c r="V463" s="4">
        <v>788.36834699999997</v>
      </c>
      <c r="W463" s="4">
        <v>712.20159899999999</v>
      </c>
      <c r="X463" s="4">
        <v>589.27282700000001</v>
      </c>
    </row>
    <row r="464" spans="1:24" x14ac:dyDescent="0.3">
      <c r="A464" s="3" t="s">
        <v>29</v>
      </c>
      <c r="B464" s="4">
        <v>717.11614999999995</v>
      </c>
      <c r="C464" s="4">
        <v>764.25109899999995</v>
      </c>
      <c r="D464" s="4">
        <v>765.08569299999999</v>
      </c>
      <c r="I464" s="3" t="s">
        <v>29</v>
      </c>
      <c r="J464" s="4">
        <v>717.11614999999995</v>
      </c>
      <c r="K464" s="4">
        <v>723.33148200000005</v>
      </c>
      <c r="L464" s="4">
        <v>633.13159199999996</v>
      </c>
      <c r="M464" s="12"/>
      <c r="O464" s="3" t="s">
        <v>29</v>
      </c>
      <c r="P464" s="4">
        <v>715.428223</v>
      </c>
      <c r="Q464" s="4">
        <v>758.97326699999996</v>
      </c>
      <c r="R464" s="4">
        <v>884.12231399999996</v>
      </c>
      <c r="U464" s="3" t="s">
        <v>29</v>
      </c>
      <c r="V464" s="4">
        <v>813.19787599999995</v>
      </c>
      <c r="W464" s="4">
        <v>732.09606900000006</v>
      </c>
      <c r="X464" s="4">
        <v>759.58483899999999</v>
      </c>
    </row>
    <row r="465" spans="1:24" x14ac:dyDescent="0.3">
      <c r="A465" s="3" t="s">
        <v>31</v>
      </c>
      <c r="B465" s="4">
        <v>823.67352300000005</v>
      </c>
      <c r="C465" s="4">
        <v>828.64166299999999</v>
      </c>
      <c r="D465" s="4">
        <v>1003.76532</v>
      </c>
      <c r="I465" s="3" t="s">
        <v>31</v>
      </c>
      <c r="J465" s="4">
        <v>823.67352300000005</v>
      </c>
      <c r="K465" s="4">
        <v>853.11639400000001</v>
      </c>
      <c r="L465" s="4">
        <v>1017.88147</v>
      </c>
      <c r="M465" s="12"/>
      <c r="O465" s="3" t="s">
        <v>31</v>
      </c>
      <c r="P465" s="4">
        <v>1067.112793</v>
      </c>
      <c r="Q465" s="4">
        <v>863.99310300000002</v>
      </c>
      <c r="R465" s="4">
        <v>1043.227173</v>
      </c>
      <c r="U465" s="3" t="s">
        <v>31</v>
      </c>
      <c r="V465" s="4">
        <v>845.05993699999999</v>
      </c>
      <c r="W465" s="4">
        <v>858.05578600000001</v>
      </c>
      <c r="X465" s="4">
        <v>1057.6142580000001</v>
      </c>
    </row>
    <row r="466" spans="1:24" x14ac:dyDescent="0.3">
      <c r="A466" s="3" t="s">
        <v>33</v>
      </c>
      <c r="B466" s="4">
        <v>737.20281999999997</v>
      </c>
      <c r="C466" s="4">
        <v>791.49188200000003</v>
      </c>
      <c r="D466" s="4">
        <v>724.33154300000001</v>
      </c>
      <c r="I466" s="3" t="s">
        <v>33</v>
      </c>
      <c r="J466" s="4">
        <v>737.20281999999997</v>
      </c>
      <c r="K466" s="4">
        <v>753.53216599999996</v>
      </c>
      <c r="L466" s="4">
        <v>929.01080300000001</v>
      </c>
      <c r="M466" s="12"/>
      <c r="O466" s="3" t="s">
        <v>33</v>
      </c>
      <c r="P466" s="4">
        <v>709.56512499999997</v>
      </c>
      <c r="Q466" s="4">
        <v>790.11236599999995</v>
      </c>
      <c r="R466" s="4">
        <v>661.04296899999997</v>
      </c>
      <c r="U466" s="3" t="s">
        <v>33</v>
      </c>
      <c r="V466" s="4">
        <v>888.55114700000001</v>
      </c>
      <c r="W466" s="4">
        <v>798.50579800000003</v>
      </c>
      <c r="X466" s="4">
        <v>948.393372</v>
      </c>
    </row>
    <row r="467" spans="1:24" x14ac:dyDescent="0.3">
      <c r="A467" s="3" t="s">
        <v>35</v>
      </c>
      <c r="B467" s="4">
        <v>770.25097700000003</v>
      </c>
      <c r="C467" s="4">
        <v>823.37982199999999</v>
      </c>
      <c r="D467" s="4">
        <v>691.70568800000001</v>
      </c>
      <c r="I467" s="3" t="s">
        <v>35</v>
      </c>
      <c r="J467" s="4">
        <v>770.25097700000003</v>
      </c>
      <c r="K467" s="4">
        <v>827.339966</v>
      </c>
      <c r="L467" s="4">
        <v>969.627747</v>
      </c>
      <c r="M467" s="12"/>
      <c r="O467" s="3" t="s">
        <v>35</v>
      </c>
      <c r="P467" s="4">
        <v>731.769409</v>
      </c>
      <c r="Q467" s="4">
        <v>827.865723</v>
      </c>
      <c r="R467" s="4">
        <v>670.75079300000004</v>
      </c>
      <c r="U467" s="3" t="s">
        <v>35</v>
      </c>
      <c r="V467" s="4">
        <v>699.38867200000004</v>
      </c>
      <c r="W467" s="4">
        <v>807.62707499999999</v>
      </c>
      <c r="X467" s="4">
        <v>1011.909973</v>
      </c>
    </row>
    <row r="468" spans="1:24" x14ac:dyDescent="0.3">
      <c r="A468" s="3" t="s">
        <v>37</v>
      </c>
      <c r="B468" s="4">
        <v>767.92303500000003</v>
      </c>
      <c r="C468" s="4">
        <v>831.66473399999995</v>
      </c>
      <c r="D468" s="4">
        <v>958.21044900000004</v>
      </c>
      <c r="I468" s="3" t="s">
        <v>37</v>
      </c>
      <c r="J468" s="4">
        <v>767.92303500000003</v>
      </c>
      <c r="K468" s="4">
        <v>777.042419</v>
      </c>
      <c r="L468" s="4">
        <v>688.94085700000005</v>
      </c>
      <c r="M468" s="12"/>
      <c r="O468" s="3" t="s">
        <v>37</v>
      </c>
      <c r="P468" s="4">
        <v>770.54382299999997</v>
      </c>
      <c r="Q468" s="4">
        <v>801.88629200000003</v>
      </c>
      <c r="R468" s="4">
        <v>724.22760000000005</v>
      </c>
      <c r="U468" s="3" t="s">
        <v>37</v>
      </c>
      <c r="V468" s="4">
        <v>892.53021200000001</v>
      </c>
      <c r="W468" s="4">
        <v>804.18383800000004</v>
      </c>
      <c r="X468" s="4">
        <v>911.34863299999995</v>
      </c>
    </row>
    <row r="469" spans="1:24" x14ac:dyDescent="0.3">
      <c r="A469" s="3" t="s">
        <v>39</v>
      </c>
      <c r="B469" s="4">
        <v>764.49444600000004</v>
      </c>
      <c r="C469" s="4">
        <v>813.07049600000005</v>
      </c>
      <c r="D469" s="4">
        <v>712.37927200000001</v>
      </c>
      <c r="I469" s="3" t="s">
        <v>39</v>
      </c>
      <c r="J469" s="4">
        <v>764.49444600000004</v>
      </c>
      <c r="K469" s="4">
        <v>797.18023700000003</v>
      </c>
      <c r="L469" s="4">
        <v>794.63861099999997</v>
      </c>
      <c r="M469" s="12"/>
      <c r="O469" s="3" t="s">
        <v>39</v>
      </c>
      <c r="P469" s="4">
        <v>793.01867700000003</v>
      </c>
      <c r="Q469" s="4">
        <v>801.79559300000005</v>
      </c>
      <c r="R469" s="4">
        <v>862.33898899999997</v>
      </c>
      <c r="U469" s="3" t="s">
        <v>39</v>
      </c>
      <c r="V469" s="4">
        <v>953.97723399999995</v>
      </c>
      <c r="W469" s="4">
        <v>789.51934800000004</v>
      </c>
      <c r="X469" s="4">
        <v>993.73632799999996</v>
      </c>
    </row>
    <row r="470" spans="1:24" x14ac:dyDescent="0.3">
      <c r="A470" s="3" t="s">
        <v>41</v>
      </c>
      <c r="B470" s="4">
        <v>860.56756600000006</v>
      </c>
      <c r="C470" s="4">
        <v>933.11230499999999</v>
      </c>
      <c r="D470" s="4">
        <v>741.34246800000005</v>
      </c>
      <c r="I470" s="3" t="s">
        <v>41</v>
      </c>
      <c r="J470" s="4">
        <v>860.56756600000006</v>
      </c>
      <c r="K470" s="4">
        <v>879.11480700000004</v>
      </c>
      <c r="L470" s="4">
        <v>1023.988159</v>
      </c>
      <c r="M470" s="12"/>
      <c r="O470" s="3" t="s">
        <v>41</v>
      </c>
      <c r="P470" s="4">
        <v>798.15777600000001</v>
      </c>
      <c r="Q470" s="4">
        <v>908.83044400000006</v>
      </c>
      <c r="R470" s="4">
        <v>739.99163799999997</v>
      </c>
      <c r="U470" s="3" t="s">
        <v>41</v>
      </c>
      <c r="V470" s="4">
        <v>715.72009300000002</v>
      </c>
      <c r="W470" s="4">
        <v>925.21118200000001</v>
      </c>
      <c r="X470" s="4">
        <v>825.75414999999998</v>
      </c>
    </row>
    <row r="471" spans="1:24" x14ac:dyDescent="0.3">
      <c r="A471" s="3" t="s">
        <v>43</v>
      </c>
      <c r="B471" s="4">
        <v>777.67456100000004</v>
      </c>
      <c r="C471" s="4">
        <v>816.88177499999995</v>
      </c>
      <c r="D471" s="4">
        <v>983.80688499999997</v>
      </c>
      <c r="I471" s="3" t="s">
        <v>43</v>
      </c>
      <c r="J471" s="4">
        <v>777.67456100000004</v>
      </c>
      <c r="K471" s="4">
        <v>804.87780799999996</v>
      </c>
      <c r="L471" s="4">
        <v>888.82391399999995</v>
      </c>
      <c r="M471" s="12"/>
      <c r="O471" s="3" t="s">
        <v>43</v>
      </c>
      <c r="P471" s="4">
        <v>977.77728300000001</v>
      </c>
      <c r="Q471" s="4">
        <v>834.449524</v>
      </c>
      <c r="R471" s="4">
        <v>996.67535399999997</v>
      </c>
      <c r="U471" s="3" t="s">
        <v>43</v>
      </c>
      <c r="V471" s="4">
        <v>699.13507100000004</v>
      </c>
      <c r="W471" s="4">
        <v>815.28198199999997</v>
      </c>
      <c r="X471" s="4">
        <v>921.712219</v>
      </c>
    </row>
    <row r="472" spans="1:24" x14ac:dyDescent="0.3">
      <c r="A472" s="3" t="s">
        <v>45</v>
      </c>
      <c r="B472" s="4">
        <v>822.73565699999995</v>
      </c>
      <c r="C472" s="4">
        <v>874.96545400000002</v>
      </c>
      <c r="D472" s="4">
        <v>970.62969999999996</v>
      </c>
      <c r="I472" s="3" t="s">
        <v>45</v>
      </c>
      <c r="J472" s="4">
        <v>822.73565699999995</v>
      </c>
      <c r="K472" s="4">
        <v>859.44891399999995</v>
      </c>
      <c r="L472" s="4">
        <v>800.54461700000002</v>
      </c>
      <c r="M472" s="12"/>
      <c r="O472" s="3" t="s">
        <v>45</v>
      </c>
      <c r="P472" s="4">
        <v>982.541382</v>
      </c>
      <c r="Q472" s="4">
        <v>864.98364300000003</v>
      </c>
      <c r="R472" s="4">
        <v>1041.7856449999999</v>
      </c>
      <c r="U472" s="3" t="s">
        <v>45</v>
      </c>
      <c r="V472" s="4">
        <v>919.81976299999997</v>
      </c>
      <c r="W472" s="4">
        <v>815.475098</v>
      </c>
      <c r="X472" s="4">
        <v>1068.3530270000001</v>
      </c>
    </row>
    <row r="473" spans="1:24" x14ac:dyDescent="0.3">
      <c r="A473" s="3" t="s">
        <v>47</v>
      </c>
      <c r="B473" s="4">
        <v>741.52844200000004</v>
      </c>
      <c r="C473" s="4">
        <v>803.90490699999998</v>
      </c>
      <c r="D473" s="4">
        <v>987.79699700000003</v>
      </c>
      <c r="I473" s="3" t="s">
        <v>47</v>
      </c>
      <c r="J473" s="4">
        <v>741.52844200000004</v>
      </c>
      <c r="K473" s="4">
        <v>775.75659199999996</v>
      </c>
      <c r="L473" s="4">
        <v>935.40039100000001</v>
      </c>
      <c r="M473" s="12"/>
      <c r="O473" s="3" t="s">
        <v>47</v>
      </c>
      <c r="P473" s="4">
        <v>697.70849599999997</v>
      </c>
      <c r="Q473" s="4">
        <v>804.35345500000005</v>
      </c>
      <c r="R473" s="4">
        <v>894.83898899999997</v>
      </c>
      <c r="U473" s="3" t="s">
        <v>47</v>
      </c>
      <c r="V473" s="4">
        <v>761.135986</v>
      </c>
      <c r="W473" s="4">
        <v>773.03637700000002</v>
      </c>
      <c r="X473" s="4">
        <v>947.45117200000004</v>
      </c>
    </row>
    <row r="474" spans="1:24" x14ac:dyDescent="0.3">
      <c r="A474" s="3" t="s">
        <v>49</v>
      </c>
      <c r="B474" s="4">
        <v>790.58966099999998</v>
      </c>
      <c r="C474" s="4">
        <v>860.29156499999999</v>
      </c>
      <c r="D474" s="4">
        <v>823.80255099999999</v>
      </c>
      <c r="I474" s="3" t="s">
        <v>49</v>
      </c>
      <c r="J474" s="4">
        <v>790.58966099999998</v>
      </c>
      <c r="K474" s="4">
        <v>821.84484899999995</v>
      </c>
      <c r="L474" s="4">
        <v>889.14404300000001</v>
      </c>
      <c r="M474" s="12"/>
      <c r="O474" s="3" t="s">
        <v>49</v>
      </c>
      <c r="P474" s="4">
        <v>964.37164299999995</v>
      </c>
      <c r="Q474" s="4">
        <v>866.45709199999999</v>
      </c>
      <c r="R474" s="4">
        <v>852.99255400000004</v>
      </c>
      <c r="U474" s="3" t="s">
        <v>49</v>
      </c>
      <c r="V474" s="4">
        <v>903.99774200000002</v>
      </c>
      <c r="W474" s="4">
        <v>812.76068099999998</v>
      </c>
      <c r="X474" s="4">
        <v>726.34551999999996</v>
      </c>
    </row>
    <row r="475" spans="1:24" x14ac:dyDescent="0.3">
      <c r="A475" s="3" t="s">
        <v>51</v>
      </c>
      <c r="B475" s="4">
        <v>992.39739999999995</v>
      </c>
      <c r="C475" s="4">
        <v>1025.1004640000001</v>
      </c>
      <c r="D475" s="4">
        <v>1122.199707</v>
      </c>
      <c r="I475" s="3" t="s">
        <v>51</v>
      </c>
      <c r="J475" s="4">
        <v>992.39739999999995</v>
      </c>
      <c r="K475" s="4">
        <v>994.307861</v>
      </c>
      <c r="L475" s="4">
        <v>1244.8831789999999</v>
      </c>
      <c r="M475" s="12"/>
      <c r="O475" s="3" t="s">
        <v>51</v>
      </c>
      <c r="P475" s="4">
        <v>1154.8929439999999</v>
      </c>
      <c r="Q475" s="4">
        <v>996.32867399999998</v>
      </c>
      <c r="R475" s="4">
        <v>979.64263900000003</v>
      </c>
      <c r="U475" s="3" t="s">
        <v>51</v>
      </c>
      <c r="V475" s="4">
        <v>1087.862183</v>
      </c>
      <c r="W475" s="4">
        <v>1006.2962649999999</v>
      </c>
      <c r="X475" s="4">
        <v>1244.8831789999999</v>
      </c>
    </row>
    <row r="476" spans="1:24" x14ac:dyDescent="0.3">
      <c r="A476" s="3" t="s">
        <v>53</v>
      </c>
      <c r="B476" s="4">
        <v>942.66168200000004</v>
      </c>
      <c r="C476" s="4">
        <v>945.96118200000001</v>
      </c>
      <c r="D476" s="4">
        <v>1161.131592</v>
      </c>
      <c r="I476" s="3" t="s">
        <v>53</v>
      </c>
      <c r="J476" s="4">
        <v>942.66168200000004</v>
      </c>
      <c r="K476" s="4">
        <v>947.59252900000001</v>
      </c>
      <c r="L476" s="4">
        <v>997.14141800000004</v>
      </c>
      <c r="M476" s="12"/>
      <c r="O476" s="3" t="s">
        <v>53</v>
      </c>
      <c r="P476" s="4">
        <v>1165.8732910000001</v>
      </c>
      <c r="Q476" s="4">
        <v>973.18078600000001</v>
      </c>
      <c r="R476" s="4">
        <v>857.54736300000002</v>
      </c>
      <c r="U476" s="3" t="s">
        <v>53</v>
      </c>
      <c r="V476" s="4">
        <v>1047.1827390000001</v>
      </c>
      <c r="W476" s="4">
        <v>952.59527600000001</v>
      </c>
      <c r="X476" s="4">
        <v>1146.4812010000001</v>
      </c>
    </row>
    <row r="477" spans="1:24" x14ac:dyDescent="0.3">
      <c r="A477" s="3" t="s">
        <v>55</v>
      </c>
      <c r="B477" s="4">
        <v>914.03625499999998</v>
      </c>
      <c r="C477" s="4">
        <v>978.29730199999995</v>
      </c>
      <c r="D477" s="4">
        <v>1015.68042</v>
      </c>
      <c r="I477" s="3" t="s">
        <v>55</v>
      </c>
      <c r="J477" s="4">
        <v>914.03625499999998</v>
      </c>
      <c r="K477" s="4">
        <v>984.52392599999996</v>
      </c>
      <c r="L477" s="4">
        <v>1137.1789550000001</v>
      </c>
      <c r="M477" s="12"/>
      <c r="O477" s="3" t="s">
        <v>55</v>
      </c>
      <c r="P477" s="4">
        <v>966.889771</v>
      </c>
      <c r="Q477" s="4">
        <v>979.89746100000002</v>
      </c>
      <c r="R477" s="4">
        <v>1037.27124</v>
      </c>
      <c r="U477" s="3" t="s">
        <v>55</v>
      </c>
      <c r="V477" s="4">
        <v>1020.8573</v>
      </c>
      <c r="W477" s="4">
        <v>992.91210899999999</v>
      </c>
      <c r="X477" s="4">
        <v>1115.4998780000001</v>
      </c>
    </row>
    <row r="478" spans="1:24" x14ac:dyDescent="0.3">
      <c r="A478" s="3" t="s">
        <v>57</v>
      </c>
      <c r="B478" s="4">
        <v>923.74011199999995</v>
      </c>
      <c r="C478" s="4">
        <v>956.87353499999995</v>
      </c>
      <c r="D478" s="4">
        <v>986.64843800000006</v>
      </c>
      <c r="I478" s="3" t="s">
        <v>57</v>
      </c>
      <c r="J478" s="4">
        <v>923.74011199999995</v>
      </c>
      <c r="K478" s="4">
        <v>954.160889</v>
      </c>
      <c r="L478" s="4">
        <v>978.18066399999998</v>
      </c>
      <c r="M478" s="12"/>
      <c r="O478" s="3" t="s">
        <v>57</v>
      </c>
      <c r="P478" s="4">
        <v>1044.552124</v>
      </c>
      <c r="Q478" s="4">
        <v>944.83892800000001</v>
      </c>
      <c r="R478" s="4">
        <v>1121.635986</v>
      </c>
      <c r="U478" s="3" t="s">
        <v>57</v>
      </c>
      <c r="V478" s="4">
        <v>1127.9608149999999</v>
      </c>
      <c r="W478" s="4">
        <v>951.42663600000003</v>
      </c>
      <c r="X478" s="4">
        <v>1066.924561</v>
      </c>
    </row>
    <row r="479" spans="1:24" x14ac:dyDescent="0.3">
      <c r="A479" s="3" t="s">
        <v>59</v>
      </c>
      <c r="B479" s="4">
        <v>838.71032700000001</v>
      </c>
      <c r="C479" s="4">
        <v>901.480591</v>
      </c>
      <c r="D479" s="4">
        <v>759.77484100000004</v>
      </c>
      <c r="I479" s="3" t="s">
        <v>59</v>
      </c>
      <c r="J479" s="4">
        <v>838.71032700000001</v>
      </c>
      <c r="K479" s="4">
        <v>873.852844</v>
      </c>
      <c r="L479" s="4">
        <v>1099.02478</v>
      </c>
      <c r="M479" s="12"/>
      <c r="O479" s="3" t="s">
        <v>59</v>
      </c>
      <c r="P479" s="4">
        <v>749.91693099999998</v>
      </c>
      <c r="Q479" s="4">
        <v>907.76568599999996</v>
      </c>
      <c r="R479" s="4">
        <v>1053.319092</v>
      </c>
      <c r="U479" s="3" t="s">
        <v>59</v>
      </c>
      <c r="V479" s="4">
        <v>744.79168700000002</v>
      </c>
      <c r="W479" s="4">
        <v>861.11328100000003</v>
      </c>
      <c r="X479" s="4">
        <v>1018.080933</v>
      </c>
    </row>
    <row r="480" spans="1:24" x14ac:dyDescent="0.3">
      <c r="A480" s="3" t="s">
        <v>61</v>
      </c>
      <c r="B480" s="4">
        <v>972.04492200000004</v>
      </c>
      <c r="C480" s="4">
        <v>1007.883362</v>
      </c>
      <c r="D480" s="4">
        <v>1084.8055420000001</v>
      </c>
      <c r="I480" s="3" t="s">
        <v>61</v>
      </c>
      <c r="J480" s="4">
        <v>972.04492200000004</v>
      </c>
      <c r="K480" s="4">
        <v>956.61090100000001</v>
      </c>
      <c r="L480" s="4">
        <v>1121.7337649999999</v>
      </c>
      <c r="M480" s="12"/>
      <c r="O480" s="3" t="s">
        <v>61</v>
      </c>
      <c r="P480" s="4">
        <v>1211.906616</v>
      </c>
      <c r="Q480" s="4">
        <v>981.14739999999995</v>
      </c>
      <c r="R480" s="4">
        <v>1227.309448</v>
      </c>
      <c r="U480" s="3" t="s">
        <v>61</v>
      </c>
      <c r="V480" s="4">
        <v>964.94537400000002</v>
      </c>
      <c r="W480" s="4">
        <v>1003.861206</v>
      </c>
      <c r="X480" s="4">
        <v>1147.748779</v>
      </c>
    </row>
    <row r="481" spans="1:24" x14ac:dyDescent="0.3">
      <c r="A481" s="3" t="s">
        <v>63</v>
      </c>
      <c r="B481" s="4">
        <v>962.67266800000004</v>
      </c>
      <c r="C481" s="4">
        <v>987.89642300000003</v>
      </c>
      <c r="D481" s="4">
        <v>1138.9736330000001</v>
      </c>
      <c r="I481" s="3" t="s">
        <v>63</v>
      </c>
      <c r="J481" s="4">
        <v>962.67266800000004</v>
      </c>
      <c r="K481" s="4">
        <v>967.34619099999998</v>
      </c>
      <c r="L481" s="4">
        <v>1141.4655760000001</v>
      </c>
      <c r="M481" s="12"/>
      <c r="O481" s="3" t="s">
        <v>63</v>
      </c>
      <c r="P481" s="4">
        <v>1126.059082</v>
      </c>
      <c r="Q481" s="4">
        <v>994.362122</v>
      </c>
      <c r="R481" s="4">
        <v>1088.6719969999999</v>
      </c>
      <c r="U481" s="3" t="s">
        <v>63</v>
      </c>
      <c r="V481" s="4">
        <v>1095.369629</v>
      </c>
      <c r="W481" s="4">
        <v>979.96758999999997</v>
      </c>
      <c r="X481" s="4">
        <v>811.59411599999999</v>
      </c>
    </row>
    <row r="482" spans="1:24" x14ac:dyDescent="0.3">
      <c r="A482" s="3" t="s">
        <v>65</v>
      </c>
      <c r="B482" s="4">
        <v>901.38531499999999</v>
      </c>
      <c r="C482" s="4">
        <v>935.03942900000004</v>
      </c>
      <c r="D482" s="4">
        <v>1157.4842530000001</v>
      </c>
      <c r="I482" s="3" t="s">
        <v>65</v>
      </c>
      <c r="J482" s="4">
        <v>901.38531499999999</v>
      </c>
      <c r="K482" s="4">
        <v>912.40722700000003</v>
      </c>
      <c r="L482" s="4">
        <v>797.10034199999996</v>
      </c>
      <c r="M482" s="12"/>
      <c r="O482" s="3" t="s">
        <v>65</v>
      </c>
      <c r="P482" s="4">
        <v>1100.5111079999999</v>
      </c>
      <c r="Q482" s="4">
        <v>933.14739999999995</v>
      </c>
      <c r="R482" s="4">
        <v>993.82818599999996</v>
      </c>
      <c r="U482" s="3" t="s">
        <v>65</v>
      </c>
      <c r="V482" s="4">
        <v>1048.099487</v>
      </c>
      <c r="W482" s="4">
        <v>932.00329599999998</v>
      </c>
      <c r="X482" s="4">
        <v>1062.0299070000001</v>
      </c>
    </row>
    <row r="483" spans="1:24" x14ac:dyDescent="0.3">
      <c r="A483" s="3" t="s">
        <v>67</v>
      </c>
      <c r="B483" s="4">
        <v>966.22833300000002</v>
      </c>
      <c r="C483" s="4">
        <v>971.71270800000002</v>
      </c>
      <c r="D483" s="4">
        <v>1050.8127440000001</v>
      </c>
      <c r="I483" s="3" t="s">
        <v>67</v>
      </c>
      <c r="J483" s="4">
        <v>966.22833300000002</v>
      </c>
      <c r="K483" s="4">
        <v>984.52044699999999</v>
      </c>
      <c r="L483" s="4">
        <v>961.68780500000003</v>
      </c>
      <c r="M483" s="12"/>
      <c r="O483" s="3" t="s">
        <v>67</v>
      </c>
      <c r="P483" s="4">
        <v>1177.3070070000001</v>
      </c>
      <c r="Q483" s="4">
        <v>981.40795900000001</v>
      </c>
      <c r="R483" s="4">
        <v>1076.8480219999999</v>
      </c>
      <c r="U483" s="3" t="s">
        <v>67</v>
      </c>
      <c r="V483" s="4">
        <v>1150.85022</v>
      </c>
      <c r="W483" s="4">
        <v>977.75140399999998</v>
      </c>
      <c r="X483" s="4">
        <v>1018.998779</v>
      </c>
    </row>
    <row r="484" spans="1:24" x14ac:dyDescent="0.3">
      <c r="A484" s="3" t="s">
        <v>69</v>
      </c>
      <c r="B484" s="4">
        <v>949.48687700000005</v>
      </c>
      <c r="C484" s="4">
        <v>995.40362500000003</v>
      </c>
      <c r="D484" s="4">
        <v>1124.822754</v>
      </c>
      <c r="I484" s="3" t="s">
        <v>69</v>
      </c>
      <c r="J484" s="4">
        <v>949.48687700000005</v>
      </c>
      <c r="K484" s="4">
        <v>961.64685099999997</v>
      </c>
      <c r="L484" s="4">
        <v>1179.2617190000001</v>
      </c>
      <c r="M484" s="12"/>
      <c r="O484" s="3" t="s">
        <v>69</v>
      </c>
      <c r="P484" s="4">
        <v>1114.6645510000001</v>
      </c>
      <c r="Q484" s="4">
        <v>1000.929749</v>
      </c>
      <c r="R484" s="4">
        <v>1092.8725589999999</v>
      </c>
      <c r="U484" s="3" t="s">
        <v>69</v>
      </c>
      <c r="V484" s="4">
        <v>1195.9586179999999</v>
      </c>
      <c r="W484" s="4">
        <v>988.78613299999995</v>
      </c>
      <c r="X484" s="4">
        <v>1212.0897219999999</v>
      </c>
    </row>
    <row r="485" spans="1:24" x14ac:dyDescent="0.3">
      <c r="A485" s="3" t="s">
        <v>75</v>
      </c>
      <c r="B485" s="4">
        <v>693.86785899999995</v>
      </c>
      <c r="C485" s="4">
        <v>740.92761199999995</v>
      </c>
      <c r="D485" s="4">
        <v>685.51715100000001</v>
      </c>
      <c r="I485" s="3" t="s">
        <v>75</v>
      </c>
      <c r="J485" s="4">
        <v>693.86785899999995</v>
      </c>
      <c r="K485" s="4">
        <v>707.48303199999998</v>
      </c>
      <c r="L485" s="4">
        <v>654.31719999999996</v>
      </c>
      <c r="M485" s="12"/>
      <c r="O485" s="3" t="s">
        <v>75</v>
      </c>
      <c r="P485" s="4">
        <v>685.51715100000001</v>
      </c>
      <c r="Q485" s="4">
        <v>743.12609899999995</v>
      </c>
      <c r="R485" s="4">
        <v>685.51715100000001</v>
      </c>
      <c r="U485" s="3" t="s">
        <v>75</v>
      </c>
      <c r="V485" s="4">
        <v>654.31719999999996</v>
      </c>
      <c r="W485" s="4">
        <v>721.42999299999997</v>
      </c>
      <c r="X485" s="4">
        <v>654.31719999999996</v>
      </c>
    </row>
    <row r="486" spans="1:24" x14ac:dyDescent="0.3">
      <c r="A486" s="3" t="s">
        <v>77</v>
      </c>
      <c r="B486" s="4">
        <v>756.72125200000005</v>
      </c>
      <c r="C486" s="4">
        <v>820.79418899999996</v>
      </c>
      <c r="D486" s="4">
        <v>981.21649200000002</v>
      </c>
      <c r="I486" s="3" t="s">
        <v>77</v>
      </c>
      <c r="J486" s="4">
        <v>756.72125200000005</v>
      </c>
      <c r="K486" s="4">
        <v>778.41570999999999</v>
      </c>
      <c r="L486" s="4">
        <v>909.81262200000003</v>
      </c>
      <c r="M486" s="12"/>
      <c r="O486" s="3" t="s">
        <v>77</v>
      </c>
      <c r="P486" s="4">
        <v>970.06231700000001</v>
      </c>
      <c r="Q486" s="4">
        <v>833.32104500000003</v>
      </c>
      <c r="R486" s="4">
        <v>828.07153300000004</v>
      </c>
      <c r="U486" s="3" t="s">
        <v>77</v>
      </c>
      <c r="V486" s="4">
        <v>813.02282700000001</v>
      </c>
      <c r="W486" s="4">
        <v>818.462219</v>
      </c>
      <c r="X486" s="4">
        <v>938.04199200000005</v>
      </c>
    </row>
    <row r="487" spans="1:24" x14ac:dyDescent="0.3">
      <c r="A487" s="3" t="s">
        <v>79</v>
      </c>
      <c r="B487" s="4">
        <v>743.65966800000001</v>
      </c>
      <c r="C487" s="4">
        <v>809.052368</v>
      </c>
      <c r="D487" s="4">
        <v>703.22216800000001</v>
      </c>
      <c r="I487" s="3" t="s">
        <v>79</v>
      </c>
      <c r="J487" s="4">
        <v>743.65966800000001</v>
      </c>
      <c r="K487" s="4">
        <v>768.84368900000004</v>
      </c>
      <c r="L487" s="4">
        <v>715.59814500000005</v>
      </c>
      <c r="M487" s="12"/>
      <c r="O487" s="3" t="s">
        <v>79</v>
      </c>
      <c r="P487" s="4">
        <v>936.64074700000003</v>
      </c>
      <c r="Q487" s="4">
        <v>792.82482900000002</v>
      </c>
      <c r="R487" s="4">
        <v>923.95752000000005</v>
      </c>
      <c r="U487" s="3" t="s">
        <v>79</v>
      </c>
      <c r="V487" s="4">
        <v>905.63781700000004</v>
      </c>
      <c r="W487" s="4">
        <v>766.91876200000002</v>
      </c>
      <c r="X487" s="4">
        <v>903.41339100000005</v>
      </c>
    </row>
    <row r="488" spans="1:24" x14ac:dyDescent="0.3">
      <c r="A488" s="3" t="s">
        <v>81</v>
      </c>
      <c r="B488" s="4">
        <v>699.88256799999999</v>
      </c>
      <c r="C488" s="4">
        <v>754.72351100000003</v>
      </c>
      <c r="D488" s="4">
        <v>764.69354199999998</v>
      </c>
      <c r="I488" s="3" t="s">
        <v>81</v>
      </c>
      <c r="J488" s="4">
        <v>699.88256799999999</v>
      </c>
      <c r="K488" s="4">
        <v>717.15136700000005</v>
      </c>
      <c r="L488" s="4">
        <v>734.790344</v>
      </c>
      <c r="M488" s="12"/>
      <c r="O488" s="3" t="s">
        <v>81</v>
      </c>
      <c r="P488" s="4">
        <v>834.73638900000003</v>
      </c>
      <c r="Q488" s="4">
        <v>755.61132799999996</v>
      </c>
      <c r="R488" s="4">
        <v>797.12573199999997</v>
      </c>
      <c r="U488" s="3" t="s">
        <v>81</v>
      </c>
      <c r="V488" s="4">
        <v>734.16418499999997</v>
      </c>
      <c r="W488" s="4">
        <v>711.89257799999996</v>
      </c>
      <c r="X488" s="4">
        <v>642.89703399999996</v>
      </c>
    </row>
    <row r="489" spans="1:24" x14ac:dyDescent="0.3">
      <c r="A489" s="3" t="s">
        <v>83</v>
      </c>
      <c r="B489" s="4">
        <v>720.67309599999999</v>
      </c>
      <c r="C489" s="4">
        <v>775.46264599999995</v>
      </c>
      <c r="D489" s="4">
        <v>797.86962900000003</v>
      </c>
      <c r="I489" s="3" t="s">
        <v>83</v>
      </c>
      <c r="J489" s="4">
        <v>720.67309599999999</v>
      </c>
      <c r="K489" s="4">
        <v>744.37591599999996</v>
      </c>
      <c r="L489" s="4">
        <v>800.00701900000001</v>
      </c>
      <c r="M489" s="12"/>
      <c r="O489" s="3" t="s">
        <v>83</v>
      </c>
      <c r="P489" s="4">
        <v>702.58404499999995</v>
      </c>
      <c r="Q489" s="4">
        <v>775.569031</v>
      </c>
      <c r="R489" s="4">
        <v>929.24957300000005</v>
      </c>
      <c r="U489" s="3" t="s">
        <v>83</v>
      </c>
      <c r="V489" s="4">
        <v>714.52227800000003</v>
      </c>
      <c r="W489" s="4">
        <v>731.41192599999999</v>
      </c>
      <c r="X489" s="4">
        <v>673.363831</v>
      </c>
    </row>
    <row r="490" spans="1:24" x14ac:dyDescent="0.3">
      <c r="A490" s="3" t="s">
        <v>85</v>
      </c>
      <c r="B490" s="4">
        <v>847.12524399999995</v>
      </c>
      <c r="C490" s="4">
        <v>914.57281499999999</v>
      </c>
      <c r="D490" s="4">
        <v>987.71350099999995</v>
      </c>
      <c r="I490" s="3" t="s">
        <v>85</v>
      </c>
      <c r="J490" s="4">
        <v>847.12524399999995</v>
      </c>
      <c r="K490" s="4">
        <v>875.89587400000005</v>
      </c>
      <c r="L490" s="4">
        <v>993.64349400000003</v>
      </c>
      <c r="M490" s="12"/>
      <c r="O490" s="3" t="s">
        <v>85</v>
      </c>
      <c r="P490" s="4">
        <v>906.87383999999997</v>
      </c>
      <c r="Q490" s="4">
        <v>893.17193599999996</v>
      </c>
      <c r="R490" s="4">
        <v>965.4375</v>
      </c>
      <c r="U490" s="3" t="s">
        <v>85</v>
      </c>
      <c r="V490" s="4">
        <v>963.74060099999997</v>
      </c>
      <c r="W490" s="4">
        <v>881.85693400000002</v>
      </c>
      <c r="X490" s="4">
        <v>687.65136700000005</v>
      </c>
    </row>
    <row r="491" spans="1:24" x14ac:dyDescent="0.3">
      <c r="A491" s="3" t="s">
        <v>87</v>
      </c>
      <c r="B491" s="4">
        <v>749.05432099999996</v>
      </c>
      <c r="C491" s="4">
        <v>807.087402</v>
      </c>
      <c r="D491" s="4">
        <v>980.95489499999996</v>
      </c>
      <c r="I491" s="3" t="s">
        <v>87</v>
      </c>
      <c r="J491" s="4">
        <v>749.05432099999996</v>
      </c>
      <c r="K491" s="4">
        <v>776.323669</v>
      </c>
      <c r="L491" s="4">
        <v>674.55450399999995</v>
      </c>
      <c r="M491" s="12"/>
      <c r="O491" s="3" t="s">
        <v>87</v>
      </c>
      <c r="P491" s="4">
        <v>835.98828100000003</v>
      </c>
      <c r="Q491" s="4">
        <v>832.18505900000002</v>
      </c>
      <c r="R491" s="4">
        <v>710.56030299999998</v>
      </c>
      <c r="U491" s="3" t="s">
        <v>87</v>
      </c>
      <c r="V491" s="4">
        <v>764.37207000000001</v>
      </c>
      <c r="W491" s="4">
        <v>801.707764</v>
      </c>
      <c r="X491" s="4">
        <v>743.38775599999997</v>
      </c>
    </row>
    <row r="492" spans="1:24" x14ac:dyDescent="0.3">
      <c r="A492" s="3" t="s">
        <v>89</v>
      </c>
      <c r="B492" s="4">
        <v>767.93249500000002</v>
      </c>
      <c r="C492" s="4">
        <v>818.59716800000001</v>
      </c>
      <c r="D492" s="4">
        <v>979.40368699999999</v>
      </c>
      <c r="I492" s="3" t="s">
        <v>89</v>
      </c>
      <c r="J492" s="4">
        <v>767.93249500000002</v>
      </c>
      <c r="K492" s="4">
        <v>811.46765100000005</v>
      </c>
      <c r="L492" s="4">
        <v>923.25866699999995</v>
      </c>
      <c r="M492" s="12"/>
      <c r="O492" s="3" t="s">
        <v>89</v>
      </c>
      <c r="P492" s="4">
        <v>858.89099099999999</v>
      </c>
      <c r="Q492" s="4">
        <v>820.71716300000003</v>
      </c>
      <c r="R492" s="4">
        <v>732.81329300000004</v>
      </c>
      <c r="U492" s="3" t="s">
        <v>89</v>
      </c>
      <c r="V492" s="4">
        <v>732.16339100000005</v>
      </c>
      <c r="W492" s="4">
        <v>772.72576900000001</v>
      </c>
      <c r="X492" s="4">
        <v>793.30456500000003</v>
      </c>
    </row>
    <row r="493" spans="1:24" x14ac:dyDescent="0.3">
      <c r="A493" s="3" t="s">
        <v>91</v>
      </c>
      <c r="B493" s="4">
        <v>760.53985599999999</v>
      </c>
      <c r="C493" s="4">
        <v>817.78961200000003</v>
      </c>
      <c r="D493" s="4">
        <v>903.95300299999997</v>
      </c>
      <c r="I493" s="3" t="s">
        <v>91</v>
      </c>
      <c r="J493" s="4">
        <v>760.53985599999999</v>
      </c>
      <c r="K493" s="4">
        <v>779.92028800000003</v>
      </c>
      <c r="L493" s="4">
        <v>836.88354500000003</v>
      </c>
      <c r="M493" s="12"/>
      <c r="O493" s="3" t="s">
        <v>91</v>
      </c>
      <c r="P493" s="4">
        <v>748.97497599999997</v>
      </c>
      <c r="Q493" s="4">
        <v>816.49285899999995</v>
      </c>
      <c r="R493" s="4">
        <v>725.59918200000004</v>
      </c>
      <c r="U493" s="3" t="s">
        <v>91</v>
      </c>
      <c r="V493" s="4">
        <v>754.243469</v>
      </c>
      <c r="W493" s="4">
        <v>764.04870600000004</v>
      </c>
      <c r="X493" s="4">
        <v>878.37976100000003</v>
      </c>
    </row>
    <row r="494" spans="1:24" x14ac:dyDescent="0.3">
      <c r="A494" s="3" t="s">
        <v>93</v>
      </c>
      <c r="B494" s="4">
        <v>711.49468999999999</v>
      </c>
      <c r="C494" s="4">
        <v>763.55212400000005</v>
      </c>
      <c r="D494" s="4">
        <v>674.11920199999997</v>
      </c>
      <c r="I494" s="3" t="s">
        <v>93</v>
      </c>
      <c r="J494" s="4">
        <v>711.49468999999999</v>
      </c>
      <c r="K494" s="4">
        <v>734.26715100000001</v>
      </c>
      <c r="L494" s="4">
        <v>777.28881799999999</v>
      </c>
      <c r="M494" s="12"/>
      <c r="O494" s="3" t="s">
        <v>93</v>
      </c>
      <c r="P494" s="4">
        <v>810.84655799999996</v>
      </c>
      <c r="Q494" s="4">
        <v>759.19940199999996</v>
      </c>
      <c r="R494" s="4">
        <v>926.75878899999998</v>
      </c>
      <c r="U494" s="3" t="s">
        <v>93</v>
      </c>
      <c r="V494" s="4">
        <v>648.49530000000004</v>
      </c>
      <c r="W494" s="4">
        <v>738.311646</v>
      </c>
      <c r="X494" s="4">
        <v>644.41308600000002</v>
      </c>
    </row>
    <row r="495" spans="1:24" x14ac:dyDescent="0.3">
      <c r="A495" s="3" t="s">
        <v>95</v>
      </c>
      <c r="B495" s="4">
        <v>820.24603300000001</v>
      </c>
      <c r="C495" s="4">
        <v>860.31951900000001</v>
      </c>
      <c r="D495" s="4">
        <v>1061.7827150000001</v>
      </c>
      <c r="I495" s="3" t="s">
        <v>95</v>
      </c>
      <c r="J495" s="4">
        <v>820.24603300000001</v>
      </c>
      <c r="K495" s="4">
        <v>818.88415499999996</v>
      </c>
      <c r="L495" s="4">
        <v>1017.336121</v>
      </c>
      <c r="M495" s="12"/>
      <c r="O495" s="3" t="s">
        <v>95</v>
      </c>
      <c r="P495" s="4">
        <v>922.12426800000003</v>
      </c>
      <c r="Q495" s="4">
        <v>830.34918200000004</v>
      </c>
      <c r="R495" s="4">
        <v>920.83569299999999</v>
      </c>
      <c r="U495" s="3" t="s">
        <v>95</v>
      </c>
      <c r="V495" s="4">
        <v>948.36901899999998</v>
      </c>
      <c r="W495" s="4">
        <v>837.89306599999998</v>
      </c>
      <c r="X495" s="4">
        <v>978.60418700000002</v>
      </c>
    </row>
    <row r="496" spans="1:24" x14ac:dyDescent="0.3">
      <c r="A496" s="3" t="s">
        <v>97</v>
      </c>
      <c r="B496" s="4">
        <v>927.93701199999998</v>
      </c>
      <c r="C496" s="4">
        <v>987.600281</v>
      </c>
      <c r="D496" s="4">
        <v>1107.4338379999999</v>
      </c>
      <c r="I496" s="3" t="s">
        <v>97</v>
      </c>
      <c r="J496" s="4">
        <v>927.93701199999998</v>
      </c>
      <c r="K496" s="4">
        <v>976.24780299999998</v>
      </c>
      <c r="L496" s="4">
        <v>770.11505099999999</v>
      </c>
      <c r="M496" s="12"/>
      <c r="O496" s="3" t="s">
        <v>97</v>
      </c>
      <c r="P496" s="4">
        <v>953.89776600000005</v>
      </c>
      <c r="Q496" s="4">
        <v>967.64324999999997</v>
      </c>
      <c r="R496" s="4">
        <v>953.54693599999996</v>
      </c>
      <c r="U496" s="3" t="s">
        <v>97</v>
      </c>
      <c r="V496" s="4">
        <v>986.68170199999997</v>
      </c>
      <c r="W496" s="4">
        <v>971.44512899999995</v>
      </c>
      <c r="X496" s="4">
        <v>1026.3759769999999</v>
      </c>
    </row>
    <row r="497" spans="1:24" x14ac:dyDescent="0.3">
      <c r="A497" s="3" t="s">
        <v>99</v>
      </c>
      <c r="B497" s="4">
        <v>891.87237500000003</v>
      </c>
      <c r="C497" s="4">
        <v>948.69232199999999</v>
      </c>
      <c r="D497" s="4">
        <v>1023.195374</v>
      </c>
      <c r="I497" s="3" t="s">
        <v>99</v>
      </c>
      <c r="J497" s="4">
        <v>891.87237500000003</v>
      </c>
      <c r="K497" s="4">
        <v>939.76654099999996</v>
      </c>
      <c r="L497" s="4">
        <v>1051.4105219999999</v>
      </c>
      <c r="M497" s="12"/>
      <c r="O497" s="3" t="s">
        <v>99</v>
      </c>
      <c r="P497" s="4">
        <v>1004.876953</v>
      </c>
      <c r="Q497" s="4">
        <v>961.357483</v>
      </c>
      <c r="R497" s="4">
        <v>1100.104736</v>
      </c>
      <c r="U497" s="3" t="s">
        <v>99</v>
      </c>
      <c r="V497" s="4">
        <v>730.37170400000002</v>
      </c>
      <c r="W497" s="4">
        <v>918.39569100000006</v>
      </c>
      <c r="X497" s="4">
        <v>1107.0766599999999</v>
      </c>
    </row>
    <row r="498" spans="1:24" x14ac:dyDescent="0.3">
      <c r="A498" s="3" t="s">
        <v>101</v>
      </c>
      <c r="B498" s="4">
        <v>775.39843800000006</v>
      </c>
      <c r="C498" s="4">
        <v>851.28832999999997</v>
      </c>
      <c r="D498" s="4">
        <v>1037.1281739999999</v>
      </c>
      <c r="I498" s="3" t="s">
        <v>101</v>
      </c>
      <c r="J498" s="4">
        <v>775.39843800000006</v>
      </c>
      <c r="K498" s="4">
        <v>843.42797900000005</v>
      </c>
      <c r="L498" s="4">
        <v>707.485229</v>
      </c>
      <c r="M498" s="12"/>
      <c r="O498" s="3" t="s">
        <v>101</v>
      </c>
      <c r="P498" s="4">
        <v>1012.944397</v>
      </c>
      <c r="Q498" s="4">
        <v>859.08288600000003</v>
      </c>
      <c r="R498" s="4">
        <v>1041.12085</v>
      </c>
      <c r="U498" s="3" t="s">
        <v>101</v>
      </c>
      <c r="V498" s="4">
        <v>888.77587900000003</v>
      </c>
      <c r="W498" s="4">
        <v>805.58331299999998</v>
      </c>
      <c r="X498" s="4">
        <v>767.26556400000004</v>
      </c>
    </row>
    <row r="499" spans="1:24" x14ac:dyDescent="0.3">
      <c r="A499" s="3" t="s">
        <v>103</v>
      </c>
      <c r="B499" s="4">
        <v>844.53704800000003</v>
      </c>
      <c r="C499" s="4">
        <v>914.24310300000002</v>
      </c>
      <c r="D499" s="4">
        <v>1013.844238</v>
      </c>
      <c r="I499" s="3" t="s">
        <v>103</v>
      </c>
      <c r="J499" s="4">
        <v>844.53704800000003</v>
      </c>
      <c r="K499" s="4">
        <v>881.25317399999994</v>
      </c>
      <c r="L499" s="4">
        <v>1009.14624</v>
      </c>
      <c r="M499" s="12"/>
      <c r="O499" s="3" t="s">
        <v>103</v>
      </c>
      <c r="P499" s="4">
        <v>964.35076900000001</v>
      </c>
      <c r="Q499" s="4">
        <v>892.65997300000004</v>
      </c>
      <c r="R499" s="4">
        <v>751.21954300000004</v>
      </c>
      <c r="U499" s="3" t="s">
        <v>103</v>
      </c>
      <c r="V499" s="4">
        <v>1002.058777</v>
      </c>
      <c r="W499" s="4">
        <v>869.47222899999997</v>
      </c>
      <c r="X499" s="4">
        <v>908.45367399999998</v>
      </c>
    </row>
    <row r="500" spans="1:24" x14ac:dyDescent="0.3">
      <c r="A500" s="3" t="s">
        <v>105</v>
      </c>
      <c r="B500" s="4">
        <v>957.981628</v>
      </c>
      <c r="C500" s="4">
        <v>1015.423584</v>
      </c>
      <c r="D500" s="4">
        <v>835.62823500000002</v>
      </c>
      <c r="I500" s="3" t="s">
        <v>105</v>
      </c>
      <c r="J500" s="4">
        <v>957.981628</v>
      </c>
      <c r="K500" s="4">
        <v>1004.921082</v>
      </c>
      <c r="L500" s="4">
        <v>1007.29187</v>
      </c>
      <c r="M500" s="12"/>
      <c r="O500" s="3" t="s">
        <v>105</v>
      </c>
      <c r="P500" s="4">
        <v>1010.0787350000001</v>
      </c>
      <c r="Q500" s="4">
        <v>1018.526062</v>
      </c>
      <c r="R500" s="4">
        <v>1180.763794</v>
      </c>
      <c r="U500" s="3" t="s">
        <v>105</v>
      </c>
      <c r="V500" s="4">
        <v>836.62896699999999</v>
      </c>
      <c r="W500" s="4">
        <v>983.85205099999996</v>
      </c>
      <c r="X500" s="4">
        <v>1170.6936040000001</v>
      </c>
    </row>
    <row r="501" spans="1:24" x14ac:dyDescent="0.3">
      <c r="A501" s="3" t="s">
        <v>107</v>
      </c>
      <c r="B501" s="4">
        <v>1038.3111570000001</v>
      </c>
      <c r="C501" s="4">
        <v>1062.802612</v>
      </c>
      <c r="D501" s="4">
        <v>1190.372803</v>
      </c>
      <c r="I501" s="3" t="s">
        <v>107</v>
      </c>
      <c r="J501" s="4">
        <v>1038.3111570000001</v>
      </c>
      <c r="K501" s="4">
        <v>1027.905029</v>
      </c>
      <c r="L501" s="4">
        <v>878.28118900000004</v>
      </c>
      <c r="M501" s="12"/>
      <c r="O501" s="3" t="s">
        <v>107</v>
      </c>
      <c r="P501" s="4">
        <v>881.24987799999997</v>
      </c>
      <c r="Q501" s="4">
        <v>1059.4289550000001</v>
      </c>
      <c r="R501" s="4">
        <v>1205.6678469999999</v>
      </c>
      <c r="U501" s="3" t="s">
        <v>107</v>
      </c>
      <c r="V501" s="4">
        <v>1081.241577</v>
      </c>
      <c r="W501" s="4">
        <v>1032.0802000000001</v>
      </c>
      <c r="X501" s="4">
        <v>1171.8831789999999</v>
      </c>
    </row>
    <row r="502" spans="1:24" x14ac:dyDescent="0.3">
      <c r="A502" s="3" t="s">
        <v>109</v>
      </c>
      <c r="B502" s="4">
        <v>891.42706299999998</v>
      </c>
      <c r="C502" s="4">
        <v>924.37371800000005</v>
      </c>
      <c r="D502" s="4">
        <v>1109.7298579999999</v>
      </c>
      <c r="I502" s="3" t="s">
        <v>109</v>
      </c>
      <c r="J502" s="4">
        <v>891.42706299999998</v>
      </c>
      <c r="K502" s="4">
        <v>914.49548300000004</v>
      </c>
      <c r="L502" s="4">
        <v>829.77203399999996</v>
      </c>
      <c r="M502" s="12"/>
      <c r="O502" s="3" t="s">
        <v>109</v>
      </c>
      <c r="P502" s="4">
        <v>1102.5507809999999</v>
      </c>
      <c r="Q502" s="4">
        <v>935.257385</v>
      </c>
      <c r="R502" s="4">
        <v>964.10675000000003</v>
      </c>
      <c r="U502" s="3" t="s">
        <v>109</v>
      </c>
      <c r="V502" s="4">
        <v>922.47161900000003</v>
      </c>
      <c r="W502" s="4">
        <v>923.51800500000002</v>
      </c>
      <c r="X502" s="4">
        <v>977.65393100000006</v>
      </c>
    </row>
    <row r="503" spans="1:24" x14ac:dyDescent="0.3">
      <c r="A503" s="3" t="s">
        <v>111</v>
      </c>
      <c r="B503" s="4">
        <v>991.43688999999995</v>
      </c>
      <c r="C503" s="4">
        <v>999.56781000000001</v>
      </c>
      <c r="D503" s="4">
        <v>1116.9586179999999</v>
      </c>
      <c r="I503" s="3" t="s">
        <v>111</v>
      </c>
      <c r="J503" s="4">
        <v>991.43688999999995</v>
      </c>
      <c r="K503" s="4">
        <v>1017.0591429999999</v>
      </c>
      <c r="L503" s="4">
        <v>828.51391599999999</v>
      </c>
      <c r="M503" s="12"/>
      <c r="O503" s="3" t="s">
        <v>111</v>
      </c>
      <c r="P503" s="4">
        <v>1190.385986</v>
      </c>
      <c r="Q503" s="4">
        <v>1025.9956050000001</v>
      </c>
      <c r="R503" s="4">
        <v>1167.802246</v>
      </c>
      <c r="U503" s="3" t="s">
        <v>111</v>
      </c>
      <c r="V503" s="4">
        <v>811.72326699999996</v>
      </c>
      <c r="W503" s="4">
        <v>981.02856399999996</v>
      </c>
      <c r="X503" s="4">
        <v>1214.832275</v>
      </c>
    </row>
    <row r="504" spans="1:24" x14ac:dyDescent="0.3">
      <c r="A504" s="3" t="s">
        <v>113</v>
      </c>
      <c r="B504" s="4">
        <v>884.57336399999997</v>
      </c>
      <c r="C504" s="4">
        <v>920.98638900000003</v>
      </c>
      <c r="D504" s="4">
        <v>1010.748474</v>
      </c>
      <c r="I504" s="3" t="s">
        <v>113</v>
      </c>
      <c r="J504" s="4">
        <v>884.57336399999997</v>
      </c>
      <c r="K504" s="4">
        <v>928.340149</v>
      </c>
      <c r="L504" s="4">
        <v>1010.38739</v>
      </c>
      <c r="M504" s="12"/>
      <c r="O504" s="3" t="s">
        <v>113</v>
      </c>
      <c r="P504" s="4">
        <v>925.11785899999995</v>
      </c>
      <c r="Q504" s="4">
        <v>941.16503899999998</v>
      </c>
      <c r="R504" s="4">
        <v>918.61090100000001</v>
      </c>
      <c r="U504" s="3" t="s">
        <v>113</v>
      </c>
      <c r="V504" s="4">
        <v>998.147156</v>
      </c>
      <c r="W504" s="4">
        <v>907.16210899999999</v>
      </c>
      <c r="X504" s="4">
        <v>1084.451904</v>
      </c>
    </row>
    <row r="505" spans="1:24" x14ac:dyDescent="0.3">
      <c r="A505" s="3" t="s">
        <v>115</v>
      </c>
      <c r="B505" s="4">
        <v>1021.4169920000001</v>
      </c>
      <c r="C505" s="4">
        <v>1029.0471190000001</v>
      </c>
      <c r="D505" s="4">
        <v>1332.5032960000001</v>
      </c>
      <c r="I505" s="3" t="s">
        <v>115</v>
      </c>
      <c r="J505" s="4">
        <v>1021.4169920000001</v>
      </c>
      <c r="K505" s="4">
        <v>1022.843628</v>
      </c>
      <c r="L505" s="4">
        <v>804.73028599999998</v>
      </c>
      <c r="M505" s="12"/>
      <c r="O505" s="3" t="s">
        <v>115</v>
      </c>
      <c r="P505" s="4">
        <v>1054.6507570000001</v>
      </c>
      <c r="Q505" s="4">
        <v>1066.597534</v>
      </c>
      <c r="R505" s="4">
        <v>1205.630981</v>
      </c>
      <c r="U505" s="3" t="s">
        <v>115</v>
      </c>
      <c r="V505" s="4">
        <v>1097.855225</v>
      </c>
      <c r="W505" s="4">
        <v>1025.920288</v>
      </c>
      <c r="X505" s="4">
        <v>1354.958374</v>
      </c>
    </row>
    <row r="506" spans="1:24" x14ac:dyDescent="0.3">
      <c r="A506" s="3" t="s">
        <v>117</v>
      </c>
      <c r="B506" s="4">
        <v>939.84814500000005</v>
      </c>
      <c r="C506" s="4">
        <v>1009.486755</v>
      </c>
      <c r="D506" s="4">
        <v>1109.1999510000001</v>
      </c>
      <c r="I506" s="3" t="s">
        <v>117</v>
      </c>
      <c r="J506" s="4">
        <v>939.84814500000005</v>
      </c>
      <c r="K506" s="4">
        <v>979.59704599999998</v>
      </c>
      <c r="L506" s="4">
        <v>1068.4554439999999</v>
      </c>
      <c r="M506" s="12"/>
      <c r="O506" s="3" t="s">
        <v>117</v>
      </c>
      <c r="P506" s="4">
        <v>786.18695100000002</v>
      </c>
      <c r="Q506" s="4">
        <v>1015.179504</v>
      </c>
      <c r="R506" s="4">
        <v>1136.952393</v>
      </c>
      <c r="U506" s="3" t="s">
        <v>117</v>
      </c>
      <c r="V506" s="4">
        <v>1105.2827150000001</v>
      </c>
      <c r="W506" s="4">
        <v>986.74224900000002</v>
      </c>
      <c r="X506" s="4">
        <v>1003.586731</v>
      </c>
    </row>
    <row r="507" spans="1:24" x14ac:dyDescent="0.3">
      <c r="A507" s="3" t="s">
        <v>119</v>
      </c>
      <c r="B507" s="4">
        <v>973.45745799999997</v>
      </c>
      <c r="C507" s="4">
        <v>1023.5859380000001</v>
      </c>
      <c r="D507" s="4">
        <v>1139.794678</v>
      </c>
      <c r="I507" s="3" t="s">
        <v>119</v>
      </c>
      <c r="J507" s="4">
        <v>973.45745799999997</v>
      </c>
      <c r="K507" s="4">
        <v>1019.048401</v>
      </c>
      <c r="L507" s="4">
        <v>1119.9693600000001</v>
      </c>
      <c r="M507" s="12"/>
      <c r="O507" s="3" t="s">
        <v>119</v>
      </c>
      <c r="P507" s="4">
        <v>1213.747437</v>
      </c>
      <c r="Q507" s="4">
        <v>1030.222168</v>
      </c>
      <c r="R507" s="4">
        <v>913.86047399999995</v>
      </c>
      <c r="U507" s="3" t="s">
        <v>119</v>
      </c>
      <c r="V507" s="4">
        <v>1034.174072</v>
      </c>
      <c r="W507" s="4">
        <v>1009.494873</v>
      </c>
      <c r="X507" s="4">
        <v>1251.726318</v>
      </c>
    </row>
    <row r="508" spans="1:24" x14ac:dyDescent="0.3">
      <c r="A508" s="3" t="s">
        <v>121</v>
      </c>
      <c r="B508" s="4">
        <v>1010.680054</v>
      </c>
      <c r="C508" s="4">
        <v>1068.928345</v>
      </c>
      <c r="D508" s="4">
        <v>1250.4702150000001</v>
      </c>
      <c r="I508" s="3" t="s">
        <v>121</v>
      </c>
      <c r="J508" s="4">
        <v>1010.680054</v>
      </c>
      <c r="K508" s="4">
        <v>1056.6529539999999</v>
      </c>
      <c r="L508" s="4">
        <v>927.14019800000005</v>
      </c>
      <c r="M508" s="12"/>
      <c r="O508" s="3" t="s">
        <v>121</v>
      </c>
      <c r="P508" s="4">
        <v>972.96911599999999</v>
      </c>
      <c r="Q508" s="4">
        <v>1068.9151609999999</v>
      </c>
      <c r="R508" s="4">
        <v>955.53649900000005</v>
      </c>
      <c r="U508" s="3" t="s">
        <v>121</v>
      </c>
      <c r="V508" s="4">
        <v>1239.397461</v>
      </c>
      <c r="W508" s="4">
        <v>1022.197815</v>
      </c>
      <c r="X508" s="4">
        <v>1055.2320560000001</v>
      </c>
    </row>
    <row r="509" spans="1:24" x14ac:dyDescent="0.3">
      <c r="A509" s="3" t="s">
        <v>123</v>
      </c>
      <c r="B509" s="4">
        <v>975.62261999999998</v>
      </c>
      <c r="C509" s="4">
        <v>1016.541138</v>
      </c>
      <c r="D509" s="4">
        <v>981.20733600000005</v>
      </c>
      <c r="I509" s="3" t="s">
        <v>123</v>
      </c>
      <c r="J509" s="4">
        <v>975.62261999999998</v>
      </c>
      <c r="K509" s="4">
        <v>1016.4537350000001</v>
      </c>
      <c r="L509" s="4">
        <v>1245.7711179999999</v>
      </c>
      <c r="M509" s="12"/>
      <c r="O509" s="3" t="s">
        <v>123</v>
      </c>
      <c r="P509" s="4">
        <v>1233.838135</v>
      </c>
      <c r="Q509" s="4">
        <v>1029.0557859999999</v>
      </c>
      <c r="R509" s="4">
        <v>1130.4075929999999</v>
      </c>
      <c r="U509" s="3" t="s">
        <v>123</v>
      </c>
      <c r="V509" s="4">
        <v>1023.145142</v>
      </c>
      <c r="W509" s="4">
        <v>1001.953308</v>
      </c>
      <c r="X509" s="4">
        <v>1117.8095699999999</v>
      </c>
    </row>
    <row r="510" spans="1:24" x14ac:dyDescent="0.3">
      <c r="A510" s="3" t="s">
        <v>125</v>
      </c>
      <c r="B510" s="4">
        <v>1035.6282960000001</v>
      </c>
      <c r="C510" s="4">
        <v>1067.5063479999999</v>
      </c>
      <c r="D510" s="4">
        <v>976.62823500000002</v>
      </c>
      <c r="I510" s="3" t="s">
        <v>125</v>
      </c>
      <c r="J510" s="4">
        <v>1035.6282960000001</v>
      </c>
      <c r="K510" s="4">
        <v>1071.3294679999999</v>
      </c>
      <c r="L510" s="4">
        <v>1105.7799070000001</v>
      </c>
      <c r="M510" s="12"/>
      <c r="O510" s="3" t="s">
        <v>125</v>
      </c>
      <c r="P510" s="4">
        <v>1181.9099120000001</v>
      </c>
      <c r="Q510" s="4">
        <v>1086.7607419999999</v>
      </c>
      <c r="R510" s="4">
        <v>964.18658400000004</v>
      </c>
      <c r="U510" s="3" t="s">
        <v>125</v>
      </c>
      <c r="V510" s="4">
        <v>1125.5775149999999</v>
      </c>
      <c r="W510" s="4">
        <v>1064.051514</v>
      </c>
      <c r="X510" s="4">
        <v>1126.6954350000001</v>
      </c>
    </row>
    <row r="511" spans="1:24" x14ac:dyDescent="0.3">
      <c r="A511" s="3" t="s">
        <v>127</v>
      </c>
      <c r="B511" s="4">
        <v>1028.378052</v>
      </c>
      <c r="C511" s="4">
        <v>1082.9754640000001</v>
      </c>
      <c r="D511" s="4">
        <v>1018.681152</v>
      </c>
      <c r="I511" s="3" t="s">
        <v>127</v>
      </c>
      <c r="J511" s="4">
        <v>1028.378052</v>
      </c>
      <c r="K511" s="4">
        <v>1042.0086670000001</v>
      </c>
      <c r="L511" s="4">
        <v>984.990723</v>
      </c>
      <c r="M511" s="12"/>
      <c r="O511" s="3" t="s">
        <v>127</v>
      </c>
      <c r="P511" s="4">
        <v>1237.369995</v>
      </c>
      <c r="Q511" s="4">
        <v>1051.363525</v>
      </c>
      <c r="R511" s="4">
        <v>1173.9967039999999</v>
      </c>
      <c r="U511" s="3" t="s">
        <v>127</v>
      </c>
      <c r="V511" s="4">
        <v>1211.2216800000001</v>
      </c>
      <c r="W511" s="4">
        <v>1074.488525</v>
      </c>
      <c r="X511" s="4">
        <v>1302.1591800000001</v>
      </c>
    </row>
    <row r="512" spans="1:24" x14ac:dyDescent="0.3">
      <c r="A512" s="3" t="s">
        <v>129</v>
      </c>
      <c r="B512" s="4">
        <v>984.82006799999999</v>
      </c>
      <c r="C512" s="4">
        <v>1031.5447999999999</v>
      </c>
      <c r="D512" s="4">
        <v>1029.3000489999999</v>
      </c>
      <c r="I512" s="3" t="s">
        <v>129</v>
      </c>
      <c r="J512" s="4">
        <v>984.82006799999999</v>
      </c>
      <c r="K512" s="4">
        <v>1011.360596</v>
      </c>
      <c r="L512" s="4">
        <v>1103.2048339999999</v>
      </c>
      <c r="M512" s="12"/>
      <c r="O512" s="3" t="s">
        <v>129</v>
      </c>
      <c r="P512" s="4">
        <v>892.23498500000005</v>
      </c>
      <c r="Q512" s="4">
        <v>1043.5395510000001</v>
      </c>
      <c r="R512" s="4">
        <v>1222.706909</v>
      </c>
      <c r="U512" s="3" t="s">
        <v>129</v>
      </c>
      <c r="V512" s="4">
        <v>940.29504399999996</v>
      </c>
      <c r="W512" s="4">
        <v>1037.2308350000001</v>
      </c>
      <c r="X512" s="4">
        <v>1072.8101810000001</v>
      </c>
    </row>
    <row r="513" spans="1:24" x14ac:dyDescent="0.3">
      <c r="A513" s="3" t="s">
        <v>131</v>
      </c>
      <c r="B513" s="4">
        <v>1011.275879</v>
      </c>
      <c r="C513" s="4">
        <v>1058.80188</v>
      </c>
      <c r="D513" s="4">
        <v>1229.788086</v>
      </c>
      <c r="I513" s="3" t="s">
        <v>131</v>
      </c>
      <c r="J513" s="4">
        <v>1011.275879</v>
      </c>
      <c r="K513" s="4">
        <v>1036.397095</v>
      </c>
      <c r="L513" s="4">
        <v>1030.006226</v>
      </c>
      <c r="M513" s="12"/>
      <c r="O513" s="3" t="s">
        <v>131</v>
      </c>
      <c r="P513" s="4">
        <v>1133.6293949999999</v>
      </c>
      <c r="Q513" s="4">
        <v>1066.0820309999999</v>
      </c>
      <c r="R513" s="4">
        <v>1142.8172609999999</v>
      </c>
      <c r="U513" s="3" t="s">
        <v>131</v>
      </c>
      <c r="V513" s="4">
        <v>1343.4017329999999</v>
      </c>
      <c r="W513" s="4">
        <v>1073.9876710000001</v>
      </c>
      <c r="X513" s="4">
        <v>1181.8236079999999</v>
      </c>
    </row>
    <row r="514" spans="1:24" x14ac:dyDescent="0.3">
      <c r="A514" s="3" t="s">
        <v>133</v>
      </c>
      <c r="B514" s="4">
        <v>1039.1492920000001</v>
      </c>
      <c r="C514" s="4">
        <v>1066.7554929999999</v>
      </c>
      <c r="D514" s="4">
        <v>891.06256099999996</v>
      </c>
      <c r="I514" s="3" t="s">
        <v>133</v>
      </c>
      <c r="J514" s="4">
        <v>1039.1492920000001</v>
      </c>
      <c r="K514" s="4">
        <v>1063.3481449999999</v>
      </c>
      <c r="L514" s="4">
        <v>1037.244263</v>
      </c>
      <c r="M514" s="12"/>
      <c r="O514" s="3" t="s">
        <v>133</v>
      </c>
      <c r="P514" s="4">
        <v>1118.836914</v>
      </c>
      <c r="Q514" s="4">
        <v>1084.159302</v>
      </c>
      <c r="R514" s="4">
        <v>1309.400024</v>
      </c>
      <c r="U514" s="3" t="s">
        <v>133</v>
      </c>
      <c r="V514" s="4">
        <v>1051.1264650000001</v>
      </c>
      <c r="W514" s="4">
        <v>1074.0157469999999</v>
      </c>
      <c r="X514" s="4">
        <v>1309.4748540000001</v>
      </c>
    </row>
    <row r="515" spans="1:24" x14ac:dyDescent="0.3">
      <c r="A515" s="3" t="s">
        <v>135</v>
      </c>
      <c r="B515" s="4">
        <v>747.21997099999999</v>
      </c>
      <c r="C515" s="4">
        <v>820.71569799999997</v>
      </c>
      <c r="D515" s="4">
        <v>715.47619599999996</v>
      </c>
      <c r="I515" s="3" t="s">
        <v>135</v>
      </c>
      <c r="J515" s="4">
        <v>747.21997099999999</v>
      </c>
      <c r="K515" s="4">
        <v>777.97167999999999</v>
      </c>
      <c r="L515" s="4">
        <v>675.18188499999997</v>
      </c>
      <c r="M515" s="12"/>
      <c r="O515" s="3" t="s">
        <v>135</v>
      </c>
      <c r="P515" s="4">
        <v>715.47619599999996</v>
      </c>
      <c r="Q515" s="4">
        <v>815.72100799999998</v>
      </c>
      <c r="R515" s="4">
        <v>715.47619599999996</v>
      </c>
      <c r="U515" s="3" t="s">
        <v>135</v>
      </c>
      <c r="V515" s="4">
        <v>675.18188499999997</v>
      </c>
      <c r="W515" s="4">
        <v>770.05487100000005</v>
      </c>
      <c r="X515" s="4">
        <v>675.18188499999997</v>
      </c>
    </row>
    <row r="516" spans="1:24" x14ac:dyDescent="0.3">
      <c r="A516" s="3" t="s">
        <v>137</v>
      </c>
      <c r="B516" s="4">
        <v>851.78186000000005</v>
      </c>
      <c r="C516" s="4">
        <v>892.30895999999996</v>
      </c>
      <c r="D516" s="4">
        <v>1027.5391850000001</v>
      </c>
      <c r="I516" s="3" t="s">
        <v>137</v>
      </c>
      <c r="J516" s="4">
        <v>851.78186000000005</v>
      </c>
      <c r="K516" s="4">
        <v>873.48095699999999</v>
      </c>
      <c r="L516" s="4">
        <v>996.850281</v>
      </c>
      <c r="M516" s="12"/>
      <c r="O516" s="3" t="s">
        <v>137</v>
      </c>
      <c r="P516" s="4">
        <v>969.53546100000005</v>
      </c>
      <c r="Q516" s="4">
        <v>894.92797900000005</v>
      </c>
      <c r="R516" s="4">
        <v>915.73278800000003</v>
      </c>
      <c r="U516" s="3" t="s">
        <v>137</v>
      </c>
      <c r="V516" s="4">
        <v>956.126892</v>
      </c>
      <c r="W516" s="4">
        <v>868.03100600000005</v>
      </c>
      <c r="X516" s="4">
        <v>851.64569100000006</v>
      </c>
    </row>
    <row r="517" spans="1:24" x14ac:dyDescent="0.3">
      <c r="A517" s="3" t="s">
        <v>139</v>
      </c>
      <c r="B517" s="4">
        <v>874.46337900000003</v>
      </c>
      <c r="C517" s="4">
        <v>926.60736099999997</v>
      </c>
      <c r="D517" s="4">
        <v>1074.665405</v>
      </c>
      <c r="I517" s="3" t="s">
        <v>139</v>
      </c>
      <c r="J517" s="4">
        <v>874.46337900000003</v>
      </c>
      <c r="K517" s="4">
        <v>882.702271</v>
      </c>
      <c r="L517" s="4">
        <v>941.198669</v>
      </c>
      <c r="M517" s="12"/>
      <c r="O517" s="3" t="s">
        <v>139</v>
      </c>
      <c r="P517" s="4">
        <v>1010.1060179999999</v>
      </c>
      <c r="Q517" s="4">
        <v>921.72778300000004</v>
      </c>
      <c r="R517" s="4">
        <v>779.42895499999997</v>
      </c>
      <c r="U517" s="3" t="s">
        <v>139</v>
      </c>
      <c r="V517" s="4">
        <v>737.42932099999996</v>
      </c>
      <c r="W517" s="4">
        <v>904.77563499999997</v>
      </c>
      <c r="X517" s="4">
        <v>1042.072144</v>
      </c>
    </row>
    <row r="518" spans="1:24" x14ac:dyDescent="0.3">
      <c r="A518" s="3" t="s">
        <v>141</v>
      </c>
      <c r="B518" s="4">
        <v>918.71032700000001</v>
      </c>
      <c r="C518" s="4">
        <v>970.87023899999997</v>
      </c>
      <c r="D518" s="4">
        <v>963.56317100000001</v>
      </c>
      <c r="I518" s="3" t="s">
        <v>141</v>
      </c>
      <c r="J518" s="4">
        <v>918.71032700000001</v>
      </c>
      <c r="K518" s="4">
        <v>939.51544200000001</v>
      </c>
      <c r="L518" s="4">
        <v>980.66870100000006</v>
      </c>
      <c r="M518" s="12"/>
      <c r="O518" s="3" t="s">
        <v>141</v>
      </c>
      <c r="P518" s="4">
        <v>1042.2357179999999</v>
      </c>
      <c r="Q518" s="4">
        <v>959.17230199999995</v>
      </c>
      <c r="R518" s="4">
        <v>1030.1311040000001</v>
      </c>
      <c r="U518" s="3" t="s">
        <v>141</v>
      </c>
      <c r="V518" s="4">
        <v>771.23333700000001</v>
      </c>
      <c r="W518" s="4">
        <v>938.35589600000003</v>
      </c>
      <c r="X518" s="4">
        <v>1117.11499</v>
      </c>
    </row>
    <row r="519" spans="1:24" x14ac:dyDescent="0.3">
      <c r="A519" s="3" t="s">
        <v>143</v>
      </c>
      <c r="B519" s="4">
        <v>858.74645999999996</v>
      </c>
      <c r="C519" s="4">
        <v>897.49298099999999</v>
      </c>
      <c r="D519" s="4">
        <v>986.16876200000002</v>
      </c>
      <c r="I519" s="3" t="s">
        <v>143</v>
      </c>
      <c r="J519" s="4">
        <v>858.74645999999996</v>
      </c>
      <c r="K519" s="4">
        <v>890.564392</v>
      </c>
      <c r="L519" s="4">
        <v>951.29797399999995</v>
      </c>
      <c r="M519" s="12"/>
      <c r="O519" s="3" t="s">
        <v>143</v>
      </c>
      <c r="P519" s="4">
        <v>724.77337599999998</v>
      </c>
      <c r="Q519" s="4">
        <v>898.11370799999997</v>
      </c>
      <c r="R519" s="4">
        <v>1019.360291</v>
      </c>
      <c r="U519" s="3" t="s">
        <v>143</v>
      </c>
      <c r="V519" s="4">
        <v>891.54730199999995</v>
      </c>
      <c r="W519" s="4">
        <v>884.03991699999995</v>
      </c>
      <c r="X519" s="4">
        <v>973.92114300000003</v>
      </c>
    </row>
    <row r="520" spans="1:24" x14ac:dyDescent="0.3">
      <c r="A520" s="3" t="s">
        <v>145</v>
      </c>
      <c r="B520" s="4">
        <v>858.79730199999995</v>
      </c>
      <c r="C520" s="4">
        <v>937.00299099999995</v>
      </c>
      <c r="D520" s="4">
        <v>977.77844200000004</v>
      </c>
      <c r="I520" s="3" t="s">
        <v>145</v>
      </c>
      <c r="J520" s="4">
        <v>858.79730199999995</v>
      </c>
      <c r="K520" s="4">
        <v>884.35754399999996</v>
      </c>
      <c r="L520" s="4">
        <v>827.83734100000004</v>
      </c>
      <c r="M520" s="12"/>
      <c r="O520" s="3" t="s">
        <v>145</v>
      </c>
      <c r="P520" s="4">
        <v>1003.848999</v>
      </c>
      <c r="Q520" s="4">
        <v>913.38622999999995</v>
      </c>
      <c r="R520" s="4">
        <v>1068.856323</v>
      </c>
      <c r="U520" s="3" t="s">
        <v>145</v>
      </c>
      <c r="V520" s="4">
        <v>999.15118399999994</v>
      </c>
      <c r="W520" s="4">
        <v>877.19824200000005</v>
      </c>
      <c r="X520" s="4">
        <v>842.63629200000003</v>
      </c>
    </row>
    <row r="521" spans="1:24" x14ac:dyDescent="0.3">
      <c r="A521" s="3" t="s">
        <v>147</v>
      </c>
      <c r="B521" s="4">
        <v>830.99707000000001</v>
      </c>
      <c r="C521" s="4">
        <v>886.59399399999995</v>
      </c>
      <c r="D521" s="4">
        <v>738.66156000000001</v>
      </c>
      <c r="I521" s="3" t="s">
        <v>147</v>
      </c>
      <c r="J521" s="4">
        <v>830.99707000000001</v>
      </c>
      <c r="K521" s="4">
        <v>863.00518799999998</v>
      </c>
      <c r="L521" s="4">
        <v>997.613831</v>
      </c>
      <c r="M521" s="12"/>
      <c r="O521" s="3" t="s">
        <v>147</v>
      </c>
      <c r="P521" s="4">
        <v>912.29418899999996</v>
      </c>
      <c r="Q521" s="4">
        <v>857.00299099999995</v>
      </c>
      <c r="R521" s="4">
        <v>734.90704300000004</v>
      </c>
      <c r="U521" s="3" t="s">
        <v>147</v>
      </c>
      <c r="V521" s="4">
        <v>806.87255900000002</v>
      </c>
      <c r="W521" s="4">
        <v>846.94012499999997</v>
      </c>
      <c r="X521" s="4">
        <v>958.73223900000005</v>
      </c>
    </row>
    <row r="522" spans="1:24" x14ac:dyDescent="0.3">
      <c r="A522" s="3" t="s">
        <v>149</v>
      </c>
      <c r="B522" s="4">
        <v>838.00146500000005</v>
      </c>
      <c r="C522" s="4">
        <v>901.73828100000003</v>
      </c>
      <c r="D522" s="4">
        <v>779.63732900000002</v>
      </c>
      <c r="I522" s="3" t="s">
        <v>149</v>
      </c>
      <c r="J522" s="4">
        <v>838.00146500000005</v>
      </c>
      <c r="K522" s="4">
        <v>853.23016399999995</v>
      </c>
      <c r="L522" s="4">
        <v>989.03479000000004</v>
      </c>
      <c r="M522" s="12"/>
      <c r="O522" s="3" t="s">
        <v>149</v>
      </c>
      <c r="P522" s="4">
        <v>788.67919900000004</v>
      </c>
      <c r="Q522" s="4">
        <v>900.65679899999998</v>
      </c>
      <c r="R522" s="4">
        <v>964.09075900000005</v>
      </c>
      <c r="U522" s="3" t="s">
        <v>149</v>
      </c>
      <c r="V522" s="4">
        <v>800.66619900000001</v>
      </c>
      <c r="W522" s="4">
        <v>865.02557400000001</v>
      </c>
      <c r="X522" s="4">
        <v>963.970642</v>
      </c>
    </row>
    <row r="523" spans="1:24" x14ac:dyDescent="0.3">
      <c r="A523" s="3" t="s">
        <v>151</v>
      </c>
      <c r="B523" s="4">
        <v>748.54431199999999</v>
      </c>
      <c r="C523" s="4">
        <v>826.51342799999998</v>
      </c>
      <c r="D523" s="4">
        <v>727.39782700000001</v>
      </c>
      <c r="I523" s="3" t="s">
        <v>151</v>
      </c>
      <c r="J523" s="4">
        <v>748.54431199999999</v>
      </c>
      <c r="K523" s="4">
        <v>764.23150599999997</v>
      </c>
      <c r="L523" s="4">
        <v>948.23290999999995</v>
      </c>
      <c r="M523" s="12"/>
      <c r="O523" s="3" t="s">
        <v>151</v>
      </c>
      <c r="P523" s="4">
        <v>694.89123500000005</v>
      </c>
      <c r="Q523" s="4">
        <v>795.16229199999998</v>
      </c>
      <c r="R523" s="4">
        <v>849.382385</v>
      </c>
      <c r="U523" s="3" t="s">
        <v>151</v>
      </c>
      <c r="V523" s="4">
        <v>907.27502400000003</v>
      </c>
      <c r="W523" s="4">
        <v>789.16986099999997</v>
      </c>
      <c r="X523" s="4">
        <v>881.33752400000003</v>
      </c>
    </row>
    <row r="524" spans="1:24" x14ac:dyDescent="0.3">
      <c r="A524" s="3" t="s">
        <v>153</v>
      </c>
      <c r="B524" s="4">
        <v>832.55505400000004</v>
      </c>
      <c r="C524" s="4">
        <v>888.65679899999998</v>
      </c>
      <c r="D524" s="4">
        <v>1032.0631100000001</v>
      </c>
      <c r="I524" s="3" t="s">
        <v>153</v>
      </c>
      <c r="J524" s="4">
        <v>832.55505400000004</v>
      </c>
      <c r="K524" s="4">
        <v>866.60827600000005</v>
      </c>
      <c r="L524" s="4">
        <v>1029.655884</v>
      </c>
      <c r="M524" s="12"/>
      <c r="O524" s="3" t="s">
        <v>153</v>
      </c>
      <c r="P524" s="4">
        <v>743.45745799999997</v>
      </c>
      <c r="Q524" s="4">
        <v>896.19500700000003</v>
      </c>
      <c r="R524" s="4">
        <v>903.24981700000001</v>
      </c>
      <c r="U524" s="3" t="s">
        <v>153</v>
      </c>
      <c r="V524" s="4">
        <v>919.58801300000005</v>
      </c>
      <c r="W524" s="4">
        <v>847.65954599999998</v>
      </c>
      <c r="X524" s="4">
        <v>705.54632600000002</v>
      </c>
    </row>
    <row r="525" spans="1:24" x14ac:dyDescent="0.3">
      <c r="A525" s="3" t="s">
        <v>155</v>
      </c>
      <c r="B525" s="4">
        <v>1070.4027100000001</v>
      </c>
      <c r="C525" s="4">
        <v>1122.2124020000001</v>
      </c>
      <c r="D525" s="4">
        <v>1347.3508300000001</v>
      </c>
      <c r="I525" s="3" t="s">
        <v>155</v>
      </c>
      <c r="J525" s="4">
        <v>1070.4027100000001</v>
      </c>
      <c r="K525" s="4">
        <v>1121.2689210000001</v>
      </c>
      <c r="L525" s="4">
        <v>1170.9228519999999</v>
      </c>
      <c r="M525" s="12"/>
      <c r="O525" s="3" t="s">
        <v>155</v>
      </c>
      <c r="P525" s="4">
        <v>965.48724400000003</v>
      </c>
      <c r="Q525" s="4">
        <v>1130.900269</v>
      </c>
      <c r="R525" s="4">
        <v>1114.806885</v>
      </c>
      <c r="U525" s="3" t="s">
        <v>155</v>
      </c>
      <c r="V525" s="4">
        <v>1244.180664</v>
      </c>
      <c r="W525" s="4">
        <v>1076.408203</v>
      </c>
      <c r="X525" s="4">
        <v>1181.182251</v>
      </c>
    </row>
    <row r="526" spans="1:24" x14ac:dyDescent="0.3">
      <c r="A526" s="3" t="s">
        <v>157</v>
      </c>
      <c r="B526" s="4">
        <v>1011.42395</v>
      </c>
      <c r="C526" s="4">
        <v>1045.6069339999999</v>
      </c>
      <c r="D526" s="4">
        <v>1314.0170900000001</v>
      </c>
      <c r="I526" s="3" t="s">
        <v>157</v>
      </c>
      <c r="J526" s="4">
        <v>1011.42395</v>
      </c>
      <c r="K526" s="4">
        <v>1052.6015620000001</v>
      </c>
      <c r="L526" s="4">
        <v>1079.489624</v>
      </c>
      <c r="M526" s="12"/>
      <c r="O526" s="3" t="s">
        <v>157</v>
      </c>
      <c r="P526" s="4">
        <v>1076.2322999999999</v>
      </c>
      <c r="Q526" s="4">
        <v>1046.0772710000001</v>
      </c>
      <c r="R526" s="4">
        <v>1006.431519</v>
      </c>
      <c r="U526" s="3" t="s">
        <v>157</v>
      </c>
      <c r="V526" s="4">
        <v>1195.9948730000001</v>
      </c>
      <c r="W526" s="4">
        <v>1018.019043</v>
      </c>
      <c r="X526" s="4">
        <v>1301.1990969999999</v>
      </c>
    </row>
    <row r="527" spans="1:24" x14ac:dyDescent="0.3">
      <c r="A527" s="3" t="s">
        <v>159</v>
      </c>
      <c r="B527" s="4">
        <v>953.14630099999999</v>
      </c>
      <c r="C527" s="4">
        <v>986.98071300000004</v>
      </c>
      <c r="D527" s="4">
        <v>1130.411255</v>
      </c>
      <c r="I527" s="3" t="s">
        <v>159</v>
      </c>
      <c r="J527" s="4">
        <v>953.14630099999999</v>
      </c>
      <c r="K527" s="4">
        <v>977.33203100000003</v>
      </c>
      <c r="L527" s="4">
        <v>1165.392822</v>
      </c>
      <c r="M527" s="12"/>
      <c r="O527" s="3" t="s">
        <v>159</v>
      </c>
      <c r="P527" s="4">
        <v>925.68261700000005</v>
      </c>
      <c r="Q527" s="4">
        <v>968.64001499999995</v>
      </c>
      <c r="R527" s="4">
        <v>1174.1439210000001</v>
      </c>
      <c r="U527" s="3" t="s">
        <v>159</v>
      </c>
      <c r="V527" s="4">
        <v>1110.153442</v>
      </c>
      <c r="W527" s="4">
        <v>957.92852800000003</v>
      </c>
      <c r="X527" s="4">
        <v>1097.241943</v>
      </c>
    </row>
    <row r="528" spans="1:24" x14ac:dyDescent="0.3">
      <c r="A528" s="3" t="s">
        <v>161</v>
      </c>
      <c r="B528" s="4">
        <v>1022.027161</v>
      </c>
      <c r="C528" s="4">
        <v>1072.5966800000001</v>
      </c>
      <c r="D528" s="4">
        <v>1138.960327</v>
      </c>
      <c r="I528" s="3" t="s">
        <v>161</v>
      </c>
      <c r="J528" s="4">
        <v>1022.027161</v>
      </c>
      <c r="K528" s="4">
        <v>1058.561768</v>
      </c>
      <c r="L528" s="4">
        <v>1114.329712</v>
      </c>
      <c r="M528" s="12"/>
      <c r="O528" s="3" t="s">
        <v>161</v>
      </c>
      <c r="P528" s="4">
        <v>1060.5383300000001</v>
      </c>
      <c r="Q528" s="4">
        <v>1067.1226810000001</v>
      </c>
      <c r="R528" s="4">
        <v>994.34741199999996</v>
      </c>
      <c r="U528" s="3" t="s">
        <v>161</v>
      </c>
      <c r="V528" s="4">
        <v>1090.275635</v>
      </c>
      <c r="W528" s="4">
        <v>1057.2626949999999</v>
      </c>
      <c r="X528" s="4">
        <v>1176.313232</v>
      </c>
    </row>
    <row r="529" spans="1:24" x14ac:dyDescent="0.3">
      <c r="A529" s="3" t="s">
        <v>163</v>
      </c>
      <c r="B529" s="4">
        <v>1011.451416</v>
      </c>
      <c r="C529" s="4">
        <v>1046.091187</v>
      </c>
      <c r="D529" s="4">
        <v>1061.407837</v>
      </c>
      <c r="I529" s="3" t="s">
        <v>163</v>
      </c>
      <c r="J529" s="4">
        <v>1011.451416</v>
      </c>
      <c r="K529" s="4">
        <v>1038.4782709999999</v>
      </c>
      <c r="L529" s="4">
        <v>1256.3546140000001</v>
      </c>
      <c r="M529" s="12"/>
      <c r="O529" s="3" t="s">
        <v>163</v>
      </c>
      <c r="P529" s="4">
        <v>1155.2802730000001</v>
      </c>
      <c r="Q529" s="4">
        <v>1023.306519</v>
      </c>
      <c r="R529" s="4">
        <v>991.45495600000004</v>
      </c>
      <c r="U529" s="3" t="s">
        <v>163</v>
      </c>
      <c r="V529" s="4">
        <v>972.80157499999996</v>
      </c>
      <c r="W529" s="4">
        <v>1026.565308</v>
      </c>
      <c r="X529" s="4">
        <v>1224.507202</v>
      </c>
    </row>
    <row r="530" spans="1:24" x14ac:dyDescent="0.3">
      <c r="A530" s="3" t="s">
        <v>165</v>
      </c>
      <c r="B530" s="4">
        <v>931.61773700000003</v>
      </c>
      <c r="C530" s="4">
        <v>951.49835199999995</v>
      </c>
      <c r="D530" s="4">
        <v>1019.716125</v>
      </c>
      <c r="I530" s="3" t="s">
        <v>165</v>
      </c>
      <c r="J530" s="4">
        <v>931.61773700000003</v>
      </c>
      <c r="K530" s="4">
        <v>948.41186500000003</v>
      </c>
      <c r="L530" s="4">
        <v>984.806152</v>
      </c>
      <c r="M530" s="12"/>
      <c r="O530" s="3" t="s">
        <v>165</v>
      </c>
      <c r="P530" s="4">
        <v>876.24603300000001</v>
      </c>
      <c r="Q530" s="4">
        <v>984.46185300000002</v>
      </c>
      <c r="R530" s="4">
        <v>982.18847700000003</v>
      </c>
      <c r="U530" s="3" t="s">
        <v>165</v>
      </c>
      <c r="V530" s="4">
        <v>1018.787048</v>
      </c>
      <c r="W530" s="4">
        <v>957.57336399999997</v>
      </c>
      <c r="X530" s="4">
        <v>984.35998500000005</v>
      </c>
    </row>
    <row r="531" spans="1:24" x14ac:dyDescent="0.3">
      <c r="A531" s="3" t="s">
        <v>167</v>
      </c>
      <c r="B531" s="4">
        <v>968.76995799999997</v>
      </c>
      <c r="C531" s="4">
        <v>983.75769000000003</v>
      </c>
      <c r="D531" s="4">
        <v>1143.900269</v>
      </c>
      <c r="I531" s="3" t="s">
        <v>167</v>
      </c>
      <c r="J531" s="4">
        <v>968.76995799999997</v>
      </c>
      <c r="K531" s="4">
        <v>988.16980000000001</v>
      </c>
      <c r="L531" s="4">
        <v>835.03008999999997</v>
      </c>
      <c r="M531" s="12"/>
      <c r="O531" s="3" t="s">
        <v>167</v>
      </c>
      <c r="P531" s="4">
        <v>1161.0271</v>
      </c>
      <c r="Q531" s="4">
        <v>1013.171509</v>
      </c>
      <c r="R531" s="4">
        <v>1024.7698969999999</v>
      </c>
      <c r="U531" s="3" t="s">
        <v>167</v>
      </c>
      <c r="V531" s="4">
        <v>1060.2174070000001</v>
      </c>
      <c r="W531" s="4">
        <v>987.89099099999999</v>
      </c>
      <c r="X531" s="4">
        <v>1173.5589600000001</v>
      </c>
    </row>
    <row r="532" spans="1:24" x14ac:dyDescent="0.3">
      <c r="A532" s="3" t="s">
        <v>169</v>
      </c>
      <c r="B532" s="4">
        <v>989.870361</v>
      </c>
      <c r="C532" s="4">
        <v>1026.5892329999999</v>
      </c>
      <c r="D532" s="4">
        <v>1023.144409</v>
      </c>
      <c r="I532" s="3" t="s">
        <v>169</v>
      </c>
      <c r="J532" s="4">
        <v>989.870361</v>
      </c>
      <c r="K532" s="4">
        <v>1013.8891599999999</v>
      </c>
      <c r="L532" s="4">
        <v>1117.8420410000001</v>
      </c>
      <c r="M532" s="12"/>
      <c r="O532" s="3" t="s">
        <v>169</v>
      </c>
      <c r="P532" s="4">
        <v>958.50897199999997</v>
      </c>
      <c r="Q532" s="4">
        <v>1040.98938</v>
      </c>
      <c r="R532" s="4">
        <v>1093.596558</v>
      </c>
      <c r="U532" s="3" t="s">
        <v>169</v>
      </c>
      <c r="V532" s="4">
        <v>1119.4539789999999</v>
      </c>
      <c r="W532" s="4">
        <v>1027.599365</v>
      </c>
      <c r="X532" s="4">
        <v>1112.5889890000001</v>
      </c>
    </row>
    <row r="533" spans="1:24" x14ac:dyDescent="0.3">
      <c r="A533" s="3" t="s">
        <v>171</v>
      </c>
      <c r="B533" s="4">
        <v>882.70043899999996</v>
      </c>
      <c r="C533" s="4">
        <v>970.49823000000004</v>
      </c>
      <c r="D533" s="4">
        <v>761.87579300000004</v>
      </c>
      <c r="I533" s="3" t="s">
        <v>171</v>
      </c>
      <c r="J533" s="4">
        <v>882.70043899999996</v>
      </c>
      <c r="K533" s="4">
        <v>914.11419699999999</v>
      </c>
      <c r="L533" s="4">
        <v>1087.86853</v>
      </c>
      <c r="M533" s="12"/>
      <c r="O533" s="3" t="s">
        <v>171</v>
      </c>
      <c r="P533" s="4">
        <v>1016.984253</v>
      </c>
      <c r="Q533" s="4">
        <v>935.42846699999996</v>
      </c>
      <c r="R533" s="4">
        <v>1047.5489500000001</v>
      </c>
      <c r="U533" s="3" t="s">
        <v>171</v>
      </c>
      <c r="V533" s="4">
        <v>1034.757568</v>
      </c>
      <c r="W533" s="4">
        <v>933.25958300000002</v>
      </c>
      <c r="X533" s="4">
        <v>723.51898200000005</v>
      </c>
    </row>
    <row r="534" spans="1:24" x14ac:dyDescent="0.3">
      <c r="A534" s="3" t="s">
        <v>173</v>
      </c>
      <c r="B534" s="4">
        <v>994.211365</v>
      </c>
      <c r="C534" s="4">
        <v>1003.80011</v>
      </c>
      <c r="D534" s="4">
        <v>982.54553199999998</v>
      </c>
      <c r="I534" s="3" t="s">
        <v>173</v>
      </c>
      <c r="J534" s="4">
        <v>994.211365</v>
      </c>
      <c r="K534" s="4">
        <v>1014.795471</v>
      </c>
      <c r="L534" s="4">
        <v>844.17114300000003</v>
      </c>
      <c r="M534" s="12"/>
      <c r="O534" s="3" t="s">
        <v>173</v>
      </c>
      <c r="P534" s="4">
        <v>1096.134033</v>
      </c>
      <c r="Q534" s="4">
        <v>1040.6064449999999</v>
      </c>
      <c r="R534" s="4">
        <v>1086.8582759999999</v>
      </c>
      <c r="U534" s="3" t="s">
        <v>173</v>
      </c>
      <c r="V534" s="4">
        <v>1193.084961</v>
      </c>
      <c r="W534" s="4">
        <v>1019.977173</v>
      </c>
      <c r="X534" s="4">
        <v>961.94390899999996</v>
      </c>
    </row>
    <row r="535" spans="1:24" x14ac:dyDescent="0.3">
      <c r="A535" s="3" t="s">
        <v>175</v>
      </c>
      <c r="B535" s="4">
        <v>968.78832999999997</v>
      </c>
      <c r="C535" s="4">
        <v>1033.213501</v>
      </c>
      <c r="D535" s="4">
        <v>1255.1049800000001</v>
      </c>
      <c r="I535" s="3" t="s">
        <v>175</v>
      </c>
      <c r="J535" s="4">
        <v>968.78832999999997</v>
      </c>
      <c r="K535" s="4">
        <v>992.41449</v>
      </c>
      <c r="L535" s="4">
        <v>999.96881099999996</v>
      </c>
      <c r="M535" s="12"/>
      <c r="O535" s="3" t="s">
        <v>175</v>
      </c>
      <c r="P535" s="4">
        <v>1204.193115</v>
      </c>
      <c r="Q535" s="4">
        <v>1024.690918</v>
      </c>
      <c r="R535" s="4">
        <v>1180.198486</v>
      </c>
      <c r="U535" s="3" t="s">
        <v>175</v>
      </c>
      <c r="V535" s="4">
        <v>1234.680664</v>
      </c>
      <c r="W535" s="4">
        <v>1012.363708</v>
      </c>
      <c r="X535" s="4">
        <v>1028.851807</v>
      </c>
    </row>
    <row r="536" spans="1:24" x14ac:dyDescent="0.3">
      <c r="A536" s="3" t="s">
        <v>177</v>
      </c>
      <c r="B536" s="4">
        <v>1102.1328120000001</v>
      </c>
      <c r="C536" s="4">
        <v>1115.3969729999999</v>
      </c>
      <c r="D536" s="4">
        <v>1010.104065</v>
      </c>
      <c r="I536" s="3" t="s">
        <v>177</v>
      </c>
      <c r="J536" s="4">
        <v>1102.1328120000001</v>
      </c>
      <c r="K536" s="4">
        <v>1101.884888</v>
      </c>
      <c r="L536" s="4">
        <v>1019.459778</v>
      </c>
      <c r="M536" s="12"/>
      <c r="O536" s="3" t="s">
        <v>177</v>
      </c>
      <c r="P536" s="4">
        <v>1379.149414</v>
      </c>
      <c r="Q536" s="4">
        <v>1142.8431399999999</v>
      </c>
      <c r="R536" s="4">
        <v>964.47241199999996</v>
      </c>
      <c r="U536" s="3" t="s">
        <v>177</v>
      </c>
      <c r="V536" s="4">
        <v>1291.6480710000001</v>
      </c>
      <c r="W536" s="4">
        <v>1125.4769289999999</v>
      </c>
      <c r="X536" s="4">
        <v>1304.1791989999999</v>
      </c>
    </row>
    <row r="537" spans="1:24" x14ac:dyDescent="0.3">
      <c r="A537" s="3" t="s">
        <v>179</v>
      </c>
      <c r="B537" s="4">
        <v>1040.7761230000001</v>
      </c>
      <c r="C537" s="4">
        <v>1056.9799800000001</v>
      </c>
      <c r="D537" s="4">
        <v>1240.708374</v>
      </c>
      <c r="I537" s="3" t="s">
        <v>179</v>
      </c>
      <c r="J537" s="4">
        <v>1040.7761230000001</v>
      </c>
      <c r="K537" s="4">
        <v>1077.6171879999999</v>
      </c>
      <c r="L537" s="4">
        <v>1171.6759030000001</v>
      </c>
      <c r="M537" s="12"/>
      <c r="O537" s="3" t="s">
        <v>179</v>
      </c>
      <c r="P537" s="4">
        <v>1223.657837</v>
      </c>
      <c r="Q537" s="4">
        <v>1074.8275149999999</v>
      </c>
      <c r="R537" s="4">
        <v>1198.237061</v>
      </c>
      <c r="U537" s="3" t="s">
        <v>179</v>
      </c>
      <c r="V537" s="4">
        <v>1140.44165</v>
      </c>
      <c r="W537" s="4">
        <v>1079.4099120000001</v>
      </c>
      <c r="X537" s="4">
        <v>1231.968384</v>
      </c>
    </row>
    <row r="538" spans="1:24" x14ac:dyDescent="0.3">
      <c r="A538" s="3" t="s">
        <v>181</v>
      </c>
      <c r="B538" s="4">
        <v>1031.7326660000001</v>
      </c>
      <c r="C538" s="4">
        <v>1088.1635739999999</v>
      </c>
      <c r="D538" s="4">
        <v>1106.7807620000001</v>
      </c>
      <c r="I538" s="3" t="s">
        <v>181</v>
      </c>
      <c r="J538" s="4">
        <v>1031.7326660000001</v>
      </c>
      <c r="K538" s="4">
        <v>1069.271362</v>
      </c>
      <c r="L538" s="4">
        <v>1313.6102289999999</v>
      </c>
      <c r="M538" s="12"/>
      <c r="O538" s="3" t="s">
        <v>181</v>
      </c>
      <c r="P538" s="4">
        <v>829.44000200000005</v>
      </c>
      <c r="Q538" s="4">
        <v>1106.67688</v>
      </c>
      <c r="R538" s="4">
        <v>1158.3735349999999</v>
      </c>
      <c r="U538" s="3" t="s">
        <v>181</v>
      </c>
      <c r="V538" s="4">
        <v>819.45245399999999</v>
      </c>
      <c r="W538" s="4">
        <v>1026.8546140000001</v>
      </c>
      <c r="X538" s="4">
        <v>1115.288818</v>
      </c>
    </row>
    <row r="539" spans="1:24" x14ac:dyDescent="0.3">
      <c r="A539" s="3" t="s">
        <v>183</v>
      </c>
      <c r="B539" s="4">
        <v>1067.8366699999999</v>
      </c>
      <c r="C539" s="4">
        <v>1083.470703</v>
      </c>
      <c r="D539" s="4">
        <v>1017.561279</v>
      </c>
      <c r="I539" s="3" t="s">
        <v>183</v>
      </c>
      <c r="J539" s="4">
        <v>1067.8366699999999</v>
      </c>
      <c r="K539" s="4">
        <v>1101.6235349999999</v>
      </c>
      <c r="L539" s="4">
        <v>1013.749634</v>
      </c>
      <c r="M539" s="12"/>
      <c r="O539" s="3" t="s">
        <v>183</v>
      </c>
      <c r="P539" s="4">
        <v>1243.6417240000001</v>
      </c>
      <c r="Q539" s="4">
        <v>1089.5349120000001</v>
      </c>
      <c r="R539" s="4">
        <v>1165.1954350000001</v>
      </c>
      <c r="U539" s="3" t="s">
        <v>183</v>
      </c>
      <c r="V539" s="4">
        <v>972.30029300000001</v>
      </c>
      <c r="W539" s="4">
        <v>1084.269043</v>
      </c>
      <c r="X539" s="4">
        <v>1267.513672</v>
      </c>
    </row>
    <row r="540" spans="1:24" x14ac:dyDescent="0.3">
      <c r="A540" s="3" t="s">
        <v>185</v>
      </c>
      <c r="B540" s="4">
        <v>1023.047791</v>
      </c>
      <c r="C540" s="4">
        <v>1069.395264</v>
      </c>
      <c r="D540" s="4">
        <v>1232.194336</v>
      </c>
      <c r="I540" s="3" t="s">
        <v>185</v>
      </c>
      <c r="J540" s="4">
        <v>1023.047791</v>
      </c>
      <c r="K540" s="4">
        <v>1051.5695800000001</v>
      </c>
      <c r="L540" s="4">
        <v>830.90258800000004</v>
      </c>
      <c r="M540" s="12"/>
      <c r="O540" s="3" t="s">
        <v>185</v>
      </c>
      <c r="P540" s="4">
        <v>1079.009399</v>
      </c>
      <c r="Q540" s="4">
        <v>1043.309448</v>
      </c>
      <c r="R540" s="4">
        <v>1242.961548</v>
      </c>
      <c r="U540" s="3" t="s">
        <v>185</v>
      </c>
      <c r="V540" s="4">
        <v>1073.0512699999999</v>
      </c>
      <c r="W540" s="4">
        <v>1053.1854249999999</v>
      </c>
      <c r="X540" s="4">
        <v>1164.237427</v>
      </c>
    </row>
    <row r="541" spans="1:24" x14ac:dyDescent="0.3">
      <c r="A541" s="3" t="s">
        <v>187</v>
      </c>
      <c r="B541" s="4">
        <v>1149.111572</v>
      </c>
      <c r="C541" s="4">
        <v>1178.0585940000001</v>
      </c>
      <c r="D541" s="4">
        <v>1095.1170649999999</v>
      </c>
      <c r="I541" s="3" t="s">
        <v>187</v>
      </c>
      <c r="J541" s="4">
        <v>1149.111572</v>
      </c>
      <c r="K541" s="4">
        <v>1174.101318</v>
      </c>
      <c r="L541" s="4">
        <v>1271.6999510000001</v>
      </c>
      <c r="M541" s="12"/>
      <c r="O541" s="3" t="s">
        <v>187</v>
      </c>
      <c r="P541" s="4">
        <v>1169.0554199999999</v>
      </c>
      <c r="Q541" s="4">
        <v>1170.8408199999999</v>
      </c>
      <c r="R541" s="4">
        <v>967.04461700000002</v>
      </c>
      <c r="U541" s="3" t="s">
        <v>187</v>
      </c>
      <c r="V541" s="4">
        <v>1436.6796879999999</v>
      </c>
      <c r="W541" s="4">
        <v>1191.55249</v>
      </c>
      <c r="X541" s="4">
        <v>1177.4372559999999</v>
      </c>
    </row>
    <row r="542" spans="1:24" x14ac:dyDescent="0.3">
      <c r="A542" s="3" t="s">
        <v>189</v>
      </c>
      <c r="B542" s="4">
        <v>996.77612299999998</v>
      </c>
      <c r="C542" s="4">
        <v>1015.8112180000001</v>
      </c>
      <c r="D542" s="4">
        <v>1256.3354489999999</v>
      </c>
      <c r="I542" s="3" t="s">
        <v>189</v>
      </c>
      <c r="J542" s="4">
        <v>996.77612299999998</v>
      </c>
      <c r="K542" s="4">
        <v>1023.57251</v>
      </c>
      <c r="L542" s="4">
        <v>997.12127699999996</v>
      </c>
      <c r="M542" s="12"/>
      <c r="O542" s="3" t="s">
        <v>189</v>
      </c>
      <c r="P542" s="4">
        <v>1078.397827</v>
      </c>
      <c r="Q542" s="4">
        <v>1032.6295170000001</v>
      </c>
      <c r="R542" s="4">
        <v>1095.068115</v>
      </c>
      <c r="U542" s="3" t="s">
        <v>189</v>
      </c>
      <c r="V542" s="4">
        <v>1223.6274410000001</v>
      </c>
      <c r="W542" s="4">
        <v>1019.003784</v>
      </c>
      <c r="X542" s="4">
        <v>1068.5363769999999</v>
      </c>
    </row>
    <row r="543" spans="1:24" x14ac:dyDescent="0.3">
      <c r="A543" s="3" t="s">
        <v>191</v>
      </c>
      <c r="B543" s="4">
        <v>985.70343000000003</v>
      </c>
      <c r="C543" s="4">
        <v>1002.562134</v>
      </c>
      <c r="D543" s="4">
        <v>1004.008423</v>
      </c>
      <c r="I543" s="3" t="s">
        <v>191</v>
      </c>
      <c r="J543" s="4">
        <v>985.70343000000003</v>
      </c>
      <c r="K543" s="4">
        <v>1012.381226</v>
      </c>
      <c r="L543" s="4">
        <v>1103.6324460000001</v>
      </c>
      <c r="M543" s="12"/>
      <c r="O543" s="3" t="s">
        <v>191</v>
      </c>
      <c r="P543" s="4">
        <v>970.73132299999997</v>
      </c>
      <c r="Q543" s="4">
        <v>1010.397888</v>
      </c>
      <c r="R543" s="4">
        <v>832.915344</v>
      </c>
      <c r="U543" s="3" t="s">
        <v>191</v>
      </c>
      <c r="V543" s="4">
        <v>1017.349182</v>
      </c>
      <c r="W543" s="4">
        <v>1025.869019</v>
      </c>
      <c r="X543" s="4">
        <v>1210.7791749999999</v>
      </c>
    </row>
    <row r="544" spans="1:24" x14ac:dyDescent="0.3">
      <c r="A544" s="3" t="s">
        <v>193</v>
      </c>
      <c r="B544" s="4">
        <v>1086.8801269999999</v>
      </c>
      <c r="C544" s="4">
        <v>1123.5529790000001</v>
      </c>
      <c r="D544" s="4">
        <v>1345.402832</v>
      </c>
      <c r="I544" s="3" t="s">
        <v>193</v>
      </c>
      <c r="J544" s="4">
        <v>1086.8801269999999</v>
      </c>
      <c r="K544" s="4">
        <v>1078.7775879999999</v>
      </c>
      <c r="L544" s="4">
        <v>1047.727173</v>
      </c>
      <c r="M544" s="12"/>
      <c r="O544" s="3" t="s">
        <v>193</v>
      </c>
      <c r="P544" s="4">
        <v>912.77899200000002</v>
      </c>
      <c r="Q544" s="4">
        <v>1127.857544</v>
      </c>
      <c r="R544" s="4">
        <v>1208.25</v>
      </c>
      <c r="U544" s="3" t="s">
        <v>193</v>
      </c>
      <c r="V544" s="4">
        <v>1078.2513429999999</v>
      </c>
      <c r="W544" s="4">
        <v>1109.491943</v>
      </c>
      <c r="X544" s="4">
        <v>1083.947388</v>
      </c>
    </row>
    <row r="545" spans="1:24" x14ac:dyDescent="0.3">
      <c r="A545" s="3" t="s">
        <v>195</v>
      </c>
      <c r="B545" s="4">
        <v>967.10290499999996</v>
      </c>
      <c r="C545" s="4">
        <v>997.74523899999997</v>
      </c>
      <c r="D545" s="4">
        <v>843.37664800000005</v>
      </c>
      <c r="I545" s="3" t="s">
        <v>195</v>
      </c>
      <c r="J545" s="4">
        <v>967.10290499999996</v>
      </c>
      <c r="K545" s="4">
        <v>969.35522500000002</v>
      </c>
      <c r="L545" s="4">
        <v>793.76568599999996</v>
      </c>
      <c r="M545" s="12"/>
      <c r="O545" s="3" t="s">
        <v>195</v>
      </c>
      <c r="P545" s="4">
        <v>836.50109899999995</v>
      </c>
      <c r="Q545" s="4">
        <v>1014.334961</v>
      </c>
      <c r="R545" s="4">
        <v>843.37664800000005</v>
      </c>
      <c r="U545" s="3" t="s">
        <v>195</v>
      </c>
      <c r="V545" s="4">
        <v>779.10699499999998</v>
      </c>
      <c r="W545" s="4">
        <v>982.74255400000004</v>
      </c>
      <c r="X545" s="4">
        <v>793.76568599999996</v>
      </c>
    </row>
    <row r="546" spans="1:24" x14ac:dyDescent="0.3">
      <c r="A546" s="3" t="s">
        <v>197</v>
      </c>
      <c r="B546" s="4">
        <v>894.31420900000001</v>
      </c>
      <c r="C546" s="4">
        <v>939.78497300000004</v>
      </c>
      <c r="D546" s="4">
        <v>1063.540405</v>
      </c>
      <c r="I546" s="3" t="s">
        <v>197</v>
      </c>
      <c r="J546" s="4">
        <v>894.31420900000001</v>
      </c>
      <c r="K546" s="4">
        <v>905.64276099999995</v>
      </c>
      <c r="L546" s="4">
        <v>997.76470900000004</v>
      </c>
      <c r="M546" s="12"/>
      <c r="O546" s="3" t="s">
        <v>197</v>
      </c>
      <c r="P546" s="4">
        <v>930.473389</v>
      </c>
      <c r="Q546" s="4">
        <v>935.97692900000004</v>
      </c>
      <c r="R546" s="4">
        <v>929.50598100000002</v>
      </c>
      <c r="U546" s="3" t="s">
        <v>197</v>
      </c>
      <c r="V546" s="4">
        <v>1011.520935</v>
      </c>
      <c r="W546" s="4">
        <v>888.31500200000005</v>
      </c>
      <c r="X546" s="4">
        <v>919.96038799999997</v>
      </c>
    </row>
    <row r="547" spans="1:24" x14ac:dyDescent="0.3">
      <c r="A547" s="3" t="s">
        <v>199</v>
      </c>
      <c r="B547" s="4">
        <v>924.524902</v>
      </c>
      <c r="C547" s="4">
        <v>968.83477800000003</v>
      </c>
      <c r="D547" s="4">
        <v>765.94049099999995</v>
      </c>
      <c r="I547" s="3" t="s">
        <v>199</v>
      </c>
      <c r="J547" s="4">
        <v>924.524902</v>
      </c>
      <c r="K547" s="4">
        <v>921.94665499999996</v>
      </c>
      <c r="L547" s="4">
        <v>759.69958499999996</v>
      </c>
      <c r="M547" s="12"/>
      <c r="O547" s="3" t="s">
        <v>199</v>
      </c>
      <c r="P547" s="4">
        <v>913.67767300000003</v>
      </c>
      <c r="Q547" s="4">
        <v>965.99408000000005</v>
      </c>
      <c r="R547" s="4">
        <v>1037.780029</v>
      </c>
      <c r="U547" s="3" t="s">
        <v>199</v>
      </c>
      <c r="V547" s="4">
        <v>1056.281616</v>
      </c>
      <c r="W547" s="4">
        <v>955.69061299999998</v>
      </c>
      <c r="X547" s="4">
        <v>1126.9197999999999</v>
      </c>
    </row>
    <row r="548" spans="1:24" x14ac:dyDescent="0.3">
      <c r="A548" s="3" t="s">
        <v>201</v>
      </c>
      <c r="B548" s="4">
        <v>973.05737299999998</v>
      </c>
      <c r="C548" s="4">
        <v>1029.9072269999999</v>
      </c>
      <c r="D548" s="4">
        <v>1126.313721</v>
      </c>
      <c r="I548" s="3" t="s">
        <v>201</v>
      </c>
      <c r="J548" s="4">
        <v>973.05737299999998</v>
      </c>
      <c r="K548" s="4">
        <v>1001.960754</v>
      </c>
      <c r="L548" s="4">
        <v>1145.429077</v>
      </c>
      <c r="M548" s="12"/>
      <c r="O548" s="3" t="s">
        <v>201</v>
      </c>
      <c r="P548" s="4">
        <v>1000.110962</v>
      </c>
      <c r="Q548" s="4">
        <v>1018.97229</v>
      </c>
      <c r="R548" s="4">
        <v>1151.9833980000001</v>
      </c>
      <c r="U548" s="3" t="s">
        <v>201</v>
      </c>
      <c r="V548" s="4">
        <v>1141.537842</v>
      </c>
      <c r="W548" s="4">
        <v>981.58081100000004</v>
      </c>
      <c r="X548" s="4">
        <v>946.80548099999999</v>
      </c>
    </row>
    <row r="549" spans="1:24" x14ac:dyDescent="0.3">
      <c r="A549" s="3" t="s">
        <v>203</v>
      </c>
      <c r="B549" s="4">
        <v>913.91119400000002</v>
      </c>
      <c r="C549" s="4">
        <v>963.53533900000002</v>
      </c>
      <c r="D549" s="4">
        <v>997.25769000000003</v>
      </c>
      <c r="I549" s="3" t="s">
        <v>203</v>
      </c>
      <c r="J549" s="4">
        <v>913.91119400000002</v>
      </c>
      <c r="K549" s="4">
        <v>927.36645499999997</v>
      </c>
      <c r="L549" s="4">
        <v>876.67181400000004</v>
      </c>
      <c r="M549" s="12"/>
      <c r="O549" s="3" t="s">
        <v>203</v>
      </c>
      <c r="P549" s="4">
        <v>1034.0688479999999</v>
      </c>
      <c r="Q549" s="4">
        <v>968.14813200000003</v>
      </c>
      <c r="R549" s="4">
        <v>1081.940918</v>
      </c>
      <c r="U549" s="3" t="s">
        <v>203</v>
      </c>
      <c r="V549" s="4">
        <v>957.33306900000002</v>
      </c>
      <c r="W549" s="4">
        <v>936.79089399999998</v>
      </c>
      <c r="X549" s="4">
        <v>969.20739700000001</v>
      </c>
    </row>
    <row r="550" spans="1:24" x14ac:dyDescent="0.3">
      <c r="A550" s="3" t="s">
        <v>205</v>
      </c>
      <c r="B550" s="4">
        <v>942.10369900000001</v>
      </c>
      <c r="C550" s="4">
        <v>996.11206100000004</v>
      </c>
      <c r="D550" s="4">
        <v>905.017517</v>
      </c>
      <c r="I550" s="3" t="s">
        <v>205</v>
      </c>
      <c r="J550" s="4">
        <v>942.10369900000001</v>
      </c>
      <c r="K550" s="4">
        <v>969.45989999999995</v>
      </c>
      <c r="L550" s="4">
        <v>1054.5722659999999</v>
      </c>
      <c r="M550" s="12"/>
      <c r="O550" s="3" t="s">
        <v>205</v>
      </c>
      <c r="P550" s="4">
        <v>1018.241211</v>
      </c>
      <c r="Q550" s="4">
        <v>983.00543200000004</v>
      </c>
      <c r="R550" s="4">
        <v>1119.9516599999999</v>
      </c>
      <c r="U550" s="3" t="s">
        <v>205</v>
      </c>
      <c r="V550" s="4">
        <v>1086.919189</v>
      </c>
      <c r="W550" s="4">
        <v>969.40216099999998</v>
      </c>
      <c r="X550" s="4">
        <v>982.54821800000002</v>
      </c>
    </row>
    <row r="551" spans="1:24" x14ac:dyDescent="0.3">
      <c r="A551" s="3" t="s">
        <v>207</v>
      </c>
      <c r="B551" s="4">
        <v>849.70019500000001</v>
      </c>
      <c r="C551" s="4">
        <v>887.34478799999999</v>
      </c>
      <c r="D551" s="4">
        <v>980.39465299999995</v>
      </c>
      <c r="I551" s="3" t="s">
        <v>207</v>
      </c>
      <c r="J551" s="4">
        <v>849.70019500000001</v>
      </c>
      <c r="K551" s="4">
        <v>848.43988000000002</v>
      </c>
      <c r="L551" s="4">
        <v>958.26531999999997</v>
      </c>
      <c r="M551" s="12"/>
      <c r="O551" s="3" t="s">
        <v>207</v>
      </c>
      <c r="P551" s="4">
        <v>938.59204099999999</v>
      </c>
      <c r="Q551" s="4">
        <v>902.66351299999997</v>
      </c>
      <c r="R551" s="4">
        <v>976.07470699999999</v>
      </c>
      <c r="U551" s="3" t="s">
        <v>207</v>
      </c>
      <c r="V551" s="4">
        <v>747.33575399999995</v>
      </c>
      <c r="W551" s="4">
        <v>866.86029099999996</v>
      </c>
      <c r="X551" s="4">
        <v>924.97601299999997</v>
      </c>
    </row>
    <row r="552" spans="1:24" x14ac:dyDescent="0.3">
      <c r="A552" s="3" t="s">
        <v>209</v>
      </c>
      <c r="B552" s="4">
        <v>863.71014400000001</v>
      </c>
      <c r="C552" s="4">
        <v>906.162781</v>
      </c>
      <c r="D552" s="4">
        <v>1047.4610600000001</v>
      </c>
      <c r="I552" s="3" t="s">
        <v>209</v>
      </c>
      <c r="J552" s="4">
        <v>863.71014400000001</v>
      </c>
      <c r="K552" s="4">
        <v>875.13458300000002</v>
      </c>
      <c r="L552" s="4">
        <v>899.51525900000001</v>
      </c>
      <c r="M552" s="12"/>
      <c r="O552" s="3" t="s">
        <v>209</v>
      </c>
      <c r="P552" s="4">
        <v>1027.2955320000001</v>
      </c>
      <c r="Q552" s="4">
        <v>915.93603499999995</v>
      </c>
      <c r="R552" s="4">
        <v>999.45056199999999</v>
      </c>
      <c r="U552" s="3" t="s">
        <v>209</v>
      </c>
      <c r="V552" s="4">
        <v>910.11419699999999</v>
      </c>
      <c r="W552" s="4">
        <v>887.83960000000002</v>
      </c>
      <c r="X552" s="4">
        <v>708.60101299999997</v>
      </c>
    </row>
    <row r="553" spans="1:24" x14ac:dyDescent="0.3">
      <c r="A553" s="3" t="s">
        <v>211</v>
      </c>
      <c r="B553" s="4">
        <v>889.89453100000003</v>
      </c>
      <c r="C553" s="4">
        <v>951.12597700000003</v>
      </c>
      <c r="D553" s="4">
        <v>997.37579300000004</v>
      </c>
      <c r="I553" s="3" t="s">
        <v>211</v>
      </c>
      <c r="J553" s="4">
        <v>889.89453100000003</v>
      </c>
      <c r="K553" s="4">
        <v>899.43267800000001</v>
      </c>
      <c r="L553" s="4">
        <v>742.197632</v>
      </c>
      <c r="M553" s="12"/>
      <c r="O553" s="3" t="s">
        <v>211</v>
      </c>
      <c r="P553" s="4">
        <v>779.90490699999998</v>
      </c>
      <c r="Q553" s="4">
        <v>934.06030299999998</v>
      </c>
      <c r="R553" s="4">
        <v>1044.764893</v>
      </c>
      <c r="U553" s="3" t="s">
        <v>211</v>
      </c>
      <c r="V553" s="4">
        <v>898.44042999999999</v>
      </c>
      <c r="W553" s="4">
        <v>897.13671899999997</v>
      </c>
      <c r="X553" s="4">
        <v>936.89825399999995</v>
      </c>
    </row>
    <row r="554" spans="1:24" x14ac:dyDescent="0.3">
      <c r="A554" s="3" t="s">
        <v>213</v>
      </c>
      <c r="B554" s="4">
        <v>925.47296100000005</v>
      </c>
      <c r="C554" s="4">
        <v>965.68725600000005</v>
      </c>
      <c r="D554" s="4">
        <v>1070.981567</v>
      </c>
      <c r="I554" s="3" t="s">
        <v>213</v>
      </c>
      <c r="J554" s="4">
        <v>925.47296100000005</v>
      </c>
      <c r="K554" s="4">
        <v>954.80334500000004</v>
      </c>
      <c r="L554" s="4">
        <v>989.40112299999998</v>
      </c>
      <c r="M554" s="12"/>
      <c r="O554" s="3" t="s">
        <v>213</v>
      </c>
      <c r="P554" s="4">
        <v>1095.106567</v>
      </c>
      <c r="Q554" s="4">
        <v>978.32641599999999</v>
      </c>
      <c r="R554" s="4">
        <v>896.57794200000001</v>
      </c>
      <c r="U554" s="3" t="s">
        <v>213</v>
      </c>
      <c r="V554" s="4">
        <v>1074.4864500000001</v>
      </c>
      <c r="W554" s="4">
        <v>942.801331</v>
      </c>
      <c r="X554" s="4">
        <v>1053.6116939999999</v>
      </c>
    </row>
    <row r="555" spans="1:24" x14ac:dyDescent="0.3">
      <c r="A555" s="3" t="s">
        <v>215</v>
      </c>
      <c r="B555" s="4">
        <v>997.26342799999998</v>
      </c>
      <c r="C555" s="4">
        <v>1026.4251710000001</v>
      </c>
      <c r="D555" s="4">
        <v>912.89209000000005</v>
      </c>
      <c r="I555" s="3" t="s">
        <v>215</v>
      </c>
      <c r="J555" s="4">
        <v>997.26342799999998</v>
      </c>
      <c r="K555" s="4">
        <v>1024.5610349999999</v>
      </c>
      <c r="L555" s="4">
        <v>1146.8811040000001</v>
      </c>
      <c r="M555" s="12"/>
      <c r="O555" s="3" t="s">
        <v>215</v>
      </c>
      <c r="P555" s="4">
        <v>1123.449341</v>
      </c>
      <c r="Q555" s="4">
        <v>1044.397217</v>
      </c>
      <c r="R555" s="4">
        <v>1207.8355710000001</v>
      </c>
      <c r="U555" s="3" t="s">
        <v>215</v>
      </c>
      <c r="V555" s="4">
        <v>903.35723900000005</v>
      </c>
      <c r="W555" s="4">
        <v>1026.8332519999999</v>
      </c>
      <c r="X555" s="4">
        <v>1246.7954099999999</v>
      </c>
    </row>
    <row r="556" spans="1:24" x14ac:dyDescent="0.3">
      <c r="A556" s="3" t="s">
        <v>217</v>
      </c>
      <c r="B556" s="4">
        <v>1030.3835449999999</v>
      </c>
      <c r="C556" s="4">
        <v>1061.6099850000001</v>
      </c>
      <c r="D556" s="4">
        <v>1186.633057</v>
      </c>
      <c r="I556" s="3" t="s">
        <v>217</v>
      </c>
      <c r="J556" s="4">
        <v>1030.3835449999999</v>
      </c>
      <c r="K556" s="4">
        <v>1080.7100829999999</v>
      </c>
      <c r="L556" s="4">
        <v>906.47790499999996</v>
      </c>
      <c r="M556" s="12"/>
      <c r="O556" s="3" t="s">
        <v>217</v>
      </c>
      <c r="P556" s="4">
        <v>1155.3133539999999</v>
      </c>
      <c r="Q556" s="4">
        <v>1058.331177</v>
      </c>
      <c r="R556" s="4">
        <v>1100.86499</v>
      </c>
      <c r="U556" s="3" t="s">
        <v>217</v>
      </c>
      <c r="V556" s="4">
        <v>1100.2547609999999</v>
      </c>
      <c r="W556" s="4">
        <v>1074.994385</v>
      </c>
      <c r="X556" s="4">
        <v>1254.598755</v>
      </c>
    </row>
    <row r="557" spans="1:24" x14ac:dyDescent="0.3">
      <c r="A557" s="3" t="s">
        <v>219</v>
      </c>
      <c r="B557" s="4">
        <v>1044.0557859999999</v>
      </c>
      <c r="C557" s="4">
        <v>1075.7102050000001</v>
      </c>
      <c r="D557" s="4">
        <v>1222.0756839999999</v>
      </c>
      <c r="I557" s="3" t="s">
        <v>219</v>
      </c>
      <c r="J557" s="4">
        <v>1044.0557859999999</v>
      </c>
      <c r="K557" s="4">
        <v>1065.677856</v>
      </c>
      <c r="L557" s="4">
        <v>1249.4291989999999</v>
      </c>
      <c r="M557" s="12"/>
      <c r="O557" s="3" t="s">
        <v>219</v>
      </c>
      <c r="P557" s="4">
        <v>873.43322799999999</v>
      </c>
      <c r="Q557" s="4">
        <v>1099.541138</v>
      </c>
      <c r="R557" s="4">
        <v>945.98571800000002</v>
      </c>
      <c r="U557" s="3" t="s">
        <v>219</v>
      </c>
      <c r="V557" s="4">
        <v>1261.570923</v>
      </c>
      <c r="W557" s="4">
        <v>1073.1920170000001</v>
      </c>
      <c r="X557" s="4">
        <v>1249.6723629999999</v>
      </c>
    </row>
    <row r="558" spans="1:24" x14ac:dyDescent="0.3">
      <c r="A558" s="3" t="s">
        <v>221</v>
      </c>
      <c r="B558" s="4">
        <v>974.99578899999995</v>
      </c>
      <c r="C558" s="4">
        <v>1014.898132</v>
      </c>
      <c r="D558" s="4">
        <v>1068.7384030000001</v>
      </c>
      <c r="I558" s="3" t="s">
        <v>221</v>
      </c>
      <c r="J558" s="4">
        <v>974.99578899999995</v>
      </c>
      <c r="K558" s="4">
        <v>1009.826904</v>
      </c>
      <c r="L558" s="4">
        <v>850.92089799999997</v>
      </c>
      <c r="M558" s="12"/>
      <c r="O558" s="3" t="s">
        <v>221</v>
      </c>
      <c r="P558" s="4">
        <v>1124.283936</v>
      </c>
      <c r="Q558" s="4">
        <v>1027.7601320000001</v>
      </c>
      <c r="R558" s="4">
        <v>1168.2667240000001</v>
      </c>
      <c r="U558" s="3" t="s">
        <v>221</v>
      </c>
      <c r="V558" s="4">
        <v>1138.4023440000001</v>
      </c>
      <c r="W558" s="4">
        <v>998.55071999999996</v>
      </c>
      <c r="X558" s="4">
        <v>927.04516599999999</v>
      </c>
    </row>
    <row r="559" spans="1:24" x14ac:dyDescent="0.3">
      <c r="A559" s="3" t="s">
        <v>223</v>
      </c>
      <c r="B559" s="4">
        <v>1078.3093260000001</v>
      </c>
      <c r="C559" s="4">
        <v>1107.7854</v>
      </c>
      <c r="D559" s="4">
        <v>1296.890991</v>
      </c>
      <c r="I559" s="3" t="s">
        <v>223</v>
      </c>
      <c r="J559" s="4">
        <v>1078.3093260000001</v>
      </c>
      <c r="K559" s="4">
        <v>1089.7863769999999</v>
      </c>
      <c r="L559" s="4">
        <v>1210.274048</v>
      </c>
      <c r="M559" s="12"/>
      <c r="O559" s="3" t="s">
        <v>223</v>
      </c>
      <c r="P559" s="4">
        <v>1218.0836179999999</v>
      </c>
      <c r="Q559" s="4">
        <v>1118.029663</v>
      </c>
      <c r="R559" s="4">
        <v>1257.8752440000001</v>
      </c>
      <c r="U559" s="3" t="s">
        <v>223</v>
      </c>
      <c r="V559" s="4">
        <v>917.07647699999995</v>
      </c>
      <c r="W559" s="4">
        <v>1097.7928469999999</v>
      </c>
      <c r="X559" s="4">
        <v>1132.5527340000001</v>
      </c>
    </row>
    <row r="560" spans="1:24" x14ac:dyDescent="0.3">
      <c r="A560" s="3" t="s">
        <v>225</v>
      </c>
      <c r="B560" s="4">
        <v>981.44872999999995</v>
      </c>
      <c r="C560" s="4">
        <v>1035.462769</v>
      </c>
      <c r="D560" s="4">
        <v>906.89404300000001</v>
      </c>
      <c r="I560" s="3" t="s">
        <v>225</v>
      </c>
      <c r="J560" s="4">
        <v>981.44872999999995</v>
      </c>
      <c r="K560" s="4">
        <v>1026.2991939999999</v>
      </c>
      <c r="L560" s="4">
        <v>865.36956799999996</v>
      </c>
      <c r="M560" s="12"/>
      <c r="O560" s="3" t="s">
        <v>225</v>
      </c>
      <c r="P560" s="4">
        <v>1111.677856</v>
      </c>
      <c r="Q560" s="4">
        <v>1028.304443</v>
      </c>
      <c r="R560" s="4">
        <v>938.55212400000005</v>
      </c>
      <c r="U560" s="3" t="s">
        <v>225</v>
      </c>
      <c r="V560" s="4">
        <v>1004.9518430000001</v>
      </c>
      <c r="W560" s="4">
        <v>1017.264282</v>
      </c>
      <c r="X560" s="4">
        <v>1120.0908199999999</v>
      </c>
    </row>
    <row r="561" spans="1:24" x14ac:dyDescent="0.3">
      <c r="A561" s="3" t="s">
        <v>227</v>
      </c>
      <c r="B561" s="4">
        <v>964.27978499999995</v>
      </c>
      <c r="C561" s="4">
        <v>1009.368713</v>
      </c>
      <c r="D561" s="4">
        <v>1040.3572999999999</v>
      </c>
      <c r="I561" s="3" t="s">
        <v>227</v>
      </c>
      <c r="J561" s="4">
        <v>964.27978499999995</v>
      </c>
      <c r="K561" s="4">
        <v>989.33727999999996</v>
      </c>
      <c r="L561" s="4">
        <v>931.54699700000003</v>
      </c>
      <c r="M561" s="12"/>
      <c r="O561" s="3" t="s">
        <v>227</v>
      </c>
      <c r="P561" s="4">
        <v>1004.797241</v>
      </c>
      <c r="Q561" s="4">
        <v>1026.658447</v>
      </c>
      <c r="R561" s="4">
        <v>1164.1405030000001</v>
      </c>
      <c r="U561" s="3" t="s">
        <v>227</v>
      </c>
      <c r="V561" s="4">
        <v>942.80096400000002</v>
      </c>
      <c r="W561" s="4">
        <v>985.40478499999995</v>
      </c>
      <c r="X561" s="4">
        <v>1128.356567</v>
      </c>
    </row>
    <row r="562" spans="1:24" x14ac:dyDescent="0.3">
      <c r="A562" s="3" t="s">
        <v>229</v>
      </c>
      <c r="B562" s="4">
        <v>1051.4392089999999</v>
      </c>
      <c r="C562" s="4">
        <v>1053.958374</v>
      </c>
      <c r="D562" s="4">
        <v>1064.0792240000001</v>
      </c>
      <c r="I562" s="3" t="s">
        <v>229</v>
      </c>
      <c r="J562" s="4">
        <v>1051.4392089999999</v>
      </c>
      <c r="K562" s="4">
        <v>1034.858643</v>
      </c>
      <c r="L562" s="4">
        <v>1224.3005370000001</v>
      </c>
      <c r="M562" s="12"/>
      <c r="O562" s="3" t="s">
        <v>229</v>
      </c>
      <c r="P562" s="4">
        <v>1049.172607</v>
      </c>
      <c r="Q562" s="4">
        <v>1054.3161620000001</v>
      </c>
      <c r="R562" s="4">
        <v>1044.983154</v>
      </c>
      <c r="U562" s="3" t="s">
        <v>229</v>
      </c>
      <c r="V562" s="4">
        <v>846.65295400000002</v>
      </c>
      <c r="W562" s="4">
        <v>1040.4544679999999</v>
      </c>
      <c r="X562" s="4">
        <v>1234.6137699999999</v>
      </c>
    </row>
    <row r="563" spans="1:24" x14ac:dyDescent="0.3">
      <c r="A563" s="3" t="s">
        <v>231</v>
      </c>
      <c r="B563" s="4">
        <v>946.57067900000004</v>
      </c>
      <c r="C563" s="4">
        <v>995.66693099999998</v>
      </c>
      <c r="D563" s="4">
        <v>1155.006592</v>
      </c>
      <c r="I563" s="3" t="s">
        <v>231</v>
      </c>
      <c r="J563" s="4">
        <v>946.57067900000004</v>
      </c>
      <c r="K563" s="4">
        <v>996.79992700000003</v>
      </c>
      <c r="L563" s="4">
        <v>1164.9454350000001</v>
      </c>
      <c r="M563" s="12"/>
      <c r="O563" s="3" t="s">
        <v>231</v>
      </c>
      <c r="P563" s="4">
        <v>1157.730591</v>
      </c>
      <c r="Q563" s="4">
        <v>997.25714100000005</v>
      </c>
      <c r="R563" s="4">
        <v>980.847351</v>
      </c>
      <c r="U563" s="3" t="s">
        <v>231</v>
      </c>
      <c r="V563" s="4">
        <v>1031.529419</v>
      </c>
      <c r="W563" s="4">
        <v>943.13476600000001</v>
      </c>
      <c r="X563" s="4">
        <v>1093.373413</v>
      </c>
    </row>
    <row r="564" spans="1:24" x14ac:dyDescent="0.3">
      <c r="A564" s="3" t="s">
        <v>233</v>
      </c>
      <c r="B564" s="4">
        <v>988.76812700000005</v>
      </c>
      <c r="C564" s="4">
        <v>1027.197144</v>
      </c>
      <c r="D564" s="4">
        <v>1025.5543210000001</v>
      </c>
      <c r="I564" s="3" t="s">
        <v>233</v>
      </c>
      <c r="J564" s="4">
        <v>988.76812700000005</v>
      </c>
      <c r="K564" s="4">
        <v>1052.099365</v>
      </c>
      <c r="L564" s="4">
        <v>1099.9486079999999</v>
      </c>
      <c r="M564" s="12"/>
      <c r="O564" s="3" t="s">
        <v>233</v>
      </c>
      <c r="P564" s="4">
        <v>998.30456500000003</v>
      </c>
      <c r="Q564" s="4">
        <v>1057.6605219999999</v>
      </c>
      <c r="R564" s="4">
        <v>828.31518600000004</v>
      </c>
      <c r="U564" s="3" t="s">
        <v>233</v>
      </c>
      <c r="V564" s="4">
        <v>1187.2895510000001</v>
      </c>
      <c r="W564" s="4">
        <v>1049.6298830000001</v>
      </c>
      <c r="X564" s="4">
        <v>1213.597168</v>
      </c>
    </row>
    <row r="565" spans="1:24" x14ac:dyDescent="0.3">
      <c r="A565" s="3" t="s">
        <v>235</v>
      </c>
      <c r="B565" s="4">
        <v>1070.9417719999999</v>
      </c>
      <c r="C565" s="4">
        <v>1101.2620850000001</v>
      </c>
      <c r="D565" s="4">
        <v>1316.280029</v>
      </c>
      <c r="I565" s="3" t="s">
        <v>235</v>
      </c>
      <c r="J565" s="4">
        <v>1070.9417719999999</v>
      </c>
      <c r="K565" s="4">
        <v>1092.3271480000001</v>
      </c>
      <c r="L565" s="4">
        <v>1244.4613039999999</v>
      </c>
      <c r="M565" s="12"/>
      <c r="O565" s="3" t="s">
        <v>235</v>
      </c>
      <c r="P565" s="4">
        <v>1050.084351</v>
      </c>
      <c r="Q565" s="4">
        <v>1089.4261469999999</v>
      </c>
      <c r="R565" s="4">
        <v>1182.7164310000001</v>
      </c>
      <c r="U565" s="3" t="s">
        <v>235</v>
      </c>
      <c r="V565" s="4">
        <v>1157.3955080000001</v>
      </c>
      <c r="W565" s="4">
        <v>1127.2767329999999</v>
      </c>
      <c r="X565" s="4">
        <v>1091.6198730000001</v>
      </c>
    </row>
    <row r="566" spans="1:24" x14ac:dyDescent="0.3">
      <c r="A566" s="3" t="s">
        <v>237</v>
      </c>
      <c r="B566" s="4">
        <v>1089.5878909999999</v>
      </c>
      <c r="C566" s="4">
        <v>1121.518311</v>
      </c>
      <c r="D566" s="4">
        <v>1302.2495120000001</v>
      </c>
      <c r="I566" s="3" t="s">
        <v>237</v>
      </c>
      <c r="J566" s="4">
        <v>1089.5878909999999</v>
      </c>
      <c r="K566" s="4">
        <v>1102.1489260000001</v>
      </c>
      <c r="L566" s="4">
        <v>1077.183716</v>
      </c>
      <c r="M566" s="12"/>
      <c r="O566" s="3" t="s">
        <v>237</v>
      </c>
      <c r="P566" s="4">
        <v>1270.3781739999999</v>
      </c>
      <c r="Q566" s="4">
        <v>1145.7303469999999</v>
      </c>
      <c r="R566" s="4">
        <v>1339.3979489999999</v>
      </c>
      <c r="U566" s="3" t="s">
        <v>237</v>
      </c>
      <c r="V566" s="4">
        <v>1354.997437</v>
      </c>
      <c r="W566" s="4">
        <v>1127.1561280000001</v>
      </c>
      <c r="X566" s="4">
        <v>1242.505615</v>
      </c>
    </row>
    <row r="567" spans="1:24" x14ac:dyDescent="0.3">
      <c r="A567" s="3" t="s">
        <v>239</v>
      </c>
      <c r="B567" s="4">
        <v>1136.320068</v>
      </c>
      <c r="C567" s="4">
        <v>1164.193481</v>
      </c>
      <c r="D567" s="4">
        <v>953.33831799999996</v>
      </c>
      <c r="I567" s="3" t="s">
        <v>239</v>
      </c>
      <c r="J567" s="4">
        <v>1136.320068</v>
      </c>
      <c r="K567" s="4">
        <v>1143.275024</v>
      </c>
      <c r="L567" s="4">
        <v>1491.5498050000001</v>
      </c>
      <c r="M567" s="12"/>
      <c r="O567" s="3" t="s">
        <v>239</v>
      </c>
      <c r="P567" s="4">
        <v>1453.205811</v>
      </c>
      <c r="Q567" s="4">
        <v>1158.3320309999999</v>
      </c>
      <c r="R567" s="4">
        <v>1494.8291019999999</v>
      </c>
      <c r="U567" s="3" t="s">
        <v>239</v>
      </c>
      <c r="V567" s="4">
        <v>1122.9951169999999</v>
      </c>
      <c r="W567" s="4">
        <v>1143.9860839999999</v>
      </c>
      <c r="X567" s="4">
        <v>1498.115112</v>
      </c>
    </row>
    <row r="568" spans="1:24" x14ac:dyDescent="0.3">
      <c r="A568" s="3" t="s">
        <v>241</v>
      </c>
      <c r="B568" s="4">
        <v>1055.713379</v>
      </c>
      <c r="C568" s="4">
        <v>1078.7490230000001</v>
      </c>
      <c r="D568" s="4">
        <v>962.26678500000003</v>
      </c>
      <c r="I568" s="3" t="s">
        <v>241</v>
      </c>
      <c r="J568" s="4">
        <v>1055.713379</v>
      </c>
      <c r="K568" s="4">
        <v>1084.6872559999999</v>
      </c>
      <c r="L568" s="4">
        <v>1333.256226</v>
      </c>
      <c r="M568" s="12"/>
      <c r="O568" s="3" t="s">
        <v>241</v>
      </c>
      <c r="P568" s="4">
        <v>1205.821533</v>
      </c>
      <c r="Q568" s="4">
        <v>1087.0417480000001</v>
      </c>
      <c r="R568" s="4">
        <v>1168.320557</v>
      </c>
      <c r="U568" s="3" t="s">
        <v>241</v>
      </c>
      <c r="V568" s="4">
        <v>1283.784058</v>
      </c>
      <c r="W568" s="4">
        <v>1097.998169</v>
      </c>
      <c r="X568" s="4">
        <v>1325.13562</v>
      </c>
    </row>
    <row r="569" spans="1:24" x14ac:dyDescent="0.3">
      <c r="A569" s="3" t="s">
        <v>243</v>
      </c>
      <c r="B569" s="4">
        <v>1166.8808590000001</v>
      </c>
      <c r="C569" s="4">
        <v>1231.8317870000001</v>
      </c>
      <c r="D569" s="4">
        <v>1514.9414059999999</v>
      </c>
      <c r="I569" s="3" t="s">
        <v>243</v>
      </c>
      <c r="J569" s="4">
        <v>1166.8808590000001</v>
      </c>
      <c r="K569" s="4">
        <v>1222.6292719999999</v>
      </c>
      <c r="L569" s="4">
        <v>1340.3930660000001</v>
      </c>
      <c r="M569" s="12"/>
      <c r="O569" s="3" t="s">
        <v>243</v>
      </c>
      <c r="P569" s="4">
        <v>1368.169312</v>
      </c>
      <c r="Q569" s="4">
        <v>1225.9091800000001</v>
      </c>
      <c r="R569" s="4">
        <v>1070.643188</v>
      </c>
      <c r="U569" s="3" t="s">
        <v>243</v>
      </c>
      <c r="V569" s="4">
        <v>1118.256226</v>
      </c>
      <c r="W569" s="4">
        <v>1216.135376</v>
      </c>
      <c r="X569" s="4">
        <v>1581.02478</v>
      </c>
    </row>
    <row r="570" spans="1:24" x14ac:dyDescent="0.3">
      <c r="A570" s="3" t="s">
        <v>245</v>
      </c>
      <c r="B570" s="4">
        <v>1161.6685789999999</v>
      </c>
      <c r="C570" s="4">
        <v>1210.883423</v>
      </c>
      <c r="D570" s="4">
        <v>1591.674561</v>
      </c>
      <c r="I570" s="3" t="s">
        <v>245</v>
      </c>
      <c r="J570" s="4">
        <v>1161.6685789999999</v>
      </c>
      <c r="K570" s="4">
        <v>1207.5804439999999</v>
      </c>
      <c r="L570" s="4">
        <v>984.29400599999997</v>
      </c>
      <c r="M570" s="12"/>
      <c r="O570" s="3" t="s">
        <v>245</v>
      </c>
      <c r="P570" s="4">
        <v>954.63903800000003</v>
      </c>
      <c r="Q570" s="4">
        <v>1234.7727050000001</v>
      </c>
      <c r="R570" s="4">
        <v>1490.597168</v>
      </c>
      <c r="U570" s="3" t="s">
        <v>245</v>
      </c>
      <c r="V570" s="4">
        <v>1380.044678</v>
      </c>
      <c r="W570" s="4">
        <v>1212.5123289999999</v>
      </c>
      <c r="X570" s="4">
        <v>1465.075928</v>
      </c>
    </row>
    <row r="571" spans="1:24" x14ac:dyDescent="0.3">
      <c r="A571" s="3" t="s">
        <v>247</v>
      </c>
      <c r="B571" s="4">
        <v>1025.4229740000001</v>
      </c>
      <c r="C571" s="4">
        <v>1074.450439</v>
      </c>
      <c r="D571" s="4">
        <v>1077.89563</v>
      </c>
      <c r="I571" s="3" t="s">
        <v>247</v>
      </c>
      <c r="J571" s="4">
        <v>1025.4229740000001</v>
      </c>
      <c r="K571" s="4">
        <v>1062.734741</v>
      </c>
      <c r="L571" s="4">
        <v>1003.3403929999999</v>
      </c>
      <c r="M571" s="12"/>
      <c r="O571" s="3" t="s">
        <v>247</v>
      </c>
      <c r="P571" s="4">
        <v>1125.1008300000001</v>
      </c>
      <c r="Q571" s="4">
        <v>1078.8883060000001</v>
      </c>
      <c r="R571" s="4">
        <v>1298.0614009999999</v>
      </c>
      <c r="U571" s="3" t="s">
        <v>247</v>
      </c>
      <c r="V571" s="4">
        <v>1150.139404</v>
      </c>
      <c r="W571" s="4">
        <v>1077.7196039999999</v>
      </c>
      <c r="X571" s="4">
        <v>1302.0946039999999</v>
      </c>
    </row>
    <row r="572" spans="1:24" x14ac:dyDescent="0.3">
      <c r="A572" s="3" t="s">
        <v>249</v>
      </c>
      <c r="B572" s="4">
        <v>1109.891357</v>
      </c>
      <c r="C572" s="4">
        <v>1164.7573239999999</v>
      </c>
      <c r="D572" s="4">
        <v>1442.9963379999999</v>
      </c>
      <c r="I572" s="3" t="s">
        <v>249</v>
      </c>
      <c r="J572" s="4">
        <v>1109.891357</v>
      </c>
      <c r="K572" s="4">
        <v>1155.1701660000001</v>
      </c>
      <c r="L572" s="4">
        <v>1188.1313479999999</v>
      </c>
      <c r="M572" s="12"/>
      <c r="O572" s="3" t="s">
        <v>249</v>
      </c>
      <c r="P572" s="4">
        <v>1455.365112</v>
      </c>
      <c r="Q572" s="4">
        <v>1136.0760499999999</v>
      </c>
      <c r="R572" s="4">
        <v>1349.6920170000001</v>
      </c>
      <c r="U572" s="3" t="s">
        <v>249</v>
      </c>
      <c r="V572" s="4">
        <v>1311.1252440000001</v>
      </c>
      <c r="W572" s="4">
        <v>1149.102783</v>
      </c>
      <c r="X572" s="4">
        <v>1418.653198</v>
      </c>
    </row>
    <row r="573" spans="1:24" x14ac:dyDescent="0.3">
      <c r="A573" s="3" t="s">
        <v>251</v>
      </c>
      <c r="B573" s="4">
        <v>1092.8017580000001</v>
      </c>
      <c r="C573" s="4">
        <v>1166.5805660000001</v>
      </c>
      <c r="D573" s="4">
        <v>979.62548800000002</v>
      </c>
      <c r="I573" s="3" t="s">
        <v>251</v>
      </c>
      <c r="J573" s="4">
        <v>1092.8017580000001</v>
      </c>
      <c r="K573" s="4">
        <v>1120.2071530000001</v>
      </c>
      <c r="L573" s="4">
        <v>1362.221313</v>
      </c>
      <c r="M573" s="12"/>
      <c r="O573" s="3" t="s">
        <v>251</v>
      </c>
      <c r="P573" s="4">
        <v>970.21093800000006</v>
      </c>
      <c r="Q573" s="4">
        <v>1163.0548100000001</v>
      </c>
      <c r="R573" s="4">
        <v>1330.3764650000001</v>
      </c>
      <c r="U573" s="3" t="s">
        <v>251</v>
      </c>
      <c r="V573" s="4">
        <v>1095.521362</v>
      </c>
      <c r="W573" s="4">
        <v>1133.190918</v>
      </c>
      <c r="X573" s="4">
        <v>949.785889</v>
      </c>
    </row>
    <row r="574" spans="1:24" x14ac:dyDescent="0.3">
      <c r="A574" s="3" t="s">
        <v>253</v>
      </c>
      <c r="B574" s="4">
        <v>1150.7495120000001</v>
      </c>
      <c r="C574" s="4">
        <v>1201.7536620000001</v>
      </c>
      <c r="D574" s="4">
        <v>1553.1938479999999</v>
      </c>
      <c r="I574" s="3" t="s">
        <v>253</v>
      </c>
      <c r="J574" s="4">
        <v>1150.7495120000001</v>
      </c>
      <c r="K574" s="4">
        <v>1193.2734379999999</v>
      </c>
      <c r="L574" s="4">
        <v>1130.0489500000001</v>
      </c>
      <c r="M574" s="12"/>
      <c r="O574" s="3" t="s">
        <v>253</v>
      </c>
      <c r="P574" s="4">
        <v>924.42303500000003</v>
      </c>
      <c r="Q574" s="4">
        <v>1190.9174800000001</v>
      </c>
      <c r="R574" s="4">
        <v>1562.3862300000001</v>
      </c>
      <c r="U574" s="3" t="s">
        <v>253</v>
      </c>
      <c r="V574" s="4">
        <v>1496.682251</v>
      </c>
      <c r="W574" s="4">
        <v>1184.463745</v>
      </c>
      <c r="X574" s="4">
        <v>1084.908936</v>
      </c>
    </row>
    <row r="575" spans="1:24" x14ac:dyDescent="0.3">
      <c r="A575" s="3" t="s">
        <v>255</v>
      </c>
      <c r="B575" s="4">
        <v>989.39483600000005</v>
      </c>
      <c r="C575" s="4">
        <v>1029.7028809999999</v>
      </c>
      <c r="D575" s="4">
        <v>860.48821999999996</v>
      </c>
      <c r="I575" s="3" t="s">
        <v>255</v>
      </c>
      <c r="J575" s="4">
        <v>989.39483600000005</v>
      </c>
      <c r="K575" s="4">
        <v>1013.872009</v>
      </c>
      <c r="L575" s="4">
        <v>822.14190699999995</v>
      </c>
      <c r="M575" s="12"/>
      <c r="O575" s="3" t="s">
        <v>255</v>
      </c>
      <c r="P575" s="4">
        <v>859.60595699999999</v>
      </c>
      <c r="Q575" s="4">
        <v>1051.3756100000001</v>
      </c>
      <c r="R575" s="4">
        <v>860.48821999999996</v>
      </c>
      <c r="U575" s="3" t="s">
        <v>255</v>
      </c>
      <c r="V575" s="4">
        <v>818.17797900000005</v>
      </c>
      <c r="W575" s="4">
        <v>994.90521200000001</v>
      </c>
      <c r="X575" s="4">
        <v>822.14190699999995</v>
      </c>
    </row>
    <row r="576" spans="1:24" x14ac:dyDescent="0.3">
      <c r="A576" s="3" t="s">
        <v>257</v>
      </c>
      <c r="B576" s="4">
        <v>958.109375</v>
      </c>
      <c r="C576" s="4">
        <v>1010.942139</v>
      </c>
      <c r="D576" s="4">
        <v>1038.1553960000001</v>
      </c>
      <c r="I576" s="3" t="s">
        <v>257</v>
      </c>
      <c r="J576" s="4">
        <v>958.109375</v>
      </c>
      <c r="K576" s="4">
        <v>967.50408900000002</v>
      </c>
      <c r="L576" s="4">
        <v>833.69714399999998</v>
      </c>
      <c r="M576" s="12"/>
      <c r="O576" s="3" t="s">
        <v>257</v>
      </c>
      <c r="P576" s="4">
        <v>1008.423279</v>
      </c>
      <c r="Q576" s="4">
        <v>1006.660828</v>
      </c>
      <c r="R576" s="4">
        <v>1154.572876</v>
      </c>
      <c r="U576" s="3" t="s">
        <v>257</v>
      </c>
      <c r="V576" s="4">
        <v>1078.83313</v>
      </c>
      <c r="W576" s="4">
        <v>979.55639599999995</v>
      </c>
      <c r="X576" s="4">
        <v>1097.630737</v>
      </c>
    </row>
    <row r="577" spans="1:24" x14ac:dyDescent="0.3">
      <c r="A577" s="3" t="s">
        <v>259</v>
      </c>
      <c r="B577" s="4">
        <v>983.394226</v>
      </c>
      <c r="C577" s="4">
        <v>1011.5105589999999</v>
      </c>
      <c r="D577" s="4">
        <v>996.72174099999995</v>
      </c>
      <c r="I577" s="3" t="s">
        <v>259</v>
      </c>
      <c r="J577" s="4">
        <v>983.394226</v>
      </c>
      <c r="K577" s="4">
        <v>1008.706726</v>
      </c>
      <c r="L577" s="4">
        <v>1039.6922609999999</v>
      </c>
      <c r="M577" s="12"/>
      <c r="O577" s="3" t="s">
        <v>259</v>
      </c>
      <c r="P577" s="4">
        <v>921.69293200000004</v>
      </c>
      <c r="Q577" s="4">
        <v>1030.240967</v>
      </c>
      <c r="R577" s="4">
        <v>1166.097168</v>
      </c>
      <c r="U577" s="3" t="s">
        <v>259</v>
      </c>
      <c r="V577" s="4">
        <v>829.30712900000003</v>
      </c>
      <c r="W577" s="4">
        <v>969.76129200000003</v>
      </c>
      <c r="X577" s="4">
        <v>984.84136999999998</v>
      </c>
    </row>
    <row r="578" spans="1:24" x14ac:dyDescent="0.3">
      <c r="A578" s="3" t="s">
        <v>261</v>
      </c>
      <c r="B578" s="4">
        <v>924.55017099999998</v>
      </c>
      <c r="C578" s="4">
        <v>995.90124500000002</v>
      </c>
      <c r="D578" s="4">
        <v>1085.0585940000001</v>
      </c>
      <c r="I578" s="3" t="s">
        <v>261</v>
      </c>
      <c r="J578" s="4">
        <v>924.55017099999998</v>
      </c>
      <c r="K578" s="4">
        <v>950.37536599999999</v>
      </c>
      <c r="L578" s="4">
        <v>778.96582000000001</v>
      </c>
      <c r="M578" s="12"/>
      <c r="O578" s="3" t="s">
        <v>261</v>
      </c>
      <c r="P578" s="4">
        <v>1071.1860349999999</v>
      </c>
      <c r="Q578" s="4">
        <v>996.024719</v>
      </c>
      <c r="R578" s="4">
        <v>1065.395996</v>
      </c>
      <c r="U578" s="3" t="s">
        <v>261</v>
      </c>
      <c r="V578" s="4">
        <v>830.07220500000005</v>
      </c>
      <c r="W578" s="4">
        <v>943.78021200000001</v>
      </c>
      <c r="X578" s="4">
        <v>1045.511841</v>
      </c>
    </row>
    <row r="579" spans="1:24" x14ac:dyDescent="0.3">
      <c r="A579" s="3" t="s">
        <v>263</v>
      </c>
      <c r="B579" s="4">
        <v>973.24841300000003</v>
      </c>
      <c r="C579" s="4">
        <v>1019.43042</v>
      </c>
      <c r="D579" s="4">
        <v>1136.5478519999999</v>
      </c>
      <c r="I579" s="3" t="s">
        <v>263</v>
      </c>
      <c r="J579" s="4">
        <v>973.24841300000003</v>
      </c>
      <c r="K579" s="4">
        <v>1001.333923</v>
      </c>
      <c r="L579" s="4">
        <v>1016.462524</v>
      </c>
      <c r="M579" s="12"/>
      <c r="O579" s="3" t="s">
        <v>263</v>
      </c>
      <c r="P579" s="4">
        <v>971.09210199999995</v>
      </c>
      <c r="Q579" s="4">
        <v>1012.313843</v>
      </c>
      <c r="R579" s="4">
        <v>919.04180899999994</v>
      </c>
      <c r="U579" s="3" t="s">
        <v>263</v>
      </c>
      <c r="V579" s="4">
        <v>1092.9083250000001</v>
      </c>
      <c r="W579" s="4">
        <v>1004.160767</v>
      </c>
      <c r="X579" s="4">
        <v>869.64276099999995</v>
      </c>
    </row>
    <row r="580" spans="1:24" x14ac:dyDescent="0.3">
      <c r="A580" s="3" t="s">
        <v>265</v>
      </c>
      <c r="B580" s="4">
        <v>941.50958300000002</v>
      </c>
      <c r="C580" s="4">
        <v>1003.853394</v>
      </c>
      <c r="D580" s="4">
        <v>1136.1951899999999</v>
      </c>
      <c r="I580" s="3" t="s">
        <v>265</v>
      </c>
      <c r="J580" s="4">
        <v>941.50958300000002</v>
      </c>
      <c r="K580" s="4">
        <v>965.18951400000003</v>
      </c>
      <c r="L580" s="4">
        <v>1104.882202</v>
      </c>
      <c r="M580" s="12"/>
      <c r="O580" s="3" t="s">
        <v>265</v>
      </c>
      <c r="P580" s="4">
        <v>801.15979000000004</v>
      </c>
      <c r="Q580" s="4">
        <v>1013.219055</v>
      </c>
      <c r="R580" s="4">
        <v>1048.267822</v>
      </c>
      <c r="U580" s="3" t="s">
        <v>265</v>
      </c>
      <c r="V580" s="4">
        <v>1070.207764</v>
      </c>
      <c r="W580" s="4">
        <v>970.29211399999997</v>
      </c>
      <c r="X580" s="4">
        <v>1114.977905</v>
      </c>
    </row>
    <row r="581" spans="1:24" x14ac:dyDescent="0.3">
      <c r="A581" s="3" t="s">
        <v>267</v>
      </c>
      <c r="B581" s="4">
        <v>988.90533400000004</v>
      </c>
      <c r="C581" s="4">
        <v>1049.55603</v>
      </c>
      <c r="D581" s="4">
        <v>878.83673099999999</v>
      </c>
      <c r="I581" s="3" t="s">
        <v>267</v>
      </c>
      <c r="J581" s="4">
        <v>988.90533400000004</v>
      </c>
      <c r="K581" s="4">
        <v>1013.558899</v>
      </c>
      <c r="L581" s="4">
        <v>927.74005099999999</v>
      </c>
      <c r="M581" s="12"/>
      <c r="O581" s="3" t="s">
        <v>267</v>
      </c>
      <c r="P581" s="4">
        <v>1190.036255</v>
      </c>
      <c r="Q581" s="4">
        <v>1029.696899</v>
      </c>
      <c r="R581" s="4">
        <v>944.645081</v>
      </c>
      <c r="U581" s="3" t="s">
        <v>267</v>
      </c>
      <c r="V581" s="4">
        <v>832.82647699999995</v>
      </c>
      <c r="W581" s="4">
        <v>1012.074829</v>
      </c>
      <c r="X581" s="4">
        <v>1079.379639</v>
      </c>
    </row>
    <row r="582" spans="1:24" x14ac:dyDescent="0.3">
      <c r="A582" s="3" t="s">
        <v>269</v>
      </c>
      <c r="B582" s="4">
        <v>949.79840100000001</v>
      </c>
      <c r="C582" s="4">
        <v>995.05761700000005</v>
      </c>
      <c r="D582" s="4">
        <v>1122.5703120000001</v>
      </c>
      <c r="I582" s="3" t="s">
        <v>269</v>
      </c>
      <c r="J582" s="4">
        <v>949.79840100000001</v>
      </c>
      <c r="K582" s="4">
        <v>958.09942599999999</v>
      </c>
      <c r="L582" s="4">
        <v>803.07556199999999</v>
      </c>
      <c r="M582" s="12"/>
      <c r="O582" s="3" t="s">
        <v>269</v>
      </c>
      <c r="P582" s="4">
        <v>1122.123047</v>
      </c>
      <c r="Q582" s="4">
        <v>998.84375</v>
      </c>
      <c r="R582" s="4">
        <v>856.24017300000003</v>
      </c>
      <c r="U582" s="3" t="s">
        <v>269</v>
      </c>
      <c r="V582" s="4">
        <v>948.34729000000004</v>
      </c>
      <c r="W582" s="4">
        <v>970.500854</v>
      </c>
      <c r="X582" s="4">
        <v>922.92864999999995</v>
      </c>
    </row>
    <row r="583" spans="1:24" x14ac:dyDescent="0.3">
      <c r="A583" s="3" t="s">
        <v>271</v>
      </c>
      <c r="B583" s="4">
        <v>952.22113000000002</v>
      </c>
      <c r="C583" s="4">
        <v>1007.261719</v>
      </c>
      <c r="D583" s="4">
        <v>1142.7146</v>
      </c>
      <c r="I583" s="3" t="s">
        <v>271</v>
      </c>
      <c r="J583" s="4">
        <v>952.22113000000002</v>
      </c>
      <c r="K583" s="4">
        <v>981.47357199999999</v>
      </c>
      <c r="L583" s="4">
        <v>754.55291699999998</v>
      </c>
      <c r="M583" s="12"/>
      <c r="O583" s="3" t="s">
        <v>271</v>
      </c>
      <c r="P583" s="4">
        <v>854.24047900000005</v>
      </c>
      <c r="Q583" s="4">
        <v>996.75616500000001</v>
      </c>
      <c r="R583" s="4">
        <v>1120.0179439999999</v>
      </c>
      <c r="U583" s="3" t="s">
        <v>271</v>
      </c>
      <c r="V583" s="4">
        <v>1105.5269780000001</v>
      </c>
      <c r="W583" s="4">
        <v>968.08111599999995</v>
      </c>
      <c r="X583" s="4">
        <v>768.55389400000001</v>
      </c>
    </row>
    <row r="584" spans="1:24" x14ac:dyDescent="0.3">
      <c r="A584" s="3" t="s">
        <v>273</v>
      </c>
      <c r="B584" s="4">
        <v>989.233521</v>
      </c>
      <c r="C584" s="4">
        <v>1024.8781739999999</v>
      </c>
      <c r="D584" s="4">
        <v>956.21557600000006</v>
      </c>
      <c r="I584" s="3" t="s">
        <v>273</v>
      </c>
      <c r="J584" s="4">
        <v>989.233521</v>
      </c>
      <c r="K584" s="4">
        <v>1012.478638</v>
      </c>
      <c r="L584" s="4">
        <v>866.97851600000001</v>
      </c>
      <c r="M584" s="12"/>
      <c r="O584" s="3" t="s">
        <v>273</v>
      </c>
      <c r="P584" s="4">
        <v>1188.1507570000001</v>
      </c>
      <c r="Q584" s="4">
        <v>1036.973755</v>
      </c>
      <c r="R584" s="4">
        <v>1180.3626710000001</v>
      </c>
      <c r="U584" s="3" t="s">
        <v>273</v>
      </c>
      <c r="V584" s="4">
        <v>1119.557129</v>
      </c>
      <c r="W584" s="4">
        <v>1004.592834</v>
      </c>
      <c r="X584" s="4">
        <v>1119.5017089999999</v>
      </c>
    </row>
    <row r="585" spans="1:24" x14ac:dyDescent="0.3">
      <c r="A585" s="3" t="s">
        <v>275</v>
      </c>
      <c r="B585" s="4">
        <v>1084.2973629999999</v>
      </c>
      <c r="C585" s="4">
        <v>1138.2301030000001</v>
      </c>
      <c r="D585" s="4">
        <v>1299.4461670000001</v>
      </c>
      <c r="I585" s="3" t="s">
        <v>275</v>
      </c>
      <c r="J585" s="4">
        <v>1084.2973629999999</v>
      </c>
      <c r="K585" s="4">
        <v>1118.424438</v>
      </c>
      <c r="L585" s="4">
        <v>1014.754517</v>
      </c>
      <c r="M585" s="12"/>
      <c r="O585" s="3" t="s">
        <v>275</v>
      </c>
      <c r="P585" s="4">
        <v>1350.3238530000001</v>
      </c>
      <c r="Q585" s="4">
        <v>1129.7304690000001</v>
      </c>
      <c r="R585" s="4">
        <v>999.983521</v>
      </c>
      <c r="U585" s="3" t="s">
        <v>275</v>
      </c>
      <c r="V585" s="4">
        <v>1038.330811</v>
      </c>
      <c r="W585" s="4">
        <v>1129.2539059999999</v>
      </c>
      <c r="X585" s="4">
        <v>1095.6213379999999</v>
      </c>
    </row>
    <row r="586" spans="1:24" x14ac:dyDescent="0.3">
      <c r="A586" s="3" t="s">
        <v>277</v>
      </c>
      <c r="B586" s="4">
        <v>978.41937299999995</v>
      </c>
      <c r="C586" s="4">
        <v>1010.922607</v>
      </c>
      <c r="D586" s="4">
        <v>1234.862061</v>
      </c>
      <c r="I586" s="3" t="s">
        <v>277</v>
      </c>
      <c r="J586" s="4">
        <v>978.41937299999995</v>
      </c>
      <c r="K586" s="4">
        <v>1003.68396</v>
      </c>
      <c r="L586" s="4">
        <v>1098.1748050000001</v>
      </c>
      <c r="M586" s="12"/>
      <c r="O586" s="3" t="s">
        <v>277</v>
      </c>
      <c r="P586" s="4">
        <v>828.81841999999995</v>
      </c>
      <c r="Q586" s="4">
        <v>1052.8481449999999</v>
      </c>
      <c r="R586" s="4">
        <v>1203.1324460000001</v>
      </c>
      <c r="U586" s="3" t="s">
        <v>277</v>
      </c>
      <c r="V586" s="4">
        <v>788.81878700000004</v>
      </c>
      <c r="W586" s="4">
        <v>1029.7254640000001</v>
      </c>
      <c r="X586" s="4">
        <v>958.29986599999995</v>
      </c>
    </row>
    <row r="587" spans="1:24" x14ac:dyDescent="0.3">
      <c r="A587" s="3" t="s">
        <v>279</v>
      </c>
      <c r="B587" s="4">
        <v>1104.2052000000001</v>
      </c>
      <c r="C587" s="4">
        <v>1179.5954589999999</v>
      </c>
      <c r="D587" s="4">
        <v>972.27325399999995</v>
      </c>
      <c r="I587" s="3" t="s">
        <v>279</v>
      </c>
      <c r="J587" s="4">
        <v>1104.2052000000001</v>
      </c>
      <c r="K587" s="4">
        <v>1131.363159</v>
      </c>
      <c r="L587" s="4">
        <v>1095.565063</v>
      </c>
      <c r="M587" s="12"/>
      <c r="O587" s="3" t="s">
        <v>279</v>
      </c>
      <c r="P587" s="4">
        <v>1187.2607419999999</v>
      </c>
      <c r="Q587" s="4">
        <v>1166.3070070000001</v>
      </c>
      <c r="R587" s="4">
        <v>1340.1473390000001</v>
      </c>
      <c r="U587" s="3" t="s">
        <v>279</v>
      </c>
      <c r="V587" s="4">
        <v>1275.6602780000001</v>
      </c>
      <c r="W587" s="4">
        <v>1146.4957280000001</v>
      </c>
      <c r="X587" s="4">
        <v>878.16198699999995</v>
      </c>
    </row>
    <row r="588" spans="1:24" x14ac:dyDescent="0.3">
      <c r="A588" s="3" t="s">
        <v>281</v>
      </c>
      <c r="B588" s="4">
        <v>1052.3801269999999</v>
      </c>
      <c r="C588" s="4">
        <v>1084.477783</v>
      </c>
      <c r="D588" s="4">
        <v>1267.9677730000001</v>
      </c>
      <c r="I588" s="3" t="s">
        <v>281</v>
      </c>
      <c r="J588" s="4">
        <v>1052.3801269999999</v>
      </c>
      <c r="K588" s="4">
        <v>1094.220947</v>
      </c>
      <c r="L588" s="4">
        <v>1087.1464840000001</v>
      </c>
      <c r="M588" s="12"/>
      <c r="O588" s="3" t="s">
        <v>281</v>
      </c>
      <c r="P588" s="4">
        <v>1337.338379</v>
      </c>
      <c r="Q588" s="4">
        <v>1102.9792480000001</v>
      </c>
      <c r="R588" s="4">
        <v>1002.167419</v>
      </c>
      <c r="U588" s="3" t="s">
        <v>281</v>
      </c>
      <c r="V588" s="4">
        <v>1317.3801269999999</v>
      </c>
      <c r="W588" s="4">
        <v>1088.5633539999999</v>
      </c>
      <c r="X588" s="4">
        <v>1051.730957</v>
      </c>
    </row>
    <row r="589" spans="1:24" x14ac:dyDescent="0.3">
      <c r="A589" s="3" t="s">
        <v>283</v>
      </c>
      <c r="B589" s="4">
        <v>1011.2282709999999</v>
      </c>
      <c r="C589" s="4">
        <v>1046.912476</v>
      </c>
      <c r="D589" s="4">
        <v>1173.5582280000001</v>
      </c>
      <c r="I589" s="3" t="s">
        <v>283</v>
      </c>
      <c r="J589" s="4">
        <v>1011.2282709999999</v>
      </c>
      <c r="K589" s="4">
        <v>1048.671875</v>
      </c>
      <c r="L589" s="4">
        <v>1140.003418</v>
      </c>
      <c r="M589" s="12"/>
      <c r="O589" s="3" t="s">
        <v>283</v>
      </c>
      <c r="P589" s="4">
        <v>1092.8043210000001</v>
      </c>
      <c r="Q589" s="4">
        <v>1062.8009030000001</v>
      </c>
      <c r="R589" s="4">
        <v>1253.9174800000001</v>
      </c>
      <c r="U589" s="3" t="s">
        <v>283</v>
      </c>
      <c r="V589" s="4">
        <v>1246.040405</v>
      </c>
      <c r="W589" s="4">
        <v>1043.3645019999999</v>
      </c>
      <c r="X589" s="4">
        <v>943.297729</v>
      </c>
    </row>
    <row r="590" spans="1:24" x14ac:dyDescent="0.3">
      <c r="A590" s="3" t="s">
        <v>285</v>
      </c>
      <c r="B590" s="4">
        <v>1098.073975</v>
      </c>
      <c r="C590" s="4">
        <v>1133.4798579999999</v>
      </c>
      <c r="D590" s="4">
        <v>1027.9141850000001</v>
      </c>
      <c r="I590" s="3" t="s">
        <v>285</v>
      </c>
      <c r="J590" s="4">
        <v>1098.073975</v>
      </c>
      <c r="K590" s="4">
        <v>1080.993408</v>
      </c>
      <c r="L590" s="4">
        <v>868.98046899999997</v>
      </c>
      <c r="M590" s="12"/>
      <c r="O590" s="3" t="s">
        <v>285</v>
      </c>
      <c r="P590" s="4">
        <v>1183.736938</v>
      </c>
      <c r="Q590" s="4">
        <v>1146.831909</v>
      </c>
      <c r="R590" s="4">
        <v>897.48754899999994</v>
      </c>
      <c r="U590" s="3" t="s">
        <v>285</v>
      </c>
      <c r="V590" s="4">
        <v>1046.209106</v>
      </c>
      <c r="W590" s="4">
        <v>1113.533447</v>
      </c>
      <c r="X590" s="4">
        <v>1165.8895259999999</v>
      </c>
    </row>
    <row r="591" spans="1:24" x14ac:dyDescent="0.3">
      <c r="A591" s="3" t="s">
        <v>287</v>
      </c>
      <c r="B591" s="4">
        <v>1002.749207</v>
      </c>
      <c r="C591" s="4">
        <v>1058.607788</v>
      </c>
      <c r="D591" s="4">
        <v>1238.0795900000001</v>
      </c>
      <c r="I591" s="3" t="s">
        <v>287</v>
      </c>
      <c r="J591" s="4">
        <v>1002.749207</v>
      </c>
      <c r="K591" s="4">
        <v>1049.001221</v>
      </c>
      <c r="L591" s="4">
        <v>1098.9030760000001</v>
      </c>
      <c r="M591" s="12"/>
      <c r="O591" s="3" t="s">
        <v>287</v>
      </c>
      <c r="P591" s="4">
        <v>1219.986572</v>
      </c>
      <c r="Q591" s="4">
        <v>1049.996216</v>
      </c>
      <c r="R591" s="4">
        <v>1223.3481449999999</v>
      </c>
      <c r="U591" s="3" t="s">
        <v>287</v>
      </c>
      <c r="V591" s="4">
        <v>983.08136000000002</v>
      </c>
      <c r="W591" s="4">
        <v>1039.3275149999999</v>
      </c>
      <c r="X591" s="4">
        <v>867.52062999999998</v>
      </c>
    </row>
    <row r="592" spans="1:24" x14ac:dyDescent="0.3">
      <c r="A592" s="3" t="s">
        <v>289</v>
      </c>
      <c r="B592" s="4">
        <v>1085.960693</v>
      </c>
      <c r="C592" s="4">
        <v>1116.1123050000001</v>
      </c>
      <c r="D592" s="4">
        <v>1417.453491</v>
      </c>
      <c r="I592" s="3" t="s">
        <v>289</v>
      </c>
      <c r="J592" s="4">
        <v>1085.960693</v>
      </c>
      <c r="K592" s="4">
        <v>1116.2773440000001</v>
      </c>
      <c r="L592" s="4">
        <v>1018.161499</v>
      </c>
      <c r="M592" s="12"/>
      <c r="O592" s="3" t="s">
        <v>289</v>
      </c>
      <c r="P592" s="4">
        <v>1419.265625</v>
      </c>
      <c r="Q592" s="4">
        <v>1120.9520259999999</v>
      </c>
      <c r="R592" s="4">
        <v>1070.2647710000001</v>
      </c>
      <c r="U592" s="3" t="s">
        <v>289</v>
      </c>
      <c r="V592" s="4">
        <v>1015.408203</v>
      </c>
      <c r="W592" s="4">
        <v>1118.1164550000001</v>
      </c>
      <c r="X592" s="4">
        <v>1123.7563479999999</v>
      </c>
    </row>
    <row r="593" spans="1:24" x14ac:dyDescent="0.3">
      <c r="A593" s="3" t="s">
        <v>291</v>
      </c>
      <c r="B593" s="4">
        <v>1027.645264</v>
      </c>
      <c r="C593" s="4">
        <v>1097.5852050000001</v>
      </c>
      <c r="D593" s="4">
        <v>1167.996216</v>
      </c>
      <c r="I593" s="3" t="s">
        <v>291</v>
      </c>
      <c r="J593" s="4">
        <v>1027.645264</v>
      </c>
      <c r="K593" s="4">
        <v>1041.721558</v>
      </c>
      <c r="L593" s="4">
        <v>1233.1229249999999</v>
      </c>
      <c r="M593" s="12"/>
      <c r="O593" s="3" t="s">
        <v>291</v>
      </c>
      <c r="P593" s="4">
        <v>1166.1561280000001</v>
      </c>
      <c r="Q593" s="4">
        <v>1081.8975829999999</v>
      </c>
      <c r="R593" s="4">
        <v>1083.1342770000001</v>
      </c>
      <c r="U593" s="3" t="s">
        <v>291</v>
      </c>
      <c r="V593" s="4">
        <v>807.303223</v>
      </c>
      <c r="W593" s="4">
        <v>1066.4772949999999</v>
      </c>
      <c r="X593" s="4">
        <v>1244.406982</v>
      </c>
    </row>
    <row r="594" spans="1:24" x14ac:dyDescent="0.3">
      <c r="A594" s="3" t="s">
        <v>293</v>
      </c>
      <c r="B594" s="4">
        <v>1096.2033690000001</v>
      </c>
      <c r="C594" s="4">
        <v>1132.5371090000001</v>
      </c>
      <c r="D594" s="4">
        <v>1407.4562989999999</v>
      </c>
      <c r="I594" s="3" t="s">
        <v>293</v>
      </c>
      <c r="J594" s="4">
        <v>1096.2033690000001</v>
      </c>
      <c r="K594" s="4">
        <v>1116.8828120000001</v>
      </c>
      <c r="L594" s="4">
        <v>1326.333862</v>
      </c>
      <c r="M594" s="12"/>
      <c r="O594" s="3" t="s">
        <v>293</v>
      </c>
      <c r="P594" s="4">
        <v>1386.37085</v>
      </c>
      <c r="Q594" s="4">
        <v>1126.036621</v>
      </c>
      <c r="R594" s="4">
        <v>1046.974731</v>
      </c>
      <c r="U594" s="3" t="s">
        <v>293</v>
      </c>
      <c r="V594" s="4">
        <v>1067.9766850000001</v>
      </c>
      <c r="W594" s="4">
        <v>1120.5988769999999</v>
      </c>
      <c r="X594" s="4">
        <v>1387.932861</v>
      </c>
    </row>
    <row r="595" spans="1:24" x14ac:dyDescent="0.3">
      <c r="A595" s="3" t="s">
        <v>295</v>
      </c>
      <c r="B595" s="4">
        <v>1188.8735349999999</v>
      </c>
      <c r="C595" s="4">
        <v>1220.599976</v>
      </c>
      <c r="D595" s="4">
        <v>1436.5264890000001</v>
      </c>
      <c r="I595" s="3" t="s">
        <v>295</v>
      </c>
      <c r="J595" s="4">
        <v>1188.8735349999999</v>
      </c>
      <c r="K595" s="4">
        <v>1214.5576169999999</v>
      </c>
      <c r="L595" s="4">
        <v>1290.387573</v>
      </c>
      <c r="M595" s="12"/>
      <c r="O595" s="3" t="s">
        <v>295</v>
      </c>
      <c r="P595" s="4">
        <v>1257.518433</v>
      </c>
      <c r="Q595" s="4">
        <v>1224.018433</v>
      </c>
      <c r="R595" s="4">
        <v>1079.0395510000001</v>
      </c>
      <c r="U595" s="3" t="s">
        <v>295</v>
      </c>
      <c r="V595" s="4">
        <v>1443.161865</v>
      </c>
      <c r="W595" s="4">
        <v>1235.653687</v>
      </c>
      <c r="X595" s="4">
        <v>1596.3438719999999</v>
      </c>
    </row>
    <row r="596" spans="1:24" x14ac:dyDescent="0.3">
      <c r="A596" s="3" t="s">
        <v>297</v>
      </c>
      <c r="B596" s="4">
        <v>1111.2010499999999</v>
      </c>
      <c r="C596" s="4">
        <v>1180.3618160000001</v>
      </c>
      <c r="D596" s="4">
        <v>1121.7569579999999</v>
      </c>
      <c r="I596" s="3" t="s">
        <v>297</v>
      </c>
      <c r="J596" s="4">
        <v>1111.2010499999999</v>
      </c>
      <c r="K596" s="4">
        <v>1164.8603519999999</v>
      </c>
      <c r="L596" s="4">
        <v>1416.036865</v>
      </c>
      <c r="M596" s="12"/>
      <c r="O596" s="3" t="s">
        <v>297</v>
      </c>
      <c r="P596" s="4">
        <v>1382.8283690000001</v>
      </c>
      <c r="Q596" s="4">
        <v>1178.7542719999999</v>
      </c>
      <c r="R596" s="4">
        <v>1143.752808</v>
      </c>
      <c r="U596" s="3" t="s">
        <v>297</v>
      </c>
      <c r="V596" s="4">
        <v>929.72680700000001</v>
      </c>
      <c r="W596" s="4">
        <v>1188.4602050000001</v>
      </c>
      <c r="X596" s="4">
        <v>1149.1107179999999</v>
      </c>
    </row>
    <row r="597" spans="1:24" x14ac:dyDescent="0.3">
      <c r="A597" s="3" t="s">
        <v>299</v>
      </c>
      <c r="B597" s="4">
        <v>1160.5267329999999</v>
      </c>
      <c r="C597" s="4">
        <v>1197.708862</v>
      </c>
      <c r="D597" s="4">
        <v>1068.7775879999999</v>
      </c>
      <c r="I597" s="3" t="s">
        <v>299</v>
      </c>
      <c r="J597" s="4">
        <v>1160.5267329999999</v>
      </c>
      <c r="K597" s="4">
        <v>1205.012939</v>
      </c>
      <c r="L597" s="4">
        <v>1334.4820560000001</v>
      </c>
      <c r="M597" s="12"/>
      <c r="O597" s="3" t="s">
        <v>299</v>
      </c>
      <c r="P597" s="4">
        <v>1197.796509</v>
      </c>
      <c r="Q597" s="4">
        <v>1184.821899</v>
      </c>
      <c r="R597" s="4">
        <v>1141.1523440000001</v>
      </c>
      <c r="U597" s="3" t="s">
        <v>299</v>
      </c>
      <c r="V597" s="4">
        <v>1355.6263429999999</v>
      </c>
      <c r="W597" s="4">
        <v>1181.1107179999999</v>
      </c>
      <c r="X597" s="4">
        <v>1496.3585210000001</v>
      </c>
    </row>
    <row r="598" spans="1:24" x14ac:dyDescent="0.3">
      <c r="A598" s="3" t="s">
        <v>301</v>
      </c>
      <c r="B598" s="4">
        <v>1134.4267580000001</v>
      </c>
      <c r="C598" s="4">
        <v>1192.068237</v>
      </c>
      <c r="D598" s="4">
        <v>1472.2438959999999</v>
      </c>
      <c r="I598" s="3" t="s">
        <v>301</v>
      </c>
      <c r="J598" s="4">
        <v>1134.4267580000001</v>
      </c>
      <c r="K598" s="4">
        <v>1175.271362</v>
      </c>
      <c r="L598" s="4">
        <v>1490.153687</v>
      </c>
      <c r="M598" s="12"/>
      <c r="O598" s="3" t="s">
        <v>301</v>
      </c>
      <c r="P598" s="4">
        <v>1004.496216</v>
      </c>
      <c r="Q598" s="4">
        <v>1152.3835449999999</v>
      </c>
      <c r="R598" s="4">
        <v>1023.476746</v>
      </c>
      <c r="U598" s="3" t="s">
        <v>301</v>
      </c>
      <c r="V598" s="4">
        <v>1319.78125</v>
      </c>
      <c r="W598" s="4">
        <v>1160.409668</v>
      </c>
      <c r="X598" s="4">
        <v>1039.435547</v>
      </c>
    </row>
    <row r="599" spans="1:24" x14ac:dyDescent="0.3">
      <c r="A599" s="3" t="s">
        <v>303</v>
      </c>
      <c r="B599" s="4">
        <v>1121.3630370000001</v>
      </c>
      <c r="C599" s="4">
        <v>1155.9343260000001</v>
      </c>
      <c r="D599" s="4">
        <v>1207.9486079999999</v>
      </c>
      <c r="I599" s="3" t="s">
        <v>303</v>
      </c>
      <c r="J599" s="4">
        <v>1121.3630370000001</v>
      </c>
      <c r="K599" s="4">
        <v>1160.2508539999999</v>
      </c>
      <c r="L599" s="4">
        <v>1282.1883539999999</v>
      </c>
      <c r="M599" s="12"/>
      <c r="O599" s="3" t="s">
        <v>303</v>
      </c>
      <c r="P599" s="4">
        <v>1169.321899</v>
      </c>
      <c r="Q599" s="4">
        <v>1151.642212</v>
      </c>
      <c r="R599" s="4">
        <v>1341.8118899999999</v>
      </c>
      <c r="U599" s="3" t="s">
        <v>303</v>
      </c>
      <c r="V599" s="4">
        <v>1017.007385</v>
      </c>
      <c r="W599" s="4">
        <v>1128.9445800000001</v>
      </c>
      <c r="X599" s="4">
        <v>1378.642578</v>
      </c>
    </row>
    <row r="600" spans="1:24" x14ac:dyDescent="0.3">
      <c r="A600" s="3" t="s">
        <v>305</v>
      </c>
      <c r="B600" s="4">
        <v>1167.3039550000001</v>
      </c>
      <c r="C600" s="4">
        <v>1188.4019780000001</v>
      </c>
      <c r="D600" s="4">
        <v>952.83074999999997</v>
      </c>
      <c r="I600" s="3" t="s">
        <v>305</v>
      </c>
      <c r="J600" s="4">
        <v>1167.3039550000001</v>
      </c>
      <c r="K600" s="4">
        <v>1205.322876</v>
      </c>
      <c r="L600" s="4">
        <v>1046.0688479999999</v>
      </c>
      <c r="M600" s="12"/>
      <c r="O600" s="3" t="s">
        <v>305</v>
      </c>
      <c r="P600" s="4">
        <v>1100.531616</v>
      </c>
      <c r="Q600" s="4">
        <v>1192.3988039999999</v>
      </c>
      <c r="R600" s="4">
        <v>1550.449707</v>
      </c>
      <c r="U600" s="3" t="s">
        <v>305</v>
      </c>
      <c r="V600" s="4">
        <v>1470.756226</v>
      </c>
      <c r="W600" s="4">
        <v>1209.39624</v>
      </c>
      <c r="X600" s="4">
        <v>1244.049683</v>
      </c>
    </row>
    <row r="601" spans="1:24" x14ac:dyDescent="0.3">
      <c r="A601" s="3" t="s">
        <v>307</v>
      </c>
      <c r="B601" s="4">
        <v>1123.4803469999999</v>
      </c>
      <c r="C601" s="4">
        <v>1168.204712</v>
      </c>
      <c r="D601" s="4">
        <v>1259.8138429999999</v>
      </c>
      <c r="I601" s="3" t="s">
        <v>307</v>
      </c>
      <c r="J601" s="4">
        <v>1123.4803469999999</v>
      </c>
      <c r="K601" s="4">
        <v>1167.3831789999999</v>
      </c>
      <c r="L601" s="4">
        <v>1301.818115</v>
      </c>
      <c r="M601" s="12"/>
      <c r="O601" s="3" t="s">
        <v>307</v>
      </c>
      <c r="P601" s="4">
        <v>1224.165283</v>
      </c>
      <c r="Q601" s="4">
        <v>1190.9517820000001</v>
      </c>
      <c r="R601" s="4">
        <v>1370.8370359999999</v>
      </c>
      <c r="U601" s="3" t="s">
        <v>307</v>
      </c>
      <c r="V601" s="4">
        <v>916.04931599999998</v>
      </c>
      <c r="W601" s="4">
        <v>1176.7344969999999</v>
      </c>
      <c r="X601" s="4">
        <v>1485.7030030000001</v>
      </c>
    </row>
    <row r="602" spans="1:24" x14ac:dyDescent="0.3">
      <c r="A602" s="3" t="s">
        <v>309</v>
      </c>
      <c r="B602" s="4">
        <v>1163.2923579999999</v>
      </c>
      <c r="C602" s="4">
        <v>1154.349365</v>
      </c>
      <c r="D602" s="4">
        <v>1245.06897</v>
      </c>
      <c r="I602" s="3" t="s">
        <v>309</v>
      </c>
      <c r="J602" s="4">
        <v>1163.2923579999999</v>
      </c>
      <c r="K602" s="4">
        <v>1197.0397949999999</v>
      </c>
      <c r="L602" s="4">
        <v>1489.337524</v>
      </c>
      <c r="M602" s="12"/>
      <c r="O602" s="3" t="s">
        <v>309</v>
      </c>
      <c r="P602" s="4">
        <v>1525.376831</v>
      </c>
      <c r="Q602" s="4">
        <v>1206.2510990000001</v>
      </c>
      <c r="R602" s="4">
        <v>1167.2146</v>
      </c>
      <c r="U602" s="3" t="s">
        <v>309</v>
      </c>
      <c r="V602" s="4">
        <v>1196.9470209999999</v>
      </c>
      <c r="W602" s="4">
        <v>1162.5817870000001</v>
      </c>
      <c r="X602" s="4">
        <v>1247.949341</v>
      </c>
    </row>
    <row r="603" spans="1:24" x14ac:dyDescent="0.3">
      <c r="A603" s="3" t="s">
        <v>311</v>
      </c>
      <c r="B603" s="4">
        <v>1151.0008539999999</v>
      </c>
      <c r="C603" s="4">
        <v>1223.0201420000001</v>
      </c>
      <c r="D603" s="4">
        <v>1191.434692</v>
      </c>
      <c r="I603" s="3" t="s">
        <v>311</v>
      </c>
      <c r="J603" s="4">
        <v>1151.0008539999999</v>
      </c>
      <c r="K603" s="4">
        <v>1228.051025</v>
      </c>
      <c r="L603" s="4">
        <v>1463.5189210000001</v>
      </c>
      <c r="M603" s="12"/>
      <c r="O603" s="3" t="s">
        <v>311</v>
      </c>
      <c r="P603" s="4">
        <v>953.65380900000002</v>
      </c>
      <c r="Q603" s="4">
        <v>1212.6442870000001</v>
      </c>
      <c r="R603" s="4">
        <v>1479.4879149999999</v>
      </c>
      <c r="U603" s="3" t="s">
        <v>311</v>
      </c>
      <c r="V603" s="4">
        <v>1103.7570800000001</v>
      </c>
      <c r="W603" s="4">
        <v>1207.460693</v>
      </c>
      <c r="X603" s="4">
        <v>1358.786255</v>
      </c>
    </row>
    <row r="604" spans="1:24" x14ac:dyDescent="0.3">
      <c r="A604" s="3" t="s">
        <v>313</v>
      </c>
      <c r="B604" s="4">
        <v>1167.5998540000001</v>
      </c>
      <c r="C604" s="4">
        <v>1207.748169</v>
      </c>
      <c r="D604" s="4">
        <v>1429.7921140000001</v>
      </c>
      <c r="I604" s="3" t="s">
        <v>313</v>
      </c>
      <c r="J604" s="4">
        <v>1167.5998540000001</v>
      </c>
      <c r="K604" s="4">
        <v>1200.739624</v>
      </c>
      <c r="L604" s="4">
        <v>1278.543457</v>
      </c>
      <c r="M604" s="12"/>
      <c r="O604" s="3" t="s">
        <v>313</v>
      </c>
      <c r="P604" s="4">
        <v>1358.5458980000001</v>
      </c>
      <c r="Q604" s="4">
        <v>1203.7854</v>
      </c>
      <c r="R604" s="4">
        <v>1285.5726320000001</v>
      </c>
      <c r="U604" s="3" t="s">
        <v>313</v>
      </c>
      <c r="V604" s="4">
        <v>1279.2597659999999</v>
      </c>
      <c r="W604" s="4">
        <v>1206.7860109999999</v>
      </c>
      <c r="X604" s="4">
        <v>1148.7451169999999</v>
      </c>
    </row>
    <row r="606" spans="1:24" x14ac:dyDescent="0.3">
      <c r="A606" t="s">
        <v>334</v>
      </c>
      <c r="I606" t="s">
        <v>335</v>
      </c>
      <c r="O606" t="s">
        <v>334</v>
      </c>
      <c r="U606" t="s">
        <v>335</v>
      </c>
    </row>
    <row r="607" spans="1:24" x14ac:dyDescent="0.3">
      <c r="A607" s="3" t="s">
        <v>10</v>
      </c>
      <c r="B607" s="4">
        <v>390.06277499999999</v>
      </c>
      <c r="C607" s="4">
        <v>388.59506199999998</v>
      </c>
      <c r="D607" s="4">
        <v>469.01501500000001</v>
      </c>
      <c r="I607" s="3" t="s">
        <v>10</v>
      </c>
      <c r="J607" s="4">
        <v>380.72869900000001</v>
      </c>
      <c r="K607" s="4">
        <v>378.34726000000001</v>
      </c>
      <c r="L607" s="4">
        <v>455.15219100000002</v>
      </c>
      <c r="M607" s="12"/>
      <c r="O607" s="3" t="s">
        <v>10</v>
      </c>
      <c r="P607" s="4">
        <v>469.01501500000001</v>
      </c>
      <c r="Q607" s="4">
        <v>387.868225</v>
      </c>
      <c r="R607" s="4">
        <v>469.01501500000001</v>
      </c>
      <c r="U607" s="3" t="s">
        <v>10</v>
      </c>
      <c r="V607" s="4">
        <v>455.15219100000002</v>
      </c>
      <c r="W607" s="4">
        <v>378.66863999999998</v>
      </c>
      <c r="X607" s="4">
        <v>455.15219100000002</v>
      </c>
    </row>
    <row r="608" spans="1:24" x14ac:dyDescent="0.3">
      <c r="A608" s="3" t="s">
        <v>12</v>
      </c>
      <c r="B608" s="4">
        <v>421.90920999999997</v>
      </c>
      <c r="C608" s="4">
        <v>428.79330399999998</v>
      </c>
      <c r="D608" s="4">
        <v>435.30145299999998</v>
      </c>
      <c r="I608" s="3" t="s">
        <v>12</v>
      </c>
      <c r="J608" s="4">
        <v>416.30941799999999</v>
      </c>
      <c r="K608" s="4">
        <v>417.44442700000002</v>
      </c>
      <c r="L608" s="4">
        <v>425.35144000000003</v>
      </c>
      <c r="M608" s="12"/>
      <c r="O608" s="3" t="s">
        <v>12</v>
      </c>
      <c r="P608" s="4">
        <v>426.62390099999999</v>
      </c>
      <c r="Q608" s="4">
        <v>426.62390099999999</v>
      </c>
      <c r="R608" s="4">
        <v>456.58843999999999</v>
      </c>
      <c r="U608" s="3" t="s">
        <v>12</v>
      </c>
      <c r="V608" s="4">
        <v>418.203552</v>
      </c>
      <c r="W608" s="4">
        <v>416.05621300000001</v>
      </c>
      <c r="X608" s="4">
        <v>451.48419200000001</v>
      </c>
    </row>
    <row r="609" spans="1:24" x14ac:dyDescent="0.3">
      <c r="A609" s="3" t="s">
        <v>14</v>
      </c>
      <c r="B609" s="4">
        <v>365.81158399999998</v>
      </c>
      <c r="C609" s="4">
        <v>367.32510400000001</v>
      </c>
      <c r="D609" s="4">
        <v>387.20840500000003</v>
      </c>
      <c r="I609" s="3" t="s">
        <v>14</v>
      </c>
      <c r="J609" s="4">
        <v>355.35159299999998</v>
      </c>
      <c r="K609" s="4">
        <v>357.08395400000001</v>
      </c>
      <c r="L609" s="4">
        <v>357.13305700000001</v>
      </c>
      <c r="M609" s="12"/>
      <c r="O609" s="3" t="s">
        <v>14</v>
      </c>
      <c r="P609" s="4">
        <v>368.59149200000002</v>
      </c>
      <c r="Q609" s="4">
        <v>366.77606200000002</v>
      </c>
      <c r="R609" s="4">
        <v>380.08401500000002</v>
      </c>
      <c r="U609" s="3" t="s">
        <v>14</v>
      </c>
      <c r="V609" s="4">
        <v>359.73791499999999</v>
      </c>
      <c r="W609" s="4">
        <v>355.28875699999998</v>
      </c>
      <c r="X609" s="4">
        <v>372.03949</v>
      </c>
    </row>
    <row r="610" spans="1:24" x14ac:dyDescent="0.3">
      <c r="A610" s="3" t="s">
        <v>16</v>
      </c>
      <c r="B610" s="4">
        <v>394.24047899999999</v>
      </c>
      <c r="C610" s="4">
        <v>394.36831699999999</v>
      </c>
      <c r="D610" s="4">
        <v>396.49188199999998</v>
      </c>
      <c r="I610" s="3" t="s">
        <v>16</v>
      </c>
      <c r="J610" s="4">
        <v>385.09951799999999</v>
      </c>
      <c r="K610" s="4">
        <v>388.27044699999999</v>
      </c>
      <c r="L610" s="4">
        <v>405.18270899999999</v>
      </c>
      <c r="M610" s="12"/>
      <c r="O610" s="3" t="s">
        <v>16</v>
      </c>
      <c r="P610" s="4">
        <v>398.81622299999998</v>
      </c>
      <c r="Q610" s="4">
        <v>396.91195699999997</v>
      </c>
      <c r="R610" s="4">
        <v>413.207336</v>
      </c>
      <c r="U610" s="3" t="s">
        <v>16</v>
      </c>
      <c r="V610" s="4">
        <v>387.22427399999998</v>
      </c>
      <c r="W610" s="4">
        <v>384.92980999999997</v>
      </c>
      <c r="X610" s="4">
        <v>405.18270899999999</v>
      </c>
    </row>
    <row r="611" spans="1:24" x14ac:dyDescent="0.3">
      <c r="A611" s="3" t="s">
        <v>18</v>
      </c>
      <c r="B611" s="4">
        <v>346.68826300000001</v>
      </c>
      <c r="C611" s="4">
        <v>347.80276500000002</v>
      </c>
      <c r="D611" s="4">
        <v>354.978973</v>
      </c>
      <c r="I611" s="3" t="s">
        <v>18</v>
      </c>
      <c r="J611" s="4">
        <v>335.85687300000001</v>
      </c>
      <c r="K611" s="4">
        <v>337.70214800000002</v>
      </c>
      <c r="L611" s="4">
        <v>364.76736499999998</v>
      </c>
      <c r="M611" s="12"/>
      <c r="O611" s="3" t="s">
        <v>18</v>
      </c>
      <c r="P611" s="4">
        <v>348.41326900000001</v>
      </c>
      <c r="Q611" s="4">
        <v>346.57351699999998</v>
      </c>
      <c r="R611" s="4">
        <v>354.978973</v>
      </c>
      <c r="U611" s="3" t="s">
        <v>18</v>
      </c>
      <c r="V611" s="4">
        <v>347.30905200000001</v>
      </c>
      <c r="W611" s="4">
        <v>338.14764400000001</v>
      </c>
      <c r="X611" s="4">
        <v>354.91146900000001</v>
      </c>
    </row>
    <row r="612" spans="1:24" x14ac:dyDescent="0.3">
      <c r="A612" s="3" t="s">
        <v>20</v>
      </c>
      <c r="B612" s="4">
        <v>412.04544099999998</v>
      </c>
      <c r="C612" s="4">
        <v>412.04544099999998</v>
      </c>
      <c r="D612" s="4">
        <v>415.33334400000001</v>
      </c>
      <c r="I612" s="3" t="s">
        <v>20</v>
      </c>
      <c r="J612" s="4">
        <v>404.231964</v>
      </c>
      <c r="K612" s="4">
        <v>404.81759599999998</v>
      </c>
      <c r="L612" s="4">
        <v>408.54724099999999</v>
      </c>
      <c r="M612" s="12"/>
      <c r="O612" s="3" t="s">
        <v>20</v>
      </c>
      <c r="P612" s="4">
        <v>414.65704299999999</v>
      </c>
      <c r="Q612" s="4">
        <v>412.73553500000003</v>
      </c>
      <c r="R612" s="4">
        <v>415.88998400000003</v>
      </c>
      <c r="U612" s="3" t="s">
        <v>20</v>
      </c>
      <c r="V612" s="4">
        <v>405.01739500000002</v>
      </c>
      <c r="W612" s="4">
        <v>404.17532299999999</v>
      </c>
      <c r="X612" s="4">
        <v>408.54724099999999</v>
      </c>
    </row>
    <row r="613" spans="1:24" x14ac:dyDescent="0.3">
      <c r="A613" s="3" t="s">
        <v>22</v>
      </c>
      <c r="B613" s="4">
        <v>386.19570900000002</v>
      </c>
      <c r="C613" s="4">
        <v>390.87133799999998</v>
      </c>
      <c r="D613" s="4">
        <v>392.53036500000002</v>
      </c>
      <c r="I613" s="3" t="s">
        <v>22</v>
      </c>
      <c r="J613" s="4">
        <v>377.21435500000001</v>
      </c>
      <c r="K613" s="4">
        <v>378.59249899999998</v>
      </c>
      <c r="L613" s="4">
        <v>399.55404700000003</v>
      </c>
      <c r="M613" s="12"/>
      <c r="O613" s="3" t="s">
        <v>22</v>
      </c>
      <c r="P613" s="4">
        <v>397.13119499999999</v>
      </c>
      <c r="Q613" s="4">
        <v>385.50747699999999</v>
      </c>
      <c r="R613" s="4">
        <v>401.42971799999998</v>
      </c>
      <c r="U613" s="3" t="s">
        <v>22</v>
      </c>
      <c r="V613" s="4">
        <v>383.956818</v>
      </c>
      <c r="W613" s="4">
        <v>377.21435500000001</v>
      </c>
      <c r="X613" s="4">
        <v>383.956818</v>
      </c>
    </row>
    <row r="614" spans="1:24" x14ac:dyDescent="0.3">
      <c r="A614" s="3" t="s">
        <v>24</v>
      </c>
      <c r="B614" s="4">
        <v>465.27917500000001</v>
      </c>
      <c r="C614" s="4">
        <v>466.09802200000001</v>
      </c>
      <c r="D614" s="4">
        <v>469.45126299999998</v>
      </c>
      <c r="I614" s="3" t="s">
        <v>24</v>
      </c>
      <c r="J614" s="4">
        <v>451.84316999999999</v>
      </c>
      <c r="K614" s="4">
        <v>451.84316999999999</v>
      </c>
      <c r="L614" s="4">
        <v>457.41906699999998</v>
      </c>
      <c r="M614" s="12"/>
      <c r="O614" s="3" t="s">
        <v>24</v>
      </c>
      <c r="P614" s="4">
        <v>471.24697900000001</v>
      </c>
      <c r="Q614" s="4">
        <v>466.89700299999998</v>
      </c>
      <c r="R614" s="4">
        <v>479.43579099999999</v>
      </c>
      <c r="U614" s="3" t="s">
        <v>24</v>
      </c>
      <c r="V614" s="4">
        <v>457.41906699999998</v>
      </c>
      <c r="W614" s="4">
        <v>451.84316999999999</v>
      </c>
      <c r="X614" s="4">
        <v>457.41906699999998</v>
      </c>
    </row>
    <row r="615" spans="1:24" x14ac:dyDescent="0.3">
      <c r="A615" s="3" t="s">
        <v>26</v>
      </c>
      <c r="B615" s="4">
        <v>417.438782</v>
      </c>
      <c r="C615" s="4">
        <v>418.75277699999998</v>
      </c>
      <c r="D615" s="4">
        <v>444.667236</v>
      </c>
      <c r="I615" s="3" t="s">
        <v>26</v>
      </c>
      <c r="J615" s="4">
        <v>407.37115499999999</v>
      </c>
      <c r="K615" s="4">
        <v>410.80957000000001</v>
      </c>
      <c r="L615" s="4">
        <v>416.37329099999999</v>
      </c>
      <c r="M615" s="12"/>
      <c r="O615" s="3" t="s">
        <v>26</v>
      </c>
      <c r="P615" s="4">
        <v>416.22961400000003</v>
      </c>
      <c r="Q615" s="4">
        <v>420.22039799999999</v>
      </c>
      <c r="R615" s="4">
        <v>444.667236</v>
      </c>
      <c r="U615" s="3" t="s">
        <v>26</v>
      </c>
      <c r="V615" s="4">
        <v>412.93246499999998</v>
      </c>
      <c r="W615" s="4">
        <v>413.10314899999997</v>
      </c>
      <c r="X615" s="4">
        <v>412.616333</v>
      </c>
    </row>
    <row r="616" spans="1:24" x14ac:dyDescent="0.3">
      <c r="A616" s="3" t="s">
        <v>28</v>
      </c>
      <c r="B616" s="4">
        <v>342.79367100000002</v>
      </c>
      <c r="C616" s="4">
        <v>342.79367100000002</v>
      </c>
      <c r="D616" s="4">
        <v>347.05917399999998</v>
      </c>
      <c r="I616" s="3" t="s">
        <v>28</v>
      </c>
      <c r="J616" s="4">
        <v>332.42855800000001</v>
      </c>
      <c r="K616" s="4">
        <v>333.32995599999998</v>
      </c>
      <c r="L616" s="4">
        <v>349.72781400000002</v>
      </c>
      <c r="M616" s="12"/>
      <c r="O616" s="3" t="s">
        <v>28</v>
      </c>
      <c r="P616" s="4">
        <v>357.57583599999998</v>
      </c>
      <c r="Q616" s="4">
        <v>342.79367100000002</v>
      </c>
      <c r="R616" s="4">
        <v>355.82583599999998</v>
      </c>
      <c r="U616" s="3" t="s">
        <v>28</v>
      </c>
      <c r="V616" s="4">
        <v>332.91168199999998</v>
      </c>
      <c r="W616" s="4">
        <v>332.42855800000001</v>
      </c>
      <c r="X616" s="4">
        <v>368.29080199999999</v>
      </c>
    </row>
    <row r="617" spans="1:24" x14ac:dyDescent="0.3">
      <c r="A617" s="3" t="s">
        <v>30</v>
      </c>
      <c r="B617" s="4">
        <v>518.96655299999998</v>
      </c>
      <c r="C617" s="4">
        <v>549.63574200000005</v>
      </c>
      <c r="D617" s="4">
        <v>598.56921399999999</v>
      </c>
      <c r="I617" s="3" t="s">
        <v>30</v>
      </c>
      <c r="J617" s="4">
        <v>531.40106200000002</v>
      </c>
      <c r="K617" s="4">
        <v>545.56408699999997</v>
      </c>
      <c r="L617" s="4">
        <v>584.87292500000001</v>
      </c>
      <c r="M617" s="12"/>
      <c r="O617" s="3" t="s">
        <v>30</v>
      </c>
      <c r="P617" s="4">
        <v>562.77526899999998</v>
      </c>
      <c r="Q617" s="4">
        <v>554.65801999999996</v>
      </c>
      <c r="R617" s="4">
        <v>585.03057899999999</v>
      </c>
      <c r="U617" s="3" t="s">
        <v>30</v>
      </c>
      <c r="V617" s="4">
        <v>552.14941399999998</v>
      </c>
      <c r="W617" s="4">
        <v>549.96862799999997</v>
      </c>
      <c r="X617" s="4">
        <v>600.65405299999998</v>
      </c>
    </row>
    <row r="618" spans="1:24" x14ac:dyDescent="0.3">
      <c r="A618" s="3" t="s">
        <v>32</v>
      </c>
      <c r="B618" s="4">
        <v>474.83212300000002</v>
      </c>
      <c r="C618" s="4">
        <v>474.83212300000002</v>
      </c>
      <c r="D618" s="4">
        <v>474.83212300000002</v>
      </c>
      <c r="I618" s="3" t="s">
        <v>32</v>
      </c>
      <c r="J618" s="4">
        <v>464.43417399999998</v>
      </c>
      <c r="K618" s="4">
        <v>464.45480300000003</v>
      </c>
      <c r="L618" s="4">
        <v>464.43417399999998</v>
      </c>
      <c r="M618" s="12"/>
      <c r="O618" s="3" t="s">
        <v>32</v>
      </c>
      <c r="P618" s="4">
        <v>474.83212300000002</v>
      </c>
      <c r="Q618" s="4">
        <v>474.83212300000002</v>
      </c>
      <c r="R618" s="4">
        <v>499.52188100000001</v>
      </c>
      <c r="U618" s="3" t="s">
        <v>32</v>
      </c>
      <c r="V618" s="4">
        <v>468.06603999999999</v>
      </c>
      <c r="W618" s="4">
        <v>464.45480300000003</v>
      </c>
      <c r="X618" s="4">
        <v>464.43417399999998</v>
      </c>
    </row>
    <row r="619" spans="1:24" x14ac:dyDescent="0.3">
      <c r="A619" s="3" t="s">
        <v>34</v>
      </c>
      <c r="B619" s="4">
        <v>412.97958399999999</v>
      </c>
      <c r="C619" s="4">
        <v>414.75891100000001</v>
      </c>
      <c r="D619" s="4">
        <v>425.61172499999998</v>
      </c>
      <c r="I619" s="3" t="s">
        <v>34</v>
      </c>
      <c r="J619" s="4">
        <v>409.62481700000001</v>
      </c>
      <c r="K619" s="4">
        <v>409.961792</v>
      </c>
      <c r="L619" s="4">
        <v>419.05215500000003</v>
      </c>
      <c r="M619" s="12"/>
      <c r="O619" s="3" t="s">
        <v>34</v>
      </c>
      <c r="P619" s="4">
        <v>413.59732100000002</v>
      </c>
      <c r="Q619" s="4">
        <v>415.12747200000001</v>
      </c>
      <c r="R619" s="4">
        <v>425.61172499999998</v>
      </c>
      <c r="U619" s="3" t="s">
        <v>34</v>
      </c>
      <c r="V619" s="4">
        <v>417.93081699999999</v>
      </c>
      <c r="W619" s="4">
        <v>411.34255999999999</v>
      </c>
      <c r="X619" s="4">
        <v>451.12786899999998</v>
      </c>
    </row>
    <row r="620" spans="1:24" x14ac:dyDescent="0.3">
      <c r="A620" s="3" t="s">
        <v>36</v>
      </c>
      <c r="B620" s="4">
        <v>523.957581</v>
      </c>
      <c r="C620" s="4">
        <v>529.52691700000003</v>
      </c>
      <c r="D620" s="4">
        <v>530.46447799999999</v>
      </c>
      <c r="I620" s="3" t="s">
        <v>36</v>
      </c>
      <c r="J620" s="4">
        <v>517.23809800000004</v>
      </c>
      <c r="K620" s="4">
        <v>512.97534199999996</v>
      </c>
      <c r="L620" s="4">
        <v>568.41510000000005</v>
      </c>
      <c r="M620" s="12"/>
      <c r="O620" s="3" t="s">
        <v>36</v>
      </c>
      <c r="P620" s="4">
        <v>542.22296100000005</v>
      </c>
      <c r="Q620" s="4">
        <v>526.44598399999995</v>
      </c>
      <c r="R620" s="4">
        <v>556.72686799999997</v>
      </c>
      <c r="U620" s="3" t="s">
        <v>36</v>
      </c>
      <c r="V620" s="4">
        <v>527.69842500000004</v>
      </c>
      <c r="W620" s="4">
        <v>512.38647500000002</v>
      </c>
      <c r="X620" s="4">
        <v>572.686646</v>
      </c>
    </row>
    <row r="621" spans="1:24" x14ac:dyDescent="0.3">
      <c r="A621" s="3" t="s">
        <v>38</v>
      </c>
      <c r="B621" s="4">
        <v>462.71502700000002</v>
      </c>
      <c r="C621" s="4">
        <v>471.08462500000002</v>
      </c>
      <c r="D621" s="4">
        <v>491.81729100000001</v>
      </c>
      <c r="I621" s="3" t="s">
        <v>38</v>
      </c>
      <c r="J621" s="4">
        <v>457.08355699999998</v>
      </c>
      <c r="K621" s="4">
        <v>457.08355699999998</v>
      </c>
      <c r="L621" s="4">
        <v>486.023438</v>
      </c>
      <c r="M621" s="12"/>
      <c r="O621" s="3" t="s">
        <v>38</v>
      </c>
      <c r="P621" s="4">
        <v>475.85012799999998</v>
      </c>
      <c r="Q621" s="4">
        <v>465.100281</v>
      </c>
      <c r="R621" s="4">
        <v>462.71502700000002</v>
      </c>
      <c r="U621" s="3" t="s">
        <v>38</v>
      </c>
      <c r="V621" s="4">
        <v>459.87677000000002</v>
      </c>
      <c r="W621" s="4">
        <v>462.10983299999998</v>
      </c>
      <c r="X621" s="4">
        <v>474.322113</v>
      </c>
    </row>
    <row r="622" spans="1:24" x14ac:dyDescent="0.3">
      <c r="A622" s="3" t="s">
        <v>40</v>
      </c>
      <c r="B622" s="4">
        <v>404.60012799999998</v>
      </c>
      <c r="C622" s="4">
        <v>404.60012799999998</v>
      </c>
      <c r="D622" s="4">
        <v>412.41693099999998</v>
      </c>
      <c r="I622" s="3" t="s">
        <v>40</v>
      </c>
      <c r="J622" s="4">
        <v>402.01260400000001</v>
      </c>
      <c r="K622" s="4">
        <v>402.01260400000001</v>
      </c>
      <c r="L622" s="4">
        <v>464.20895400000001</v>
      </c>
      <c r="M622" s="12"/>
      <c r="O622" s="3" t="s">
        <v>40</v>
      </c>
      <c r="P622" s="4">
        <v>423.284943</v>
      </c>
      <c r="Q622" s="4">
        <v>404.60012799999998</v>
      </c>
      <c r="R622" s="4">
        <v>440.71762100000001</v>
      </c>
      <c r="U622" s="3" t="s">
        <v>40</v>
      </c>
      <c r="V622" s="4">
        <v>404.27752700000002</v>
      </c>
      <c r="W622" s="4">
        <v>402.01260400000001</v>
      </c>
      <c r="X622" s="4">
        <v>402.01260400000001</v>
      </c>
    </row>
    <row r="623" spans="1:24" x14ac:dyDescent="0.3">
      <c r="A623" s="3" t="s">
        <v>42</v>
      </c>
      <c r="B623" s="4">
        <v>423.66629</v>
      </c>
      <c r="C623" s="4">
        <v>429.55294800000001</v>
      </c>
      <c r="D623" s="4">
        <v>471.45211799999998</v>
      </c>
      <c r="I623" s="3" t="s">
        <v>42</v>
      </c>
      <c r="J623" s="4">
        <v>416.69476300000002</v>
      </c>
      <c r="K623" s="4">
        <v>416.69476300000002</v>
      </c>
      <c r="L623" s="4">
        <v>448.22326700000002</v>
      </c>
      <c r="M623" s="12"/>
      <c r="O623" s="3" t="s">
        <v>42</v>
      </c>
      <c r="P623" s="4">
        <v>447.08960000000002</v>
      </c>
      <c r="Q623" s="4">
        <v>423.66629</v>
      </c>
      <c r="R623" s="4">
        <v>471.45211799999998</v>
      </c>
      <c r="U623" s="3" t="s">
        <v>42</v>
      </c>
      <c r="V623" s="4">
        <v>435.54968300000002</v>
      </c>
      <c r="W623" s="4">
        <v>417.97772200000003</v>
      </c>
      <c r="X623" s="4">
        <v>461.65057400000001</v>
      </c>
    </row>
    <row r="624" spans="1:24" x14ac:dyDescent="0.3">
      <c r="A624" s="3" t="s">
        <v>44</v>
      </c>
      <c r="B624" s="4">
        <v>515.32714799999997</v>
      </c>
      <c r="C624" s="4">
        <v>525.51599099999999</v>
      </c>
      <c r="D624" s="4">
        <v>522.48529099999996</v>
      </c>
      <c r="I624" s="3" t="s">
        <v>44</v>
      </c>
      <c r="J624" s="4">
        <v>504.28717</v>
      </c>
      <c r="K624" s="4">
        <v>518.333618</v>
      </c>
      <c r="L624" s="4">
        <v>544.45184300000005</v>
      </c>
      <c r="M624" s="12"/>
      <c r="O624" s="3" t="s">
        <v>44</v>
      </c>
      <c r="P624" s="4">
        <v>515.77703899999995</v>
      </c>
      <c r="Q624" s="4">
        <v>517.701233</v>
      </c>
      <c r="R624" s="4">
        <v>566.64282200000002</v>
      </c>
      <c r="U624" s="3" t="s">
        <v>44</v>
      </c>
      <c r="V624" s="4">
        <v>507.47137500000002</v>
      </c>
      <c r="W624" s="4">
        <v>522.16430700000001</v>
      </c>
      <c r="X624" s="4">
        <v>516.365723</v>
      </c>
    </row>
    <row r="625" spans="1:24" x14ac:dyDescent="0.3">
      <c r="A625" s="3" t="s">
        <v>46</v>
      </c>
      <c r="B625" s="4">
        <v>499.92867999999999</v>
      </c>
      <c r="C625" s="4">
        <v>499.078644</v>
      </c>
      <c r="D625" s="4">
        <v>545.95080600000006</v>
      </c>
      <c r="I625" s="3" t="s">
        <v>46</v>
      </c>
      <c r="J625" s="4">
        <v>492.45419299999998</v>
      </c>
      <c r="K625" s="4">
        <v>492.45419299999998</v>
      </c>
      <c r="L625" s="4">
        <v>494.461029</v>
      </c>
      <c r="M625" s="12"/>
      <c r="O625" s="3" t="s">
        <v>46</v>
      </c>
      <c r="P625" s="4">
        <v>545.63696300000004</v>
      </c>
      <c r="Q625" s="4">
        <v>499.078644</v>
      </c>
      <c r="R625" s="4">
        <v>548.88622999999995</v>
      </c>
      <c r="U625" s="3" t="s">
        <v>46</v>
      </c>
      <c r="V625" s="4">
        <v>506.92166099999997</v>
      </c>
      <c r="W625" s="4">
        <v>492.45419299999998</v>
      </c>
      <c r="X625" s="4">
        <v>547.63317900000004</v>
      </c>
    </row>
    <row r="626" spans="1:24" x14ac:dyDescent="0.3">
      <c r="A626" s="3" t="s">
        <v>48</v>
      </c>
      <c r="B626" s="4">
        <v>465.539581</v>
      </c>
      <c r="C626" s="4">
        <v>468.23364299999997</v>
      </c>
      <c r="D626" s="4">
        <v>479.29489100000001</v>
      </c>
      <c r="I626" s="3" t="s">
        <v>48</v>
      </c>
      <c r="J626" s="4">
        <v>455.04409800000002</v>
      </c>
      <c r="K626" s="4">
        <v>455.04409800000002</v>
      </c>
      <c r="L626" s="4">
        <v>476.42626999999999</v>
      </c>
      <c r="M626" s="12"/>
      <c r="O626" s="3" t="s">
        <v>48</v>
      </c>
      <c r="P626" s="4">
        <v>501.15673800000002</v>
      </c>
      <c r="Q626" s="4">
        <v>466.52282700000001</v>
      </c>
      <c r="R626" s="4">
        <v>477.776794</v>
      </c>
      <c r="U626" s="3" t="s">
        <v>48</v>
      </c>
      <c r="V626" s="4">
        <v>475.43948399999999</v>
      </c>
      <c r="W626" s="4">
        <v>455.065247</v>
      </c>
      <c r="X626" s="4">
        <v>520.02691700000003</v>
      </c>
    </row>
    <row r="627" spans="1:24" x14ac:dyDescent="0.3">
      <c r="A627" s="3" t="s">
        <v>50</v>
      </c>
      <c r="B627" s="4">
        <v>458.87048299999998</v>
      </c>
      <c r="C627" s="4">
        <v>453.93545499999999</v>
      </c>
      <c r="D627" s="4">
        <v>477.68231200000002</v>
      </c>
      <c r="I627" s="3" t="s">
        <v>50</v>
      </c>
      <c r="J627" s="4">
        <v>443.59765599999997</v>
      </c>
      <c r="K627" s="4">
        <v>453.06878699999999</v>
      </c>
      <c r="L627" s="4">
        <v>467.73568699999998</v>
      </c>
      <c r="M627" s="12"/>
      <c r="O627" s="3" t="s">
        <v>50</v>
      </c>
      <c r="P627" s="4">
        <v>455.887024</v>
      </c>
      <c r="Q627" s="4">
        <v>464.104736</v>
      </c>
      <c r="R627" s="4">
        <v>483.88732900000002</v>
      </c>
      <c r="U627" s="3" t="s">
        <v>50</v>
      </c>
      <c r="V627" s="4">
        <v>440.948914</v>
      </c>
      <c r="W627" s="4">
        <v>468.10369900000001</v>
      </c>
      <c r="X627" s="4">
        <v>532.69549600000005</v>
      </c>
    </row>
    <row r="628" spans="1:24" x14ac:dyDescent="0.3">
      <c r="A628" s="3" t="s">
        <v>52</v>
      </c>
      <c r="B628" s="4">
        <v>468.975189</v>
      </c>
      <c r="C628" s="4">
        <v>468.975189</v>
      </c>
      <c r="D628" s="4">
        <v>508.19259599999998</v>
      </c>
      <c r="I628" s="3" t="s">
        <v>52</v>
      </c>
      <c r="J628" s="4">
        <v>469.24471999999997</v>
      </c>
      <c r="K628" s="4">
        <v>469.24471999999997</v>
      </c>
      <c r="L628" s="4">
        <v>574.52673300000004</v>
      </c>
      <c r="M628" s="12"/>
      <c r="O628" s="3" t="s">
        <v>52</v>
      </c>
      <c r="P628" s="4">
        <v>644.42132600000002</v>
      </c>
      <c r="Q628" s="4">
        <v>468.975189</v>
      </c>
      <c r="R628" s="4">
        <v>556.01910399999997</v>
      </c>
      <c r="U628" s="3" t="s">
        <v>52</v>
      </c>
      <c r="V628" s="4">
        <v>471.92138699999998</v>
      </c>
      <c r="W628" s="4">
        <v>469.24471999999997</v>
      </c>
      <c r="X628" s="4">
        <v>560.75176999999996</v>
      </c>
    </row>
    <row r="629" spans="1:24" x14ac:dyDescent="0.3">
      <c r="A629" s="3" t="s">
        <v>54</v>
      </c>
      <c r="B629" s="4">
        <v>558.04943800000001</v>
      </c>
      <c r="C629" s="4">
        <v>551.785706</v>
      </c>
      <c r="D629" s="4">
        <v>569.511841</v>
      </c>
      <c r="I629" s="3" t="s">
        <v>54</v>
      </c>
      <c r="J629" s="4">
        <v>561.625854</v>
      </c>
      <c r="K629" s="4">
        <v>549.54534899999999</v>
      </c>
      <c r="L629" s="4">
        <v>614.63629200000003</v>
      </c>
      <c r="M629" s="12"/>
      <c r="O629" s="3" t="s">
        <v>54</v>
      </c>
      <c r="P629" s="4">
        <v>584.49920699999996</v>
      </c>
      <c r="Q629" s="4">
        <v>564.399902</v>
      </c>
      <c r="R629" s="4">
        <v>569.511841</v>
      </c>
      <c r="U629" s="3" t="s">
        <v>54</v>
      </c>
      <c r="V629" s="4">
        <v>586.08605999999997</v>
      </c>
      <c r="W629" s="4">
        <v>549.34674099999995</v>
      </c>
      <c r="X629" s="4">
        <v>561.625854</v>
      </c>
    </row>
    <row r="630" spans="1:24" x14ac:dyDescent="0.3">
      <c r="A630" s="3" t="s">
        <v>56</v>
      </c>
      <c r="B630" s="4">
        <v>464.18408199999999</v>
      </c>
      <c r="C630" s="4">
        <v>463.83065800000003</v>
      </c>
      <c r="D630" s="4">
        <v>526.87280299999998</v>
      </c>
      <c r="I630" s="3" t="s">
        <v>56</v>
      </c>
      <c r="J630" s="4">
        <v>463.59741200000002</v>
      </c>
      <c r="K630" s="4">
        <v>463.59741200000002</v>
      </c>
      <c r="L630" s="4">
        <v>463.59741200000002</v>
      </c>
      <c r="M630" s="12"/>
      <c r="O630" s="3" t="s">
        <v>56</v>
      </c>
      <c r="P630" s="4">
        <v>469.02587899999997</v>
      </c>
      <c r="Q630" s="4">
        <v>463.83065800000003</v>
      </c>
      <c r="R630" s="4">
        <v>519.32110599999999</v>
      </c>
      <c r="U630" s="3" t="s">
        <v>56</v>
      </c>
      <c r="V630" s="4">
        <v>487.77093500000001</v>
      </c>
      <c r="W630" s="4">
        <v>463.85235599999999</v>
      </c>
      <c r="X630" s="4">
        <v>564.07409700000005</v>
      </c>
    </row>
    <row r="631" spans="1:24" x14ac:dyDescent="0.3">
      <c r="A631" s="3" t="s">
        <v>58</v>
      </c>
      <c r="B631" s="4">
        <v>476.776276</v>
      </c>
      <c r="C631" s="4">
        <v>479.978973</v>
      </c>
      <c r="D631" s="4">
        <v>548.36456299999998</v>
      </c>
      <c r="I631" s="3" t="s">
        <v>58</v>
      </c>
      <c r="J631" s="4">
        <v>473.84387199999998</v>
      </c>
      <c r="K631" s="4">
        <v>473.08017000000001</v>
      </c>
      <c r="L631" s="4">
        <v>489.24707000000001</v>
      </c>
      <c r="M631" s="12"/>
      <c r="O631" s="3" t="s">
        <v>58</v>
      </c>
      <c r="P631" s="4">
        <v>476.776276</v>
      </c>
      <c r="Q631" s="4">
        <v>480.47689800000001</v>
      </c>
      <c r="R631" s="4">
        <v>476.776276</v>
      </c>
      <c r="U631" s="3" t="s">
        <v>58</v>
      </c>
      <c r="V631" s="4">
        <v>488.002655</v>
      </c>
      <c r="W631" s="4">
        <v>477.54183999999998</v>
      </c>
      <c r="X631" s="4">
        <v>548.33264199999996</v>
      </c>
    </row>
    <row r="632" spans="1:24" x14ac:dyDescent="0.3">
      <c r="A632" s="3" t="s">
        <v>60</v>
      </c>
      <c r="B632" s="4">
        <v>584.81042500000001</v>
      </c>
      <c r="C632" s="4">
        <v>595.24987799999997</v>
      </c>
      <c r="D632" s="4">
        <v>577.06536900000003</v>
      </c>
      <c r="I632" s="3" t="s">
        <v>60</v>
      </c>
      <c r="J632" s="4">
        <v>585.15905799999996</v>
      </c>
      <c r="K632" s="4">
        <v>587.75176999999996</v>
      </c>
      <c r="L632" s="4">
        <v>603.24285899999995</v>
      </c>
      <c r="M632" s="12"/>
      <c r="O632" s="3" t="s">
        <v>60</v>
      </c>
      <c r="P632" s="4">
        <v>590.54461700000002</v>
      </c>
      <c r="Q632" s="4">
        <v>586.38220200000001</v>
      </c>
      <c r="R632" s="4">
        <v>615.43658400000004</v>
      </c>
      <c r="U632" s="3" t="s">
        <v>60</v>
      </c>
      <c r="V632" s="4">
        <v>580.54943800000001</v>
      </c>
      <c r="W632" s="4">
        <v>597.36669900000004</v>
      </c>
      <c r="X632" s="4">
        <v>590.87213099999997</v>
      </c>
    </row>
    <row r="633" spans="1:24" x14ac:dyDescent="0.3">
      <c r="A633" s="3" t="s">
        <v>62</v>
      </c>
      <c r="B633" s="4">
        <v>399.97909499999997</v>
      </c>
      <c r="C633" s="4">
        <v>399.97909499999997</v>
      </c>
      <c r="D633" s="4">
        <v>422.68566900000002</v>
      </c>
      <c r="I633" s="3" t="s">
        <v>62</v>
      </c>
      <c r="J633" s="4">
        <v>396.15759300000002</v>
      </c>
      <c r="K633" s="4">
        <v>396.15759300000002</v>
      </c>
      <c r="L633" s="4">
        <v>398.00112899999999</v>
      </c>
      <c r="M633" s="12"/>
      <c r="O633" s="3" t="s">
        <v>62</v>
      </c>
      <c r="P633" s="4">
        <v>400.43536399999999</v>
      </c>
      <c r="Q633" s="4">
        <v>400.43536399999999</v>
      </c>
      <c r="R633" s="4">
        <v>400.43536399999999</v>
      </c>
      <c r="U633" s="3" t="s">
        <v>62</v>
      </c>
      <c r="V633" s="4">
        <v>408.72616599999998</v>
      </c>
      <c r="W633" s="4">
        <v>396.15759300000002</v>
      </c>
      <c r="X633" s="4">
        <v>396.15759300000002</v>
      </c>
    </row>
    <row r="634" spans="1:24" x14ac:dyDescent="0.3">
      <c r="A634" s="3" t="s">
        <v>64</v>
      </c>
      <c r="B634" s="4">
        <v>559.56286599999999</v>
      </c>
      <c r="C634" s="4">
        <v>559.56286599999999</v>
      </c>
      <c r="D634" s="4">
        <v>638.30169699999999</v>
      </c>
      <c r="I634" s="3" t="s">
        <v>64</v>
      </c>
      <c r="J634" s="4">
        <v>558.28326400000003</v>
      </c>
      <c r="K634" s="4">
        <v>558.28326400000003</v>
      </c>
      <c r="L634" s="4">
        <v>600.43170199999997</v>
      </c>
      <c r="M634" s="12"/>
      <c r="O634" s="3" t="s">
        <v>64</v>
      </c>
      <c r="P634" s="4">
        <v>575.26348900000005</v>
      </c>
      <c r="Q634" s="4">
        <v>564.37451199999998</v>
      </c>
      <c r="R634" s="4">
        <v>615.49572799999999</v>
      </c>
      <c r="U634" s="3" t="s">
        <v>64</v>
      </c>
      <c r="V634" s="4">
        <v>566.16613800000005</v>
      </c>
      <c r="W634" s="4">
        <v>566.73449700000003</v>
      </c>
      <c r="X634" s="4">
        <v>569.04205300000001</v>
      </c>
    </row>
    <row r="635" spans="1:24" x14ac:dyDescent="0.3">
      <c r="A635" s="3" t="s">
        <v>66</v>
      </c>
      <c r="B635" s="4">
        <v>510.85406499999999</v>
      </c>
      <c r="C635" s="4">
        <v>513.70263699999998</v>
      </c>
      <c r="D635" s="4">
        <v>561.53582800000004</v>
      </c>
      <c r="I635" s="3" t="s">
        <v>66</v>
      </c>
      <c r="J635" s="4">
        <v>505.31863399999997</v>
      </c>
      <c r="K635" s="4">
        <v>505.31863399999997</v>
      </c>
      <c r="L635" s="4">
        <v>556.18225099999995</v>
      </c>
      <c r="M635" s="12"/>
      <c r="O635" s="3" t="s">
        <v>66</v>
      </c>
      <c r="P635" s="4">
        <v>550.43139599999995</v>
      </c>
      <c r="Q635" s="4">
        <v>517.99755900000002</v>
      </c>
      <c r="R635" s="4">
        <v>510.85406499999999</v>
      </c>
      <c r="U635" s="3" t="s">
        <v>66</v>
      </c>
      <c r="V635" s="4">
        <v>520.561646</v>
      </c>
      <c r="W635" s="4">
        <v>505.226654</v>
      </c>
      <c r="X635" s="4">
        <v>587.70385699999997</v>
      </c>
    </row>
    <row r="636" spans="1:24" x14ac:dyDescent="0.3">
      <c r="A636" s="3" t="s">
        <v>68</v>
      </c>
      <c r="B636" s="4">
        <v>400.58245799999997</v>
      </c>
      <c r="C636" s="4">
        <v>400.58245799999997</v>
      </c>
      <c r="D636" s="4">
        <v>419.298157</v>
      </c>
      <c r="I636" s="3" t="s">
        <v>68</v>
      </c>
      <c r="J636" s="4">
        <v>397.147064</v>
      </c>
      <c r="K636" s="4">
        <v>397.21749899999998</v>
      </c>
      <c r="L636" s="4">
        <v>397.25357100000002</v>
      </c>
      <c r="M636" s="12"/>
      <c r="O636" s="3" t="s">
        <v>68</v>
      </c>
      <c r="P636" s="4">
        <v>405.86981200000002</v>
      </c>
      <c r="Q636" s="4">
        <v>400.59021000000001</v>
      </c>
      <c r="R636" s="4">
        <v>400.97222900000003</v>
      </c>
      <c r="U636" s="3" t="s">
        <v>68</v>
      </c>
      <c r="V636" s="4">
        <v>397.21749899999998</v>
      </c>
      <c r="W636" s="4">
        <v>397.25357100000002</v>
      </c>
      <c r="X636" s="4">
        <v>397.85629299999999</v>
      </c>
    </row>
    <row r="637" spans="1:24" x14ac:dyDescent="0.3">
      <c r="A637" s="4" t="s">
        <v>74</v>
      </c>
      <c r="B637" s="4">
        <v>401.67568999999997</v>
      </c>
      <c r="C637" s="4">
        <v>404.11584499999998</v>
      </c>
      <c r="D637" s="4">
        <v>429.75</v>
      </c>
      <c r="I637" s="4" t="s">
        <v>74</v>
      </c>
      <c r="J637" s="4">
        <v>393.59326199999998</v>
      </c>
      <c r="K637" s="4">
        <v>393.37597699999998</v>
      </c>
      <c r="L637" s="4">
        <v>414.27294899999998</v>
      </c>
      <c r="M637" s="12"/>
      <c r="O637" s="4" t="s">
        <v>74</v>
      </c>
      <c r="P637" s="4">
        <v>429.75</v>
      </c>
      <c r="Q637" s="4">
        <v>405.61071800000002</v>
      </c>
      <c r="R637" s="4">
        <v>429.75</v>
      </c>
      <c r="U637" s="4" t="s">
        <v>74</v>
      </c>
      <c r="V637" s="4">
        <v>414.27294899999998</v>
      </c>
      <c r="W637" s="4">
        <v>395.05078099999997</v>
      </c>
      <c r="X637" s="4">
        <v>414.27294899999998</v>
      </c>
    </row>
    <row r="638" spans="1:24" x14ac:dyDescent="0.3">
      <c r="A638" s="4" t="s">
        <v>76</v>
      </c>
      <c r="B638" s="4">
        <v>441.18945300000001</v>
      </c>
      <c r="C638" s="4">
        <v>442.65103099999999</v>
      </c>
      <c r="D638" s="4">
        <v>470.53653000000003</v>
      </c>
      <c r="I638" s="4" t="s">
        <v>76</v>
      </c>
      <c r="J638" s="4">
        <v>418.120544</v>
      </c>
      <c r="K638" s="4">
        <v>428.43444799999997</v>
      </c>
      <c r="L638" s="4">
        <v>416.206299</v>
      </c>
      <c r="M638" s="12"/>
      <c r="O638" s="4" t="s">
        <v>76</v>
      </c>
      <c r="P638" s="4">
        <v>456.09082000000001</v>
      </c>
      <c r="Q638" s="4">
        <v>439.08004799999998</v>
      </c>
      <c r="R638" s="4">
        <v>463.57376099999999</v>
      </c>
      <c r="U638" s="4" t="s">
        <v>76</v>
      </c>
      <c r="V638" s="4">
        <v>447.43893400000002</v>
      </c>
      <c r="W638" s="4">
        <v>432.55557299999998</v>
      </c>
      <c r="X638" s="4">
        <v>418.81970200000001</v>
      </c>
    </row>
    <row r="639" spans="1:24" x14ac:dyDescent="0.3">
      <c r="A639" s="4" t="s">
        <v>78</v>
      </c>
      <c r="B639" s="4">
        <v>429.31347699999998</v>
      </c>
      <c r="C639" s="4">
        <v>430.96078499999999</v>
      </c>
      <c r="D639" s="4">
        <v>438.01757800000001</v>
      </c>
      <c r="I639" s="4" t="s">
        <v>78</v>
      </c>
      <c r="J639" s="4">
        <v>412.85815400000001</v>
      </c>
      <c r="K639" s="4">
        <v>416.37710600000003</v>
      </c>
      <c r="L639" s="4">
        <v>428.80215500000003</v>
      </c>
      <c r="M639" s="12"/>
      <c r="O639" s="4" t="s">
        <v>78</v>
      </c>
      <c r="P639" s="4">
        <v>431.98919699999999</v>
      </c>
      <c r="Q639" s="4">
        <v>430.35003699999999</v>
      </c>
      <c r="R639" s="4">
        <v>487.538116</v>
      </c>
      <c r="U639" s="4" t="s">
        <v>78</v>
      </c>
      <c r="V639" s="4">
        <v>433.86810300000002</v>
      </c>
      <c r="W639" s="4">
        <v>416.86636399999998</v>
      </c>
      <c r="X639" s="4">
        <v>455.90707400000002</v>
      </c>
    </row>
    <row r="640" spans="1:24" x14ac:dyDescent="0.3">
      <c r="A640" s="4" t="s">
        <v>80</v>
      </c>
      <c r="B640" s="4">
        <v>462.20266700000002</v>
      </c>
      <c r="C640" s="4">
        <v>462.183289</v>
      </c>
      <c r="D640" s="4">
        <v>462.10366800000003</v>
      </c>
      <c r="I640" s="4" t="s">
        <v>80</v>
      </c>
      <c r="J640" s="4">
        <v>435.63125600000001</v>
      </c>
      <c r="K640" s="4">
        <v>448.30267300000003</v>
      </c>
      <c r="L640" s="4">
        <v>450.51831099999998</v>
      </c>
      <c r="M640" s="12"/>
      <c r="O640" s="4" t="s">
        <v>80</v>
      </c>
      <c r="P640" s="4">
        <v>456.50857500000001</v>
      </c>
      <c r="Q640" s="4">
        <v>465.52313199999998</v>
      </c>
      <c r="R640" s="4">
        <v>467.749146</v>
      </c>
      <c r="U640" s="4" t="s">
        <v>80</v>
      </c>
      <c r="V640" s="4">
        <v>459.54565400000001</v>
      </c>
      <c r="W640" s="4">
        <v>447.34008799999998</v>
      </c>
      <c r="X640" s="4">
        <v>525.07916299999999</v>
      </c>
    </row>
    <row r="641" spans="1:24" x14ac:dyDescent="0.3">
      <c r="A641" s="4" t="s">
        <v>82</v>
      </c>
      <c r="B641" s="4">
        <v>425.22131300000001</v>
      </c>
      <c r="C641" s="4">
        <v>431.33407599999998</v>
      </c>
      <c r="D641" s="4">
        <v>455.003265</v>
      </c>
      <c r="I641" s="4" t="s">
        <v>82</v>
      </c>
      <c r="J641" s="4">
        <v>416.028076</v>
      </c>
      <c r="K641" s="4">
        <v>416.52825899999999</v>
      </c>
      <c r="L641" s="4">
        <v>425.96887199999998</v>
      </c>
      <c r="M641" s="12"/>
      <c r="O641" s="4" t="s">
        <v>82</v>
      </c>
      <c r="P641" s="4">
        <v>475.568512</v>
      </c>
      <c r="Q641" s="4">
        <v>426.28491200000002</v>
      </c>
      <c r="R641" s="4">
        <v>480.09857199999999</v>
      </c>
      <c r="U641" s="4" t="s">
        <v>82</v>
      </c>
      <c r="V641" s="4">
        <v>463.61734000000001</v>
      </c>
      <c r="W641" s="4">
        <v>414.96078499999999</v>
      </c>
      <c r="X641" s="4">
        <v>466.31774899999999</v>
      </c>
    </row>
    <row r="642" spans="1:24" x14ac:dyDescent="0.3">
      <c r="A642" s="4" t="s">
        <v>84</v>
      </c>
      <c r="B642" s="4">
        <v>540.70977800000003</v>
      </c>
      <c r="C642" s="4">
        <v>542.32739300000003</v>
      </c>
      <c r="D642" s="4">
        <v>541.36706500000003</v>
      </c>
      <c r="I642" s="4" t="s">
        <v>84</v>
      </c>
      <c r="J642" s="4">
        <v>525.18969700000002</v>
      </c>
      <c r="K642" s="4">
        <v>533.54058799999996</v>
      </c>
      <c r="L642" s="4">
        <v>582.364014</v>
      </c>
      <c r="M642" s="12"/>
      <c r="O642" s="4" t="s">
        <v>84</v>
      </c>
      <c r="P642" s="4">
        <v>590.73889199999996</v>
      </c>
      <c r="Q642" s="4">
        <v>540.56231700000001</v>
      </c>
      <c r="R642" s="4">
        <v>536.26660200000003</v>
      </c>
      <c r="U642" s="4" t="s">
        <v>84</v>
      </c>
      <c r="V642" s="4">
        <v>512.11029099999996</v>
      </c>
      <c r="W642" s="4">
        <v>522.33776899999998</v>
      </c>
      <c r="X642" s="4">
        <v>517.30102499999998</v>
      </c>
    </row>
    <row r="643" spans="1:24" x14ac:dyDescent="0.3">
      <c r="A643" s="4" t="s">
        <v>86</v>
      </c>
      <c r="B643" s="4">
        <v>569.16980000000001</v>
      </c>
      <c r="C643" s="4">
        <v>578.99816899999996</v>
      </c>
      <c r="D643" s="4">
        <v>600.716003</v>
      </c>
      <c r="I643" s="4" t="s">
        <v>86</v>
      </c>
      <c r="J643" s="4">
        <v>558.04724099999999</v>
      </c>
      <c r="K643" s="4">
        <v>564.99883999999997</v>
      </c>
      <c r="L643" s="4">
        <v>575.57525599999997</v>
      </c>
      <c r="M643" s="12"/>
      <c r="O643" s="4" t="s">
        <v>86</v>
      </c>
      <c r="P643" s="4">
        <v>556.777649</v>
      </c>
      <c r="Q643" s="4">
        <v>577.27233899999999</v>
      </c>
      <c r="R643" s="4">
        <v>616.32855199999995</v>
      </c>
      <c r="U643" s="4" t="s">
        <v>86</v>
      </c>
      <c r="V643" s="4">
        <v>597.39453100000003</v>
      </c>
      <c r="W643" s="4">
        <v>570.55761700000005</v>
      </c>
      <c r="X643" s="4">
        <v>596.917419</v>
      </c>
    </row>
    <row r="644" spans="1:24" x14ac:dyDescent="0.3">
      <c r="A644" s="4" t="s">
        <v>88</v>
      </c>
      <c r="B644" s="4">
        <v>494.33279399999998</v>
      </c>
      <c r="C644" s="4">
        <v>505.50060999999999</v>
      </c>
      <c r="D644" s="4">
        <v>544.96624799999995</v>
      </c>
      <c r="I644" s="4" t="s">
        <v>88</v>
      </c>
      <c r="J644" s="4">
        <v>475.04605099999998</v>
      </c>
      <c r="K644" s="4">
        <v>491.07955900000002</v>
      </c>
      <c r="L644" s="4">
        <v>473.02667200000002</v>
      </c>
      <c r="M644" s="12"/>
      <c r="O644" s="4" t="s">
        <v>88</v>
      </c>
      <c r="P644" s="4">
        <v>512.62567100000001</v>
      </c>
      <c r="Q644" s="4">
        <v>494.25366200000002</v>
      </c>
      <c r="R644" s="4">
        <v>501.84716800000001</v>
      </c>
      <c r="U644" s="4" t="s">
        <v>88</v>
      </c>
      <c r="V644" s="4">
        <v>494.34869400000002</v>
      </c>
      <c r="W644" s="4">
        <v>475.74377399999997</v>
      </c>
      <c r="X644" s="4">
        <v>479.32278400000001</v>
      </c>
    </row>
    <row r="645" spans="1:24" x14ac:dyDescent="0.3">
      <c r="A645" s="4" t="s">
        <v>90</v>
      </c>
      <c r="B645" s="4">
        <v>436.71691900000002</v>
      </c>
      <c r="C645" s="4">
        <v>449.83169600000002</v>
      </c>
      <c r="D645" s="4">
        <v>523.96813999999995</v>
      </c>
      <c r="I645" s="4" t="s">
        <v>90</v>
      </c>
      <c r="J645" s="4">
        <v>418.68591300000003</v>
      </c>
      <c r="K645" s="4">
        <v>430.15756199999998</v>
      </c>
      <c r="L645" s="4">
        <v>413.76531999999997</v>
      </c>
      <c r="M645" s="12"/>
      <c r="O645" s="4" t="s">
        <v>90</v>
      </c>
      <c r="P645" s="4">
        <v>436.18893400000002</v>
      </c>
      <c r="Q645" s="4">
        <v>446.80285600000002</v>
      </c>
      <c r="R645" s="4">
        <v>531.96301300000005</v>
      </c>
      <c r="U645" s="4" t="s">
        <v>90</v>
      </c>
      <c r="V645" s="4">
        <v>411.39672899999999</v>
      </c>
      <c r="W645" s="4">
        <v>443.65585299999998</v>
      </c>
      <c r="X645" s="4">
        <v>451.049713</v>
      </c>
    </row>
    <row r="646" spans="1:24" x14ac:dyDescent="0.3">
      <c r="A646" s="4" t="s">
        <v>92</v>
      </c>
      <c r="B646" s="4">
        <v>568.98913600000003</v>
      </c>
      <c r="C646" s="4">
        <v>570.75750700000003</v>
      </c>
      <c r="D646" s="4">
        <v>593.558716</v>
      </c>
      <c r="I646" s="4" t="s">
        <v>92</v>
      </c>
      <c r="J646" s="4">
        <v>549.44232199999999</v>
      </c>
      <c r="K646" s="4">
        <v>557.35961899999995</v>
      </c>
      <c r="L646" s="4">
        <v>609.01867700000003</v>
      </c>
      <c r="M646" s="12"/>
      <c r="O646" s="4" t="s">
        <v>92</v>
      </c>
      <c r="P646" s="4">
        <v>581.43676800000003</v>
      </c>
      <c r="Q646" s="4">
        <v>574.43395999999996</v>
      </c>
      <c r="R646" s="4">
        <v>586.85992399999998</v>
      </c>
      <c r="U646" s="4" t="s">
        <v>92</v>
      </c>
      <c r="V646" s="4">
        <v>594.04736300000002</v>
      </c>
      <c r="W646" s="4">
        <v>558.94921899999997</v>
      </c>
      <c r="X646" s="4">
        <v>559.47161900000003</v>
      </c>
    </row>
    <row r="647" spans="1:24" x14ac:dyDescent="0.3">
      <c r="A647" s="4" t="s">
        <v>94</v>
      </c>
      <c r="B647" s="4">
        <v>465.49774200000002</v>
      </c>
      <c r="C647" s="4">
        <v>492.85751299999998</v>
      </c>
      <c r="D647" s="4">
        <v>443.46627799999999</v>
      </c>
      <c r="I647" s="4" t="s">
        <v>94</v>
      </c>
      <c r="J647" s="4">
        <v>448.44101000000001</v>
      </c>
      <c r="K647" s="4">
        <v>461.24389600000001</v>
      </c>
      <c r="L647" s="4">
        <v>619.13433799999996</v>
      </c>
      <c r="M647" s="12"/>
      <c r="O647" s="4" t="s">
        <v>94</v>
      </c>
      <c r="P647" s="4">
        <v>441.66622899999999</v>
      </c>
      <c r="Q647" s="4">
        <v>515.23773200000005</v>
      </c>
      <c r="R647" s="4">
        <v>618.13244599999996</v>
      </c>
      <c r="U647" s="4" t="s">
        <v>94</v>
      </c>
      <c r="V647" s="4">
        <v>599.72186299999998</v>
      </c>
      <c r="W647" s="4">
        <v>497.77432299999998</v>
      </c>
      <c r="X647" s="4">
        <v>511.75012199999998</v>
      </c>
    </row>
    <row r="648" spans="1:24" x14ac:dyDescent="0.3">
      <c r="A648" s="4" t="s">
        <v>96</v>
      </c>
      <c r="B648" s="4">
        <v>593.11859100000004</v>
      </c>
      <c r="C648" s="4">
        <v>612.248108</v>
      </c>
      <c r="D648" s="4">
        <v>582.59161400000005</v>
      </c>
      <c r="I648" s="4" t="s">
        <v>96</v>
      </c>
      <c r="J648" s="4">
        <v>597.16168200000004</v>
      </c>
      <c r="K648" s="4">
        <v>597.36407499999996</v>
      </c>
      <c r="L648" s="4">
        <v>658.49133300000005</v>
      </c>
      <c r="M648" s="12"/>
      <c r="O648" s="4" t="s">
        <v>96</v>
      </c>
      <c r="P648" s="4">
        <v>639.35333300000002</v>
      </c>
      <c r="Q648" s="4">
        <v>601.84643600000004</v>
      </c>
      <c r="R648" s="4">
        <v>593.85632299999997</v>
      </c>
      <c r="U648" s="4" t="s">
        <v>96</v>
      </c>
      <c r="V648" s="4">
        <v>630.96575900000005</v>
      </c>
      <c r="W648" s="4">
        <v>600.840149</v>
      </c>
      <c r="X648" s="4">
        <v>565.02655000000004</v>
      </c>
    </row>
    <row r="649" spans="1:24" x14ac:dyDescent="0.3">
      <c r="A649" s="4" t="s">
        <v>98</v>
      </c>
      <c r="B649" s="4">
        <v>488.36288500000001</v>
      </c>
      <c r="C649" s="4">
        <v>501.096588</v>
      </c>
      <c r="D649" s="4">
        <v>614.433716</v>
      </c>
      <c r="I649" s="4" t="s">
        <v>98</v>
      </c>
      <c r="J649" s="4">
        <v>479.87179600000002</v>
      </c>
      <c r="K649" s="4">
        <v>490.02441399999998</v>
      </c>
      <c r="L649" s="4">
        <v>595.70581100000004</v>
      </c>
      <c r="M649" s="12"/>
      <c r="O649" s="4" t="s">
        <v>98</v>
      </c>
      <c r="P649" s="4">
        <v>471.28839099999999</v>
      </c>
      <c r="Q649" s="4">
        <v>481.28344700000002</v>
      </c>
      <c r="R649" s="4">
        <v>605.45007299999997</v>
      </c>
      <c r="U649" s="4" t="s">
        <v>98</v>
      </c>
      <c r="V649" s="4">
        <v>565.83917199999996</v>
      </c>
      <c r="W649" s="4">
        <v>491.54702800000001</v>
      </c>
      <c r="X649" s="4">
        <v>480.40917999999999</v>
      </c>
    </row>
    <row r="650" spans="1:24" x14ac:dyDescent="0.3">
      <c r="A650" s="4" t="s">
        <v>100</v>
      </c>
      <c r="B650" s="4">
        <v>617.54785200000003</v>
      </c>
      <c r="C650" s="4">
        <v>621.19030799999996</v>
      </c>
      <c r="D650" s="4">
        <v>615.59436000000005</v>
      </c>
      <c r="I650" s="4" t="s">
        <v>100</v>
      </c>
      <c r="J650" s="4">
        <v>617.07287599999995</v>
      </c>
      <c r="K650" s="4">
        <v>624.34954800000003</v>
      </c>
      <c r="L650" s="4">
        <v>704.34625200000005</v>
      </c>
      <c r="M650" s="12"/>
      <c r="O650" s="4" t="s">
        <v>100</v>
      </c>
      <c r="P650" s="4">
        <v>630.63989300000003</v>
      </c>
      <c r="Q650" s="4">
        <v>620.45202600000005</v>
      </c>
      <c r="R650" s="4">
        <v>657.44519000000003</v>
      </c>
      <c r="U650" s="4" t="s">
        <v>100</v>
      </c>
      <c r="V650" s="4">
        <v>620.447632</v>
      </c>
      <c r="W650" s="4">
        <v>627.88732900000002</v>
      </c>
      <c r="X650" s="4">
        <v>644.03637700000002</v>
      </c>
    </row>
    <row r="651" spans="1:24" x14ac:dyDescent="0.3">
      <c r="A651" s="4" t="s">
        <v>102</v>
      </c>
      <c r="B651" s="4">
        <v>609.63830600000006</v>
      </c>
      <c r="C651" s="4">
        <v>621.00225799999998</v>
      </c>
      <c r="D651" s="4">
        <v>679.76141399999995</v>
      </c>
      <c r="I651" s="4" t="s">
        <v>102</v>
      </c>
      <c r="J651" s="4">
        <v>615.96038799999997</v>
      </c>
      <c r="K651" s="4">
        <v>625.17913799999997</v>
      </c>
      <c r="L651" s="4">
        <v>610.466003</v>
      </c>
      <c r="M651" s="12"/>
      <c r="O651" s="4" t="s">
        <v>102</v>
      </c>
      <c r="P651" s="4">
        <v>601.07006799999999</v>
      </c>
      <c r="Q651" s="4">
        <v>620.04492200000004</v>
      </c>
      <c r="R651" s="4">
        <v>699.54907200000002</v>
      </c>
      <c r="U651" s="4" t="s">
        <v>102</v>
      </c>
      <c r="V651" s="4">
        <v>626.41223100000002</v>
      </c>
      <c r="W651" s="4">
        <v>620.56738299999995</v>
      </c>
      <c r="X651" s="4">
        <v>671.521973</v>
      </c>
    </row>
    <row r="652" spans="1:24" x14ac:dyDescent="0.3">
      <c r="A652" s="4" t="s">
        <v>104</v>
      </c>
      <c r="B652" s="4">
        <v>602.97442599999999</v>
      </c>
      <c r="C652" s="4">
        <v>611.07507299999997</v>
      </c>
      <c r="D652" s="4">
        <v>710.950378</v>
      </c>
      <c r="I652" s="4" t="s">
        <v>104</v>
      </c>
      <c r="J652" s="4">
        <v>593.96154799999999</v>
      </c>
      <c r="K652" s="4">
        <v>618.05316200000004</v>
      </c>
      <c r="L652" s="4">
        <v>711.36596699999996</v>
      </c>
      <c r="M652" s="12"/>
      <c r="O652" s="4" t="s">
        <v>104</v>
      </c>
      <c r="P652" s="4">
        <v>677.15228300000001</v>
      </c>
      <c r="Q652" s="4">
        <v>615.671021</v>
      </c>
      <c r="R652" s="4">
        <v>626.38366699999995</v>
      </c>
      <c r="U652" s="4" t="s">
        <v>104</v>
      </c>
      <c r="V652" s="4">
        <v>669.82757600000002</v>
      </c>
      <c r="W652" s="4">
        <v>613.19152799999995</v>
      </c>
      <c r="X652" s="4">
        <v>624.45599400000003</v>
      </c>
    </row>
    <row r="653" spans="1:24" x14ac:dyDescent="0.3">
      <c r="A653" s="4" t="s">
        <v>106</v>
      </c>
      <c r="B653" s="4">
        <v>558.839966</v>
      </c>
      <c r="C653" s="4">
        <v>569.10693400000002</v>
      </c>
      <c r="D653" s="4">
        <v>657.91296399999999</v>
      </c>
      <c r="I653" s="4" t="s">
        <v>106</v>
      </c>
      <c r="J653" s="4">
        <v>557.47955300000001</v>
      </c>
      <c r="K653" s="4">
        <v>565.73449700000003</v>
      </c>
      <c r="L653" s="4">
        <v>587.53161599999999</v>
      </c>
      <c r="M653" s="12"/>
      <c r="O653" s="4" t="s">
        <v>106</v>
      </c>
      <c r="P653" s="4">
        <v>626.34844999999996</v>
      </c>
      <c r="Q653" s="4">
        <v>571.59448199999997</v>
      </c>
      <c r="R653" s="4">
        <v>629.30969200000004</v>
      </c>
      <c r="U653" s="4" t="s">
        <v>106</v>
      </c>
      <c r="V653" s="4">
        <v>547.54193099999998</v>
      </c>
      <c r="W653" s="4">
        <v>569.17083700000001</v>
      </c>
      <c r="X653" s="4">
        <v>552.60217299999999</v>
      </c>
    </row>
    <row r="654" spans="1:24" x14ac:dyDescent="0.3">
      <c r="A654" s="4" t="s">
        <v>108</v>
      </c>
      <c r="B654" s="4">
        <v>605.77020300000004</v>
      </c>
      <c r="C654" s="4">
        <v>616.53454599999998</v>
      </c>
      <c r="D654" s="4">
        <v>628.95452899999998</v>
      </c>
      <c r="I654" s="4" t="s">
        <v>108</v>
      </c>
      <c r="J654" s="4">
        <v>595.51824999999997</v>
      </c>
      <c r="K654" s="4">
        <v>590.64221199999997</v>
      </c>
      <c r="L654" s="4">
        <v>630.956909</v>
      </c>
      <c r="M654" s="12"/>
      <c r="O654" s="4" t="s">
        <v>108</v>
      </c>
      <c r="P654" s="4">
        <v>633.58630400000004</v>
      </c>
      <c r="Q654" s="4">
        <v>606.82379200000003</v>
      </c>
      <c r="R654" s="4">
        <v>624.189392</v>
      </c>
      <c r="U654" s="4" t="s">
        <v>108</v>
      </c>
      <c r="V654" s="4">
        <v>654.23547399999995</v>
      </c>
      <c r="W654" s="4">
        <v>596.95001200000002</v>
      </c>
      <c r="X654" s="4">
        <v>612.72216800000001</v>
      </c>
    </row>
    <row r="655" spans="1:24" x14ac:dyDescent="0.3">
      <c r="A655" s="4" t="s">
        <v>110</v>
      </c>
      <c r="B655" s="4">
        <v>603.15508999999997</v>
      </c>
      <c r="C655" s="4">
        <v>608.02533000000005</v>
      </c>
      <c r="D655" s="4">
        <v>660.99969499999997</v>
      </c>
      <c r="I655" s="4" t="s">
        <v>110</v>
      </c>
      <c r="J655" s="4">
        <v>592.05535899999995</v>
      </c>
      <c r="K655" s="4">
        <v>608.77398700000003</v>
      </c>
      <c r="L655" s="4">
        <v>650.39660600000002</v>
      </c>
      <c r="M655" s="12"/>
      <c r="O655" s="4" t="s">
        <v>110</v>
      </c>
      <c r="P655" s="4">
        <v>633.26293899999996</v>
      </c>
      <c r="Q655" s="4">
        <v>604.91857900000002</v>
      </c>
      <c r="R655" s="4">
        <v>685.43701199999998</v>
      </c>
      <c r="U655" s="4" t="s">
        <v>110</v>
      </c>
      <c r="V655" s="4">
        <v>629.30108600000005</v>
      </c>
      <c r="W655" s="4">
        <v>617.682861</v>
      </c>
      <c r="X655" s="4">
        <v>589.46569799999997</v>
      </c>
    </row>
    <row r="656" spans="1:24" x14ac:dyDescent="0.3">
      <c r="A656" s="4" t="s">
        <v>112</v>
      </c>
      <c r="B656" s="4">
        <v>473.782532</v>
      </c>
      <c r="C656" s="4">
        <v>485.53790300000003</v>
      </c>
      <c r="D656" s="4">
        <v>581.31005900000002</v>
      </c>
      <c r="I656" s="4" t="s">
        <v>112</v>
      </c>
      <c r="J656" s="4">
        <v>462.56518599999998</v>
      </c>
      <c r="K656" s="4">
        <v>465.01599099999999</v>
      </c>
      <c r="L656" s="4">
        <v>529.66339100000005</v>
      </c>
      <c r="M656" s="12"/>
      <c r="O656" s="4" t="s">
        <v>112</v>
      </c>
      <c r="P656" s="4">
        <v>543.12066700000003</v>
      </c>
      <c r="Q656" s="4">
        <v>478.221497</v>
      </c>
      <c r="R656" s="4">
        <v>540.19397000000004</v>
      </c>
      <c r="U656" s="4" t="s">
        <v>112</v>
      </c>
      <c r="V656" s="4">
        <v>489.10668900000002</v>
      </c>
      <c r="W656" s="4">
        <v>467.274475</v>
      </c>
      <c r="X656" s="4">
        <v>463.169983</v>
      </c>
    </row>
    <row r="657" spans="1:24" x14ac:dyDescent="0.3">
      <c r="A657" s="4" t="s">
        <v>114</v>
      </c>
      <c r="B657" s="4">
        <v>602.31042500000001</v>
      </c>
      <c r="C657" s="4">
        <v>604.51617399999998</v>
      </c>
      <c r="D657" s="4">
        <v>683.668091</v>
      </c>
      <c r="I657" s="4" t="s">
        <v>114</v>
      </c>
      <c r="J657" s="4">
        <v>590.68158000000005</v>
      </c>
      <c r="K657" s="4">
        <v>603.61676</v>
      </c>
      <c r="L657" s="4">
        <v>711.56848100000002</v>
      </c>
      <c r="M657" s="12"/>
      <c r="O657" s="4" t="s">
        <v>114</v>
      </c>
      <c r="P657" s="4">
        <v>634.22955300000001</v>
      </c>
      <c r="Q657" s="4">
        <v>613.42590299999995</v>
      </c>
      <c r="R657" s="4">
        <v>618.078125</v>
      </c>
      <c r="U657" s="4" t="s">
        <v>114</v>
      </c>
      <c r="V657" s="4">
        <v>632.73828100000003</v>
      </c>
      <c r="W657" s="4">
        <v>606.38867200000004</v>
      </c>
      <c r="X657" s="4">
        <v>589.34631300000001</v>
      </c>
    </row>
    <row r="658" spans="1:24" x14ac:dyDescent="0.3">
      <c r="A658" s="4" t="s">
        <v>116</v>
      </c>
      <c r="B658" s="4">
        <v>644.91931199999999</v>
      </c>
      <c r="C658" s="4">
        <v>649.48010299999999</v>
      </c>
      <c r="D658" s="4">
        <v>718.93841599999996</v>
      </c>
      <c r="I658" s="4" t="s">
        <v>116</v>
      </c>
      <c r="J658" s="4">
        <v>643.04742399999998</v>
      </c>
      <c r="K658" s="4">
        <v>650.02648899999997</v>
      </c>
      <c r="L658" s="4">
        <v>693.97894299999996</v>
      </c>
      <c r="M658" s="12"/>
      <c r="O658" s="4" t="s">
        <v>116</v>
      </c>
      <c r="P658" s="4">
        <v>670.37744099999998</v>
      </c>
      <c r="Q658" s="4">
        <v>645.68804899999998</v>
      </c>
      <c r="R658" s="4">
        <v>699.07031199999994</v>
      </c>
      <c r="U658" s="4" t="s">
        <v>116</v>
      </c>
      <c r="V658" s="4">
        <v>648.21148700000003</v>
      </c>
      <c r="W658" s="4">
        <v>647.36968999999999</v>
      </c>
      <c r="X658" s="4">
        <v>636.63195800000005</v>
      </c>
    </row>
    <row r="659" spans="1:24" x14ac:dyDescent="0.3">
      <c r="A659" s="4" t="s">
        <v>118</v>
      </c>
      <c r="B659" s="4">
        <v>571.61261000000002</v>
      </c>
      <c r="C659" s="4">
        <v>590.42388900000003</v>
      </c>
      <c r="D659" s="4">
        <v>621.70080600000006</v>
      </c>
      <c r="I659" s="4" t="s">
        <v>118</v>
      </c>
      <c r="J659" s="4">
        <v>579.28356900000006</v>
      </c>
      <c r="K659" s="4">
        <v>583.39367700000003</v>
      </c>
      <c r="L659" s="4">
        <v>656.17175299999997</v>
      </c>
      <c r="M659" s="12"/>
      <c r="O659" s="4" t="s">
        <v>118</v>
      </c>
      <c r="P659" s="4">
        <v>627.90258800000004</v>
      </c>
      <c r="Q659" s="4">
        <v>590.52453600000001</v>
      </c>
      <c r="R659" s="4">
        <v>687.40063499999997</v>
      </c>
      <c r="U659" s="4" t="s">
        <v>118</v>
      </c>
      <c r="V659" s="4">
        <v>610.20642099999998</v>
      </c>
      <c r="W659" s="4">
        <v>582.87976100000003</v>
      </c>
      <c r="X659" s="4">
        <v>651.01800500000002</v>
      </c>
    </row>
    <row r="660" spans="1:24" x14ac:dyDescent="0.3">
      <c r="A660" s="4" t="s">
        <v>120</v>
      </c>
      <c r="B660" s="4">
        <v>709.50439500000005</v>
      </c>
      <c r="C660" s="4">
        <v>716.17553699999996</v>
      </c>
      <c r="D660" s="4">
        <v>730.23693800000001</v>
      </c>
      <c r="I660" s="4" t="s">
        <v>120</v>
      </c>
      <c r="J660" s="4">
        <v>712.93017599999996</v>
      </c>
      <c r="K660" s="4">
        <v>723.703125</v>
      </c>
      <c r="L660" s="4">
        <v>839.307007</v>
      </c>
      <c r="M660" s="12"/>
      <c r="O660" s="4" t="s">
        <v>120</v>
      </c>
      <c r="P660" s="4">
        <v>758.731628</v>
      </c>
      <c r="Q660" s="4">
        <v>718.12969999999996</v>
      </c>
      <c r="R660" s="4">
        <v>738.69341999999995</v>
      </c>
      <c r="U660" s="4" t="s">
        <v>120</v>
      </c>
      <c r="V660" s="4">
        <v>764.49749799999995</v>
      </c>
      <c r="W660" s="4">
        <v>724.63330099999996</v>
      </c>
      <c r="X660" s="4">
        <v>715.216858</v>
      </c>
    </row>
    <row r="661" spans="1:24" x14ac:dyDescent="0.3">
      <c r="A661" s="4" t="s">
        <v>122</v>
      </c>
      <c r="B661" s="4">
        <v>658.18322799999999</v>
      </c>
      <c r="C661" s="4">
        <v>663.31213400000001</v>
      </c>
      <c r="D661" s="4">
        <v>745.49078399999996</v>
      </c>
      <c r="I661" s="4" t="s">
        <v>122</v>
      </c>
      <c r="J661" s="4">
        <v>650.97729500000003</v>
      </c>
      <c r="K661" s="4">
        <v>659.36822500000005</v>
      </c>
      <c r="L661" s="4">
        <v>719.41992200000004</v>
      </c>
      <c r="M661" s="12"/>
      <c r="O661" s="4" t="s">
        <v>122</v>
      </c>
      <c r="P661" s="4">
        <v>675.68048099999999</v>
      </c>
      <c r="Q661" s="4">
        <v>664.48632799999996</v>
      </c>
      <c r="R661" s="4">
        <v>657.09356700000001</v>
      </c>
      <c r="U661" s="4" t="s">
        <v>122</v>
      </c>
      <c r="V661" s="4">
        <v>634.35900900000001</v>
      </c>
      <c r="W661" s="4">
        <v>642.60418700000002</v>
      </c>
      <c r="X661" s="4">
        <v>748.41601600000001</v>
      </c>
    </row>
    <row r="662" spans="1:24" x14ac:dyDescent="0.3">
      <c r="A662" s="4" t="s">
        <v>124</v>
      </c>
      <c r="B662" s="4">
        <v>561.05938700000002</v>
      </c>
      <c r="C662" s="4">
        <v>570.58508300000005</v>
      </c>
      <c r="D662" s="4">
        <v>694.43621800000005</v>
      </c>
      <c r="I662" s="4" t="s">
        <v>124</v>
      </c>
      <c r="J662" s="4">
        <v>567.65368699999999</v>
      </c>
      <c r="K662" s="4">
        <v>579.44378700000004</v>
      </c>
      <c r="L662" s="4">
        <v>607.58355700000004</v>
      </c>
      <c r="M662" s="12"/>
      <c r="O662" s="4" t="s">
        <v>124</v>
      </c>
      <c r="P662" s="4">
        <v>633.95819100000006</v>
      </c>
      <c r="Q662" s="4">
        <v>578.17175299999997</v>
      </c>
      <c r="R662" s="4">
        <v>572.822632</v>
      </c>
      <c r="U662" s="4" t="s">
        <v>124</v>
      </c>
      <c r="V662" s="4">
        <v>655.81347700000003</v>
      </c>
      <c r="W662" s="4">
        <v>579.16204800000003</v>
      </c>
      <c r="X662" s="4">
        <v>608.93615699999998</v>
      </c>
    </row>
    <row r="663" spans="1:24" x14ac:dyDescent="0.3">
      <c r="A663" s="4" t="s">
        <v>126</v>
      </c>
      <c r="B663" s="4">
        <v>627.63568099999998</v>
      </c>
      <c r="C663" s="4">
        <v>628.33019999999999</v>
      </c>
      <c r="D663" s="4">
        <v>746.49670400000002</v>
      </c>
      <c r="I663" s="4" t="s">
        <v>126</v>
      </c>
      <c r="J663" s="4">
        <v>614.95318599999996</v>
      </c>
      <c r="K663" s="4">
        <v>631.71112100000005</v>
      </c>
      <c r="L663" s="4">
        <v>680.08306900000002</v>
      </c>
      <c r="M663" s="12"/>
      <c r="O663" s="4" t="s">
        <v>126</v>
      </c>
      <c r="P663" s="4">
        <v>618.49352999999996</v>
      </c>
      <c r="Q663" s="4">
        <v>637.15325900000005</v>
      </c>
      <c r="R663" s="4">
        <v>723.90753199999995</v>
      </c>
      <c r="U663" s="4" t="s">
        <v>126</v>
      </c>
      <c r="V663" s="4">
        <v>703.21612500000003</v>
      </c>
      <c r="W663" s="4">
        <v>634.67382799999996</v>
      </c>
      <c r="X663" s="4">
        <v>646.79998799999998</v>
      </c>
    </row>
    <row r="664" spans="1:24" x14ac:dyDescent="0.3">
      <c r="A664" s="4" t="s">
        <v>128</v>
      </c>
      <c r="B664" s="4">
        <v>594.78631600000006</v>
      </c>
      <c r="C664" s="4">
        <v>610.79852300000005</v>
      </c>
      <c r="D664" s="4">
        <v>623.16760299999999</v>
      </c>
      <c r="I664" s="4" t="s">
        <v>128</v>
      </c>
      <c r="J664" s="4">
        <v>601.212402</v>
      </c>
      <c r="K664" s="4">
        <v>603.79528800000003</v>
      </c>
      <c r="L664" s="4">
        <v>602.24462900000003</v>
      </c>
      <c r="M664" s="12"/>
      <c r="O664" s="4" t="s">
        <v>128</v>
      </c>
      <c r="P664" s="4">
        <v>652.480591</v>
      </c>
      <c r="Q664" s="4">
        <v>600.40667699999995</v>
      </c>
      <c r="R664" s="4">
        <v>607.11688200000003</v>
      </c>
      <c r="U664" s="4" t="s">
        <v>128</v>
      </c>
      <c r="V664" s="4">
        <v>682.72442599999999</v>
      </c>
      <c r="W664" s="4">
        <v>603.06597899999997</v>
      </c>
      <c r="X664" s="4">
        <v>642.73584000000005</v>
      </c>
    </row>
    <row r="665" spans="1:24" x14ac:dyDescent="0.3">
      <c r="A665" s="4" t="s">
        <v>130</v>
      </c>
      <c r="B665" s="4">
        <v>627.75500499999998</v>
      </c>
      <c r="C665" s="4">
        <v>653.62506099999996</v>
      </c>
      <c r="D665" s="4">
        <v>672.72699</v>
      </c>
      <c r="I665" s="4" t="s">
        <v>130</v>
      </c>
      <c r="J665" s="4">
        <v>644.73529099999996</v>
      </c>
      <c r="K665" s="4">
        <v>649.43957499999999</v>
      </c>
      <c r="L665" s="4">
        <v>636.29827899999998</v>
      </c>
      <c r="M665" s="12"/>
      <c r="O665" s="4" t="s">
        <v>130</v>
      </c>
      <c r="P665" s="4">
        <v>636.80212400000005</v>
      </c>
      <c r="Q665" s="4">
        <v>655.95696999999996</v>
      </c>
      <c r="R665" s="4">
        <v>746.02606200000002</v>
      </c>
      <c r="U665" s="4" t="s">
        <v>130</v>
      </c>
      <c r="V665" s="4">
        <v>627.17334000000005</v>
      </c>
      <c r="W665" s="4">
        <v>652.52563499999997</v>
      </c>
      <c r="X665" s="4">
        <v>637.19226100000003</v>
      </c>
    </row>
    <row r="666" spans="1:24" x14ac:dyDescent="0.3">
      <c r="A666" s="4" t="s">
        <v>132</v>
      </c>
      <c r="B666" s="4">
        <v>551.62072799999999</v>
      </c>
      <c r="C666" s="4">
        <v>566.98541299999999</v>
      </c>
      <c r="D666" s="4">
        <v>625.62005599999998</v>
      </c>
      <c r="I666" s="4" t="s">
        <v>132</v>
      </c>
      <c r="J666" s="4">
        <v>561.93652299999997</v>
      </c>
      <c r="K666" s="4">
        <v>573.10961899999995</v>
      </c>
      <c r="L666" s="4">
        <v>609.071777</v>
      </c>
      <c r="M666" s="12"/>
      <c r="O666" s="4" t="s">
        <v>132</v>
      </c>
      <c r="P666" s="4">
        <v>545.19946300000004</v>
      </c>
      <c r="Q666" s="4">
        <v>581.07098399999995</v>
      </c>
      <c r="R666" s="4">
        <v>670.41754200000003</v>
      </c>
      <c r="U666" s="4" t="s">
        <v>132</v>
      </c>
      <c r="V666" s="4">
        <v>657.29614300000003</v>
      </c>
      <c r="W666" s="4">
        <v>560.14862100000005</v>
      </c>
      <c r="X666" s="4">
        <v>678.80895999999996</v>
      </c>
    </row>
    <row r="667" spans="1:24" x14ac:dyDescent="0.3">
      <c r="A667" s="4" t="s">
        <v>134</v>
      </c>
      <c r="B667" s="4">
        <v>607.80249000000003</v>
      </c>
      <c r="C667" s="4">
        <v>618.86218299999996</v>
      </c>
      <c r="D667" s="4">
        <v>599.87524399999995</v>
      </c>
      <c r="I667" s="4" t="s">
        <v>134</v>
      </c>
      <c r="J667" s="4">
        <v>591.97027600000001</v>
      </c>
      <c r="K667" s="4">
        <v>606.68914800000005</v>
      </c>
      <c r="L667" s="4">
        <v>588.34466599999996</v>
      </c>
      <c r="M667" s="12"/>
      <c r="O667" s="4" t="s">
        <v>134</v>
      </c>
      <c r="P667" s="4">
        <v>599.87524399999995</v>
      </c>
      <c r="Q667" s="4">
        <v>607.25</v>
      </c>
      <c r="R667" s="4">
        <v>599.87524399999995</v>
      </c>
      <c r="U667" s="4" t="s">
        <v>134</v>
      </c>
      <c r="V667" s="4">
        <v>588.34466599999996</v>
      </c>
      <c r="W667" s="4">
        <v>606.72106900000006</v>
      </c>
      <c r="X667" s="4">
        <v>588.34466599999996</v>
      </c>
    </row>
    <row r="668" spans="1:24" x14ac:dyDescent="0.3">
      <c r="A668" s="4" t="s">
        <v>136</v>
      </c>
      <c r="B668" s="4">
        <v>543.58019999999999</v>
      </c>
      <c r="C668" s="4">
        <v>555.65643299999999</v>
      </c>
      <c r="D668" s="4">
        <v>588.854736</v>
      </c>
      <c r="I668" s="4" t="s">
        <v>136</v>
      </c>
      <c r="J668" s="4">
        <v>527.18621800000005</v>
      </c>
      <c r="K668" s="4">
        <v>536.50457800000004</v>
      </c>
      <c r="L668" s="4">
        <v>511.52551299999999</v>
      </c>
      <c r="M668" s="12"/>
      <c r="O668" s="4" t="s">
        <v>136</v>
      </c>
      <c r="P668" s="4">
        <v>570.91747999999995</v>
      </c>
      <c r="Q668" s="4">
        <v>543.97082499999999</v>
      </c>
      <c r="R668" s="4">
        <v>604.93798800000002</v>
      </c>
      <c r="U668" s="4" t="s">
        <v>136</v>
      </c>
      <c r="V668" s="4">
        <v>490.93731700000001</v>
      </c>
      <c r="W668" s="4">
        <v>536.11779799999999</v>
      </c>
      <c r="X668" s="4">
        <v>585.84741199999996</v>
      </c>
    </row>
    <row r="669" spans="1:24" x14ac:dyDescent="0.3">
      <c r="A669" s="4" t="s">
        <v>138</v>
      </c>
      <c r="B669" s="4">
        <v>609.14862100000005</v>
      </c>
      <c r="C669" s="4">
        <v>615.25195299999996</v>
      </c>
      <c r="D669" s="4">
        <v>590.714294</v>
      </c>
      <c r="I669" s="4" t="s">
        <v>138</v>
      </c>
      <c r="J669" s="4">
        <v>602.66760299999999</v>
      </c>
      <c r="K669" s="4">
        <v>601.32372999999995</v>
      </c>
      <c r="L669" s="4">
        <v>614.344604</v>
      </c>
      <c r="M669" s="12"/>
      <c r="O669" s="4" t="s">
        <v>138</v>
      </c>
      <c r="P669" s="4">
        <v>581.40502900000001</v>
      </c>
      <c r="Q669" s="4">
        <v>619.77984600000002</v>
      </c>
      <c r="R669" s="4">
        <v>665.07556199999999</v>
      </c>
      <c r="U669" s="4" t="s">
        <v>138</v>
      </c>
      <c r="V669" s="4">
        <v>635.75201400000003</v>
      </c>
      <c r="W669" s="4">
        <v>605.47491500000001</v>
      </c>
      <c r="X669" s="4">
        <v>639.88678000000004</v>
      </c>
    </row>
    <row r="670" spans="1:24" x14ac:dyDescent="0.3">
      <c r="A670" s="4" t="s">
        <v>140</v>
      </c>
      <c r="B670" s="4">
        <v>596.95281999999997</v>
      </c>
      <c r="C670" s="4">
        <v>618.29986599999995</v>
      </c>
      <c r="D670" s="4">
        <v>584.35754399999996</v>
      </c>
      <c r="I670" s="4" t="s">
        <v>140</v>
      </c>
      <c r="J670" s="4">
        <v>588.49896200000001</v>
      </c>
      <c r="K670" s="4">
        <v>603.94732699999997</v>
      </c>
      <c r="L670" s="4">
        <v>694.71868900000004</v>
      </c>
      <c r="M670" s="12"/>
      <c r="O670" s="4" t="s">
        <v>140</v>
      </c>
      <c r="P670" s="4">
        <v>588.31213400000001</v>
      </c>
      <c r="Q670" s="4">
        <v>614.26745600000004</v>
      </c>
      <c r="R670" s="4">
        <v>671.41778599999998</v>
      </c>
      <c r="U670" s="4" t="s">
        <v>140</v>
      </c>
      <c r="V670" s="4">
        <v>570.24438499999997</v>
      </c>
      <c r="W670" s="4">
        <v>614.67199700000003</v>
      </c>
      <c r="X670" s="4">
        <v>580.70214799999997</v>
      </c>
    </row>
    <row r="671" spans="1:24" x14ac:dyDescent="0.3">
      <c r="A671" s="4" t="s">
        <v>142</v>
      </c>
      <c r="B671" s="4">
        <v>533.50683600000002</v>
      </c>
      <c r="C671" s="4">
        <v>535.24340800000004</v>
      </c>
      <c r="D671" s="4">
        <v>545.78381300000001</v>
      </c>
      <c r="I671" s="4" t="s">
        <v>142</v>
      </c>
      <c r="J671" s="4">
        <v>495.536224</v>
      </c>
      <c r="K671" s="4">
        <v>517.62255900000002</v>
      </c>
      <c r="L671" s="4">
        <v>499.19107100000002</v>
      </c>
      <c r="M671" s="12"/>
      <c r="O671" s="4" t="s">
        <v>142</v>
      </c>
      <c r="P671" s="4">
        <v>530.64392099999998</v>
      </c>
      <c r="Q671" s="4">
        <v>535.40045199999997</v>
      </c>
      <c r="R671" s="4">
        <v>522.27264400000001</v>
      </c>
      <c r="U671" s="4" t="s">
        <v>142</v>
      </c>
      <c r="V671" s="4">
        <v>482.76947000000001</v>
      </c>
      <c r="W671" s="4">
        <v>519.75720200000001</v>
      </c>
      <c r="X671" s="4">
        <v>596.66870100000006</v>
      </c>
    </row>
    <row r="672" spans="1:24" x14ac:dyDescent="0.3">
      <c r="A672" s="4" t="s">
        <v>144</v>
      </c>
      <c r="B672" s="4">
        <v>621.29754600000001</v>
      </c>
      <c r="C672" s="4">
        <v>624.47546399999999</v>
      </c>
      <c r="D672" s="4">
        <v>694.78851299999997</v>
      </c>
      <c r="I672" s="4" t="s">
        <v>144</v>
      </c>
      <c r="J672" s="4">
        <v>609.12786900000003</v>
      </c>
      <c r="K672" s="4">
        <v>619.64489700000001</v>
      </c>
      <c r="L672" s="4">
        <v>644.75647000000004</v>
      </c>
      <c r="M672" s="12"/>
      <c r="O672" s="4" t="s">
        <v>144</v>
      </c>
      <c r="P672" s="4">
        <v>604.83587599999998</v>
      </c>
      <c r="Q672" s="4">
        <v>634.73767099999998</v>
      </c>
      <c r="R672" s="4">
        <v>660.408997</v>
      </c>
      <c r="U672" s="4" t="s">
        <v>144</v>
      </c>
      <c r="V672" s="4">
        <v>652.01733400000001</v>
      </c>
      <c r="W672" s="4">
        <v>619.68957499999999</v>
      </c>
      <c r="X672" s="4">
        <v>679.47686799999997</v>
      </c>
    </row>
    <row r="673" spans="1:24" x14ac:dyDescent="0.3">
      <c r="A673" s="4" t="s">
        <v>146</v>
      </c>
      <c r="B673" s="4">
        <v>550.74993900000004</v>
      </c>
      <c r="C673" s="4">
        <v>575.52886999999998</v>
      </c>
      <c r="D673" s="4">
        <v>634.11102300000005</v>
      </c>
      <c r="I673" s="4" t="s">
        <v>146</v>
      </c>
      <c r="J673" s="4">
        <v>538.41711399999997</v>
      </c>
      <c r="K673" s="4">
        <v>554.22308299999997</v>
      </c>
      <c r="L673" s="4">
        <v>573.92974900000002</v>
      </c>
      <c r="M673" s="12"/>
      <c r="O673" s="4" t="s">
        <v>146</v>
      </c>
      <c r="P673" s="4">
        <v>543.24408000000005</v>
      </c>
      <c r="Q673" s="4">
        <v>571.61218299999996</v>
      </c>
      <c r="R673" s="4">
        <v>637.970642</v>
      </c>
      <c r="U673" s="4" t="s">
        <v>146</v>
      </c>
      <c r="V673" s="4">
        <v>590.69793700000002</v>
      </c>
      <c r="W673" s="4">
        <v>561.83477800000003</v>
      </c>
      <c r="X673" s="4">
        <v>502.29522700000001</v>
      </c>
    </row>
    <row r="674" spans="1:24" x14ac:dyDescent="0.3">
      <c r="A674" s="4" t="s">
        <v>148</v>
      </c>
      <c r="B674" s="4">
        <v>596.07830799999999</v>
      </c>
      <c r="C674" s="4">
        <v>607.64044200000001</v>
      </c>
      <c r="D674" s="4">
        <v>605.14807099999996</v>
      </c>
      <c r="I674" s="4" t="s">
        <v>148</v>
      </c>
      <c r="J674" s="4">
        <v>602.31835899999999</v>
      </c>
      <c r="K674" s="4">
        <v>592.40100099999995</v>
      </c>
      <c r="L674" s="4">
        <v>681.82055700000001</v>
      </c>
      <c r="M674" s="12"/>
      <c r="O674" s="4" t="s">
        <v>148</v>
      </c>
      <c r="P674" s="4">
        <v>632.27447500000005</v>
      </c>
      <c r="Q674" s="4">
        <v>611.92559800000004</v>
      </c>
      <c r="R674" s="4">
        <v>698.16973900000005</v>
      </c>
      <c r="U674" s="4" t="s">
        <v>148</v>
      </c>
      <c r="V674" s="4">
        <v>562.808044</v>
      </c>
      <c r="W674" s="4">
        <v>614.13488800000005</v>
      </c>
      <c r="X674" s="4">
        <v>665.06793200000004</v>
      </c>
    </row>
    <row r="675" spans="1:24" x14ac:dyDescent="0.3">
      <c r="A675" s="4" t="s">
        <v>150</v>
      </c>
      <c r="B675" s="4">
        <v>541.16216999999995</v>
      </c>
      <c r="C675" s="4">
        <v>544.15313700000002</v>
      </c>
      <c r="D675" s="4">
        <v>630.19695999999999</v>
      </c>
      <c r="I675" s="4" t="s">
        <v>150</v>
      </c>
      <c r="J675" s="4">
        <v>521.92016599999999</v>
      </c>
      <c r="K675" s="4">
        <v>527.41577099999995</v>
      </c>
      <c r="L675" s="4">
        <v>631.82049600000005</v>
      </c>
      <c r="M675" s="12"/>
      <c r="O675" s="4" t="s">
        <v>150</v>
      </c>
      <c r="P675" s="4">
        <v>532.36523399999999</v>
      </c>
      <c r="Q675" s="4">
        <v>542.99029499999995</v>
      </c>
      <c r="R675" s="4">
        <v>529.17883300000005</v>
      </c>
      <c r="U675" s="4" t="s">
        <v>150</v>
      </c>
      <c r="V675" s="4">
        <v>577.68188499999997</v>
      </c>
      <c r="W675" s="4">
        <v>527.82336399999997</v>
      </c>
      <c r="X675" s="4">
        <v>580.24163799999997</v>
      </c>
    </row>
    <row r="676" spans="1:24" x14ac:dyDescent="0.3">
      <c r="A676" s="4" t="s">
        <v>152</v>
      </c>
      <c r="B676" s="4">
        <v>598.81457499999999</v>
      </c>
      <c r="C676" s="4">
        <v>603.92804000000001</v>
      </c>
      <c r="D676" s="4">
        <v>574.66540499999996</v>
      </c>
      <c r="I676" s="4" t="s">
        <v>152</v>
      </c>
      <c r="J676" s="4">
        <v>581.80120799999997</v>
      </c>
      <c r="K676" s="4">
        <v>594.527649</v>
      </c>
      <c r="L676" s="4">
        <v>609.22344999999996</v>
      </c>
      <c r="M676" s="12"/>
      <c r="O676" s="4" t="s">
        <v>152</v>
      </c>
      <c r="P676" s="4">
        <v>620.36187700000005</v>
      </c>
      <c r="Q676" s="4">
        <v>590.77923599999997</v>
      </c>
      <c r="R676" s="4">
        <v>652.14056400000004</v>
      </c>
      <c r="U676" s="4" t="s">
        <v>152</v>
      </c>
      <c r="V676" s="4">
        <v>645.38983199999996</v>
      </c>
      <c r="W676" s="4">
        <v>599.32598900000005</v>
      </c>
      <c r="X676" s="4">
        <v>620.703979</v>
      </c>
    </row>
    <row r="677" spans="1:24" x14ac:dyDescent="0.3">
      <c r="A677" s="4" t="s">
        <v>154</v>
      </c>
      <c r="B677" s="4">
        <v>606.855774</v>
      </c>
      <c r="C677" s="4">
        <v>624.33819600000004</v>
      </c>
      <c r="D677" s="4">
        <v>668.62097200000005</v>
      </c>
      <c r="I677" s="4" t="s">
        <v>154</v>
      </c>
      <c r="J677" s="4">
        <v>603.57415800000001</v>
      </c>
      <c r="K677" s="4">
        <v>605.00427200000001</v>
      </c>
      <c r="L677" s="4">
        <v>617.07855199999995</v>
      </c>
      <c r="M677" s="12"/>
      <c r="O677" s="4" t="s">
        <v>154</v>
      </c>
      <c r="P677" s="4">
        <v>691.201233</v>
      </c>
      <c r="Q677" s="4">
        <v>626.22204599999998</v>
      </c>
      <c r="R677" s="4">
        <v>711.19232199999999</v>
      </c>
      <c r="U677" s="4" t="s">
        <v>154</v>
      </c>
      <c r="V677" s="4">
        <v>561.41479500000003</v>
      </c>
      <c r="W677" s="4">
        <v>620.232483</v>
      </c>
      <c r="X677" s="4">
        <v>632.44720500000005</v>
      </c>
    </row>
    <row r="678" spans="1:24" x14ac:dyDescent="0.3">
      <c r="A678" s="4" t="s">
        <v>156</v>
      </c>
      <c r="B678" s="4">
        <v>662.14514199999996</v>
      </c>
      <c r="C678" s="4">
        <v>665.50781199999994</v>
      </c>
      <c r="D678" s="4">
        <v>719.83660899999995</v>
      </c>
      <c r="I678" s="4" t="s">
        <v>156</v>
      </c>
      <c r="J678" s="4">
        <v>648.69305399999996</v>
      </c>
      <c r="K678" s="4">
        <v>662.57421899999997</v>
      </c>
      <c r="L678" s="4">
        <v>726.00561500000003</v>
      </c>
      <c r="M678" s="12"/>
      <c r="O678" s="4" t="s">
        <v>156</v>
      </c>
      <c r="P678" s="4">
        <v>713.50994900000001</v>
      </c>
      <c r="Q678" s="4">
        <v>665.05859399999997</v>
      </c>
      <c r="R678" s="4">
        <v>637.86084000000005</v>
      </c>
      <c r="U678" s="4" t="s">
        <v>156</v>
      </c>
      <c r="V678" s="4">
        <v>691.43280000000004</v>
      </c>
      <c r="W678" s="4">
        <v>655.90338099999997</v>
      </c>
      <c r="X678" s="4">
        <v>612.81420900000001</v>
      </c>
    </row>
    <row r="679" spans="1:24" x14ac:dyDescent="0.3">
      <c r="A679" s="4" t="s">
        <v>158</v>
      </c>
      <c r="B679" s="4">
        <v>662.15148899999997</v>
      </c>
      <c r="C679" s="4">
        <v>659.23333700000001</v>
      </c>
      <c r="D679" s="4">
        <v>645.24377400000003</v>
      </c>
      <c r="I679" s="4" t="s">
        <v>158</v>
      </c>
      <c r="J679" s="4">
        <v>663.27984600000002</v>
      </c>
      <c r="K679" s="4">
        <v>674.02233899999999</v>
      </c>
      <c r="L679" s="4">
        <v>661.64031999999997</v>
      </c>
      <c r="M679" s="12"/>
      <c r="O679" s="4" t="s">
        <v>158</v>
      </c>
      <c r="P679" s="4">
        <v>716.16894500000001</v>
      </c>
      <c r="Q679" s="4">
        <v>683.33007799999996</v>
      </c>
      <c r="R679" s="4">
        <v>698.807007</v>
      </c>
      <c r="U679" s="4" t="s">
        <v>158</v>
      </c>
      <c r="V679" s="4">
        <v>689.636841</v>
      </c>
      <c r="W679" s="4">
        <v>682.53417999999999</v>
      </c>
      <c r="X679" s="4">
        <v>760.22985800000004</v>
      </c>
    </row>
    <row r="680" spans="1:24" x14ac:dyDescent="0.3">
      <c r="A680" s="4" t="s">
        <v>160</v>
      </c>
      <c r="B680" s="4">
        <v>600.62872300000004</v>
      </c>
      <c r="C680" s="4">
        <v>612.20648200000005</v>
      </c>
      <c r="D680" s="4">
        <v>579.69250499999998</v>
      </c>
      <c r="I680" s="4" t="s">
        <v>160</v>
      </c>
      <c r="J680" s="4">
        <v>591.32275400000003</v>
      </c>
      <c r="K680" s="4">
        <v>606.03173800000002</v>
      </c>
      <c r="L680" s="4">
        <v>655.29785200000003</v>
      </c>
      <c r="M680" s="12"/>
      <c r="O680" s="4" t="s">
        <v>160</v>
      </c>
      <c r="P680" s="4">
        <v>669.06390399999998</v>
      </c>
      <c r="Q680" s="4">
        <v>604.87664800000005</v>
      </c>
      <c r="R680" s="4">
        <v>643.59997599999997</v>
      </c>
      <c r="U680" s="4" t="s">
        <v>160</v>
      </c>
      <c r="V680" s="4">
        <v>654.21997099999999</v>
      </c>
      <c r="W680" s="4">
        <v>596.65667699999995</v>
      </c>
      <c r="X680" s="4">
        <v>666.32074</v>
      </c>
    </row>
    <row r="681" spans="1:24" x14ac:dyDescent="0.3">
      <c r="A681" s="4" t="s">
        <v>162</v>
      </c>
      <c r="B681" s="4">
        <v>600.643372</v>
      </c>
      <c r="C681" s="4">
        <v>627.98272699999995</v>
      </c>
      <c r="D681" s="4">
        <v>574.16528300000004</v>
      </c>
      <c r="I681" s="4" t="s">
        <v>162</v>
      </c>
      <c r="J681" s="4">
        <v>615.48120100000006</v>
      </c>
      <c r="K681" s="4">
        <v>629.09613000000002</v>
      </c>
      <c r="L681" s="4">
        <v>610.21466099999998</v>
      </c>
      <c r="M681" s="12"/>
      <c r="O681" s="4" t="s">
        <v>162</v>
      </c>
      <c r="P681" s="4">
        <v>633.16699200000005</v>
      </c>
      <c r="Q681" s="4">
        <v>612.70373500000005</v>
      </c>
      <c r="R681" s="4">
        <v>569.02459699999997</v>
      </c>
      <c r="U681" s="4" t="s">
        <v>162</v>
      </c>
      <c r="V681" s="4">
        <v>707.64941399999998</v>
      </c>
      <c r="W681" s="4">
        <v>641.14465299999995</v>
      </c>
      <c r="X681" s="4">
        <v>717.17895499999997</v>
      </c>
    </row>
    <row r="682" spans="1:24" x14ac:dyDescent="0.3">
      <c r="A682" s="4" t="s">
        <v>164</v>
      </c>
      <c r="B682" s="4">
        <v>546.13262899999995</v>
      </c>
      <c r="C682" s="4">
        <v>574.02374299999997</v>
      </c>
      <c r="D682" s="4">
        <v>632.242615</v>
      </c>
      <c r="I682" s="4" t="s">
        <v>164</v>
      </c>
      <c r="J682" s="4">
        <v>535.23461899999995</v>
      </c>
      <c r="K682" s="4">
        <v>555.74310300000002</v>
      </c>
      <c r="L682" s="4">
        <v>531.58221400000002</v>
      </c>
      <c r="M682" s="12"/>
      <c r="O682" s="4" t="s">
        <v>164</v>
      </c>
      <c r="P682" s="4">
        <v>548.45214799999997</v>
      </c>
      <c r="Q682" s="4">
        <v>570.19451900000001</v>
      </c>
      <c r="R682" s="4">
        <v>576.08367899999996</v>
      </c>
      <c r="U682" s="4" t="s">
        <v>164</v>
      </c>
      <c r="V682" s="4">
        <v>607.10913100000005</v>
      </c>
      <c r="W682" s="4">
        <v>555.71667500000001</v>
      </c>
      <c r="X682" s="4">
        <v>563.54504399999996</v>
      </c>
    </row>
    <row r="683" spans="1:24" x14ac:dyDescent="0.3">
      <c r="A683" s="4" t="s">
        <v>166</v>
      </c>
      <c r="B683" s="4">
        <v>740.06402600000001</v>
      </c>
      <c r="C683" s="4">
        <v>744.48632799999996</v>
      </c>
      <c r="D683" s="4">
        <v>759.84991500000001</v>
      </c>
      <c r="I683" s="4" t="s">
        <v>166</v>
      </c>
      <c r="J683" s="4">
        <v>733.37536599999999</v>
      </c>
      <c r="K683" s="4">
        <v>765.04540999999995</v>
      </c>
      <c r="L683" s="4">
        <v>875.10974099999999</v>
      </c>
      <c r="M683" s="12"/>
      <c r="O683" s="4" t="s">
        <v>166</v>
      </c>
      <c r="P683" s="4">
        <v>843.16156000000001</v>
      </c>
      <c r="Q683" s="4">
        <v>762.90039100000001</v>
      </c>
      <c r="R683" s="4">
        <v>690.81243900000004</v>
      </c>
      <c r="U683" s="4" t="s">
        <v>166</v>
      </c>
      <c r="V683" s="4">
        <v>799.65698199999997</v>
      </c>
      <c r="W683" s="4">
        <v>755.97045900000001</v>
      </c>
      <c r="X683" s="4">
        <v>718.46289100000001</v>
      </c>
    </row>
    <row r="684" spans="1:24" x14ac:dyDescent="0.3">
      <c r="A684" s="4" t="s">
        <v>168</v>
      </c>
      <c r="B684" s="4">
        <v>658.28814699999998</v>
      </c>
      <c r="C684" s="4">
        <v>678.77984600000002</v>
      </c>
      <c r="D684" s="4">
        <v>665.54132100000004</v>
      </c>
      <c r="I684" s="4" t="s">
        <v>168</v>
      </c>
      <c r="J684" s="4">
        <v>667.80120799999997</v>
      </c>
      <c r="K684" s="4">
        <v>674.73559599999999</v>
      </c>
      <c r="L684" s="4">
        <v>665.57824700000003</v>
      </c>
      <c r="M684" s="12"/>
      <c r="O684" s="4" t="s">
        <v>168</v>
      </c>
      <c r="P684" s="4">
        <v>667.93218999999999</v>
      </c>
      <c r="Q684" s="4">
        <v>676.79199200000005</v>
      </c>
      <c r="R684" s="4">
        <v>731.30865500000004</v>
      </c>
      <c r="U684" s="4" t="s">
        <v>168</v>
      </c>
      <c r="V684" s="4">
        <v>729.49456799999996</v>
      </c>
      <c r="W684" s="4">
        <v>678.49011199999995</v>
      </c>
      <c r="X684" s="4">
        <v>758.38568099999998</v>
      </c>
    </row>
    <row r="685" spans="1:24" x14ac:dyDescent="0.3">
      <c r="A685" s="4" t="s">
        <v>170</v>
      </c>
      <c r="B685" s="4">
        <v>701.655396</v>
      </c>
      <c r="C685" s="4">
        <v>710.35632299999997</v>
      </c>
      <c r="D685" s="4">
        <v>769.44274900000005</v>
      </c>
      <c r="I685" s="4" t="s">
        <v>170</v>
      </c>
      <c r="J685" s="4">
        <v>691.20379600000001</v>
      </c>
      <c r="K685" s="4">
        <v>702.78228799999999</v>
      </c>
      <c r="L685" s="4">
        <v>699.65917999999999</v>
      </c>
      <c r="M685" s="12"/>
      <c r="O685" s="4" t="s">
        <v>170</v>
      </c>
      <c r="P685" s="4">
        <v>731.34381099999996</v>
      </c>
      <c r="Q685" s="4">
        <v>699.80401600000005</v>
      </c>
      <c r="R685" s="4">
        <v>731.62255900000002</v>
      </c>
      <c r="U685" s="4" t="s">
        <v>170</v>
      </c>
      <c r="V685" s="4">
        <v>731.99352999999996</v>
      </c>
      <c r="W685" s="4">
        <v>703.81408699999997</v>
      </c>
      <c r="X685" s="4">
        <v>717.14752199999998</v>
      </c>
    </row>
    <row r="686" spans="1:24" x14ac:dyDescent="0.3">
      <c r="A686" s="4" t="s">
        <v>172</v>
      </c>
      <c r="B686" s="4">
        <v>682.14819299999999</v>
      </c>
      <c r="C686" s="4">
        <v>684.47906499999999</v>
      </c>
      <c r="D686" s="4">
        <v>802.20709199999999</v>
      </c>
      <c r="I686" s="4" t="s">
        <v>172</v>
      </c>
      <c r="J686" s="4">
        <v>677.95031700000004</v>
      </c>
      <c r="K686" s="4">
        <v>681.660034</v>
      </c>
      <c r="L686" s="4">
        <v>646.26379399999996</v>
      </c>
      <c r="M686" s="12"/>
      <c r="O686" s="4" t="s">
        <v>172</v>
      </c>
      <c r="P686" s="4">
        <v>653.43786599999999</v>
      </c>
      <c r="Q686" s="4">
        <v>695.65380900000002</v>
      </c>
      <c r="R686" s="4">
        <v>667.05310099999997</v>
      </c>
      <c r="U686" s="4" t="s">
        <v>172</v>
      </c>
      <c r="V686" s="4">
        <v>716.20086700000002</v>
      </c>
      <c r="W686" s="4">
        <v>695.564392</v>
      </c>
      <c r="X686" s="4">
        <v>790.76037599999995</v>
      </c>
    </row>
    <row r="687" spans="1:24" x14ac:dyDescent="0.3">
      <c r="A687" s="4" t="s">
        <v>174</v>
      </c>
      <c r="B687" s="4">
        <v>679.55279499999995</v>
      </c>
      <c r="C687" s="4">
        <v>688.75256300000001</v>
      </c>
      <c r="D687" s="4">
        <v>769.83270300000004</v>
      </c>
      <c r="I687" s="4" t="s">
        <v>174</v>
      </c>
      <c r="J687" s="4">
        <v>679.08923300000004</v>
      </c>
      <c r="K687" s="4">
        <v>685.48791500000004</v>
      </c>
      <c r="L687" s="4">
        <v>722.65069600000004</v>
      </c>
      <c r="M687" s="12"/>
      <c r="O687" s="4" t="s">
        <v>174</v>
      </c>
      <c r="P687" s="4">
        <v>659.37109399999997</v>
      </c>
      <c r="Q687" s="4">
        <v>699.37115500000004</v>
      </c>
      <c r="R687" s="4">
        <v>769.01861599999995</v>
      </c>
      <c r="U687" s="4" t="s">
        <v>174</v>
      </c>
      <c r="V687" s="4">
        <v>654.29864499999996</v>
      </c>
      <c r="W687" s="4">
        <v>690.23602300000005</v>
      </c>
      <c r="X687" s="4">
        <v>792.78198199999997</v>
      </c>
    </row>
    <row r="688" spans="1:24" x14ac:dyDescent="0.3">
      <c r="A688" s="4" t="s">
        <v>176</v>
      </c>
      <c r="B688" s="4">
        <v>711.51544200000001</v>
      </c>
      <c r="C688" s="4">
        <v>723.84710700000005</v>
      </c>
      <c r="D688" s="4">
        <v>713.35375999999997</v>
      </c>
      <c r="I688" s="4" t="s">
        <v>176</v>
      </c>
      <c r="J688" s="4">
        <v>704.65795900000001</v>
      </c>
      <c r="K688" s="4">
        <v>712.26959199999999</v>
      </c>
      <c r="L688" s="4">
        <v>757.23138400000005</v>
      </c>
      <c r="M688" s="12"/>
      <c r="O688" s="4" t="s">
        <v>176</v>
      </c>
      <c r="P688" s="4">
        <v>767.38891599999999</v>
      </c>
      <c r="Q688" s="4">
        <v>726.28430200000003</v>
      </c>
      <c r="R688" s="4">
        <v>691.10497999999995</v>
      </c>
      <c r="U688" s="4" t="s">
        <v>176</v>
      </c>
      <c r="V688" s="4">
        <v>800.93444799999997</v>
      </c>
      <c r="W688" s="4">
        <v>720.31732199999999</v>
      </c>
      <c r="X688" s="4">
        <v>745.08752400000003</v>
      </c>
    </row>
    <row r="689" spans="1:24" x14ac:dyDescent="0.3">
      <c r="A689" s="4" t="s">
        <v>178</v>
      </c>
      <c r="B689" s="4">
        <v>681.59948699999995</v>
      </c>
      <c r="C689" s="4">
        <v>699.78344700000002</v>
      </c>
      <c r="D689" s="4">
        <v>785.84918200000004</v>
      </c>
      <c r="I689" s="4" t="s">
        <v>178</v>
      </c>
      <c r="J689" s="4">
        <v>663.02569600000004</v>
      </c>
      <c r="K689" s="4">
        <v>702.60369900000001</v>
      </c>
      <c r="L689" s="4">
        <v>835.92645300000004</v>
      </c>
      <c r="M689" s="12"/>
      <c r="O689" s="4" t="s">
        <v>178</v>
      </c>
      <c r="P689" s="4">
        <v>679.28082300000005</v>
      </c>
      <c r="Q689" s="4">
        <v>700.86169400000006</v>
      </c>
      <c r="R689" s="4">
        <v>654.70892300000003</v>
      </c>
      <c r="U689" s="4" t="s">
        <v>178</v>
      </c>
      <c r="V689" s="4">
        <v>824.495544</v>
      </c>
      <c r="W689" s="4">
        <v>694.07849099999999</v>
      </c>
      <c r="X689" s="4">
        <v>649.69482400000004</v>
      </c>
    </row>
    <row r="690" spans="1:24" x14ac:dyDescent="0.3">
      <c r="A690" s="4" t="s">
        <v>180</v>
      </c>
      <c r="B690" s="4">
        <v>679.16375700000003</v>
      </c>
      <c r="C690" s="4">
        <v>706.850098</v>
      </c>
      <c r="D690" s="4">
        <v>788.38195800000005</v>
      </c>
      <c r="I690" s="4" t="s">
        <v>180</v>
      </c>
      <c r="J690" s="4">
        <v>679.68573000000004</v>
      </c>
      <c r="K690" s="4">
        <v>709.88250700000003</v>
      </c>
      <c r="L690" s="4">
        <v>819.02954099999999</v>
      </c>
      <c r="M690" s="12"/>
      <c r="O690" s="4" t="s">
        <v>180</v>
      </c>
      <c r="P690" s="4">
        <v>653.48101799999995</v>
      </c>
      <c r="Q690" s="4">
        <v>684.54339600000003</v>
      </c>
      <c r="R690" s="4">
        <v>662.77691700000003</v>
      </c>
      <c r="U690" s="4" t="s">
        <v>180</v>
      </c>
      <c r="V690" s="4">
        <v>653.51660200000003</v>
      </c>
      <c r="W690" s="4">
        <v>705.82678199999998</v>
      </c>
      <c r="X690" s="4">
        <v>868.59625200000005</v>
      </c>
    </row>
    <row r="691" spans="1:24" x14ac:dyDescent="0.3">
      <c r="A691" s="4" t="s">
        <v>182</v>
      </c>
      <c r="B691" s="4">
        <v>646.34417699999995</v>
      </c>
      <c r="C691" s="4">
        <v>656.73657200000002</v>
      </c>
      <c r="D691" s="4">
        <v>744.70556599999998</v>
      </c>
      <c r="I691" s="4" t="s">
        <v>182</v>
      </c>
      <c r="J691" s="4">
        <v>642.31994599999996</v>
      </c>
      <c r="K691" s="4">
        <v>659.00079300000004</v>
      </c>
      <c r="L691" s="4">
        <v>683.54858400000001</v>
      </c>
      <c r="M691" s="12"/>
      <c r="O691" s="4" t="s">
        <v>182</v>
      </c>
      <c r="P691" s="4">
        <v>760.89758300000005</v>
      </c>
      <c r="Q691" s="4">
        <v>628.56829800000003</v>
      </c>
      <c r="R691" s="4">
        <v>637.49652100000003</v>
      </c>
      <c r="U691" s="4" t="s">
        <v>182</v>
      </c>
      <c r="V691" s="4">
        <v>607.74310300000002</v>
      </c>
      <c r="W691" s="4">
        <v>653.29028300000004</v>
      </c>
      <c r="X691" s="4">
        <v>809.55749500000002</v>
      </c>
    </row>
    <row r="692" spans="1:24" x14ac:dyDescent="0.3">
      <c r="A692" s="4" t="s">
        <v>184</v>
      </c>
      <c r="B692" s="4">
        <v>649.77593999999999</v>
      </c>
      <c r="C692" s="4">
        <v>658.20495600000004</v>
      </c>
      <c r="D692" s="4">
        <v>640.79394500000001</v>
      </c>
      <c r="I692" s="4" t="s">
        <v>184</v>
      </c>
      <c r="J692" s="4">
        <v>644.09020999999996</v>
      </c>
      <c r="K692" s="4">
        <v>646.71533199999999</v>
      </c>
      <c r="L692" s="4">
        <v>705.02465800000004</v>
      </c>
      <c r="M692" s="12"/>
      <c r="O692" s="4" t="s">
        <v>184</v>
      </c>
      <c r="P692" s="4">
        <v>630.49694799999997</v>
      </c>
      <c r="Q692" s="4">
        <v>666.86749299999997</v>
      </c>
      <c r="R692" s="4">
        <v>718.38836700000002</v>
      </c>
      <c r="U692" s="4" t="s">
        <v>184</v>
      </c>
      <c r="V692" s="4">
        <v>633.30273399999999</v>
      </c>
      <c r="W692" s="4">
        <v>666.035889</v>
      </c>
      <c r="X692" s="4">
        <v>623.31066899999996</v>
      </c>
    </row>
    <row r="693" spans="1:24" x14ac:dyDescent="0.3">
      <c r="A693" s="4" t="s">
        <v>186</v>
      </c>
      <c r="B693" s="4">
        <v>753.48980700000004</v>
      </c>
      <c r="C693" s="4">
        <v>759.59405500000003</v>
      </c>
      <c r="D693" s="4">
        <v>729.073486</v>
      </c>
      <c r="I693" s="4" t="s">
        <v>186</v>
      </c>
      <c r="J693" s="4">
        <v>768.12579300000004</v>
      </c>
      <c r="K693" s="4">
        <v>804.51208499999996</v>
      </c>
      <c r="L693" s="4">
        <v>819.81555200000003</v>
      </c>
      <c r="M693" s="12"/>
      <c r="O693" s="4" t="s">
        <v>186</v>
      </c>
      <c r="P693" s="4">
        <v>719.37383999999997</v>
      </c>
      <c r="Q693" s="4">
        <v>808.19512899999995</v>
      </c>
      <c r="R693" s="4">
        <v>768.83227499999998</v>
      </c>
      <c r="U693" s="4" t="s">
        <v>186</v>
      </c>
      <c r="V693" s="4">
        <v>913.66479500000003</v>
      </c>
      <c r="W693" s="4">
        <v>799.25311299999998</v>
      </c>
      <c r="X693" s="4">
        <v>815.58703600000001</v>
      </c>
    </row>
    <row r="694" spans="1:24" x14ac:dyDescent="0.3">
      <c r="A694" s="4" t="s">
        <v>188</v>
      </c>
      <c r="B694" s="4">
        <v>689.41198699999995</v>
      </c>
      <c r="C694" s="4">
        <v>713.67791699999998</v>
      </c>
      <c r="D694" s="4">
        <v>681.14215100000001</v>
      </c>
      <c r="I694" s="4" t="s">
        <v>188</v>
      </c>
      <c r="J694" s="4">
        <v>688.69348100000002</v>
      </c>
      <c r="K694" s="4">
        <v>710.22668499999997</v>
      </c>
      <c r="L694" s="4">
        <v>755.63415499999996</v>
      </c>
      <c r="M694" s="12"/>
      <c r="O694" s="4" t="s">
        <v>188</v>
      </c>
      <c r="P694" s="4">
        <v>767.228027</v>
      </c>
      <c r="Q694" s="4">
        <v>707.85296600000004</v>
      </c>
      <c r="R694" s="4">
        <v>848.24267599999996</v>
      </c>
      <c r="U694" s="4" t="s">
        <v>188</v>
      </c>
      <c r="V694" s="4">
        <v>764.08062700000005</v>
      </c>
      <c r="W694" s="4">
        <v>714.72363299999995</v>
      </c>
      <c r="X694" s="4">
        <v>671.42907700000001</v>
      </c>
    </row>
    <row r="695" spans="1:24" x14ac:dyDescent="0.3">
      <c r="A695" s="4" t="s">
        <v>190</v>
      </c>
      <c r="B695" s="4">
        <v>655.55908199999999</v>
      </c>
      <c r="C695" s="4">
        <v>680.29229699999996</v>
      </c>
      <c r="D695" s="4">
        <v>769.34985400000005</v>
      </c>
      <c r="I695" s="4" t="s">
        <v>190</v>
      </c>
      <c r="J695" s="4">
        <v>656.23266599999999</v>
      </c>
      <c r="K695" s="4">
        <v>683.91345200000001</v>
      </c>
      <c r="L695" s="4">
        <v>872.66375700000003</v>
      </c>
      <c r="M695" s="12"/>
      <c r="O695" s="4" t="s">
        <v>190</v>
      </c>
      <c r="P695" s="4">
        <v>776.60058600000002</v>
      </c>
      <c r="Q695" s="4">
        <v>690.34436000000005</v>
      </c>
      <c r="R695" s="4">
        <v>799.58679199999995</v>
      </c>
      <c r="U695" s="4" t="s">
        <v>190</v>
      </c>
      <c r="V695" s="4">
        <v>640.362122</v>
      </c>
      <c r="W695" s="4">
        <v>686.55157499999996</v>
      </c>
      <c r="X695" s="4">
        <v>775.64209000000005</v>
      </c>
    </row>
    <row r="696" spans="1:24" x14ac:dyDescent="0.3">
      <c r="A696" s="4" t="s">
        <v>192</v>
      </c>
      <c r="B696" s="4">
        <v>790.22961399999997</v>
      </c>
      <c r="C696" s="4">
        <v>828.58483899999999</v>
      </c>
      <c r="D696" s="4">
        <v>873.11462400000005</v>
      </c>
      <c r="I696" s="4" t="s">
        <v>192</v>
      </c>
      <c r="J696" s="4">
        <v>772.13433799999996</v>
      </c>
      <c r="K696" s="4">
        <v>768.26385500000004</v>
      </c>
      <c r="L696" s="4">
        <v>769.28204300000004</v>
      </c>
      <c r="M696" s="12"/>
      <c r="O696" s="4" t="s">
        <v>192</v>
      </c>
      <c r="P696" s="4">
        <v>944.71032700000001</v>
      </c>
      <c r="Q696" s="4">
        <v>803.72668499999997</v>
      </c>
      <c r="R696" s="4">
        <v>967.34613000000002</v>
      </c>
      <c r="U696" s="4" t="s">
        <v>192</v>
      </c>
      <c r="V696" s="4">
        <v>873.51000999999997</v>
      </c>
      <c r="W696" s="4">
        <v>814.40954599999998</v>
      </c>
      <c r="X696" s="4">
        <v>740.61425799999995</v>
      </c>
    </row>
    <row r="697" spans="1:24" x14ac:dyDescent="0.3">
      <c r="A697" s="3" t="s">
        <v>194</v>
      </c>
      <c r="B697" s="4">
        <v>677.85790999999995</v>
      </c>
      <c r="C697" s="4">
        <v>690.98492399999998</v>
      </c>
      <c r="D697" s="4">
        <v>664.71227999999996</v>
      </c>
      <c r="I697" s="3" t="s">
        <v>194</v>
      </c>
      <c r="J697" s="4">
        <v>671.59240699999998</v>
      </c>
      <c r="K697" s="4">
        <v>680.66156000000001</v>
      </c>
      <c r="L697" s="4">
        <v>658.79663100000005</v>
      </c>
      <c r="M697" s="12"/>
      <c r="O697" s="3" t="s">
        <v>194</v>
      </c>
      <c r="P697" s="18">
        <v>664.71227999999996</v>
      </c>
      <c r="Q697" s="4">
        <v>690.77667199999996</v>
      </c>
      <c r="R697" s="4">
        <v>664.71227999999996</v>
      </c>
      <c r="U697" s="3" t="s">
        <v>194</v>
      </c>
      <c r="V697" s="18">
        <v>658.79663100000005</v>
      </c>
      <c r="W697" s="4">
        <v>669.88830600000006</v>
      </c>
      <c r="X697" s="4">
        <v>658.79663100000005</v>
      </c>
    </row>
    <row r="698" spans="1:24" x14ac:dyDescent="0.3">
      <c r="A698" s="3" t="s">
        <v>196</v>
      </c>
      <c r="B698" s="4">
        <v>653.50573699999995</v>
      </c>
      <c r="C698" s="4">
        <v>653.74194299999999</v>
      </c>
      <c r="D698" s="4">
        <v>729.17571999999996</v>
      </c>
      <c r="I698" s="3" t="s">
        <v>196</v>
      </c>
      <c r="J698" s="4">
        <v>624.62707499999999</v>
      </c>
      <c r="K698" s="4">
        <v>652.37176499999998</v>
      </c>
      <c r="L698" s="4">
        <v>615.56878700000004</v>
      </c>
      <c r="M698" s="12"/>
      <c r="O698" s="3" t="s">
        <v>196</v>
      </c>
      <c r="P698" s="18">
        <v>744.221497</v>
      </c>
      <c r="Q698" s="4">
        <v>655.52801499999998</v>
      </c>
      <c r="R698" s="4">
        <v>742.57714799999997</v>
      </c>
      <c r="U698" s="3" t="s">
        <v>196</v>
      </c>
      <c r="V698" s="18">
        <v>687.11352499999998</v>
      </c>
      <c r="W698" s="4">
        <v>643.97277799999995</v>
      </c>
      <c r="X698" s="4">
        <v>638.76391599999999</v>
      </c>
    </row>
    <row r="699" spans="1:24" x14ac:dyDescent="0.3">
      <c r="A699" s="3" t="s">
        <v>198</v>
      </c>
      <c r="B699" s="4">
        <v>630.331726</v>
      </c>
      <c r="C699" s="4">
        <v>631.75915499999996</v>
      </c>
      <c r="D699" s="4">
        <v>626.86199999999997</v>
      </c>
      <c r="I699" s="3" t="s">
        <v>198</v>
      </c>
      <c r="J699" s="4">
        <v>623.92511000000002</v>
      </c>
      <c r="K699" s="4">
        <v>642.99670400000002</v>
      </c>
      <c r="L699" s="4">
        <v>712.91803000000004</v>
      </c>
      <c r="M699" s="12"/>
      <c r="O699" s="3" t="s">
        <v>198</v>
      </c>
      <c r="P699" s="18">
        <v>594.97857699999997</v>
      </c>
      <c r="Q699" s="4">
        <v>644.08337400000005</v>
      </c>
      <c r="R699" s="4">
        <v>685.75067100000001</v>
      </c>
      <c r="U699" s="3" t="s">
        <v>198</v>
      </c>
      <c r="V699" s="18">
        <v>681.05773899999997</v>
      </c>
      <c r="W699" s="4">
        <v>636.08209199999999</v>
      </c>
      <c r="X699" s="4">
        <v>569.61303699999996</v>
      </c>
    </row>
    <row r="700" spans="1:24" x14ac:dyDescent="0.3">
      <c r="A700" s="3" t="s">
        <v>200</v>
      </c>
      <c r="B700" s="4">
        <v>598.18573000000004</v>
      </c>
      <c r="C700" s="4">
        <v>602.20471199999997</v>
      </c>
      <c r="D700" s="4">
        <v>557.59008800000004</v>
      </c>
      <c r="I700" s="3" t="s">
        <v>200</v>
      </c>
      <c r="J700" s="4">
        <v>573.83697500000005</v>
      </c>
      <c r="K700" s="4">
        <v>578.91381799999999</v>
      </c>
      <c r="L700" s="4">
        <v>560.99871800000005</v>
      </c>
      <c r="M700" s="12"/>
      <c r="O700" s="3" t="s">
        <v>200</v>
      </c>
      <c r="P700" s="18">
        <v>540.47894299999996</v>
      </c>
      <c r="Q700" s="4">
        <v>589.57446300000004</v>
      </c>
      <c r="R700" s="4">
        <v>649.00756799999999</v>
      </c>
      <c r="U700" s="3" t="s">
        <v>200</v>
      </c>
      <c r="V700" s="18">
        <v>656.44824200000005</v>
      </c>
      <c r="W700" s="4">
        <v>581.56555200000003</v>
      </c>
      <c r="X700" s="4">
        <v>675.22332800000004</v>
      </c>
    </row>
    <row r="701" spans="1:24" x14ac:dyDescent="0.3">
      <c r="A701" s="3" t="s">
        <v>202</v>
      </c>
      <c r="B701" s="4">
        <v>590.22479199999998</v>
      </c>
      <c r="C701" s="4">
        <v>605.50585899999999</v>
      </c>
      <c r="D701" s="4">
        <v>666.75488299999995</v>
      </c>
      <c r="I701" s="3" t="s">
        <v>202</v>
      </c>
      <c r="J701" s="4">
        <v>578.03008999999997</v>
      </c>
      <c r="K701" s="4">
        <v>593.99395800000002</v>
      </c>
      <c r="L701" s="4">
        <v>682.66027799999995</v>
      </c>
      <c r="M701" s="12"/>
      <c r="O701" s="3" t="s">
        <v>202</v>
      </c>
      <c r="P701" s="18">
        <v>637.10760500000004</v>
      </c>
      <c r="Q701" s="4">
        <v>612.98596199999997</v>
      </c>
      <c r="R701" s="4">
        <v>607.53790300000003</v>
      </c>
      <c r="U701" s="3" t="s">
        <v>202</v>
      </c>
      <c r="V701" s="18">
        <v>639.18719499999997</v>
      </c>
      <c r="W701" s="4">
        <v>593.86529499999995</v>
      </c>
      <c r="X701" s="4">
        <v>599.42492700000003</v>
      </c>
    </row>
    <row r="702" spans="1:24" x14ac:dyDescent="0.3">
      <c r="A702" s="3" t="s">
        <v>204</v>
      </c>
      <c r="B702" s="4">
        <v>641.32995600000004</v>
      </c>
      <c r="C702" s="4">
        <v>645.97259499999996</v>
      </c>
      <c r="D702" s="4">
        <v>715.84832800000004</v>
      </c>
      <c r="I702" s="3" t="s">
        <v>204</v>
      </c>
      <c r="J702" s="4">
        <v>631.43969700000002</v>
      </c>
      <c r="K702" s="4">
        <v>643.25213599999995</v>
      </c>
      <c r="L702" s="4">
        <v>698.94964600000003</v>
      </c>
      <c r="M702" s="12"/>
      <c r="O702" s="3" t="s">
        <v>204</v>
      </c>
      <c r="P702" s="18">
        <v>606.35278300000004</v>
      </c>
      <c r="Q702" s="4">
        <v>648.74560499999995</v>
      </c>
      <c r="R702" s="4">
        <v>715.84832800000004</v>
      </c>
      <c r="U702" s="3" t="s">
        <v>204</v>
      </c>
      <c r="V702" s="18">
        <v>601.01251200000002</v>
      </c>
      <c r="W702" s="4">
        <v>646.93182400000001</v>
      </c>
      <c r="X702" s="4">
        <v>702.35046399999999</v>
      </c>
    </row>
    <row r="703" spans="1:24" x14ac:dyDescent="0.3">
      <c r="A703" s="3" t="s">
        <v>206</v>
      </c>
      <c r="B703" s="4">
        <v>656.63104199999998</v>
      </c>
      <c r="C703" s="4">
        <v>664.94091800000001</v>
      </c>
      <c r="D703" s="4">
        <v>721.87738000000002</v>
      </c>
      <c r="I703" s="3" t="s">
        <v>206</v>
      </c>
      <c r="J703" s="4">
        <v>648.38720699999999</v>
      </c>
      <c r="K703" s="4">
        <v>655.68926999999996</v>
      </c>
      <c r="L703" s="4">
        <v>691.29608199999996</v>
      </c>
      <c r="M703" s="12"/>
      <c r="O703" s="3" t="s">
        <v>206</v>
      </c>
      <c r="P703" s="18">
        <v>617.41851799999995</v>
      </c>
      <c r="Q703" s="4">
        <v>662.40771500000005</v>
      </c>
      <c r="R703" s="4">
        <v>641.54437299999995</v>
      </c>
      <c r="U703" s="3" t="s">
        <v>206</v>
      </c>
      <c r="V703" s="18">
        <v>667.96984899999995</v>
      </c>
      <c r="W703" s="4">
        <v>655.44647199999997</v>
      </c>
      <c r="X703" s="4">
        <v>663.10620100000006</v>
      </c>
    </row>
    <row r="704" spans="1:24" x14ac:dyDescent="0.3">
      <c r="A704" s="3" t="s">
        <v>208</v>
      </c>
      <c r="B704" s="4">
        <v>616.14959699999997</v>
      </c>
      <c r="C704" s="4">
        <v>630.60375999999997</v>
      </c>
      <c r="D704" s="4">
        <v>695.15118399999994</v>
      </c>
      <c r="I704" s="3" t="s">
        <v>208</v>
      </c>
      <c r="J704" s="4">
        <v>604.82757600000002</v>
      </c>
      <c r="K704" s="4">
        <v>603.12085000000002</v>
      </c>
      <c r="L704" s="4">
        <v>711.34863299999995</v>
      </c>
      <c r="M704" s="12"/>
      <c r="O704" s="3" t="s">
        <v>208</v>
      </c>
      <c r="P704" s="18">
        <v>642.73516800000004</v>
      </c>
      <c r="Q704" s="4">
        <v>631.03283699999997</v>
      </c>
      <c r="R704" s="4">
        <v>605.45153800000003</v>
      </c>
      <c r="U704" s="3" t="s">
        <v>208</v>
      </c>
      <c r="V704" s="18">
        <v>625.19781499999999</v>
      </c>
      <c r="W704" s="4">
        <v>618.95459000000005</v>
      </c>
      <c r="X704" s="4">
        <v>607.07592799999998</v>
      </c>
    </row>
    <row r="705" spans="1:24" x14ac:dyDescent="0.3">
      <c r="A705" s="3" t="s">
        <v>210</v>
      </c>
      <c r="B705" s="4">
        <v>620.622253</v>
      </c>
      <c r="C705" s="4">
        <v>627.99304199999995</v>
      </c>
      <c r="D705" s="4">
        <v>635.881348</v>
      </c>
      <c r="I705" s="3" t="s">
        <v>210</v>
      </c>
      <c r="J705" s="4">
        <v>608.55609100000004</v>
      </c>
      <c r="K705" s="4">
        <v>623.08642599999996</v>
      </c>
      <c r="L705" s="4">
        <v>711.15875200000005</v>
      </c>
      <c r="M705" s="12"/>
      <c r="O705" s="3" t="s">
        <v>210</v>
      </c>
      <c r="P705" s="18">
        <v>600.93335000000002</v>
      </c>
      <c r="Q705" s="4">
        <v>630.24145499999997</v>
      </c>
      <c r="R705" s="4">
        <v>688.64813200000003</v>
      </c>
      <c r="U705" s="3" t="s">
        <v>210</v>
      </c>
      <c r="V705" s="18">
        <v>689.92761199999995</v>
      </c>
      <c r="W705" s="4">
        <v>624.01654099999996</v>
      </c>
      <c r="X705" s="4">
        <v>664.13970900000004</v>
      </c>
    </row>
    <row r="706" spans="1:24" x14ac:dyDescent="0.3">
      <c r="A706" s="3" t="s">
        <v>212</v>
      </c>
      <c r="B706" s="4">
        <v>636.93353300000001</v>
      </c>
      <c r="C706" s="4">
        <v>644.41326900000001</v>
      </c>
      <c r="D706" s="4">
        <v>660.20269800000005</v>
      </c>
      <c r="I706" s="3" t="s">
        <v>212</v>
      </c>
      <c r="J706" s="4">
        <v>620.18176300000005</v>
      </c>
      <c r="K706" s="4">
        <v>627.95953399999996</v>
      </c>
      <c r="L706" s="4">
        <v>604.70434599999999</v>
      </c>
      <c r="M706" s="12"/>
      <c r="O706" s="3" t="s">
        <v>212</v>
      </c>
      <c r="P706" s="18">
        <v>691.64489700000001</v>
      </c>
      <c r="Q706" s="4">
        <v>659.00427200000001</v>
      </c>
      <c r="R706" s="4">
        <v>640.05841099999998</v>
      </c>
      <c r="U706" s="3" t="s">
        <v>212</v>
      </c>
      <c r="V706" s="18">
        <v>660.02893100000006</v>
      </c>
      <c r="W706" s="4">
        <v>648.748108</v>
      </c>
      <c r="X706" s="4">
        <v>699.831909</v>
      </c>
    </row>
    <row r="707" spans="1:24" x14ac:dyDescent="0.3">
      <c r="A707" s="3" t="s">
        <v>214</v>
      </c>
      <c r="B707" s="4">
        <v>642.42156999999997</v>
      </c>
      <c r="C707" s="4">
        <v>669.15490699999998</v>
      </c>
      <c r="D707" s="4">
        <v>688.24462900000003</v>
      </c>
      <c r="I707" s="3" t="s">
        <v>214</v>
      </c>
      <c r="J707" s="4">
        <v>646.97271699999999</v>
      </c>
      <c r="K707" s="4">
        <v>663.17529300000001</v>
      </c>
      <c r="L707" s="4">
        <v>716.72723399999995</v>
      </c>
      <c r="M707" s="12"/>
      <c r="O707" s="3" t="s">
        <v>214</v>
      </c>
      <c r="P707" s="18">
        <v>748.16857900000002</v>
      </c>
      <c r="Q707" s="4">
        <v>666.90313700000002</v>
      </c>
      <c r="R707" s="4">
        <v>771.42877199999998</v>
      </c>
      <c r="U707" s="3" t="s">
        <v>214</v>
      </c>
      <c r="V707" s="18">
        <v>670.247253</v>
      </c>
      <c r="W707" s="4">
        <v>651.39648399999999</v>
      </c>
      <c r="X707" s="4">
        <v>738.78204300000004</v>
      </c>
    </row>
    <row r="708" spans="1:24" x14ac:dyDescent="0.3">
      <c r="A708" s="3" t="s">
        <v>216</v>
      </c>
      <c r="B708" s="4">
        <v>615.52948000000004</v>
      </c>
      <c r="C708" s="4">
        <v>602.03106700000001</v>
      </c>
      <c r="D708" s="4">
        <v>677.40118399999994</v>
      </c>
      <c r="I708" s="3" t="s">
        <v>216</v>
      </c>
      <c r="J708" s="4">
        <v>591.88995399999999</v>
      </c>
      <c r="K708" s="4">
        <v>612.55316200000004</v>
      </c>
      <c r="L708" s="4">
        <v>560.38580300000001</v>
      </c>
      <c r="M708" s="12"/>
      <c r="O708" s="3" t="s">
        <v>216</v>
      </c>
      <c r="P708" s="18">
        <v>709.41931199999999</v>
      </c>
      <c r="Q708" s="4">
        <v>614.84619099999998</v>
      </c>
      <c r="R708" s="4">
        <v>635.819885</v>
      </c>
      <c r="U708" s="3" t="s">
        <v>216</v>
      </c>
      <c r="V708" s="18">
        <v>687.40362500000003</v>
      </c>
      <c r="W708" s="4">
        <v>610.16137700000002</v>
      </c>
      <c r="X708" s="4">
        <v>723.40637200000003</v>
      </c>
    </row>
    <row r="709" spans="1:24" x14ac:dyDescent="0.3">
      <c r="A709" s="3" t="s">
        <v>218</v>
      </c>
      <c r="B709" s="4">
        <v>673.25628700000004</v>
      </c>
      <c r="C709" s="4">
        <v>677.421021</v>
      </c>
      <c r="D709" s="4">
        <v>623.96478300000001</v>
      </c>
      <c r="I709" s="3" t="s">
        <v>218</v>
      </c>
      <c r="J709" s="4">
        <v>643.56225600000005</v>
      </c>
      <c r="K709" s="4">
        <v>675.46386700000005</v>
      </c>
      <c r="L709" s="4">
        <v>752.11358600000005</v>
      </c>
      <c r="M709" s="12"/>
      <c r="O709" s="3" t="s">
        <v>218</v>
      </c>
      <c r="P709" s="18">
        <v>717.59814500000005</v>
      </c>
      <c r="Q709" s="4">
        <v>677.43042000000003</v>
      </c>
      <c r="R709" s="4">
        <v>621.57153300000004</v>
      </c>
      <c r="U709" s="3" t="s">
        <v>218</v>
      </c>
      <c r="V709" s="18">
        <v>681.55822799999999</v>
      </c>
      <c r="W709" s="4">
        <v>657.34857199999999</v>
      </c>
      <c r="X709" s="4">
        <v>766.73498500000005</v>
      </c>
    </row>
    <row r="710" spans="1:24" x14ac:dyDescent="0.3">
      <c r="A710" s="3" t="s">
        <v>220</v>
      </c>
      <c r="B710" s="4">
        <v>678.98358199999996</v>
      </c>
      <c r="C710" s="4">
        <v>694.41101100000003</v>
      </c>
      <c r="D710" s="4">
        <v>867.79357900000002</v>
      </c>
      <c r="I710" s="3" t="s">
        <v>220</v>
      </c>
      <c r="J710" s="4">
        <v>686.17370600000004</v>
      </c>
      <c r="K710" s="4">
        <v>706.22186299999998</v>
      </c>
      <c r="L710" s="4">
        <v>703.87383999999997</v>
      </c>
      <c r="M710" s="12"/>
      <c r="O710" s="3" t="s">
        <v>220</v>
      </c>
      <c r="P710" s="18">
        <v>774.71105999999997</v>
      </c>
      <c r="Q710" s="4">
        <v>704.09240699999998</v>
      </c>
      <c r="R710" s="4">
        <v>728.14550799999995</v>
      </c>
      <c r="U710" s="3" t="s">
        <v>220</v>
      </c>
      <c r="V710" s="18">
        <v>814.95330799999999</v>
      </c>
      <c r="W710" s="4">
        <v>700.96105999999997</v>
      </c>
      <c r="X710" s="4">
        <v>768.64630099999999</v>
      </c>
    </row>
    <row r="711" spans="1:24" x14ac:dyDescent="0.3">
      <c r="A711" s="3" t="s">
        <v>222</v>
      </c>
      <c r="B711" s="4">
        <v>700.60656700000004</v>
      </c>
      <c r="C711" s="4">
        <v>696.73492399999998</v>
      </c>
      <c r="D711" s="4">
        <v>685.13958700000001</v>
      </c>
      <c r="I711" s="3" t="s">
        <v>222</v>
      </c>
      <c r="J711" s="4">
        <v>678.02447500000005</v>
      </c>
      <c r="K711" s="4">
        <v>702.25817900000004</v>
      </c>
      <c r="L711" s="4">
        <v>852.29040499999996</v>
      </c>
      <c r="M711" s="12"/>
      <c r="O711" s="3" t="s">
        <v>222</v>
      </c>
      <c r="P711" s="18">
        <v>747.31823699999995</v>
      </c>
      <c r="Q711" s="4">
        <v>711.71624799999995</v>
      </c>
      <c r="R711" s="4">
        <v>801.78155500000003</v>
      </c>
      <c r="U711" s="3" t="s">
        <v>222</v>
      </c>
      <c r="V711" s="18">
        <v>774.82690400000001</v>
      </c>
      <c r="W711" s="4">
        <v>708.20782499999996</v>
      </c>
      <c r="X711" s="4">
        <v>740.91253700000004</v>
      </c>
    </row>
    <row r="712" spans="1:24" x14ac:dyDescent="0.3">
      <c r="A712" s="3" t="s">
        <v>224</v>
      </c>
      <c r="B712" s="4">
        <v>753.13653599999998</v>
      </c>
      <c r="C712" s="4">
        <v>794.66101100000003</v>
      </c>
      <c r="D712" s="4">
        <v>732.31768799999998</v>
      </c>
      <c r="I712" s="3" t="s">
        <v>224</v>
      </c>
      <c r="J712" s="4">
        <v>766.90704300000004</v>
      </c>
      <c r="K712" s="4">
        <v>762.92364499999996</v>
      </c>
      <c r="L712" s="4">
        <v>889.89080799999999</v>
      </c>
      <c r="M712" s="12"/>
      <c r="O712" s="3" t="s">
        <v>224</v>
      </c>
      <c r="P712" s="18">
        <v>830.49029499999995</v>
      </c>
      <c r="Q712" s="4">
        <v>784.40240500000004</v>
      </c>
      <c r="R712" s="4">
        <v>725.34606900000006</v>
      </c>
      <c r="U712" s="3" t="s">
        <v>224</v>
      </c>
      <c r="V712" s="18">
        <v>775.87188700000002</v>
      </c>
      <c r="W712" s="4">
        <v>761.10150099999998</v>
      </c>
      <c r="X712" s="4">
        <v>771.55651899999998</v>
      </c>
    </row>
    <row r="713" spans="1:24" x14ac:dyDescent="0.3">
      <c r="A713" s="3" t="s">
        <v>226</v>
      </c>
      <c r="B713" s="4">
        <v>730.86334199999999</v>
      </c>
      <c r="C713" s="4">
        <v>760.07000700000003</v>
      </c>
      <c r="D713" s="4">
        <v>720.72198500000002</v>
      </c>
      <c r="I713" s="3" t="s">
        <v>226</v>
      </c>
      <c r="J713" s="4">
        <v>732.142517</v>
      </c>
      <c r="K713" s="4">
        <v>759.70599400000003</v>
      </c>
      <c r="L713" s="4">
        <v>874.82574499999998</v>
      </c>
      <c r="M713" s="12"/>
      <c r="O713" s="3" t="s">
        <v>226</v>
      </c>
      <c r="P713" s="18">
        <v>707.97375499999998</v>
      </c>
      <c r="Q713" s="4">
        <v>759.54028300000004</v>
      </c>
      <c r="R713" s="4">
        <v>836.28601100000003</v>
      </c>
      <c r="U713" s="3" t="s">
        <v>226</v>
      </c>
      <c r="V713" s="18">
        <v>837.535706</v>
      </c>
      <c r="W713" s="4">
        <v>759.12091099999998</v>
      </c>
      <c r="X713" s="4">
        <v>702.76434300000005</v>
      </c>
    </row>
    <row r="714" spans="1:24" x14ac:dyDescent="0.3">
      <c r="A714" s="3" t="s">
        <v>228</v>
      </c>
      <c r="B714" s="4">
        <v>649.32195999999999</v>
      </c>
      <c r="C714" s="4">
        <v>663.35687299999995</v>
      </c>
      <c r="D714" s="4">
        <v>776.63531499999999</v>
      </c>
      <c r="I714" s="3" t="s">
        <v>228</v>
      </c>
      <c r="J714" s="4">
        <v>649.49273700000003</v>
      </c>
      <c r="K714" s="4">
        <v>659.28533900000002</v>
      </c>
      <c r="L714" s="4">
        <v>771.355591</v>
      </c>
      <c r="M714" s="12"/>
      <c r="O714" s="3" t="s">
        <v>228</v>
      </c>
      <c r="P714" s="18">
        <v>742.76666299999999</v>
      </c>
      <c r="Q714" s="4">
        <v>666.21575900000005</v>
      </c>
      <c r="R714" s="4">
        <v>820.86425799999995</v>
      </c>
      <c r="U714" s="3" t="s">
        <v>228</v>
      </c>
      <c r="V714" s="18">
        <v>586.22650099999998</v>
      </c>
      <c r="W714" s="4">
        <v>662.30096400000002</v>
      </c>
      <c r="X714" s="4">
        <v>741.18048099999999</v>
      </c>
    </row>
    <row r="715" spans="1:24" x14ac:dyDescent="0.3">
      <c r="A715" s="3" t="s">
        <v>230</v>
      </c>
      <c r="B715" s="4">
        <v>733.19274900000005</v>
      </c>
      <c r="C715" s="4">
        <v>760.83404499999995</v>
      </c>
      <c r="D715" s="4">
        <v>876.44085700000005</v>
      </c>
      <c r="I715" s="3" t="s">
        <v>230</v>
      </c>
      <c r="J715" s="4">
        <v>732.14910899999995</v>
      </c>
      <c r="K715" s="4">
        <v>759.19543499999997</v>
      </c>
      <c r="L715" s="4">
        <v>794.68212900000003</v>
      </c>
      <c r="M715" s="12"/>
      <c r="O715" s="3" t="s">
        <v>230</v>
      </c>
      <c r="P715" s="18">
        <v>782.28723100000002</v>
      </c>
      <c r="Q715" s="4">
        <v>763.55432099999996</v>
      </c>
      <c r="R715" s="4">
        <v>861.96227999999996</v>
      </c>
      <c r="U715" s="3" t="s">
        <v>230</v>
      </c>
      <c r="V715" s="18">
        <v>918.759277</v>
      </c>
      <c r="W715" s="4">
        <v>755.29779099999996</v>
      </c>
      <c r="X715" s="4">
        <v>809.09680200000003</v>
      </c>
    </row>
    <row r="716" spans="1:24" x14ac:dyDescent="0.3">
      <c r="A716" s="3" t="s">
        <v>232</v>
      </c>
      <c r="B716" s="4">
        <v>776.92352300000005</v>
      </c>
      <c r="C716" s="4">
        <v>805.88342299999999</v>
      </c>
      <c r="D716" s="4">
        <v>862.56274399999995</v>
      </c>
      <c r="I716" s="3" t="s">
        <v>232</v>
      </c>
      <c r="J716" s="4">
        <v>766.44445800000005</v>
      </c>
      <c r="K716" s="4">
        <v>794.623108</v>
      </c>
      <c r="L716" s="4">
        <v>871.59527600000001</v>
      </c>
      <c r="M716" s="12"/>
      <c r="O716" s="3" t="s">
        <v>232</v>
      </c>
      <c r="P716" s="18">
        <v>764.87939500000005</v>
      </c>
      <c r="Q716" s="4">
        <v>823.74462900000003</v>
      </c>
      <c r="R716" s="4">
        <v>877.482483</v>
      </c>
      <c r="U716" s="3" t="s">
        <v>232</v>
      </c>
      <c r="V716" s="18">
        <v>843.394226</v>
      </c>
      <c r="W716" s="4">
        <v>825.40411400000005</v>
      </c>
      <c r="X716" s="4">
        <v>827.430969</v>
      </c>
    </row>
    <row r="717" spans="1:24" x14ac:dyDescent="0.3">
      <c r="A717" s="3" t="s">
        <v>234</v>
      </c>
      <c r="B717" s="4">
        <v>733.75695800000005</v>
      </c>
      <c r="C717" s="4">
        <v>733.27612299999998</v>
      </c>
      <c r="D717" s="4">
        <v>957.76654099999996</v>
      </c>
      <c r="I717" s="3" t="s">
        <v>234</v>
      </c>
      <c r="J717" s="4">
        <v>721.20867899999996</v>
      </c>
      <c r="K717" s="4">
        <v>746.00958300000002</v>
      </c>
      <c r="L717" s="4">
        <v>853.25311299999998</v>
      </c>
      <c r="M717" s="12"/>
      <c r="O717" s="3" t="s">
        <v>234</v>
      </c>
      <c r="P717" s="18">
        <v>727.45574999999997</v>
      </c>
      <c r="Q717" s="4">
        <v>739.47589100000005</v>
      </c>
      <c r="R717" s="4">
        <v>951.76525900000001</v>
      </c>
      <c r="U717" s="3" t="s">
        <v>234</v>
      </c>
      <c r="V717" s="18">
        <v>681.71734600000002</v>
      </c>
      <c r="W717" s="4">
        <v>750.22412099999997</v>
      </c>
      <c r="X717" s="4">
        <v>900.79480000000001</v>
      </c>
    </row>
    <row r="718" spans="1:24" x14ac:dyDescent="0.3">
      <c r="A718" s="3" t="s">
        <v>236</v>
      </c>
      <c r="B718" s="4">
        <v>751.06451400000003</v>
      </c>
      <c r="C718" s="4">
        <v>773.08111599999995</v>
      </c>
      <c r="D718" s="4">
        <v>972.50183100000004</v>
      </c>
      <c r="I718" s="3" t="s">
        <v>236</v>
      </c>
      <c r="J718" s="4">
        <v>761.99194299999999</v>
      </c>
      <c r="K718" s="4">
        <v>775.997253</v>
      </c>
      <c r="L718" s="4">
        <v>692.20043899999996</v>
      </c>
      <c r="M718" s="12"/>
      <c r="O718" s="3" t="s">
        <v>236</v>
      </c>
      <c r="P718" s="18">
        <v>936.64593500000001</v>
      </c>
      <c r="Q718" s="4">
        <v>775.665527</v>
      </c>
      <c r="R718" s="4">
        <v>921.706726</v>
      </c>
      <c r="U718" s="3" t="s">
        <v>236</v>
      </c>
      <c r="V718" s="18">
        <v>893.87097200000005</v>
      </c>
      <c r="W718" s="4">
        <v>787.16821300000004</v>
      </c>
      <c r="X718" s="4">
        <v>696.53881799999999</v>
      </c>
    </row>
    <row r="719" spans="1:24" x14ac:dyDescent="0.3">
      <c r="A719" s="3" t="s">
        <v>238</v>
      </c>
      <c r="B719" s="4">
        <v>726.26593000000003</v>
      </c>
      <c r="C719" s="4">
        <v>754.29724099999999</v>
      </c>
      <c r="D719" s="4">
        <v>987.76263400000005</v>
      </c>
      <c r="I719" s="3" t="s">
        <v>238</v>
      </c>
      <c r="J719" s="4">
        <v>739.92211899999995</v>
      </c>
      <c r="K719" s="4">
        <v>747.00591999999995</v>
      </c>
      <c r="L719" s="4">
        <v>800.76892099999998</v>
      </c>
      <c r="M719" s="12"/>
      <c r="O719" s="3" t="s">
        <v>238</v>
      </c>
      <c r="P719" s="18">
        <v>762.29663100000005</v>
      </c>
      <c r="Q719" s="4">
        <v>763.48126200000002</v>
      </c>
      <c r="R719" s="4">
        <v>674.390625</v>
      </c>
      <c r="U719" s="3" t="s">
        <v>238</v>
      </c>
      <c r="V719" s="18">
        <v>984.53228799999999</v>
      </c>
      <c r="W719" s="4">
        <v>769.85986300000002</v>
      </c>
      <c r="X719" s="4">
        <v>712.66925000000003</v>
      </c>
    </row>
    <row r="720" spans="1:24" x14ac:dyDescent="0.3">
      <c r="A720" s="3" t="s">
        <v>240</v>
      </c>
      <c r="B720" s="4">
        <v>711.07861300000002</v>
      </c>
      <c r="C720" s="4">
        <v>742.89556900000002</v>
      </c>
      <c r="D720" s="4">
        <v>672.88140899999996</v>
      </c>
      <c r="I720" s="3" t="s">
        <v>240</v>
      </c>
      <c r="J720" s="4">
        <v>717.62426800000003</v>
      </c>
      <c r="K720" s="4">
        <v>728.898865</v>
      </c>
      <c r="L720" s="4">
        <v>665.04901099999995</v>
      </c>
      <c r="M720" s="12"/>
      <c r="O720" s="3" t="s">
        <v>240</v>
      </c>
      <c r="P720" s="18">
        <v>877.995544</v>
      </c>
      <c r="Q720" s="4">
        <v>744.89904799999999</v>
      </c>
      <c r="R720" s="4">
        <v>691.21490500000004</v>
      </c>
      <c r="U720" s="3" t="s">
        <v>240</v>
      </c>
      <c r="V720" s="18">
        <v>923.37249799999995</v>
      </c>
      <c r="W720" s="4">
        <v>736.42309599999999</v>
      </c>
      <c r="X720" s="4">
        <v>884.15893600000004</v>
      </c>
    </row>
    <row r="721" spans="1:24" x14ac:dyDescent="0.3">
      <c r="A721" s="3" t="s">
        <v>242</v>
      </c>
      <c r="B721" s="4">
        <v>723.14031999999997</v>
      </c>
      <c r="C721" s="4">
        <v>749.635986</v>
      </c>
      <c r="D721" s="4">
        <v>728.91735800000004</v>
      </c>
      <c r="I721" s="3" t="s">
        <v>242</v>
      </c>
      <c r="J721" s="4">
        <v>729.13128700000004</v>
      </c>
      <c r="K721" s="4">
        <v>712.61236599999995</v>
      </c>
      <c r="L721" s="4">
        <v>897.86090100000001</v>
      </c>
      <c r="M721" s="12"/>
      <c r="O721" s="3" t="s">
        <v>242</v>
      </c>
      <c r="P721" s="18">
        <v>689.89825399999995</v>
      </c>
      <c r="Q721" s="4">
        <v>760.90600600000005</v>
      </c>
      <c r="R721" s="4">
        <v>715.23089600000003</v>
      </c>
      <c r="U721" s="3" t="s">
        <v>242</v>
      </c>
      <c r="V721" s="18">
        <v>687.73095699999999</v>
      </c>
      <c r="W721" s="4">
        <v>733.95178199999998</v>
      </c>
      <c r="X721" s="4">
        <v>891.67773399999999</v>
      </c>
    </row>
    <row r="722" spans="1:24" x14ac:dyDescent="0.3">
      <c r="A722" s="3" t="s">
        <v>244</v>
      </c>
      <c r="B722" s="4">
        <v>717.56317100000001</v>
      </c>
      <c r="C722" s="4">
        <v>743.78338599999995</v>
      </c>
      <c r="D722" s="4">
        <v>808.66162099999997</v>
      </c>
      <c r="I722" s="3" t="s">
        <v>244</v>
      </c>
      <c r="J722" s="4">
        <v>723.301331</v>
      </c>
      <c r="K722" s="4">
        <v>726.90386999999998</v>
      </c>
      <c r="L722" s="4">
        <v>747.33544900000004</v>
      </c>
      <c r="M722" s="12"/>
      <c r="O722" s="3" t="s">
        <v>244</v>
      </c>
      <c r="P722" s="18">
        <v>891.24731399999996</v>
      </c>
      <c r="Q722" s="4">
        <v>734.16821300000004</v>
      </c>
      <c r="R722" s="4">
        <v>878.97619599999996</v>
      </c>
      <c r="U722" s="3" t="s">
        <v>244</v>
      </c>
      <c r="V722" s="18">
        <v>683.13793899999996</v>
      </c>
      <c r="W722" s="4">
        <v>758.897156</v>
      </c>
      <c r="X722" s="4">
        <v>805.20355199999995</v>
      </c>
    </row>
    <row r="723" spans="1:24" x14ac:dyDescent="0.3">
      <c r="A723" s="3" t="s">
        <v>246</v>
      </c>
      <c r="B723" s="4">
        <v>718.21673599999997</v>
      </c>
      <c r="C723" s="4">
        <v>762.73925799999995</v>
      </c>
      <c r="D723" s="4">
        <v>891.53015100000005</v>
      </c>
      <c r="I723" s="3" t="s">
        <v>246</v>
      </c>
      <c r="J723" s="4">
        <v>707.99530000000004</v>
      </c>
      <c r="K723" s="4">
        <v>749.83514400000001</v>
      </c>
      <c r="L723" s="4">
        <v>804.74157700000001</v>
      </c>
      <c r="M723" s="12"/>
      <c r="O723" s="3" t="s">
        <v>246</v>
      </c>
      <c r="P723" s="18">
        <v>706.87060499999995</v>
      </c>
      <c r="Q723" s="4">
        <v>729.30102499999998</v>
      </c>
      <c r="R723" s="4">
        <v>894.57928500000003</v>
      </c>
      <c r="U723" s="3" t="s">
        <v>246</v>
      </c>
      <c r="V723" s="18">
        <v>932.10882600000002</v>
      </c>
      <c r="W723" s="4">
        <v>759.37286400000005</v>
      </c>
      <c r="X723" s="4">
        <v>991.17175299999997</v>
      </c>
    </row>
    <row r="724" spans="1:24" x14ac:dyDescent="0.3">
      <c r="A724" s="3" t="s">
        <v>248</v>
      </c>
      <c r="B724" s="4">
        <v>762.60406499999999</v>
      </c>
      <c r="C724" s="4">
        <v>769.49926800000003</v>
      </c>
      <c r="D724" s="4">
        <v>963.79199200000005</v>
      </c>
      <c r="I724" s="3" t="s">
        <v>248</v>
      </c>
      <c r="J724" s="4">
        <v>761.53265399999998</v>
      </c>
      <c r="K724" s="4">
        <v>760.75531000000001</v>
      </c>
      <c r="L724" s="4">
        <v>844.66888400000005</v>
      </c>
      <c r="M724" s="12"/>
      <c r="O724" s="3" t="s">
        <v>248</v>
      </c>
      <c r="P724" s="18">
        <v>839.33709699999997</v>
      </c>
      <c r="Q724" s="4">
        <v>776.38732900000002</v>
      </c>
      <c r="R724" s="4">
        <v>713.06536900000003</v>
      </c>
      <c r="U724" s="3" t="s">
        <v>248</v>
      </c>
      <c r="V724" s="18">
        <v>728.90606700000001</v>
      </c>
      <c r="W724" s="4">
        <v>788.15863000000002</v>
      </c>
      <c r="X724" s="4">
        <v>991.79528800000003</v>
      </c>
    </row>
    <row r="725" spans="1:24" x14ac:dyDescent="0.3">
      <c r="A725" s="3" t="s">
        <v>250</v>
      </c>
      <c r="B725" s="4">
        <v>758.64093000000003</v>
      </c>
      <c r="C725" s="4">
        <v>804.51269500000001</v>
      </c>
      <c r="D725" s="4">
        <v>849.29632600000002</v>
      </c>
      <c r="I725" s="3" t="s">
        <v>250</v>
      </c>
      <c r="J725" s="4">
        <v>767.87957800000004</v>
      </c>
      <c r="K725" s="4">
        <v>785.70080600000006</v>
      </c>
      <c r="L725" s="4">
        <v>768.99511700000005</v>
      </c>
      <c r="M725" s="12"/>
      <c r="O725" s="3" t="s">
        <v>250</v>
      </c>
      <c r="P725" s="18">
        <v>705.71728499999995</v>
      </c>
      <c r="Q725" s="4">
        <v>772.54150400000003</v>
      </c>
      <c r="R725" s="4">
        <v>942.65399200000002</v>
      </c>
      <c r="U725" s="3" t="s">
        <v>250</v>
      </c>
      <c r="V725" s="18">
        <v>823.958618</v>
      </c>
      <c r="W725" s="4">
        <v>777.13775599999997</v>
      </c>
      <c r="X725" s="4">
        <v>701.29571499999997</v>
      </c>
    </row>
    <row r="726" spans="1:24" x14ac:dyDescent="0.3">
      <c r="A726" s="3" t="s">
        <v>252</v>
      </c>
      <c r="B726" s="4">
        <v>778.09826699999996</v>
      </c>
      <c r="C726" s="4">
        <v>838.30584699999997</v>
      </c>
      <c r="D726" s="4">
        <v>1008.8498540000001</v>
      </c>
      <c r="I726" s="3" t="s">
        <v>252</v>
      </c>
      <c r="J726" s="4">
        <v>787.66986099999997</v>
      </c>
      <c r="K726" s="4">
        <v>838.12603799999999</v>
      </c>
      <c r="L726" s="4">
        <v>856.60894800000005</v>
      </c>
      <c r="M726" s="12"/>
      <c r="O726" s="3" t="s">
        <v>252</v>
      </c>
      <c r="P726" s="18">
        <v>692.20941200000004</v>
      </c>
      <c r="Q726" s="4">
        <v>822.57006799999999</v>
      </c>
      <c r="R726" s="4">
        <v>844.24566700000003</v>
      </c>
      <c r="U726" s="3" t="s">
        <v>252</v>
      </c>
      <c r="V726" s="18">
        <v>732.28735400000005</v>
      </c>
      <c r="W726" s="4">
        <v>806.97283900000002</v>
      </c>
      <c r="X726" s="4">
        <v>1052.1281739999999</v>
      </c>
    </row>
    <row r="727" spans="1:24" x14ac:dyDescent="0.3">
      <c r="A727" s="3" t="s">
        <v>254</v>
      </c>
      <c r="B727" s="4">
        <v>655.10363800000005</v>
      </c>
      <c r="C727" s="4">
        <v>679.70611599999995</v>
      </c>
      <c r="D727" s="4">
        <v>626.76531999999997</v>
      </c>
      <c r="I727" s="3" t="s">
        <v>254</v>
      </c>
      <c r="J727" s="4">
        <v>663.27514599999995</v>
      </c>
      <c r="K727" s="4">
        <v>679.07751499999995</v>
      </c>
      <c r="L727" s="4">
        <v>613.77172900000005</v>
      </c>
      <c r="M727" s="12"/>
      <c r="O727" s="3" t="s">
        <v>254</v>
      </c>
      <c r="P727" s="18">
        <v>626.76531999999997</v>
      </c>
      <c r="Q727" s="4">
        <v>686.17468299999996</v>
      </c>
      <c r="R727" s="4">
        <v>626.76531999999997</v>
      </c>
      <c r="U727" s="3" t="s">
        <v>254</v>
      </c>
      <c r="V727" s="18">
        <v>613.77172900000005</v>
      </c>
      <c r="W727" s="4">
        <v>664.94323699999995</v>
      </c>
      <c r="X727" s="4">
        <v>613.77172900000005</v>
      </c>
    </row>
    <row r="728" spans="1:24" x14ac:dyDescent="0.3">
      <c r="A728" s="3" t="s">
        <v>256</v>
      </c>
      <c r="B728" s="4">
        <v>680.90606700000001</v>
      </c>
      <c r="C728" s="4">
        <v>710.54901099999995</v>
      </c>
      <c r="D728" s="4">
        <v>748.74060099999997</v>
      </c>
      <c r="I728" s="3" t="s">
        <v>256</v>
      </c>
      <c r="J728" s="4">
        <v>671.90026899999998</v>
      </c>
      <c r="K728" s="4">
        <v>686.58764599999995</v>
      </c>
      <c r="L728" s="4">
        <v>711.36724900000002</v>
      </c>
      <c r="M728" s="12"/>
      <c r="O728" s="3" t="s">
        <v>256</v>
      </c>
      <c r="P728" s="18">
        <v>696.68432600000006</v>
      </c>
      <c r="Q728" s="4">
        <v>704.23107900000002</v>
      </c>
      <c r="R728" s="4">
        <v>854.74780299999998</v>
      </c>
      <c r="U728" s="3" t="s">
        <v>256</v>
      </c>
      <c r="V728" s="18">
        <v>778.207581</v>
      </c>
      <c r="W728" s="4">
        <v>690.09503199999995</v>
      </c>
      <c r="X728" s="4">
        <v>730.06555200000003</v>
      </c>
    </row>
    <row r="729" spans="1:24" x14ac:dyDescent="0.3">
      <c r="A729" s="3" t="s">
        <v>258</v>
      </c>
      <c r="B729" s="4">
        <v>675.82568400000002</v>
      </c>
      <c r="C729" s="4">
        <v>687.29931599999998</v>
      </c>
      <c r="D729" s="4">
        <v>706.378784</v>
      </c>
      <c r="I729" s="3" t="s">
        <v>258</v>
      </c>
      <c r="J729" s="4">
        <v>658.38330099999996</v>
      </c>
      <c r="K729" s="4">
        <v>670.76342799999998</v>
      </c>
      <c r="L729" s="4">
        <v>702.38140899999996</v>
      </c>
      <c r="M729" s="12"/>
      <c r="O729" s="3" t="s">
        <v>258</v>
      </c>
      <c r="P729" s="18">
        <v>778.42034899999999</v>
      </c>
      <c r="Q729" s="4">
        <v>683.86737100000005</v>
      </c>
      <c r="R729" s="4">
        <v>754.521973</v>
      </c>
      <c r="U729" s="3" t="s">
        <v>258</v>
      </c>
      <c r="V729" s="18">
        <v>772.35119599999996</v>
      </c>
      <c r="W729" s="4">
        <v>668.40197799999999</v>
      </c>
      <c r="X729" s="4">
        <v>680.13592500000004</v>
      </c>
    </row>
    <row r="730" spans="1:24" x14ac:dyDescent="0.3">
      <c r="A730" s="3" t="s">
        <v>260</v>
      </c>
      <c r="B730" s="4">
        <v>694.677368</v>
      </c>
      <c r="C730" s="4">
        <v>723.85162400000002</v>
      </c>
      <c r="D730" s="4">
        <v>654.51275599999997</v>
      </c>
      <c r="I730" s="3" t="s">
        <v>260</v>
      </c>
      <c r="J730" s="4">
        <v>689.61328100000003</v>
      </c>
      <c r="K730" s="4">
        <v>712.31542999999999</v>
      </c>
      <c r="L730" s="4">
        <v>689.27209500000004</v>
      </c>
      <c r="M730" s="12"/>
      <c r="O730" s="3" t="s">
        <v>260</v>
      </c>
      <c r="P730" s="18">
        <v>694.39386000000002</v>
      </c>
      <c r="Q730" s="4">
        <v>722.10400400000003</v>
      </c>
      <c r="R730" s="4">
        <v>684.55932600000006</v>
      </c>
      <c r="U730" s="3" t="s">
        <v>260</v>
      </c>
      <c r="V730" s="18">
        <v>792.66241500000001</v>
      </c>
      <c r="W730" s="4">
        <v>715.62884499999996</v>
      </c>
      <c r="X730" s="4">
        <v>792.36602800000003</v>
      </c>
    </row>
    <row r="731" spans="1:24" x14ac:dyDescent="0.3">
      <c r="A731" s="3" t="s">
        <v>262</v>
      </c>
      <c r="B731" s="4">
        <v>741.83142099999998</v>
      </c>
      <c r="C731" s="4">
        <v>762.24292000000003</v>
      </c>
      <c r="D731" s="4">
        <v>818.86920199999997</v>
      </c>
      <c r="I731" s="3" t="s">
        <v>262</v>
      </c>
      <c r="J731" s="4">
        <v>724.04480000000001</v>
      </c>
      <c r="K731" s="4">
        <v>752.30993699999999</v>
      </c>
      <c r="L731" s="4">
        <v>731.99456799999996</v>
      </c>
      <c r="M731" s="12"/>
      <c r="O731" s="3" t="s">
        <v>262</v>
      </c>
      <c r="P731" s="18">
        <v>828.81494099999998</v>
      </c>
      <c r="Q731" s="4">
        <v>741.92681900000002</v>
      </c>
      <c r="R731" s="4">
        <v>794.480774</v>
      </c>
      <c r="U731" s="3" t="s">
        <v>262</v>
      </c>
      <c r="V731" s="18">
        <v>751.066956</v>
      </c>
      <c r="W731" s="4">
        <v>732.29540999999995</v>
      </c>
      <c r="X731" s="4">
        <v>683.11407499999996</v>
      </c>
    </row>
    <row r="732" spans="1:24" x14ac:dyDescent="0.3">
      <c r="A732" s="3" t="s">
        <v>264</v>
      </c>
      <c r="B732" s="4">
        <v>715.06219499999997</v>
      </c>
      <c r="C732" s="4">
        <v>747.60601799999995</v>
      </c>
      <c r="D732" s="4">
        <v>782.74249299999997</v>
      </c>
      <c r="I732" s="3" t="s">
        <v>264</v>
      </c>
      <c r="J732" s="4">
        <v>722.42163100000005</v>
      </c>
      <c r="K732" s="4">
        <v>728.92211899999995</v>
      </c>
      <c r="L732" s="4">
        <v>759.28961200000003</v>
      </c>
      <c r="M732" s="12"/>
      <c r="O732" s="3" t="s">
        <v>264</v>
      </c>
      <c r="P732" s="18">
        <v>846.82275400000003</v>
      </c>
      <c r="Q732" s="4">
        <v>746.98748799999998</v>
      </c>
      <c r="R732" s="4">
        <v>742.35540800000001</v>
      </c>
      <c r="U732" s="3" t="s">
        <v>264</v>
      </c>
      <c r="V732" s="18">
        <v>769.60876499999995</v>
      </c>
      <c r="W732" s="4">
        <v>733.47051999999996</v>
      </c>
      <c r="X732" s="4">
        <v>861.57818599999996</v>
      </c>
    </row>
    <row r="733" spans="1:24" x14ac:dyDescent="0.3">
      <c r="A733" s="3" t="s">
        <v>266</v>
      </c>
      <c r="B733" s="4">
        <v>648.57183799999996</v>
      </c>
      <c r="C733" s="4">
        <v>658.08770800000002</v>
      </c>
      <c r="D733" s="4">
        <v>730.35900900000001</v>
      </c>
      <c r="I733" s="3" t="s">
        <v>266</v>
      </c>
      <c r="J733" s="4">
        <v>630.58752400000003</v>
      </c>
      <c r="K733" s="4">
        <v>634.33019999999999</v>
      </c>
      <c r="L733" s="4">
        <v>708.16113299999995</v>
      </c>
      <c r="M733" s="12"/>
      <c r="O733" s="3" t="s">
        <v>266</v>
      </c>
      <c r="P733" s="18">
        <v>705.41662599999995</v>
      </c>
      <c r="Q733" s="4">
        <v>658.95105000000001</v>
      </c>
      <c r="R733" s="4">
        <v>702.01330600000006</v>
      </c>
      <c r="U733" s="3" t="s">
        <v>266</v>
      </c>
      <c r="V733" s="18">
        <v>665.246399</v>
      </c>
      <c r="W733" s="4">
        <v>633.026794</v>
      </c>
      <c r="X733" s="4">
        <v>653.00238000000002</v>
      </c>
    </row>
    <row r="734" spans="1:24" x14ac:dyDescent="0.3">
      <c r="A734" s="3" t="s">
        <v>268</v>
      </c>
      <c r="B734" s="4">
        <v>709.701233</v>
      </c>
      <c r="C734" s="4">
        <v>707.29949999999997</v>
      </c>
      <c r="D734" s="4">
        <v>671.13037099999997</v>
      </c>
      <c r="I734" s="3" t="s">
        <v>268</v>
      </c>
      <c r="J734" s="4">
        <v>697.81646699999999</v>
      </c>
      <c r="K734" s="4">
        <v>716.982483</v>
      </c>
      <c r="L734" s="4">
        <v>716.06542999999999</v>
      </c>
      <c r="M734" s="12"/>
      <c r="O734" s="3" t="s">
        <v>268</v>
      </c>
      <c r="P734" s="18">
        <v>693.93573000000004</v>
      </c>
      <c r="Q734" s="4">
        <v>719.96441700000003</v>
      </c>
      <c r="R734" s="4">
        <v>760.95752000000005</v>
      </c>
      <c r="U734" s="3" t="s">
        <v>268</v>
      </c>
      <c r="V734" s="18">
        <v>661.70910600000002</v>
      </c>
      <c r="W734" s="4">
        <v>711.66851799999995</v>
      </c>
      <c r="X734" s="4">
        <v>800.19219999999996</v>
      </c>
    </row>
    <row r="735" spans="1:24" x14ac:dyDescent="0.3">
      <c r="A735" s="3" t="s">
        <v>270</v>
      </c>
      <c r="B735" s="4">
        <v>621.15045199999997</v>
      </c>
      <c r="C735" s="4">
        <v>627.78906199999994</v>
      </c>
      <c r="D735" s="4">
        <v>666.57696499999997</v>
      </c>
      <c r="I735" s="3" t="s">
        <v>270</v>
      </c>
      <c r="J735" s="4">
        <v>599.91198699999995</v>
      </c>
      <c r="K735" s="4">
        <v>608.10400400000003</v>
      </c>
      <c r="L735" s="4">
        <v>566.63647500000002</v>
      </c>
      <c r="M735" s="12"/>
      <c r="O735" s="3" t="s">
        <v>270</v>
      </c>
      <c r="P735" s="18">
        <v>690.55584699999997</v>
      </c>
      <c r="Q735" s="4">
        <v>619.96710199999995</v>
      </c>
      <c r="R735" s="4">
        <v>692.90808100000004</v>
      </c>
      <c r="U735" s="3" t="s">
        <v>270</v>
      </c>
      <c r="V735" s="18">
        <v>685.51788299999998</v>
      </c>
      <c r="W735" s="4">
        <v>616.59515399999998</v>
      </c>
      <c r="X735" s="4">
        <v>655.69000200000005</v>
      </c>
    </row>
    <row r="736" spans="1:24" x14ac:dyDescent="0.3">
      <c r="A736" s="3" t="s">
        <v>272</v>
      </c>
      <c r="B736" s="4">
        <v>763.63147000000004</v>
      </c>
      <c r="C736" s="4">
        <v>773.11444100000006</v>
      </c>
      <c r="D736" s="4">
        <v>921.57562299999995</v>
      </c>
      <c r="I736" s="3" t="s">
        <v>272</v>
      </c>
      <c r="J736" s="4">
        <v>758.83270300000004</v>
      </c>
      <c r="K736" s="4">
        <v>779.08752400000003</v>
      </c>
      <c r="L736" s="4">
        <v>874.59326199999998</v>
      </c>
      <c r="M736" s="12"/>
      <c r="O736" s="3" t="s">
        <v>272</v>
      </c>
      <c r="P736" s="18">
        <v>880.61328100000003</v>
      </c>
      <c r="Q736" s="4">
        <v>767.24169900000004</v>
      </c>
      <c r="R736" s="4">
        <v>836.46813999999995</v>
      </c>
      <c r="U736" s="3" t="s">
        <v>272</v>
      </c>
      <c r="V736" s="18">
        <v>901.28094499999997</v>
      </c>
      <c r="W736" s="4">
        <v>781.20288100000005</v>
      </c>
      <c r="X736" s="4">
        <v>896.20770300000004</v>
      </c>
    </row>
    <row r="737" spans="1:24" x14ac:dyDescent="0.3">
      <c r="A737" s="3" t="s">
        <v>274</v>
      </c>
      <c r="B737" s="4">
        <v>803.24688700000002</v>
      </c>
      <c r="C737" s="4">
        <v>841.65661599999999</v>
      </c>
      <c r="D737" s="4">
        <v>726.89935300000002</v>
      </c>
      <c r="I737" s="3" t="s">
        <v>274</v>
      </c>
      <c r="J737" s="4">
        <v>824.87976100000003</v>
      </c>
      <c r="K737" s="4">
        <v>832.49505599999998</v>
      </c>
      <c r="L737" s="4">
        <v>933.52972399999999</v>
      </c>
      <c r="M737" s="12"/>
      <c r="O737" s="3" t="s">
        <v>274</v>
      </c>
      <c r="P737" s="18">
        <v>858.99383499999999</v>
      </c>
      <c r="Q737" s="4">
        <v>856.046875</v>
      </c>
      <c r="R737" s="4">
        <v>879.12854000000004</v>
      </c>
      <c r="U737" s="3" t="s">
        <v>274</v>
      </c>
      <c r="V737" s="18">
        <v>861.06359899999995</v>
      </c>
      <c r="W737" s="4">
        <v>816.382385</v>
      </c>
      <c r="X737" s="4">
        <v>783.83081100000004</v>
      </c>
    </row>
    <row r="738" spans="1:24" x14ac:dyDescent="0.3">
      <c r="A738" s="3" t="s">
        <v>276</v>
      </c>
      <c r="B738" s="4">
        <v>702.81957999999997</v>
      </c>
      <c r="C738" s="4">
        <v>719.25231900000006</v>
      </c>
      <c r="D738" s="4">
        <v>819.82025099999998</v>
      </c>
      <c r="I738" s="3" t="s">
        <v>276</v>
      </c>
      <c r="J738" s="4">
        <v>698.92034899999999</v>
      </c>
      <c r="K738" s="4">
        <v>713.06512499999997</v>
      </c>
      <c r="L738" s="4">
        <v>770.22997999999995</v>
      </c>
      <c r="M738" s="12"/>
      <c r="O738" s="3" t="s">
        <v>276</v>
      </c>
      <c r="P738" s="18">
        <v>841.83685300000002</v>
      </c>
      <c r="Q738" s="4">
        <v>722.84313999999995</v>
      </c>
      <c r="R738" s="4">
        <v>894.67657499999996</v>
      </c>
      <c r="U738" s="3" t="s">
        <v>276</v>
      </c>
      <c r="V738" s="18">
        <v>756.37420699999996</v>
      </c>
      <c r="W738" s="4">
        <v>719.43872099999999</v>
      </c>
      <c r="X738" s="4">
        <v>893.85589600000003</v>
      </c>
    </row>
    <row r="739" spans="1:24" x14ac:dyDescent="0.3">
      <c r="A739" s="3" t="s">
        <v>278</v>
      </c>
      <c r="B739" s="4">
        <v>664.71575900000005</v>
      </c>
      <c r="C739" s="4">
        <v>685.23809800000004</v>
      </c>
      <c r="D739" s="4">
        <v>648.762024</v>
      </c>
      <c r="I739" s="3" t="s">
        <v>278</v>
      </c>
      <c r="J739" s="4">
        <v>653.32379200000003</v>
      </c>
      <c r="K739" s="4">
        <v>651.11669900000004</v>
      </c>
      <c r="L739" s="4">
        <v>781.84491000000003</v>
      </c>
      <c r="M739" s="12"/>
      <c r="O739" s="3" t="s">
        <v>278</v>
      </c>
      <c r="P739" s="18">
        <v>666.45281999999997</v>
      </c>
      <c r="Q739" s="4">
        <v>671.50030500000003</v>
      </c>
      <c r="R739" s="4">
        <v>842.16308600000002</v>
      </c>
      <c r="U739" s="3" t="s">
        <v>278</v>
      </c>
      <c r="V739" s="18">
        <v>617.87616000000003</v>
      </c>
      <c r="W739" s="4">
        <v>674.32861300000002</v>
      </c>
      <c r="X739" s="4">
        <v>632.49249299999997</v>
      </c>
    </row>
    <row r="740" spans="1:24" x14ac:dyDescent="0.3">
      <c r="A740" s="3" t="s">
        <v>280</v>
      </c>
      <c r="B740" s="4">
        <v>925.68896500000005</v>
      </c>
      <c r="C740" s="4">
        <v>938.65411400000005</v>
      </c>
      <c r="D740" s="4">
        <v>760.55602999999996</v>
      </c>
      <c r="I740" s="3" t="s">
        <v>280</v>
      </c>
      <c r="J740" s="4">
        <v>896.40033000000005</v>
      </c>
      <c r="K740" s="4">
        <v>929.74395800000002</v>
      </c>
      <c r="L740" s="4">
        <v>746.58203100000003</v>
      </c>
      <c r="M740" s="12"/>
      <c r="O740" s="3" t="s">
        <v>280</v>
      </c>
      <c r="P740" s="18">
        <v>1022.753235</v>
      </c>
      <c r="Q740" s="4">
        <v>939.01135299999999</v>
      </c>
      <c r="R740" s="4">
        <v>970.948669</v>
      </c>
      <c r="U740" s="3" t="s">
        <v>280</v>
      </c>
      <c r="V740" s="18">
        <v>970.58148200000005</v>
      </c>
      <c r="W740" s="4">
        <v>922.48358199999996</v>
      </c>
      <c r="X740" s="4">
        <v>995.38519299999996</v>
      </c>
    </row>
    <row r="741" spans="1:24" x14ac:dyDescent="0.3">
      <c r="A741" s="3" t="s">
        <v>282</v>
      </c>
      <c r="B741" s="4">
        <v>775.99108899999999</v>
      </c>
      <c r="C741" s="4">
        <v>830.69946300000004</v>
      </c>
      <c r="D741" s="4">
        <v>826.53698699999995</v>
      </c>
      <c r="I741" s="3" t="s">
        <v>282</v>
      </c>
      <c r="J741" s="4">
        <v>777.28002900000001</v>
      </c>
      <c r="K741" s="4">
        <v>824.240723</v>
      </c>
      <c r="L741" s="4">
        <v>999.69164999999998</v>
      </c>
      <c r="M741" s="12"/>
      <c r="O741" s="3" t="s">
        <v>282</v>
      </c>
      <c r="P741" s="18">
        <v>962.25323500000002</v>
      </c>
      <c r="Q741" s="4">
        <v>839.12927200000001</v>
      </c>
      <c r="R741" s="4">
        <v>714.98370399999999</v>
      </c>
      <c r="U741" s="3" t="s">
        <v>282</v>
      </c>
      <c r="V741" s="18">
        <v>706.66821300000004</v>
      </c>
      <c r="W741" s="4">
        <v>823.205872</v>
      </c>
      <c r="X741" s="4">
        <v>716.47607400000004</v>
      </c>
    </row>
    <row r="742" spans="1:24" x14ac:dyDescent="0.3">
      <c r="A742" s="3" t="s">
        <v>284</v>
      </c>
      <c r="B742" s="4">
        <v>860.33441200000004</v>
      </c>
      <c r="C742" s="4">
        <v>900.30566399999998</v>
      </c>
      <c r="D742" s="4">
        <v>992.999146</v>
      </c>
      <c r="I742" s="3" t="s">
        <v>284</v>
      </c>
      <c r="J742" s="4">
        <v>840.94000200000005</v>
      </c>
      <c r="K742" s="4">
        <v>869.80798300000004</v>
      </c>
      <c r="L742" s="4">
        <v>734.37616000000003</v>
      </c>
      <c r="M742" s="12"/>
      <c r="O742" s="3" t="s">
        <v>284</v>
      </c>
      <c r="P742" s="18">
        <v>732.87811299999998</v>
      </c>
      <c r="Q742" s="4">
        <v>878.81640600000003</v>
      </c>
      <c r="R742" s="4">
        <v>914.54760699999997</v>
      </c>
      <c r="U742" s="3" t="s">
        <v>284</v>
      </c>
      <c r="V742" s="18">
        <v>957.68328899999995</v>
      </c>
      <c r="W742" s="4">
        <v>845.65460199999995</v>
      </c>
      <c r="X742" s="4">
        <v>906.03637700000002</v>
      </c>
    </row>
    <row r="743" spans="1:24" x14ac:dyDescent="0.3">
      <c r="A743" s="3" t="s">
        <v>286</v>
      </c>
      <c r="B743" s="4">
        <v>716.30224599999997</v>
      </c>
      <c r="C743" s="4">
        <v>736.14825399999995</v>
      </c>
      <c r="D743" s="4">
        <v>704.66503899999998</v>
      </c>
      <c r="I743" s="3" t="s">
        <v>286</v>
      </c>
      <c r="J743" s="4">
        <v>713.91351299999997</v>
      </c>
      <c r="K743" s="4">
        <v>738.36224400000003</v>
      </c>
      <c r="L743" s="4">
        <v>879.10705600000006</v>
      </c>
      <c r="M743" s="12"/>
      <c r="O743" s="3" t="s">
        <v>286</v>
      </c>
      <c r="P743" s="18">
        <v>859.45092799999998</v>
      </c>
      <c r="Q743" s="4">
        <v>743.15948500000002</v>
      </c>
      <c r="R743" s="4">
        <v>706.39569100000006</v>
      </c>
      <c r="U743" s="3" t="s">
        <v>286</v>
      </c>
      <c r="V743" s="18">
        <v>660.48919699999999</v>
      </c>
      <c r="W743" s="4">
        <v>718.46319600000004</v>
      </c>
      <c r="X743" s="4">
        <v>829.20202600000005</v>
      </c>
    </row>
    <row r="744" spans="1:24" x14ac:dyDescent="0.3">
      <c r="A744" s="3" t="s">
        <v>288</v>
      </c>
      <c r="B744" s="4">
        <v>707.13067599999999</v>
      </c>
      <c r="C744" s="4">
        <v>744.23571800000002</v>
      </c>
      <c r="D744" s="4">
        <v>813.38861099999997</v>
      </c>
      <c r="I744" s="3" t="s">
        <v>288</v>
      </c>
      <c r="J744" s="4">
        <v>724.083618</v>
      </c>
      <c r="K744" s="4">
        <v>739.30731200000002</v>
      </c>
      <c r="L744" s="4">
        <v>711.12426800000003</v>
      </c>
      <c r="M744" s="12"/>
      <c r="O744" s="3" t="s">
        <v>288</v>
      </c>
      <c r="P744" s="18">
        <v>645.44232199999999</v>
      </c>
      <c r="Q744" s="4">
        <v>746.30480999999997</v>
      </c>
      <c r="R744" s="4">
        <v>710.25933799999996</v>
      </c>
      <c r="U744" s="3" t="s">
        <v>288</v>
      </c>
      <c r="V744" s="18">
        <v>648.94720500000005</v>
      </c>
      <c r="W744" s="4">
        <v>753.99731399999996</v>
      </c>
      <c r="X744" s="4">
        <v>924.48968500000001</v>
      </c>
    </row>
    <row r="745" spans="1:24" x14ac:dyDescent="0.3">
      <c r="A745" s="3" t="s">
        <v>290</v>
      </c>
      <c r="B745" s="4">
        <v>725.986267</v>
      </c>
      <c r="C745" s="4">
        <v>745.12347399999999</v>
      </c>
      <c r="D745" s="4">
        <v>908.53045699999996</v>
      </c>
      <c r="I745" s="3" t="s">
        <v>290</v>
      </c>
      <c r="J745" s="4">
        <v>716.56597899999997</v>
      </c>
      <c r="K745" s="4">
        <v>746.68963599999995</v>
      </c>
      <c r="L745" s="4">
        <v>895.54467799999998</v>
      </c>
      <c r="M745" s="12"/>
      <c r="O745" s="3" t="s">
        <v>290</v>
      </c>
      <c r="P745" s="18">
        <v>690.94030799999996</v>
      </c>
      <c r="Q745" s="4">
        <v>741.06768799999998</v>
      </c>
      <c r="R745" s="4">
        <v>677.14111300000002</v>
      </c>
      <c r="U745" s="3" t="s">
        <v>290</v>
      </c>
      <c r="V745" s="18">
        <v>773.57971199999997</v>
      </c>
      <c r="W745" s="4">
        <v>744.98999000000003</v>
      </c>
      <c r="X745" s="4">
        <v>683.75231900000006</v>
      </c>
    </row>
    <row r="746" spans="1:24" x14ac:dyDescent="0.3">
      <c r="A746" s="3" t="s">
        <v>292</v>
      </c>
      <c r="B746" s="4">
        <v>779.78997800000002</v>
      </c>
      <c r="C746" s="4">
        <v>803.55395499999997</v>
      </c>
      <c r="D746" s="4">
        <v>1023.93927</v>
      </c>
      <c r="I746" s="3" t="s">
        <v>292</v>
      </c>
      <c r="J746" s="4">
        <v>764.698486</v>
      </c>
      <c r="K746" s="4">
        <v>810.06994599999996</v>
      </c>
      <c r="L746" s="4">
        <v>957.48394800000005</v>
      </c>
      <c r="M746" s="12"/>
      <c r="O746" s="3" t="s">
        <v>292</v>
      </c>
      <c r="P746" s="18">
        <v>710.08056599999998</v>
      </c>
      <c r="Q746" s="4">
        <v>791.785889</v>
      </c>
      <c r="R746" s="4">
        <v>1023.93927</v>
      </c>
      <c r="U746" s="3" t="s">
        <v>292</v>
      </c>
      <c r="V746" s="18">
        <v>999.04290800000001</v>
      </c>
      <c r="W746" s="4">
        <v>789.91180399999996</v>
      </c>
      <c r="X746" s="4">
        <v>953.87152100000003</v>
      </c>
    </row>
    <row r="747" spans="1:24" x14ac:dyDescent="0.3">
      <c r="A747" s="3" t="s">
        <v>294</v>
      </c>
      <c r="B747" s="4">
        <v>907.97131300000001</v>
      </c>
      <c r="C747" s="4">
        <v>962.00006099999996</v>
      </c>
      <c r="D747" s="4">
        <v>1024.871948</v>
      </c>
      <c r="I747" s="3" t="s">
        <v>294</v>
      </c>
      <c r="J747" s="4">
        <v>899.681152</v>
      </c>
      <c r="K747" s="4">
        <v>946.67114300000003</v>
      </c>
      <c r="L747" s="4">
        <v>1134.599976</v>
      </c>
      <c r="M747" s="12"/>
      <c r="O747" s="3" t="s">
        <v>294</v>
      </c>
      <c r="P747" s="18">
        <v>989.36254899999994</v>
      </c>
      <c r="Q747" s="4">
        <v>936.82849099999999</v>
      </c>
      <c r="R747" s="4">
        <v>1011.6026000000001</v>
      </c>
      <c r="U747" s="3" t="s">
        <v>294</v>
      </c>
      <c r="V747" s="18">
        <v>1104.8679199999999</v>
      </c>
      <c r="W747" s="4">
        <v>937.81188999999995</v>
      </c>
      <c r="X747" s="4">
        <v>1148.947388</v>
      </c>
    </row>
    <row r="748" spans="1:24" x14ac:dyDescent="0.3">
      <c r="A748" s="3" t="s">
        <v>296</v>
      </c>
      <c r="B748" s="4">
        <v>904.26300000000003</v>
      </c>
      <c r="C748" s="4">
        <v>925.25183100000004</v>
      </c>
      <c r="D748" s="4">
        <v>862.47668499999997</v>
      </c>
      <c r="I748" s="3" t="s">
        <v>296</v>
      </c>
      <c r="J748" s="4">
        <v>903.75787400000002</v>
      </c>
      <c r="K748" s="4">
        <v>949.22143600000004</v>
      </c>
      <c r="L748" s="4">
        <v>1021.223938</v>
      </c>
      <c r="M748" s="12"/>
      <c r="O748" s="3" t="s">
        <v>296</v>
      </c>
      <c r="P748" s="18">
        <v>983.69183299999997</v>
      </c>
      <c r="Q748" s="4">
        <v>934.56207300000005</v>
      </c>
      <c r="R748" s="4">
        <v>1014.662476</v>
      </c>
      <c r="U748" s="3" t="s">
        <v>296</v>
      </c>
      <c r="V748" s="18">
        <v>880.46795699999996</v>
      </c>
      <c r="W748" s="4">
        <v>943.84509300000002</v>
      </c>
      <c r="X748" s="4">
        <v>927.657104</v>
      </c>
    </row>
    <row r="749" spans="1:24" x14ac:dyDescent="0.3">
      <c r="A749" s="3" t="s">
        <v>298</v>
      </c>
      <c r="B749" s="4">
        <v>778.83667000000003</v>
      </c>
      <c r="C749" s="4">
        <v>795.98419200000001</v>
      </c>
      <c r="D749" s="4">
        <v>902.97656199999994</v>
      </c>
      <c r="I749" s="3" t="s">
        <v>298</v>
      </c>
      <c r="J749" s="4">
        <v>775.21636999999998</v>
      </c>
      <c r="K749" s="4">
        <v>797.88378899999998</v>
      </c>
      <c r="L749" s="4">
        <v>742.66467299999999</v>
      </c>
      <c r="M749" s="12"/>
      <c r="O749" s="3" t="s">
        <v>298</v>
      </c>
      <c r="P749" s="18">
        <v>772.53765899999996</v>
      </c>
      <c r="Q749" s="4">
        <v>822.68347200000005</v>
      </c>
      <c r="R749" s="4">
        <v>772.53765899999996</v>
      </c>
      <c r="U749" s="3" t="s">
        <v>298</v>
      </c>
      <c r="V749" s="18">
        <v>733.11407499999996</v>
      </c>
      <c r="W749" s="4">
        <v>833.86291500000004</v>
      </c>
      <c r="X749" s="4">
        <v>1012.182678</v>
      </c>
    </row>
    <row r="750" spans="1:24" x14ac:dyDescent="0.3">
      <c r="A750" s="3" t="s">
        <v>300</v>
      </c>
      <c r="B750" s="4">
        <v>841.40374799999995</v>
      </c>
      <c r="C750" s="4">
        <v>859.44512899999995</v>
      </c>
      <c r="D750" s="4">
        <v>1003.011536</v>
      </c>
      <c r="I750" s="3" t="s">
        <v>300</v>
      </c>
      <c r="J750" s="4">
        <v>832.43158000000005</v>
      </c>
      <c r="K750" s="4">
        <v>832.82849099999999</v>
      </c>
      <c r="L750" s="4">
        <v>996.54907200000002</v>
      </c>
      <c r="M750" s="12"/>
      <c r="O750" s="3" t="s">
        <v>300</v>
      </c>
      <c r="P750" s="18">
        <v>826.47436500000003</v>
      </c>
      <c r="Q750" s="4">
        <v>873.58764599999995</v>
      </c>
      <c r="R750" s="4">
        <v>879.48846400000002</v>
      </c>
      <c r="U750" s="3" t="s">
        <v>300</v>
      </c>
      <c r="V750" s="18">
        <v>985.65106200000002</v>
      </c>
      <c r="W750" s="4">
        <v>833.54272500000002</v>
      </c>
      <c r="X750" s="4">
        <v>1032.6716309999999</v>
      </c>
    </row>
    <row r="751" spans="1:24" x14ac:dyDescent="0.3">
      <c r="A751" s="3" t="s">
        <v>302</v>
      </c>
      <c r="B751" s="4">
        <v>808.16650400000003</v>
      </c>
      <c r="C751" s="4">
        <v>838.38708499999996</v>
      </c>
      <c r="D751" s="4">
        <v>731.26531999999997</v>
      </c>
      <c r="I751" s="3" t="s">
        <v>302</v>
      </c>
      <c r="J751" s="4">
        <v>782.599243</v>
      </c>
      <c r="K751" s="4">
        <v>830.33563200000003</v>
      </c>
      <c r="L751" s="4">
        <v>862.02368200000001</v>
      </c>
      <c r="M751" s="12"/>
      <c r="O751" s="3" t="s">
        <v>302</v>
      </c>
      <c r="P751" s="18">
        <v>967.19104000000004</v>
      </c>
      <c r="Q751" s="4">
        <v>851.03283699999997</v>
      </c>
      <c r="R751" s="4">
        <v>935.91857900000002</v>
      </c>
      <c r="U751" s="3" t="s">
        <v>302</v>
      </c>
      <c r="V751" s="18">
        <v>964.81500200000005</v>
      </c>
      <c r="W751" s="4">
        <v>829.30059800000004</v>
      </c>
      <c r="X751" s="4">
        <v>712.50585899999999</v>
      </c>
    </row>
    <row r="752" spans="1:24" x14ac:dyDescent="0.3">
      <c r="A752" s="3" t="s">
        <v>304</v>
      </c>
      <c r="B752" s="4">
        <v>913.41308600000002</v>
      </c>
      <c r="C752" s="4">
        <v>924.9375</v>
      </c>
      <c r="D752" s="4">
        <v>792.81195100000002</v>
      </c>
      <c r="I752" s="3" t="s">
        <v>304</v>
      </c>
      <c r="J752" s="4">
        <v>911.37353499999995</v>
      </c>
      <c r="K752" s="4">
        <v>926.47937000000002</v>
      </c>
      <c r="L752" s="4">
        <v>1009.947449</v>
      </c>
      <c r="M752" s="12"/>
      <c r="O752" s="3" t="s">
        <v>304</v>
      </c>
      <c r="P752" s="18">
        <v>778.85864300000003</v>
      </c>
      <c r="Q752" s="4">
        <v>952.28747599999997</v>
      </c>
      <c r="R752" s="4">
        <v>805.96466099999998</v>
      </c>
      <c r="U752" s="3" t="s">
        <v>304</v>
      </c>
      <c r="V752" s="18">
        <v>962.84625200000005</v>
      </c>
      <c r="W752" s="4">
        <v>956.01275599999997</v>
      </c>
      <c r="X752" s="4">
        <v>940.82012899999995</v>
      </c>
    </row>
    <row r="753" spans="1:24" x14ac:dyDescent="0.3">
      <c r="A753" s="3" t="s">
        <v>306</v>
      </c>
      <c r="B753" s="4">
        <v>929.348206</v>
      </c>
      <c r="C753" s="4">
        <v>953.01605199999995</v>
      </c>
      <c r="D753" s="4">
        <v>911.19781499999999</v>
      </c>
      <c r="I753" s="3" t="s">
        <v>306</v>
      </c>
      <c r="J753" s="4">
        <v>926.29583700000001</v>
      </c>
      <c r="K753" s="4">
        <v>973.77099599999997</v>
      </c>
      <c r="L753" s="4">
        <v>826.36901899999998</v>
      </c>
      <c r="M753" s="12"/>
      <c r="O753" s="3" t="s">
        <v>306</v>
      </c>
      <c r="P753" s="18">
        <v>812.25750700000003</v>
      </c>
      <c r="Q753" s="4">
        <v>971.90521200000001</v>
      </c>
      <c r="R753" s="4">
        <v>911.19781499999999</v>
      </c>
      <c r="U753" s="3" t="s">
        <v>306</v>
      </c>
      <c r="V753" s="18">
        <v>795.30938700000002</v>
      </c>
      <c r="W753" s="4">
        <v>966.01300000000003</v>
      </c>
      <c r="X753" s="4">
        <v>1113.6970209999999</v>
      </c>
    </row>
    <row r="754" spans="1:24" x14ac:dyDescent="0.3">
      <c r="A754" s="3" t="s">
        <v>308</v>
      </c>
      <c r="B754" s="4">
        <v>881.85229500000003</v>
      </c>
      <c r="C754" s="4">
        <v>952.17028800000003</v>
      </c>
      <c r="D754" s="4">
        <v>1109.007202</v>
      </c>
      <c r="I754" s="3" t="s">
        <v>308</v>
      </c>
      <c r="J754" s="4">
        <v>903.77130099999999</v>
      </c>
      <c r="K754" s="4">
        <v>958.56872599999997</v>
      </c>
      <c r="L754" s="4">
        <v>831.24279799999999</v>
      </c>
      <c r="M754" s="12"/>
      <c r="O754" s="3" t="s">
        <v>308</v>
      </c>
      <c r="P754" s="18">
        <v>1098.4506839999999</v>
      </c>
      <c r="Q754" s="4">
        <v>965.02441399999998</v>
      </c>
      <c r="R754" s="4">
        <v>981.03381300000001</v>
      </c>
      <c r="U754" s="3" t="s">
        <v>308</v>
      </c>
      <c r="V754" s="18">
        <v>1021.0031739999999</v>
      </c>
      <c r="W754" s="4">
        <v>959.09082000000001</v>
      </c>
      <c r="X754" s="4">
        <v>848.96704099999999</v>
      </c>
    </row>
    <row r="755" spans="1:24" x14ac:dyDescent="0.3">
      <c r="A755" s="3" t="s">
        <v>310</v>
      </c>
      <c r="B755" s="4">
        <v>890.74408000000005</v>
      </c>
      <c r="C755" s="4">
        <v>905.31243900000004</v>
      </c>
      <c r="D755" s="4">
        <v>1117.249634</v>
      </c>
      <c r="I755" s="3" t="s">
        <v>310</v>
      </c>
      <c r="J755" s="4">
        <v>894.91961700000002</v>
      </c>
      <c r="K755" s="4">
        <v>926.10180700000001</v>
      </c>
      <c r="L755" s="4">
        <v>1062.9383539999999</v>
      </c>
      <c r="M755" s="12"/>
      <c r="O755" s="3" t="s">
        <v>310</v>
      </c>
      <c r="P755" s="18">
        <v>815.76269500000001</v>
      </c>
      <c r="Q755" s="4">
        <v>936.04547100000002</v>
      </c>
      <c r="R755" s="4">
        <v>1097.2883300000001</v>
      </c>
      <c r="U755" s="3" t="s">
        <v>310</v>
      </c>
      <c r="V755" s="18">
        <v>1029.93335</v>
      </c>
      <c r="W755" s="4">
        <v>927.13665800000001</v>
      </c>
      <c r="X755" s="4">
        <v>962.37597700000003</v>
      </c>
    </row>
    <row r="756" spans="1:24" x14ac:dyDescent="0.3">
      <c r="A756" s="3" t="s">
        <v>312</v>
      </c>
      <c r="B756" s="4">
        <v>879.68768299999999</v>
      </c>
      <c r="C756" s="4">
        <v>921.28192100000001</v>
      </c>
      <c r="D756" s="4">
        <v>1061.974976</v>
      </c>
      <c r="I756" s="3" t="s">
        <v>312</v>
      </c>
      <c r="J756" s="4">
        <v>874.54449499999998</v>
      </c>
      <c r="K756" s="4">
        <v>906.011841</v>
      </c>
      <c r="L756" s="4">
        <v>1057.0520019999999</v>
      </c>
      <c r="M756" s="12"/>
      <c r="O756" s="3" t="s">
        <v>312</v>
      </c>
      <c r="P756" s="18">
        <v>1009.391785</v>
      </c>
      <c r="Q756" s="4">
        <v>917.831909</v>
      </c>
      <c r="R756" s="4">
        <v>1006.104858</v>
      </c>
      <c r="U756" s="3" t="s">
        <v>312</v>
      </c>
      <c r="V756" s="18">
        <v>701.76263400000005</v>
      </c>
      <c r="W756" s="4">
        <v>895.70703100000003</v>
      </c>
      <c r="X756" s="4">
        <v>889.90856900000006</v>
      </c>
    </row>
    <row r="757" spans="1:24" x14ac:dyDescent="0.3">
      <c r="A757" s="3" t="s">
        <v>11</v>
      </c>
      <c r="B757" s="4">
        <v>741.24981700000001</v>
      </c>
      <c r="C757" s="4">
        <v>754.50354000000004</v>
      </c>
      <c r="D757" s="4">
        <v>703.49676499999998</v>
      </c>
      <c r="I757" s="3" t="s">
        <v>11</v>
      </c>
      <c r="J757" s="4">
        <v>741.24981700000001</v>
      </c>
      <c r="K757" s="4">
        <v>753.64080799999999</v>
      </c>
      <c r="L757" s="4">
        <v>692.25921600000004</v>
      </c>
      <c r="M757" s="12"/>
      <c r="O757" s="3" t="s">
        <v>11</v>
      </c>
      <c r="P757" s="4">
        <v>703.49676499999998</v>
      </c>
      <c r="Q757" s="4">
        <v>752.327271</v>
      </c>
      <c r="R757" s="4">
        <v>703.49676499999998</v>
      </c>
      <c r="U757" s="3" t="s">
        <v>11</v>
      </c>
      <c r="V757" s="4">
        <v>692.25921600000004</v>
      </c>
      <c r="W757" s="4">
        <v>754.52716099999998</v>
      </c>
      <c r="X757" s="4">
        <v>692.25921600000004</v>
      </c>
    </row>
    <row r="758" spans="1:24" x14ac:dyDescent="0.3">
      <c r="A758" s="3" t="s">
        <v>13</v>
      </c>
      <c r="B758" s="4">
        <v>666.33795199999997</v>
      </c>
      <c r="C758" s="4">
        <v>685.78131099999996</v>
      </c>
      <c r="D758" s="4">
        <v>781.18280000000004</v>
      </c>
      <c r="I758" s="3" t="s">
        <v>13</v>
      </c>
      <c r="J758" s="4">
        <v>666.33795199999997</v>
      </c>
      <c r="K758" s="4">
        <v>673.08551</v>
      </c>
      <c r="L758" s="4">
        <v>712.25866699999995</v>
      </c>
      <c r="M758" s="12"/>
      <c r="O758" s="3" t="s">
        <v>13</v>
      </c>
      <c r="P758" s="4">
        <v>633.50238000000002</v>
      </c>
      <c r="Q758" s="4">
        <v>688.79571499999997</v>
      </c>
      <c r="R758" s="4">
        <v>772.63055399999996</v>
      </c>
      <c r="U758" s="3" t="s">
        <v>13</v>
      </c>
      <c r="V758" s="4">
        <v>651.02343800000006</v>
      </c>
      <c r="W758" s="4">
        <v>672.56420900000001</v>
      </c>
      <c r="X758" s="4">
        <v>774.97961399999997</v>
      </c>
    </row>
    <row r="759" spans="1:24" x14ac:dyDescent="0.3">
      <c r="A759" s="3" t="s">
        <v>15</v>
      </c>
      <c r="B759" s="4">
        <v>704.45812999999998</v>
      </c>
      <c r="C759" s="4">
        <v>737.26208499999996</v>
      </c>
      <c r="D759" s="4">
        <v>887.11901899999998</v>
      </c>
      <c r="I759" s="3" t="s">
        <v>15</v>
      </c>
      <c r="J759" s="4">
        <v>704.45812999999998</v>
      </c>
      <c r="K759" s="4">
        <v>735.89562999999998</v>
      </c>
      <c r="L759" s="4">
        <v>759.70996100000002</v>
      </c>
      <c r="M759" s="12"/>
      <c r="O759" s="3" t="s">
        <v>15</v>
      </c>
      <c r="P759" s="4">
        <v>867.68316700000003</v>
      </c>
      <c r="Q759" s="4">
        <v>714.47845500000005</v>
      </c>
      <c r="R759" s="4">
        <v>876.94360400000005</v>
      </c>
      <c r="U759" s="3" t="s">
        <v>15</v>
      </c>
      <c r="V759" s="4">
        <v>769.81664999999998</v>
      </c>
      <c r="W759" s="4">
        <v>720.03716999999995</v>
      </c>
      <c r="X759" s="4">
        <v>856.42315699999995</v>
      </c>
    </row>
    <row r="760" spans="1:24" x14ac:dyDescent="0.3">
      <c r="A760" s="3" t="s">
        <v>17</v>
      </c>
      <c r="B760" s="4">
        <v>699.63574200000005</v>
      </c>
      <c r="C760" s="4">
        <v>715.78576699999996</v>
      </c>
      <c r="D760" s="4">
        <v>654.11505099999999</v>
      </c>
      <c r="I760" s="3" t="s">
        <v>17</v>
      </c>
      <c r="J760" s="4">
        <v>699.63574200000005</v>
      </c>
      <c r="K760" s="4">
        <v>714.46227999999996</v>
      </c>
      <c r="L760" s="4">
        <v>661.024719</v>
      </c>
      <c r="M760" s="12"/>
      <c r="O760" s="3" t="s">
        <v>17</v>
      </c>
      <c r="P760" s="4">
        <v>668.31976299999997</v>
      </c>
      <c r="Q760" s="4">
        <v>711.24133300000005</v>
      </c>
      <c r="R760" s="4">
        <v>850.32165499999996</v>
      </c>
      <c r="U760" s="3" t="s">
        <v>17</v>
      </c>
      <c r="V760" s="4">
        <v>671.11102300000005</v>
      </c>
      <c r="W760" s="4">
        <v>701.98803699999996</v>
      </c>
      <c r="X760" s="4">
        <v>777.99511700000005</v>
      </c>
    </row>
    <row r="761" spans="1:24" x14ac:dyDescent="0.3">
      <c r="A761" s="3" t="s">
        <v>19</v>
      </c>
      <c r="B761" s="4">
        <v>721.95147699999995</v>
      </c>
      <c r="C761" s="4">
        <v>757.83526600000005</v>
      </c>
      <c r="D761" s="4">
        <v>853.75671399999999</v>
      </c>
      <c r="I761" s="3" t="s">
        <v>19</v>
      </c>
      <c r="J761" s="4">
        <v>721.95147699999995</v>
      </c>
      <c r="K761" s="4">
        <v>741.10516399999995</v>
      </c>
      <c r="L761" s="4">
        <v>889.009094</v>
      </c>
      <c r="M761" s="12"/>
      <c r="O761" s="3" t="s">
        <v>19</v>
      </c>
      <c r="P761" s="4">
        <v>699.56726100000003</v>
      </c>
      <c r="Q761" s="4">
        <v>760.89361599999995</v>
      </c>
      <c r="R761" s="4">
        <v>929.03289800000005</v>
      </c>
      <c r="U761" s="3" t="s">
        <v>19</v>
      </c>
      <c r="V761" s="4">
        <v>669.03442399999994</v>
      </c>
      <c r="W761" s="4">
        <v>743.30102499999998</v>
      </c>
      <c r="X761" s="4">
        <v>692.32647699999995</v>
      </c>
    </row>
    <row r="762" spans="1:24" x14ac:dyDescent="0.3">
      <c r="A762" s="3" t="s">
        <v>21</v>
      </c>
      <c r="B762" s="4">
        <v>725.67681900000002</v>
      </c>
      <c r="C762" s="4">
        <v>750.52612299999998</v>
      </c>
      <c r="D762" s="4">
        <v>876.73376499999995</v>
      </c>
      <c r="I762" s="3" t="s">
        <v>21</v>
      </c>
      <c r="J762" s="4">
        <v>725.67681900000002</v>
      </c>
      <c r="K762" s="4">
        <v>724.39593500000001</v>
      </c>
      <c r="L762" s="4">
        <v>703.45190400000001</v>
      </c>
      <c r="M762" s="12"/>
      <c r="O762" s="3" t="s">
        <v>21</v>
      </c>
      <c r="P762" s="4">
        <v>836.50439500000005</v>
      </c>
      <c r="Q762" s="4">
        <v>740.865906</v>
      </c>
      <c r="R762" s="4">
        <v>880.612122</v>
      </c>
      <c r="U762" s="3" t="s">
        <v>21</v>
      </c>
      <c r="V762" s="4">
        <v>783.14959699999997</v>
      </c>
      <c r="W762" s="4">
        <v>740.84887700000002</v>
      </c>
      <c r="X762" s="4">
        <v>945.82739300000003</v>
      </c>
    </row>
    <row r="763" spans="1:24" x14ac:dyDescent="0.3">
      <c r="A763" s="3" t="s">
        <v>23</v>
      </c>
      <c r="B763" s="4">
        <v>724.70806900000002</v>
      </c>
      <c r="C763" s="4">
        <v>743.80670199999997</v>
      </c>
      <c r="D763" s="4">
        <v>903.92932099999996</v>
      </c>
      <c r="I763" s="3" t="s">
        <v>23</v>
      </c>
      <c r="J763" s="4">
        <v>724.70806900000002</v>
      </c>
      <c r="K763" s="4">
        <v>717.65777600000001</v>
      </c>
      <c r="L763" s="4">
        <v>667.31390399999998</v>
      </c>
      <c r="M763" s="12"/>
      <c r="O763" s="3" t="s">
        <v>23</v>
      </c>
      <c r="P763" s="4">
        <v>672.34655799999996</v>
      </c>
      <c r="Q763" s="4">
        <v>753.85681199999999</v>
      </c>
      <c r="R763" s="4">
        <v>909.73809800000004</v>
      </c>
      <c r="U763" s="3" t="s">
        <v>23</v>
      </c>
      <c r="V763" s="4">
        <v>805.91272000000004</v>
      </c>
      <c r="W763" s="4">
        <v>727.20684800000004</v>
      </c>
      <c r="X763" s="4">
        <v>782.64343299999996</v>
      </c>
    </row>
    <row r="764" spans="1:24" x14ac:dyDescent="0.3">
      <c r="A764" s="3" t="s">
        <v>25</v>
      </c>
      <c r="B764" s="4">
        <v>723.27075200000002</v>
      </c>
      <c r="C764" s="4">
        <v>760.89086899999995</v>
      </c>
      <c r="D764" s="4">
        <v>712.83947799999999</v>
      </c>
      <c r="I764" s="3" t="s">
        <v>25</v>
      </c>
      <c r="J764" s="4">
        <v>723.27075200000002</v>
      </c>
      <c r="K764" s="4">
        <v>760.71978799999999</v>
      </c>
      <c r="L764" s="4">
        <v>855.98126200000002</v>
      </c>
      <c r="M764" s="12"/>
      <c r="O764" s="3" t="s">
        <v>25</v>
      </c>
      <c r="P764" s="4">
        <v>715.19451900000001</v>
      </c>
      <c r="Q764" s="4">
        <v>764.24298099999999</v>
      </c>
      <c r="R764" s="4">
        <v>786.67712400000005</v>
      </c>
      <c r="U764" s="3" t="s">
        <v>25</v>
      </c>
      <c r="V764" s="4">
        <v>843.714111</v>
      </c>
      <c r="W764" s="4">
        <v>763.55389400000001</v>
      </c>
      <c r="X764" s="4">
        <v>823.89746100000002</v>
      </c>
    </row>
    <row r="765" spans="1:24" x14ac:dyDescent="0.3">
      <c r="A765" s="3" t="s">
        <v>27</v>
      </c>
      <c r="B765" s="4">
        <v>705.60711700000002</v>
      </c>
      <c r="C765" s="4">
        <v>747.85253899999998</v>
      </c>
      <c r="D765" s="4">
        <v>650.52044699999999</v>
      </c>
      <c r="I765" s="3" t="s">
        <v>27</v>
      </c>
      <c r="J765" s="4">
        <v>705.60711700000002</v>
      </c>
      <c r="K765" s="4">
        <v>733.42687999999998</v>
      </c>
      <c r="L765" s="4">
        <v>772.35571300000004</v>
      </c>
      <c r="M765" s="12"/>
      <c r="O765" s="3" t="s">
        <v>27</v>
      </c>
      <c r="P765" s="4">
        <v>755.12200900000005</v>
      </c>
      <c r="Q765" s="4">
        <v>714.19787599999995</v>
      </c>
      <c r="R765" s="4">
        <v>857.22839399999998</v>
      </c>
      <c r="U765" s="3" t="s">
        <v>27</v>
      </c>
      <c r="V765" s="4">
        <v>849.56750499999998</v>
      </c>
      <c r="W765" s="4">
        <v>722.96801800000003</v>
      </c>
      <c r="X765" s="4">
        <v>767.32379200000003</v>
      </c>
    </row>
    <row r="766" spans="1:24" x14ac:dyDescent="0.3">
      <c r="A766" s="3" t="s">
        <v>29</v>
      </c>
      <c r="B766" s="4">
        <v>727.80651899999998</v>
      </c>
      <c r="C766" s="4">
        <v>760.686646</v>
      </c>
      <c r="D766" s="4">
        <v>799.12298599999997</v>
      </c>
      <c r="I766" s="3" t="s">
        <v>29</v>
      </c>
      <c r="J766" s="4">
        <v>727.80651899999998</v>
      </c>
      <c r="K766" s="4">
        <v>749.69970699999999</v>
      </c>
      <c r="L766" s="4">
        <v>654.17248500000005</v>
      </c>
      <c r="M766" s="12"/>
      <c r="O766" s="3" t="s">
        <v>29</v>
      </c>
      <c r="P766" s="4">
        <v>701.14184599999999</v>
      </c>
      <c r="Q766" s="4">
        <v>745.17059300000005</v>
      </c>
      <c r="R766" s="4">
        <v>891.59478799999999</v>
      </c>
      <c r="U766" s="3" t="s">
        <v>29</v>
      </c>
      <c r="V766" s="4">
        <v>816.30401600000005</v>
      </c>
      <c r="W766" s="4">
        <v>745.14446999999996</v>
      </c>
      <c r="X766" s="4">
        <v>826.52673300000004</v>
      </c>
    </row>
    <row r="767" spans="1:24" x14ac:dyDescent="0.3">
      <c r="A767" s="3" t="s">
        <v>31</v>
      </c>
      <c r="B767" s="4">
        <v>845.30828899999995</v>
      </c>
      <c r="C767" s="4">
        <v>888.32025099999998</v>
      </c>
      <c r="D767" s="4">
        <v>1015.2770389999999</v>
      </c>
      <c r="I767" s="3" t="s">
        <v>31</v>
      </c>
      <c r="J767" s="4">
        <v>845.30828899999995</v>
      </c>
      <c r="K767" s="4">
        <v>842.49694799999997</v>
      </c>
      <c r="L767" s="4">
        <v>835.89587400000005</v>
      </c>
      <c r="M767" s="12"/>
      <c r="O767" s="3" t="s">
        <v>31</v>
      </c>
      <c r="P767" s="4">
        <v>1028.8292240000001</v>
      </c>
      <c r="Q767" s="4">
        <v>868.57049600000005</v>
      </c>
      <c r="R767" s="4">
        <v>1092.4295649999999</v>
      </c>
      <c r="U767" s="3" t="s">
        <v>31</v>
      </c>
      <c r="V767" s="4">
        <v>1079.2062989999999</v>
      </c>
      <c r="W767" s="4">
        <v>878.51818800000001</v>
      </c>
      <c r="X767" s="4">
        <v>898.85540800000001</v>
      </c>
    </row>
    <row r="768" spans="1:24" x14ac:dyDescent="0.3">
      <c r="A768" s="3" t="s">
        <v>33</v>
      </c>
      <c r="B768" s="4">
        <v>773.94464100000005</v>
      </c>
      <c r="C768" s="4">
        <v>818.50311299999998</v>
      </c>
      <c r="D768" s="4">
        <v>763.00647000000004</v>
      </c>
      <c r="I768" s="3" t="s">
        <v>33</v>
      </c>
      <c r="J768" s="4">
        <v>773.94464100000005</v>
      </c>
      <c r="K768" s="4">
        <v>821.69158900000002</v>
      </c>
      <c r="L768" s="4">
        <v>925.12579300000004</v>
      </c>
      <c r="M768" s="12"/>
      <c r="O768" s="3" t="s">
        <v>33</v>
      </c>
      <c r="P768" s="4">
        <v>979.19030799999996</v>
      </c>
      <c r="Q768" s="4">
        <v>784.37219200000004</v>
      </c>
      <c r="R768" s="4">
        <v>916.95220900000004</v>
      </c>
      <c r="U768" s="3" t="s">
        <v>33</v>
      </c>
      <c r="V768" s="4">
        <v>973.01977499999998</v>
      </c>
      <c r="W768" s="4">
        <v>808.012024</v>
      </c>
      <c r="X768" s="4">
        <v>914.42260699999997</v>
      </c>
    </row>
    <row r="769" spans="1:24" x14ac:dyDescent="0.3">
      <c r="A769" s="3" t="s">
        <v>35</v>
      </c>
      <c r="B769" s="4">
        <v>782.81744400000002</v>
      </c>
      <c r="C769" s="4">
        <v>835.92999299999997</v>
      </c>
      <c r="D769" s="4">
        <v>1017.622314</v>
      </c>
      <c r="I769" s="3" t="s">
        <v>35</v>
      </c>
      <c r="J769" s="4">
        <v>782.81744400000002</v>
      </c>
      <c r="K769" s="4">
        <v>820.17059300000005</v>
      </c>
      <c r="L769" s="4">
        <v>759.53869599999996</v>
      </c>
      <c r="M769" s="12"/>
      <c r="O769" s="3" t="s">
        <v>35</v>
      </c>
      <c r="P769" s="4">
        <v>700.36743200000001</v>
      </c>
      <c r="Q769" s="4">
        <v>856.787598</v>
      </c>
      <c r="R769" s="4">
        <v>820.69708300000002</v>
      </c>
      <c r="U769" s="3" t="s">
        <v>35</v>
      </c>
      <c r="V769" s="4">
        <v>687.90673800000002</v>
      </c>
      <c r="W769" s="4">
        <v>824.19854699999996</v>
      </c>
      <c r="X769" s="4">
        <v>1045.489624</v>
      </c>
    </row>
    <row r="770" spans="1:24" x14ac:dyDescent="0.3">
      <c r="A770" s="3" t="s">
        <v>37</v>
      </c>
      <c r="B770" s="4">
        <v>758.76165800000001</v>
      </c>
      <c r="C770" s="4">
        <v>814.42926</v>
      </c>
      <c r="D770" s="4">
        <v>854.20428500000003</v>
      </c>
      <c r="I770" s="3" t="s">
        <v>37</v>
      </c>
      <c r="J770" s="4">
        <v>758.76165800000001</v>
      </c>
      <c r="K770" s="4">
        <v>788.20098900000005</v>
      </c>
      <c r="L770" s="4">
        <v>740.16125499999998</v>
      </c>
      <c r="M770" s="12"/>
      <c r="O770" s="3" t="s">
        <v>37</v>
      </c>
      <c r="P770" s="4">
        <v>725.801514</v>
      </c>
      <c r="Q770" s="4">
        <v>814.06042500000001</v>
      </c>
      <c r="R770" s="4">
        <v>774.13867200000004</v>
      </c>
      <c r="U770" s="3" t="s">
        <v>37</v>
      </c>
      <c r="V770" s="4">
        <v>711.02838099999997</v>
      </c>
      <c r="W770" s="4">
        <v>797.06237799999997</v>
      </c>
      <c r="X770" s="4">
        <v>977.95233199999996</v>
      </c>
    </row>
    <row r="771" spans="1:24" x14ac:dyDescent="0.3">
      <c r="A771" s="3" t="s">
        <v>39</v>
      </c>
      <c r="B771" s="4">
        <v>766.77185099999997</v>
      </c>
      <c r="C771" s="4">
        <v>824.86499000000003</v>
      </c>
      <c r="D771" s="4">
        <v>721.24163799999997</v>
      </c>
      <c r="I771" s="3" t="s">
        <v>39</v>
      </c>
      <c r="J771" s="4">
        <v>766.77185099999997</v>
      </c>
      <c r="K771" s="4">
        <v>819.98742700000003</v>
      </c>
      <c r="L771" s="4">
        <v>736.39862100000005</v>
      </c>
      <c r="M771" s="12"/>
      <c r="O771" s="3" t="s">
        <v>39</v>
      </c>
      <c r="P771" s="4">
        <v>763.12316899999996</v>
      </c>
      <c r="Q771" s="4">
        <v>807.08227499999998</v>
      </c>
      <c r="R771" s="4">
        <v>753.426514</v>
      </c>
      <c r="U771" s="3" t="s">
        <v>39</v>
      </c>
      <c r="V771" s="4">
        <v>790.77136199999995</v>
      </c>
      <c r="W771" s="4">
        <v>792.86792000000003</v>
      </c>
      <c r="X771" s="4">
        <v>736.39862100000005</v>
      </c>
    </row>
    <row r="772" spans="1:24" x14ac:dyDescent="0.3">
      <c r="A772" s="3" t="s">
        <v>41</v>
      </c>
      <c r="B772" s="4">
        <v>887.83752400000003</v>
      </c>
      <c r="C772" s="4">
        <v>923.90753199999995</v>
      </c>
      <c r="D772" s="4">
        <v>896.84332300000005</v>
      </c>
      <c r="I772" s="3" t="s">
        <v>41</v>
      </c>
      <c r="J772" s="4">
        <v>887.83752400000003</v>
      </c>
      <c r="K772" s="4">
        <v>914.69915800000001</v>
      </c>
      <c r="L772" s="4">
        <v>1014.653564</v>
      </c>
      <c r="M772" s="12"/>
      <c r="O772" s="3" t="s">
        <v>41</v>
      </c>
      <c r="P772" s="4">
        <v>969.40716599999996</v>
      </c>
      <c r="Q772" s="4">
        <v>906.06103499999995</v>
      </c>
      <c r="R772" s="4">
        <v>958.35382100000004</v>
      </c>
      <c r="U772" s="3" t="s">
        <v>41</v>
      </c>
      <c r="V772" s="4">
        <v>776.79528800000003</v>
      </c>
      <c r="W772" s="4">
        <v>929.504456</v>
      </c>
      <c r="X772" s="4">
        <v>883.89929199999995</v>
      </c>
    </row>
    <row r="773" spans="1:24" x14ac:dyDescent="0.3">
      <c r="A773" s="3" t="s">
        <v>43</v>
      </c>
      <c r="B773" s="4">
        <v>804.38952600000005</v>
      </c>
      <c r="C773" s="4">
        <v>816.24249299999997</v>
      </c>
      <c r="D773" s="4">
        <v>963.01580799999999</v>
      </c>
      <c r="I773" s="3" t="s">
        <v>43</v>
      </c>
      <c r="J773" s="4">
        <v>804.38952600000005</v>
      </c>
      <c r="K773" s="4">
        <v>819.86828600000001</v>
      </c>
      <c r="L773" s="4">
        <v>725.292236</v>
      </c>
      <c r="M773" s="12"/>
      <c r="O773" s="3" t="s">
        <v>43</v>
      </c>
      <c r="P773" s="4">
        <v>974.45929000000001</v>
      </c>
      <c r="Q773" s="4">
        <v>835.86224400000003</v>
      </c>
      <c r="R773" s="4">
        <v>734.63476600000001</v>
      </c>
      <c r="U773" s="3" t="s">
        <v>43</v>
      </c>
      <c r="V773" s="4">
        <v>833.72332800000004</v>
      </c>
      <c r="W773" s="4">
        <v>816.97100799999998</v>
      </c>
      <c r="X773" s="4">
        <v>983.15338099999997</v>
      </c>
    </row>
    <row r="774" spans="1:24" x14ac:dyDescent="0.3">
      <c r="A774" s="3" t="s">
        <v>45</v>
      </c>
      <c r="B774" s="4">
        <v>843.46966599999996</v>
      </c>
      <c r="C774" s="4">
        <v>888.57098399999995</v>
      </c>
      <c r="D774" s="4">
        <v>926.10778800000003</v>
      </c>
      <c r="I774" s="3" t="s">
        <v>45</v>
      </c>
      <c r="J774" s="4">
        <v>843.46966599999996</v>
      </c>
      <c r="K774" s="4">
        <v>894.14819299999999</v>
      </c>
      <c r="L774" s="4">
        <v>1083.6685789999999</v>
      </c>
      <c r="M774" s="12"/>
      <c r="O774" s="3" t="s">
        <v>45</v>
      </c>
      <c r="P774" s="4">
        <v>1023.7780760000001</v>
      </c>
      <c r="Q774" s="4">
        <v>871.81085199999995</v>
      </c>
      <c r="R774" s="4">
        <v>701.73736599999995</v>
      </c>
      <c r="U774" s="3" t="s">
        <v>45</v>
      </c>
      <c r="V774" s="4">
        <v>1075.1279300000001</v>
      </c>
      <c r="W774" s="4">
        <v>895.04650900000001</v>
      </c>
      <c r="X774" s="4">
        <v>924.18444799999997</v>
      </c>
    </row>
    <row r="775" spans="1:24" x14ac:dyDescent="0.3">
      <c r="A775" s="3" t="s">
        <v>47</v>
      </c>
      <c r="B775" s="4">
        <v>761.73498500000005</v>
      </c>
      <c r="C775" s="4">
        <v>798.12854000000004</v>
      </c>
      <c r="D775" s="4">
        <v>709.53704800000003</v>
      </c>
      <c r="I775" s="3" t="s">
        <v>47</v>
      </c>
      <c r="J775" s="4">
        <v>761.73498500000005</v>
      </c>
      <c r="K775" s="4">
        <v>788.20556599999998</v>
      </c>
      <c r="L775" s="4">
        <v>883.80041500000004</v>
      </c>
      <c r="M775" s="12"/>
      <c r="O775" s="3" t="s">
        <v>47</v>
      </c>
      <c r="P775" s="4">
        <v>745.63653599999998</v>
      </c>
      <c r="Q775" s="4">
        <v>813.80792199999996</v>
      </c>
      <c r="R775" s="4">
        <v>904.43554700000004</v>
      </c>
      <c r="U775" s="3" t="s">
        <v>47</v>
      </c>
      <c r="V775" s="4">
        <v>733.65039100000001</v>
      </c>
      <c r="W775" s="4">
        <v>797.64404300000001</v>
      </c>
      <c r="X775" s="4">
        <v>821.75830099999996</v>
      </c>
    </row>
    <row r="776" spans="1:24" x14ac:dyDescent="0.3">
      <c r="A776" s="3" t="s">
        <v>49</v>
      </c>
      <c r="B776" s="4">
        <v>778.38147000000004</v>
      </c>
      <c r="C776" s="4">
        <v>835.72778300000004</v>
      </c>
      <c r="D776" s="4">
        <v>973.27526899999998</v>
      </c>
      <c r="I776" s="3" t="s">
        <v>49</v>
      </c>
      <c r="J776" s="4">
        <v>778.38147000000004</v>
      </c>
      <c r="K776" s="4">
        <v>829.05419900000004</v>
      </c>
      <c r="L776" s="4">
        <v>904.06719999999996</v>
      </c>
      <c r="M776" s="12"/>
      <c r="O776" s="3" t="s">
        <v>49</v>
      </c>
      <c r="P776" s="4">
        <v>995.832764</v>
      </c>
      <c r="Q776" s="4">
        <v>858.98113999999998</v>
      </c>
      <c r="R776" s="4">
        <v>982.98937999999998</v>
      </c>
      <c r="U776" s="3" t="s">
        <v>49</v>
      </c>
      <c r="V776" s="4">
        <v>778.48919699999999</v>
      </c>
      <c r="W776" s="4">
        <v>839.13818400000002</v>
      </c>
      <c r="X776" s="4">
        <v>798.25945999999999</v>
      </c>
    </row>
    <row r="777" spans="1:24" x14ac:dyDescent="0.3">
      <c r="A777" s="3" t="s">
        <v>51</v>
      </c>
      <c r="B777" s="4">
        <v>989.09832800000004</v>
      </c>
      <c r="C777" s="4">
        <v>1022.283203</v>
      </c>
      <c r="D777" s="4">
        <v>1154.8865969999999</v>
      </c>
      <c r="I777" s="3" t="s">
        <v>51</v>
      </c>
      <c r="J777" s="4">
        <v>989.09832800000004</v>
      </c>
      <c r="K777" s="4">
        <v>1017.177734</v>
      </c>
      <c r="L777" s="4">
        <v>1169.4570309999999</v>
      </c>
      <c r="M777" s="12"/>
      <c r="O777" s="3" t="s">
        <v>51</v>
      </c>
      <c r="P777" s="4">
        <v>1061.6640620000001</v>
      </c>
      <c r="Q777" s="4">
        <v>1019.676819</v>
      </c>
      <c r="R777" s="4">
        <v>1216.73938</v>
      </c>
      <c r="U777" s="3" t="s">
        <v>51</v>
      </c>
      <c r="V777" s="4">
        <v>1179.4381100000001</v>
      </c>
      <c r="W777" s="4">
        <v>1010.50415</v>
      </c>
      <c r="X777" s="4">
        <v>1241.262207</v>
      </c>
    </row>
    <row r="778" spans="1:24" x14ac:dyDescent="0.3">
      <c r="A778" s="3" t="s">
        <v>53</v>
      </c>
      <c r="B778" s="4">
        <v>951.06915300000003</v>
      </c>
      <c r="C778" s="4">
        <v>970.07037400000002</v>
      </c>
      <c r="D778" s="4">
        <v>996.40393100000006</v>
      </c>
      <c r="I778" s="3" t="s">
        <v>53</v>
      </c>
      <c r="J778" s="4">
        <v>951.06915300000003</v>
      </c>
      <c r="K778" s="4">
        <v>968.25335700000005</v>
      </c>
      <c r="L778" s="4">
        <v>953.27435300000002</v>
      </c>
      <c r="M778" s="12"/>
      <c r="O778" s="3" t="s">
        <v>53</v>
      </c>
      <c r="P778" s="4">
        <v>1007.390808</v>
      </c>
      <c r="Q778" s="4">
        <v>973.88696300000004</v>
      </c>
      <c r="R778" s="4">
        <v>1125.9228519999999</v>
      </c>
      <c r="U778" s="3" t="s">
        <v>53</v>
      </c>
      <c r="V778" s="4">
        <v>1158.7520750000001</v>
      </c>
      <c r="W778" s="4">
        <v>973.76983600000005</v>
      </c>
      <c r="X778" s="4">
        <v>1176.104736</v>
      </c>
    </row>
    <row r="779" spans="1:24" x14ac:dyDescent="0.3">
      <c r="A779" s="3" t="s">
        <v>55</v>
      </c>
      <c r="B779" s="4">
        <v>929.21258499999999</v>
      </c>
      <c r="C779" s="4">
        <v>989.58746299999996</v>
      </c>
      <c r="D779" s="4">
        <v>1105.1370850000001</v>
      </c>
      <c r="I779" s="3" t="s">
        <v>55</v>
      </c>
      <c r="J779" s="4">
        <v>929.21258499999999</v>
      </c>
      <c r="K779" s="4">
        <v>980.73126200000002</v>
      </c>
      <c r="L779" s="4">
        <v>1122.970947</v>
      </c>
      <c r="M779" s="12"/>
      <c r="O779" s="3" t="s">
        <v>55</v>
      </c>
      <c r="P779" s="4">
        <v>1096.509033</v>
      </c>
      <c r="Q779" s="4">
        <v>981.901611</v>
      </c>
      <c r="R779" s="4">
        <v>1039.8743899999999</v>
      </c>
      <c r="U779" s="3" t="s">
        <v>55</v>
      </c>
      <c r="V779" s="4">
        <v>878.03796399999999</v>
      </c>
      <c r="W779" s="4">
        <v>991.671021</v>
      </c>
      <c r="X779" s="4">
        <v>1011.614319</v>
      </c>
    </row>
    <row r="780" spans="1:24" x14ac:dyDescent="0.3">
      <c r="A780" s="3" t="s">
        <v>57</v>
      </c>
      <c r="B780" s="4">
        <v>918.58239700000001</v>
      </c>
      <c r="C780" s="4">
        <v>965.99139400000001</v>
      </c>
      <c r="D780" s="4">
        <v>851.12493900000004</v>
      </c>
      <c r="I780" s="3" t="s">
        <v>57</v>
      </c>
      <c r="J780" s="4">
        <v>918.58239700000001</v>
      </c>
      <c r="K780" s="4">
        <v>947.33105499999999</v>
      </c>
      <c r="L780" s="4">
        <v>897.13812299999995</v>
      </c>
      <c r="M780" s="12"/>
      <c r="O780" s="3" t="s">
        <v>57</v>
      </c>
      <c r="P780" s="4">
        <v>1036.5816649999999</v>
      </c>
      <c r="Q780" s="4">
        <v>954.12493900000004</v>
      </c>
      <c r="R780" s="4">
        <v>1073.22522</v>
      </c>
      <c r="U780" s="3" t="s">
        <v>57</v>
      </c>
      <c r="V780" s="4">
        <v>1085.248169</v>
      </c>
      <c r="W780" s="4">
        <v>963.730774</v>
      </c>
      <c r="X780" s="4">
        <v>968.48425299999997</v>
      </c>
    </row>
    <row r="781" spans="1:24" x14ac:dyDescent="0.3">
      <c r="A781" s="3" t="s">
        <v>59</v>
      </c>
      <c r="B781" s="4">
        <v>848.355591</v>
      </c>
      <c r="C781" s="4">
        <v>876.41345200000001</v>
      </c>
      <c r="D781" s="4">
        <v>779.65606700000001</v>
      </c>
      <c r="I781" s="3" t="s">
        <v>59</v>
      </c>
      <c r="J781" s="4">
        <v>848.355591</v>
      </c>
      <c r="K781" s="4">
        <v>876.904358</v>
      </c>
      <c r="L781" s="4">
        <v>1075.179443</v>
      </c>
      <c r="M781" s="12"/>
      <c r="O781" s="3" t="s">
        <v>59</v>
      </c>
      <c r="P781" s="4">
        <v>1036.2764890000001</v>
      </c>
      <c r="Q781" s="4">
        <v>884.75561500000003</v>
      </c>
      <c r="R781" s="4">
        <v>837.47552499999995</v>
      </c>
      <c r="U781" s="3" t="s">
        <v>59</v>
      </c>
      <c r="V781" s="4">
        <v>910.860229</v>
      </c>
      <c r="W781" s="4">
        <v>880.37194799999997</v>
      </c>
      <c r="X781" s="4">
        <v>1080.213501</v>
      </c>
    </row>
    <row r="782" spans="1:24" x14ac:dyDescent="0.3">
      <c r="A782" s="3" t="s">
        <v>61</v>
      </c>
      <c r="B782" s="4">
        <v>993.267517</v>
      </c>
      <c r="C782" s="4">
        <v>1023.433777</v>
      </c>
      <c r="D782" s="4">
        <v>1070.9392089999999</v>
      </c>
      <c r="I782" s="3" t="s">
        <v>61</v>
      </c>
      <c r="J782" s="4">
        <v>993.267517</v>
      </c>
      <c r="K782" s="4">
        <v>1019.385681</v>
      </c>
      <c r="L782" s="4">
        <v>1240.221436</v>
      </c>
      <c r="M782" s="12"/>
      <c r="O782" s="3" t="s">
        <v>61</v>
      </c>
      <c r="P782" s="4">
        <v>853.34497099999999</v>
      </c>
      <c r="Q782" s="4">
        <v>1006.9904790000001</v>
      </c>
      <c r="R782" s="4">
        <v>1217.2692870000001</v>
      </c>
      <c r="U782" s="3" t="s">
        <v>61</v>
      </c>
      <c r="V782" s="4">
        <v>1065.466553</v>
      </c>
      <c r="W782" s="4">
        <v>1019.4911499999999</v>
      </c>
      <c r="X782" s="4">
        <v>889.852844</v>
      </c>
    </row>
    <row r="783" spans="1:24" x14ac:dyDescent="0.3">
      <c r="A783" s="3" t="s">
        <v>63</v>
      </c>
      <c r="B783" s="4">
        <v>967.06951900000001</v>
      </c>
      <c r="C783" s="4">
        <v>992.51391599999999</v>
      </c>
      <c r="D783" s="4">
        <v>1022.923523</v>
      </c>
      <c r="I783" s="3" t="s">
        <v>63</v>
      </c>
      <c r="J783" s="4">
        <v>967.06951900000001</v>
      </c>
      <c r="K783" s="4">
        <v>978.00402799999995</v>
      </c>
      <c r="L783" s="4">
        <v>1120.2742920000001</v>
      </c>
      <c r="M783" s="12"/>
      <c r="O783" s="3" t="s">
        <v>63</v>
      </c>
      <c r="P783" s="4">
        <v>1145.4941409999999</v>
      </c>
      <c r="Q783" s="4">
        <v>1004.850037</v>
      </c>
      <c r="R783" s="4">
        <v>932.81976299999997</v>
      </c>
      <c r="U783" s="3" t="s">
        <v>63</v>
      </c>
      <c r="V783" s="4">
        <v>1007.074341</v>
      </c>
      <c r="W783" s="4">
        <v>993.59075900000005</v>
      </c>
      <c r="X783" s="4">
        <v>1092.5429690000001</v>
      </c>
    </row>
    <row r="784" spans="1:24" x14ac:dyDescent="0.3">
      <c r="A784" s="3" t="s">
        <v>65</v>
      </c>
      <c r="B784" s="4">
        <v>895.64355499999999</v>
      </c>
      <c r="C784" s="4">
        <v>932.12829599999998</v>
      </c>
      <c r="D784" s="4">
        <v>1169.184448</v>
      </c>
      <c r="I784" s="3" t="s">
        <v>65</v>
      </c>
      <c r="J784" s="4">
        <v>895.64355499999999</v>
      </c>
      <c r="K784" s="4">
        <v>937.78692599999999</v>
      </c>
      <c r="L784" s="4">
        <v>839.36181599999998</v>
      </c>
      <c r="M784" s="12"/>
      <c r="O784" s="3" t="s">
        <v>65</v>
      </c>
      <c r="P784" s="4">
        <v>909.939392</v>
      </c>
      <c r="Q784" s="4">
        <v>944.14013699999998</v>
      </c>
      <c r="R784" s="4">
        <v>880.18945299999996</v>
      </c>
      <c r="U784" s="3" t="s">
        <v>65</v>
      </c>
      <c r="V784" s="4">
        <v>1154.38147</v>
      </c>
      <c r="W784" s="4">
        <v>935.30279499999995</v>
      </c>
      <c r="X784" s="4">
        <v>1058.5943600000001</v>
      </c>
    </row>
    <row r="785" spans="1:24" x14ac:dyDescent="0.3">
      <c r="A785" s="3" t="s">
        <v>67</v>
      </c>
      <c r="B785" s="4">
        <v>954.73718299999996</v>
      </c>
      <c r="C785" s="4">
        <v>967.59783900000002</v>
      </c>
      <c r="D785" s="4">
        <v>1190.889404</v>
      </c>
      <c r="I785" s="3" t="s">
        <v>67</v>
      </c>
      <c r="J785" s="4">
        <v>954.73718299999996</v>
      </c>
      <c r="K785" s="4">
        <v>995.30102499999998</v>
      </c>
      <c r="L785" s="4">
        <v>987.64025900000001</v>
      </c>
      <c r="M785" s="12"/>
      <c r="O785" s="3" t="s">
        <v>67</v>
      </c>
      <c r="P785" s="4">
        <v>983.75225799999998</v>
      </c>
      <c r="Q785" s="4">
        <v>984.44506799999999</v>
      </c>
      <c r="R785" s="4">
        <v>1117.1529539999999</v>
      </c>
      <c r="U785" s="3" t="s">
        <v>67</v>
      </c>
      <c r="V785" s="4">
        <v>859.25073199999997</v>
      </c>
      <c r="W785" s="4">
        <v>982.60205099999996</v>
      </c>
      <c r="X785" s="4">
        <v>791.485229</v>
      </c>
    </row>
    <row r="786" spans="1:24" x14ac:dyDescent="0.3">
      <c r="A786" s="3" t="s">
        <v>69</v>
      </c>
      <c r="B786" s="4">
        <v>968.88391100000001</v>
      </c>
      <c r="C786" s="4">
        <v>983.14709500000004</v>
      </c>
      <c r="D786" s="4">
        <v>966.15905799999996</v>
      </c>
      <c r="I786" s="3" t="s">
        <v>69</v>
      </c>
      <c r="J786" s="4">
        <v>968.88391100000001</v>
      </c>
      <c r="K786" s="4">
        <v>995.79925500000002</v>
      </c>
      <c r="L786" s="4">
        <v>1211.4580080000001</v>
      </c>
      <c r="M786" s="12"/>
      <c r="O786" s="3" t="s">
        <v>69</v>
      </c>
      <c r="P786" s="4">
        <v>1118.961182</v>
      </c>
      <c r="Q786" s="4">
        <v>993.27941899999996</v>
      </c>
      <c r="R786" s="4">
        <v>939.27697799999999</v>
      </c>
      <c r="U786" s="3" t="s">
        <v>69</v>
      </c>
      <c r="V786" s="4">
        <v>1183.146851</v>
      </c>
      <c r="W786" s="4">
        <v>988.52258300000005</v>
      </c>
      <c r="X786" s="4">
        <v>974.32586700000002</v>
      </c>
    </row>
    <row r="787" spans="1:24" x14ac:dyDescent="0.3">
      <c r="A787" s="3" t="s">
        <v>75</v>
      </c>
      <c r="B787" s="4">
        <v>714.30542000000003</v>
      </c>
      <c r="C787" s="4">
        <v>752.83947799999999</v>
      </c>
      <c r="D787" s="4">
        <v>686.70733600000005</v>
      </c>
      <c r="I787" s="3" t="s">
        <v>75</v>
      </c>
      <c r="J787" s="4">
        <v>714.30542000000003</v>
      </c>
      <c r="K787" s="4">
        <v>728.62469499999997</v>
      </c>
      <c r="L787" s="4">
        <v>672.91625999999997</v>
      </c>
      <c r="M787" s="12"/>
      <c r="O787" s="3" t="s">
        <v>75</v>
      </c>
      <c r="P787" s="4">
        <v>686.70733600000005</v>
      </c>
      <c r="Q787" s="4">
        <v>744.27484100000004</v>
      </c>
      <c r="R787" s="4">
        <v>686.70733600000005</v>
      </c>
      <c r="U787" s="3" t="s">
        <v>75</v>
      </c>
      <c r="V787" s="4">
        <v>672.91625999999997</v>
      </c>
      <c r="W787" s="4">
        <v>745.04675299999997</v>
      </c>
      <c r="X787" s="4">
        <v>672.91625999999997</v>
      </c>
    </row>
    <row r="788" spans="1:24" x14ac:dyDescent="0.3">
      <c r="A788" s="3" t="s">
        <v>77</v>
      </c>
      <c r="B788" s="4">
        <v>796.45288100000005</v>
      </c>
      <c r="C788" s="4">
        <v>852.20782499999996</v>
      </c>
      <c r="D788" s="4">
        <v>978.21490500000004</v>
      </c>
      <c r="I788" s="3" t="s">
        <v>77</v>
      </c>
      <c r="J788" s="4">
        <v>796.45288100000005</v>
      </c>
      <c r="K788" s="4">
        <v>819.70898399999999</v>
      </c>
      <c r="L788" s="4">
        <v>689.17364499999996</v>
      </c>
      <c r="M788" s="12"/>
      <c r="O788" s="3" t="s">
        <v>77</v>
      </c>
      <c r="P788" s="4">
        <v>815.51769999999999</v>
      </c>
      <c r="Q788" s="4">
        <v>809.63067599999999</v>
      </c>
      <c r="R788" s="4">
        <v>748.129456</v>
      </c>
      <c r="U788" s="3" t="s">
        <v>77</v>
      </c>
      <c r="V788" s="4">
        <v>909.66320800000005</v>
      </c>
      <c r="W788" s="4">
        <v>820.10833700000001</v>
      </c>
      <c r="X788" s="4">
        <v>921.19018600000004</v>
      </c>
    </row>
    <row r="789" spans="1:24" x14ac:dyDescent="0.3">
      <c r="A789" s="3" t="s">
        <v>79</v>
      </c>
      <c r="B789" s="4">
        <v>729.90734899999995</v>
      </c>
      <c r="C789" s="4">
        <v>798.03832999999997</v>
      </c>
      <c r="D789" s="4">
        <v>967.25854500000003</v>
      </c>
      <c r="I789" s="3" t="s">
        <v>79</v>
      </c>
      <c r="J789" s="4">
        <v>729.90734899999995</v>
      </c>
      <c r="K789" s="4">
        <v>784.17297399999995</v>
      </c>
      <c r="L789" s="4">
        <v>941.78845200000001</v>
      </c>
      <c r="M789" s="12"/>
      <c r="O789" s="3" t="s">
        <v>79</v>
      </c>
      <c r="P789" s="4">
        <v>911.83300799999995</v>
      </c>
      <c r="Q789" s="4">
        <v>755.51464799999997</v>
      </c>
      <c r="R789" s="4">
        <v>688.18121299999996</v>
      </c>
      <c r="U789" s="3" t="s">
        <v>79</v>
      </c>
      <c r="V789" s="4">
        <v>909.31231700000001</v>
      </c>
      <c r="W789" s="4">
        <v>773.12042199999996</v>
      </c>
      <c r="X789" s="4">
        <v>934.69219999999996</v>
      </c>
    </row>
    <row r="790" spans="1:24" x14ac:dyDescent="0.3">
      <c r="A790" s="3" t="s">
        <v>81</v>
      </c>
      <c r="B790" s="4">
        <v>713.78222700000003</v>
      </c>
      <c r="C790" s="4">
        <v>752.66625999999997</v>
      </c>
      <c r="D790" s="4">
        <v>855.00518799999998</v>
      </c>
      <c r="I790" s="3" t="s">
        <v>81</v>
      </c>
      <c r="J790" s="4">
        <v>713.78222700000003</v>
      </c>
      <c r="K790" s="4">
        <v>739.42877199999998</v>
      </c>
      <c r="L790" s="4">
        <v>882.042419</v>
      </c>
      <c r="M790" s="12"/>
      <c r="O790" s="3" t="s">
        <v>81</v>
      </c>
      <c r="P790" s="4">
        <v>828.97009300000002</v>
      </c>
      <c r="Q790" s="4">
        <v>752.091858</v>
      </c>
      <c r="R790" s="4">
        <v>901.74981700000001</v>
      </c>
      <c r="U790" s="3" t="s">
        <v>81</v>
      </c>
      <c r="V790" s="4">
        <v>759.73419200000001</v>
      </c>
      <c r="W790" s="4">
        <v>730.74481200000002</v>
      </c>
      <c r="X790" s="4">
        <v>845.57775900000001</v>
      </c>
    </row>
    <row r="791" spans="1:24" x14ac:dyDescent="0.3">
      <c r="A791" s="3" t="s">
        <v>83</v>
      </c>
      <c r="B791" s="4">
        <v>746.24322500000005</v>
      </c>
      <c r="C791" s="4">
        <v>771.85949700000003</v>
      </c>
      <c r="D791" s="4">
        <v>767.600281</v>
      </c>
      <c r="I791" s="3" t="s">
        <v>83</v>
      </c>
      <c r="J791" s="4">
        <v>746.24322500000005</v>
      </c>
      <c r="K791" s="4">
        <v>759.23754899999994</v>
      </c>
      <c r="L791" s="4">
        <v>778.83612100000005</v>
      </c>
      <c r="M791" s="12"/>
      <c r="O791" s="3" t="s">
        <v>83</v>
      </c>
      <c r="P791" s="4">
        <v>722.70153800000003</v>
      </c>
      <c r="Q791" s="4">
        <v>761.355591</v>
      </c>
      <c r="R791" s="4">
        <v>706.14263900000003</v>
      </c>
      <c r="U791" s="3" t="s">
        <v>83</v>
      </c>
      <c r="V791" s="4">
        <v>908.88549799999998</v>
      </c>
      <c r="W791" s="4">
        <v>766.63244599999996</v>
      </c>
      <c r="X791" s="4">
        <v>692.66980000000001</v>
      </c>
    </row>
    <row r="792" spans="1:24" x14ac:dyDescent="0.3">
      <c r="A792" s="3" t="s">
        <v>85</v>
      </c>
      <c r="B792" s="4">
        <v>856.53167699999995</v>
      </c>
      <c r="C792" s="4">
        <v>904.44348100000002</v>
      </c>
      <c r="D792" s="4">
        <v>959.70709199999999</v>
      </c>
      <c r="I792" s="3" t="s">
        <v>85</v>
      </c>
      <c r="J792" s="4">
        <v>856.53167699999995</v>
      </c>
      <c r="K792" s="4">
        <v>884.730591</v>
      </c>
      <c r="L792" s="4">
        <v>819.45739700000001</v>
      </c>
      <c r="M792" s="12"/>
      <c r="O792" s="3" t="s">
        <v>85</v>
      </c>
      <c r="P792" s="4">
        <v>786.97778300000004</v>
      </c>
      <c r="Q792" s="4">
        <v>905.27685499999995</v>
      </c>
      <c r="R792" s="4">
        <v>917.78875700000003</v>
      </c>
      <c r="U792" s="3" t="s">
        <v>85</v>
      </c>
      <c r="V792" s="4">
        <v>993.47412099999997</v>
      </c>
      <c r="W792" s="4">
        <v>901.70068400000002</v>
      </c>
      <c r="X792" s="4">
        <v>778.41980000000001</v>
      </c>
    </row>
    <row r="793" spans="1:24" x14ac:dyDescent="0.3">
      <c r="A793" s="3" t="s">
        <v>87</v>
      </c>
      <c r="B793" s="4">
        <v>793.237976</v>
      </c>
      <c r="C793" s="4">
        <v>822.16558799999996</v>
      </c>
      <c r="D793" s="4">
        <v>712.129456</v>
      </c>
      <c r="I793" s="3" t="s">
        <v>87</v>
      </c>
      <c r="J793" s="4">
        <v>793.237976</v>
      </c>
      <c r="K793" s="4">
        <v>796.83819600000004</v>
      </c>
      <c r="L793" s="4">
        <v>959.06396500000005</v>
      </c>
      <c r="M793" s="12"/>
      <c r="O793" s="3" t="s">
        <v>87</v>
      </c>
      <c r="P793" s="4">
        <v>896.83148200000005</v>
      </c>
      <c r="Q793" s="4">
        <v>827.95361300000002</v>
      </c>
      <c r="R793" s="4">
        <v>761.08178699999996</v>
      </c>
      <c r="U793" s="3" t="s">
        <v>87</v>
      </c>
      <c r="V793" s="4">
        <v>821.02630599999998</v>
      </c>
      <c r="W793" s="4">
        <v>802.76861599999995</v>
      </c>
      <c r="X793" s="4">
        <v>956.13073699999995</v>
      </c>
    </row>
    <row r="794" spans="1:24" x14ac:dyDescent="0.3">
      <c r="A794" s="3" t="s">
        <v>89</v>
      </c>
      <c r="B794" s="4">
        <v>800.80291699999998</v>
      </c>
      <c r="C794" s="4">
        <v>823.79486099999997</v>
      </c>
      <c r="D794" s="4">
        <v>709.81506300000001</v>
      </c>
      <c r="I794" s="3" t="s">
        <v>89</v>
      </c>
      <c r="J794" s="4">
        <v>800.80291699999998</v>
      </c>
      <c r="K794" s="4">
        <v>816.67156999999997</v>
      </c>
      <c r="L794" s="4">
        <v>903.07891800000004</v>
      </c>
      <c r="M794" s="12"/>
      <c r="O794" s="3" t="s">
        <v>89</v>
      </c>
      <c r="P794" s="4">
        <v>967.13830600000006</v>
      </c>
      <c r="Q794" s="4">
        <v>836.11993399999994</v>
      </c>
      <c r="R794" s="4">
        <v>992.45660399999997</v>
      </c>
      <c r="U794" s="3" t="s">
        <v>89</v>
      </c>
      <c r="V794" s="4">
        <v>970.71783400000004</v>
      </c>
      <c r="W794" s="4">
        <v>815.953125</v>
      </c>
      <c r="X794" s="4">
        <v>742.93743900000004</v>
      </c>
    </row>
    <row r="795" spans="1:24" x14ac:dyDescent="0.3">
      <c r="A795" s="3" t="s">
        <v>91</v>
      </c>
      <c r="B795" s="4">
        <v>767.66961700000002</v>
      </c>
      <c r="C795" s="4">
        <v>805.19232199999999</v>
      </c>
      <c r="D795" s="4">
        <v>867.86193800000001</v>
      </c>
      <c r="I795" s="3" t="s">
        <v>91</v>
      </c>
      <c r="J795" s="4">
        <v>767.66961700000002</v>
      </c>
      <c r="K795" s="4">
        <v>815.38928199999998</v>
      </c>
      <c r="L795" s="4">
        <v>907.62152100000003</v>
      </c>
      <c r="M795" s="12"/>
      <c r="O795" s="3" t="s">
        <v>91</v>
      </c>
      <c r="P795" s="4">
        <v>735.66851799999995</v>
      </c>
      <c r="Q795" s="4">
        <v>818.64788799999997</v>
      </c>
      <c r="R795" s="4">
        <v>907.08160399999997</v>
      </c>
      <c r="U795" s="3" t="s">
        <v>91</v>
      </c>
      <c r="V795" s="4">
        <v>689.25103799999999</v>
      </c>
      <c r="W795" s="4">
        <v>804.53564500000005</v>
      </c>
      <c r="X795" s="4">
        <v>914.37005599999998</v>
      </c>
    </row>
    <row r="796" spans="1:24" x14ac:dyDescent="0.3">
      <c r="A796" s="3" t="s">
        <v>93</v>
      </c>
      <c r="B796" s="4">
        <v>725.90850799999998</v>
      </c>
      <c r="C796" s="4">
        <v>753.79382299999997</v>
      </c>
      <c r="D796" s="4">
        <v>712.68139599999995</v>
      </c>
      <c r="I796" s="3" t="s">
        <v>93</v>
      </c>
      <c r="J796" s="4">
        <v>725.90850799999998</v>
      </c>
      <c r="K796" s="4">
        <v>753.69787599999995</v>
      </c>
      <c r="L796" s="4">
        <v>844.94104000000004</v>
      </c>
      <c r="M796" s="12"/>
      <c r="O796" s="3" t="s">
        <v>93</v>
      </c>
      <c r="P796" s="4">
        <v>774.91223100000002</v>
      </c>
      <c r="Q796" s="4">
        <v>755.50677499999995</v>
      </c>
      <c r="R796" s="4">
        <v>907.16406199999994</v>
      </c>
      <c r="U796" s="3" t="s">
        <v>93</v>
      </c>
      <c r="V796" s="4">
        <v>671.41821300000004</v>
      </c>
      <c r="W796" s="4">
        <v>742.00183100000004</v>
      </c>
      <c r="X796" s="4">
        <v>856.95007299999997</v>
      </c>
    </row>
    <row r="797" spans="1:24" x14ac:dyDescent="0.3">
      <c r="A797" s="3" t="s">
        <v>95</v>
      </c>
      <c r="B797" s="4">
        <v>822.831909</v>
      </c>
      <c r="C797" s="4">
        <v>858.38269000000003</v>
      </c>
      <c r="D797" s="4">
        <v>971.44256600000006</v>
      </c>
      <c r="I797" s="3" t="s">
        <v>95</v>
      </c>
      <c r="J797" s="4">
        <v>822.831909</v>
      </c>
      <c r="K797" s="4">
        <v>846.85339399999998</v>
      </c>
      <c r="L797" s="4">
        <v>689.28527799999995</v>
      </c>
      <c r="M797" s="12"/>
      <c r="O797" s="3" t="s">
        <v>95</v>
      </c>
      <c r="P797" s="4">
        <v>707.149719</v>
      </c>
      <c r="Q797" s="4">
        <v>862.42199700000003</v>
      </c>
      <c r="R797" s="4">
        <v>874.52862500000003</v>
      </c>
      <c r="U797" s="3" t="s">
        <v>95</v>
      </c>
      <c r="V797" s="4">
        <v>736.17291299999999</v>
      </c>
      <c r="W797" s="4">
        <v>858.457581</v>
      </c>
      <c r="X797" s="4">
        <v>702.50537099999997</v>
      </c>
    </row>
    <row r="798" spans="1:24" x14ac:dyDescent="0.3">
      <c r="A798" s="3" t="s">
        <v>97</v>
      </c>
      <c r="B798" s="4">
        <v>948.83935499999995</v>
      </c>
      <c r="C798" s="4">
        <v>995.67285200000003</v>
      </c>
      <c r="D798" s="4">
        <v>1105.315918</v>
      </c>
      <c r="I798" s="3" t="s">
        <v>97</v>
      </c>
      <c r="J798" s="4">
        <v>948.83935499999995</v>
      </c>
      <c r="K798" s="4">
        <v>990.84936500000003</v>
      </c>
      <c r="L798" s="4">
        <v>978.58758499999999</v>
      </c>
      <c r="M798" s="12"/>
      <c r="O798" s="3" t="s">
        <v>97</v>
      </c>
      <c r="P798" s="4">
        <v>1083.363525</v>
      </c>
      <c r="Q798" s="4">
        <v>1001.007263</v>
      </c>
      <c r="R798" s="4">
        <v>1009.579773</v>
      </c>
      <c r="U798" s="3" t="s">
        <v>97</v>
      </c>
      <c r="V798" s="4">
        <v>848.05297900000005</v>
      </c>
      <c r="W798" s="4">
        <v>984.72222899999997</v>
      </c>
      <c r="X798" s="4">
        <v>1088.344971</v>
      </c>
    </row>
    <row r="799" spans="1:24" x14ac:dyDescent="0.3">
      <c r="A799" s="3" t="s">
        <v>99</v>
      </c>
      <c r="B799" s="4">
        <v>927.92285200000003</v>
      </c>
      <c r="C799" s="4">
        <v>948.37786900000003</v>
      </c>
      <c r="D799" s="4">
        <v>1087.4227289999999</v>
      </c>
      <c r="I799" s="3" t="s">
        <v>99</v>
      </c>
      <c r="J799" s="4">
        <v>927.92285200000003</v>
      </c>
      <c r="K799" s="4">
        <v>944.84509300000002</v>
      </c>
      <c r="L799" s="4">
        <v>1086.284302</v>
      </c>
      <c r="M799" s="12"/>
      <c r="O799" s="3" t="s">
        <v>99</v>
      </c>
      <c r="P799" s="4">
        <v>1061.0664059999999</v>
      </c>
      <c r="Q799" s="4">
        <v>959.43914800000005</v>
      </c>
      <c r="R799" s="4">
        <v>1081.623047</v>
      </c>
      <c r="U799" s="3" t="s">
        <v>99</v>
      </c>
      <c r="V799" s="4">
        <v>1004.289307</v>
      </c>
      <c r="W799" s="4">
        <v>946.503784</v>
      </c>
      <c r="X799" s="4">
        <v>1131.154419</v>
      </c>
    </row>
    <row r="800" spans="1:24" x14ac:dyDescent="0.3">
      <c r="A800" s="3" t="s">
        <v>101</v>
      </c>
      <c r="B800" s="4">
        <v>823.20129399999996</v>
      </c>
      <c r="C800" s="4">
        <v>865.01776099999995</v>
      </c>
      <c r="D800" s="4">
        <v>1077.5306399999999</v>
      </c>
      <c r="I800" s="3" t="s">
        <v>101</v>
      </c>
      <c r="J800" s="4">
        <v>823.20129399999996</v>
      </c>
      <c r="K800" s="4">
        <v>857.73065199999996</v>
      </c>
      <c r="L800" s="4">
        <v>994.84930399999996</v>
      </c>
      <c r="M800" s="12"/>
      <c r="O800" s="3" t="s">
        <v>101</v>
      </c>
      <c r="P800" s="4">
        <v>1049.1827390000001</v>
      </c>
      <c r="Q800" s="4">
        <v>872.84472700000003</v>
      </c>
      <c r="R800" s="4">
        <v>846.45642099999998</v>
      </c>
      <c r="U800" s="3" t="s">
        <v>101</v>
      </c>
      <c r="V800" s="4">
        <v>964.91650400000003</v>
      </c>
      <c r="W800" s="4">
        <v>872.544128</v>
      </c>
      <c r="X800" s="4">
        <v>1074.2849120000001</v>
      </c>
    </row>
    <row r="801" spans="1:24" x14ac:dyDescent="0.3">
      <c r="A801" s="3" t="s">
        <v>103</v>
      </c>
      <c r="B801" s="4">
        <v>873.35632299999997</v>
      </c>
      <c r="C801" s="4">
        <v>890.98584000000005</v>
      </c>
      <c r="D801" s="4">
        <v>1013.74176</v>
      </c>
      <c r="I801" s="3" t="s">
        <v>103</v>
      </c>
      <c r="J801" s="4">
        <v>873.35632299999997</v>
      </c>
      <c r="K801" s="4">
        <v>878.36749299999997</v>
      </c>
      <c r="L801" s="4">
        <v>978.80773899999997</v>
      </c>
      <c r="M801" s="12"/>
      <c r="O801" s="3" t="s">
        <v>103</v>
      </c>
      <c r="P801" s="4">
        <v>1017.657654</v>
      </c>
      <c r="Q801" s="4">
        <v>891.62347399999999</v>
      </c>
      <c r="R801" s="4">
        <v>1011.37616</v>
      </c>
      <c r="U801" s="3" t="s">
        <v>103</v>
      </c>
      <c r="V801" s="4">
        <v>1000.070129</v>
      </c>
      <c r="W801" s="4">
        <v>891.76861599999995</v>
      </c>
      <c r="X801" s="4">
        <v>808.14666699999998</v>
      </c>
    </row>
    <row r="802" spans="1:24" x14ac:dyDescent="0.3">
      <c r="A802" s="3" t="s">
        <v>105</v>
      </c>
      <c r="B802" s="4">
        <v>970.43884300000002</v>
      </c>
      <c r="C802" s="4">
        <v>1001.615112</v>
      </c>
      <c r="D802" s="4">
        <v>1106.1168210000001</v>
      </c>
      <c r="I802" s="3" t="s">
        <v>105</v>
      </c>
      <c r="J802" s="4">
        <v>970.43884300000002</v>
      </c>
      <c r="K802" s="4">
        <v>1013.7323</v>
      </c>
      <c r="L802" s="4">
        <v>1120.5943600000001</v>
      </c>
      <c r="M802" s="12"/>
      <c r="O802" s="3" t="s">
        <v>105</v>
      </c>
      <c r="P802" s="4">
        <v>1014.823486</v>
      </c>
      <c r="Q802" s="4">
        <v>1009.709412</v>
      </c>
      <c r="R802" s="4">
        <v>821.33422900000005</v>
      </c>
      <c r="U802" s="3" t="s">
        <v>105</v>
      </c>
      <c r="V802" s="4">
        <v>910.64849900000002</v>
      </c>
      <c r="W802" s="4">
        <v>1022.7597050000001</v>
      </c>
      <c r="X802" s="4">
        <v>1097.9228519999999</v>
      </c>
    </row>
    <row r="803" spans="1:24" x14ac:dyDescent="0.3">
      <c r="A803" s="3" t="s">
        <v>107</v>
      </c>
      <c r="B803" s="4">
        <v>1027.6942140000001</v>
      </c>
      <c r="C803" s="4">
        <v>1055.0595699999999</v>
      </c>
      <c r="D803" s="4">
        <v>889.76611300000002</v>
      </c>
      <c r="I803" s="3" t="s">
        <v>107</v>
      </c>
      <c r="J803" s="4">
        <v>1027.6942140000001</v>
      </c>
      <c r="K803" s="4">
        <v>1069.0131839999999</v>
      </c>
      <c r="L803" s="4">
        <v>1195.296875</v>
      </c>
      <c r="M803" s="12"/>
      <c r="O803" s="3" t="s">
        <v>107</v>
      </c>
      <c r="P803" s="4">
        <v>1021.127075</v>
      </c>
      <c r="Q803" s="4">
        <v>1081.365601</v>
      </c>
      <c r="R803" s="4">
        <v>1200.2075199999999</v>
      </c>
      <c r="U803" s="3" t="s">
        <v>107</v>
      </c>
      <c r="V803" s="4">
        <v>1126.368408</v>
      </c>
      <c r="W803" s="4">
        <v>1074.30835</v>
      </c>
      <c r="X803" s="4">
        <v>981.78326400000003</v>
      </c>
    </row>
    <row r="804" spans="1:24" x14ac:dyDescent="0.3">
      <c r="A804" s="3" t="s">
        <v>109</v>
      </c>
      <c r="B804" s="4">
        <v>903.18322799999999</v>
      </c>
      <c r="C804" s="4">
        <v>899.44390899999996</v>
      </c>
      <c r="D804" s="4">
        <v>1093.1717530000001</v>
      </c>
      <c r="I804" s="3" t="s">
        <v>109</v>
      </c>
      <c r="J804" s="4">
        <v>903.18322799999999</v>
      </c>
      <c r="K804" s="4">
        <v>932.87847899999997</v>
      </c>
      <c r="L804" s="4">
        <v>1146.091919</v>
      </c>
      <c r="M804" s="12"/>
      <c r="O804" s="3" t="s">
        <v>109</v>
      </c>
      <c r="P804" s="4">
        <v>918.36608899999999</v>
      </c>
      <c r="Q804" s="4">
        <v>925.77734399999997</v>
      </c>
      <c r="R804" s="4">
        <v>794.06957999999997</v>
      </c>
      <c r="U804" s="3" t="s">
        <v>109</v>
      </c>
      <c r="V804" s="4">
        <v>1100.3093260000001</v>
      </c>
      <c r="W804" s="4">
        <v>931.24926800000003</v>
      </c>
      <c r="X804" s="4">
        <v>770.19665499999996</v>
      </c>
    </row>
    <row r="805" spans="1:24" x14ac:dyDescent="0.3">
      <c r="A805" s="3" t="s">
        <v>111</v>
      </c>
      <c r="B805" s="4">
        <v>996.55578600000001</v>
      </c>
      <c r="C805" s="4">
        <v>1034.003418</v>
      </c>
      <c r="D805" s="4">
        <v>1234.536255</v>
      </c>
      <c r="I805" s="3" t="s">
        <v>111</v>
      </c>
      <c r="J805" s="4">
        <v>996.55578600000001</v>
      </c>
      <c r="K805" s="4">
        <v>1025.9023440000001</v>
      </c>
      <c r="L805" s="4">
        <v>945.81933600000002</v>
      </c>
      <c r="M805" s="12"/>
      <c r="O805" s="3" t="s">
        <v>111</v>
      </c>
      <c r="P805" s="4">
        <v>1098.7335210000001</v>
      </c>
      <c r="Q805" s="4">
        <v>1039.368164</v>
      </c>
      <c r="R805" s="4">
        <v>1176.5318600000001</v>
      </c>
      <c r="U805" s="3" t="s">
        <v>111</v>
      </c>
      <c r="V805" s="4">
        <v>1158.380737</v>
      </c>
      <c r="W805" s="4">
        <v>1012.4748540000001</v>
      </c>
      <c r="X805" s="4">
        <v>986.686646</v>
      </c>
    </row>
    <row r="806" spans="1:24" x14ac:dyDescent="0.3">
      <c r="A806" s="3" t="s">
        <v>113</v>
      </c>
      <c r="B806" s="4">
        <v>921.22875999999997</v>
      </c>
      <c r="C806" s="4">
        <v>935.31433100000004</v>
      </c>
      <c r="D806" s="4">
        <v>876.32372999999995</v>
      </c>
      <c r="I806" s="3" t="s">
        <v>113</v>
      </c>
      <c r="J806" s="4">
        <v>921.22875999999997</v>
      </c>
      <c r="K806" s="4">
        <v>936.152649</v>
      </c>
      <c r="L806" s="4">
        <v>868.96447799999999</v>
      </c>
      <c r="M806" s="12"/>
      <c r="O806" s="3" t="s">
        <v>113</v>
      </c>
      <c r="P806" s="4">
        <v>959.87658699999997</v>
      </c>
      <c r="Q806" s="4">
        <v>926.31604000000004</v>
      </c>
      <c r="R806" s="4">
        <v>1040.4053960000001</v>
      </c>
      <c r="U806" s="3" t="s">
        <v>113</v>
      </c>
      <c r="V806" s="4">
        <v>928.89636199999995</v>
      </c>
      <c r="W806" s="4">
        <v>928.70452899999998</v>
      </c>
      <c r="X806" s="4">
        <v>1089.4681399999999</v>
      </c>
    </row>
    <row r="807" spans="1:24" x14ac:dyDescent="0.3">
      <c r="A807" s="3" t="s">
        <v>115</v>
      </c>
      <c r="B807" s="4">
        <v>1031.8939210000001</v>
      </c>
      <c r="C807" s="4">
        <v>1055.8446039999999</v>
      </c>
      <c r="D807" s="4">
        <v>1352.8625489999999</v>
      </c>
      <c r="I807" s="3" t="s">
        <v>115</v>
      </c>
      <c r="J807" s="4">
        <v>1031.8939210000001</v>
      </c>
      <c r="K807" s="4">
        <v>1064.889038</v>
      </c>
      <c r="L807" s="4">
        <v>996.17864999999995</v>
      </c>
      <c r="M807" s="12"/>
      <c r="O807" s="3" t="s">
        <v>115</v>
      </c>
      <c r="P807" s="4">
        <v>1335.111206</v>
      </c>
      <c r="Q807" s="4">
        <v>1039.344116</v>
      </c>
      <c r="R807" s="4">
        <v>1265.48999</v>
      </c>
      <c r="U807" s="3" t="s">
        <v>115</v>
      </c>
      <c r="V807" s="4">
        <v>881.87365699999998</v>
      </c>
      <c r="W807" s="4">
        <v>1070.8244629999999</v>
      </c>
      <c r="X807" s="4">
        <v>1347.996216</v>
      </c>
    </row>
    <row r="808" spans="1:24" x14ac:dyDescent="0.3">
      <c r="A808" s="3" t="s">
        <v>117</v>
      </c>
      <c r="B808" s="4">
        <v>969.48944100000006</v>
      </c>
      <c r="C808" s="4">
        <v>1008.569885</v>
      </c>
      <c r="D808" s="4">
        <v>968.43627900000001</v>
      </c>
      <c r="I808" s="3" t="s">
        <v>117</v>
      </c>
      <c r="J808" s="4">
        <v>969.48944100000006</v>
      </c>
      <c r="K808" s="4">
        <v>1010.422791</v>
      </c>
      <c r="L808" s="4">
        <v>1128.2479249999999</v>
      </c>
      <c r="M808" s="12"/>
      <c r="O808" s="3" t="s">
        <v>117</v>
      </c>
      <c r="P808" s="4">
        <v>1166.915039</v>
      </c>
      <c r="Q808" s="4">
        <v>1008.604004</v>
      </c>
      <c r="R808" s="4">
        <v>1120.3176269999999</v>
      </c>
      <c r="U808" s="3" t="s">
        <v>117</v>
      </c>
      <c r="V808" s="4">
        <v>1005.928284</v>
      </c>
      <c r="W808" s="4">
        <v>995.17016599999999</v>
      </c>
      <c r="X808" s="4">
        <v>1113.0399170000001</v>
      </c>
    </row>
    <row r="809" spans="1:24" x14ac:dyDescent="0.3">
      <c r="A809" s="3" t="s">
        <v>119</v>
      </c>
      <c r="B809" s="4">
        <v>1012.809875</v>
      </c>
      <c r="C809" s="4">
        <v>1037.4406739999999</v>
      </c>
      <c r="D809" s="4">
        <v>1235.8394780000001</v>
      </c>
      <c r="I809" s="3" t="s">
        <v>119</v>
      </c>
      <c r="J809" s="4">
        <v>1012.809875</v>
      </c>
      <c r="K809" s="4">
        <v>1045.7803960000001</v>
      </c>
      <c r="L809" s="4">
        <v>850.84613000000002</v>
      </c>
      <c r="M809" s="12"/>
      <c r="O809" s="3" t="s">
        <v>119</v>
      </c>
      <c r="P809" s="4">
        <v>1111.4384769999999</v>
      </c>
      <c r="Q809" s="4">
        <v>1027.8756100000001</v>
      </c>
      <c r="R809" s="4">
        <v>849.61053500000003</v>
      </c>
      <c r="U809" s="3" t="s">
        <v>119</v>
      </c>
      <c r="V809" s="4">
        <v>823.41870100000006</v>
      </c>
      <c r="W809" s="4">
        <v>1026.984741</v>
      </c>
      <c r="X809" s="4">
        <v>1267.6649170000001</v>
      </c>
    </row>
    <row r="810" spans="1:24" x14ac:dyDescent="0.3">
      <c r="A810" s="3" t="s">
        <v>121</v>
      </c>
      <c r="B810" s="4">
        <v>1036.9761960000001</v>
      </c>
      <c r="C810" s="4">
        <v>1062.094116</v>
      </c>
      <c r="D810" s="4">
        <v>1041.7969969999999</v>
      </c>
      <c r="I810" s="3" t="s">
        <v>121</v>
      </c>
      <c r="J810" s="4">
        <v>1036.9761960000001</v>
      </c>
      <c r="K810" s="4">
        <v>1024.606567</v>
      </c>
      <c r="L810" s="4">
        <v>993.715149</v>
      </c>
      <c r="M810" s="12"/>
      <c r="O810" s="3" t="s">
        <v>121</v>
      </c>
      <c r="P810" s="4">
        <v>1150.7818600000001</v>
      </c>
      <c r="Q810" s="4">
        <v>1044.3614500000001</v>
      </c>
      <c r="R810" s="4">
        <v>1037.0081789999999</v>
      </c>
      <c r="U810" s="3" t="s">
        <v>121</v>
      </c>
      <c r="V810" s="4">
        <v>904.03796399999999</v>
      </c>
      <c r="W810" s="4">
        <v>1049.393677</v>
      </c>
      <c r="X810" s="4">
        <v>982.358521</v>
      </c>
    </row>
    <row r="811" spans="1:24" x14ac:dyDescent="0.3">
      <c r="A811" s="3" t="s">
        <v>123</v>
      </c>
      <c r="B811" s="4">
        <v>1010.304077</v>
      </c>
      <c r="C811" s="4">
        <v>1041.674927</v>
      </c>
      <c r="D811" s="4">
        <v>1182.166504</v>
      </c>
      <c r="I811" s="3" t="s">
        <v>123</v>
      </c>
      <c r="J811" s="4">
        <v>1010.304077</v>
      </c>
      <c r="K811" s="4">
        <v>1043.7647710000001</v>
      </c>
      <c r="L811" s="4">
        <v>1240.899048</v>
      </c>
      <c r="M811" s="12"/>
      <c r="O811" s="3" t="s">
        <v>123</v>
      </c>
      <c r="P811" s="4">
        <v>1106.572388</v>
      </c>
      <c r="Q811" s="4">
        <v>1039.9334719999999</v>
      </c>
      <c r="R811" s="4">
        <v>1236.469482</v>
      </c>
      <c r="U811" s="3" t="s">
        <v>123</v>
      </c>
      <c r="V811" s="4">
        <v>1090.9372559999999</v>
      </c>
      <c r="W811" s="4">
        <v>1021.3452150000001</v>
      </c>
      <c r="X811" s="4">
        <v>1242.1210940000001</v>
      </c>
    </row>
    <row r="812" spans="1:24" x14ac:dyDescent="0.3">
      <c r="A812" s="3" t="s">
        <v>125</v>
      </c>
      <c r="B812" s="4">
        <v>1060.5048830000001</v>
      </c>
      <c r="C812" s="4">
        <v>1079.1647949999999</v>
      </c>
      <c r="D812" s="4">
        <v>1258.6831050000001</v>
      </c>
      <c r="I812" s="3" t="s">
        <v>125</v>
      </c>
      <c r="J812" s="4">
        <v>1060.5048830000001</v>
      </c>
      <c r="K812" s="4">
        <v>1086.602783</v>
      </c>
      <c r="L812" s="4">
        <v>1305.975342</v>
      </c>
      <c r="M812" s="12"/>
      <c r="O812" s="3" t="s">
        <v>125</v>
      </c>
      <c r="P812" s="4">
        <v>1075.5177000000001</v>
      </c>
      <c r="Q812" s="4">
        <v>1085.6152340000001</v>
      </c>
      <c r="R812" s="4">
        <v>1071.318726</v>
      </c>
      <c r="U812" s="3" t="s">
        <v>125</v>
      </c>
      <c r="V812" s="4">
        <v>1248.3580320000001</v>
      </c>
      <c r="W812" s="4">
        <v>1082.1785890000001</v>
      </c>
      <c r="X812" s="4">
        <v>1254.404297</v>
      </c>
    </row>
    <row r="813" spans="1:24" x14ac:dyDescent="0.3">
      <c r="A813" s="3" t="s">
        <v>127</v>
      </c>
      <c r="B813" s="4">
        <v>1033.7132570000001</v>
      </c>
      <c r="C813" s="4">
        <v>1062.2045900000001</v>
      </c>
      <c r="D813" s="4">
        <v>1287.7700199999999</v>
      </c>
      <c r="I813" s="3" t="s">
        <v>127</v>
      </c>
      <c r="J813" s="4">
        <v>1033.7132570000001</v>
      </c>
      <c r="K813" s="4">
        <v>1070.4510499999999</v>
      </c>
      <c r="L813" s="4">
        <v>1082.0451660000001</v>
      </c>
      <c r="M813" s="12"/>
      <c r="O813" s="3" t="s">
        <v>127</v>
      </c>
      <c r="P813" s="4">
        <v>1256.1450199999999</v>
      </c>
      <c r="Q813" s="4">
        <v>1067.0898440000001</v>
      </c>
      <c r="R813" s="4">
        <v>1291.5177000000001</v>
      </c>
      <c r="U813" s="3" t="s">
        <v>127</v>
      </c>
      <c r="V813" s="4">
        <v>1123.9508060000001</v>
      </c>
      <c r="W813" s="4">
        <v>1077.342529</v>
      </c>
      <c r="X813" s="4">
        <v>901.01062000000002</v>
      </c>
    </row>
    <row r="814" spans="1:24" x14ac:dyDescent="0.3">
      <c r="A814" s="3" t="s">
        <v>129</v>
      </c>
      <c r="B814" s="4">
        <v>1007.266296</v>
      </c>
      <c r="C814" s="4">
        <v>1061.0407709999999</v>
      </c>
      <c r="D814" s="4">
        <v>1061.7202150000001</v>
      </c>
      <c r="I814" s="3" t="s">
        <v>129</v>
      </c>
      <c r="J814" s="4">
        <v>1007.266296</v>
      </c>
      <c r="K814" s="4">
        <v>1022.855713</v>
      </c>
      <c r="L814" s="4">
        <v>1206.11853</v>
      </c>
      <c r="M814" s="12"/>
      <c r="O814" s="3" t="s">
        <v>129</v>
      </c>
      <c r="P814" s="4">
        <v>1142.8668210000001</v>
      </c>
      <c r="Q814" s="4">
        <v>1016.946838</v>
      </c>
      <c r="R814" s="4">
        <v>880.06652799999995</v>
      </c>
      <c r="U814" s="3" t="s">
        <v>129</v>
      </c>
      <c r="V814" s="4">
        <v>997.948669</v>
      </c>
      <c r="W814" s="4">
        <v>1007.511658</v>
      </c>
      <c r="X814" s="4">
        <v>1064.4273679999999</v>
      </c>
    </row>
    <row r="815" spans="1:24" x14ac:dyDescent="0.3">
      <c r="A815" s="3" t="s">
        <v>131</v>
      </c>
      <c r="B815" s="4">
        <v>1024.642578</v>
      </c>
      <c r="C815" s="4">
        <v>1059.180664</v>
      </c>
      <c r="D815" s="4">
        <v>1221.155884</v>
      </c>
      <c r="I815" s="3" t="s">
        <v>131</v>
      </c>
      <c r="J815" s="4">
        <v>1024.642578</v>
      </c>
      <c r="K815" s="4">
        <v>1060.7937010000001</v>
      </c>
      <c r="L815" s="4">
        <v>1215.0679929999999</v>
      </c>
      <c r="M815" s="12"/>
      <c r="O815" s="3" t="s">
        <v>131</v>
      </c>
      <c r="P815" s="4">
        <v>1121.30188</v>
      </c>
      <c r="Q815" s="4">
        <v>1059.950317</v>
      </c>
      <c r="R815" s="4">
        <v>1346.690552</v>
      </c>
      <c r="U815" s="3" t="s">
        <v>131</v>
      </c>
      <c r="V815" s="4">
        <v>1354.9135739999999</v>
      </c>
      <c r="W815" s="4">
        <v>1043.395996</v>
      </c>
      <c r="X815" s="4">
        <v>1053.7476810000001</v>
      </c>
    </row>
    <row r="816" spans="1:24" x14ac:dyDescent="0.3">
      <c r="A816" s="3" t="s">
        <v>133</v>
      </c>
      <c r="B816" s="4">
        <v>1054.787231</v>
      </c>
      <c r="C816" s="4">
        <v>1087.109741</v>
      </c>
      <c r="D816" s="4">
        <v>961.17779499999995</v>
      </c>
      <c r="I816" s="3" t="s">
        <v>133</v>
      </c>
      <c r="J816" s="4">
        <v>1054.787231</v>
      </c>
      <c r="K816" s="4">
        <v>1089.430908</v>
      </c>
      <c r="L816" s="4">
        <v>1082.63562</v>
      </c>
      <c r="M816" s="12"/>
      <c r="O816" s="3" t="s">
        <v>133</v>
      </c>
      <c r="P816" s="4">
        <v>1248.4038089999999</v>
      </c>
      <c r="Q816" s="4">
        <v>1082.7933350000001</v>
      </c>
      <c r="R816" s="4">
        <v>1225.769409</v>
      </c>
      <c r="U816" s="3" t="s">
        <v>133</v>
      </c>
      <c r="V816" s="4">
        <v>1181.6016850000001</v>
      </c>
      <c r="W816" s="4">
        <v>1104.114014</v>
      </c>
      <c r="X816" s="4">
        <v>1068.3973390000001</v>
      </c>
    </row>
    <row r="817" spans="1:24" x14ac:dyDescent="0.3">
      <c r="A817" s="3" t="s">
        <v>135</v>
      </c>
      <c r="B817" s="4">
        <v>776.23455799999999</v>
      </c>
      <c r="C817" s="4">
        <v>820.71569799999997</v>
      </c>
      <c r="D817" s="4">
        <v>716.35314900000003</v>
      </c>
      <c r="I817" s="3" t="s">
        <v>135</v>
      </c>
      <c r="J817" s="4">
        <v>776.23455799999999</v>
      </c>
      <c r="K817" s="4">
        <v>793.01953100000003</v>
      </c>
      <c r="L817" s="4">
        <v>703.35192900000004</v>
      </c>
      <c r="M817" s="12"/>
      <c r="O817" s="3" t="s">
        <v>135</v>
      </c>
      <c r="P817" s="4">
        <v>716.35314900000003</v>
      </c>
      <c r="Q817" s="4">
        <v>815.72100799999998</v>
      </c>
      <c r="R817" s="4">
        <v>716.35314900000003</v>
      </c>
      <c r="U817" s="3" t="s">
        <v>135</v>
      </c>
      <c r="V817" s="4">
        <v>703.35192900000004</v>
      </c>
      <c r="W817" s="4">
        <v>807.54827899999998</v>
      </c>
      <c r="X817" s="4">
        <v>703.35192900000004</v>
      </c>
    </row>
    <row r="818" spans="1:24" x14ac:dyDescent="0.3">
      <c r="A818" s="3" t="s">
        <v>137</v>
      </c>
      <c r="B818" s="4">
        <v>860.05987500000003</v>
      </c>
      <c r="C818" s="4">
        <v>899.66082800000004</v>
      </c>
      <c r="D818" s="4">
        <v>1058.2014160000001</v>
      </c>
      <c r="I818" s="3" t="s">
        <v>137</v>
      </c>
      <c r="J818" s="4">
        <v>860.05987500000003</v>
      </c>
      <c r="K818" s="4">
        <v>888.563354</v>
      </c>
      <c r="L818" s="4">
        <v>725.99591099999998</v>
      </c>
      <c r="M818" s="12"/>
      <c r="O818" s="3" t="s">
        <v>137</v>
      </c>
      <c r="P818" s="4">
        <v>754.262878</v>
      </c>
      <c r="Q818" s="4">
        <v>911.36010699999997</v>
      </c>
      <c r="R818" s="4">
        <v>755.83099400000003</v>
      </c>
      <c r="U818" s="3" t="s">
        <v>137</v>
      </c>
      <c r="V818" s="4">
        <v>724.65606700000001</v>
      </c>
      <c r="W818" s="4">
        <v>902.87145999999996</v>
      </c>
      <c r="X818" s="4">
        <v>938.16229199999998</v>
      </c>
    </row>
    <row r="819" spans="1:24" x14ac:dyDescent="0.3">
      <c r="A819" s="3" t="s">
        <v>139</v>
      </c>
      <c r="B819" s="4">
        <v>899.84265100000005</v>
      </c>
      <c r="C819" s="4">
        <v>939.90295400000002</v>
      </c>
      <c r="D819" s="4">
        <v>834.441956</v>
      </c>
      <c r="I819" s="3" t="s">
        <v>139</v>
      </c>
      <c r="J819" s="4">
        <v>899.84265100000005</v>
      </c>
      <c r="K819" s="4">
        <v>910.02710000000002</v>
      </c>
      <c r="L819" s="4">
        <v>946.74774200000002</v>
      </c>
      <c r="M819" s="12"/>
      <c r="O819" s="3" t="s">
        <v>139</v>
      </c>
      <c r="P819" s="4">
        <v>828.12957800000004</v>
      </c>
      <c r="Q819" s="4">
        <v>936.78161599999999</v>
      </c>
      <c r="R819" s="4">
        <v>1012.985535</v>
      </c>
      <c r="U819" s="3" t="s">
        <v>139</v>
      </c>
      <c r="V819" s="4">
        <v>909.742615</v>
      </c>
      <c r="W819" s="4">
        <v>928.70819100000006</v>
      </c>
      <c r="X819" s="4">
        <v>932.259094</v>
      </c>
    </row>
    <row r="820" spans="1:24" x14ac:dyDescent="0.3">
      <c r="A820" s="3" t="s">
        <v>141</v>
      </c>
      <c r="B820" s="4">
        <v>942.00305200000003</v>
      </c>
      <c r="C820" s="4">
        <v>973.16320800000005</v>
      </c>
      <c r="D820" s="4">
        <v>1017.619568</v>
      </c>
      <c r="I820" s="3" t="s">
        <v>141</v>
      </c>
      <c r="J820" s="4">
        <v>942.00305200000003</v>
      </c>
      <c r="K820" s="4">
        <v>977.66772500000002</v>
      </c>
      <c r="L820" s="4">
        <v>862.33111599999995</v>
      </c>
      <c r="M820" s="12"/>
      <c r="O820" s="3" t="s">
        <v>141</v>
      </c>
      <c r="P820" s="4">
        <v>1012.300598</v>
      </c>
      <c r="Q820" s="4">
        <v>978.36321999999996</v>
      </c>
      <c r="R820" s="4">
        <v>1077.9674070000001</v>
      </c>
      <c r="U820" s="3" t="s">
        <v>141</v>
      </c>
      <c r="V820" s="4">
        <v>1055.7626949999999</v>
      </c>
      <c r="W820" s="4">
        <v>974.71319600000004</v>
      </c>
      <c r="X820" s="4">
        <v>1109.3713379999999</v>
      </c>
    </row>
    <row r="821" spans="1:24" x14ac:dyDescent="0.3">
      <c r="A821" s="3" t="s">
        <v>143</v>
      </c>
      <c r="B821" s="4">
        <v>867.90679899999998</v>
      </c>
      <c r="C821" s="4">
        <v>925.85375999999997</v>
      </c>
      <c r="D821" s="4">
        <v>1032.3248289999999</v>
      </c>
      <c r="I821" s="3" t="s">
        <v>143</v>
      </c>
      <c r="J821" s="4">
        <v>867.90679899999998</v>
      </c>
      <c r="K821" s="4">
        <v>906.01513699999998</v>
      </c>
      <c r="L821" s="4">
        <v>820.024719</v>
      </c>
      <c r="M821" s="12"/>
      <c r="O821" s="3" t="s">
        <v>143</v>
      </c>
      <c r="P821" s="4">
        <v>980.89050299999997</v>
      </c>
      <c r="Q821" s="4">
        <v>892.81756600000006</v>
      </c>
      <c r="R821" s="4">
        <v>739.08508300000005</v>
      </c>
      <c r="U821" s="3" t="s">
        <v>143</v>
      </c>
      <c r="V821" s="4">
        <v>884.14019800000005</v>
      </c>
      <c r="W821" s="4">
        <v>891.27801499999998</v>
      </c>
      <c r="X821" s="4">
        <v>947.35870399999999</v>
      </c>
    </row>
    <row r="822" spans="1:24" x14ac:dyDescent="0.3">
      <c r="A822" s="3" t="s">
        <v>145</v>
      </c>
      <c r="B822" s="4">
        <v>874.24951199999998</v>
      </c>
      <c r="C822" s="4">
        <v>924.42791699999998</v>
      </c>
      <c r="D822" s="4">
        <v>1064.786499</v>
      </c>
      <c r="I822" s="3" t="s">
        <v>145</v>
      </c>
      <c r="J822" s="4">
        <v>874.24951199999998</v>
      </c>
      <c r="K822" s="4">
        <v>909.53112799999997</v>
      </c>
      <c r="L822" s="4">
        <v>924.56622300000004</v>
      </c>
      <c r="M822" s="12"/>
      <c r="O822" s="3" t="s">
        <v>145</v>
      </c>
      <c r="P822" s="4">
        <v>900.65228300000001</v>
      </c>
      <c r="Q822" s="4">
        <v>916.83697500000005</v>
      </c>
      <c r="R822" s="4">
        <v>998.88751200000002</v>
      </c>
      <c r="U822" s="3" t="s">
        <v>145</v>
      </c>
      <c r="V822" s="4">
        <v>902.69305399999996</v>
      </c>
      <c r="W822" s="4">
        <v>918.56970200000001</v>
      </c>
      <c r="X822" s="4">
        <v>1057.760986</v>
      </c>
    </row>
    <row r="823" spans="1:24" x14ac:dyDescent="0.3">
      <c r="A823" s="3" t="s">
        <v>147</v>
      </c>
      <c r="B823" s="4">
        <v>844.38079800000003</v>
      </c>
      <c r="C823" s="4">
        <v>896.30426</v>
      </c>
      <c r="D823" s="4">
        <v>1025.697754</v>
      </c>
      <c r="I823" s="3" t="s">
        <v>147</v>
      </c>
      <c r="J823" s="4">
        <v>844.38079800000003</v>
      </c>
      <c r="K823" s="4">
        <v>876.181152</v>
      </c>
      <c r="L823" s="4">
        <v>1006.799622</v>
      </c>
      <c r="M823" s="12"/>
      <c r="O823" s="3" t="s">
        <v>147</v>
      </c>
      <c r="P823" s="4">
        <v>723.69177200000001</v>
      </c>
      <c r="Q823" s="4">
        <v>865.79040499999996</v>
      </c>
      <c r="R823" s="4">
        <v>967.26666299999999</v>
      </c>
      <c r="U823" s="3" t="s">
        <v>147</v>
      </c>
      <c r="V823" s="4">
        <v>715.07312000000002</v>
      </c>
      <c r="W823" s="4">
        <v>881.72283900000002</v>
      </c>
      <c r="X823" s="4">
        <v>1031.3084719999999</v>
      </c>
    </row>
    <row r="824" spans="1:24" x14ac:dyDescent="0.3">
      <c r="A824" s="3" t="s">
        <v>149</v>
      </c>
      <c r="B824" s="4">
        <v>857.71936000000005</v>
      </c>
      <c r="C824" s="4">
        <v>897.37554899999998</v>
      </c>
      <c r="D824" s="4">
        <v>1015.722534</v>
      </c>
      <c r="I824" s="3" t="s">
        <v>149</v>
      </c>
      <c r="J824" s="4">
        <v>857.71936000000005</v>
      </c>
      <c r="K824" s="4">
        <v>894.38647500000002</v>
      </c>
      <c r="L824" s="4">
        <v>850.76495399999999</v>
      </c>
      <c r="M824" s="12"/>
      <c r="O824" s="3" t="s">
        <v>149</v>
      </c>
      <c r="P824" s="4">
        <v>981.12622099999999</v>
      </c>
      <c r="Q824" s="4">
        <v>870.79742399999998</v>
      </c>
      <c r="R824" s="4">
        <v>847.992615</v>
      </c>
      <c r="U824" s="3" t="s">
        <v>149</v>
      </c>
      <c r="V824" s="4">
        <v>719.68707300000005</v>
      </c>
      <c r="W824" s="4">
        <v>886.68170199999997</v>
      </c>
      <c r="X824" s="4">
        <v>969.93908699999997</v>
      </c>
    </row>
    <row r="825" spans="1:24" x14ac:dyDescent="0.3">
      <c r="A825" s="3" t="s">
        <v>151</v>
      </c>
      <c r="B825" s="4">
        <v>770.75048800000002</v>
      </c>
      <c r="C825" s="4">
        <v>786.57696499999997</v>
      </c>
      <c r="D825" s="4">
        <v>830.20007299999997</v>
      </c>
      <c r="I825" s="3" t="s">
        <v>151</v>
      </c>
      <c r="J825" s="4">
        <v>770.75048800000002</v>
      </c>
      <c r="K825" s="4">
        <v>793.04016100000001</v>
      </c>
      <c r="L825" s="4">
        <v>946.919128</v>
      </c>
      <c r="M825" s="12"/>
      <c r="O825" s="3" t="s">
        <v>151</v>
      </c>
      <c r="P825" s="4">
        <v>818.81207300000005</v>
      </c>
      <c r="Q825" s="4">
        <v>809.58862299999998</v>
      </c>
      <c r="R825" s="4">
        <v>708.73675500000002</v>
      </c>
      <c r="U825" s="3" t="s">
        <v>151</v>
      </c>
      <c r="V825" s="4">
        <v>716.73205600000006</v>
      </c>
      <c r="W825" s="4">
        <v>792.79656999999997</v>
      </c>
      <c r="X825" s="4">
        <v>933.82641599999999</v>
      </c>
    </row>
    <row r="826" spans="1:24" x14ac:dyDescent="0.3">
      <c r="A826" s="3" t="s">
        <v>153</v>
      </c>
      <c r="B826" s="4">
        <v>847.91674799999998</v>
      </c>
      <c r="C826" s="4">
        <v>862.30883800000004</v>
      </c>
      <c r="D826" s="4">
        <v>921.94726600000001</v>
      </c>
      <c r="I826" s="3" t="s">
        <v>153</v>
      </c>
      <c r="J826" s="4">
        <v>847.91674799999998</v>
      </c>
      <c r="K826" s="4">
        <v>883.34667999999999</v>
      </c>
      <c r="L826" s="4">
        <v>957.81329300000004</v>
      </c>
      <c r="M826" s="12"/>
      <c r="O826" s="3" t="s">
        <v>153</v>
      </c>
      <c r="P826" s="4">
        <v>985.54321300000004</v>
      </c>
      <c r="Q826" s="4">
        <v>890.01178000000004</v>
      </c>
      <c r="R826" s="4">
        <v>905.80895999999996</v>
      </c>
      <c r="U826" s="3" t="s">
        <v>153</v>
      </c>
      <c r="V826" s="4">
        <v>961.96838400000001</v>
      </c>
      <c r="W826" s="4">
        <v>859.70404099999996</v>
      </c>
      <c r="X826" s="4">
        <v>746.25799600000005</v>
      </c>
    </row>
    <row r="827" spans="1:24" x14ac:dyDescent="0.3">
      <c r="A827" s="3" t="s">
        <v>155</v>
      </c>
      <c r="B827" s="4">
        <v>1099.0969239999999</v>
      </c>
      <c r="C827" s="4">
        <v>1137.1046140000001</v>
      </c>
      <c r="D827" s="4">
        <v>1213.6604</v>
      </c>
      <c r="I827" s="3" t="s">
        <v>155</v>
      </c>
      <c r="J827" s="4">
        <v>1099.0969239999999</v>
      </c>
      <c r="K827" s="4">
        <v>1137.727539</v>
      </c>
      <c r="L827" s="4">
        <v>1023.253906</v>
      </c>
      <c r="M827" s="12"/>
      <c r="O827" s="3" t="s">
        <v>155</v>
      </c>
      <c r="P827" s="4">
        <v>1299.397461</v>
      </c>
      <c r="Q827" s="4">
        <v>1083.4616699999999</v>
      </c>
      <c r="R827" s="4">
        <v>1289.032837</v>
      </c>
      <c r="U827" s="3" t="s">
        <v>155</v>
      </c>
      <c r="V827" s="4">
        <v>1156.4822999999999</v>
      </c>
      <c r="W827" s="4">
        <v>1120.205322</v>
      </c>
      <c r="X827" s="4">
        <v>1270.7813719999999</v>
      </c>
    </row>
    <row r="828" spans="1:24" x14ac:dyDescent="0.3">
      <c r="A828" s="3" t="s">
        <v>157</v>
      </c>
      <c r="B828" s="4">
        <v>1031.7647710000001</v>
      </c>
      <c r="C828" s="4">
        <v>1057.699341</v>
      </c>
      <c r="D828" s="4">
        <v>1042.4837649999999</v>
      </c>
      <c r="I828" s="3" t="s">
        <v>157</v>
      </c>
      <c r="J828" s="4">
        <v>1031.7647710000001</v>
      </c>
      <c r="K828" s="4">
        <v>1048.522461</v>
      </c>
      <c r="L828" s="4">
        <v>1051.9157709999999</v>
      </c>
      <c r="M828" s="12"/>
      <c r="O828" s="3" t="s">
        <v>157</v>
      </c>
      <c r="P828" s="4">
        <v>1244.770996</v>
      </c>
      <c r="Q828" s="4">
        <v>1053.8817140000001</v>
      </c>
      <c r="R828" s="4">
        <v>1319.2274170000001</v>
      </c>
      <c r="U828" s="3" t="s">
        <v>157</v>
      </c>
      <c r="V828" s="4">
        <v>1241.822754</v>
      </c>
      <c r="W828" s="4">
        <v>1058.9832759999999</v>
      </c>
      <c r="X828" s="4">
        <v>1163.840332</v>
      </c>
    </row>
    <row r="829" spans="1:24" x14ac:dyDescent="0.3">
      <c r="A829" s="3" t="s">
        <v>159</v>
      </c>
      <c r="B829" s="4">
        <v>963.83734100000004</v>
      </c>
      <c r="C829" s="4">
        <v>984.46423300000004</v>
      </c>
      <c r="D829" s="4">
        <v>1246.2745359999999</v>
      </c>
      <c r="I829" s="3" t="s">
        <v>159</v>
      </c>
      <c r="J829" s="4">
        <v>963.83734100000004</v>
      </c>
      <c r="K829" s="4">
        <v>1016.740784</v>
      </c>
      <c r="L829" s="4">
        <v>1182.1861570000001</v>
      </c>
      <c r="M829" s="12"/>
      <c r="O829" s="3" t="s">
        <v>159</v>
      </c>
      <c r="P829" s="4">
        <v>1145.2414550000001</v>
      </c>
      <c r="Q829" s="4">
        <v>988.60131799999999</v>
      </c>
      <c r="R829" s="4">
        <v>1034.6369629999999</v>
      </c>
      <c r="U829" s="3" t="s">
        <v>159</v>
      </c>
      <c r="V829" s="4">
        <v>962.91674799999998</v>
      </c>
      <c r="W829" s="4">
        <v>977.34661900000003</v>
      </c>
      <c r="X829" s="4">
        <v>810.98053000000004</v>
      </c>
    </row>
    <row r="830" spans="1:24" x14ac:dyDescent="0.3">
      <c r="A830" s="3" t="s">
        <v>161</v>
      </c>
      <c r="B830" s="4">
        <v>1029.383423</v>
      </c>
      <c r="C830" s="4">
        <v>1070.4528809999999</v>
      </c>
      <c r="D830" s="4">
        <v>1170.354736</v>
      </c>
      <c r="I830" s="3" t="s">
        <v>161</v>
      </c>
      <c r="J830" s="4">
        <v>1029.383423</v>
      </c>
      <c r="K830" s="4">
        <v>1031.513794</v>
      </c>
      <c r="L830" s="4">
        <v>1109.1870120000001</v>
      </c>
      <c r="M830" s="12"/>
      <c r="O830" s="3" t="s">
        <v>161</v>
      </c>
      <c r="P830" s="4">
        <v>1079.974976</v>
      </c>
      <c r="Q830" s="4">
        <v>1063.110596</v>
      </c>
      <c r="R830" s="4">
        <v>1201.205322</v>
      </c>
      <c r="U830" s="3" t="s">
        <v>161</v>
      </c>
      <c r="V830" s="4">
        <v>1037.2695309999999</v>
      </c>
      <c r="W830" s="4">
        <v>1065.770996</v>
      </c>
      <c r="X830" s="4">
        <v>1198.006592</v>
      </c>
    </row>
    <row r="831" spans="1:24" x14ac:dyDescent="0.3">
      <c r="A831" s="3" t="s">
        <v>163</v>
      </c>
      <c r="B831" s="4">
        <v>1018.272827</v>
      </c>
      <c r="C831" s="4">
        <v>1034.730957</v>
      </c>
      <c r="D831" s="4">
        <v>936.61993399999994</v>
      </c>
      <c r="I831" s="3" t="s">
        <v>163</v>
      </c>
      <c r="J831" s="4">
        <v>1018.272827</v>
      </c>
      <c r="K831" s="4">
        <v>1044.086182</v>
      </c>
      <c r="L831" s="4">
        <v>1284.2353519999999</v>
      </c>
      <c r="M831" s="12"/>
      <c r="O831" s="3" t="s">
        <v>163</v>
      </c>
      <c r="P831" s="4">
        <v>1266.3679199999999</v>
      </c>
      <c r="Q831" s="4">
        <v>1058.1495359999999</v>
      </c>
      <c r="R831" s="4">
        <v>944.707764</v>
      </c>
      <c r="U831" s="3" t="s">
        <v>163</v>
      </c>
      <c r="V831" s="4">
        <v>901.46508800000004</v>
      </c>
      <c r="W831" s="4">
        <v>1062.9526370000001</v>
      </c>
      <c r="X831" s="4">
        <v>871.21038799999997</v>
      </c>
    </row>
    <row r="832" spans="1:24" x14ac:dyDescent="0.3">
      <c r="A832" s="3" t="s">
        <v>165</v>
      </c>
      <c r="B832" s="4">
        <v>946.27728300000001</v>
      </c>
      <c r="C832" s="4">
        <v>986.54943800000001</v>
      </c>
      <c r="D832" s="4">
        <v>1112.8323969999999</v>
      </c>
      <c r="I832" s="3" t="s">
        <v>165</v>
      </c>
      <c r="J832" s="4">
        <v>946.27728300000001</v>
      </c>
      <c r="K832" s="4">
        <v>977.15210000000002</v>
      </c>
      <c r="L832" s="4">
        <v>1049.3604740000001</v>
      </c>
      <c r="M832" s="12"/>
      <c r="O832" s="3" t="s">
        <v>165</v>
      </c>
      <c r="P832" s="4">
        <v>1122.8012699999999</v>
      </c>
      <c r="Q832" s="4">
        <v>981.45849599999997</v>
      </c>
      <c r="R832" s="4">
        <v>1026.6602780000001</v>
      </c>
      <c r="U832" s="3" t="s">
        <v>165</v>
      </c>
      <c r="V832" s="4">
        <v>1075.0111079999999</v>
      </c>
      <c r="W832" s="4">
        <v>985.32104500000003</v>
      </c>
      <c r="X832" s="4">
        <v>1153.073486</v>
      </c>
    </row>
    <row r="833" spans="1:24" x14ac:dyDescent="0.3">
      <c r="A833" s="3" t="s">
        <v>167</v>
      </c>
      <c r="B833" s="4">
        <v>991.74468999999999</v>
      </c>
      <c r="C833" s="4">
        <v>1001.8038330000001</v>
      </c>
      <c r="D833" s="4">
        <v>1095.2414550000001</v>
      </c>
      <c r="I833" s="3" t="s">
        <v>167</v>
      </c>
      <c r="J833" s="4">
        <v>991.74468999999999</v>
      </c>
      <c r="K833" s="4">
        <v>991.55316200000004</v>
      </c>
      <c r="L833" s="4">
        <v>905.81445299999996</v>
      </c>
      <c r="M833" s="12"/>
      <c r="O833" s="3" t="s">
        <v>167</v>
      </c>
      <c r="P833" s="4">
        <v>1131.224121</v>
      </c>
      <c r="Q833" s="4">
        <v>1017.229065</v>
      </c>
      <c r="R833" s="4">
        <v>1042.9139399999999</v>
      </c>
      <c r="U833" s="3" t="s">
        <v>167</v>
      </c>
      <c r="V833" s="4">
        <v>1129.695923</v>
      </c>
      <c r="W833" s="4">
        <v>992.52807600000006</v>
      </c>
      <c r="X833" s="4">
        <v>1051.833374</v>
      </c>
    </row>
    <row r="834" spans="1:24" x14ac:dyDescent="0.3">
      <c r="A834" s="3" t="s">
        <v>169</v>
      </c>
      <c r="B834" s="4">
        <v>1011.398071</v>
      </c>
      <c r="C834" s="4">
        <v>1039.9860839999999</v>
      </c>
      <c r="D834" s="4">
        <v>1135.83374</v>
      </c>
      <c r="I834" s="3" t="s">
        <v>169</v>
      </c>
      <c r="J834" s="4">
        <v>1011.398071</v>
      </c>
      <c r="K834" s="4">
        <v>1037.3011469999999</v>
      </c>
      <c r="L834" s="4">
        <v>1137.5142820000001</v>
      </c>
      <c r="M834" s="12"/>
      <c r="O834" s="3" t="s">
        <v>169</v>
      </c>
      <c r="P834" s="4">
        <v>1134.2661129999999</v>
      </c>
      <c r="Q834" s="4">
        <v>1041.0498050000001</v>
      </c>
      <c r="R834" s="4">
        <v>896.51733400000001</v>
      </c>
      <c r="U834" s="3" t="s">
        <v>169</v>
      </c>
      <c r="V834" s="4">
        <v>1104.5023189999999</v>
      </c>
      <c r="W834" s="4">
        <v>1022.596741</v>
      </c>
      <c r="X834" s="4">
        <v>1112.4916989999999</v>
      </c>
    </row>
    <row r="835" spans="1:24" x14ac:dyDescent="0.3">
      <c r="A835" s="3" t="s">
        <v>171</v>
      </c>
      <c r="B835" s="4">
        <v>913.94464100000005</v>
      </c>
      <c r="C835" s="4">
        <v>972.44512899999995</v>
      </c>
      <c r="D835" s="4">
        <v>1027.060669</v>
      </c>
      <c r="I835" s="3" t="s">
        <v>171</v>
      </c>
      <c r="J835" s="4">
        <v>913.94464100000005</v>
      </c>
      <c r="K835" s="4">
        <v>941.82855199999995</v>
      </c>
      <c r="L835" s="4">
        <v>790.066284</v>
      </c>
      <c r="M835" s="12"/>
      <c r="O835" s="3" t="s">
        <v>171</v>
      </c>
      <c r="P835" s="4">
        <v>1038.9952390000001</v>
      </c>
      <c r="Q835" s="4">
        <v>951.46771200000001</v>
      </c>
      <c r="R835" s="4">
        <v>1089.9176030000001</v>
      </c>
      <c r="U835" s="3" t="s">
        <v>171</v>
      </c>
      <c r="V835" s="4">
        <v>1071.6136469999999</v>
      </c>
      <c r="W835" s="4">
        <v>965.73107900000002</v>
      </c>
      <c r="X835" s="4">
        <v>1017.901245</v>
      </c>
    </row>
    <row r="836" spans="1:24" x14ac:dyDescent="0.3">
      <c r="A836" s="3" t="s">
        <v>173</v>
      </c>
      <c r="B836" s="4">
        <v>988.808044</v>
      </c>
      <c r="C836" s="4">
        <v>1023.833496</v>
      </c>
      <c r="D836" s="4">
        <v>1008.614014</v>
      </c>
      <c r="I836" s="3" t="s">
        <v>173</v>
      </c>
      <c r="J836" s="4">
        <v>988.808044</v>
      </c>
      <c r="K836" s="4">
        <v>1026.7523189999999</v>
      </c>
      <c r="L836" s="4">
        <v>1246.2270510000001</v>
      </c>
      <c r="M836" s="12"/>
      <c r="O836" s="3" t="s">
        <v>173</v>
      </c>
      <c r="P836" s="4">
        <v>1279.0766599999999</v>
      </c>
      <c r="Q836" s="4">
        <v>1040.6320800000001</v>
      </c>
      <c r="R836" s="4">
        <v>1196.272095</v>
      </c>
      <c r="U836" s="3" t="s">
        <v>173</v>
      </c>
      <c r="V836" s="4">
        <v>1153.951172</v>
      </c>
      <c r="W836" s="4">
        <v>1033.4113769999999</v>
      </c>
      <c r="X836" s="4">
        <v>797.61285399999997</v>
      </c>
    </row>
    <row r="837" spans="1:24" x14ac:dyDescent="0.3">
      <c r="A837" s="3" t="s">
        <v>175</v>
      </c>
      <c r="B837" s="4">
        <v>986.171021</v>
      </c>
      <c r="C837" s="4">
        <v>1009.00238</v>
      </c>
      <c r="D837" s="4">
        <v>1017.729004</v>
      </c>
      <c r="I837" s="3" t="s">
        <v>175</v>
      </c>
      <c r="J837" s="4">
        <v>986.171021</v>
      </c>
      <c r="K837" s="4">
        <v>1012.946594</v>
      </c>
      <c r="L837" s="4">
        <v>821.44604500000003</v>
      </c>
      <c r="M837" s="12"/>
      <c r="O837" s="3" t="s">
        <v>175</v>
      </c>
      <c r="P837" s="4">
        <v>1193.8930660000001</v>
      </c>
      <c r="Q837" s="4">
        <v>1034.5433350000001</v>
      </c>
      <c r="R837" s="4">
        <v>1087.9990230000001</v>
      </c>
      <c r="U837" s="3" t="s">
        <v>175</v>
      </c>
      <c r="V837" s="4">
        <v>793.525757</v>
      </c>
      <c r="W837" s="4">
        <v>1032.682251</v>
      </c>
      <c r="X837" s="4">
        <v>1138.4194339999999</v>
      </c>
    </row>
    <row r="838" spans="1:24" x14ac:dyDescent="0.3">
      <c r="A838" s="3" t="s">
        <v>177</v>
      </c>
      <c r="B838" s="4">
        <v>1096.2398679999999</v>
      </c>
      <c r="C838" s="4">
        <v>1106.824341</v>
      </c>
      <c r="D838" s="4">
        <v>1003.579895</v>
      </c>
      <c r="I838" s="3" t="s">
        <v>177</v>
      </c>
      <c r="J838" s="4">
        <v>1096.2398679999999</v>
      </c>
      <c r="K838" s="4">
        <v>1118.7813719999999</v>
      </c>
      <c r="L838" s="4">
        <v>1145.895264</v>
      </c>
      <c r="M838" s="12"/>
      <c r="O838" s="3" t="s">
        <v>177</v>
      </c>
      <c r="P838" s="4">
        <v>1358.0844729999999</v>
      </c>
      <c r="Q838" s="4">
        <v>1117.4204099999999</v>
      </c>
      <c r="R838" s="4">
        <v>1080.457275</v>
      </c>
      <c r="U838" s="3" t="s">
        <v>177</v>
      </c>
      <c r="V838" s="4">
        <v>1372.3198239999999</v>
      </c>
      <c r="W838" s="4">
        <v>1137.5548100000001</v>
      </c>
      <c r="X838" s="4">
        <v>1156.0124510000001</v>
      </c>
    </row>
    <row r="839" spans="1:24" x14ac:dyDescent="0.3">
      <c r="A839" s="3" t="s">
        <v>179</v>
      </c>
      <c r="B839" s="4">
        <v>1032.007202</v>
      </c>
      <c r="C839" s="4">
        <v>1098.623779</v>
      </c>
      <c r="D839" s="4">
        <v>1234.939697</v>
      </c>
      <c r="I839" s="3" t="s">
        <v>179</v>
      </c>
      <c r="J839" s="4">
        <v>1032.007202</v>
      </c>
      <c r="K839" s="4">
        <v>1084.6279300000001</v>
      </c>
      <c r="L839" s="4">
        <v>920.82781999999997</v>
      </c>
      <c r="M839" s="12"/>
      <c r="O839" s="3" t="s">
        <v>179</v>
      </c>
      <c r="P839" s="4">
        <v>1200.630005</v>
      </c>
      <c r="Q839" s="4">
        <v>1089.150024</v>
      </c>
      <c r="R839" s="4">
        <v>872.74816899999996</v>
      </c>
      <c r="U839" s="3" t="s">
        <v>179</v>
      </c>
      <c r="V839" s="4">
        <v>985.04467799999998</v>
      </c>
      <c r="W839" s="4">
        <v>1074.826294</v>
      </c>
      <c r="X839" s="4">
        <v>1253.205811</v>
      </c>
    </row>
    <row r="840" spans="1:24" x14ac:dyDescent="0.3">
      <c r="A840" s="3" t="s">
        <v>181</v>
      </c>
      <c r="B840" s="4">
        <v>1059.1956789999999</v>
      </c>
      <c r="C840" s="4">
        <v>1089.276245</v>
      </c>
      <c r="D840" s="4">
        <v>994.587219</v>
      </c>
      <c r="I840" s="3" t="s">
        <v>181</v>
      </c>
      <c r="J840" s="4">
        <v>1059.1956789999999</v>
      </c>
      <c r="K840" s="4">
        <v>1076.137573</v>
      </c>
      <c r="L840" s="4">
        <v>976.29638699999998</v>
      </c>
      <c r="M840" s="12"/>
      <c r="O840" s="3" t="s">
        <v>181</v>
      </c>
      <c r="P840" s="4">
        <v>962.83837900000003</v>
      </c>
      <c r="Q840" s="4">
        <v>1098.505005</v>
      </c>
      <c r="R840" s="4">
        <v>1081.0235600000001</v>
      </c>
      <c r="U840" s="3" t="s">
        <v>181</v>
      </c>
      <c r="V840" s="4">
        <v>1052.202759</v>
      </c>
      <c r="W840" s="4">
        <v>1088.4157709999999</v>
      </c>
      <c r="X840" s="4">
        <v>1111.174438</v>
      </c>
    </row>
    <row r="841" spans="1:24" x14ac:dyDescent="0.3">
      <c r="A841" s="3" t="s">
        <v>183</v>
      </c>
      <c r="B841" s="4">
        <v>1040.484375</v>
      </c>
      <c r="C841" s="4">
        <v>1089.9746090000001</v>
      </c>
      <c r="D841" s="4">
        <v>1277.256226</v>
      </c>
      <c r="I841" s="3" t="s">
        <v>183</v>
      </c>
      <c r="J841" s="4">
        <v>1040.484375</v>
      </c>
      <c r="K841" s="4">
        <v>1096.3280030000001</v>
      </c>
      <c r="L841" s="4">
        <v>1265.6301269999999</v>
      </c>
      <c r="M841" s="12"/>
      <c r="O841" s="3" t="s">
        <v>183</v>
      </c>
      <c r="P841" s="4">
        <v>1095.041138</v>
      </c>
      <c r="Q841" s="4">
        <v>1093.0501710000001</v>
      </c>
      <c r="R841" s="4">
        <v>1115.5535890000001</v>
      </c>
      <c r="U841" s="3" t="s">
        <v>183</v>
      </c>
      <c r="V841" s="4">
        <v>1061.840698</v>
      </c>
      <c r="W841" s="4">
        <v>1100.766846</v>
      </c>
      <c r="X841" s="4">
        <v>1117.9461670000001</v>
      </c>
    </row>
    <row r="842" spans="1:24" x14ac:dyDescent="0.3">
      <c r="A842" s="3" t="s">
        <v>185</v>
      </c>
      <c r="B842" s="4">
        <v>1045.4296879999999</v>
      </c>
      <c r="C842" s="4">
        <v>1035.6657709999999</v>
      </c>
      <c r="D842" s="4">
        <v>1176.3264160000001</v>
      </c>
      <c r="I842" s="3" t="s">
        <v>185</v>
      </c>
      <c r="J842" s="4">
        <v>1045.4296879999999</v>
      </c>
      <c r="K842" s="4">
        <v>1080.9438479999999</v>
      </c>
      <c r="L842" s="4">
        <v>1374.533447</v>
      </c>
      <c r="M842" s="12"/>
      <c r="O842" s="3" t="s">
        <v>185</v>
      </c>
      <c r="P842" s="4">
        <v>1071.158936</v>
      </c>
      <c r="Q842" s="4">
        <v>1065.8725589999999</v>
      </c>
      <c r="R842" s="4">
        <v>1318.8969729999999</v>
      </c>
      <c r="U842" s="3" t="s">
        <v>185</v>
      </c>
      <c r="V842" s="4">
        <v>1276.8526609999999</v>
      </c>
      <c r="W842" s="4">
        <v>1049.1635739999999</v>
      </c>
      <c r="X842" s="4">
        <v>1028.0776370000001</v>
      </c>
    </row>
    <row r="843" spans="1:24" x14ac:dyDescent="0.3">
      <c r="A843" s="3" t="s">
        <v>187</v>
      </c>
      <c r="B843" s="4">
        <v>1156.548462</v>
      </c>
      <c r="C843" s="4">
        <v>1187.200073</v>
      </c>
      <c r="D843" s="4">
        <v>1328.8201899999999</v>
      </c>
      <c r="I843" s="3" t="s">
        <v>187</v>
      </c>
      <c r="J843" s="4">
        <v>1156.548462</v>
      </c>
      <c r="K843" s="4">
        <v>1176.2733149999999</v>
      </c>
      <c r="L843" s="4">
        <v>1020.625</v>
      </c>
      <c r="M843" s="12"/>
      <c r="O843" s="3" t="s">
        <v>187</v>
      </c>
      <c r="P843" s="4">
        <v>1274.7601320000001</v>
      </c>
      <c r="Q843" s="4">
        <v>1177.0512699999999</v>
      </c>
      <c r="R843" s="4">
        <v>1315.971313</v>
      </c>
      <c r="U843" s="3" t="s">
        <v>187</v>
      </c>
      <c r="V843" s="4">
        <v>1063.1605219999999</v>
      </c>
      <c r="W843" s="4">
        <v>1199.880249</v>
      </c>
      <c r="X843" s="4">
        <v>1459.1020510000001</v>
      </c>
    </row>
    <row r="844" spans="1:24" x14ac:dyDescent="0.3">
      <c r="A844" s="3" t="s">
        <v>189</v>
      </c>
      <c r="B844" s="4">
        <v>999.27160600000002</v>
      </c>
      <c r="C844" s="4">
        <v>1036.4398189999999</v>
      </c>
      <c r="D844" s="4">
        <v>814.90594499999997</v>
      </c>
      <c r="I844" s="3" t="s">
        <v>189</v>
      </c>
      <c r="J844" s="4">
        <v>999.27160600000002</v>
      </c>
      <c r="K844" s="4">
        <v>1036.2261960000001</v>
      </c>
      <c r="L844" s="4">
        <v>904.98327600000005</v>
      </c>
      <c r="M844" s="12"/>
      <c r="O844" s="3" t="s">
        <v>189</v>
      </c>
      <c r="P844" s="4">
        <v>1225.098999</v>
      </c>
      <c r="Q844" s="4">
        <v>1043.7962649999999</v>
      </c>
      <c r="R844" s="4">
        <v>1270.6069339999999</v>
      </c>
      <c r="U844" s="3" t="s">
        <v>189</v>
      </c>
      <c r="V844" s="4">
        <v>1070.5271</v>
      </c>
      <c r="W844" s="4">
        <v>1025.2897949999999</v>
      </c>
      <c r="X844" s="4">
        <v>980.96588099999997</v>
      </c>
    </row>
    <row r="845" spans="1:24" x14ac:dyDescent="0.3">
      <c r="A845" s="3" t="s">
        <v>191</v>
      </c>
      <c r="B845" s="4">
        <v>990.06018100000006</v>
      </c>
      <c r="C845" s="4">
        <v>1014.069824</v>
      </c>
      <c r="D845" s="4">
        <v>1233.317505</v>
      </c>
      <c r="I845" s="3" t="s">
        <v>191</v>
      </c>
      <c r="J845" s="4">
        <v>990.06018100000006</v>
      </c>
      <c r="K845" s="4">
        <v>1027.7303469999999</v>
      </c>
      <c r="L845" s="4">
        <v>1246.0886230000001</v>
      </c>
      <c r="M845" s="12"/>
      <c r="O845" s="3" t="s">
        <v>191</v>
      </c>
      <c r="P845" s="4">
        <v>1195.0230710000001</v>
      </c>
      <c r="Q845" s="4">
        <v>1000.864075</v>
      </c>
      <c r="R845" s="4">
        <v>1136.655884</v>
      </c>
      <c r="U845" s="3" t="s">
        <v>191</v>
      </c>
      <c r="V845" s="4">
        <v>835.21301300000005</v>
      </c>
      <c r="W845" s="4">
        <v>1026.721558</v>
      </c>
      <c r="X845" s="4">
        <v>1082.6132809999999</v>
      </c>
    </row>
    <row r="846" spans="1:24" x14ac:dyDescent="0.3">
      <c r="A846" s="3" t="s">
        <v>193</v>
      </c>
      <c r="B846" s="4">
        <v>1101.0153809999999</v>
      </c>
      <c r="C846" s="4">
        <v>1114.960693</v>
      </c>
      <c r="D846" s="4">
        <v>985.97027600000001</v>
      </c>
      <c r="I846" s="3" t="s">
        <v>193</v>
      </c>
      <c r="J846" s="4">
        <v>1101.0153809999999</v>
      </c>
      <c r="K846" s="4">
        <v>1136.14563</v>
      </c>
      <c r="L846" s="4">
        <v>1129.2817379999999</v>
      </c>
      <c r="M846" s="12"/>
      <c r="O846" s="3" t="s">
        <v>193</v>
      </c>
      <c r="P846" s="4">
        <v>1111.3447269999999</v>
      </c>
      <c r="Q846" s="4">
        <v>1128.5419919999999</v>
      </c>
      <c r="R846" s="4">
        <v>1116.768311</v>
      </c>
      <c r="U846" s="3" t="s">
        <v>193</v>
      </c>
      <c r="V846" s="4">
        <v>1113.6195070000001</v>
      </c>
      <c r="W846" s="4">
        <v>1126.6999510000001</v>
      </c>
      <c r="X846" s="4">
        <v>1175.3979489999999</v>
      </c>
    </row>
    <row r="847" spans="1:24" x14ac:dyDescent="0.3">
      <c r="A847" s="3" t="s">
        <v>195</v>
      </c>
      <c r="B847" s="4">
        <v>974.86596699999996</v>
      </c>
      <c r="C847" s="4">
        <v>1006.13147</v>
      </c>
      <c r="D847" s="4">
        <v>842.43615699999998</v>
      </c>
      <c r="I847" s="3" t="s">
        <v>195</v>
      </c>
      <c r="J847" s="4">
        <v>974.86596699999996</v>
      </c>
      <c r="K847" s="4">
        <v>1009.489136</v>
      </c>
      <c r="L847" s="4">
        <v>820.49029499999995</v>
      </c>
      <c r="M847" s="12"/>
      <c r="O847" s="3" t="s">
        <v>195</v>
      </c>
      <c r="P847" s="4">
        <v>838.95837400000005</v>
      </c>
      <c r="Q847" s="4">
        <v>1009.816284</v>
      </c>
      <c r="R847" s="4">
        <v>842.43615699999998</v>
      </c>
      <c r="U847" s="3" t="s">
        <v>195</v>
      </c>
      <c r="V847" s="4">
        <v>820.66265899999996</v>
      </c>
      <c r="W847" s="4">
        <v>1001.849487</v>
      </c>
      <c r="X847" s="4">
        <v>820.49029499999995</v>
      </c>
    </row>
    <row r="848" spans="1:24" x14ac:dyDescent="0.3">
      <c r="A848" s="3" t="s">
        <v>197</v>
      </c>
      <c r="B848" s="4">
        <v>902.38568099999998</v>
      </c>
      <c r="C848" s="4">
        <v>964.77124000000003</v>
      </c>
      <c r="D848" s="4">
        <v>834.29595900000004</v>
      </c>
      <c r="I848" s="3" t="s">
        <v>197</v>
      </c>
      <c r="J848" s="4">
        <v>902.38568099999998</v>
      </c>
      <c r="K848" s="4">
        <v>933.74322500000005</v>
      </c>
      <c r="L848" s="4">
        <v>832.20349099999999</v>
      </c>
      <c r="M848" s="12"/>
      <c r="O848" s="3" t="s">
        <v>197</v>
      </c>
      <c r="P848" s="4">
        <v>1020.307678</v>
      </c>
      <c r="Q848" s="4">
        <v>955.14855999999997</v>
      </c>
      <c r="R848" s="4">
        <v>1005.565063</v>
      </c>
      <c r="U848" s="3" t="s">
        <v>197</v>
      </c>
      <c r="V848" s="4">
        <v>830.42120399999999</v>
      </c>
      <c r="W848" s="4">
        <v>934.97985800000004</v>
      </c>
      <c r="X848" s="4">
        <v>970.54058799999996</v>
      </c>
    </row>
    <row r="849" spans="1:24" x14ac:dyDescent="0.3">
      <c r="A849" s="3" t="s">
        <v>199</v>
      </c>
      <c r="B849" s="4">
        <v>938.87085000000002</v>
      </c>
      <c r="C849" s="4">
        <v>970.48962400000005</v>
      </c>
      <c r="D849" s="4">
        <v>1080.9704589999999</v>
      </c>
      <c r="I849" s="3" t="s">
        <v>199</v>
      </c>
      <c r="J849" s="4">
        <v>938.87085000000002</v>
      </c>
      <c r="K849" s="4">
        <v>964.15191700000003</v>
      </c>
      <c r="L849" s="4">
        <v>1115.5123289999999</v>
      </c>
      <c r="M849" s="12"/>
      <c r="O849" s="3" t="s">
        <v>199</v>
      </c>
      <c r="P849" s="4">
        <v>943.42761199999995</v>
      </c>
      <c r="Q849" s="4">
        <v>970.77844200000004</v>
      </c>
      <c r="R849" s="4">
        <v>910.58074999999997</v>
      </c>
      <c r="U849" s="3" t="s">
        <v>199</v>
      </c>
      <c r="V849" s="4">
        <v>1124.9837649999999</v>
      </c>
      <c r="W849" s="4">
        <v>968.084656</v>
      </c>
      <c r="X849" s="4">
        <v>1057.3542480000001</v>
      </c>
    </row>
    <row r="850" spans="1:24" x14ac:dyDescent="0.3">
      <c r="A850" s="3" t="s">
        <v>201</v>
      </c>
      <c r="B850" s="4">
        <v>998.41039999999998</v>
      </c>
      <c r="C850" s="4">
        <v>1031.9023440000001</v>
      </c>
      <c r="D850" s="4">
        <v>1146.403442</v>
      </c>
      <c r="I850" s="3" t="s">
        <v>201</v>
      </c>
      <c r="J850" s="4">
        <v>998.41039999999998</v>
      </c>
      <c r="K850" s="4">
        <v>1010.094299</v>
      </c>
      <c r="L850" s="4">
        <v>1039.100952</v>
      </c>
      <c r="M850" s="12"/>
      <c r="O850" s="3" t="s">
        <v>201</v>
      </c>
      <c r="P850" s="4">
        <v>1000.4784550000001</v>
      </c>
      <c r="Q850" s="4">
        <v>1016.76825</v>
      </c>
      <c r="R850" s="4">
        <v>1017.632324</v>
      </c>
      <c r="U850" s="3" t="s">
        <v>201</v>
      </c>
      <c r="V850" s="4">
        <v>1136.4884030000001</v>
      </c>
      <c r="W850" s="4">
        <v>1021.149963</v>
      </c>
      <c r="X850" s="4">
        <v>969.03369099999998</v>
      </c>
    </row>
    <row r="851" spans="1:24" x14ac:dyDescent="0.3">
      <c r="A851" s="3" t="s">
        <v>203</v>
      </c>
      <c r="B851" s="4">
        <v>935.21215800000004</v>
      </c>
      <c r="C851" s="4">
        <v>980.80926499999998</v>
      </c>
      <c r="D851" s="4">
        <v>1061.118774</v>
      </c>
      <c r="I851" s="3" t="s">
        <v>203</v>
      </c>
      <c r="J851" s="4">
        <v>935.21215800000004</v>
      </c>
      <c r="K851" s="4">
        <v>963.58496100000002</v>
      </c>
      <c r="L851" s="4">
        <v>981.759094</v>
      </c>
      <c r="M851" s="12"/>
      <c r="O851" s="3" t="s">
        <v>203</v>
      </c>
      <c r="P851" s="4">
        <v>1026.660034</v>
      </c>
      <c r="Q851" s="4">
        <v>974.80963099999997</v>
      </c>
      <c r="R851" s="4">
        <v>857.83514400000001</v>
      </c>
      <c r="U851" s="3" t="s">
        <v>203</v>
      </c>
      <c r="V851" s="4">
        <v>1058.737061</v>
      </c>
      <c r="W851" s="4">
        <v>964.115906</v>
      </c>
      <c r="X851" s="4">
        <v>1076.9145510000001</v>
      </c>
    </row>
    <row r="852" spans="1:24" x14ac:dyDescent="0.3">
      <c r="A852" s="3" t="s">
        <v>205</v>
      </c>
      <c r="B852" s="4">
        <v>964.56774900000005</v>
      </c>
      <c r="C852" s="4">
        <v>989.51122999999995</v>
      </c>
      <c r="D852" s="4">
        <v>873.42974900000002</v>
      </c>
      <c r="I852" s="3" t="s">
        <v>205</v>
      </c>
      <c r="J852" s="4">
        <v>964.56774900000005</v>
      </c>
      <c r="K852" s="4">
        <v>988.44329800000003</v>
      </c>
      <c r="L852" s="4">
        <v>1106.771362</v>
      </c>
      <c r="M852" s="12"/>
      <c r="O852" s="3" t="s">
        <v>205</v>
      </c>
      <c r="P852" s="4">
        <v>1090.6389160000001</v>
      </c>
      <c r="Q852" s="4">
        <v>989.07195999999999</v>
      </c>
      <c r="R852" s="4">
        <v>804.12298599999997</v>
      </c>
      <c r="U852" s="3" t="s">
        <v>205</v>
      </c>
      <c r="V852" s="4">
        <v>1035.8474120000001</v>
      </c>
      <c r="W852" s="4">
        <v>977.59826699999996</v>
      </c>
      <c r="X852" s="4">
        <v>1071.0584719999999</v>
      </c>
    </row>
    <row r="853" spans="1:24" x14ac:dyDescent="0.3">
      <c r="A853" s="3" t="s">
        <v>207</v>
      </c>
      <c r="B853" s="4">
        <v>852.660889</v>
      </c>
      <c r="C853" s="4">
        <v>904.17785600000002</v>
      </c>
      <c r="D853" s="4">
        <v>828.38415499999996</v>
      </c>
      <c r="I853" s="3" t="s">
        <v>207</v>
      </c>
      <c r="J853" s="4">
        <v>852.660889</v>
      </c>
      <c r="K853" s="4">
        <v>877.715149</v>
      </c>
      <c r="L853" s="4">
        <v>1024.413818</v>
      </c>
      <c r="M853" s="12"/>
      <c r="O853" s="3" t="s">
        <v>207</v>
      </c>
      <c r="P853" s="4">
        <v>946.69958499999996</v>
      </c>
      <c r="Q853" s="4">
        <v>896.65673800000002</v>
      </c>
      <c r="R853" s="4">
        <v>1002.214417</v>
      </c>
      <c r="U853" s="3" t="s">
        <v>207</v>
      </c>
      <c r="V853" s="4">
        <v>722.87622099999999</v>
      </c>
      <c r="W853" s="4">
        <v>888.56817599999999</v>
      </c>
      <c r="X853" s="4">
        <v>1008.777466</v>
      </c>
    </row>
    <row r="854" spans="1:24" x14ac:dyDescent="0.3">
      <c r="A854" s="3" t="s">
        <v>209</v>
      </c>
      <c r="B854" s="4">
        <v>849.09204099999999</v>
      </c>
      <c r="C854" s="4">
        <v>918.49786400000005</v>
      </c>
      <c r="D854" s="4">
        <v>918.24585000000002</v>
      </c>
      <c r="I854" s="3" t="s">
        <v>209</v>
      </c>
      <c r="J854" s="4">
        <v>849.09204099999999</v>
      </c>
      <c r="K854" s="4">
        <v>889.044128</v>
      </c>
      <c r="L854" s="4">
        <v>970.21508800000004</v>
      </c>
      <c r="M854" s="12"/>
      <c r="O854" s="3" t="s">
        <v>209</v>
      </c>
      <c r="P854" s="4">
        <v>1033.6892089999999</v>
      </c>
      <c r="Q854" s="4">
        <v>916.76428199999998</v>
      </c>
      <c r="R854" s="4">
        <v>852.89184599999999</v>
      </c>
      <c r="U854" s="3" t="s">
        <v>209</v>
      </c>
      <c r="V854" s="4">
        <v>752.99682600000006</v>
      </c>
      <c r="W854" s="4">
        <v>891.95050000000003</v>
      </c>
      <c r="X854" s="4">
        <v>907.20648200000005</v>
      </c>
    </row>
    <row r="855" spans="1:24" x14ac:dyDescent="0.3">
      <c r="A855" s="3" t="s">
        <v>211</v>
      </c>
      <c r="B855" s="4">
        <v>898.07720900000004</v>
      </c>
      <c r="C855" s="4">
        <v>937.16369599999996</v>
      </c>
      <c r="D855" s="4">
        <v>1007.690979</v>
      </c>
      <c r="I855" s="3" t="s">
        <v>211</v>
      </c>
      <c r="J855" s="4">
        <v>898.07720900000004</v>
      </c>
      <c r="K855" s="4">
        <v>919.93463099999997</v>
      </c>
      <c r="L855" s="4">
        <v>995.71807899999999</v>
      </c>
      <c r="M855" s="12"/>
      <c r="O855" s="3" t="s">
        <v>211</v>
      </c>
      <c r="P855" s="4">
        <v>1044.6723629999999</v>
      </c>
      <c r="Q855" s="4">
        <v>944.64532499999996</v>
      </c>
      <c r="R855" s="4">
        <v>793.46905500000003</v>
      </c>
      <c r="U855" s="3" t="s">
        <v>211</v>
      </c>
      <c r="V855" s="4">
        <v>844.69189500000005</v>
      </c>
      <c r="W855" s="4">
        <v>914.33734100000004</v>
      </c>
      <c r="X855" s="4">
        <v>979.52734399999997</v>
      </c>
    </row>
    <row r="856" spans="1:24" x14ac:dyDescent="0.3">
      <c r="A856" s="3" t="s">
        <v>213</v>
      </c>
      <c r="B856" s="4">
        <v>951.216003</v>
      </c>
      <c r="C856" s="4">
        <v>973.58483899999999</v>
      </c>
      <c r="D856" s="4">
        <v>821.36456299999998</v>
      </c>
      <c r="I856" s="3" t="s">
        <v>213</v>
      </c>
      <c r="J856" s="4">
        <v>951.216003</v>
      </c>
      <c r="K856" s="4">
        <v>962.53991699999995</v>
      </c>
      <c r="L856" s="4">
        <v>1124.526611</v>
      </c>
      <c r="M856" s="12"/>
      <c r="O856" s="3" t="s">
        <v>213</v>
      </c>
      <c r="P856" s="4">
        <v>1110.9133300000001</v>
      </c>
      <c r="Q856" s="4">
        <v>995.61407499999996</v>
      </c>
      <c r="R856" s="4">
        <v>1049.8975829999999</v>
      </c>
      <c r="U856" s="3" t="s">
        <v>213</v>
      </c>
      <c r="V856" s="4">
        <v>954.67657499999996</v>
      </c>
      <c r="W856" s="4">
        <v>983.49310300000002</v>
      </c>
      <c r="X856" s="4">
        <v>970.13525400000003</v>
      </c>
    </row>
    <row r="857" spans="1:24" x14ac:dyDescent="0.3">
      <c r="A857" s="3" t="s">
        <v>215</v>
      </c>
      <c r="B857" s="4">
        <v>1023.651672</v>
      </c>
      <c r="C857" s="4">
        <v>1056.9261469999999</v>
      </c>
      <c r="D857" s="4">
        <v>977.50891100000001</v>
      </c>
      <c r="I857" s="3" t="s">
        <v>215</v>
      </c>
      <c r="J857" s="4">
        <v>1023.651672</v>
      </c>
      <c r="K857" s="4">
        <v>1032.849976</v>
      </c>
      <c r="L857" s="4">
        <v>925.66570999999999</v>
      </c>
      <c r="M857" s="12"/>
      <c r="O857" s="3" t="s">
        <v>215</v>
      </c>
      <c r="P857" s="4">
        <v>1184.72937</v>
      </c>
      <c r="Q857" s="4">
        <v>1052.5545649999999</v>
      </c>
      <c r="R857" s="4">
        <v>847.65649399999995</v>
      </c>
      <c r="U857" s="3" t="s">
        <v>215</v>
      </c>
      <c r="V857" s="4">
        <v>1234.6621090000001</v>
      </c>
      <c r="W857" s="4">
        <v>1003.685913</v>
      </c>
      <c r="X857" s="4">
        <v>1227.574341</v>
      </c>
    </row>
    <row r="858" spans="1:24" x14ac:dyDescent="0.3">
      <c r="A858" s="3" t="s">
        <v>217</v>
      </c>
      <c r="B858" s="4">
        <v>1056.4921879999999</v>
      </c>
      <c r="C858" s="4">
        <v>1089.185669</v>
      </c>
      <c r="D858" s="4">
        <v>1221.4542240000001</v>
      </c>
      <c r="I858" s="3" t="s">
        <v>217</v>
      </c>
      <c r="J858" s="4">
        <v>1056.4921879999999</v>
      </c>
      <c r="K858" s="4">
        <v>1094.594971</v>
      </c>
      <c r="L858" s="4">
        <v>940.88458300000002</v>
      </c>
      <c r="M858" s="12"/>
      <c r="O858" s="3" t="s">
        <v>217</v>
      </c>
      <c r="P858" s="4">
        <v>1291.7653809999999</v>
      </c>
      <c r="Q858" s="4">
        <v>1085.361206</v>
      </c>
      <c r="R858" s="4">
        <v>1219.5014650000001</v>
      </c>
      <c r="U858" s="3" t="s">
        <v>217</v>
      </c>
      <c r="V858" s="4">
        <v>948.43542500000001</v>
      </c>
      <c r="W858" s="4">
        <v>1076.119629</v>
      </c>
      <c r="X858" s="4">
        <v>1295.4343260000001</v>
      </c>
    </row>
    <row r="859" spans="1:24" x14ac:dyDescent="0.3">
      <c r="A859" s="3" t="s">
        <v>219</v>
      </c>
      <c r="B859" s="4">
        <v>1065.800659</v>
      </c>
      <c r="C859" s="4">
        <v>1082.0074460000001</v>
      </c>
      <c r="D859" s="4">
        <v>981.13952600000005</v>
      </c>
      <c r="I859" s="3" t="s">
        <v>219</v>
      </c>
      <c r="J859" s="4">
        <v>1065.800659</v>
      </c>
      <c r="K859" s="4">
        <v>1067.51062</v>
      </c>
      <c r="L859" s="4">
        <v>1244.4704589999999</v>
      </c>
      <c r="M859" s="12"/>
      <c r="O859" s="3" t="s">
        <v>219</v>
      </c>
      <c r="P859" s="4">
        <v>1286.9379879999999</v>
      </c>
      <c r="Q859" s="4">
        <v>1083.202393</v>
      </c>
      <c r="R859" s="4">
        <v>1214.949707</v>
      </c>
      <c r="U859" s="3" t="s">
        <v>219</v>
      </c>
      <c r="V859" s="4">
        <v>1198.552612</v>
      </c>
      <c r="W859" s="4">
        <v>1099.994385</v>
      </c>
      <c r="X859" s="4">
        <v>1193.2296140000001</v>
      </c>
    </row>
    <row r="860" spans="1:24" x14ac:dyDescent="0.3">
      <c r="A860" s="3" t="s">
        <v>221</v>
      </c>
      <c r="B860" s="4">
        <v>977.16546600000004</v>
      </c>
      <c r="C860" s="4">
        <v>1009.3783570000001</v>
      </c>
      <c r="D860" s="4">
        <v>906.59442100000001</v>
      </c>
      <c r="I860" s="3" t="s">
        <v>221</v>
      </c>
      <c r="J860" s="4">
        <v>977.16546600000004</v>
      </c>
      <c r="K860" s="4">
        <v>1008.003601</v>
      </c>
      <c r="L860" s="4">
        <v>856.53143299999999</v>
      </c>
      <c r="M860" s="12"/>
      <c r="O860" s="3" t="s">
        <v>221</v>
      </c>
      <c r="P860" s="4">
        <v>955.18963599999995</v>
      </c>
      <c r="Q860" s="4">
        <v>1019.372375</v>
      </c>
      <c r="R860" s="4">
        <v>1166.809937</v>
      </c>
      <c r="U860" s="3" t="s">
        <v>221</v>
      </c>
      <c r="V860" s="4">
        <v>943.89093000000003</v>
      </c>
      <c r="W860" s="4">
        <v>1001.091064</v>
      </c>
      <c r="X860" s="4">
        <v>988.78472899999997</v>
      </c>
    </row>
    <row r="861" spans="1:24" x14ac:dyDescent="0.3">
      <c r="A861" s="3" t="s">
        <v>223</v>
      </c>
      <c r="B861" s="4">
        <v>1093.0775149999999</v>
      </c>
      <c r="C861" s="4">
        <v>1122.6850589999999</v>
      </c>
      <c r="D861" s="4">
        <v>913.78033400000004</v>
      </c>
      <c r="I861" s="3" t="s">
        <v>223</v>
      </c>
      <c r="J861" s="4">
        <v>1093.0775149999999</v>
      </c>
      <c r="K861" s="4">
        <v>1121.720703</v>
      </c>
      <c r="L861" s="4">
        <v>1246.763672</v>
      </c>
      <c r="M861" s="12"/>
      <c r="O861" s="3" t="s">
        <v>223</v>
      </c>
      <c r="P861" s="4">
        <v>1207.778687</v>
      </c>
      <c r="Q861" s="4">
        <v>1134.6326899999999</v>
      </c>
      <c r="R861" s="4">
        <v>1291.081543</v>
      </c>
      <c r="U861" s="3" t="s">
        <v>223</v>
      </c>
      <c r="V861" s="4">
        <v>1236.5471190000001</v>
      </c>
      <c r="W861" s="4">
        <v>1110.249268</v>
      </c>
      <c r="X861" s="4">
        <v>1125.5214840000001</v>
      </c>
    </row>
    <row r="862" spans="1:24" x14ac:dyDescent="0.3">
      <c r="A862" s="3" t="s">
        <v>225</v>
      </c>
      <c r="B862" s="4">
        <v>1002.990967</v>
      </c>
      <c r="C862" s="4">
        <v>1040.3481449999999</v>
      </c>
      <c r="D862" s="4">
        <v>1172.9880370000001</v>
      </c>
      <c r="I862" s="3" t="s">
        <v>225</v>
      </c>
      <c r="J862" s="4">
        <v>1002.990967</v>
      </c>
      <c r="K862" s="4">
        <v>1023.9169920000001</v>
      </c>
      <c r="L862" s="4">
        <v>1190.8358149999999</v>
      </c>
      <c r="M862" s="12"/>
      <c r="O862" s="3" t="s">
        <v>225</v>
      </c>
      <c r="P862" s="4">
        <v>919.74194299999999</v>
      </c>
      <c r="Q862" s="4">
        <v>1031.2954099999999</v>
      </c>
      <c r="R862" s="4">
        <v>1034.8120120000001</v>
      </c>
      <c r="U862" s="3" t="s">
        <v>225</v>
      </c>
      <c r="V862" s="4">
        <v>1208.0179439999999</v>
      </c>
      <c r="W862" s="4">
        <v>1027.524658</v>
      </c>
      <c r="X862" s="4">
        <v>868.71673599999997</v>
      </c>
    </row>
    <row r="863" spans="1:24" x14ac:dyDescent="0.3">
      <c r="A863" s="3" t="s">
        <v>227</v>
      </c>
      <c r="B863" s="4">
        <v>995.50878899999998</v>
      </c>
      <c r="C863" s="4">
        <v>1007.52655</v>
      </c>
      <c r="D863" s="4">
        <v>939.34966999999995</v>
      </c>
      <c r="I863" s="3" t="s">
        <v>227</v>
      </c>
      <c r="J863" s="4">
        <v>995.50878899999998</v>
      </c>
      <c r="K863" s="4">
        <v>1001.3295900000001</v>
      </c>
      <c r="L863" s="4">
        <v>1022.316772</v>
      </c>
      <c r="M863" s="12"/>
      <c r="O863" s="3" t="s">
        <v>227</v>
      </c>
      <c r="P863" s="4">
        <v>1170.8743899999999</v>
      </c>
      <c r="Q863" s="4">
        <v>999.62676999999996</v>
      </c>
      <c r="R863" s="4">
        <v>1126.4929199999999</v>
      </c>
      <c r="U863" s="3" t="s">
        <v>227</v>
      </c>
      <c r="V863" s="4">
        <v>1146.063232</v>
      </c>
      <c r="W863" s="4">
        <v>1000.066345</v>
      </c>
      <c r="X863" s="4">
        <v>1099.70813</v>
      </c>
    </row>
    <row r="864" spans="1:24" x14ac:dyDescent="0.3">
      <c r="A864" s="3" t="s">
        <v>229</v>
      </c>
      <c r="B864" s="4">
        <v>1092.967163</v>
      </c>
      <c r="C864" s="4">
        <v>1067.2198490000001</v>
      </c>
      <c r="D864" s="4">
        <v>1036.9194339999999</v>
      </c>
      <c r="I864" s="3" t="s">
        <v>229</v>
      </c>
      <c r="J864" s="4">
        <v>1092.967163</v>
      </c>
      <c r="K864" s="4">
        <v>1042.124634</v>
      </c>
      <c r="L864" s="4">
        <v>1143.2849120000001</v>
      </c>
      <c r="M864" s="12"/>
      <c r="O864" s="3" t="s">
        <v>229</v>
      </c>
      <c r="P864" s="4">
        <v>1069.7060550000001</v>
      </c>
      <c r="Q864" s="4">
        <v>1046.401245</v>
      </c>
      <c r="R864" s="4">
        <v>1181.0698239999999</v>
      </c>
      <c r="U864" s="3" t="s">
        <v>229</v>
      </c>
      <c r="V864" s="4">
        <v>920.12542699999995</v>
      </c>
      <c r="W864" s="4">
        <v>1054.4472659999999</v>
      </c>
      <c r="X864" s="4">
        <v>1228.877808</v>
      </c>
    </row>
    <row r="865" spans="1:24" x14ac:dyDescent="0.3">
      <c r="A865" s="3" t="s">
        <v>231</v>
      </c>
      <c r="B865" s="4">
        <v>966.69476299999997</v>
      </c>
      <c r="C865" s="4">
        <v>1002.0454099999999</v>
      </c>
      <c r="D865" s="4">
        <v>1148.493408</v>
      </c>
      <c r="I865" s="3" t="s">
        <v>231</v>
      </c>
      <c r="J865" s="4">
        <v>966.69476299999997</v>
      </c>
      <c r="K865" s="4">
        <v>987.16241500000001</v>
      </c>
      <c r="L865" s="4">
        <v>987.11944600000004</v>
      </c>
      <c r="M865" s="12"/>
      <c r="O865" s="3" t="s">
        <v>231</v>
      </c>
      <c r="P865" s="4">
        <v>1081.6754149999999</v>
      </c>
      <c r="Q865" s="4">
        <v>1016.287903</v>
      </c>
      <c r="R865" s="4">
        <v>1048.67749</v>
      </c>
      <c r="U865" s="3" t="s">
        <v>231</v>
      </c>
      <c r="V865" s="4">
        <v>769.63226299999997</v>
      </c>
      <c r="W865" s="4">
        <v>994.24951199999998</v>
      </c>
      <c r="X865" s="4">
        <v>966.39617899999996</v>
      </c>
    </row>
    <row r="866" spans="1:24" x14ac:dyDescent="0.3">
      <c r="A866" s="3" t="s">
        <v>233</v>
      </c>
      <c r="B866" s="4">
        <v>1045.015259</v>
      </c>
      <c r="C866" s="4">
        <v>1031.388794</v>
      </c>
      <c r="D866" s="4">
        <v>1176.922607</v>
      </c>
      <c r="I866" s="3" t="s">
        <v>233</v>
      </c>
      <c r="J866" s="4">
        <v>1045.015259</v>
      </c>
      <c r="K866" s="4">
        <v>1030.0489500000001</v>
      </c>
      <c r="L866" s="4">
        <v>861.23736599999995</v>
      </c>
      <c r="M866" s="12"/>
      <c r="O866" s="3" t="s">
        <v>233</v>
      </c>
      <c r="P866" s="4">
        <v>1205.269775</v>
      </c>
      <c r="Q866" s="4">
        <v>1032.9068600000001</v>
      </c>
      <c r="R866" s="4">
        <v>939.10247800000002</v>
      </c>
      <c r="U866" s="3" t="s">
        <v>233</v>
      </c>
      <c r="V866" s="4">
        <v>1067.218018</v>
      </c>
      <c r="W866" s="4">
        <v>1059.752808</v>
      </c>
      <c r="X866" s="4">
        <v>1259.8116460000001</v>
      </c>
    </row>
    <row r="867" spans="1:24" x14ac:dyDescent="0.3">
      <c r="A867" s="3" t="s">
        <v>235</v>
      </c>
      <c r="B867" s="4">
        <v>1083.4185789999999</v>
      </c>
      <c r="C867" s="4">
        <v>1129.613525</v>
      </c>
      <c r="D867" s="4">
        <v>1391.090698</v>
      </c>
      <c r="I867" s="3" t="s">
        <v>235</v>
      </c>
      <c r="J867" s="4">
        <v>1083.4185789999999</v>
      </c>
      <c r="K867" s="4">
        <v>1123.4720460000001</v>
      </c>
      <c r="L867" s="4">
        <v>1250.4212649999999</v>
      </c>
      <c r="M867" s="12"/>
      <c r="O867" s="3" t="s">
        <v>235</v>
      </c>
      <c r="P867" s="4">
        <v>1295.572144</v>
      </c>
      <c r="Q867" s="4">
        <v>1142.2707519999999</v>
      </c>
      <c r="R867" s="4">
        <v>1333.682861</v>
      </c>
      <c r="U867" s="3" t="s">
        <v>235</v>
      </c>
      <c r="V867" s="4">
        <v>952.26824999999997</v>
      </c>
      <c r="W867" s="4">
        <v>1119.2985839999999</v>
      </c>
      <c r="X867" s="4">
        <v>1347.1397710000001</v>
      </c>
    </row>
    <row r="868" spans="1:24" x14ac:dyDescent="0.3">
      <c r="A868" s="3" t="s">
        <v>237</v>
      </c>
      <c r="B868" s="4">
        <v>1103.6365969999999</v>
      </c>
      <c r="C868" s="4">
        <v>1117.229004</v>
      </c>
      <c r="D868" s="4">
        <v>1267.279053</v>
      </c>
      <c r="I868" s="3" t="s">
        <v>237</v>
      </c>
      <c r="J868" s="4">
        <v>1103.6365969999999</v>
      </c>
      <c r="K868" s="4">
        <v>1111.411987</v>
      </c>
      <c r="L868" s="4">
        <v>1301.0683590000001</v>
      </c>
      <c r="M868" s="12"/>
      <c r="O868" s="3" t="s">
        <v>237</v>
      </c>
      <c r="P868" s="4">
        <v>1228.5263669999999</v>
      </c>
      <c r="Q868" s="4">
        <v>1150.6904300000001</v>
      </c>
      <c r="R868" s="4">
        <v>1341.4470209999999</v>
      </c>
      <c r="U868" s="3" t="s">
        <v>237</v>
      </c>
      <c r="V868" s="4">
        <v>1295.7114260000001</v>
      </c>
      <c r="W868" s="4">
        <v>1129.3782960000001</v>
      </c>
      <c r="X868" s="4">
        <v>1335.5151370000001</v>
      </c>
    </row>
    <row r="869" spans="1:24" x14ac:dyDescent="0.3">
      <c r="A869" s="3" t="s">
        <v>239</v>
      </c>
      <c r="B869" s="4">
        <v>1141.830078</v>
      </c>
      <c r="C869" s="4">
        <v>1176.1669919999999</v>
      </c>
      <c r="D869" s="4">
        <v>1011.246094</v>
      </c>
      <c r="I869" s="3" t="s">
        <v>239</v>
      </c>
      <c r="J869" s="4">
        <v>1141.830078</v>
      </c>
      <c r="K869" s="4">
        <v>1180.974487</v>
      </c>
      <c r="L869" s="4">
        <v>1433.2380370000001</v>
      </c>
      <c r="M869" s="12"/>
      <c r="O869" s="3" t="s">
        <v>239</v>
      </c>
      <c r="P869" s="4">
        <v>912.28454599999998</v>
      </c>
      <c r="Q869" s="4">
        <v>1160.6264650000001</v>
      </c>
      <c r="R869" s="4">
        <v>1395.2308350000001</v>
      </c>
      <c r="U869" s="3" t="s">
        <v>239</v>
      </c>
      <c r="V869" s="4">
        <v>1497.497192</v>
      </c>
      <c r="W869" s="4">
        <v>1122.7398679999999</v>
      </c>
      <c r="X869" s="4">
        <v>1520.990967</v>
      </c>
    </row>
    <row r="870" spans="1:24" x14ac:dyDescent="0.3">
      <c r="A870" s="3" t="s">
        <v>241</v>
      </c>
      <c r="B870" s="4">
        <v>1078.6522219999999</v>
      </c>
      <c r="C870" s="4">
        <v>1115.56665</v>
      </c>
      <c r="D870" s="4">
        <v>1092.9461670000001</v>
      </c>
      <c r="I870" s="3" t="s">
        <v>241</v>
      </c>
      <c r="J870" s="4">
        <v>1078.6522219999999</v>
      </c>
      <c r="K870" s="4">
        <v>1113.616943</v>
      </c>
      <c r="L870" s="4">
        <v>901.43029799999999</v>
      </c>
      <c r="M870" s="12"/>
      <c r="O870" s="3" t="s">
        <v>241</v>
      </c>
      <c r="P870" s="4">
        <v>1343.9964600000001</v>
      </c>
      <c r="Q870" s="4">
        <v>1108.013428</v>
      </c>
      <c r="R870" s="4">
        <v>1269.4014890000001</v>
      </c>
      <c r="U870" s="3" t="s">
        <v>241</v>
      </c>
      <c r="V870" s="4">
        <v>1283.3466800000001</v>
      </c>
      <c r="W870" s="4">
        <v>1104.2753909999999</v>
      </c>
      <c r="X870" s="4">
        <v>1304.7036129999999</v>
      </c>
    </row>
    <row r="871" spans="1:24" x14ac:dyDescent="0.3">
      <c r="A871" s="3" t="s">
        <v>243</v>
      </c>
      <c r="B871" s="4">
        <v>1173.4876710000001</v>
      </c>
      <c r="C871" s="4">
        <v>1229.66626</v>
      </c>
      <c r="D871" s="4">
        <v>1139.536621</v>
      </c>
      <c r="I871" s="3" t="s">
        <v>243</v>
      </c>
      <c r="J871" s="4">
        <v>1173.4876710000001</v>
      </c>
      <c r="K871" s="4">
        <v>1210.153198</v>
      </c>
      <c r="L871" s="4">
        <v>1248.570923</v>
      </c>
      <c r="M871" s="12"/>
      <c r="O871" s="3" t="s">
        <v>243</v>
      </c>
      <c r="P871" s="4">
        <v>1372.246216</v>
      </c>
      <c r="Q871" s="4">
        <v>1224.1671140000001</v>
      </c>
      <c r="R871" s="4">
        <v>1563.9320070000001</v>
      </c>
      <c r="U871" s="3" t="s">
        <v>243</v>
      </c>
      <c r="V871" s="4">
        <v>1032.744629</v>
      </c>
      <c r="W871" s="4">
        <v>1182.9041749999999</v>
      </c>
      <c r="X871" s="4">
        <v>1527.82312</v>
      </c>
    </row>
    <row r="872" spans="1:24" x14ac:dyDescent="0.3">
      <c r="A872" s="3" t="s">
        <v>245</v>
      </c>
      <c r="B872" s="4">
        <v>1185.378418</v>
      </c>
      <c r="C872" s="4">
        <v>1222.9929199999999</v>
      </c>
      <c r="D872" s="4">
        <v>968.01788299999998</v>
      </c>
      <c r="I872" s="3" t="s">
        <v>245</v>
      </c>
      <c r="J872" s="4">
        <v>1185.378418</v>
      </c>
      <c r="K872" s="4">
        <v>1211.0896</v>
      </c>
      <c r="L872" s="4">
        <v>1001.632446</v>
      </c>
      <c r="M872" s="12"/>
      <c r="O872" s="3" t="s">
        <v>245</v>
      </c>
      <c r="P872" s="4">
        <v>1080.6967770000001</v>
      </c>
      <c r="Q872" s="4">
        <v>1195.1549070000001</v>
      </c>
      <c r="R872" s="4">
        <v>1527.2989500000001</v>
      </c>
      <c r="U872" s="3" t="s">
        <v>245</v>
      </c>
      <c r="V872" s="4">
        <v>1310.8482670000001</v>
      </c>
      <c r="W872" s="4">
        <v>1185.716064</v>
      </c>
      <c r="X872" s="4">
        <v>1026.5836179999999</v>
      </c>
    </row>
    <row r="873" spans="1:24" x14ac:dyDescent="0.3">
      <c r="A873" s="3" t="s">
        <v>247</v>
      </c>
      <c r="B873" s="4">
        <v>1044.0048830000001</v>
      </c>
      <c r="C873" s="4">
        <v>1066.0054929999999</v>
      </c>
      <c r="D873" s="4">
        <v>1161.404053</v>
      </c>
      <c r="I873" s="3" t="s">
        <v>247</v>
      </c>
      <c r="J873" s="4">
        <v>1044.0048830000001</v>
      </c>
      <c r="K873" s="4">
        <v>1062.5947269999999</v>
      </c>
      <c r="L873" s="4">
        <v>920.660706</v>
      </c>
      <c r="M873" s="12"/>
      <c r="O873" s="3" t="s">
        <v>247</v>
      </c>
      <c r="P873" s="4">
        <v>1231.9334719999999</v>
      </c>
      <c r="Q873" s="4">
        <v>1072.4492190000001</v>
      </c>
      <c r="R873" s="4">
        <v>1197.806763</v>
      </c>
      <c r="U873" s="3" t="s">
        <v>247</v>
      </c>
      <c r="V873" s="4">
        <v>999.02795400000002</v>
      </c>
      <c r="W873" s="4">
        <v>1082.1072999999999</v>
      </c>
      <c r="X873" s="4">
        <v>1060.052246</v>
      </c>
    </row>
    <row r="874" spans="1:24" x14ac:dyDescent="0.3">
      <c r="A874" s="3" t="s">
        <v>249</v>
      </c>
      <c r="B874" s="4">
        <v>1128.3664550000001</v>
      </c>
      <c r="C874" s="4">
        <v>1160.0460210000001</v>
      </c>
      <c r="D874" s="4">
        <v>1320.8492429999999</v>
      </c>
      <c r="I874" s="3" t="s">
        <v>249</v>
      </c>
      <c r="J874" s="4">
        <v>1128.3664550000001</v>
      </c>
      <c r="K874" s="4">
        <v>1151.263672</v>
      </c>
      <c r="L874" s="4">
        <v>1157.1019289999999</v>
      </c>
      <c r="M874" s="12"/>
      <c r="O874" s="3" t="s">
        <v>249</v>
      </c>
      <c r="P874" s="4">
        <v>1437.382568</v>
      </c>
      <c r="Q874" s="4">
        <v>1170.278198</v>
      </c>
      <c r="R874" s="4">
        <v>1294.481323</v>
      </c>
      <c r="U874" s="3" t="s">
        <v>249</v>
      </c>
      <c r="V874" s="4">
        <v>1157.2509769999999</v>
      </c>
      <c r="W874" s="4">
        <v>1158.030884</v>
      </c>
      <c r="X874" s="4">
        <v>1324.1373289999999</v>
      </c>
    </row>
    <row r="875" spans="1:24" x14ac:dyDescent="0.3">
      <c r="A875" s="3" t="s">
        <v>251</v>
      </c>
      <c r="B875" s="4">
        <v>1119.088745</v>
      </c>
      <c r="C875" s="4">
        <v>1160.551025</v>
      </c>
      <c r="D875" s="4">
        <v>1205.158203</v>
      </c>
      <c r="I875" s="3" t="s">
        <v>251</v>
      </c>
      <c r="J875" s="4">
        <v>1119.088745</v>
      </c>
      <c r="K875" s="4">
        <v>1132.860962</v>
      </c>
      <c r="L875" s="4">
        <v>1304.9375</v>
      </c>
      <c r="M875" s="12"/>
      <c r="O875" s="3" t="s">
        <v>251</v>
      </c>
      <c r="P875" s="4">
        <v>1318.869263</v>
      </c>
      <c r="Q875" s="4">
        <v>1156.3266599999999</v>
      </c>
      <c r="R875" s="4">
        <v>1027.351318</v>
      </c>
      <c r="U875" s="3" t="s">
        <v>251</v>
      </c>
      <c r="V875" s="4">
        <v>1202.374268</v>
      </c>
      <c r="W875" s="4">
        <v>1160.594971</v>
      </c>
      <c r="X875" s="4">
        <v>1310.918457</v>
      </c>
    </row>
    <row r="876" spans="1:24" x14ac:dyDescent="0.3">
      <c r="A876" s="3" t="s">
        <v>253</v>
      </c>
      <c r="B876" s="4">
        <v>1158.178101</v>
      </c>
      <c r="C876" s="4">
        <v>1187.6553960000001</v>
      </c>
      <c r="D876" s="4">
        <v>1290.544189</v>
      </c>
      <c r="I876" s="3" t="s">
        <v>253</v>
      </c>
      <c r="J876" s="4">
        <v>1158.178101</v>
      </c>
      <c r="K876" s="4">
        <v>1176.8751219999999</v>
      </c>
      <c r="L876" s="4">
        <v>1000.022217</v>
      </c>
      <c r="M876" s="12"/>
      <c r="O876" s="3" t="s">
        <v>253</v>
      </c>
      <c r="P876" s="4">
        <v>1032.6517329999999</v>
      </c>
      <c r="Q876" s="4">
        <v>1189.445557</v>
      </c>
      <c r="R876" s="4">
        <v>1596.166626</v>
      </c>
      <c r="U876" s="3" t="s">
        <v>253</v>
      </c>
      <c r="V876" s="4">
        <v>1007.922791</v>
      </c>
      <c r="W876" s="4">
        <v>1202.677246</v>
      </c>
      <c r="X876" s="4">
        <v>999.11114499999996</v>
      </c>
    </row>
    <row r="877" spans="1:24" x14ac:dyDescent="0.3">
      <c r="A877" s="3" t="s">
        <v>255</v>
      </c>
      <c r="B877" s="4">
        <v>997.941284</v>
      </c>
      <c r="C877" s="4">
        <v>1054.5460210000001</v>
      </c>
      <c r="D877" s="4">
        <v>861.04809599999999</v>
      </c>
      <c r="I877" s="3" t="s">
        <v>255</v>
      </c>
      <c r="J877" s="4">
        <v>997.941284</v>
      </c>
      <c r="K877" s="4">
        <v>1032.615845</v>
      </c>
      <c r="L877" s="4">
        <v>848.05395499999997</v>
      </c>
      <c r="M877" s="12"/>
      <c r="O877" s="3" t="s">
        <v>255</v>
      </c>
      <c r="P877" s="4">
        <v>860.16564900000003</v>
      </c>
      <c r="Q877" s="4">
        <v>1051.1640620000001</v>
      </c>
      <c r="R877" s="4">
        <v>861.04809599999999</v>
      </c>
      <c r="U877" s="3" t="s">
        <v>255</v>
      </c>
      <c r="V877" s="4">
        <v>848.03161599999999</v>
      </c>
      <c r="W877" s="4">
        <v>1026.618774</v>
      </c>
      <c r="X877" s="4">
        <v>848.05395499999997</v>
      </c>
    </row>
    <row r="878" spans="1:24" x14ac:dyDescent="0.3">
      <c r="A878" s="3" t="s">
        <v>257</v>
      </c>
      <c r="B878" s="4">
        <v>984.41357400000004</v>
      </c>
      <c r="C878" s="4">
        <v>1014.87207</v>
      </c>
      <c r="D878" s="4">
        <v>1168.334717</v>
      </c>
      <c r="I878" s="3" t="s">
        <v>257</v>
      </c>
      <c r="J878" s="4">
        <v>984.41357400000004</v>
      </c>
      <c r="K878" s="4">
        <v>986.72198500000002</v>
      </c>
      <c r="L878" s="4">
        <v>1002.467773</v>
      </c>
      <c r="M878" s="12"/>
      <c r="O878" s="3" t="s">
        <v>257</v>
      </c>
      <c r="P878" s="4">
        <v>1046.490601</v>
      </c>
      <c r="Q878" s="4">
        <v>995.85723900000005</v>
      </c>
      <c r="R878" s="4">
        <v>1166.0756839999999</v>
      </c>
      <c r="U878" s="3" t="s">
        <v>257</v>
      </c>
      <c r="V878" s="4">
        <v>1090.7041019999999</v>
      </c>
      <c r="W878" s="4">
        <v>992.29614300000003</v>
      </c>
      <c r="X878" s="4">
        <v>885.63818400000002</v>
      </c>
    </row>
    <row r="879" spans="1:24" x14ac:dyDescent="0.3">
      <c r="A879" s="3" t="s">
        <v>259</v>
      </c>
      <c r="B879" s="4">
        <v>980.48718299999996</v>
      </c>
      <c r="C879" s="4">
        <v>1023.995911</v>
      </c>
      <c r="D879" s="4">
        <v>976.71850600000005</v>
      </c>
      <c r="I879" s="3" t="s">
        <v>259</v>
      </c>
      <c r="J879" s="4">
        <v>980.48718299999996</v>
      </c>
      <c r="K879" s="4">
        <v>1029.0161129999999</v>
      </c>
      <c r="L879" s="4">
        <v>1009.043396</v>
      </c>
      <c r="M879" s="12"/>
      <c r="O879" s="3" t="s">
        <v>259</v>
      </c>
      <c r="P879" s="4">
        <v>922.41039999999998</v>
      </c>
      <c r="Q879" s="4">
        <v>1019.266968</v>
      </c>
      <c r="R879" s="4">
        <v>1102.5878909999999</v>
      </c>
      <c r="U879" s="3" t="s">
        <v>259</v>
      </c>
      <c r="V879" s="4">
        <v>970.34466599999996</v>
      </c>
      <c r="W879" s="4">
        <v>1009.641663</v>
      </c>
      <c r="X879" s="4">
        <v>1066.978638</v>
      </c>
    </row>
    <row r="880" spans="1:24" x14ac:dyDescent="0.3">
      <c r="A880" s="3" t="s">
        <v>261</v>
      </c>
      <c r="B880" s="4">
        <v>949.00152600000001</v>
      </c>
      <c r="C880" s="4">
        <v>985.50390600000003</v>
      </c>
      <c r="D880" s="4">
        <v>830.035889</v>
      </c>
      <c r="I880" s="3" t="s">
        <v>261</v>
      </c>
      <c r="J880" s="4">
        <v>949.00152600000001</v>
      </c>
      <c r="K880" s="4">
        <v>980.40490699999998</v>
      </c>
      <c r="L880" s="4">
        <v>1064.3355710000001</v>
      </c>
      <c r="M880" s="12"/>
      <c r="O880" s="3" t="s">
        <v>261</v>
      </c>
      <c r="P880" s="4">
        <v>1100.0927730000001</v>
      </c>
      <c r="Q880" s="4">
        <v>992.04766800000004</v>
      </c>
      <c r="R880" s="4">
        <v>1075.8392329999999</v>
      </c>
      <c r="U880" s="3" t="s">
        <v>261</v>
      </c>
      <c r="V880" s="4">
        <v>936.15454099999999</v>
      </c>
      <c r="W880" s="4">
        <v>971.69177200000001</v>
      </c>
      <c r="X880" s="4">
        <v>1105.8795170000001</v>
      </c>
    </row>
    <row r="881" spans="1:24" x14ac:dyDescent="0.3">
      <c r="A881" s="3" t="s">
        <v>263</v>
      </c>
      <c r="B881" s="4">
        <v>997.88696300000004</v>
      </c>
      <c r="C881" s="4">
        <v>1029.8436280000001</v>
      </c>
      <c r="D881" s="4">
        <v>1153.0916749999999</v>
      </c>
      <c r="I881" s="3" t="s">
        <v>263</v>
      </c>
      <c r="J881" s="4">
        <v>997.88696300000004</v>
      </c>
      <c r="K881" s="4">
        <v>1009.391785</v>
      </c>
      <c r="L881" s="4">
        <v>1135.966064</v>
      </c>
      <c r="M881" s="12"/>
      <c r="O881" s="3" t="s">
        <v>263</v>
      </c>
      <c r="P881" s="4">
        <v>1123.398682</v>
      </c>
      <c r="Q881" s="4">
        <v>1030.921875</v>
      </c>
      <c r="R881" s="4">
        <v>1042.0878909999999</v>
      </c>
      <c r="U881" s="3" t="s">
        <v>263</v>
      </c>
      <c r="V881" s="4">
        <v>860.98657200000002</v>
      </c>
      <c r="W881" s="4">
        <v>1018.668823</v>
      </c>
      <c r="X881" s="4">
        <v>1086.394043</v>
      </c>
    </row>
    <row r="882" spans="1:24" x14ac:dyDescent="0.3">
      <c r="A882" s="3" t="s">
        <v>265</v>
      </c>
      <c r="B882" s="4">
        <v>967.89294400000006</v>
      </c>
      <c r="C882" s="4">
        <v>1011.1942749999999</v>
      </c>
      <c r="D882" s="4">
        <v>1183.161621</v>
      </c>
      <c r="I882" s="3" t="s">
        <v>265</v>
      </c>
      <c r="J882" s="4">
        <v>967.89294400000006</v>
      </c>
      <c r="K882" s="4">
        <v>998.01739499999996</v>
      </c>
      <c r="L882" s="4">
        <v>1164.587524</v>
      </c>
      <c r="M882" s="12"/>
      <c r="O882" s="3" t="s">
        <v>265</v>
      </c>
      <c r="P882" s="4">
        <v>1141.0935059999999</v>
      </c>
      <c r="Q882" s="4">
        <v>1004.650391</v>
      </c>
      <c r="R882" s="4">
        <v>1097.3054199999999</v>
      </c>
      <c r="U882" s="3" t="s">
        <v>265</v>
      </c>
      <c r="V882" s="4">
        <v>1005.927185</v>
      </c>
      <c r="W882" s="4">
        <v>997.77612299999998</v>
      </c>
      <c r="X882" s="4">
        <v>1110.010376</v>
      </c>
    </row>
    <row r="883" spans="1:24" x14ac:dyDescent="0.3">
      <c r="A883" s="3" t="s">
        <v>267</v>
      </c>
      <c r="B883" s="4">
        <v>1009.3192749999999</v>
      </c>
      <c r="C883" s="4">
        <v>1058.125</v>
      </c>
      <c r="D883" s="4">
        <v>1174.403442</v>
      </c>
      <c r="I883" s="3" t="s">
        <v>267</v>
      </c>
      <c r="J883" s="4">
        <v>1009.3192749999999</v>
      </c>
      <c r="K883" s="4">
        <v>1033.338379</v>
      </c>
      <c r="L883" s="4">
        <v>1152.9216309999999</v>
      </c>
      <c r="M883" s="12"/>
      <c r="O883" s="3" t="s">
        <v>267</v>
      </c>
      <c r="P883" s="4">
        <v>989.97882100000004</v>
      </c>
      <c r="Q883" s="4">
        <v>1055.7680660000001</v>
      </c>
      <c r="R883" s="4">
        <v>971.658997</v>
      </c>
      <c r="U883" s="3" t="s">
        <v>267</v>
      </c>
      <c r="V883" s="4">
        <v>940.66235400000005</v>
      </c>
      <c r="W883" s="4">
        <v>1017.32312</v>
      </c>
      <c r="X883" s="4">
        <v>1099.298828</v>
      </c>
    </row>
    <row r="884" spans="1:24" x14ac:dyDescent="0.3">
      <c r="A884" s="3" t="s">
        <v>269</v>
      </c>
      <c r="B884" s="4">
        <v>956.60247800000002</v>
      </c>
      <c r="C884" s="4">
        <v>973.14160200000003</v>
      </c>
      <c r="D884" s="4">
        <v>861.01367200000004</v>
      </c>
      <c r="I884" s="3" t="s">
        <v>269</v>
      </c>
      <c r="J884" s="4">
        <v>956.60247800000002</v>
      </c>
      <c r="K884" s="4">
        <v>986.68414299999995</v>
      </c>
      <c r="L884" s="4">
        <v>939.637024</v>
      </c>
      <c r="M884" s="12"/>
      <c r="O884" s="3" t="s">
        <v>269</v>
      </c>
      <c r="P884" s="4">
        <v>893.55023200000005</v>
      </c>
      <c r="Q884" s="4">
        <v>994.65905799999996</v>
      </c>
      <c r="R884" s="4">
        <v>1063.4449460000001</v>
      </c>
      <c r="U884" s="3" t="s">
        <v>269</v>
      </c>
      <c r="V884" s="4">
        <v>970.06390399999998</v>
      </c>
      <c r="W884" s="4">
        <v>958.65380900000002</v>
      </c>
      <c r="X884" s="4">
        <v>950.88183600000002</v>
      </c>
    </row>
    <row r="885" spans="1:24" x14ac:dyDescent="0.3">
      <c r="A885" s="3" t="s">
        <v>271</v>
      </c>
      <c r="B885" s="4">
        <v>970.82843000000003</v>
      </c>
      <c r="C885" s="4">
        <v>984.66272000000004</v>
      </c>
      <c r="D885" s="4">
        <v>877.21551499999998</v>
      </c>
      <c r="I885" s="3" t="s">
        <v>271</v>
      </c>
      <c r="J885" s="4">
        <v>970.82843000000003</v>
      </c>
      <c r="K885" s="4">
        <v>997.90954599999998</v>
      </c>
      <c r="L885" s="4">
        <v>788.35638400000005</v>
      </c>
      <c r="M885" s="12"/>
      <c r="O885" s="3" t="s">
        <v>271</v>
      </c>
      <c r="P885" s="4">
        <v>1010.351074</v>
      </c>
      <c r="Q885" s="4">
        <v>995.16345200000001</v>
      </c>
      <c r="R885" s="4">
        <v>1113.607788</v>
      </c>
      <c r="U885" s="3" t="s">
        <v>271</v>
      </c>
      <c r="V885" s="4">
        <v>1023.205811</v>
      </c>
      <c r="W885" s="4">
        <v>1003.851624</v>
      </c>
      <c r="X885" s="4">
        <v>873.08831799999996</v>
      </c>
    </row>
    <row r="886" spans="1:24" x14ac:dyDescent="0.3">
      <c r="A886" s="3" t="s">
        <v>273</v>
      </c>
      <c r="B886" s="4">
        <v>1009.639771</v>
      </c>
      <c r="C886" s="4">
        <v>1040.2113039999999</v>
      </c>
      <c r="D886" s="4">
        <v>1159.749634</v>
      </c>
      <c r="I886" s="3" t="s">
        <v>273</v>
      </c>
      <c r="J886" s="4">
        <v>1009.639771</v>
      </c>
      <c r="K886" s="4">
        <v>1034.6964109999999</v>
      </c>
      <c r="L886" s="4">
        <v>1127.4542240000001</v>
      </c>
      <c r="M886" s="12"/>
      <c r="O886" s="3" t="s">
        <v>273</v>
      </c>
      <c r="P886" s="4">
        <v>1038.105591</v>
      </c>
      <c r="Q886" s="4">
        <v>1034.1108400000001</v>
      </c>
      <c r="R886" s="4">
        <v>853.73095699999999</v>
      </c>
      <c r="U886" s="3" t="s">
        <v>273</v>
      </c>
      <c r="V886" s="4">
        <v>1168.1667480000001</v>
      </c>
      <c r="W886" s="4">
        <v>1027.430664</v>
      </c>
      <c r="X886" s="4">
        <v>1130.2193600000001</v>
      </c>
    </row>
    <row r="887" spans="1:24" x14ac:dyDescent="0.3">
      <c r="A887" s="3" t="s">
        <v>275</v>
      </c>
      <c r="B887" s="4">
        <v>1113.980957</v>
      </c>
      <c r="C887" s="4">
        <v>1132.8203120000001</v>
      </c>
      <c r="D887" s="4">
        <v>1278.730591</v>
      </c>
      <c r="I887" s="3" t="s">
        <v>275</v>
      </c>
      <c r="J887" s="4">
        <v>1113.980957</v>
      </c>
      <c r="K887" s="4">
        <v>1135.067749</v>
      </c>
      <c r="L887" s="4">
        <v>1275.309814</v>
      </c>
      <c r="M887" s="12"/>
      <c r="O887" s="3" t="s">
        <v>275</v>
      </c>
      <c r="P887" s="4">
        <v>1361.3741460000001</v>
      </c>
      <c r="Q887" s="4">
        <v>1129.879639</v>
      </c>
      <c r="R887" s="4">
        <v>1171.1166989999999</v>
      </c>
      <c r="U887" s="3" t="s">
        <v>275</v>
      </c>
      <c r="V887" s="4">
        <v>918.29919400000006</v>
      </c>
      <c r="W887" s="4">
        <v>1144.1917719999999</v>
      </c>
      <c r="X887" s="4">
        <v>1332.5023189999999</v>
      </c>
    </row>
    <row r="888" spans="1:24" x14ac:dyDescent="0.3">
      <c r="A888" s="3" t="s">
        <v>277</v>
      </c>
      <c r="B888" s="4">
        <v>991.24267599999996</v>
      </c>
      <c r="C888" s="4">
        <v>1038.733154</v>
      </c>
      <c r="D888" s="4">
        <v>1246.0601810000001</v>
      </c>
      <c r="I888" s="3" t="s">
        <v>277</v>
      </c>
      <c r="J888" s="4">
        <v>991.24267599999996</v>
      </c>
      <c r="K888" s="4">
        <v>1045.997192</v>
      </c>
      <c r="L888" s="4">
        <v>827.91296399999999</v>
      </c>
      <c r="M888" s="12"/>
      <c r="O888" s="3" t="s">
        <v>277</v>
      </c>
      <c r="P888" s="4">
        <v>1164.369263</v>
      </c>
      <c r="Q888" s="4">
        <v>1040.872192</v>
      </c>
      <c r="R888" s="4">
        <v>1137.331543</v>
      </c>
      <c r="U888" s="3" t="s">
        <v>277</v>
      </c>
      <c r="V888" s="4">
        <v>1055.911865</v>
      </c>
      <c r="W888" s="4">
        <v>1031.2108149999999</v>
      </c>
      <c r="X888" s="4">
        <v>1108.474487</v>
      </c>
    </row>
    <row r="889" spans="1:24" x14ac:dyDescent="0.3">
      <c r="A889" s="3" t="s">
        <v>279</v>
      </c>
      <c r="B889" s="4">
        <v>1121.287231</v>
      </c>
      <c r="C889" s="4">
        <v>1155.8629149999999</v>
      </c>
      <c r="D889" s="4">
        <v>1205.722534</v>
      </c>
      <c r="I889" s="3" t="s">
        <v>279</v>
      </c>
      <c r="J889" s="4">
        <v>1121.287231</v>
      </c>
      <c r="K889" s="4">
        <v>1156.5196530000001</v>
      </c>
      <c r="L889" s="4">
        <v>950.36810300000002</v>
      </c>
      <c r="M889" s="12"/>
      <c r="O889" s="3" t="s">
        <v>279</v>
      </c>
      <c r="P889" s="4">
        <v>1266.634888</v>
      </c>
      <c r="Q889" s="4">
        <v>1175.488159</v>
      </c>
      <c r="R889" s="4">
        <v>1314.505981</v>
      </c>
      <c r="U889" s="3" t="s">
        <v>279</v>
      </c>
      <c r="V889" s="4">
        <v>1139.5086670000001</v>
      </c>
      <c r="W889" s="4">
        <v>1153.2398679999999</v>
      </c>
      <c r="X889" s="4">
        <v>1231.895874</v>
      </c>
    </row>
    <row r="890" spans="1:24" x14ac:dyDescent="0.3">
      <c r="A890" s="3" t="s">
        <v>281</v>
      </c>
      <c r="B890" s="4">
        <v>1076.3323969999999</v>
      </c>
      <c r="C890" s="4">
        <v>1112.176514</v>
      </c>
      <c r="D890" s="4">
        <v>902.80865500000004</v>
      </c>
      <c r="I890" s="3" t="s">
        <v>281</v>
      </c>
      <c r="J890" s="4">
        <v>1076.3323969999999</v>
      </c>
      <c r="K890" s="4">
        <v>1084.362427</v>
      </c>
      <c r="L890" s="4">
        <v>907.24761999999998</v>
      </c>
      <c r="M890" s="12"/>
      <c r="O890" s="3" t="s">
        <v>281</v>
      </c>
      <c r="P890" s="4">
        <v>1199.1547849999999</v>
      </c>
      <c r="Q890" s="4">
        <v>1071.909302</v>
      </c>
      <c r="R890" s="4">
        <v>1312.1644289999999</v>
      </c>
      <c r="U890" s="3" t="s">
        <v>281</v>
      </c>
      <c r="V890" s="4">
        <v>1267.189697</v>
      </c>
      <c r="W890" s="4">
        <v>1095.9388429999999</v>
      </c>
      <c r="X890" s="4">
        <v>1319.6561280000001</v>
      </c>
    </row>
    <row r="891" spans="1:24" x14ac:dyDescent="0.3">
      <c r="A891" s="3" t="s">
        <v>283</v>
      </c>
      <c r="B891" s="4">
        <v>1027.5946039999999</v>
      </c>
      <c r="C891" s="4">
        <v>1061.742798</v>
      </c>
      <c r="D891" s="4">
        <v>1135.8903809999999</v>
      </c>
      <c r="I891" s="3" t="s">
        <v>283</v>
      </c>
      <c r="J891" s="4">
        <v>1027.5946039999999</v>
      </c>
      <c r="K891" s="4">
        <v>1064.0543210000001</v>
      </c>
      <c r="L891" s="4">
        <v>1205.9456789999999</v>
      </c>
      <c r="M891" s="12"/>
      <c r="O891" s="3" t="s">
        <v>283</v>
      </c>
      <c r="P891" s="4">
        <v>1222.860962</v>
      </c>
      <c r="Q891" s="4">
        <v>1076.7595209999999</v>
      </c>
      <c r="R891" s="4">
        <v>1100.865356</v>
      </c>
      <c r="U891" s="3" t="s">
        <v>283</v>
      </c>
      <c r="V891" s="4">
        <v>1280.0634769999999</v>
      </c>
      <c r="W891" s="4">
        <v>1063.7285159999999</v>
      </c>
      <c r="X891" s="4">
        <v>1014.677002</v>
      </c>
    </row>
    <row r="892" spans="1:24" x14ac:dyDescent="0.3">
      <c r="A892" s="3" t="s">
        <v>285</v>
      </c>
      <c r="B892" s="4">
        <v>1096.976807</v>
      </c>
      <c r="C892" s="4">
        <v>1140.8946530000001</v>
      </c>
      <c r="D892" s="4">
        <v>1413.1442870000001</v>
      </c>
      <c r="I892" s="3" t="s">
        <v>285</v>
      </c>
      <c r="J892" s="4">
        <v>1096.976807</v>
      </c>
      <c r="K892" s="4">
        <v>1135.616211</v>
      </c>
      <c r="L892" s="4">
        <v>1275.7585449999999</v>
      </c>
      <c r="M892" s="12"/>
      <c r="O892" s="3" t="s">
        <v>285</v>
      </c>
      <c r="P892" s="4">
        <v>1266.9697269999999</v>
      </c>
      <c r="Q892" s="4">
        <v>1130.5180660000001</v>
      </c>
      <c r="R892" s="4">
        <v>1223.145996</v>
      </c>
      <c r="U892" s="3" t="s">
        <v>285</v>
      </c>
      <c r="V892" s="4">
        <v>1306.626953</v>
      </c>
      <c r="W892" s="4">
        <v>1144.3400879999999</v>
      </c>
      <c r="X892" s="4">
        <v>1343.5042719999999</v>
      </c>
    </row>
    <row r="893" spans="1:24" x14ac:dyDescent="0.3">
      <c r="A893" s="3" t="s">
        <v>287</v>
      </c>
      <c r="B893" s="4">
        <v>1031.6014399999999</v>
      </c>
      <c r="C893" s="4">
        <v>1060.9051509999999</v>
      </c>
      <c r="D893" s="4">
        <v>1270.502686</v>
      </c>
      <c r="I893" s="3" t="s">
        <v>287</v>
      </c>
      <c r="J893" s="4">
        <v>1031.6014399999999</v>
      </c>
      <c r="K893" s="4">
        <v>1050.972168</v>
      </c>
      <c r="L893" s="4">
        <v>1230.458862</v>
      </c>
      <c r="M893" s="12"/>
      <c r="O893" s="3" t="s">
        <v>287</v>
      </c>
      <c r="P893" s="4">
        <v>1191.767212</v>
      </c>
      <c r="Q893" s="4">
        <v>1072.858154</v>
      </c>
      <c r="R893" s="4">
        <v>957.60400400000003</v>
      </c>
      <c r="U893" s="3" t="s">
        <v>287</v>
      </c>
      <c r="V893" s="4">
        <v>844.55792199999996</v>
      </c>
      <c r="W893" s="4">
        <v>1070.1475829999999</v>
      </c>
      <c r="X893" s="4">
        <v>1288.2818600000001</v>
      </c>
    </row>
    <row r="894" spans="1:24" x14ac:dyDescent="0.3">
      <c r="A894" s="3" t="s">
        <v>289</v>
      </c>
      <c r="B894" s="4">
        <v>1077.8588870000001</v>
      </c>
      <c r="C894" s="4">
        <v>1120.913086</v>
      </c>
      <c r="D894" s="4">
        <v>1435.5686040000001</v>
      </c>
      <c r="I894" s="3" t="s">
        <v>289</v>
      </c>
      <c r="J894" s="4">
        <v>1077.8588870000001</v>
      </c>
      <c r="K894" s="4">
        <v>1139.3154300000001</v>
      </c>
      <c r="L894" s="4">
        <v>1368.7138669999999</v>
      </c>
      <c r="M894" s="12"/>
      <c r="O894" s="3" t="s">
        <v>289</v>
      </c>
      <c r="P894" s="4">
        <v>1131.5361330000001</v>
      </c>
      <c r="Q894" s="4">
        <v>1109.760376</v>
      </c>
      <c r="R894" s="4">
        <v>1066.0936280000001</v>
      </c>
      <c r="U894" s="3" t="s">
        <v>289</v>
      </c>
      <c r="V894" s="4">
        <v>1091.743164</v>
      </c>
      <c r="W894" s="4">
        <v>1080.9814449999999</v>
      </c>
      <c r="X894" s="4">
        <v>1256.685669</v>
      </c>
    </row>
    <row r="895" spans="1:24" x14ac:dyDescent="0.3">
      <c r="A895" s="3" t="s">
        <v>291</v>
      </c>
      <c r="B895" s="4">
        <v>1047.573486</v>
      </c>
      <c r="C895" s="4">
        <v>1084.837769</v>
      </c>
      <c r="D895" s="4">
        <v>934.76898200000005</v>
      </c>
      <c r="I895" s="3" t="s">
        <v>291</v>
      </c>
      <c r="J895" s="4">
        <v>1047.573486</v>
      </c>
      <c r="K895" s="4">
        <v>1089.849731</v>
      </c>
      <c r="L895" s="4">
        <v>1082.255737</v>
      </c>
      <c r="M895" s="12"/>
      <c r="O895" s="3" t="s">
        <v>291</v>
      </c>
      <c r="P895" s="4">
        <v>892.38830600000006</v>
      </c>
      <c r="Q895" s="4">
        <v>1078.8558350000001</v>
      </c>
      <c r="R895" s="4">
        <v>1309.758789</v>
      </c>
      <c r="U895" s="3" t="s">
        <v>291</v>
      </c>
      <c r="V895" s="4">
        <v>1231.401611</v>
      </c>
      <c r="W895" s="4">
        <v>1100.2813719999999</v>
      </c>
      <c r="X895" s="4">
        <v>1197.8660890000001</v>
      </c>
    </row>
    <row r="896" spans="1:24" x14ac:dyDescent="0.3">
      <c r="A896" s="3" t="s">
        <v>293</v>
      </c>
      <c r="B896" s="4">
        <v>1105.300293</v>
      </c>
      <c r="C896" s="4">
        <v>1130.606567</v>
      </c>
      <c r="D896" s="4">
        <v>1128.5863039999999</v>
      </c>
      <c r="I896" s="3" t="s">
        <v>293</v>
      </c>
      <c r="J896" s="4">
        <v>1105.300293</v>
      </c>
      <c r="K896" s="4">
        <v>1146.1613769999999</v>
      </c>
      <c r="L896" s="4">
        <v>1334.6851810000001</v>
      </c>
      <c r="M896" s="12"/>
      <c r="O896" s="3" t="s">
        <v>293</v>
      </c>
      <c r="P896" s="4">
        <v>1113.3930660000001</v>
      </c>
      <c r="Q896" s="4">
        <v>1162.4770510000001</v>
      </c>
      <c r="R896" s="4">
        <v>1267.9051509999999</v>
      </c>
      <c r="U896" s="3" t="s">
        <v>293</v>
      </c>
      <c r="V896" s="4">
        <v>1225.4385990000001</v>
      </c>
      <c r="W896" s="4">
        <v>1131.989746</v>
      </c>
      <c r="X896" s="4">
        <v>1328.721436</v>
      </c>
    </row>
    <row r="897" spans="1:24" x14ac:dyDescent="0.3">
      <c r="A897" s="3" t="s">
        <v>295</v>
      </c>
      <c r="B897" s="4">
        <v>1190.2852780000001</v>
      </c>
      <c r="C897" s="4">
        <v>1218.6689449999999</v>
      </c>
      <c r="D897" s="4">
        <v>986.51397699999995</v>
      </c>
      <c r="I897" s="3" t="s">
        <v>295</v>
      </c>
      <c r="J897" s="4">
        <v>1190.2852780000001</v>
      </c>
      <c r="K897" s="4">
        <v>1224.6313479999999</v>
      </c>
      <c r="L897" s="4">
        <v>1172.852783</v>
      </c>
      <c r="M897" s="12"/>
      <c r="O897" s="3" t="s">
        <v>295</v>
      </c>
      <c r="P897" s="4">
        <v>1579.581909</v>
      </c>
      <c r="Q897" s="4">
        <v>1234.47876</v>
      </c>
      <c r="R897" s="4">
        <v>1596.100342</v>
      </c>
      <c r="U897" s="3" t="s">
        <v>295</v>
      </c>
      <c r="V897" s="4">
        <v>1533.709106</v>
      </c>
      <c r="W897" s="4">
        <v>1226.8587649999999</v>
      </c>
      <c r="X897" s="4">
        <v>1432.4091800000001</v>
      </c>
    </row>
    <row r="898" spans="1:24" x14ac:dyDescent="0.3">
      <c r="A898" s="3" t="s">
        <v>297</v>
      </c>
      <c r="B898" s="4">
        <v>1133.3793949999999</v>
      </c>
      <c r="C898" s="4">
        <v>1189.103638</v>
      </c>
      <c r="D898" s="4">
        <v>1489.1455080000001</v>
      </c>
      <c r="I898" s="3" t="s">
        <v>297</v>
      </c>
      <c r="J898" s="4">
        <v>1133.3793949999999</v>
      </c>
      <c r="K898" s="4">
        <v>1117.4776609999999</v>
      </c>
      <c r="L898" s="4">
        <v>1391.044312</v>
      </c>
      <c r="M898" s="12"/>
      <c r="O898" s="3" t="s">
        <v>297</v>
      </c>
      <c r="P898" s="4">
        <v>1232.2322999999999</v>
      </c>
      <c r="Q898" s="4">
        <v>1172.0263669999999</v>
      </c>
      <c r="R898" s="4">
        <v>1204.1695560000001</v>
      </c>
      <c r="U898" s="3" t="s">
        <v>297</v>
      </c>
      <c r="V898" s="4">
        <v>1296.647827</v>
      </c>
      <c r="W898" s="4">
        <v>1170.6442870000001</v>
      </c>
      <c r="X898" s="4">
        <v>1187.939453</v>
      </c>
    </row>
    <row r="899" spans="1:24" x14ac:dyDescent="0.3">
      <c r="A899" s="3" t="s">
        <v>299</v>
      </c>
      <c r="B899" s="4">
        <v>1170.878784</v>
      </c>
      <c r="C899" s="4">
        <v>1195.5864260000001</v>
      </c>
      <c r="D899" s="4">
        <v>1608.1096190000001</v>
      </c>
      <c r="I899" s="3" t="s">
        <v>299</v>
      </c>
      <c r="J899" s="4">
        <v>1170.878784</v>
      </c>
      <c r="K899" s="4">
        <v>1205.013672</v>
      </c>
      <c r="L899" s="4">
        <v>1013.579102</v>
      </c>
      <c r="M899" s="12"/>
      <c r="O899" s="3" t="s">
        <v>299</v>
      </c>
      <c r="P899" s="4">
        <v>1545.341553</v>
      </c>
      <c r="Q899" s="4">
        <v>1201.570068</v>
      </c>
      <c r="R899" s="4">
        <v>1146.3116460000001</v>
      </c>
      <c r="U899" s="3" t="s">
        <v>299</v>
      </c>
      <c r="V899" s="4">
        <v>1480.9460449999999</v>
      </c>
      <c r="W899" s="4">
        <v>1211.1669919999999</v>
      </c>
      <c r="X899" s="4">
        <v>1491.288452</v>
      </c>
    </row>
    <row r="900" spans="1:24" x14ac:dyDescent="0.3">
      <c r="A900" s="3" t="s">
        <v>301</v>
      </c>
      <c r="B900" s="4">
        <v>1139.4451899999999</v>
      </c>
      <c r="C900" s="4">
        <v>1195.0170900000001</v>
      </c>
      <c r="D900" s="4">
        <v>1249.409302</v>
      </c>
      <c r="I900" s="3" t="s">
        <v>301</v>
      </c>
      <c r="J900" s="4">
        <v>1139.4451899999999</v>
      </c>
      <c r="K900" s="4">
        <v>1159.2531739999999</v>
      </c>
      <c r="L900" s="4">
        <v>1502.217529</v>
      </c>
      <c r="M900" s="12"/>
      <c r="O900" s="3" t="s">
        <v>301</v>
      </c>
      <c r="P900" s="4">
        <v>1441.4197999999999</v>
      </c>
      <c r="Q900" s="4">
        <v>1176.548462</v>
      </c>
      <c r="R900" s="4">
        <v>1195.9803469999999</v>
      </c>
      <c r="U900" s="3" t="s">
        <v>301</v>
      </c>
      <c r="V900" s="4">
        <v>1413.6895750000001</v>
      </c>
      <c r="W900" s="4">
        <v>1206.29126</v>
      </c>
      <c r="X900" s="4">
        <v>1422.446899</v>
      </c>
    </row>
    <row r="901" spans="1:24" x14ac:dyDescent="0.3">
      <c r="A901" s="3" t="s">
        <v>303</v>
      </c>
      <c r="B901" s="4">
        <v>1135.7579350000001</v>
      </c>
      <c r="C901" s="4">
        <v>1161.1920170000001</v>
      </c>
      <c r="D901" s="4">
        <v>989.67828399999996</v>
      </c>
      <c r="I901" s="3" t="s">
        <v>303</v>
      </c>
      <c r="J901" s="4">
        <v>1135.7579350000001</v>
      </c>
      <c r="K901" s="4">
        <v>1131.8514399999999</v>
      </c>
      <c r="L901" s="4">
        <v>1220.93335</v>
      </c>
      <c r="M901" s="12"/>
      <c r="O901" s="3" t="s">
        <v>303</v>
      </c>
      <c r="P901" s="4">
        <v>1172.1606449999999</v>
      </c>
      <c r="Q901" s="4">
        <v>1156.228638</v>
      </c>
      <c r="R901" s="4">
        <v>1495.5466309999999</v>
      </c>
      <c r="U901" s="3" t="s">
        <v>303</v>
      </c>
      <c r="V901" s="4">
        <v>1432.8242190000001</v>
      </c>
      <c r="W901" s="4">
        <v>1143.8801269999999</v>
      </c>
      <c r="X901" s="4">
        <v>976.65979000000004</v>
      </c>
    </row>
    <row r="902" spans="1:24" x14ac:dyDescent="0.3">
      <c r="A902" s="3" t="s">
        <v>305</v>
      </c>
      <c r="B902" s="4">
        <v>1171.799683</v>
      </c>
      <c r="C902" s="4">
        <v>1173.6026609999999</v>
      </c>
      <c r="D902" s="4">
        <v>1397.4261469999999</v>
      </c>
      <c r="I902" s="3" t="s">
        <v>305</v>
      </c>
      <c r="J902" s="4">
        <v>1171.799683</v>
      </c>
      <c r="K902" s="4">
        <v>1186.466797</v>
      </c>
      <c r="L902" s="4">
        <v>1556.099976</v>
      </c>
      <c r="M902" s="12"/>
      <c r="O902" s="3" t="s">
        <v>305</v>
      </c>
      <c r="P902" s="4">
        <v>1544.8532709999999</v>
      </c>
      <c r="Q902" s="4">
        <v>1210.3676760000001</v>
      </c>
      <c r="R902" s="4">
        <v>1540.3000489999999</v>
      </c>
      <c r="U902" s="3" t="s">
        <v>305</v>
      </c>
      <c r="V902" s="4">
        <v>1406.942871</v>
      </c>
      <c r="W902" s="4">
        <v>1213.076294</v>
      </c>
      <c r="X902" s="4">
        <v>1575.455688</v>
      </c>
    </row>
    <row r="903" spans="1:24" x14ac:dyDescent="0.3">
      <c r="A903" s="3" t="s">
        <v>307</v>
      </c>
      <c r="B903" s="4">
        <v>1165.0874020000001</v>
      </c>
      <c r="C903" s="4">
        <v>1172.9764399999999</v>
      </c>
      <c r="D903" s="4">
        <v>1302.483154</v>
      </c>
      <c r="I903" s="3" t="s">
        <v>307</v>
      </c>
      <c r="J903" s="4">
        <v>1165.0874020000001</v>
      </c>
      <c r="K903" s="4">
        <v>1179.3845209999999</v>
      </c>
      <c r="L903" s="4">
        <v>1357.399414</v>
      </c>
      <c r="M903" s="12"/>
      <c r="O903" s="3" t="s">
        <v>307</v>
      </c>
      <c r="P903" s="4">
        <v>1430.7514650000001</v>
      </c>
      <c r="Q903" s="4">
        <v>1176.3120120000001</v>
      </c>
      <c r="R903" s="4">
        <v>1334.4185789999999</v>
      </c>
      <c r="U903" s="3" t="s">
        <v>307</v>
      </c>
      <c r="V903" s="4">
        <v>1440.546143</v>
      </c>
      <c r="W903" s="4">
        <v>1173.650024</v>
      </c>
      <c r="X903" s="4">
        <v>1012.477112</v>
      </c>
    </row>
    <row r="904" spans="1:24" x14ac:dyDescent="0.3">
      <c r="A904" s="3" t="s">
        <v>309</v>
      </c>
      <c r="B904" s="4">
        <v>1149.5954589999999</v>
      </c>
      <c r="C904" s="4">
        <v>1164.185303</v>
      </c>
      <c r="D904" s="4">
        <v>1537.7055660000001</v>
      </c>
      <c r="I904" s="3" t="s">
        <v>309</v>
      </c>
      <c r="J904" s="4">
        <v>1149.5954589999999</v>
      </c>
      <c r="K904" s="4">
        <v>1189.9210210000001</v>
      </c>
      <c r="L904" s="4">
        <v>1284.8204350000001</v>
      </c>
      <c r="M904" s="12"/>
      <c r="O904" s="3" t="s">
        <v>309</v>
      </c>
      <c r="P904" s="4">
        <v>1014.862976</v>
      </c>
      <c r="Q904" s="4">
        <v>1182.3602289999999</v>
      </c>
      <c r="R904" s="4">
        <v>1222.2260739999999</v>
      </c>
      <c r="U904" s="3" t="s">
        <v>309</v>
      </c>
      <c r="V904" s="4">
        <v>1600.6062010000001</v>
      </c>
      <c r="W904" s="4">
        <v>1182.467163</v>
      </c>
      <c r="X904" s="4">
        <v>1110.9729</v>
      </c>
    </row>
    <row r="905" spans="1:24" x14ac:dyDescent="0.3">
      <c r="A905" s="3" t="s">
        <v>311</v>
      </c>
      <c r="B905" s="4">
        <v>1187.638428</v>
      </c>
      <c r="C905" s="4">
        <v>1197.119263</v>
      </c>
      <c r="D905" s="4">
        <v>1153.251831</v>
      </c>
      <c r="I905" s="3" t="s">
        <v>311</v>
      </c>
      <c r="J905" s="4">
        <v>1187.638428</v>
      </c>
      <c r="K905" s="4">
        <v>1181.4993899999999</v>
      </c>
      <c r="L905" s="4">
        <v>1406.0848390000001</v>
      </c>
      <c r="M905" s="12"/>
      <c r="O905" s="3" t="s">
        <v>311</v>
      </c>
      <c r="P905" s="4">
        <v>1465.0654300000001</v>
      </c>
      <c r="Q905" s="4">
        <v>1231.8510739999999</v>
      </c>
      <c r="R905" s="4">
        <v>1364.928711</v>
      </c>
      <c r="U905" s="3" t="s">
        <v>311</v>
      </c>
      <c r="V905" s="4">
        <v>1118.412842</v>
      </c>
      <c r="W905" s="4">
        <v>1226.7392580000001</v>
      </c>
      <c r="X905" s="4">
        <v>1514.692139</v>
      </c>
    </row>
    <row r="906" spans="1:24" x14ac:dyDescent="0.3">
      <c r="A906" s="3" t="s">
        <v>313</v>
      </c>
      <c r="B906" s="4">
        <v>1161.4620359999999</v>
      </c>
      <c r="C906" s="4">
        <v>1196.5538329999999</v>
      </c>
      <c r="D906" s="4">
        <v>1448.3095699999999</v>
      </c>
      <c r="I906" s="3" t="s">
        <v>313</v>
      </c>
      <c r="J906" s="4">
        <v>1161.4620359999999</v>
      </c>
      <c r="K906" s="4">
        <v>1205.542725</v>
      </c>
      <c r="L906" s="4">
        <v>1121.5445560000001</v>
      </c>
      <c r="M906" s="12"/>
      <c r="O906" s="3" t="s">
        <v>313</v>
      </c>
      <c r="P906" s="4">
        <v>1017.774658</v>
      </c>
      <c r="Q906" s="4">
        <v>1223.663452</v>
      </c>
      <c r="R906" s="4">
        <v>1249.9575199999999</v>
      </c>
      <c r="U906" s="3" t="s">
        <v>313</v>
      </c>
      <c r="V906" s="4">
        <v>1302.897461</v>
      </c>
      <c r="W906" s="4">
        <v>1211.460693</v>
      </c>
      <c r="X906" s="4">
        <v>1054.2204589999999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4</vt:i4>
      </vt:variant>
    </vt:vector>
  </HeadingPairs>
  <TitlesOfParts>
    <vt:vector size="12" baseType="lpstr">
      <vt:lpstr>Pcell vs GRASP est-rand</vt:lpstr>
      <vt:lpstr>PCell vs GRASP random</vt:lpstr>
      <vt:lpstr>PCellRGRASP vs RGRASP</vt:lpstr>
      <vt:lpstr>Pcell est vs Pcell rand</vt:lpstr>
      <vt:lpstr>Pcell est vs PcellRGRASP</vt:lpstr>
      <vt:lpstr>PcellRGRASP vs Pcell rand</vt:lpstr>
      <vt:lpstr>Resultados</vt:lpstr>
      <vt:lpstr>Resultados_1</vt:lpstr>
      <vt:lpstr>'Pcell vs GRASP est-rand'!Instancia_15new_1_30</vt:lpstr>
      <vt:lpstr>'PCell vs GRASP random'!Instancia_15new_1_30</vt:lpstr>
      <vt:lpstr>'Pcell vs GRASP est-rand'!Instancia_15new_1_30_1</vt:lpstr>
      <vt:lpstr>'PCell vs GRASP random'!Instancia_15new_1_30_1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 Salas</dc:creator>
  <cp:lastModifiedBy>Edgar Salas</cp:lastModifiedBy>
  <dcterms:created xsi:type="dcterms:W3CDTF">2022-05-23T22:06:57Z</dcterms:created>
  <dcterms:modified xsi:type="dcterms:W3CDTF">2022-11-25T22:20:40Z</dcterms:modified>
</cp:coreProperties>
</file>